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Y:\11.ปี 2566\1.รายงานแผนงาน-ผลงาน ปี66\2.ข้อมูล Export จาก Google Sheet\6. 28 ก.พ. 66\"/>
    </mc:Choice>
  </mc:AlternateContent>
  <xr:revisionPtr revIDLastSave="0" documentId="13_ncr:1_{8B9DD636-269C-44DF-98C6-759A48553CB7}" xr6:coauthVersionLast="37" xr6:coauthVersionMax="37" xr10:uidLastSave="{00000000-0000-0000-0000-000000000000}"/>
  <bookViews>
    <workbookView xWindow="0" yWindow="0" windowWidth="24000" windowHeight="9225" xr2:uid="{00000000-000D-0000-FFFF-FFFF00000000}"/>
  </bookViews>
  <sheets>
    <sheet name="พัฒนาธุรกิจชุมชน" sheetId="1" r:id="rId1"/>
    <sheet name="เกษตรอินทรีย์" sheetId="2" r:id="rId2"/>
    <sheet name="วนเกษตร" sheetId="3" r:id="rId3"/>
    <sheet name="ยกระดับรายได้" sheetId="4" r:id="rId4"/>
    <sheet name="ตรวจสอบที่ดิน" sheetId="5" r:id="rId5"/>
    <sheet name="จัดที่ดินชุมชน" sheetId="6" r:id="rId6"/>
    <sheet name="จัดหาที่ดินเอกชน" sheetId="7" r:id="rId7"/>
    <sheet name="จัดที่ดินเอกชน 7 กิจกรรม" sheetId="8" r:id="rId8"/>
    <sheet name="RTK" sheetId="9" r:id="rId9"/>
  </sheets>
  <definedNames>
    <definedName name="_xlnm.Print_Titles" localSheetId="8">RTK!$1:$6</definedName>
    <definedName name="_xlnm.Print_Titles" localSheetId="1">เกษตรอินทรีย์!$1:$6</definedName>
    <definedName name="_xlnm.Print_Titles" localSheetId="5">จัดที่ดินชุมชน!$A:$B,จัดที่ดินชุมชน!$1:$6</definedName>
    <definedName name="_xlnm.Print_Titles" localSheetId="7">'จัดที่ดินเอกชน 7 กิจกรรม'!$A:$B,'จัดที่ดินเอกชน 7 กิจกรรม'!$1:$6</definedName>
    <definedName name="_xlnm.Print_Titles" localSheetId="6">จัดหาที่ดินเอกชน!$A:$B,จัดหาที่ดินเอกชน!$1:$6</definedName>
    <definedName name="_xlnm.Print_Titles" localSheetId="4">ตรวจสอบที่ดิน!$A:$B,ตรวจสอบที่ดิน!$1:$6</definedName>
    <definedName name="_xlnm.Print_Titles" localSheetId="0">พัฒนาธุรกิจชุมชน!$A:$B,พัฒนาธุรกิจชุมชน!$1:$6</definedName>
    <definedName name="_xlnm.Print_Titles" localSheetId="3">ยกระดับรายได้!$A:$B,ยกระดับรายได้!$1:$6</definedName>
    <definedName name="_xlnm.Print_Titles" localSheetId="2">วนเกษตร!$A:$B,วนเกษตร!$1:$6</definedName>
  </definedNames>
  <calcPr calcId="179021"/>
</workbook>
</file>

<file path=xl/calcChain.xml><?xml version="1.0" encoding="utf-8"?>
<calcChain xmlns="http://schemas.openxmlformats.org/spreadsheetml/2006/main">
  <c r="U73" i="9" l="1"/>
  <c r="T73" i="9"/>
  <c r="U72" i="9"/>
  <c r="T72" i="9"/>
  <c r="U71" i="9"/>
  <c r="T71" i="9"/>
  <c r="U70" i="9"/>
  <c r="T70" i="9"/>
  <c r="U68" i="9"/>
  <c r="T68" i="9"/>
  <c r="U67" i="9"/>
  <c r="T67" i="9"/>
  <c r="U66" i="9"/>
  <c r="T66" i="9"/>
  <c r="U65" i="9"/>
  <c r="T65" i="9"/>
  <c r="U64" i="9"/>
  <c r="T64" i="9"/>
  <c r="U63" i="9"/>
  <c r="T63" i="9"/>
  <c r="U62" i="9"/>
  <c r="T62" i="9"/>
  <c r="U61" i="9"/>
  <c r="T61" i="9"/>
  <c r="U60" i="9"/>
  <c r="T60" i="9"/>
  <c r="U59" i="9"/>
  <c r="T59" i="9"/>
  <c r="U58" i="9"/>
  <c r="T58" i="9"/>
  <c r="U57" i="9"/>
  <c r="T57" i="9"/>
  <c r="U56" i="9"/>
  <c r="T56" i="9"/>
  <c r="U55" i="9"/>
  <c r="T55" i="9"/>
  <c r="U54" i="9"/>
  <c r="T54" i="9"/>
  <c r="U53" i="9"/>
  <c r="T53" i="9"/>
  <c r="U88" i="9"/>
  <c r="T88" i="9"/>
  <c r="U87" i="9"/>
  <c r="T87" i="9"/>
  <c r="U86" i="9"/>
  <c r="T86" i="9"/>
  <c r="U85" i="9"/>
  <c r="T85" i="9"/>
  <c r="U84" i="9"/>
  <c r="T84" i="9"/>
  <c r="T83" i="9"/>
  <c r="U83" i="9"/>
  <c r="U82" i="9"/>
  <c r="T82" i="9"/>
  <c r="U81" i="9"/>
  <c r="T81" i="9"/>
  <c r="T79" i="9"/>
  <c r="U78" i="9"/>
  <c r="U80" i="9"/>
  <c r="T80" i="9"/>
  <c r="U79" i="9"/>
  <c r="T78" i="9"/>
  <c r="U77" i="9"/>
  <c r="T77" i="9"/>
  <c r="U76" i="9"/>
  <c r="T76" i="9"/>
  <c r="U75" i="9"/>
  <c r="T75" i="9"/>
  <c r="U50" i="9"/>
  <c r="T50" i="9"/>
  <c r="U49" i="9"/>
  <c r="T49" i="9"/>
  <c r="U47" i="9"/>
  <c r="T47" i="9"/>
  <c r="U44" i="9"/>
  <c r="T44" i="9"/>
  <c r="U30" i="9"/>
  <c r="T30" i="9"/>
  <c r="U41" i="9"/>
  <c r="T41" i="9"/>
  <c r="U40" i="9"/>
  <c r="T40" i="9"/>
  <c r="U39" i="9"/>
  <c r="T39" i="9"/>
  <c r="U38" i="9"/>
  <c r="T38" i="9"/>
  <c r="U35" i="9"/>
  <c r="T35" i="9"/>
  <c r="U34" i="9"/>
  <c r="T34" i="9"/>
  <c r="U33" i="9"/>
  <c r="T33" i="9"/>
  <c r="U32" i="9"/>
  <c r="T32" i="9"/>
  <c r="U28" i="9"/>
  <c r="T28" i="9"/>
  <c r="U27" i="9"/>
  <c r="T27" i="9"/>
  <c r="U25" i="9"/>
  <c r="T25" i="9"/>
  <c r="U24" i="9"/>
  <c r="T24" i="9"/>
  <c r="U20" i="9"/>
  <c r="T20" i="9"/>
  <c r="U17" i="9"/>
  <c r="T17" i="9"/>
  <c r="U15" i="9"/>
  <c r="T15" i="9"/>
  <c r="J38" i="7"/>
  <c r="M75" i="5"/>
  <c r="M39" i="5"/>
  <c r="M17" i="5"/>
  <c r="I24" i="5"/>
  <c r="J29" i="3"/>
  <c r="J18" i="3"/>
  <c r="I15" i="3"/>
  <c r="Z40" i="2"/>
  <c r="AB32" i="2"/>
  <c r="Z32" i="2"/>
  <c r="J29" i="2"/>
  <c r="K29" i="1"/>
  <c r="J29" i="1"/>
  <c r="J42" i="1"/>
  <c r="AF82" i="1"/>
  <c r="N116" i="9"/>
  <c r="H116" i="9"/>
  <c r="F116" i="9" s="1"/>
  <c r="G116" i="9"/>
  <c r="C116" i="9"/>
  <c r="N115" i="9"/>
  <c r="H115" i="9"/>
  <c r="F115" i="9" s="1"/>
  <c r="G115" i="9"/>
  <c r="C115" i="9"/>
  <c r="N114" i="9"/>
  <c r="H114" i="9"/>
  <c r="F114" i="9" s="1"/>
  <c r="G114" i="9"/>
  <c r="C114" i="9"/>
  <c r="N113" i="9"/>
  <c r="H113" i="9"/>
  <c r="G113" i="9"/>
  <c r="F113" i="9"/>
  <c r="C113" i="9"/>
  <c r="N112" i="9"/>
  <c r="H112" i="9"/>
  <c r="F112" i="9" s="1"/>
  <c r="G112" i="9"/>
  <c r="C112" i="9"/>
  <c r="N111" i="9"/>
  <c r="H111" i="9"/>
  <c r="F111" i="9" s="1"/>
  <c r="G111" i="9"/>
  <c r="C111" i="9"/>
  <c r="N110" i="9"/>
  <c r="H110" i="9"/>
  <c r="F110" i="9" s="1"/>
  <c r="G110" i="9"/>
  <c r="C110" i="9"/>
  <c r="N109" i="9"/>
  <c r="H109" i="9"/>
  <c r="G109" i="9"/>
  <c r="F109" i="9"/>
  <c r="C109" i="9"/>
  <c r="N108" i="9"/>
  <c r="H108" i="9"/>
  <c r="G108" i="9"/>
  <c r="C108" i="9"/>
  <c r="N107" i="9"/>
  <c r="H107" i="9"/>
  <c r="F107" i="9" s="1"/>
  <c r="G107" i="9"/>
  <c r="C107" i="9"/>
  <c r="N106" i="9"/>
  <c r="H106" i="9"/>
  <c r="G106" i="9"/>
  <c r="F106" i="9"/>
  <c r="C106" i="9"/>
  <c r="N105" i="9"/>
  <c r="H105" i="9"/>
  <c r="F105" i="9" s="1"/>
  <c r="G105" i="9"/>
  <c r="C105" i="9"/>
  <c r="C104" i="9" s="1"/>
  <c r="C11" i="9" s="1"/>
  <c r="N104" i="9"/>
  <c r="G104" i="9"/>
  <c r="N103" i="9"/>
  <c r="H103" i="9"/>
  <c r="G103" i="9"/>
  <c r="F103" i="9"/>
  <c r="C103" i="9"/>
  <c r="N102" i="9"/>
  <c r="H102" i="9"/>
  <c r="G102" i="9"/>
  <c r="F102" i="9"/>
  <c r="C102" i="9"/>
  <c r="N101" i="9"/>
  <c r="H101" i="9"/>
  <c r="F101" i="9" s="1"/>
  <c r="G101" i="9"/>
  <c r="C101" i="9"/>
  <c r="N100" i="9"/>
  <c r="H100" i="9"/>
  <c r="F100" i="9" s="1"/>
  <c r="G100" i="9"/>
  <c r="C100" i="9"/>
  <c r="N99" i="9"/>
  <c r="H99" i="9"/>
  <c r="F99" i="9" s="1"/>
  <c r="G99" i="9"/>
  <c r="C99" i="9"/>
  <c r="N98" i="9"/>
  <c r="H98" i="9"/>
  <c r="G98" i="9"/>
  <c r="F98" i="9"/>
  <c r="C98" i="9"/>
  <c r="N97" i="9"/>
  <c r="H97" i="9"/>
  <c r="G97" i="9"/>
  <c r="F97" i="9"/>
  <c r="C97" i="9"/>
  <c r="N96" i="9"/>
  <c r="H96" i="9"/>
  <c r="G96" i="9"/>
  <c r="F96" i="9"/>
  <c r="C96" i="9"/>
  <c r="N95" i="9"/>
  <c r="H95" i="9"/>
  <c r="F95" i="9" s="1"/>
  <c r="G95" i="9"/>
  <c r="C95" i="9"/>
  <c r="N94" i="9"/>
  <c r="H94" i="9"/>
  <c r="F94" i="9" s="1"/>
  <c r="G94" i="9"/>
  <c r="C94" i="9"/>
  <c r="N93" i="9"/>
  <c r="H93" i="9"/>
  <c r="F93" i="9" s="1"/>
  <c r="G93" i="9"/>
  <c r="C93" i="9"/>
  <c r="A93" i="9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N92" i="9"/>
  <c r="H92" i="9"/>
  <c r="F92" i="9" s="1"/>
  <c r="G92" i="9"/>
  <c r="C92" i="9"/>
  <c r="N91" i="9"/>
  <c r="H91" i="9"/>
  <c r="F91" i="9" s="1"/>
  <c r="G91" i="9"/>
  <c r="C91" i="9"/>
  <c r="N90" i="9"/>
  <c r="H90" i="9"/>
  <c r="G90" i="9"/>
  <c r="F90" i="9"/>
  <c r="C90" i="9"/>
  <c r="C89" i="9" s="1"/>
  <c r="C10" i="9" s="1"/>
  <c r="C9" i="9" s="1"/>
  <c r="N89" i="9"/>
  <c r="G89" i="9"/>
  <c r="S88" i="9"/>
  <c r="R88" i="9"/>
  <c r="O88" i="9"/>
  <c r="Q88" i="9" s="1"/>
  <c r="M88" i="9"/>
  <c r="L88" i="9"/>
  <c r="K88" i="9"/>
  <c r="J88" i="9"/>
  <c r="I88" i="9"/>
  <c r="E88" i="9"/>
  <c r="N88" i="9" s="1"/>
  <c r="D88" i="9"/>
  <c r="S87" i="9"/>
  <c r="R87" i="9"/>
  <c r="O87" i="9"/>
  <c r="Q87" i="9" s="1"/>
  <c r="M87" i="9"/>
  <c r="L87" i="9"/>
  <c r="K87" i="9"/>
  <c r="J87" i="9"/>
  <c r="I87" i="9"/>
  <c r="E87" i="9"/>
  <c r="N87" i="9" s="1"/>
  <c r="D87" i="9"/>
  <c r="S86" i="9"/>
  <c r="R86" i="9"/>
  <c r="O86" i="9"/>
  <c r="Q86" i="9" s="1"/>
  <c r="M86" i="9"/>
  <c r="L86" i="9"/>
  <c r="K86" i="9"/>
  <c r="J86" i="9"/>
  <c r="I86" i="9"/>
  <c r="E86" i="9"/>
  <c r="N86" i="9" s="1"/>
  <c r="D86" i="9"/>
  <c r="G86" i="9" s="1"/>
  <c r="S85" i="9"/>
  <c r="R85" i="9"/>
  <c r="O85" i="9"/>
  <c r="Q85" i="9" s="1"/>
  <c r="M85" i="9"/>
  <c r="L85" i="9"/>
  <c r="K85" i="9"/>
  <c r="J85" i="9"/>
  <c r="I85" i="9"/>
  <c r="E85" i="9"/>
  <c r="N85" i="9" s="1"/>
  <c r="D85" i="9"/>
  <c r="G85" i="9" s="1"/>
  <c r="S84" i="9"/>
  <c r="R84" i="9"/>
  <c r="O84" i="9"/>
  <c r="Q84" i="9" s="1"/>
  <c r="M84" i="9"/>
  <c r="L84" i="9"/>
  <c r="K84" i="9"/>
  <c r="J84" i="9"/>
  <c r="I84" i="9"/>
  <c r="E84" i="9"/>
  <c r="N84" i="9" s="1"/>
  <c r="D84" i="9"/>
  <c r="S83" i="9"/>
  <c r="R83" i="9"/>
  <c r="O83" i="9"/>
  <c r="Q83" i="9" s="1"/>
  <c r="M83" i="9"/>
  <c r="L83" i="9"/>
  <c r="K83" i="9"/>
  <c r="J83" i="9"/>
  <c r="I83" i="9"/>
  <c r="E83" i="9"/>
  <c r="N83" i="9" s="1"/>
  <c r="D83" i="9"/>
  <c r="S82" i="9"/>
  <c r="R82" i="9"/>
  <c r="O82" i="9"/>
  <c r="Q82" i="9" s="1"/>
  <c r="M82" i="9"/>
  <c r="L82" i="9"/>
  <c r="K82" i="9"/>
  <c r="J82" i="9"/>
  <c r="I82" i="9"/>
  <c r="E82" i="9"/>
  <c r="N82" i="9" s="1"/>
  <c r="D82" i="9"/>
  <c r="S81" i="9"/>
  <c r="R81" i="9"/>
  <c r="O81" i="9"/>
  <c r="Q81" i="9" s="1"/>
  <c r="M81" i="9"/>
  <c r="L81" i="9"/>
  <c r="K81" i="9"/>
  <c r="J81" i="9"/>
  <c r="I81" i="9"/>
  <c r="E81" i="9"/>
  <c r="N81" i="9" s="1"/>
  <c r="D81" i="9"/>
  <c r="S80" i="9"/>
  <c r="R80" i="9"/>
  <c r="O80" i="9"/>
  <c r="Q80" i="9" s="1"/>
  <c r="M80" i="9"/>
  <c r="L80" i="9"/>
  <c r="K80" i="9"/>
  <c r="J80" i="9"/>
  <c r="I80" i="9"/>
  <c r="E80" i="9"/>
  <c r="N80" i="9" s="1"/>
  <c r="D80" i="9"/>
  <c r="G80" i="9" s="1"/>
  <c r="S79" i="9"/>
  <c r="R79" i="9"/>
  <c r="O79" i="9"/>
  <c r="Q79" i="9" s="1"/>
  <c r="M79" i="9"/>
  <c r="L79" i="9"/>
  <c r="K79" i="9"/>
  <c r="J79" i="9"/>
  <c r="I79" i="9"/>
  <c r="E79" i="9"/>
  <c r="N79" i="9" s="1"/>
  <c r="D79" i="9"/>
  <c r="G79" i="9" s="1"/>
  <c r="S78" i="9"/>
  <c r="R78" i="9"/>
  <c r="O78" i="9"/>
  <c r="Q78" i="9" s="1"/>
  <c r="M78" i="9"/>
  <c r="L78" i="9"/>
  <c r="K78" i="9"/>
  <c r="J78" i="9"/>
  <c r="I78" i="9"/>
  <c r="E78" i="9"/>
  <c r="N78" i="9" s="1"/>
  <c r="D78" i="9"/>
  <c r="G78" i="9" s="1"/>
  <c r="S77" i="9"/>
  <c r="R77" i="9"/>
  <c r="O77" i="9"/>
  <c r="Q77" i="9" s="1"/>
  <c r="M77" i="9"/>
  <c r="L77" i="9"/>
  <c r="K77" i="9"/>
  <c r="J77" i="9"/>
  <c r="I77" i="9"/>
  <c r="E77" i="9"/>
  <c r="N77" i="9" s="1"/>
  <c r="D77" i="9"/>
  <c r="G77" i="9" s="1"/>
  <c r="S76" i="9"/>
  <c r="R76" i="9"/>
  <c r="O76" i="9"/>
  <c r="M76" i="9"/>
  <c r="L76" i="9"/>
  <c r="K76" i="9"/>
  <c r="J76" i="9"/>
  <c r="I76" i="9"/>
  <c r="E76" i="9"/>
  <c r="D76" i="9"/>
  <c r="G76" i="9" s="1"/>
  <c r="S75" i="9"/>
  <c r="R75" i="9"/>
  <c r="O75" i="9"/>
  <c r="Q75" i="9" s="1"/>
  <c r="M75" i="9"/>
  <c r="L75" i="9"/>
  <c r="K75" i="9"/>
  <c r="J75" i="9"/>
  <c r="I75" i="9"/>
  <c r="E75" i="9"/>
  <c r="N75" i="9" s="1"/>
  <c r="D75" i="9"/>
  <c r="S73" i="9"/>
  <c r="R73" i="9"/>
  <c r="O73" i="9"/>
  <c r="Q73" i="9" s="1"/>
  <c r="M73" i="9"/>
  <c r="L73" i="9"/>
  <c r="K73" i="9"/>
  <c r="J73" i="9"/>
  <c r="I73" i="9"/>
  <c r="E73" i="9"/>
  <c r="D73" i="9"/>
  <c r="G73" i="9" s="1"/>
  <c r="S72" i="9"/>
  <c r="R72" i="9"/>
  <c r="O72" i="9"/>
  <c r="Q72" i="9" s="1"/>
  <c r="M72" i="9"/>
  <c r="L72" i="9"/>
  <c r="K72" i="9"/>
  <c r="J72" i="9"/>
  <c r="I72" i="9"/>
  <c r="E72" i="9"/>
  <c r="N72" i="9" s="1"/>
  <c r="D72" i="9"/>
  <c r="G72" i="9" s="1"/>
  <c r="S71" i="9"/>
  <c r="R71" i="9"/>
  <c r="O71" i="9"/>
  <c r="Q71" i="9" s="1"/>
  <c r="M71" i="9"/>
  <c r="L71" i="9"/>
  <c r="K71" i="9"/>
  <c r="J71" i="9"/>
  <c r="I71" i="9"/>
  <c r="E71" i="9"/>
  <c r="D71" i="9"/>
  <c r="G71" i="9" s="1"/>
  <c r="S70" i="9"/>
  <c r="R70" i="9"/>
  <c r="O70" i="9"/>
  <c r="Q70" i="9" s="1"/>
  <c r="M70" i="9"/>
  <c r="L70" i="9"/>
  <c r="K70" i="9"/>
  <c r="J70" i="9"/>
  <c r="I70" i="9"/>
  <c r="E70" i="9"/>
  <c r="D70" i="9"/>
  <c r="G70" i="9" s="1"/>
  <c r="U69" i="9"/>
  <c r="T69" i="9"/>
  <c r="S69" i="9"/>
  <c r="R69" i="9"/>
  <c r="O69" i="9"/>
  <c r="M69" i="9"/>
  <c r="L69" i="9"/>
  <c r="K69" i="9"/>
  <c r="J69" i="9"/>
  <c r="I69" i="9"/>
  <c r="E69" i="9"/>
  <c r="N69" i="9" s="1"/>
  <c r="D69" i="9"/>
  <c r="S68" i="9"/>
  <c r="R68" i="9"/>
  <c r="O68" i="9"/>
  <c r="Q68" i="9" s="1"/>
  <c r="M68" i="9"/>
  <c r="L68" i="9"/>
  <c r="K68" i="9"/>
  <c r="J68" i="9"/>
  <c r="I68" i="9"/>
  <c r="E68" i="9"/>
  <c r="D68" i="9"/>
  <c r="G68" i="9" s="1"/>
  <c r="S67" i="9"/>
  <c r="R67" i="9"/>
  <c r="O67" i="9"/>
  <c r="Q67" i="9" s="1"/>
  <c r="M67" i="9"/>
  <c r="L67" i="9"/>
  <c r="K67" i="9"/>
  <c r="J67" i="9"/>
  <c r="I67" i="9"/>
  <c r="E67" i="9"/>
  <c r="N67" i="9" s="1"/>
  <c r="D67" i="9"/>
  <c r="S66" i="9"/>
  <c r="R66" i="9"/>
  <c r="O66" i="9"/>
  <c r="Q66" i="9" s="1"/>
  <c r="M66" i="9"/>
  <c r="L66" i="9"/>
  <c r="K66" i="9"/>
  <c r="J66" i="9"/>
  <c r="I66" i="9"/>
  <c r="E66" i="9"/>
  <c r="N66" i="9" s="1"/>
  <c r="D66" i="9"/>
  <c r="G66" i="9" s="1"/>
  <c r="S65" i="9"/>
  <c r="R65" i="9"/>
  <c r="O65" i="9"/>
  <c r="Q65" i="9" s="1"/>
  <c r="M65" i="9"/>
  <c r="L65" i="9"/>
  <c r="K65" i="9"/>
  <c r="J65" i="9"/>
  <c r="I65" i="9"/>
  <c r="E65" i="9"/>
  <c r="N65" i="9" s="1"/>
  <c r="D65" i="9"/>
  <c r="S64" i="9"/>
  <c r="R64" i="9"/>
  <c r="O64" i="9"/>
  <c r="Q64" i="9" s="1"/>
  <c r="M64" i="9"/>
  <c r="L64" i="9"/>
  <c r="K64" i="9"/>
  <c r="J64" i="9"/>
  <c r="I64" i="9"/>
  <c r="E64" i="9"/>
  <c r="N64" i="9" s="1"/>
  <c r="D64" i="9"/>
  <c r="S63" i="9"/>
  <c r="R63" i="9"/>
  <c r="O63" i="9"/>
  <c r="Q63" i="9" s="1"/>
  <c r="M63" i="9"/>
  <c r="L63" i="9"/>
  <c r="K63" i="9"/>
  <c r="J63" i="9"/>
  <c r="I63" i="9"/>
  <c r="E63" i="9"/>
  <c r="N63" i="9" s="1"/>
  <c r="D63" i="9"/>
  <c r="S62" i="9"/>
  <c r="R62" i="9"/>
  <c r="O62" i="9"/>
  <c r="Q62" i="9" s="1"/>
  <c r="M62" i="9"/>
  <c r="L62" i="9"/>
  <c r="K62" i="9"/>
  <c r="J62" i="9"/>
  <c r="I62" i="9"/>
  <c r="E62" i="9"/>
  <c r="D62" i="9"/>
  <c r="G62" i="9" s="1"/>
  <c r="S61" i="9"/>
  <c r="R61" i="9"/>
  <c r="O61" i="9"/>
  <c r="Q61" i="9" s="1"/>
  <c r="M61" i="9"/>
  <c r="L61" i="9"/>
  <c r="K61" i="9"/>
  <c r="J61" i="9"/>
  <c r="I61" i="9"/>
  <c r="E61" i="9"/>
  <c r="N61" i="9" s="1"/>
  <c r="D61" i="9"/>
  <c r="S60" i="9"/>
  <c r="R60" i="9"/>
  <c r="O60" i="9"/>
  <c r="Q60" i="9" s="1"/>
  <c r="M60" i="9"/>
  <c r="L60" i="9"/>
  <c r="K60" i="9"/>
  <c r="J60" i="9"/>
  <c r="I60" i="9"/>
  <c r="E60" i="9"/>
  <c r="N60" i="9" s="1"/>
  <c r="D60" i="9"/>
  <c r="S59" i="9"/>
  <c r="R59" i="9"/>
  <c r="O59" i="9"/>
  <c r="Q59" i="9" s="1"/>
  <c r="M59" i="9"/>
  <c r="L59" i="9"/>
  <c r="K59" i="9"/>
  <c r="J59" i="9"/>
  <c r="I59" i="9"/>
  <c r="E59" i="9"/>
  <c r="N59" i="9" s="1"/>
  <c r="D59" i="9"/>
  <c r="G59" i="9" s="1"/>
  <c r="S58" i="9"/>
  <c r="R58" i="9"/>
  <c r="O58" i="9"/>
  <c r="Q58" i="9" s="1"/>
  <c r="M58" i="9"/>
  <c r="L58" i="9"/>
  <c r="K58" i="9"/>
  <c r="J58" i="9"/>
  <c r="I58" i="9"/>
  <c r="E58" i="9"/>
  <c r="N58" i="9" s="1"/>
  <c r="D58" i="9"/>
  <c r="G58" i="9" s="1"/>
  <c r="S57" i="9"/>
  <c r="R57" i="9"/>
  <c r="O57" i="9"/>
  <c r="Q57" i="9" s="1"/>
  <c r="M57" i="9"/>
  <c r="L57" i="9"/>
  <c r="K57" i="9"/>
  <c r="J57" i="9"/>
  <c r="I57" i="9"/>
  <c r="E57" i="9"/>
  <c r="N57" i="9" s="1"/>
  <c r="D57" i="9"/>
  <c r="S56" i="9"/>
  <c r="R56" i="9"/>
  <c r="O56" i="9"/>
  <c r="Q56" i="9" s="1"/>
  <c r="M56" i="9"/>
  <c r="L56" i="9"/>
  <c r="K56" i="9"/>
  <c r="J56" i="9"/>
  <c r="I56" i="9"/>
  <c r="E56" i="9"/>
  <c r="N56" i="9" s="1"/>
  <c r="D56" i="9"/>
  <c r="S55" i="9"/>
  <c r="R55" i="9"/>
  <c r="O55" i="9"/>
  <c r="Q55" i="9" s="1"/>
  <c r="M55" i="9"/>
  <c r="L55" i="9"/>
  <c r="K55" i="9"/>
  <c r="J55" i="9"/>
  <c r="I55" i="9"/>
  <c r="E55" i="9"/>
  <c r="D55" i="9"/>
  <c r="G55" i="9" s="1"/>
  <c r="S54" i="9"/>
  <c r="R54" i="9"/>
  <c r="O54" i="9"/>
  <c r="Q54" i="9" s="1"/>
  <c r="M54" i="9"/>
  <c r="L54" i="9"/>
  <c r="K54" i="9"/>
  <c r="J54" i="9"/>
  <c r="I54" i="9"/>
  <c r="E54" i="9"/>
  <c r="N54" i="9" s="1"/>
  <c r="D54" i="9"/>
  <c r="G54" i="9" s="1"/>
  <c r="S53" i="9"/>
  <c r="R53" i="9"/>
  <c r="O53" i="9"/>
  <c r="M53" i="9"/>
  <c r="L53" i="9"/>
  <c r="K53" i="9"/>
  <c r="J53" i="9"/>
  <c r="I53" i="9"/>
  <c r="E53" i="9"/>
  <c r="N53" i="9" s="1"/>
  <c r="D53" i="9"/>
  <c r="U51" i="9"/>
  <c r="T51" i="9"/>
  <c r="S51" i="9"/>
  <c r="R51" i="9"/>
  <c r="O51" i="9"/>
  <c r="M51" i="9"/>
  <c r="L51" i="9"/>
  <c r="K51" i="9"/>
  <c r="J51" i="9"/>
  <c r="I51" i="9"/>
  <c r="E51" i="9"/>
  <c r="N51" i="9" s="1"/>
  <c r="D51" i="9"/>
  <c r="S50" i="9"/>
  <c r="R50" i="9"/>
  <c r="O50" i="9"/>
  <c r="Q50" i="9" s="1"/>
  <c r="M50" i="9"/>
  <c r="L50" i="9"/>
  <c r="K50" i="9"/>
  <c r="J50" i="9"/>
  <c r="I50" i="9"/>
  <c r="E50" i="9"/>
  <c r="N50" i="9" s="1"/>
  <c r="D50" i="9"/>
  <c r="S49" i="9"/>
  <c r="R49" i="9"/>
  <c r="O49" i="9"/>
  <c r="Q49" i="9" s="1"/>
  <c r="M49" i="9"/>
  <c r="L49" i="9"/>
  <c r="K49" i="9"/>
  <c r="J49" i="9"/>
  <c r="I49" i="9"/>
  <c r="E49" i="9"/>
  <c r="D49" i="9"/>
  <c r="G49" i="9" s="1"/>
  <c r="U48" i="9"/>
  <c r="T48" i="9"/>
  <c r="S48" i="9"/>
  <c r="R48" i="9"/>
  <c r="O48" i="9"/>
  <c r="M48" i="9"/>
  <c r="L48" i="9"/>
  <c r="K48" i="9"/>
  <c r="J48" i="9"/>
  <c r="I48" i="9"/>
  <c r="E48" i="9"/>
  <c r="N48" i="9" s="1"/>
  <c r="D48" i="9"/>
  <c r="S47" i="9"/>
  <c r="R47" i="9"/>
  <c r="O47" i="9"/>
  <c r="Q47" i="9" s="1"/>
  <c r="M47" i="9"/>
  <c r="L47" i="9"/>
  <c r="K47" i="9"/>
  <c r="J47" i="9"/>
  <c r="I47" i="9"/>
  <c r="E47" i="9"/>
  <c r="N47" i="9" s="1"/>
  <c r="D47" i="9"/>
  <c r="U46" i="9"/>
  <c r="T46" i="9"/>
  <c r="S46" i="9"/>
  <c r="R46" i="9"/>
  <c r="O46" i="9"/>
  <c r="M46" i="9"/>
  <c r="L46" i="9"/>
  <c r="K46" i="9"/>
  <c r="J46" i="9"/>
  <c r="I46" i="9"/>
  <c r="E46" i="9"/>
  <c r="N46" i="9" s="1"/>
  <c r="D46" i="9"/>
  <c r="U45" i="9"/>
  <c r="T45" i="9"/>
  <c r="S45" i="9"/>
  <c r="R45" i="9"/>
  <c r="O45" i="9"/>
  <c r="M45" i="9"/>
  <c r="L45" i="9"/>
  <c r="K45" i="9"/>
  <c r="J45" i="9"/>
  <c r="I45" i="9"/>
  <c r="E45" i="9"/>
  <c r="D45" i="9"/>
  <c r="S44" i="9"/>
  <c r="R44" i="9"/>
  <c r="O44" i="9"/>
  <c r="Q44" i="9" s="1"/>
  <c r="M44" i="9"/>
  <c r="L44" i="9"/>
  <c r="K44" i="9"/>
  <c r="J44" i="9"/>
  <c r="I44" i="9"/>
  <c r="E44" i="9"/>
  <c r="N44" i="9" s="1"/>
  <c r="D44" i="9"/>
  <c r="G44" i="9" s="1"/>
  <c r="U43" i="9"/>
  <c r="T43" i="9"/>
  <c r="S43" i="9"/>
  <c r="R43" i="9"/>
  <c r="O43" i="9"/>
  <c r="M43" i="9"/>
  <c r="L43" i="9"/>
  <c r="K43" i="9"/>
  <c r="J43" i="9"/>
  <c r="I43" i="9"/>
  <c r="E43" i="9"/>
  <c r="N43" i="9" s="1"/>
  <c r="D43" i="9"/>
  <c r="U42" i="9"/>
  <c r="T42" i="9"/>
  <c r="S42" i="9"/>
  <c r="R42" i="9"/>
  <c r="O42" i="9"/>
  <c r="M42" i="9"/>
  <c r="L42" i="9"/>
  <c r="K42" i="9"/>
  <c r="J42" i="9"/>
  <c r="I42" i="9"/>
  <c r="E42" i="9"/>
  <c r="N42" i="9" s="1"/>
  <c r="D42" i="9"/>
  <c r="S41" i="9"/>
  <c r="R41" i="9"/>
  <c r="O41" i="9"/>
  <c r="Q41" i="9" s="1"/>
  <c r="M41" i="9"/>
  <c r="L41" i="9"/>
  <c r="K41" i="9"/>
  <c r="J41" i="9"/>
  <c r="I41" i="9"/>
  <c r="E41" i="9"/>
  <c r="N41" i="9" s="1"/>
  <c r="D41" i="9"/>
  <c r="S40" i="9"/>
  <c r="R40" i="9"/>
  <c r="O40" i="9"/>
  <c r="Q40" i="9" s="1"/>
  <c r="M40" i="9"/>
  <c r="L40" i="9"/>
  <c r="K40" i="9"/>
  <c r="J40" i="9"/>
  <c r="I40" i="9"/>
  <c r="E40" i="9"/>
  <c r="D40" i="9"/>
  <c r="G40" i="9" s="1"/>
  <c r="S39" i="9"/>
  <c r="R39" i="9"/>
  <c r="O39" i="9"/>
  <c r="Q39" i="9" s="1"/>
  <c r="M39" i="9"/>
  <c r="L39" i="9"/>
  <c r="K39" i="9"/>
  <c r="J39" i="9"/>
  <c r="I39" i="9"/>
  <c r="E39" i="9"/>
  <c r="N39" i="9" s="1"/>
  <c r="D39" i="9"/>
  <c r="G39" i="9" s="1"/>
  <c r="S38" i="9"/>
  <c r="R38" i="9"/>
  <c r="O38" i="9"/>
  <c r="Q38" i="9" s="1"/>
  <c r="M38" i="9"/>
  <c r="L38" i="9"/>
  <c r="K38" i="9"/>
  <c r="J38" i="9"/>
  <c r="I38" i="9"/>
  <c r="E38" i="9"/>
  <c r="N38" i="9" s="1"/>
  <c r="D38" i="9"/>
  <c r="G38" i="9" s="1"/>
  <c r="U37" i="9"/>
  <c r="T37" i="9"/>
  <c r="S37" i="9"/>
  <c r="R37" i="9"/>
  <c r="O37" i="9"/>
  <c r="M37" i="9"/>
  <c r="L37" i="9"/>
  <c r="K37" i="9"/>
  <c r="J37" i="9"/>
  <c r="I37" i="9"/>
  <c r="E37" i="9"/>
  <c r="N37" i="9" s="1"/>
  <c r="D37" i="9"/>
  <c r="U36" i="9"/>
  <c r="T36" i="9"/>
  <c r="S36" i="9"/>
  <c r="R36" i="9"/>
  <c r="O36" i="9"/>
  <c r="M36" i="9"/>
  <c r="L36" i="9"/>
  <c r="K36" i="9"/>
  <c r="J36" i="9"/>
  <c r="I36" i="9"/>
  <c r="E36" i="9"/>
  <c r="N36" i="9" s="1"/>
  <c r="D36" i="9"/>
  <c r="S35" i="9"/>
  <c r="R35" i="9"/>
  <c r="O35" i="9"/>
  <c r="Q35" i="9" s="1"/>
  <c r="M35" i="9"/>
  <c r="L35" i="9"/>
  <c r="K35" i="9"/>
  <c r="J35" i="9"/>
  <c r="I35" i="9"/>
  <c r="E35" i="9"/>
  <c r="N35" i="9" s="1"/>
  <c r="D35" i="9"/>
  <c r="S34" i="9"/>
  <c r="R34" i="9"/>
  <c r="O34" i="9"/>
  <c r="Q34" i="9" s="1"/>
  <c r="M34" i="9"/>
  <c r="L34" i="9"/>
  <c r="K34" i="9"/>
  <c r="J34" i="9"/>
  <c r="I34" i="9"/>
  <c r="E34" i="9"/>
  <c r="N34" i="9" s="1"/>
  <c r="D34" i="9"/>
  <c r="S33" i="9"/>
  <c r="R33" i="9"/>
  <c r="O33" i="9"/>
  <c r="Q33" i="9" s="1"/>
  <c r="M33" i="9"/>
  <c r="L33" i="9"/>
  <c r="K33" i="9"/>
  <c r="J33" i="9"/>
  <c r="I33" i="9"/>
  <c r="E33" i="9"/>
  <c r="N33" i="9" s="1"/>
  <c r="D33" i="9"/>
  <c r="S32" i="9"/>
  <c r="R32" i="9"/>
  <c r="O32" i="9"/>
  <c r="Q32" i="9" s="1"/>
  <c r="M32" i="9"/>
  <c r="L32" i="9"/>
  <c r="K32" i="9"/>
  <c r="J32" i="9"/>
  <c r="I32" i="9"/>
  <c r="E32" i="9"/>
  <c r="N32" i="9" s="1"/>
  <c r="D32" i="9"/>
  <c r="S30" i="9"/>
  <c r="R30" i="9"/>
  <c r="O30" i="9"/>
  <c r="Q30" i="9" s="1"/>
  <c r="M30" i="9"/>
  <c r="L30" i="9"/>
  <c r="K30" i="9"/>
  <c r="J30" i="9"/>
  <c r="I30" i="9"/>
  <c r="E30" i="9"/>
  <c r="D30" i="9"/>
  <c r="G30" i="9" s="1"/>
  <c r="U29" i="9"/>
  <c r="T29" i="9"/>
  <c r="S29" i="9"/>
  <c r="R29" i="9"/>
  <c r="O29" i="9"/>
  <c r="M29" i="9"/>
  <c r="L29" i="9"/>
  <c r="K29" i="9"/>
  <c r="J29" i="9"/>
  <c r="I29" i="9"/>
  <c r="E29" i="9"/>
  <c r="N29" i="9" s="1"/>
  <c r="D29" i="9"/>
  <c r="S28" i="9"/>
  <c r="R28" i="9"/>
  <c r="O28" i="9"/>
  <c r="Q28" i="9" s="1"/>
  <c r="M28" i="9"/>
  <c r="L28" i="9"/>
  <c r="K28" i="9"/>
  <c r="J28" i="9"/>
  <c r="I28" i="9"/>
  <c r="E28" i="9"/>
  <c r="D28" i="9"/>
  <c r="G28" i="9" s="1"/>
  <c r="S27" i="9"/>
  <c r="R27" i="9"/>
  <c r="O27" i="9"/>
  <c r="Q27" i="9" s="1"/>
  <c r="M27" i="9"/>
  <c r="L27" i="9"/>
  <c r="K27" i="9"/>
  <c r="J27" i="9"/>
  <c r="I27" i="9"/>
  <c r="E27" i="9"/>
  <c r="N27" i="9" s="1"/>
  <c r="D27" i="9"/>
  <c r="G27" i="9" s="1"/>
  <c r="U26" i="9"/>
  <c r="T26" i="9"/>
  <c r="S26" i="9"/>
  <c r="R26" i="9"/>
  <c r="O26" i="9"/>
  <c r="M26" i="9"/>
  <c r="L26" i="9"/>
  <c r="K26" i="9"/>
  <c r="J26" i="9"/>
  <c r="I26" i="9"/>
  <c r="E26" i="9"/>
  <c r="N26" i="9" s="1"/>
  <c r="D26" i="9"/>
  <c r="S25" i="9"/>
  <c r="R25" i="9"/>
  <c r="O25" i="9"/>
  <c r="Q25" i="9" s="1"/>
  <c r="M25" i="9"/>
  <c r="L25" i="9"/>
  <c r="K25" i="9"/>
  <c r="J25" i="9"/>
  <c r="I25" i="9"/>
  <c r="E25" i="9"/>
  <c r="N25" i="9" s="1"/>
  <c r="D25" i="9"/>
  <c r="G25" i="9" s="1"/>
  <c r="S24" i="9"/>
  <c r="R24" i="9"/>
  <c r="O24" i="9"/>
  <c r="Q24" i="9" s="1"/>
  <c r="M24" i="9"/>
  <c r="L24" i="9"/>
  <c r="K24" i="9"/>
  <c r="J24" i="9"/>
  <c r="I24" i="9"/>
  <c r="E24" i="9"/>
  <c r="N24" i="9" s="1"/>
  <c r="D24" i="9"/>
  <c r="U23" i="9"/>
  <c r="T23" i="9"/>
  <c r="S23" i="9"/>
  <c r="R23" i="9"/>
  <c r="O23" i="9"/>
  <c r="M23" i="9"/>
  <c r="L23" i="9"/>
  <c r="K23" i="9"/>
  <c r="J23" i="9"/>
  <c r="I23" i="9"/>
  <c r="E23" i="9"/>
  <c r="N23" i="9" s="1"/>
  <c r="D23" i="9"/>
  <c r="U22" i="9"/>
  <c r="T22" i="9"/>
  <c r="S22" i="9"/>
  <c r="R22" i="9"/>
  <c r="O22" i="9"/>
  <c r="M22" i="9"/>
  <c r="L22" i="9"/>
  <c r="K22" i="9"/>
  <c r="J22" i="9"/>
  <c r="I22" i="9"/>
  <c r="E22" i="9"/>
  <c r="N22" i="9" s="1"/>
  <c r="D22" i="9"/>
  <c r="U21" i="9"/>
  <c r="T21" i="9"/>
  <c r="S21" i="9"/>
  <c r="R21" i="9"/>
  <c r="O21" i="9"/>
  <c r="M21" i="9"/>
  <c r="L21" i="9"/>
  <c r="K21" i="9"/>
  <c r="J21" i="9"/>
  <c r="I21" i="9"/>
  <c r="E21" i="9"/>
  <c r="N21" i="9" s="1"/>
  <c r="D21" i="9"/>
  <c r="S20" i="9"/>
  <c r="R20" i="9"/>
  <c r="O20" i="9"/>
  <c r="Q20" i="9" s="1"/>
  <c r="M20" i="9"/>
  <c r="L20" i="9"/>
  <c r="K20" i="9"/>
  <c r="J20" i="9"/>
  <c r="I20" i="9"/>
  <c r="E20" i="9"/>
  <c r="N20" i="9" s="1"/>
  <c r="D20" i="9"/>
  <c r="G20" i="9" s="1"/>
  <c r="U19" i="9"/>
  <c r="T19" i="9"/>
  <c r="S19" i="9"/>
  <c r="R19" i="9"/>
  <c r="O19" i="9"/>
  <c r="Q19" i="9" s="1"/>
  <c r="M19" i="9"/>
  <c r="L19" i="9"/>
  <c r="K19" i="9"/>
  <c r="J19" i="9"/>
  <c r="I19" i="9"/>
  <c r="E19" i="9"/>
  <c r="N19" i="9" s="1"/>
  <c r="D19" i="9"/>
  <c r="U18" i="9"/>
  <c r="T18" i="9"/>
  <c r="S18" i="9"/>
  <c r="R18" i="9"/>
  <c r="O18" i="9"/>
  <c r="M18" i="9"/>
  <c r="L18" i="9"/>
  <c r="K18" i="9"/>
  <c r="J18" i="9"/>
  <c r="I18" i="9"/>
  <c r="E18" i="9"/>
  <c r="N18" i="9" s="1"/>
  <c r="D18" i="9"/>
  <c r="G18" i="9" s="1"/>
  <c r="S17" i="9"/>
  <c r="R17" i="9"/>
  <c r="O17" i="9"/>
  <c r="Q17" i="9" s="1"/>
  <c r="M17" i="9"/>
  <c r="L17" i="9"/>
  <c r="K17" i="9"/>
  <c r="J17" i="9"/>
  <c r="I17" i="9"/>
  <c r="E17" i="9"/>
  <c r="N17" i="9" s="1"/>
  <c r="D17" i="9"/>
  <c r="U16" i="9"/>
  <c r="T16" i="9"/>
  <c r="S16" i="9"/>
  <c r="R16" i="9"/>
  <c r="O16" i="9"/>
  <c r="M16" i="9"/>
  <c r="L16" i="9"/>
  <c r="K16" i="9"/>
  <c r="J16" i="9"/>
  <c r="I16" i="9"/>
  <c r="E16" i="9"/>
  <c r="D16" i="9"/>
  <c r="S15" i="9"/>
  <c r="R15" i="9"/>
  <c r="O15" i="9"/>
  <c r="Q15" i="9" s="1"/>
  <c r="M15" i="9"/>
  <c r="L15" i="9"/>
  <c r="K15" i="9"/>
  <c r="J15" i="9"/>
  <c r="I15" i="9"/>
  <c r="E15" i="9"/>
  <c r="N15" i="9" s="1"/>
  <c r="D15" i="9"/>
  <c r="G15" i="9" s="1"/>
  <c r="U14" i="9"/>
  <c r="T14" i="9"/>
  <c r="S14" i="9"/>
  <c r="R14" i="9"/>
  <c r="O14" i="9"/>
  <c r="M14" i="9"/>
  <c r="L14" i="9"/>
  <c r="K14" i="9"/>
  <c r="J14" i="9"/>
  <c r="I14" i="9"/>
  <c r="E14" i="9"/>
  <c r="N14" i="9" s="1"/>
  <c r="D14" i="9"/>
  <c r="Q12" i="9"/>
  <c r="G12" i="9"/>
  <c r="F12" i="9"/>
  <c r="N11" i="9"/>
  <c r="G11" i="9"/>
  <c r="F11" i="9"/>
  <c r="N10" i="9"/>
  <c r="G10" i="9"/>
  <c r="F10" i="9"/>
  <c r="N9" i="9"/>
  <c r="G9" i="9"/>
  <c r="F9" i="9"/>
  <c r="N116" i="8"/>
  <c r="H116" i="8"/>
  <c r="F116" i="8" s="1"/>
  <c r="G116" i="8"/>
  <c r="C116" i="8"/>
  <c r="N115" i="8"/>
  <c r="H115" i="8"/>
  <c r="F115" i="8" s="1"/>
  <c r="G115" i="8"/>
  <c r="C115" i="8"/>
  <c r="N114" i="8"/>
  <c r="H114" i="8"/>
  <c r="G114" i="8"/>
  <c r="F114" i="8"/>
  <c r="C114" i="8"/>
  <c r="N113" i="8"/>
  <c r="H113" i="8"/>
  <c r="F113" i="8" s="1"/>
  <c r="G113" i="8"/>
  <c r="C113" i="8"/>
  <c r="N112" i="8"/>
  <c r="H112" i="8"/>
  <c r="F112" i="8" s="1"/>
  <c r="G112" i="8"/>
  <c r="C112" i="8"/>
  <c r="N111" i="8"/>
  <c r="H111" i="8"/>
  <c r="G111" i="8"/>
  <c r="F111" i="8"/>
  <c r="C111" i="8"/>
  <c r="N110" i="8"/>
  <c r="H110" i="8"/>
  <c r="F110" i="8" s="1"/>
  <c r="G110" i="8"/>
  <c r="C110" i="8"/>
  <c r="N109" i="8"/>
  <c r="H109" i="8"/>
  <c r="F109" i="8" s="1"/>
  <c r="G109" i="8"/>
  <c r="C109" i="8"/>
  <c r="N108" i="8"/>
  <c r="H108" i="8"/>
  <c r="G108" i="8"/>
  <c r="F108" i="8"/>
  <c r="C108" i="8"/>
  <c r="N107" i="8"/>
  <c r="H107" i="8"/>
  <c r="F107" i="8" s="1"/>
  <c r="G107" i="8"/>
  <c r="C107" i="8"/>
  <c r="N106" i="8"/>
  <c r="H106" i="8"/>
  <c r="F106" i="8" s="1"/>
  <c r="G106" i="8"/>
  <c r="C106" i="8"/>
  <c r="N105" i="8"/>
  <c r="H105" i="8"/>
  <c r="F105" i="8" s="1"/>
  <c r="G105" i="8"/>
  <c r="C105" i="8"/>
  <c r="N104" i="8"/>
  <c r="H104" i="8"/>
  <c r="F104" i="8" s="1"/>
  <c r="G104" i="8"/>
  <c r="N103" i="8"/>
  <c r="H103" i="8"/>
  <c r="F103" i="8" s="1"/>
  <c r="G103" i="8"/>
  <c r="C103" i="8"/>
  <c r="N102" i="8"/>
  <c r="H102" i="8"/>
  <c r="F102" i="8" s="1"/>
  <c r="G102" i="8"/>
  <c r="C102" i="8"/>
  <c r="N101" i="8"/>
  <c r="H101" i="8"/>
  <c r="F101" i="8" s="1"/>
  <c r="G101" i="8"/>
  <c r="C101" i="8"/>
  <c r="N100" i="8"/>
  <c r="H100" i="8"/>
  <c r="F100" i="8" s="1"/>
  <c r="G100" i="8"/>
  <c r="C100" i="8"/>
  <c r="N99" i="8"/>
  <c r="H99" i="8"/>
  <c r="F99" i="8" s="1"/>
  <c r="G99" i="8"/>
  <c r="C99" i="8"/>
  <c r="N98" i="8"/>
  <c r="H98" i="8"/>
  <c r="F98" i="8" s="1"/>
  <c r="G98" i="8"/>
  <c r="C98" i="8"/>
  <c r="N97" i="8"/>
  <c r="H97" i="8"/>
  <c r="F97" i="8" s="1"/>
  <c r="G97" i="8"/>
  <c r="C97" i="8"/>
  <c r="N96" i="8"/>
  <c r="H96" i="8"/>
  <c r="F96" i="8" s="1"/>
  <c r="G96" i="8"/>
  <c r="C96" i="8"/>
  <c r="N95" i="8"/>
  <c r="H95" i="8"/>
  <c r="F95" i="8" s="1"/>
  <c r="G95" i="8"/>
  <c r="C95" i="8"/>
  <c r="N94" i="8"/>
  <c r="H94" i="8"/>
  <c r="F94" i="8" s="1"/>
  <c r="G94" i="8"/>
  <c r="C94" i="8"/>
  <c r="C89" i="8" s="1"/>
  <c r="C10" i="8" s="1"/>
  <c r="N93" i="8"/>
  <c r="H93" i="8"/>
  <c r="F93" i="8" s="1"/>
  <c r="G93" i="8"/>
  <c r="C93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N92" i="8"/>
  <c r="H92" i="8"/>
  <c r="F92" i="8" s="1"/>
  <c r="G92" i="8"/>
  <c r="C92" i="8"/>
  <c r="N91" i="8"/>
  <c r="H91" i="8"/>
  <c r="F91" i="8" s="1"/>
  <c r="G91" i="8"/>
  <c r="C91" i="8"/>
  <c r="N90" i="8"/>
  <c r="H90" i="8"/>
  <c r="G90" i="8"/>
  <c r="F90" i="8"/>
  <c r="C90" i="8"/>
  <c r="N89" i="8"/>
  <c r="G89" i="8"/>
  <c r="BR88" i="8"/>
  <c r="BQ88" i="8"/>
  <c r="BP88" i="8"/>
  <c r="BO88" i="8"/>
  <c r="BN88" i="8"/>
  <c r="BM88" i="8"/>
  <c r="BK88" i="8"/>
  <c r="BJ88" i="8"/>
  <c r="BL88" i="8" s="1"/>
  <c r="BI88" i="8"/>
  <c r="BH88" i="8"/>
  <c r="BG88" i="8"/>
  <c r="BF88" i="8"/>
  <c r="BE88" i="8"/>
  <c r="BD88" i="8"/>
  <c r="BC88" i="8"/>
  <c r="BB88" i="8"/>
  <c r="BA88" i="8"/>
  <c r="AZ88" i="8"/>
  <c r="AX88" i="8"/>
  <c r="AV88" i="8"/>
  <c r="AU88" i="8"/>
  <c r="AY88" i="8" s="1"/>
  <c r="AT88" i="8"/>
  <c r="AW88" i="8" s="1"/>
  <c r="AR88" i="8"/>
  <c r="AQ88" i="8"/>
  <c r="AP88" i="8"/>
  <c r="AO88" i="8"/>
  <c r="AS88" i="8" s="1"/>
  <c r="AN88" i="8"/>
  <c r="AM88" i="8"/>
  <c r="AL88" i="8"/>
  <c r="AK88" i="8"/>
  <c r="AJ88" i="8"/>
  <c r="AI88" i="8"/>
  <c r="AH88" i="8"/>
  <c r="AG88" i="8"/>
  <c r="AE88" i="8"/>
  <c r="AD88" i="8"/>
  <c r="AF88" i="8" s="1"/>
  <c r="AC88" i="8"/>
  <c r="AB88" i="8"/>
  <c r="AA88" i="8"/>
  <c r="Z88" i="8"/>
  <c r="Y88" i="8"/>
  <c r="X88" i="8"/>
  <c r="V88" i="8"/>
  <c r="U88" i="8"/>
  <c r="W88" i="8" s="1"/>
  <c r="S88" i="8"/>
  <c r="R88" i="8"/>
  <c r="T88" i="8" s="1"/>
  <c r="P88" i="8"/>
  <c r="O88" i="8"/>
  <c r="Q88" i="8" s="1"/>
  <c r="M88" i="8"/>
  <c r="L88" i="8"/>
  <c r="K88" i="8"/>
  <c r="J88" i="8"/>
  <c r="I88" i="8"/>
  <c r="E88" i="8"/>
  <c r="N88" i="8" s="1"/>
  <c r="D88" i="8"/>
  <c r="G88" i="8" s="1"/>
  <c r="BR87" i="8"/>
  <c r="BQ87" i="8"/>
  <c r="BP87" i="8"/>
  <c r="BO87" i="8"/>
  <c r="BN87" i="8"/>
  <c r="BM87" i="8"/>
  <c r="BK87" i="8"/>
  <c r="BJ87" i="8"/>
  <c r="BL87" i="8" s="1"/>
  <c r="BI87" i="8"/>
  <c r="BH87" i="8"/>
  <c r="BG87" i="8"/>
  <c r="BF87" i="8"/>
  <c r="BE87" i="8"/>
  <c r="BD87" i="8"/>
  <c r="BC87" i="8"/>
  <c r="BB87" i="8"/>
  <c r="BA87" i="8"/>
  <c r="AZ87" i="8"/>
  <c r="AX87" i="8"/>
  <c r="AV87" i="8"/>
  <c r="AU87" i="8"/>
  <c r="AY87" i="8" s="1"/>
  <c r="AT87" i="8"/>
  <c r="AW87" i="8" s="1"/>
  <c r="AR87" i="8"/>
  <c r="AQ87" i="8"/>
  <c r="AP87" i="8"/>
  <c r="AO87" i="8"/>
  <c r="AS87" i="8" s="1"/>
  <c r="AN87" i="8"/>
  <c r="AM87" i="8"/>
  <c r="AL87" i="8"/>
  <c r="AK87" i="8"/>
  <c r="AJ87" i="8"/>
  <c r="AI87" i="8"/>
  <c r="AH87" i="8"/>
  <c r="AG87" i="8"/>
  <c r="AE87" i="8"/>
  <c r="AD87" i="8"/>
  <c r="AF87" i="8" s="1"/>
  <c r="AC87" i="8"/>
  <c r="AB87" i="8"/>
  <c r="AA87" i="8"/>
  <c r="Z87" i="8"/>
  <c r="Y87" i="8"/>
  <c r="X87" i="8"/>
  <c r="V87" i="8"/>
  <c r="U87" i="8"/>
  <c r="W87" i="8" s="1"/>
  <c r="S87" i="8"/>
  <c r="R87" i="8"/>
  <c r="T87" i="8" s="1"/>
  <c r="P87" i="8"/>
  <c r="O87" i="8"/>
  <c r="Q87" i="8" s="1"/>
  <c r="M87" i="8"/>
  <c r="L87" i="8"/>
  <c r="K87" i="8"/>
  <c r="J87" i="8"/>
  <c r="I87" i="8"/>
  <c r="E87" i="8"/>
  <c r="N87" i="8" s="1"/>
  <c r="D87" i="8"/>
  <c r="G87" i="8" s="1"/>
  <c r="BR86" i="8"/>
  <c r="BQ86" i="8"/>
  <c r="BP86" i="8"/>
  <c r="BO86" i="8"/>
  <c r="BN86" i="8"/>
  <c r="BM86" i="8"/>
  <c r="BK86" i="8"/>
  <c r="BJ86" i="8"/>
  <c r="BL86" i="8" s="1"/>
  <c r="BI86" i="8"/>
  <c r="BH86" i="8"/>
  <c r="BG86" i="8"/>
  <c r="BF86" i="8"/>
  <c r="BE86" i="8"/>
  <c r="BD86" i="8"/>
  <c r="BC86" i="8"/>
  <c r="BB86" i="8"/>
  <c r="BA86" i="8"/>
  <c r="AZ86" i="8"/>
  <c r="AX86" i="8"/>
  <c r="AV86" i="8"/>
  <c r="AU86" i="8"/>
  <c r="AY86" i="8" s="1"/>
  <c r="AT86" i="8"/>
  <c r="AW86" i="8" s="1"/>
  <c r="AR86" i="8"/>
  <c r="AQ86" i="8"/>
  <c r="AP86" i="8"/>
  <c r="AO86" i="8"/>
  <c r="AS86" i="8" s="1"/>
  <c r="AN86" i="8"/>
  <c r="AM86" i="8"/>
  <c r="AL86" i="8"/>
  <c r="AK86" i="8"/>
  <c r="AJ86" i="8"/>
  <c r="AI86" i="8"/>
  <c r="AH86" i="8"/>
  <c r="AG86" i="8"/>
  <c r="AE86" i="8"/>
  <c r="AD86" i="8"/>
  <c r="AF86" i="8" s="1"/>
  <c r="AC86" i="8"/>
  <c r="AB86" i="8"/>
  <c r="AA86" i="8"/>
  <c r="Z86" i="8"/>
  <c r="Y86" i="8"/>
  <c r="X86" i="8"/>
  <c r="V86" i="8"/>
  <c r="U86" i="8"/>
  <c r="W86" i="8" s="1"/>
  <c r="S86" i="8"/>
  <c r="R86" i="8"/>
  <c r="T86" i="8" s="1"/>
  <c r="P86" i="8"/>
  <c r="O86" i="8"/>
  <c r="Q86" i="8" s="1"/>
  <c r="M86" i="8"/>
  <c r="L86" i="8"/>
  <c r="K86" i="8"/>
  <c r="J86" i="8"/>
  <c r="I86" i="8"/>
  <c r="E86" i="8"/>
  <c r="D86" i="8"/>
  <c r="G86" i="8" s="1"/>
  <c r="BR85" i="8"/>
  <c r="BQ85" i="8"/>
  <c r="BP85" i="8"/>
  <c r="BO85" i="8"/>
  <c r="BN85" i="8"/>
  <c r="BM85" i="8"/>
  <c r="BK85" i="8"/>
  <c r="BJ85" i="8"/>
  <c r="BL85" i="8" s="1"/>
  <c r="BI85" i="8"/>
  <c r="BH85" i="8"/>
  <c r="BG85" i="8"/>
  <c r="BF85" i="8"/>
  <c r="BE85" i="8"/>
  <c r="BD85" i="8"/>
  <c r="BC85" i="8"/>
  <c r="BB85" i="8"/>
  <c r="BA85" i="8"/>
  <c r="AZ85" i="8"/>
  <c r="AX85" i="8"/>
  <c r="AV85" i="8"/>
  <c r="AU85" i="8"/>
  <c r="AY85" i="8" s="1"/>
  <c r="AT85" i="8"/>
  <c r="AW85" i="8" s="1"/>
  <c r="AR85" i="8"/>
  <c r="AQ85" i="8"/>
  <c r="AP85" i="8"/>
  <c r="AO85" i="8"/>
  <c r="AS85" i="8" s="1"/>
  <c r="AN85" i="8"/>
  <c r="AM85" i="8"/>
  <c r="AL85" i="8"/>
  <c r="AK85" i="8"/>
  <c r="AJ85" i="8"/>
  <c r="AI85" i="8"/>
  <c r="AH85" i="8"/>
  <c r="AG85" i="8"/>
  <c r="AE85" i="8"/>
  <c r="AD85" i="8"/>
  <c r="AF85" i="8" s="1"/>
  <c r="AC85" i="8"/>
  <c r="AB85" i="8"/>
  <c r="AA85" i="8"/>
  <c r="Z85" i="8"/>
  <c r="Y85" i="8"/>
  <c r="X85" i="8"/>
  <c r="V85" i="8"/>
  <c r="U85" i="8"/>
  <c r="W85" i="8" s="1"/>
  <c r="S85" i="8"/>
  <c r="R85" i="8"/>
  <c r="T85" i="8" s="1"/>
  <c r="P85" i="8"/>
  <c r="O85" i="8"/>
  <c r="Q85" i="8" s="1"/>
  <c r="M85" i="8"/>
  <c r="L85" i="8"/>
  <c r="K85" i="8"/>
  <c r="J85" i="8"/>
  <c r="I85" i="8"/>
  <c r="E85" i="8"/>
  <c r="N85" i="8" s="1"/>
  <c r="D85" i="8"/>
  <c r="G85" i="8" s="1"/>
  <c r="BR84" i="8"/>
  <c r="BQ84" i="8"/>
  <c r="BP84" i="8"/>
  <c r="BO84" i="8"/>
  <c r="BN84" i="8"/>
  <c r="BM84" i="8"/>
  <c r="BK84" i="8"/>
  <c r="BJ84" i="8"/>
  <c r="BL84" i="8" s="1"/>
  <c r="BI84" i="8"/>
  <c r="BH84" i="8"/>
  <c r="BG84" i="8"/>
  <c r="BF84" i="8"/>
  <c r="BE84" i="8"/>
  <c r="BD84" i="8"/>
  <c r="BC84" i="8"/>
  <c r="BB84" i="8"/>
  <c r="BA84" i="8"/>
  <c r="AZ84" i="8"/>
  <c r="AX84" i="8"/>
  <c r="AV84" i="8"/>
  <c r="AU84" i="8"/>
  <c r="AY84" i="8" s="1"/>
  <c r="AT84" i="8"/>
  <c r="AW84" i="8" s="1"/>
  <c r="AR84" i="8"/>
  <c r="AQ84" i="8"/>
  <c r="AP84" i="8"/>
  <c r="AO84" i="8"/>
  <c r="AS84" i="8" s="1"/>
  <c r="AN84" i="8"/>
  <c r="AM84" i="8"/>
  <c r="AL84" i="8"/>
  <c r="AK84" i="8"/>
  <c r="AJ84" i="8"/>
  <c r="AI84" i="8"/>
  <c r="AH84" i="8"/>
  <c r="AG84" i="8"/>
  <c r="AE84" i="8"/>
  <c r="AD84" i="8"/>
  <c r="AF84" i="8" s="1"/>
  <c r="AC84" i="8"/>
  <c r="AB84" i="8"/>
  <c r="AA84" i="8"/>
  <c r="Z84" i="8"/>
  <c r="Y84" i="8"/>
  <c r="X84" i="8"/>
  <c r="V84" i="8"/>
  <c r="U84" i="8"/>
  <c r="W84" i="8" s="1"/>
  <c r="S84" i="8"/>
  <c r="R84" i="8"/>
  <c r="T84" i="8" s="1"/>
  <c r="P84" i="8"/>
  <c r="O84" i="8"/>
  <c r="Q84" i="8" s="1"/>
  <c r="M84" i="8"/>
  <c r="L84" i="8"/>
  <c r="K84" i="8"/>
  <c r="J84" i="8"/>
  <c r="I84" i="8"/>
  <c r="E84" i="8"/>
  <c r="D84" i="8"/>
  <c r="G84" i="8" s="1"/>
  <c r="BR83" i="8"/>
  <c r="BQ83" i="8"/>
  <c r="BP83" i="8"/>
  <c r="BO83" i="8"/>
  <c r="BN83" i="8"/>
  <c r="BM83" i="8"/>
  <c r="BK83" i="8"/>
  <c r="BJ83" i="8"/>
  <c r="BL83" i="8" s="1"/>
  <c r="BI83" i="8"/>
  <c r="BH83" i="8"/>
  <c r="BG83" i="8"/>
  <c r="BF83" i="8"/>
  <c r="BE83" i="8"/>
  <c r="BD83" i="8"/>
  <c r="BC83" i="8"/>
  <c r="BB83" i="8"/>
  <c r="BA83" i="8"/>
  <c r="AZ83" i="8"/>
  <c r="AX83" i="8"/>
  <c r="AV83" i="8"/>
  <c r="AU83" i="8"/>
  <c r="AY83" i="8" s="1"/>
  <c r="AT83" i="8"/>
  <c r="AW83" i="8" s="1"/>
  <c r="AR83" i="8"/>
  <c r="AQ83" i="8"/>
  <c r="AP83" i="8"/>
  <c r="AO83" i="8"/>
  <c r="AS83" i="8" s="1"/>
  <c r="AN83" i="8"/>
  <c r="AM83" i="8"/>
  <c r="AL83" i="8"/>
  <c r="AK83" i="8"/>
  <c r="AJ83" i="8"/>
  <c r="AI83" i="8"/>
  <c r="AH83" i="8"/>
  <c r="AG83" i="8"/>
  <c r="AE83" i="8"/>
  <c r="AD83" i="8"/>
  <c r="AF83" i="8" s="1"/>
  <c r="AC83" i="8"/>
  <c r="AB83" i="8"/>
  <c r="AA83" i="8"/>
  <c r="Z83" i="8"/>
  <c r="Y83" i="8"/>
  <c r="X83" i="8"/>
  <c r="V83" i="8"/>
  <c r="U83" i="8"/>
  <c r="W83" i="8" s="1"/>
  <c r="S83" i="8"/>
  <c r="R83" i="8"/>
  <c r="T83" i="8" s="1"/>
  <c r="P83" i="8"/>
  <c r="O83" i="8"/>
  <c r="Q83" i="8" s="1"/>
  <c r="M83" i="8"/>
  <c r="L83" i="8"/>
  <c r="K83" i="8"/>
  <c r="J83" i="8"/>
  <c r="I83" i="8"/>
  <c r="E83" i="8"/>
  <c r="D83" i="8"/>
  <c r="G83" i="8" s="1"/>
  <c r="BR82" i="8"/>
  <c r="BQ82" i="8"/>
  <c r="BP82" i="8"/>
  <c r="BO82" i="8"/>
  <c r="BN82" i="8"/>
  <c r="BM82" i="8"/>
  <c r="BK82" i="8"/>
  <c r="BJ82" i="8"/>
  <c r="BL82" i="8" s="1"/>
  <c r="BI82" i="8"/>
  <c r="BH82" i="8"/>
  <c r="BG82" i="8"/>
  <c r="BF82" i="8"/>
  <c r="BE82" i="8"/>
  <c r="BD82" i="8"/>
  <c r="BC82" i="8"/>
  <c r="BB82" i="8"/>
  <c r="BA82" i="8"/>
  <c r="AZ82" i="8"/>
  <c r="AX82" i="8"/>
  <c r="AV82" i="8"/>
  <c r="AU82" i="8"/>
  <c r="AY82" i="8" s="1"/>
  <c r="AT82" i="8"/>
  <c r="AW82" i="8" s="1"/>
  <c r="AR82" i="8"/>
  <c r="AQ82" i="8"/>
  <c r="AP82" i="8"/>
  <c r="AO82" i="8"/>
  <c r="AS82" i="8" s="1"/>
  <c r="AN82" i="8"/>
  <c r="AM82" i="8"/>
  <c r="AL82" i="8"/>
  <c r="AK82" i="8"/>
  <c r="AJ82" i="8"/>
  <c r="AI82" i="8"/>
  <c r="AH82" i="8"/>
  <c r="AG82" i="8"/>
  <c r="AE82" i="8"/>
  <c r="AD82" i="8"/>
  <c r="AF82" i="8" s="1"/>
  <c r="AC82" i="8"/>
  <c r="AB82" i="8"/>
  <c r="AA82" i="8"/>
  <c r="Z82" i="8"/>
  <c r="Y82" i="8"/>
  <c r="X82" i="8"/>
  <c r="V82" i="8"/>
  <c r="U82" i="8"/>
  <c r="W82" i="8" s="1"/>
  <c r="S82" i="8"/>
  <c r="R82" i="8"/>
  <c r="T82" i="8" s="1"/>
  <c r="P82" i="8"/>
  <c r="O82" i="8"/>
  <c r="Q82" i="8" s="1"/>
  <c r="M82" i="8"/>
  <c r="L82" i="8"/>
  <c r="K82" i="8"/>
  <c r="J82" i="8"/>
  <c r="I82" i="8"/>
  <c r="E82" i="8"/>
  <c r="N82" i="8" s="1"/>
  <c r="D82" i="8"/>
  <c r="BR81" i="8"/>
  <c r="BQ81" i="8"/>
  <c r="BP81" i="8"/>
  <c r="BO81" i="8"/>
  <c r="BN81" i="8"/>
  <c r="BM81" i="8"/>
  <c r="BK81" i="8"/>
  <c r="BJ81" i="8"/>
  <c r="BL81" i="8" s="1"/>
  <c r="BI81" i="8"/>
  <c r="BH81" i="8"/>
  <c r="BG81" i="8"/>
  <c r="BF81" i="8"/>
  <c r="BE81" i="8"/>
  <c r="BD81" i="8"/>
  <c r="BC81" i="8"/>
  <c r="BB81" i="8"/>
  <c r="BA81" i="8"/>
  <c r="AZ81" i="8"/>
  <c r="AX81" i="8"/>
  <c r="AV81" i="8"/>
  <c r="AU81" i="8"/>
  <c r="AY81" i="8" s="1"/>
  <c r="AT81" i="8"/>
  <c r="AW81" i="8" s="1"/>
  <c r="AR81" i="8"/>
  <c r="AQ81" i="8"/>
  <c r="AP81" i="8"/>
  <c r="AO81" i="8"/>
  <c r="AS81" i="8" s="1"/>
  <c r="AN81" i="8"/>
  <c r="AM81" i="8"/>
  <c r="AL81" i="8"/>
  <c r="AK81" i="8"/>
  <c r="AJ81" i="8"/>
  <c r="AI81" i="8"/>
  <c r="AH81" i="8"/>
  <c r="AG81" i="8"/>
  <c r="AE81" i="8"/>
  <c r="AD81" i="8"/>
  <c r="AF81" i="8" s="1"/>
  <c r="AC81" i="8"/>
  <c r="AB81" i="8"/>
  <c r="AA81" i="8"/>
  <c r="Z81" i="8"/>
  <c r="Y81" i="8"/>
  <c r="X81" i="8"/>
  <c r="V81" i="8"/>
  <c r="U81" i="8"/>
  <c r="S81" i="8"/>
  <c r="R81" i="8"/>
  <c r="T81" i="8" s="1"/>
  <c r="P81" i="8"/>
  <c r="O81" i="8"/>
  <c r="Q81" i="8" s="1"/>
  <c r="M81" i="8"/>
  <c r="L81" i="8"/>
  <c r="K81" i="8"/>
  <c r="J81" i="8"/>
  <c r="I81" i="8"/>
  <c r="E81" i="8"/>
  <c r="N81" i="8" s="1"/>
  <c r="D81" i="8"/>
  <c r="BR80" i="8"/>
  <c r="BQ80" i="8"/>
  <c r="BP80" i="8"/>
  <c r="BO80" i="8"/>
  <c r="BN80" i="8"/>
  <c r="BM80" i="8"/>
  <c r="BK80" i="8"/>
  <c r="BJ80" i="8"/>
  <c r="BL80" i="8" s="1"/>
  <c r="BI80" i="8"/>
  <c r="BH80" i="8"/>
  <c r="BG80" i="8"/>
  <c r="BF80" i="8"/>
  <c r="BE80" i="8"/>
  <c r="BD80" i="8"/>
  <c r="BC80" i="8"/>
  <c r="BB80" i="8"/>
  <c r="BA80" i="8"/>
  <c r="AZ80" i="8"/>
  <c r="AX80" i="8"/>
  <c r="AV80" i="8"/>
  <c r="AU80" i="8"/>
  <c r="AT80" i="8"/>
  <c r="AR80" i="8"/>
  <c r="AQ80" i="8"/>
  <c r="AP80" i="8"/>
  <c r="AO80" i="8"/>
  <c r="AS80" i="8" s="1"/>
  <c r="AN80" i="8"/>
  <c r="AM80" i="8"/>
  <c r="AL80" i="8"/>
  <c r="AK80" i="8"/>
  <c r="AJ80" i="8"/>
  <c r="AI80" i="8"/>
  <c r="AH80" i="8"/>
  <c r="AG80" i="8"/>
  <c r="AE80" i="8"/>
  <c r="AD80" i="8"/>
  <c r="AF80" i="8" s="1"/>
  <c r="AC80" i="8"/>
  <c r="AB80" i="8"/>
  <c r="AA80" i="8"/>
  <c r="Z80" i="8"/>
  <c r="Y80" i="8"/>
  <c r="X80" i="8"/>
  <c r="V80" i="8"/>
  <c r="U80" i="8"/>
  <c r="W80" i="8" s="1"/>
  <c r="S80" i="8"/>
  <c r="R80" i="8"/>
  <c r="P80" i="8"/>
  <c r="O80" i="8"/>
  <c r="Q80" i="8" s="1"/>
  <c r="M80" i="8"/>
  <c r="L80" i="8"/>
  <c r="K80" i="8"/>
  <c r="J80" i="8"/>
  <c r="I80" i="8"/>
  <c r="E80" i="8"/>
  <c r="D80" i="8"/>
  <c r="BR79" i="8"/>
  <c r="BQ79" i="8"/>
  <c r="BP79" i="8"/>
  <c r="BO79" i="8"/>
  <c r="BN79" i="8"/>
  <c r="BM79" i="8"/>
  <c r="BK79" i="8"/>
  <c r="BJ79" i="8"/>
  <c r="BL79" i="8" s="1"/>
  <c r="BI79" i="8"/>
  <c r="BH79" i="8"/>
  <c r="BG79" i="8"/>
  <c r="BF79" i="8"/>
  <c r="BE79" i="8"/>
  <c r="BD79" i="8"/>
  <c r="BC79" i="8"/>
  <c r="BB79" i="8"/>
  <c r="BA79" i="8"/>
  <c r="AZ79" i="8"/>
  <c r="AX79" i="8"/>
  <c r="AV79" i="8"/>
  <c r="AU79" i="8"/>
  <c r="AY79" i="8" s="1"/>
  <c r="AT79" i="8"/>
  <c r="AW79" i="8" s="1"/>
  <c r="AR79" i="8"/>
  <c r="AQ79" i="8"/>
  <c r="AP79" i="8"/>
  <c r="AO79" i="8"/>
  <c r="AS79" i="8" s="1"/>
  <c r="AN79" i="8"/>
  <c r="AM79" i="8"/>
  <c r="AL79" i="8"/>
  <c r="AK79" i="8"/>
  <c r="AJ79" i="8"/>
  <c r="AI79" i="8"/>
  <c r="AH79" i="8"/>
  <c r="AG79" i="8"/>
  <c r="AE79" i="8"/>
  <c r="AD79" i="8"/>
  <c r="AF79" i="8" s="1"/>
  <c r="AC79" i="8"/>
  <c r="AB79" i="8"/>
  <c r="AA79" i="8"/>
  <c r="Z79" i="8"/>
  <c r="Y79" i="8"/>
  <c r="X79" i="8"/>
  <c r="V79" i="8"/>
  <c r="U79" i="8"/>
  <c r="W79" i="8" s="1"/>
  <c r="S79" i="8"/>
  <c r="R79" i="8"/>
  <c r="P79" i="8"/>
  <c r="O79" i="8"/>
  <c r="M79" i="8"/>
  <c r="L79" i="8"/>
  <c r="K79" i="8"/>
  <c r="J79" i="8"/>
  <c r="I79" i="8"/>
  <c r="E79" i="8"/>
  <c r="N79" i="8" s="1"/>
  <c r="D79" i="8"/>
  <c r="BR78" i="8"/>
  <c r="BQ78" i="8"/>
  <c r="BP78" i="8"/>
  <c r="BO78" i="8"/>
  <c r="BN78" i="8"/>
  <c r="BM78" i="8"/>
  <c r="BK78" i="8"/>
  <c r="BJ78" i="8"/>
  <c r="BL78" i="8" s="1"/>
  <c r="BI78" i="8"/>
  <c r="BH78" i="8"/>
  <c r="BG78" i="8"/>
  <c r="BF78" i="8"/>
  <c r="BE78" i="8"/>
  <c r="BD78" i="8"/>
  <c r="BC78" i="8"/>
  <c r="BB78" i="8"/>
  <c r="BA78" i="8"/>
  <c r="AZ78" i="8"/>
  <c r="AX78" i="8"/>
  <c r="AV78" i="8"/>
  <c r="AU78" i="8"/>
  <c r="AY78" i="8" s="1"/>
  <c r="AT78" i="8"/>
  <c r="AW78" i="8" s="1"/>
  <c r="AR78" i="8"/>
  <c r="AQ78" i="8"/>
  <c r="AP78" i="8"/>
  <c r="AO78" i="8"/>
  <c r="AS78" i="8" s="1"/>
  <c r="AN78" i="8"/>
  <c r="AM78" i="8"/>
  <c r="AL78" i="8"/>
  <c r="AK78" i="8"/>
  <c r="AJ78" i="8"/>
  <c r="AI78" i="8"/>
  <c r="AH78" i="8"/>
  <c r="AG78" i="8"/>
  <c r="AE78" i="8"/>
  <c r="AD78" i="8"/>
  <c r="AF78" i="8" s="1"/>
  <c r="AC78" i="8"/>
  <c r="AB78" i="8"/>
  <c r="AA78" i="8"/>
  <c r="Z78" i="8"/>
  <c r="Y78" i="8"/>
  <c r="X78" i="8"/>
  <c r="V78" i="8"/>
  <c r="U78" i="8"/>
  <c r="W78" i="8" s="1"/>
  <c r="S78" i="8"/>
  <c r="R78" i="8"/>
  <c r="T78" i="8" s="1"/>
  <c r="P78" i="8"/>
  <c r="O78" i="8"/>
  <c r="Q78" i="8" s="1"/>
  <c r="M78" i="8"/>
  <c r="L78" i="8"/>
  <c r="K78" i="8"/>
  <c r="J78" i="8"/>
  <c r="I78" i="8"/>
  <c r="E78" i="8"/>
  <c r="N78" i="8" s="1"/>
  <c r="D78" i="8"/>
  <c r="BR77" i="8"/>
  <c r="BQ77" i="8"/>
  <c r="BP77" i="8"/>
  <c r="BO77" i="8"/>
  <c r="BN77" i="8"/>
  <c r="BM77" i="8"/>
  <c r="BK77" i="8"/>
  <c r="BJ77" i="8"/>
  <c r="BL77" i="8" s="1"/>
  <c r="BI77" i="8"/>
  <c r="BH77" i="8"/>
  <c r="BG77" i="8"/>
  <c r="BF77" i="8"/>
  <c r="BE77" i="8"/>
  <c r="BD77" i="8"/>
  <c r="BC77" i="8"/>
  <c r="BB77" i="8"/>
  <c r="BA77" i="8"/>
  <c r="AZ77" i="8"/>
  <c r="AX77" i="8"/>
  <c r="AV77" i="8"/>
  <c r="AU77" i="8"/>
  <c r="AY77" i="8" s="1"/>
  <c r="AT77" i="8"/>
  <c r="AW77" i="8" s="1"/>
  <c r="AR77" i="8"/>
  <c r="AQ77" i="8"/>
  <c r="AP77" i="8"/>
  <c r="AO77" i="8"/>
  <c r="AS77" i="8" s="1"/>
  <c r="AN77" i="8"/>
  <c r="AM77" i="8"/>
  <c r="AL77" i="8"/>
  <c r="AK77" i="8"/>
  <c r="AJ77" i="8"/>
  <c r="AI77" i="8"/>
  <c r="AH77" i="8"/>
  <c r="AG77" i="8"/>
  <c r="AE77" i="8"/>
  <c r="AD77" i="8"/>
  <c r="AF77" i="8" s="1"/>
  <c r="AC77" i="8"/>
  <c r="AB77" i="8"/>
  <c r="AA77" i="8"/>
  <c r="Z77" i="8"/>
  <c r="Y77" i="8"/>
  <c r="X77" i="8"/>
  <c r="V77" i="8"/>
  <c r="U77" i="8"/>
  <c r="W77" i="8" s="1"/>
  <c r="S77" i="8"/>
  <c r="R77" i="8"/>
  <c r="T77" i="8" s="1"/>
  <c r="P77" i="8"/>
  <c r="O77" i="8"/>
  <c r="Q77" i="8" s="1"/>
  <c r="M77" i="8"/>
  <c r="L77" i="8"/>
  <c r="K77" i="8"/>
  <c r="J77" i="8"/>
  <c r="I77" i="8"/>
  <c r="E77" i="8"/>
  <c r="D77" i="8"/>
  <c r="G77" i="8" s="1"/>
  <c r="BR76" i="8"/>
  <c r="BQ76" i="8"/>
  <c r="BP76" i="8"/>
  <c r="BO76" i="8"/>
  <c r="BN76" i="8"/>
  <c r="BM76" i="8"/>
  <c r="BK76" i="8"/>
  <c r="BJ76" i="8"/>
  <c r="BL76" i="8" s="1"/>
  <c r="BI76" i="8"/>
  <c r="BH76" i="8"/>
  <c r="BG76" i="8"/>
  <c r="BF76" i="8"/>
  <c r="BE76" i="8"/>
  <c r="BD76" i="8"/>
  <c r="BC76" i="8"/>
  <c r="BB76" i="8"/>
  <c r="BA76" i="8"/>
  <c r="AZ76" i="8"/>
  <c r="AX76" i="8"/>
  <c r="AV76" i="8"/>
  <c r="AU76" i="8"/>
  <c r="AY76" i="8" s="1"/>
  <c r="AT76" i="8"/>
  <c r="AW76" i="8" s="1"/>
  <c r="AR76" i="8"/>
  <c r="AQ76" i="8"/>
  <c r="AP76" i="8"/>
  <c r="AO76" i="8"/>
  <c r="AS76" i="8" s="1"/>
  <c r="AN76" i="8"/>
  <c r="AM76" i="8"/>
  <c r="AL76" i="8"/>
  <c r="AK76" i="8"/>
  <c r="AJ76" i="8"/>
  <c r="AI76" i="8"/>
  <c r="AH76" i="8"/>
  <c r="AG76" i="8"/>
  <c r="AE76" i="8"/>
  <c r="AD76" i="8"/>
  <c r="AF76" i="8" s="1"/>
  <c r="AC76" i="8"/>
  <c r="AB76" i="8"/>
  <c r="AA76" i="8"/>
  <c r="Z76" i="8"/>
  <c r="Y76" i="8"/>
  <c r="X76" i="8"/>
  <c r="V76" i="8"/>
  <c r="U76" i="8"/>
  <c r="W76" i="8" s="1"/>
  <c r="S76" i="8"/>
  <c r="R76" i="8"/>
  <c r="T76" i="8" s="1"/>
  <c r="P76" i="8"/>
  <c r="O76" i="8"/>
  <c r="Q76" i="8" s="1"/>
  <c r="M76" i="8"/>
  <c r="L76" i="8"/>
  <c r="K76" i="8"/>
  <c r="J76" i="8"/>
  <c r="I76" i="8"/>
  <c r="E76" i="8"/>
  <c r="N76" i="8" s="1"/>
  <c r="D76" i="8"/>
  <c r="BR75" i="8"/>
  <c r="BQ75" i="8"/>
  <c r="BP75" i="8"/>
  <c r="BO75" i="8"/>
  <c r="BN75" i="8"/>
  <c r="BM75" i="8"/>
  <c r="BK75" i="8"/>
  <c r="BJ75" i="8"/>
  <c r="BL75" i="8" s="1"/>
  <c r="BI75" i="8"/>
  <c r="BH75" i="8"/>
  <c r="BG75" i="8"/>
  <c r="BF75" i="8"/>
  <c r="BE75" i="8"/>
  <c r="BD75" i="8"/>
  <c r="BC75" i="8"/>
  <c r="BB75" i="8"/>
  <c r="BA75" i="8"/>
  <c r="AZ75" i="8"/>
  <c r="AX75" i="8"/>
  <c r="AV75" i="8"/>
  <c r="AU75" i="8"/>
  <c r="AY75" i="8" s="1"/>
  <c r="AT75" i="8"/>
  <c r="AR75" i="8"/>
  <c r="AQ75" i="8"/>
  <c r="AP75" i="8"/>
  <c r="AO75" i="8"/>
  <c r="AS75" i="8" s="1"/>
  <c r="AN75" i="8"/>
  <c r="AM75" i="8"/>
  <c r="AL75" i="8"/>
  <c r="AK75" i="8"/>
  <c r="AJ75" i="8"/>
  <c r="AI75" i="8"/>
  <c r="AH75" i="8"/>
  <c r="AG75" i="8"/>
  <c r="AE75" i="8"/>
  <c r="AD75" i="8"/>
  <c r="AC75" i="8"/>
  <c r="AB75" i="8"/>
  <c r="AA75" i="8"/>
  <c r="Z75" i="8"/>
  <c r="Y75" i="8"/>
  <c r="X75" i="8"/>
  <c r="V75" i="8"/>
  <c r="U75" i="8"/>
  <c r="S75" i="8"/>
  <c r="R75" i="8"/>
  <c r="P75" i="8"/>
  <c r="O75" i="8"/>
  <c r="M75" i="8"/>
  <c r="L75" i="8"/>
  <c r="K75" i="8"/>
  <c r="J75" i="8"/>
  <c r="I75" i="8"/>
  <c r="E75" i="8"/>
  <c r="D75" i="8"/>
  <c r="BR73" i="8"/>
  <c r="BQ73" i="8"/>
  <c r="BP73" i="8"/>
  <c r="BO73" i="8"/>
  <c r="BN73" i="8"/>
  <c r="BM73" i="8"/>
  <c r="BK73" i="8"/>
  <c r="BJ73" i="8"/>
  <c r="BL73" i="8" s="1"/>
  <c r="BI73" i="8"/>
  <c r="BH73" i="8"/>
  <c r="BG73" i="8"/>
  <c r="BF73" i="8"/>
  <c r="BE73" i="8"/>
  <c r="BD73" i="8"/>
  <c r="BC73" i="8"/>
  <c r="BB73" i="8"/>
  <c r="BA73" i="8"/>
  <c r="AZ73" i="8"/>
  <c r="AX73" i="8"/>
  <c r="AV73" i="8"/>
  <c r="AU73" i="8"/>
  <c r="AT73" i="8"/>
  <c r="AR73" i="8"/>
  <c r="AQ73" i="8"/>
  <c r="AP73" i="8"/>
  <c r="AO73" i="8"/>
  <c r="AS73" i="8" s="1"/>
  <c r="AN73" i="8"/>
  <c r="AM73" i="8"/>
  <c r="AL73" i="8"/>
  <c r="AK73" i="8"/>
  <c r="AJ73" i="8"/>
  <c r="AI73" i="8"/>
  <c r="AH73" i="8"/>
  <c r="AG73" i="8"/>
  <c r="AE73" i="8"/>
  <c r="AD73" i="8"/>
  <c r="AC73" i="8"/>
  <c r="AB73" i="8"/>
  <c r="AA73" i="8"/>
  <c r="Z73" i="8"/>
  <c r="Y73" i="8"/>
  <c r="X73" i="8"/>
  <c r="V73" i="8"/>
  <c r="U73" i="8"/>
  <c r="S73" i="8"/>
  <c r="R73" i="8"/>
  <c r="P73" i="8"/>
  <c r="O73" i="8"/>
  <c r="M73" i="8"/>
  <c r="L73" i="8"/>
  <c r="K73" i="8"/>
  <c r="J73" i="8"/>
  <c r="I73" i="8"/>
  <c r="E73" i="8"/>
  <c r="N73" i="8" s="1"/>
  <c r="D73" i="8"/>
  <c r="BR72" i="8"/>
  <c r="BQ72" i="8"/>
  <c r="BP72" i="8"/>
  <c r="BO72" i="8"/>
  <c r="BN72" i="8"/>
  <c r="BM72" i="8"/>
  <c r="BK72" i="8"/>
  <c r="BJ72" i="8"/>
  <c r="BI72" i="8"/>
  <c r="BH72" i="8"/>
  <c r="BG72" i="8"/>
  <c r="BF72" i="8"/>
  <c r="BE72" i="8"/>
  <c r="BD72" i="8"/>
  <c r="BC72" i="8"/>
  <c r="BB72" i="8"/>
  <c r="BA72" i="8"/>
  <c r="AZ72" i="8"/>
  <c r="AX72" i="8"/>
  <c r="AV72" i="8"/>
  <c r="AU72" i="8"/>
  <c r="AT72" i="8"/>
  <c r="AR72" i="8"/>
  <c r="AQ72" i="8"/>
  <c r="AP72" i="8"/>
  <c r="AO72" i="8"/>
  <c r="AN72" i="8"/>
  <c r="AM72" i="8"/>
  <c r="AL72" i="8"/>
  <c r="AK72" i="8"/>
  <c r="AJ72" i="8"/>
  <c r="AI72" i="8"/>
  <c r="AH72" i="8"/>
  <c r="AG72" i="8"/>
  <c r="AE72" i="8"/>
  <c r="AD72" i="8"/>
  <c r="AC72" i="8"/>
  <c r="AB72" i="8"/>
  <c r="AA72" i="8"/>
  <c r="Z72" i="8"/>
  <c r="Y72" i="8"/>
  <c r="X72" i="8"/>
  <c r="V72" i="8"/>
  <c r="U72" i="8"/>
  <c r="S72" i="8"/>
  <c r="R72" i="8"/>
  <c r="T72" i="8" s="1"/>
  <c r="P72" i="8"/>
  <c r="O72" i="8"/>
  <c r="Q72" i="8" s="1"/>
  <c r="M72" i="8"/>
  <c r="L72" i="8"/>
  <c r="K72" i="8"/>
  <c r="J72" i="8"/>
  <c r="I72" i="8"/>
  <c r="E72" i="8"/>
  <c r="N72" i="8" s="1"/>
  <c r="D72" i="8"/>
  <c r="BR71" i="8"/>
  <c r="BQ71" i="8"/>
  <c r="BP71" i="8"/>
  <c r="BO71" i="8"/>
  <c r="BN71" i="8"/>
  <c r="BM71" i="8"/>
  <c r="BK71" i="8"/>
  <c r="BJ71" i="8"/>
  <c r="BL71" i="8" s="1"/>
  <c r="BI71" i="8"/>
  <c r="BH71" i="8"/>
  <c r="BG71" i="8"/>
  <c r="BF71" i="8"/>
  <c r="BE71" i="8"/>
  <c r="BD71" i="8"/>
  <c r="BC71" i="8"/>
  <c r="BB71" i="8"/>
  <c r="BA71" i="8"/>
  <c r="AZ71" i="8"/>
  <c r="AX71" i="8"/>
  <c r="AV71" i="8"/>
  <c r="AU71" i="8"/>
  <c r="AT71" i="8"/>
  <c r="AR71" i="8"/>
  <c r="AQ71" i="8"/>
  <c r="AP71" i="8"/>
  <c r="AO71" i="8"/>
  <c r="AS71" i="8" s="1"/>
  <c r="AN71" i="8"/>
  <c r="AM71" i="8"/>
  <c r="AL71" i="8"/>
  <c r="AK71" i="8"/>
  <c r="AJ71" i="8"/>
  <c r="AI71" i="8"/>
  <c r="AH71" i="8"/>
  <c r="AG71" i="8"/>
  <c r="AE71" i="8"/>
  <c r="AD71" i="8"/>
  <c r="AF71" i="8" s="1"/>
  <c r="AC71" i="8"/>
  <c r="AB71" i="8"/>
  <c r="AA71" i="8"/>
  <c r="Z71" i="8"/>
  <c r="Y71" i="8"/>
  <c r="X71" i="8"/>
  <c r="V71" i="8"/>
  <c r="U71" i="8"/>
  <c r="W71" i="8" s="1"/>
  <c r="S71" i="8"/>
  <c r="R71" i="8"/>
  <c r="P71" i="8"/>
  <c r="O71" i="8"/>
  <c r="Q71" i="8" s="1"/>
  <c r="M71" i="8"/>
  <c r="L71" i="8"/>
  <c r="K71" i="8"/>
  <c r="J71" i="8"/>
  <c r="I71" i="8"/>
  <c r="E71" i="8"/>
  <c r="D71" i="8"/>
  <c r="BR70" i="8"/>
  <c r="BQ70" i="8"/>
  <c r="BP70" i="8"/>
  <c r="BO70" i="8"/>
  <c r="BN70" i="8"/>
  <c r="BM70" i="8"/>
  <c r="BK70" i="8"/>
  <c r="BJ70" i="8"/>
  <c r="BL70" i="8" s="1"/>
  <c r="BI70" i="8"/>
  <c r="BH70" i="8"/>
  <c r="BG70" i="8"/>
  <c r="BF70" i="8"/>
  <c r="BE70" i="8"/>
  <c r="BD70" i="8"/>
  <c r="BC70" i="8"/>
  <c r="BB70" i="8"/>
  <c r="BA70" i="8"/>
  <c r="AZ70" i="8"/>
  <c r="AX70" i="8"/>
  <c r="AV70" i="8"/>
  <c r="AU70" i="8"/>
  <c r="AT70" i="8"/>
  <c r="AR70" i="8"/>
  <c r="AQ70" i="8"/>
  <c r="AP70" i="8"/>
  <c r="AO70" i="8"/>
  <c r="AN70" i="8"/>
  <c r="AM70" i="8"/>
  <c r="AL70" i="8"/>
  <c r="AK70" i="8"/>
  <c r="AJ70" i="8"/>
  <c r="AI70" i="8"/>
  <c r="AH70" i="8"/>
  <c r="AG70" i="8"/>
  <c r="AE70" i="8"/>
  <c r="AD70" i="8"/>
  <c r="AF70" i="8" s="1"/>
  <c r="AC70" i="8"/>
  <c r="AB70" i="8"/>
  <c r="AA70" i="8"/>
  <c r="Z70" i="8"/>
  <c r="Y70" i="8"/>
  <c r="X70" i="8"/>
  <c r="V70" i="8"/>
  <c r="U70" i="8"/>
  <c r="S70" i="8"/>
  <c r="R70" i="8"/>
  <c r="T70" i="8" s="1"/>
  <c r="P70" i="8"/>
  <c r="O70" i="8"/>
  <c r="Q70" i="8" s="1"/>
  <c r="M70" i="8"/>
  <c r="L70" i="8"/>
  <c r="K70" i="8"/>
  <c r="J70" i="8"/>
  <c r="I70" i="8"/>
  <c r="E70" i="8"/>
  <c r="N70" i="8" s="1"/>
  <c r="D70" i="8"/>
  <c r="BR69" i="8"/>
  <c r="BQ69" i="8"/>
  <c r="BP69" i="8"/>
  <c r="BO69" i="8"/>
  <c r="BN69" i="8"/>
  <c r="BM69" i="8"/>
  <c r="BK69" i="8"/>
  <c r="BJ69" i="8"/>
  <c r="BL69" i="8" s="1"/>
  <c r="BI69" i="8"/>
  <c r="BH69" i="8"/>
  <c r="BG69" i="8"/>
  <c r="BF69" i="8"/>
  <c r="BE69" i="8"/>
  <c r="BD69" i="8"/>
  <c r="BC69" i="8"/>
  <c r="BB69" i="8"/>
  <c r="BA69" i="8"/>
  <c r="AZ69" i="8"/>
  <c r="AX69" i="8"/>
  <c r="AV69" i="8"/>
  <c r="AU69" i="8"/>
  <c r="AY69" i="8" s="1"/>
  <c r="AT69" i="8"/>
  <c r="AW69" i="8" s="1"/>
  <c r="AR69" i="8"/>
  <c r="AQ69" i="8"/>
  <c r="AP69" i="8"/>
  <c r="AO69" i="8"/>
  <c r="AS69" i="8" s="1"/>
  <c r="AN69" i="8"/>
  <c r="AM69" i="8"/>
  <c r="AL69" i="8"/>
  <c r="AK69" i="8"/>
  <c r="AJ69" i="8"/>
  <c r="AI69" i="8"/>
  <c r="AH69" i="8"/>
  <c r="AG69" i="8"/>
  <c r="AE69" i="8"/>
  <c r="AD69" i="8"/>
  <c r="AF69" i="8" s="1"/>
  <c r="AC69" i="8"/>
  <c r="AB69" i="8"/>
  <c r="AA69" i="8"/>
  <c r="Z69" i="8"/>
  <c r="Y69" i="8"/>
  <c r="X69" i="8"/>
  <c r="V69" i="8"/>
  <c r="U69" i="8"/>
  <c r="W69" i="8" s="1"/>
  <c r="S69" i="8"/>
  <c r="R69" i="8"/>
  <c r="T69" i="8" s="1"/>
  <c r="P69" i="8"/>
  <c r="O69" i="8"/>
  <c r="Q69" i="8" s="1"/>
  <c r="M69" i="8"/>
  <c r="L69" i="8"/>
  <c r="K69" i="8"/>
  <c r="J69" i="8"/>
  <c r="I69" i="8"/>
  <c r="E69" i="8"/>
  <c r="N69" i="8" s="1"/>
  <c r="D69" i="8"/>
  <c r="G69" i="8" s="1"/>
  <c r="BR68" i="8"/>
  <c r="BQ68" i="8"/>
  <c r="BP68" i="8"/>
  <c r="BO68" i="8"/>
  <c r="BN68" i="8"/>
  <c r="BM68" i="8"/>
  <c r="BK68" i="8"/>
  <c r="BJ68" i="8"/>
  <c r="BI68" i="8"/>
  <c r="BH68" i="8"/>
  <c r="BG68" i="8"/>
  <c r="BF68" i="8"/>
  <c r="BE68" i="8"/>
  <c r="BD68" i="8"/>
  <c r="BC68" i="8"/>
  <c r="BB68" i="8"/>
  <c r="BA68" i="8"/>
  <c r="AZ68" i="8"/>
  <c r="AX68" i="8"/>
  <c r="AV68" i="8"/>
  <c r="AU68" i="8"/>
  <c r="AT68" i="8"/>
  <c r="AR68" i="8"/>
  <c r="AQ68" i="8"/>
  <c r="AP68" i="8"/>
  <c r="AO68" i="8"/>
  <c r="AN68" i="8"/>
  <c r="AM68" i="8"/>
  <c r="AL68" i="8"/>
  <c r="AK68" i="8"/>
  <c r="AJ68" i="8"/>
  <c r="AI68" i="8"/>
  <c r="AH68" i="8"/>
  <c r="AG68" i="8"/>
  <c r="AE68" i="8"/>
  <c r="AD68" i="8"/>
  <c r="AC68" i="8"/>
  <c r="AB68" i="8"/>
  <c r="AA68" i="8"/>
  <c r="Z68" i="8"/>
  <c r="Y68" i="8"/>
  <c r="X68" i="8"/>
  <c r="V68" i="8"/>
  <c r="U68" i="8"/>
  <c r="S68" i="8"/>
  <c r="R68" i="8"/>
  <c r="P68" i="8"/>
  <c r="O68" i="8"/>
  <c r="M68" i="8"/>
  <c r="L68" i="8"/>
  <c r="K68" i="8"/>
  <c r="J68" i="8"/>
  <c r="I68" i="8"/>
  <c r="E68" i="8"/>
  <c r="N68" i="8" s="1"/>
  <c r="D68" i="8"/>
  <c r="BR67" i="8"/>
  <c r="BQ67" i="8"/>
  <c r="BP67" i="8"/>
  <c r="BO67" i="8"/>
  <c r="BN67" i="8"/>
  <c r="BM67" i="8"/>
  <c r="BK67" i="8"/>
  <c r="BJ67" i="8"/>
  <c r="BL67" i="8" s="1"/>
  <c r="BI67" i="8"/>
  <c r="BH67" i="8"/>
  <c r="BG67" i="8"/>
  <c r="BF67" i="8"/>
  <c r="BE67" i="8"/>
  <c r="BD67" i="8"/>
  <c r="BC67" i="8"/>
  <c r="BB67" i="8"/>
  <c r="BA67" i="8"/>
  <c r="AZ67" i="8"/>
  <c r="AX67" i="8"/>
  <c r="AV67" i="8"/>
  <c r="AU67" i="8"/>
  <c r="AT67" i="8"/>
  <c r="AR67" i="8"/>
  <c r="AQ67" i="8"/>
  <c r="AP67" i="8"/>
  <c r="AO67" i="8"/>
  <c r="AN67" i="8"/>
  <c r="AM67" i="8"/>
  <c r="AL67" i="8"/>
  <c r="AK67" i="8"/>
  <c r="AJ67" i="8"/>
  <c r="AI67" i="8"/>
  <c r="AH67" i="8"/>
  <c r="AG67" i="8"/>
  <c r="AE67" i="8"/>
  <c r="AD67" i="8"/>
  <c r="AF67" i="8" s="1"/>
  <c r="AC67" i="8"/>
  <c r="AB67" i="8"/>
  <c r="AA67" i="8"/>
  <c r="Z67" i="8"/>
  <c r="Y67" i="8"/>
  <c r="X67" i="8"/>
  <c r="V67" i="8"/>
  <c r="U67" i="8"/>
  <c r="S67" i="8"/>
  <c r="R67" i="8"/>
  <c r="P67" i="8"/>
  <c r="O67" i="8"/>
  <c r="M67" i="8"/>
  <c r="L67" i="8"/>
  <c r="K67" i="8"/>
  <c r="J67" i="8"/>
  <c r="I67" i="8"/>
  <c r="E67" i="8"/>
  <c r="D67" i="8"/>
  <c r="BR66" i="8"/>
  <c r="BQ66" i="8"/>
  <c r="BP66" i="8"/>
  <c r="BO66" i="8"/>
  <c r="BN66" i="8"/>
  <c r="BM66" i="8"/>
  <c r="BK66" i="8"/>
  <c r="BJ66" i="8"/>
  <c r="BL66" i="8" s="1"/>
  <c r="BI66" i="8"/>
  <c r="BH66" i="8"/>
  <c r="BG66" i="8"/>
  <c r="BF66" i="8"/>
  <c r="BE66" i="8"/>
  <c r="BD66" i="8"/>
  <c r="BC66" i="8"/>
  <c r="BB66" i="8"/>
  <c r="BA66" i="8"/>
  <c r="AZ66" i="8"/>
  <c r="AX66" i="8"/>
  <c r="AV66" i="8"/>
  <c r="AU66" i="8"/>
  <c r="AY66" i="8" s="1"/>
  <c r="AT66" i="8"/>
  <c r="AW66" i="8" s="1"/>
  <c r="AR66" i="8"/>
  <c r="AQ66" i="8"/>
  <c r="AP66" i="8"/>
  <c r="AO66" i="8"/>
  <c r="AS66" i="8" s="1"/>
  <c r="AN66" i="8"/>
  <c r="AM66" i="8"/>
  <c r="AL66" i="8"/>
  <c r="AK66" i="8"/>
  <c r="AJ66" i="8"/>
  <c r="AI66" i="8"/>
  <c r="AH66" i="8"/>
  <c r="AG66" i="8"/>
  <c r="AE66" i="8"/>
  <c r="AD66" i="8"/>
  <c r="AF66" i="8" s="1"/>
  <c r="AC66" i="8"/>
  <c r="AB66" i="8"/>
  <c r="AA66" i="8"/>
  <c r="Z66" i="8"/>
  <c r="Y66" i="8"/>
  <c r="X66" i="8"/>
  <c r="V66" i="8"/>
  <c r="U66" i="8"/>
  <c r="W66" i="8" s="1"/>
  <c r="S66" i="8"/>
  <c r="R66" i="8"/>
  <c r="T66" i="8" s="1"/>
  <c r="P66" i="8"/>
  <c r="O66" i="8"/>
  <c r="Q66" i="8" s="1"/>
  <c r="M66" i="8"/>
  <c r="L66" i="8"/>
  <c r="K66" i="8"/>
  <c r="J66" i="8"/>
  <c r="I66" i="8"/>
  <c r="E66" i="8"/>
  <c r="N66" i="8" s="1"/>
  <c r="D66" i="8"/>
  <c r="BR65" i="8"/>
  <c r="BQ65" i="8"/>
  <c r="BP65" i="8"/>
  <c r="BO65" i="8"/>
  <c r="BN65" i="8"/>
  <c r="BM65" i="8"/>
  <c r="BK65" i="8"/>
  <c r="BJ65" i="8"/>
  <c r="BL65" i="8" s="1"/>
  <c r="BI65" i="8"/>
  <c r="BH65" i="8"/>
  <c r="BG65" i="8"/>
  <c r="BF65" i="8"/>
  <c r="BE65" i="8"/>
  <c r="BD65" i="8"/>
  <c r="BC65" i="8"/>
  <c r="BB65" i="8"/>
  <c r="BA65" i="8"/>
  <c r="AZ65" i="8"/>
  <c r="AX65" i="8"/>
  <c r="AV65" i="8"/>
  <c r="AU65" i="8"/>
  <c r="AT65" i="8"/>
  <c r="AR65" i="8"/>
  <c r="AQ65" i="8"/>
  <c r="AP65" i="8"/>
  <c r="AO65" i="8"/>
  <c r="AS65" i="8" s="1"/>
  <c r="AN65" i="8"/>
  <c r="AM65" i="8"/>
  <c r="AL65" i="8"/>
  <c r="AK65" i="8"/>
  <c r="AJ65" i="8"/>
  <c r="AI65" i="8"/>
  <c r="AH65" i="8"/>
  <c r="AG65" i="8"/>
  <c r="AE65" i="8"/>
  <c r="AD65" i="8"/>
  <c r="AF65" i="8" s="1"/>
  <c r="AC65" i="8"/>
  <c r="AB65" i="8"/>
  <c r="AA65" i="8"/>
  <c r="Z65" i="8"/>
  <c r="Y65" i="8"/>
  <c r="X65" i="8"/>
  <c r="V65" i="8"/>
  <c r="U65" i="8"/>
  <c r="W65" i="8" s="1"/>
  <c r="S65" i="8"/>
  <c r="R65" i="8"/>
  <c r="P65" i="8"/>
  <c r="O65" i="8"/>
  <c r="Q65" i="8" s="1"/>
  <c r="M65" i="8"/>
  <c r="L65" i="8"/>
  <c r="K65" i="8"/>
  <c r="J65" i="8"/>
  <c r="I65" i="8"/>
  <c r="E65" i="8"/>
  <c r="N65" i="8" s="1"/>
  <c r="D65" i="8"/>
  <c r="BR64" i="8"/>
  <c r="BQ64" i="8"/>
  <c r="BP64" i="8"/>
  <c r="BO64" i="8"/>
  <c r="BN64" i="8"/>
  <c r="BM64" i="8"/>
  <c r="BK64" i="8"/>
  <c r="BJ64" i="8"/>
  <c r="BI64" i="8"/>
  <c r="BH64" i="8"/>
  <c r="BG64" i="8"/>
  <c r="BF64" i="8"/>
  <c r="BE64" i="8"/>
  <c r="BD64" i="8"/>
  <c r="BC64" i="8"/>
  <c r="BB64" i="8"/>
  <c r="BA64" i="8"/>
  <c r="AZ64" i="8"/>
  <c r="AX64" i="8"/>
  <c r="AV64" i="8"/>
  <c r="AU64" i="8"/>
  <c r="AT64" i="8"/>
  <c r="AR64" i="8"/>
  <c r="AQ64" i="8"/>
  <c r="AP64" i="8"/>
  <c r="AO64" i="8"/>
  <c r="AN64" i="8"/>
  <c r="AM64" i="8"/>
  <c r="AL64" i="8"/>
  <c r="AK64" i="8"/>
  <c r="AJ64" i="8"/>
  <c r="AI64" i="8"/>
  <c r="AH64" i="8"/>
  <c r="AG64" i="8"/>
  <c r="AE64" i="8"/>
  <c r="AD64" i="8"/>
  <c r="AC64" i="8"/>
  <c r="AB64" i="8"/>
  <c r="AA64" i="8"/>
  <c r="Z64" i="8"/>
  <c r="Y64" i="8"/>
  <c r="X64" i="8"/>
  <c r="V64" i="8"/>
  <c r="U64" i="8"/>
  <c r="W64" i="8" s="1"/>
  <c r="S64" i="8"/>
  <c r="R64" i="8"/>
  <c r="P64" i="8"/>
  <c r="O64" i="8"/>
  <c r="Q64" i="8" s="1"/>
  <c r="M64" i="8"/>
  <c r="L64" i="8"/>
  <c r="K64" i="8"/>
  <c r="J64" i="8"/>
  <c r="I64" i="8"/>
  <c r="E64" i="8"/>
  <c r="N64" i="8" s="1"/>
  <c r="D64" i="8"/>
  <c r="BR63" i="8"/>
  <c r="BQ63" i="8"/>
  <c r="BP63" i="8"/>
  <c r="BO63" i="8"/>
  <c r="BN63" i="8"/>
  <c r="BM63" i="8"/>
  <c r="BK63" i="8"/>
  <c r="BJ63" i="8"/>
  <c r="BL63" i="8" s="1"/>
  <c r="BI63" i="8"/>
  <c r="BH63" i="8"/>
  <c r="BG63" i="8"/>
  <c r="BF63" i="8"/>
  <c r="BE63" i="8"/>
  <c r="BD63" i="8"/>
  <c r="BC63" i="8"/>
  <c r="BB63" i="8"/>
  <c r="BA63" i="8"/>
  <c r="AZ63" i="8"/>
  <c r="AX63" i="8"/>
  <c r="AV63" i="8"/>
  <c r="AU63" i="8"/>
  <c r="AT63" i="8"/>
  <c r="AR63" i="8"/>
  <c r="AQ63" i="8"/>
  <c r="AP63" i="8"/>
  <c r="AO63" i="8"/>
  <c r="AS63" i="8" s="1"/>
  <c r="AN63" i="8"/>
  <c r="AM63" i="8"/>
  <c r="AL63" i="8"/>
  <c r="AK63" i="8"/>
  <c r="AJ63" i="8"/>
  <c r="AI63" i="8"/>
  <c r="AH63" i="8"/>
  <c r="AG63" i="8"/>
  <c r="AE63" i="8"/>
  <c r="AD63" i="8"/>
  <c r="AF63" i="8" s="1"/>
  <c r="AC63" i="8"/>
  <c r="AB63" i="8"/>
  <c r="AA63" i="8"/>
  <c r="Z63" i="8"/>
  <c r="Y63" i="8"/>
  <c r="X63" i="8"/>
  <c r="V63" i="8"/>
  <c r="U63" i="8"/>
  <c r="W63" i="8" s="1"/>
  <c r="S63" i="8"/>
  <c r="R63" i="8"/>
  <c r="P63" i="8"/>
  <c r="O63" i="8"/>
  <c r="Q63" i="8" s="1"/>
  <c r="M63" i="8"/>
  <c r="L63" i="8"/>
  <c r="K63" i="8"/>
  <c r="J63" i="8"/>
  <c r="I63" i="8"/>
  <c r="E63" i="8"/>
  <c r="N63" i="8" s="1"/>
  <c r="D63" i="8"/>
  <c r="BR62" i="8"/>
  <c r="BQ62" i="8"/>
  <c r="BP62" i="8"/>
  <c r="BO62" i="8"/>
  <c r="BN62" i="8"/>
  <c r="BM62" i="8"/>
  <c r="BK62" i="8"/>
  <c r="BJ62" i="8"/>
  <c r="BL62" i="8" s="1"/>
  <c r="BI62" i="8"/>
  <c r="BH62" i="8"/>
  <c r="BG62" i="8"/>
  <c r="BF62" i="8"/>
  <c r="BE62" i="8"/>
  <c r="BD62" i="8"/>
  <c r="BC62" i="8"/>
  <c r="BB62" i="8"/>
  <c r="BA62" i="8"/>
  <c r="AZ62" i="8"/>
  <c r="AX62" i="8"/>
  <c r="AV62" i="8"/>
  <c r="AU62" i="8"/>
  <c r="AY62" i="8" s="1"/>
  <c r="AT62" i="8"/>
  <c r="AW62" i="8" s="1"/>
  <c r="AR62" i="8"/>
  <c r="AQ62" i="8"/>
  <c r="AP62" i="8"/>
  <c r="AO62" i="8"/>
  <c r="AS62" i="8" s="1"/>
  <c r="AN62" i="8"/>
  <c r="AM62" i="8"/>
  <c r="AL62" i="8"/>
  <c r="AK62" i="8"/>
  <c r="AJ62" i="8"/>
  <c r="AI62" i="8"/>
  <c r="AH62" i="8"/>
  <c r="AG62" i="8"/>
  <c r="AE62" i="8"/>
  <c r="AD62" i="8"/>
  <c r="AF62" i="8" s="1"/>
  <c r="AC62" i="8"/>
  <c r="AB62" i="8"/>
  <c r="AA62" i="8"/>
  <c r="Z62" i="8"/>
  <c r="Y62" i="8"/>
  <c r="X62" i="8"/>
  <c r="V62" i="8"/>
  <c r="U62" i="8"/>
  <c r="W62" i="8" s="1"/>
  <c r="S62" i="8"/>
  <c r="R62" i="8"/>
  <c r="T62" i="8" s="1"/>
  <c r="P62" i="8"/>
  <c r="O62" i="8"/>
  <c r="Q62" i="8" s="1"/>
  <c r="M62" i="8"/>
  <c r="L62" i="8"/>
  <c r="K62" i="8"/>
  <c r="J62" i="8"/>
  <c r="I62" i="8"/>
  <c r="E62" i="8"/>
  <c r="N62" i="8" s="1"/>
  <c r="D62" i="8"/>
  <c r="G62" i="8" s="1"/>
  <c r="BR61" i="8"/>
  <c r="BQ61" i="8"/>
  <c r="BP61" i="8"/>
  <c r="BO61" i="8"/>
  <c r="BN61" i="8"/>
  <c r="BM61" i="8"/>
  <c r="BK61" i="8"/>
  <c r="BJ61" i="8"/>
  <c r="BI61" i="8"/>
  <c r="BH61" i="8"/>
  <c r="BG61" i="8"/>
  <c r="BF61" i="8"/>
  <c r="BE61" i="8"/>
  <c r="BD61" i="8"/>
  <c r="BC61" i="8"/>
  <c r="BB61" i="8"/>
  <c r="BA61" i="8"/>
  <c r="AZ61" i="8"/>
  <c r="AX61" i="8"/>
  <c r="AV61" i="8"/>
  <c r="AU61" i="8"/>
  <c r="AT61" i="8"/>
  <c r="AR61" i="8"/>
  <c r="AQ61" i="8"/>
  <c r="AP61" i="8"/>
  <c r="AO61" i="8"/>
  <c r="AN61" i="8"/>
  <c r="AM61" i="8"/>
  <c r="AL61" i="8"/>
  <c r="AK61" i="8"/>
  <c r="AJ61" i="8"/>
  <c r="AI61" i="8"/>
  <c r="AH61" i="8"/>
  <c r="AG61" i="8"/>
  <c r="AE61" i="8"/>
  <c r="AD61" i="8"/>
  <c r="AC61" i="8"/>
  <c r="AB61" i="8"/>
  <c r="AA61" i="8"/>
  <c r="Z61" i="8"/>
  <c r="Y61" i="8"/>
  <c r="X61" i="8"/>
  <c r="V61" i="8"/>
  <c r="U61" i="8"/>
  <c r="S61" i="8"/>
  <c r="R61" i="8"/>
  <c r="T61" i="8" s="1"/>
  <c r="P61" i="8"/>
  <c r="O61" i="8"/>
  <c r="Q61" i="8" s="1"/>
  <c r="M61" i="8"/>
  <c r="L61" i="8"/>
  <c r="K61" i="8"/>
  <c r="J61" i="8"/>
  <c r="I61" i="8"/>
  <c r="E61" i="8"/>
  <c r="N61" i="8" s="1"/>
  <c r="D61" i="8"/>
  <c r="BR60" i="8"/>
  <c r="BQ60" i="8"/>
  <c r="BP60" i="8"/>
  <c r="BO60" i="8"/>
  <c r="BN60" i="8"/>
  <c r="BM60" i="8"/>
  <c r="BK60" i="8"/>
  <c r="BJ60" i="8"/>
  <c r="BL60" i="8" s="1"/>
  <c r="BI60" i="8"/>
  <c r="BH60" i="8"/>
  <c r="BG60" i="8"/>
  <c r="BF60" i="8"/>
  <c r="BE60" i="8"/>
  <c r="BD60" i="8"/>
  <c r="BC60" i="8"/>
  <c r="BB60" i="8"/>
  <c r="BA60" i="8"/>
  <c r="AZ60" i="8"/>
  <c r="AX60" i="8"/>
  <c r="AV60" i="8"/>
  <c r="AU60" i="8"/>
  <c r="AT60" i="8"/>
  <c r="AR60" i="8"/>
  <c r="AQ60" i="8"/>
  <c r="AP60" i="8"/>
  <c r="AO60" i="8"/>
  <c r="AN60" i="8"/>
  <c r="AM60" i="8"/>
  <c r="AL60" i="8"/>
  <c r="AK60" i="8"/>
  <c r="AJ60" i="8"/>
  <c r="AI60" i="8"/>
  <c r="AH60" i="8"/>
  <c r="AG60" i="8"/>
  <c r="AE60" i="8"/>
  <c r="AD60" i="8"/>
  <c r="AF60" i="8" s="1"/>
  <c r="AC60" i="8"/>
  <c r="AB60" i="8"/>
  <c r="AA60" i="8"/>
  <c r="Z60" i="8"/>
  <c r="Y60" i="8"/>
  <c r="X60" i="8"/>
  <c r="V60" i="8"/>
  <c r="U60" i="8"/>
  <c r="W60" i="8" s="1"/>
  <c r="S60" i="8"/>
  <c r="R60" i="8"/>
  <c r="T60" i="8" s="1"/>
  <c r="P60" i="8"/>
  <c r="O60" i="8"/>
  <c r="Q60" i="8" s="1"/>
  <c r="M60" i="8"/>
  <c r="L60" i="8"/>
  <c r="K60" i="8"/>
  <c r="J60" i="8"/>
  <c r="I60" i="8"/>
  <c r="E60" i="8"/>
  <c r="N60" i="8" s="1"/>
  <c r="D60" i="8"/>
  <c r="BR59" i="8"/>
  <c r="BQ59" i="8"/>
  <c r="BP59" i="8"/>
  <c r="BO59" i="8"/>
  <c r="BN59" i="8"/>
  <c r="BM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X59" i="8"/>
  <c r="AV59" i="8"/>
  <c r="AU59" i="8"/>
  <c r="AT59" i="8"/>
  <c r="AR59" i="8"/>
  <c r="AQ59" i="8"/>
  <c r="AP59" i="8"/>
  <c r="AO59" i="8"/>
  <c r="AN59" i="8"/>
  <c r="AM59" i="8"/>
  <c r="AL59" i="8"/>
  <c r="AK59" i="8"/>
  <c r="AJ59" i="8"/>
  <c r="AI59" i="8"/>
  <c r="AH59" i="8"/>
  <c r="AG59" i="8"/>
  <c r="AE59" i="8"/>
  <c r="AD59" i="8"/>
  <c r="AC59" i="8"/>
  <c r="AB59" i="8"/>
  <c r="AA59" i="8"/>
  <c r="Z59" i="8"/>
  <c r="Y59" i="8"/>
  <c r="X59" i="8"/>
  <c r="V59" i="8"/>
  <c r="U59" i="8"/>
  <c r="S59" i="8"/>
  <c r="R59" i="8"/>
  <c r="T59" i="8" s="1"/>
  <c r="P59" i="8"/>
  <c r="O59" i="8"/>
  <c r="Q59" i="8" s="1"/>
  <c r="M59" i="8"/>
  <c r="L59" i="8"/>
  <c r="K59" i="8"/>
  <c r="J59" i="8"/>
  <c r="I59" i="8"/>
  <c r="E59" i="8"/>
  <c r="N59" i="8" s="1"/>
  <c r="D59" i="8"/>
  <c r="BR58" i="8"/>
  <c r="BQ58" i="8"/>
  <c r="BP58" i="8"/>
  <c r="BO58" i="8"/>
  <c r="BN58" i="8"/>
  <c r="BM58" i="8"/>
  <c r="BK58" i="8"/>
  <c r="BJ58" i="8"/>
  <c r="BL58" i="8" s="1"/>
  <c r="BI58" i="8"/>
  <c r="BH58" i="8"/>
  <c r="BG58" i="8"/>
  <c r="BF58" i="8"/>
  <c r="BE58" i="8"/>
  <c r="BD58" i="8"/>
  <c r="BC58" i="8"/>
  <c r="BB58" i="8"/>
  <c r="BA58" i="8"/>
  <c r="AZ58" i="8"/>
  <c r="AX58" i="8"/>
  <c r="AV58" i="8"/>
  <c r="AU58" i="8"/>
  <c r="AY58" i="8" s="1"/>
  <c r="AT58" i="8"/>
  <c r="AW58" i="8" s="1"/>
  <c r="AR58" i="8"/>
  <c r="AQ58" i="8"/>
  <c r="AP58" i="8"/>
  <c r="AO58" i="8"/>
  <c r="AS58" i="8" s="1"/>
  <c r="AN58" i="8"/>
  <c r="AM58" i="8"/>
  <c r="AL58" i="8"/>
  <c r="AK58" i="8"/>
  <c r="AJ58" i="8"/>
  <c r="AI58" i="8"/>
  <c r="AH58" i="8"/>
  <c r="AG58" i="8"/>
  <c r="AE58" i="8"/>
  <c r="AD58" i="8"/>
  <c r="AF58" i="8" s="1"/>
  <c r="AC58" i="8"/>
  <c r="AB58" i="8"/>
  <c r="AA58" i="8"/>
  <c r="Z58" i="8"/>
  <c r="Y58" i="8"/>
  <c r="X58" i="8"/>
  <c r="V58" i="8"/>
  <c r="U58" i="8"/>
  <c r="W58" i="8" s="1"/>
  <c r="S58" i="8"/>
  <c r="R58" i="8"/>
  <c r="T58" i="8" s="1"/>
  <c r="P58" i="8"/>
  <c r="O58" i="8"/>
  <c r="Q58" i="8" s="1"/>
  <c r="M58" i="8"/>
  <c r="L58" i="8"/>
  <c r="K58" i="8"/>
  <c r="J58" i="8"/>
  <c r="I58" i="8"/>
  <c r="E58" i="8"/>
  <c r="N58" i="8" s="1"/>
  <c r="D58" i="8"/>
  <c r="G58" i="8" s="1"/>
  <c r="BR57" i="8"/>
  <c r="BQ57" i="8"/>
  <c r="BP57" i="8"/>
  <c r="BO57" i="8"/>
  <c r="BN57" i="8"/>
  <c r="BM57" i="8"/>
  <c r="BK57" i="8"/>
  <c r="BJ57" i="8"/>
  <c r="BL57" i="8" s="1"/>
  <c r="BI57" i="8"/>
  <c r="BH57" i="8"/>
  <c r="BG57" i="8"/>
  <c r="BF57" i="8"/>
  <c r="BE57" i="8"/>
  <c r="BD57" i="8"/>
  <c r="BC57" i="8"/>
  <c r="BB57" i="8"/>
  <c r="BA57" i="8"/>
  <c r="AZ57" i="8"/>
  <c r="AX57" i="8"/>
  <c r="AV57" i="8"/>
  <c r="AU57" i="8"/>
  <c r="AT57" i="8"/>
  <c r="AR57" i="8"/>
  <c r="AQ57" i="8"/>
  <c r="AP57" i="8"/>
  <c r="AO57" i="8"/>
  <c r="AN57" i="8"/>
  <c r="AM57" i="8"/>
  <c r="AL57" i="8"/>
  <c r="AK57" i="8"/>
  <c r="AJ57" i="8"/>
  <c r="AI57" i="8"/>
  <c r="AH57" i="8"/>
  <c r="AG57" i="8"/>
  <c r="AE57" i="8"/>
  <c r="AD57" i="8"/>
  <c r="AF57" i="8" s="1"/>
  <c r="AC57" i="8"/>
  <c r="AB57" i="8"/>
  <c r="AA57" i="8"/>
  <c r="Z57" i="8"/>
  <c r="Y57" i="8"/>
  <c r="X57" i="8"/>
  <c r="V57" i="8"/>
  <c r="U57" i="8"/>
  <c r="S57" i="8"/>
  <c r="R57" i="8"/>
  <c r="P57" i="8"/>
  <c r="O57" i="8"/>
  <c r="M57" i="8"/>
  <c r="L57" i="8"/>
  <c r="K57" i="8"/>
  <c r="J57" i="8"/>
  <c r="I57" i="8"/>
  <c r="E57" i="8"/>
  <c r="N57" i="8" s="1"/>
  <c r="D57" i="8"/>
  <c r="BR56" i="8"/>
  <c r="BQ56" i="8"/>
  <c r="BP56" i="8"/>
  <c r="BO56" i="8"/>
  <c r="BN56" i="8"/>
  <c r="BM56" i="8"/>
  <c r="BK56" i="8"/>
  <c r="BJ56" i="8"/>
  <c r="BL56" i="8" s="1"/>
  <c r="BI56" i="8"/>
  <c r="BH56" i="8"/>
  <c r="BG56" i="8"/>
  <c r="BF56" i="8"/>
  <c r="BE56" i="8"/>
  <c r="BD56" i="8"/>
  <c r="BC56" i="8"/>
  <c r="BB56" i="8"/>
  <c r="BA56" i="8"/>
  <c r="AZ56" i="8"/>
  <c r="AX56" i="8"/>
  <c r="AV56" i="8"/>
  <c r="AU56" i="8"/>
  <c r="AY56" i="8" s="1"/>
  <c r="AT56" i="8"/>
  <c r="AW56" i="8" s="1"/>
  <c r="AR56" i="8"/>
  <c r="AQ56" i="8"/>
  <c r="AP56" i="8"/>
  <c r="AO56" i="8"/>
  <c r="AS56" i="8" s="1"/>
  <c r="AN56" i="8"/>
  <c r="AM56" i="8"/>
  <c r="AL56" i="8"/>
  <c r="AK56" i="8"/>
  <c r="AJ56" i="8"/>
  <c r="AI56" i="8"/>
  <c r="AH56" i="8"/>
  <c r="AG56" i="8"/>
  <c r="AE56" i="8"/>
  <c r="AD56" i="8"/>
  <c r="AF56" i="8" s="1"/>
  <c r="AC56" i="8"/>
  <c r="AB56" i="8"/>
  <c r="AA56" i="8"/>
  <c r="Z56" i="8"/>
  <c r="Y56" i="8"/>
  <c r="X56" i="8"/>
  <c r="V56" i="8"/>
  <c r="U56" i="8"/>
  <c r="W56" i="8" s="1"/>
  <c r="S56" i="8"/>
  <c r="R56" i="8"/>
  <c r="T56" i="8" s="1"/>
  <c r="P56" i="8"/>
  <c r="O56" i="8"/>
  <c r="Q56" i="8" s="1"/>
  <c r="M56" i="8"/>
  <c r="L56" i="8"/>
  <c r="K56" i="8"/>
  <c r="J56" i="8"/>
  <c r="I56" i="8"/>
  <c r="E56" i="8"/>
  <c r="N56" i="8" s="1"/>
  <c r="D56" i="8"/>
  <c r="BR55" i="8"/>
  <c r="BQ55" i="8"/>
  <c r="BP55" i="8"/>
  <c r="BO55" i="8"/>
  <c r="BN55" i="8"/>
  <c r="BM55" i="8"/>
  <c r="BK55" i="8"/>
  <c r="BJ55" i="8"/>
  <c r="BI55" i="8"/>
  <c r="BH55" i="8"/>
  <c r="BG55" i="8"/>
  <c r="BF55" i="8"/>
  <c r="BE55" i="8"/>
  <c r="BD55" i="8"/>
  <c r="BC55" i="8"/>
  <c r="BB55" i="8"/>
  <c r="BA55" i="8"/>
  <c r="AZ55" i="8"/>
  <c r="AX55" i="8"/>
  <c r="AV55" i="8"/>
  <c r="AU55" i="8"/>
  <c r="AT55" i="8"/>
  <c r="AR55" i="8"/>
  <c r="AQ55" i="8"/>
  <c r="AP55" i="8"/>
  <c r="AO55" i="8"/>
  <c r="AN55" i="8"/>
  <c r="AM55" i="8"/>
  <c r="AL55" i="8"/>
  <c r="AK55" i="8"/>
  <c r="AJ55" i="8"/>
  <c r="AI55" i="8"/>
  <c r="AH55" i="8"/>
  <c r="AG55" i="8"/>
  <c r="AE55" i="8"/>
  <c r="AD55" i="8"/>
  <c r="AC55" i="8"/>
  <c r="AB55" i="8"/>
  <c r="AA55" i="8"/>
  <c r="Z55" i="8"/>
  <c r="Y55" i="8"/>
  <c r="X55" i="8"/>
  <c r="V55" i="8"/>
  <c r="U55" i="8"/>
  <c r="S55" i="8"/>
  <c r="R55" i="8"/>
  <c r="T55" i="8" s="1"/>
  <c r="P55" i="8"/>
  <c r="O55" i="8"/>
  <c r="Q55" i="8" s="1"/>
  <c r="M55" i="8"/>
  <c r="L55" i="8"/>
  <c r="K55" i="8"/>
  <c r="J55" i="8"/>
  <c r="I55" i="8"/>
  <c r="E55" i="8"/>
  <c r="N55" i="8" s="1"/>
  <c r="D55" i="8"/>
  <c r="BR54" i="8"/>
  <c r="BQ54" i="8"/>
  <c r="BP54" i="8"/>
  <c r="BO54" i="8"/>
  <c r="BN54" i="8"/>
  <c r="BM54" i="8"/>
  <c r="BK54" i="8"/>
  <c r="BJ54" i="8"/>
  <c r="BI54" i="8"/>
  <c r="BH54" i="8"/>
  <c r="BG54" i="8"/>
  <c r="BF54" i="8"/>
  <c r="BE54" i="8"/>
  <c r="BD54" i="8"/>
  <c r="BC54" i="8"/>
  <c r="BB54" i="8"/>
  <c r="BA54" i="8"/>
  <c r="AZ54" i="8"/>
  <c r="AX54" i="8"/>
  <c r="AV54" i="8"/>
  <c r="AU54" i="8"/>
  <c r="AT54" i="8"/>
  <c r="AR54" i="8"/>
  <c r="AQ54" i="8"/>
  <c r="AP54" i="8"/>
  <c r="AO54" i="8"/>
  <c r="AN54" i="8"/>
  <c r="AM54" i="8"/>
  <c r="AL54" i="8"/>
  <c r="AK54" i="8"/>
  <c r="AJ54" i="8"/>
  <c r="AI54" i="8"/>
  <c r="AH54" i="8"/>
  <c r="AG54" i="8"/>
  <c r="AE54" i="8"/>
  <c r="AD54" i="8"/>
  <c r="AC54" i="8"/>
  <c r="AB54" i="8"/>
  <c r="AA54" i="8"/>
  <c r="Z54" i="8"/>
  <c r="Y54" i="8"/>
  <c r="X54" i="8"/>
  <c r="V54" i="8"/>
  <c r="U54" i="8"/>
  <c r="W54" i="8" s="1"/>
  <c r="S54" i="8"/>
  <c r="R54" i="8"/>
  <c r="P54" i="8"/>
  <c r="O54" i="8"/>
  <c r="M54" i="8"/>
  <c r="L54" i="8"/>
  <c r="K54" i="8"/>
  <c r="J54" i="8"/>
  <c r="I54" i="8"/>
  <c r="E54" i="8"/>
  <c r="D54" i="8"/>
  <c r="BR53" i="8"/>
  <c r="BQ53" i="8"/>
  <c r="BP53" i="8"/>
  <c r="BO53" i="8"/>
  <c r="BN53" i="8"/>
  <c r="BM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X53" i="8"/>
  <c r="AV53" i="8"/>
  <c r="AU53" i="8"/>
  <c r="AT53" i="8"/>
  <c r="AR53" i="8"/>
  <c r="AQ53" i="8"/>
  <c r="AP53" i="8"/>
  <c r="AO53" i="8"/>
  <c r="AS53" i="8" s="1"/>
  <c r="AN53" i="8"/>
  <c r="AM53" i="8"/>
  <c r="AL53" i="8"/>
  <c r="AK53" i="8"/>
  <c r="AJ53" i="8"/>
  <c r="AI53" i="8"/>
  <c r="AH53" i="8"/>
  <c r="AG53" i="8"/>
  <c r="AE53" i="8"/>
  <c r="AD53" i="8"/>
  <c r="AC53" i="8"/>
  <c r="AB53" i="8"/>
  <c r="AA53" i="8"/>
  <c r="Z53" i="8"/>
  <c r="Y53" i="8"/>
  <c r="X53" i="8"/>
  <c r="V53" i="8"/>
  <c r="U53" i="8"/>
  <c r="W53" i="8" s="1"/>
  <c r="S53" i="8"/>
  <c r="R53" i="8"/>
  <c r="T53" i="8" s="1"/>
  <c r="P53" i="8"/>
  <c r="O53" i="8"/>
  <c r="Q53" i="8" s="1"/>
  <c r="M53" i="8"/>
  <c r="L53" i="8"/>
  <c r="K53" i="8"/>
  <c r="J53" i="8"/>
  <c r="I53" i="8"/>
  <c r="E53" i="8"/>
  <c r="N53" i="8" s="1"/>
  <c r="D53" i="8"/>
  <c r="BR51" i="8"/>
  <c r="BQ51" i="8"/>
  <c r="BP51" i="8"/>
  <c r="BO51" i="8"/>
  <c r="BN51" i="8"/>
  <c r="BM51" i="8"/>
  <c r="BK51" i="8"/>
  <c r="BJ51" i="8"/>
  <c r="BL51" i="8" s="1"/>
  <c r="BI51" i="8"/>
  <c r="BH51" i="8"/>
  <c r="BG51" i="8"/>
  <c r="BF51" i="8"/>
  <c r="BE51" i="8"/>
  <c r="BD51" i="8"/>
  <c r="BC51" i="8"/>
  <c r="BB51" i="8"/>
  <c r="BA51" i="8"/>
  <c r="AZ51" i="8"/>
  <c r="AX51" i="8"/>
  <c r="AV51" i="8"/>
  <c r="AU51" i="8"/>
  <c r="AY51" i="8" s="1"/>
  <c r="AT51" i="8"/>
  <c r="AW51" i="8" s="1"/>
  <c r="AR51" i="8"/>
  <c r="AQ51" i="8"/>
  <c r="AP51" i="8"/>
  <c r="AO51" i="8"/>
  <c r="AS51" i="8" s="1"/>
  <c r="AN51" i="8"/>
  <c r="AM51" i="8"/>
  <c r="AL51" i="8"/>
  <c r="AK51" i="8"/>
  <c r="AJ51" i="8"/>
  <c r="AI51" i="8"/>
  <c r="AH51" i="8"/>
  <c r="AG51" i="8"/>
  <c r="AE51" i="8"/>
  <c r="AD51" i="8"/>
  <c r="AF51" i="8" s="1"/>
  <c r="AC51" i="8"/>
  <c r="AB51" i="8"/>
  <c r="AA51" i="8"/>
  <c r="Z51" i="8"/>
  <c r="Y51" i="8"/>
  <c r="X51" i="8"/>
  <c r="V51" i="8"/>
  <c r="U51" i="8"/>
  <c r="W51" i="8" s="1"/>
  <c r="S51" i="8"/>
  <c r="R51" i="8"/>
  <c r="P51" i="8"/>
  <c r="O51" i="8"/>
  <c r="M51" i="8"/>
  <c r="L51" i="8"/>
  <c r="K51" i="8"/>
  <c r="J51" i="8"/>
  <c r="I51" i="8"/>
  <c r="E51" i="8"/>
  <c r="N51" i="8" s="1"/>
  <c r="D51" i="8"/>
  <c r="BR50" i="8"/>
  <c r="BQ50" i="8"/>
  <c r="BP50" i="8"/>
  <c r="BO50" i="8"/>
  <c r="BN50" i="8"/>
  <c r="BM50" i="8"/>
  <c r="BK50" i="8"/>
  <c r="BJ50" i="8"/>
  <c r="BI50" i="8"/>
  <c r="BH50" i="8"/>
  <c r="BG50" i="8"/>
  <c r="BF50" i="8"/>
  <c r="BE50" i="8"/>
  <c r="BD50" i="8"/>
  <c r="BC50" i="8"/>
  <c r="BB50" i="8"/>
  <c r="BA50" i="8"/>
  <c r="AZ50" i="8"/>
  <c r="AX50" i="8"/>
  <c r="AV50" i="8"/>
  <c r="AU50" i="8"/>
  <c r="AT50" i="8"/>
  <c r="AR50" i="8"/>
  <c r="AQ50" i="8"/>
  <c r="AP50" i="8"/>
  <c r="AO50" i="8"/>
  <c r="AN50" i="8"/>
  <c r="AM50" i="8"/>
  <c r="AL50" i="8"/>
  <c r="AK50" i="8"/>
  <c r="AJ50" i="8"/>
  <c r="AI50" i="8"/>
  <c r="AH50" i="8"/>
  <c r="AG50" i="8"/>
  <c r="AE50" i="8"/>
  <c r="AD50" i="8"/>
  <c r="AF50" i="8" s="1"/>
  <c r="AC50" i="8"/>
  <c r="AB50" i="8"/>
  <c r="AA50" i="8"/>
  <c r="Z50" i="8"/>
  <c r="Y50" i="8"/>
  <c r="X50" i="8"/>
  <c r="V50" i="8"/>
  <c r="U50" i="8"/>
  <c r="S50" i="8"/>
  <c r="R50" i="8"/>
  <c r="P50" i="8"/>
  <c r="O50" i="8"/>
  <c r="M50" i="8"/>
  <c r="L50" i="8"/>
  <c r="K50" i="8"/>
  <c r="J50" i="8"/>
  <c r="I50" i="8"/>
  <c r="E50" i="8"/>
  <c r="N50" i="8" s="1"/>
  <c r="D50" i="8"/>
  <c r="BR49" i="8"/>
  <c r="BQ49" i="8"/>
  <c r="BP49" i="8"/>
  <c r="BO49" i="8"/>
  <c r="BN49" i="8"/>
  <c r="BM49" i="8"/>
  <c r="BK49" i="8"/>
  <c r="BJ49" i="8"/>
  <c r="BI49" i="8"/>
  <c r="BH49" i="8"/>
  <c r="BG49" i="8"/>
  <c r="BF49" i="8"/>
  <c r="BE49" i="8"/>
  <c r="BD49" i="8"/>
  <c r="BC49" i="8"/>
  <c r="BB49" i="8"/>
  <c r="BA49" i="8"/>
  <c r="AZ49" i="8"/>
  <c r="AX49" i="8"/>
  <c r="AV49" i="8"/>
  <c r="AU49" i="8"/>
  <c r="AY49" i="8" s="1"/>
  <c r="AT49" i="8"/>
  <c r="AW49" i="8" s="1"/>
  <c r="AR49" i="8"/>
  <c r="AQ49" i="8"/>
  <c r="AP49" i="8"/>
  <c r="AO49" i="8"/>
  <c r="AS49" i="8" s="1"/>
  <c r="AN49" i="8"/>
  <c r="AM49" i="8"/>
  <c r="AL49" i="8"/>
  <c r="AK49" i="8"/>
  <c r="AJ49" i="8"/>
  <c r="AI49" i="8"/>
  <c r="AH49" i="8"/>
  <c r="AG49" i="8"/>
  <c r="AE49" i="8"/>
  <c r="AD49" i="8"/>
  <c r="AC49" i="8"/>
  <c r="AB49" i="8"/>
  <c r="AA49" i="8"/>
  <c r="Z49" i="8"/>
  <c r="Y49" i="8"/>
  <c r="X49" i="8"/>
  <c r="V49" i="8"/>
  <c r="U49" i="8"/>
  <c r="W49" i="8" s="1"/>
  <c r="S49" i="8"/>
  <c r="R49" i="8"/>
  <c r="T49" i="8" s="1"/>
  <c r="P49" i="8"/>
  <c r="O49" i="8"/>
  <c r="M49" i="8"/>
  <c r="L49" i="8"/>
  <c r="K49" i="8"/>
  <c r="J49" i="8"/>
  <c r="I49" i="8"/>
  <c r="E49" i="8"/>
  <c r="D49" i="8"/>
  <c r="BR48" i="8"/>
  <c r="BQ48" i="8"/>
  <c r="BP48" i="8"/>
  <c r="BO48" i="8"/>
  <c r="BN48" i="8"/>
  <c r="BM48" i="8"/>
  <c r="BK48" i="8"/>
  <c r="BJ48" i="8"/>
  <c r="BI48" i="8"/>
  <c r="BH48" i="8"/>
  <c r="BG48" i="8"/>
  <c r="BF48" i="8"/>
  <c r="BE48" i="8"/>
  <c r="BD48" i="8"/>
  <c r="BC48" i="8"/>
  <c r="BB48" i="8"/>
  <c r="BA48" i="8"/>
  <c r="AZ48" i="8"/>
  <c r="AX48" i="8"/>
  <c r="AV48" i="8"/>
  <c r="AU48" i="8"/>
  <c r="AY48" i="8" s="1"/>
  <c r="AT48" i="8"/>
  <c r="AW48" i="8" s="1"/>
  <c r="AR48" i="8"/>
  <c r="AQ48" i="8"/>
  <c r="AP48" i="8"/>
  <c r="AO48" i="8"/>
  <c r="AS48" i="8" s="1"/>
  <c r="AN48" i="8"/>
  <c r="AM48" i="8"/>
  <c r="AL48" i="8"/>
  <c r="AK48" i="8"/>
  <c r="AJ48" i="8"/>
  <c r="AI48" i="8"/>
  <c r="AH48" i="8"/>
  <c r="AG48" i="8"/>
  <c r="AE48" i="8"/>
  <c r="AD48" i="8"/>
  <c r="AF48" i="8" s="1"/>
  <c r="AC48" i="8"/>
  <c r="AB48" i="8"/>
  <c r="AA48" i="8"/>
  <c r="Z48" i="8"/>
  <c r="Y48" i="8"/>
  <c r="X48" i="8"/>
  <c r="V48" i="8"/>
  <c r="U48" i="8"/>
  <c r="W48" i="8" s="1"/>
  <c r="S48" i="8"/>
  <c r="R48" i="8"/>
  <c r="P48" i="8"/>
  <c r="O48" i="8"/>
  <c r="Q48" i="8" s="1"/>
  <c r="M48" i="8"/>
  <c r="L48" i="8"/>
  <c r="K48" i="8"/>
  <c r="J48" i="8"/>
  <c r="I48" i="8"/>
  <c r="E48" i="8"/>
  <c r="N48" i="8" s="1"/>
  <c r="D48" i="8"/>
  <c r="BR47" i="8"/>
  <c r="BQ47" i="8"/>
  <c r="BP47" i="8"/>
  <c r="BO47" i="8"/>
  <c r="BN47" i="8"/>
  <c r="BM47" i="8"/>
  <c r="BK47" i="8"/>
  <c r="BJ47" i="8"/>
  <c r="BL47" i="8" s="1"/>
  <c r="BI47" i="8"/>
  <c r="BH47" i="8"/>
  <c r="BG47" i="8"/>
  <c r="BF47" i="8"/>
  <c r="BE47" i="8"/>
  <c r="BD47" i="8"/>
  <c r="BC47" i="8"/>
  <c r="BB47" i="8"/>
  <c r="BA47" i="8"/>
  <c r="AZ47" i="8"/>
  <c r="AX47" i="8"/>
  <c r="AV47" i="8"/>
  <c r="AU47" i="8"/>
  <c r="AT47" i="8"/>
  <c r="AR47" i="8"/>
  <c r="AQ47" i="8"/>
  <c r="AP47" i="8"/>
  <c r="AO47" i="8"/>
  <c r="AN47" i="8"/>
  <c r="AM47" i="8"/>
  <c r="AL47" i="8"/>
  <c r="AK47" i="8"/>
  <c r="AJ47" i="8"/>
  <c r="AI47" i="8"/>
  <c r="AH47" i="8"/>
  <c r="AG47" i="8"/>
  <c r="AE47" i="8"/>
  <c r="AD47" i="8"/>
  <c r="AF47" i="8" s="1"/>
  <c r="AC47" i="8"/>
  <c r="AB47" i="8"/>
  <c r="AA47" i="8"/>
  <c r="Z47" i="8"/>
  <c r="Y47" i="8"/>
  <c r="X47" i="8"/>
  <c r="V47" i="8"/>
  <c r="U47" i="8"/>
  <c r="S47" i="8"/>
  <c r="R47" i="8"/>
  <c r="T47" i="8" s="1"/>
  <c r="P47" i="8"/>
  <c r="O47" i="8"/>
  <c r="Q47" i="8" s="1"/>
  <c r="M47" i="8"/>
  <c r="L47" i="8"/>
  <c r="K47" i="8"/>
  <c r="J47" i="8"/>
  <c r="I47" i="8"/>
  <c r="E47" i="8"/>
  <c r="N47" i="8" s="1"/>
  <c r="D47" i="8"/>
  <c r="BR46" i="8"/>
  <c r="BQ46" i="8"/>
  <c r="BP46" i="8"/>
  <c r="BO46" i="8"/>
  <c r="BN46" i="8"/>
  <c r="BM46" i="8"/>
  <c r="BK46" i="8"/>
  <c r="BJ46" i="8"/>
  <c r="BL46" i="8" s="1"/>
  <c r="BI46" i="8"/>
  <c r="BH46" i="8"/>
  <c r="BG46" i="8"/>
  <c r="BF46" i="8"/>
  <c r="BE46" i="8"/>
  <c r="BD46" i="8"/>
  <c r="BC46" i="8"/>
  <c r="BB46" i="8"/>
  <c r="BA46" i="8"/>
  <c r="AZ46" i="8"/>
  <c r="AX46" i="8"/>
  <c r="AV46" i="8"/>
  <c r="AU46" i="8"/>
  <c r="AY46" i="8" s="1"/>
  <c r="AT46" i="8"/>
  <c r="AW46" i="8" s="1"/>
  <c r="AR46" i="8"/>
  <c r="AQ46" i="8"/>
  <c r="AP46" i="8"/>
  <c r="AO46" i="8"/>
  <c r="AN46" i="8"/>
  <c r="AM46" i="8"/>
  <c r="AL46" i="8"/>
  <c r="AK46" i="8"/>
  <c r="AJ46" i="8"/>
  <c r="AI46" i="8"/>
  <c r="AH46" i="8"/>
  <c r="AG46" i="8"/>
  <c r="AE46" i="8"/>
  <c r="AD46" i="8"/>
  <c r="AC46" i="8"/>
  <c r="AB46" i="8"/>
  <c r="AA46" i="8"/>
  <c r="Z46" i="8"/>
  <c r="Y46" i="8"/>
  <c r="X46" i="8"/>
  <c r="V46" i="8"/>
  <c r="U46" i="8"/>
  <c r="W46" i="8" s="1"/>
  <c r="S46" i="8"/>
  <c r="R46" i="8"/>
  <c r="P46" i="8"/>
  <c r="O46" i="8"/>
  <c r="Q46" i="8" s="1"/>
  <c r="M46" i="8"/>
  <c r="L46" i="8"/>
  <c r="K46" i="8"/>
  <c r="J46" i="8"/>
  <c r="I46" i="8"/>
  <c r="E46" i="8"/>
  <c r="D46" i="8"/>
  <c r="BR45" i="8"/>
  <c r="BQ45" i="8"/>
  <c r="BP45" i="8"/>
  <c r="BO45" i="8"/>
  <c r="BN45" i="8"/>
  <c r="BM45" i="8"/>
  <c r="BK45" i="8"/>
  <c r="BJ45" i="8"/>
  <c r="BL45" i="8" s="1"/>
  <c r="BI45" i="8"/>
  <c r="BH45" i="8"/>
  <c r="BG45" i="8"/>
  <c r="BF45" i="8"/>
  <c r="BE45" i="8"/>
  <c r="BD45" i="8"/>
  <c r="BC45" i="8"/>
  <c r="BB45" i="8"/>
  <c r="BA45" i="8"/>
  <c r="AZ45" i="8"/>
  <c r="AX45" i="8"/>
  <c r="AV45" i="8"/>
  <c r="AU45" i="8"/>
  <c r="AY45" i="8" s="1"/>
  <c r="AT45" i="8"/>
  <c r="AW45" i="8" s="1"/>
  <c r="AR45" i="8"/>
  <c r="AQ45" i="8"/>
  <c r="AP45" i="8"/>
  <c r="AO45" i="8"/>
  <c r="AS45" i="8" s="1"/>
  <c r="AN45" i="8"/>
  <c r="AM45" i="8"/>
  <c r="AL45" i="8"/>
  <c r="AK45" i="8"/>
  <c r="AJ45" i="8"/>
  <c r="AI45" i="8"/>
  <c r="AH45" i="8"/>
  <c r="AG45" i="8"/>
  <c r="AE45" i="8"/>
  <c r="AD45" i="8"/>
  <c r="AF45" i="8" s="1"/>
  <c r="AC45" i="8"/>
  <c r="AB45" i="8"/>
  <c r="AA45" i="8"/>
  <c r="Z45" i="8"/>
  <c r="Y45" i="8"/>
  <c r="X45" i="8"/>
  <c r="V45" i="8"/>
  <c r="U45" i="8"/>
  <c r="S45" i="8"/>
  <c r="R45" i="8"/>
  <c r="T45" i="8" s="1"/>
  <c r="P45" i="8"/>
  <c r="O45" i="8"/>
  <c r="Q45" i="8" s="1"/>
  <c r="M45" i="8"/>
  <c r="L45" i="8"/>
  <c r="K45" i="8"/>
  <c r="J45" i="8"/>
  <c r="I45" i="8"/>
  <c r="E45" i="8"/>
  <c r="D45" i="8"/>
  <c r="BR44" i="8"/>
  <c r="BQ44" i="8"/>
  <c r="BP44" i="8"/>
  <c r="BO44" i="8"/>
  <c r="BN44" i="8"/>
  <c r="BM44" i="8"/>
  <c r="BK44" i="8"/>
  <c r="BJ44" i="8"/>
  <c r="BL44" i="8" s="1"/>
  <c r="BI44" i="8"/>
  <c r="BH44" i="8"/>
  <c r="BG44" i="8"/>
  <c r="BF44" i="8"/>
  <c r="BE44" i="8"/>
  <c r="BD44" i="8"/>
  <c r="BC44" i="8"/>
  <c r="BB44" i="8"/>
  <c r="BA44" i="8"/>
  <c r="AZ44" i="8"/>
  <c r="AX44" i="8"/>
  <c r="AV44" i="8"/>
  <c r="AU44" i="8"/>
  <c r="AY44" i="8" s="1"/>
  <c r="AT44" i="8"/>
  <c r="AW44" i="8" s="1"/>
  <c r="AR44" i="8"/>
  <c r="AQ44" i="8"/>
  <c r="AP44" i="8"/>
  <c r="AO44" i="8"/>
  <c r="AS44" i="8" s="1"/>
  <c r="AN44" i="8"/>
  <c r="AM44" i="8"/>
  <c r="AL44" i="8"/>
  <c r="AK44" i="8"/>
  <c r="AJ44" i="8"/>
  <c r="AI44" i="8"/>
  <c r="AH44" i="8"/>
  <c r="AG44" i="8"/>
  <c r="AE44" i="8"/>
  <c r="AD44" i="8"/>
  <c r="AF44" i="8" s="1"/>
  <c r="AC44" i="8"/>
  <c r="AB44" i="8"/>
  <c r="AA44" i="8"/>
  <c r="Z44" i="8"/>
  <c r="Y44" i="8"/>
  <c r="X44" i="8"/>
  <c r="V44" i="8"/>
  <c r="U44" i="8"/>
  <c r="W44" i="8" s="1"/>
  <c r="S44" i="8"/>
  <c r="R44" i="8"/>
  <c r="T44" i="8" s="1"/>
  <c r="P44" i="8"/>
  <c r="O44" i="8"/>
  <c r="Q44" i="8" s="1"/>
  <c r="M44" i="8"/>
  <c r="L44" i="8"/>
  <c r="K44" i="8"/>
  <c r="J44" i="8"/>
  <c r="I44" i="8"/>
  <c r="E44" i="8"/>
  <c r="N44" i="8" s="1"/>
  <c r="D44" i="8"/>
  <c r="G44" i="8" s="1"/>
  <c r="BR43" i="8"/>
  <c r="BQ43" i="8"/>
  <c r="BP43" i="8"/>
  <c r="BO43" i="8"/>
  <c r="BN43" i="8"/>
  <c r="BM43" i="8"/>
  <c r="BK43" i="8"/>
  <c r="BJ43" i="8"/>
  <c r="BL43" i="8" s="1"/>
  <c r="BI43" i="8"/>
  <c r="BH43" i="8"/>
  <c r="BG43" i="8"/>
  <c r="BF43" i="8"/>
  <c r="BE43" i="8"/>
  <c r="BD43" i="8"/>
  <c r="BC43" i="8"/>
  <c r="BB43" i="8"/>
  <c r="BA43" i="8"/>
  <c r="AZ43" i="8"/>
  <c r="AX43" i="8"/>
  <c r="AV43" i="8"/>
  <c r="AU43" i="8"/>
  <c r="AT43" i="8"/>
  <c r="AR43" i="8"/>
  <c r="AQ43" i="8"/>
  <c r="AP43" i="8"/>
  <c r="AO43" i="8"/>
  <c r="AS43" i="8" s="1"/>
  <c r="AN43" i="8"/>
  <c r="AM43" i="8"/>
  <c r="AL43" i="8"/>
  <c r="AK43" i="8"/>
  <c r="AJ43" i="8"/>
  <c r="AI43" i="8"/>
  <c r="AH43" i="8"/>
  <c r="AG43" i="8"/>
  <c r="AE43" i="8"/>
  <c r="AD43" i="8"/>
  <c r="AC43" i="8"/>
  <c r="AB43" i="8"/>
  <c r="AA43" i="8"/>
  <c r="Z43" i="8"/>
  <c r="Y43" i="8"/>
  <c r="X43" i="8"/>
  <c r="V43" i="8"/>
  <c r="U43" i="8"/>
  <c r="W43" i="8" s="1"/>
  <c r="S43" i="8"/>
  <c r="R43" i="8"/>
  <c r="T43" i="8" s="1"/>
  <c r="P43" i="8"/>
  <c r="O43" i="8"/>
  <c r="Q43" i="8" s="1"/>
  <c r="M43" i="8"/>
  <c r="L43" i="8"/>
  <c r="K43" i="8"/>
  <c r="J43" i="8"/>
  <c r="I43" i="8"/>
  <c r="E43" i="8"/>
  <c r="D43" i="8"/>
  <c r="BR42" i="8"/>
  <c r="BQ42" i="8"/>
  <c r="BP42" i="8"/>
  <c r="BO42" i="8"/>
  <c r="BN42" i="8"/>
  <c r="BM42" i="8"/>
  <c r="BK42" i="8"/>
  <c r="BJ42" i="8"/>
  <c r="BL42" i="8" s="1"/>
  <c r="BI42" i="8"/>
  <c r="BH42" i="8"/>
  <c r="BG42" i="8"/>
  <c r="BF42" i="8"/>
  <c r="BE42" i="8"/>
  <c r="BD42" i="8"/>
  <c r="BC42" i="8"/>
  <c r="BB42" i="8"/>
  <c r="BA42" i="8"/>
  <c r="AZ42" i="8"/>
  <c r="AX42" i="8"/>
  <c r="AV42" i="8"/>
  <c r="AU42" i="8"/>
  <c r="AY42" i="8" s="1"/>
  <c r="AT42" i="8"/>
  <c r="AW42" i="8" s="1"/>
  <c r="AR42" i="8"/>
  <c r="AQ42" i="8"/>
  <c r="AP42" i="8"/>
  <c r="AO42" i="8"/>
  <c r="AN42" i="8"/>
  <c r="AM42" i="8"/>
  <c r="AL42" i="8"/>
  <c r="AK42" i="8"/>
  <c r="AJ42" i="8"/>
  <c r="AI42" i="8"/>
  <c r="AH42" i="8"/>
  <c r="AG42" i="8"/>
  <c r="AE42" i="8"/>
  <c r="AD42" i="8"/>
  <c r="AC42" i="8"/>
  <c r="AB42" i="8"/>
  <c r="AA42" i="8"/>
  <c r="Z42" i="8"/>
  <c r="Y42" i="8"/>
  <c r="X42" i="8"/>
  <c r="V42" i="8"/>
  <c r="U42" i="8"/>
  <c r="S42" i="8"/>
  <c r="R42" i="8"/>
  <c r="T42" i="8" s="1"/>
  <c r="P42" i="8"/>
  <c r="O42" i="8"/>
  <c r="Q42" i="8" s="1"/>
  <c r="M42" i="8"/>
  <c r="L42" i="8"/>
  <c r="K42" i="8"/>
  <c r="J42" i="8"/>
  <c r="I42" i="8"/>
  <c r="E42" i="8"/>
  <c r="D42" i="8"/>
  <c r="BR41" i="8"/>
  <c r="BQ41" i="8"/>
  <c r="BP41" i="8"/>
  <c r="BO41" i="8"/>
  <c r="BN41" i="8"/>
  <c r="BM41" i="8"/>
  <c r="BK41" i="8"/>
  <c r="BJ41" i="8"/>
  <c r="BL41" i="8" s="1"/>
  <c r="BI41" i="8"/>
  <c r="BH41" i="8"/>
  <c r="BG41" i="8"/>
  <c r="BF41" i="8"/>
  <c r="BE41" i="8"/>
  <c r="BD41" i="8"/>
  <c r="BC41" i="8"/>
  <c r="BB41" i="8"/>
  <c r="BA41" i="8"/>
  <c r="AZ41" i="8"/>
  <c r="AX41" i="8"/>
  <c r="AV41" i="8"/>
  <c r="AU41" i="8"/>
  <c r="AY41" i="8" s="1"/>
  <c r="AT41" i="8"/>
  <c r="AW41" i="8" s="1"/>
  <c r="AR41" i="8"/>
  <c r="AQ41" i="8"/>
  <c r="AP41" i="8"/>
  <c r="AO41" i="8"/>
  <c r="AS41" i="8" s="1"/>
  <c r="AN41" i="8"/>
  <c r="AM41" i="8"/>
  <c r="AL41" i="8"/>
  <c r="AK41" i="8"/>
  <c r="AJ41" i="8"/>
  <c r="AI41" i="8"/>
  <c r="AH41" i="8"/>
  <c r="AG41" i="8"/>
  <c r="AE41" i="8"/>
  <c r="AD41" i="8"/>
  <c r="AF41" i="8" s="1"/>
  <c r="AC41" i="8"/>
  <c r="AB41" i="8"/>
  <c r="AA41" i="8"/>
  <c r="Z41" i="8"/>
  <c r="Y41" i="8"/>
  <c r="X41" i="8"/>
  <c r="V41" i="8"/>
  <c r="U41" i="8"/>
  <c r="W41" i="8" s="1"/>
  <c r="S41" i="8"/>
  <c r="R41" i="8"/>
  <c r="T41" i="8" s="1"/>
  <c r="P41" i="8"/>
  <c r="O41" i="8"/>
  <c r="Q41" i="8" s="1"/>
  <c r="M41" i="8"/>
  <c r="L41" i="8"/>
  <c r="K41" i="8"/>
  <c r="J41" i="8"/>
  <c r="I41" i="8"/>
  <c r="E41" i="8"/>
  <c r="N41" i="8" s="1"/>
  <c r="D41" i="8"/>
  <c r="BR40" i="8"/>
  <c r="BQ40" i="8"/>
  <c r="BP40" i="8"/>
  <c r="BO40" i="8"/>
  <c r="BN40" i="8"/>
  <c r="BM40" i="8"/>
  <c r="BK40" i="8"/>
  <c r="BJ40" i="8"/>
  <c r="BL40" i="8" s="1"/>
  <c r="BI40" i="8"/>
  <c r="BH40" i="8"/>
  <c r="BG40" i="8"/>
  <c r="BF40" i="8"/>
  <c r="BE40" i="8"/>
  <c r="BD40" i="8"/>
  <c r="BC40" i="8"/>
  <c r="BB40" i="8"/>
  <c r="BA40" i="8"/>
  <c r="AZ40" i="8"/>
  <c r="AX40" i="8"/>
  <c r="AV40" i="8"/>
  <c r="AU40" i="8"/>
  <c r="AY40" i="8" s="1"/>
  <c r="AT40" i="8"/>
  <c r="AW40" i="8" s="1"/>
  <c r="AR40" i="8"/>
  <c r="AQ40" i="8"/>
  <c r="AP40" i="8"/>
  <c r="AO40" i="8"/>
  <c r="AS40" i="8" s="1"/>
  <c r="AN40" i="8"/>
  <c r="AM40" i="8"/>
  <c r="AL40" i="8"/>
  <c r="AK40" i="8"/>
  <c r="AJ40" i="8"/>
  <c r="AI40" i="8"/>
  <c r="AH40" i="8"/>
  <c r="AG40" i="8"/>
  <c r="AE40" i="8"/>
  <c r="AD40" i="8"/>
  <c r="AF40" i="8" s="1"/>
  <c r="AC40" i="8"/>
  <c r="AB40" i="8"/>
  <c r="AA40" i="8"/>
  <c r="Z40" i="8"/>
  <c r="Y40" i="8"/>
  <c r="X40" i="8"/>
  <c r="V40" i="8"/>
  <c r="U40" i="8"/>
  <c r="W40" i="8" s="1"/>
  <c r="S40" i="8"/>
  <c r="R40" i="8"/>
  <c r="T40" i="8" s="1"/>
  <c r="P40" i="8"/>
  <c r="O40" i="8"/>
  <c r="Q40" i="8" s="1"/>
  <c r="M40" i="8"/>
  <c r="L40" i="8"/>
  <c r="K40" i="8"/>
  <c r="J40" i="8"/>
  <c r="I40" i="8"/>
  <c r="E40" i="8"/>
  <c r="D40" i="8"/>
  <c r="G40" i="8" s="1"/>
  <c r="BR39" i="8"/>
  <c r="BQ39" i="8"/>
  <c r="BP39" i="8"/>
  <c r="BO39" i="8"/>
  <c r="BN39" i="8"/>
  <c r="BM39" i="8"/>
  <c r="BK39" i="8"/>
  <c r="BJ39" i="8"/>
  <c r="BL39" i="8" s="1"/>
  <c r="BI39" i="8"/>
  <c r="BH39" i="8"/>
  <c r="BG39" i="8"/>
  <c r="BF39" i="8"/>
  <c r="BE39" i="8"/>
  <c r="BD39" i="8"/>
  <c r="BC39" i="8"/>
  <c r="BB39" i="8"/>
  <c r="BA39" i="8"/>
  <c r="AZ39" i="8"/>
  <c r="AX39" i="8"/>
  <c r="AV39" i="8"/>
  <c r="AU39" i="8"/>
  <c r="AY39" i="8" s="1"/>
  <c r="AT39" i="8"/>
  <c r="AW39" i="8" s="1"/>
  <c r="AR39" i="8"/>
  <c r="AQ39" i="8"/>
  <c r="AP39" i="8"/>
  <c r="AO39" i="8"/>
  <c r="AS39" i="8" s="1"/>
  <c r="AN39" i="8"/>
  <c r="AM39" i="8"/>
  <c r="AL39" i="8"/>
  <c r="AK39" i="8"/>
  <c r="AJ39" i="8"/>
  <c r="AI39" i="8"/>
  <c r="AH39" i="8"/>
  <c r="AG39" i="8"/>
  <c r="AE39" i="8"/>
  <c r="AD39" i="8"/>
  <c r="AF39" i="8" s="1"/>
  <c r="AC39" i="8"/>
  <c r="AB39" i="8"/>
  <c r="AA39" i="8"/>
  <c r="Z39" i="8"/>
  <c r="Y39" i="8"/>
  <c r="X39" i="8"/>
  <c r="V39" i="8"/>
  <c r="U39" i="8"/>
  <c r="W39" i="8" s="1"/>
  <c r="S39" i="8"/>
  <c r="R39" i="8"/>
  <c r="T39" i="8" s="1"/>
  <c r="P39" i="8"/>
  <c r="O39" i="8"/>
  <c r="Q39" i="8" s="1"/>
  <c r="M39" i="8"/>
  <c r="L39" i="8"/>
  <c r="K39" i="8"/>
  <c r="J39" i="8"/>
  <c r="I39" i="8"/>
  <c r="E39" i="8"/>
  <c r="D39" i="8"/>
  <c r="G39" i="8" s="1"/>
  <c r="BR38" i="8"/>
  <c r="BQ38" i="8"/>
  <c r="BP38" i="8"/>
  <c r="BO38" i="8"/>
  <c r="BN38" i="8"/>
  <c r="BM38" i="8"/>
  <c r="BK38" i="8"/>
  <c r="BJ38" i="8"/>
  <c r="BI38" i="8"/>
  <c r="BH38" i="8"/>
  <c r="BG38" i="8"/>
  <c r="BF38" i="8"/>
  <c r="BE38" i="8"/>
  <c r="BD38" i="8"/>
  <c r="BC38" i="8"/>
  <c r="BB38" i="8"/>
  <c r="BA38" i="8"/>
  <c r="AZ38" i="8"/>
  <c r="AX38" i="8"/>
  <c r="AV38" i="8"/>
  <c r="AU38" i="8"/>
  <c r="AT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E38" i="8"/>
  <c r="AD38" i="8"/>
  <c r="AF38" i="8" s="1"/>
  <c r="AC38" i="8"/>
  <c r="AB38" i="8"/>
  <c r="AA38" i="8"/>
  <c r="Z38" i="8"/>
  <c r="Y38" i="8"/>
  <c r="X38" i="8"/>
  <c r="V38" i="8"/>
  <c r="U38" i="8"/>
  <c r="S38" i="8"/>
  <c r="R38" i="8"/>
  <c r="T38" i="8" s="1"/>
  <c r="P38" i="8"/>
  <c r="O38" i="8"/>
  <c r="Q38" i="8" s="1"/>
  <c r="M38" i="8"/>
  <c r="L38" i="8"/>
  <c r="K38" i="8"/>
  <c r="J38" i="8"/>
  <c r="I38" i="8"/>
  <c r="E38" i="8"/>
  <c r="N38" i="8" s="1"/>
  <c r="D38" i="8"/>
  <c r="BR37" i="8"/>
  <c r="BQ37" i="8"/>
  <c r="BP37" i="8"/>
  <c r="BO37" i="8"/>
  <c r="BN37" i="8"/>
  <c r="BM37" i="8"/>
  <c r="BK37" i="8"/>
  <c r="BJ37" i="8"/>
  <c r="BL37" i="8" s="1"/>
  <c r="BI37" i="8"/>
  <c r="BH37" i="8"/>
  <c r="BG37" i="8"/>
  <c r="BF37" i="8"/>
  <c r="BE37" i="8"/>
  <c r="BD37" i="8"/>
  <c r="BC37" i="8"/>
  <c r="BB37" i="8"/>
  <c r="BA37" i="8"/>
  <c r="AZ37" i="8"/>
  <c r="AX37" i="8"/>
  <c r="AV37" i="8"/>
  <c r="AU37" i="8"/>
  <c r="AY37" i="8" s="1"/>
  <c r="AT37" i="8"/>
  <c r="AW37" i="8" s="1"/>
  <c r="AR37" i="8"/>
  <c r="AQ37" i="8"/>
  <c r="AP37" i="8"/>
  <c r="AO37" i="8"/>
  <c r="AS37" i="8" s="1"/>
  <c r="AN37" i="8"/>
  <c r="AM37" i="8"/>
  <c r="AL37" i="8"/>
  <c r="AK37" i="8"/>
  <c r="AJ37" i="8"/>
  <c r="AI37" i="8"/>
  <c r="AH37" i="8"/>
  <c r="AG37" i="8"/>
  <c r="AE37" i="8"/>
  <c r="AD37" i="8"/>
  <c r="AF37" i="8" s="1"/>
  <c r="AC37" i="8"/>
  <c r="AB37" i="8"/>
  <c r="AA37" i="8"/>
  <c r="Z37" i="8"/>
  <c r="Y37" i="8"/>
  <c r="X37" i="8"/>
  <c r="V37" i="8"/>
  <c r="U37" i="8"/>
  <c r="W37" i="8" s="1"/>
  <c r="S37" i="8"/>
  <c r="R37" i="8"/>
  <c r="T37" i="8" s="1"/>
  <c r="P37" i="8"/>
  <c r="O37" i="8"/>
  <c r="Q37" i="8" s="1"/>
  <c r="M37" i="8"/>
  <c r="L37" i="8"/>
  <c r="K37" i="8"/>
  <c r="J37" i="8"/>
  <c r="I37" i="8"/>
  <c r="E37" i="8"/>
  <c r="D37" i="8"/>
  <c r="G37" i="8" s="1"/>
  <c r="BR36" i="8"/>
  <c r="BQ36" i="8"/>
  <c r="BP36" i="8"/>
  <c r="BO36" i="8"/>
  <c r="BN36" i="8"/>
  <c r="BM36" i="8"/>
  <c r="BK36" i="8"/>
  <c r="BJ36" i="8"/>
  <c r="BL36" i="8" s="1"/>
  <c r="BI36" i="8"/>
  <c r="BH36" i="8"/>
  <c r="BG36" i="8"/>
  <c r="BF36" i="8"/>
  <c r="BE36" i="8"/>
  <c r="BD36" i="8"/>
  <c r="BC36" i="8"/>
  <c r="BB36" i="8"/>
  <c r="BA36" i="8"/>
  <c r="AZ36" i="8"/>
  <c r="AX36" i="8"/>
  <c r="AV36" i="8"/>
  <c r="AU36" i="8"/>
  <c r="AY36" i="8" s="1"/>
  <c r="AT36" i="8"/>
  <c r="AW36" i="8" s="1"/>
  <c r="AR36" i="8"/>
  <c r="AQ36" i="8"/>
  <c r="AP36" i="8"/>
  <c r="AO36" i="8"/>
  <c r="AS36" i="8" s="1"/>
  <c r="AN36" i="8"/>
  <c r="AM36" i="8"/>
  <c r="AL36" i="8"/>
  <c r="AK36" i="8"/>
  <c r="AJ36" i="8"/>
  <c r="AI36" i="8"/>
  <c r="AH36" i="8"/>
  <c r="AG36" i="8"/>
  <c r="AE36" i="8"/>
  <c r="AD36" i="8"/>
  <c r="AF36" i="8" s="1"/>
  <c r="AC36" i="8"/>
  <c r="AB36" i="8"/>
  <c r="AA36" i="8"/>
  <c r="Z36" i="8"/>
  <c r="Y36" i="8"/>
  <c r="X36" i="8"/>
  <c r="V36" i="8"/>
  <c r="U36" i="8"/>
  <c r="W36" i="8" s="1"/>
  <c r="S36" i="8"/>
  <c r="R36" i="8"/>
  <c r="P36" i="8"/>
  <c r="O36" i="8"/>
  <c r="Q36" i="8" s="1"/>
  <c r="M36" i="8"/>
  <c r="L36" i="8"/>
  <c r="K36" i="8"/>
  <c r="J36" i="8"/>
  <c r="I36" i="8"/>
  <c r="E36" i="8"/>
  <c r="D36" i="8"/>
  <c r="BR35" i="8"/>
  <c r="BQ35" i="8"/>
  <c r="BP35" i="8"/>
  <c r="BO35" i="8"/>
  <c r="BN35" i="8"/>
  <c r="BM35" i="8"/>
  <c r="BK35" i="8"/>
  <c r="BJ35" i="8"/>
  <c r="BL35" i="8" s="1"/>
  <c r="BI35" i="8"/>
  <c r="BH35" i="8"/>
  <c r="BG35" i="8"/>
  <c r="BF35" i="8"/>
  <c r="BE35" i="8"/>
  <c r="BD35" i="8"/>
  <c r="BC35" i="8"/>
  <c r="BB35" i="8"/>
  <c r="BA35" i="8"/>
  <c r="AZ35" i="8"/>
  <c r="AX35" i="8"/>
  <c r="AV35" i="8"/>
  <c r="AU35" i="8"/>
  <c r="AY35" i="8" s="1"/>
  <c r="AT35" i="8"/>
  <c r="AW35" i="8" s="1"/>
  <c r="AR35" i="8"/>
  <c r="AQ35" i="8"/>
  <c r="AP35" i="8"/>
  <c r="AO35" i="8"/>
  <c r="AS35" i="8" s="1"/>
  <c r="AN35" i="8"/>
  <c r="AM35" i="8"/>
  <c r="AL35" i="8"/>
  <c r="AK35" i="8"/>
  <c r="AJ35" i="8"/>
  <c r="AI35" i="8"/>
  <c r="AH35" i="8"/>
  <c r="AG35" i="8"/>
  <c r="AE35" i="8"/>
  <c r="AD35" i="8"/>
  <c r="AF35" i="8" s="1"/>
  <c r="AC35" i="8"/>
  <c r="AB35" i="8"/>
  <c r="AA35" i="8"/>
  <c r="Z35" i="8"/>
  <c r="Y35" i="8"/>
  <c r="X35" i="8"/>
  <c r="V35" i="8"/>
  <c r="U35" i="8"/>
  <c r="W35" i="8" s="1"/>
  <c r="S35" i="8"/>
  <c r="R35" i="8"/>
  <c r="T35" i="8" s="1"/>
  <c r="P35" i="8"/>
  <c r="O35" i="8"/>
  <c r="M35" i="8"/>
  <c r="L35" i="8"/>
  <c r="K35" i="8"/>
  <c r="J35" i="8"/>
  <c r="I35" i="8"/>
  <c r="E35" i="8"/>
  <c r="N35" i="8" s="1"/>
  <c r="D35" i="8"/>
  <c r="BR34" i="8"/>
  <c r="BQ34" i="8"/>
  <c r="BP34" i="8"/>
  <c r="BO34" i="8"/>
  <c r="BN34" i="8"/>
  <c r="BM34" i="8"/>
  <c r="BK34" i="8"/>
  <c r="BJ34" i="8"/>
  <c r="BI34" i="8"/>
  <c r="BH34" i="8"/>
  <c r="BG34" i="8"/>
  <c r="BF34" i="8"/>
  <c r="BE34" i="8"/>
  <c r="BD34" i="8"/>
  <c r="BC34" i="8"/>
  <c r="BB34" i="8"/>
  <c r="BA34" i="8"/>
  <c r="AZ34" i="8"/>
  <c r="AX34" i="8"/>
  <c r="AV34" i="8"/>
  <c r="AU34" i="8"/>
  <c r="AT34" i="8"/>
  <c r="AR34" i="8"/>
  <c r="AQ34" i="8"/>
  <c r="AP34" i="8"/>
  <c r="AO34" i="8"/>
  <c r="AS34" i="8" s="1"/>
  <c r="AN34" i="8"/>
  <c r="AM34" i="8"/>
  <c r="AL34" i="8"/>
  <c r="AK34" i="8"/>
  <c r="AJ34" i="8"/>
  <c r="AI34" i="8"/>
  <c r="AH34" i="8"/>
  <c r="AG34" i="8"/>
  <c r="AE34" i="8"/>
  <c r="AD34" i="8"/>
  <c r="AC34" i="8"/>
  <c r="AB34" i="8"/>
  <c r="AA34" i="8"/>
  <c r="Z34" i="8"/>
  <c r="Y34" i="8"/>
  <c r="X34" i="8"/>
  <c r="V34" i="8"/>
  <c r="U34" i="8"/>
  <c r="S34" i="8"/>
  <c r="R34" i="8"/>
  <c r="P34" i="8"/>
  <c r="O34" i="8"/>
  <c r="Q34" i="8" s="1"/>
  <c r="M34" i="8"/>
  <c r="L34" i="8"/>
  <c r="K34" i="8"/>
  <c r="J34" i="8"/>
  <c r="I34" i="8"/>
  <c r="E34" i="8"/>
  <c r="D34" i="8"/>
  <c r="BR33" i="8"/>
  <c r="BQ33" i="8"/>
  <c r="BP33" i="8"/>
  <c r="BO33" i="8"/>
  <c r="BN33" i="8"/>
  <c r="BM33" i="8"/>
  <c r="BK33" i="8"/>
  <c r="BJ33" i="8"/>
  <c r="BL33" i="8" s="1"/>
  <c r="BI33" i="8"/>
  <c r="BH33" i="8"/>
  <c r="BG33" i="8"/>
  <c r="BF33" i="8"/>
  <c r="BE33" i="8"/>
  <c r="BD33" i="8"/>
  <c r="BC33" i="8"/>
  <c r="BB33" i="8"/>
  <c r="BA33" i="8"/>
  <c r="AZ33" i="8"/>
  <c r="AX33" i="8"/>
  <c r="AV33" i="8"/>
  <c r="AU33" i="8"/>
  <c r="AT33" i="8"/>
  <c r="AR33" i="8"/>
  <c r="AQ33" i="8"/>
  <c r="AP33" i="8"/>
  <c r="AO33" i="8"/>
  <c r="AS33" i="8" s="1"/>
  <c r="AN33" i="8"/>
  <c r="AM33" i="8"/>
  <c r="AL33" i="8"/>
  <c r="AK33" i="8"/>
  <c r="AJ33" i="8"/>
  <c r="AI33" i="8"/>
  <c r="AH33" i="8"/>
  <c r="AG33" i="8"/>
  <c r="AE33" i="8"/>
  <c r="AD33" i="8"/>
  <c r="AF33" i="8" s="1"/>
  <c r="AC33" i="8"/>
  <c r="AB33" i="8"/>
  <c r="AA33" i="8"/>
  <c r="Z33" i="8"/>
  <c r="Y33" i="8"/>
  <c r="X33" i="8"/>
  <c r="V33" i="8"/>
  <c r="U33" i="8"/>
  <c r="S33" i="8"/>
  <c r="R33" i="8"/>
  <c r="T33" i="8" s="1"/>
  <c r="P33" i="8"/>
  <c r="O33" i="8"/>
  <c r="Q33" i="8" s="1"/>
  <c r="M33" i="8"/>
  <c r="L33" i="8"/>
  <c r="K33" i="8"/>
  <c r="J33" i="8"/>
  <c r="I33" i="8"/>
  <c r="E33" i="8"/>
  <c r="D33" i="8"/>
  <c r="BR32" i="8"/>
  <c r="BQ32" i="8"/>
  <c r="BP32" i="8"/>
  <c r="BO32" i="8"/>
  <c r="BN32" i="8"/>
  <c r="BM32" i="8"/>
  <c r="BK32" i="8"/>
  <c r="BJ32" i="8"/>
  <c r="BL32" i="8" s="1"/>
  <c r="BI32" i="8"/>
  <c r="BH32" i="8"/>
  <c r="BG32" i="8"/>
  <c r="BF32" i="8"/>
  <c r="BE32" i="8"/>
  <c r="BD32" i="8"/>
  <c r="BC32" i="8"/>
  <c r="BB32" i="8"/>
  <c r="BA32" i="8"/>
  <c r="AZ32" i="8"/>
  <c r="AX32" i="8"/>
  <c r="AV32" i="8"/>
  <c r="AU32" i="8"/>
  <c r="AT32" i="8"/>
  <c r="AR32" i="8"/>
  <c r="AQ32" i="8"/>
  <c r="AP32" i="8"/>
  <c r="AO32" i="8"/>
  <c r="AS32" i="8" s="1"/>
  <c r="AN32" i="8"/>
  <c r="AM32" i="8"/>
  <c r="AL32" i="8"/>
  <c r="AK32" i="8"/>
  <c r="AJ32" i="8"/>
  <c r="AI32" i="8"/>
  <c r="AH32" i="8"/>
  <c r="AG32" i="8"/>
  <c r="AE32" i="8"/>
  <c r="AD32" i="8"/>
  <c r="AF32" i="8" s="1"/>
  <c r="AC32" i="8"/>
  <c r="AB32" i="8"/>
  <c r="AA32" i="8"/>
  <c r="Z32" i="8"/>
  <c r="Y32" i="8"/>
  <c r="X32" i="8"/>
  <c r="V32" i="8"/>
  <c r="U32" i="8"/>
  <c r="S32" i="8"/>
  <c r="R32" i="8"/>
  <c r="P32" i="8"/>
  <c r="O32" i="8"/>
  <c r="M32" i="8"/>
  <c r="L32" i="8"/>
  <c r="K32" i="8"/>
  <c r="J32" i="8"/>
  <c r="I32" i="8"/>
  <c r="E32" i="8"/>
  <c r="N32" i="8" s="1"/>
  <c r="D32" i="8"/>
  <c r="BR30" i="8"/>
  <c r="BQ30" i="8"/>
  <c r="BP30" i="8"/>
  <c r="BO30" i="8"/>
  <c r="BN30" i="8"/>
  <c r="BM30" i="8"/>
  <c r="BK30" i="8"/>
  <c r="BJ30" i="8"/>
  <c r="BI30" i="8"/>
  <c r="BH30" i="8"/>
  <c r="BG30" i="8"/>
  <c r="BF30" i="8"/>
  <c r="BE30" i="8"/>
  <c r="BD30" i="8"/>
  <c r="BC30" i="8"/>
  <c r="BB30" i="8"/>
  <c r="BA30" i="8"/>
  <c r="AZ30" i="8"/>
  <c r="AX30" i="8"/>
  <c r="AV30" i="8"/>
  <c r="AU30" i="8"/>
  <c r="AT30" i="8"/>
  <c r="AR30" i="8"/>
  <c r="AQ30" i="8"/>
  <c r="AP30" i="8"/>
  <c r="AO30" i="8"/>
  <c r="AN30" i="8"/>
  <c r="AM30" i="8"/>
  <c r="AL30" i="8"/>
  <c r="AK30" i="8"/>
  <c r="AJ30" i="8"/>
  <c r="AI30" i="8"/>
  <c r="AH30" i="8"/>
  <c r="AG30" i="8"/>
  <c r="AE30" i="8"/>
  <c r="AD30" i="8"/>
  <c r="AC30" i="8"/>
  <c r="AB30" i="8"/>
  <c r="AA30" i="8"/>
  <c r="Z30" i="8"/>
  <c r="Y30" i="8"/>
  <c r="X30" i="8"/>
  <c r="V30" i="8"/>
  <c r="U30" i="8"/>
  <c r="S30" i="8"/>
  <c r="R30" i="8"/>
  <c r="P30" i="8"/>
  <c r="O30" i="8"/>
  <c r="M30" i="8"/>
  <c r="L30" i="8"/>
  <c r="K30" i="8"/>
  <c r="J30" i="8"/>
  <c r="I30" i="8"/>
  <c r="E30" i="8"/>
  <c r="D30" i="8"/>
  <c r="BR29" i="8"/>
  <c r="BQ29" i="8"/>
  <c r="BP29" i="8"/>
  <c r="BO29" i="8"/>
  <c r="BN29" i="8"/>
  <c r="BM29" i="8"/>
  <c r="BK29" i="8"/>
  <c r="BJ29" i="8"/>
  <c r="BL29" i="8" s="1"/>
  <c r="BI29" i="8"/>
  <c r="BH29" i="8"/>
  <c r="BG29" i="8"/>
  <c r="BF29" i="8"/>
  <c r="BE29" i="8"/>
  <c r="BD29" i="8"/>
  <c r="BC29" i="8"/>
  <c r="BB29" i="8"/>
  <c r="BA29" i="8"/>
  <c r="AZ29" i="8"/>
  <c r="AX29" i="8"/>
  <c r="AV29" i="8"/>
  <c r="AU29" i="8"/>
  <c r="AY29" i="8" s="1"/>
  <c r="AT29" i="8"/>
  <c r="AW29" i="8" s="1"/>
  <c r="AR29" i="8"/>
  <c r="AQ29" i="8"/>
  <c r="AP29" i="8"/>
  <c r="AO29" i="8"/>
  <c r="AS29" i="8" s="1"/>
  <c r="AN29" i="8"/>
  <c r="AM29" i="8"/>
  <c r="AL29" i="8"/>
  <c r="AK29" i="8"/>
  <c r="AJ29" i="8"/>
  <c r="AI29" i="8"/>
  <c r="AH29" i="8"/>
  <c r="AG29" i="8"/>
  <c r="AE29" i="8"/>
  <c r="AD29" i="8"/>
  <c r="AF29" i="8" s="1"/>
  <c r="AC29" i="8"/>
  <c r="AB29" i="8"/>
  <c r="AA29" i="8"/>
  <c r="Z29" i="8"/>
  <c r="Y29" i="8"/>
  <c r="X29" i="8"/>
  <c r="V29" i="8"/>
  <c r="U29" i="8"/>
  <c r="W29" i="8" s="1"/>
  <c r="S29" i="8"/>
  <c r="R29" i="8"/>
  <c r="T29" i="8" s="1"/>
  <c r="P29" i="8"/>
  <c r="O29" i="8"/>
  <c r="Q29" i="8" s="1"/>
  <c r="M29" i="8"/>
  <c r="L29" i="8"/>
  <c r="K29" i="8"/>
  <c r="J29" i="8"/>
  <c r="I29" i="8"/>
  <c r="E29" i="8"/>
  <c r="N29" i="8" s="1"/>
  <c r="D29" i="8"/>
  <c r="G29" i="8" s="1"/>
  <c r="BR28" i="8"/>
  <c r="BQ28" i="8"/>
  <c r="BP28" i="8"/>
  <c r="BO28" i="8"/>
  <c r="BN28" i="8"/>
  <c r="BM28" i="8"/>
  <c r="BK28" i="8"/>
  <c r="BJ28" i="8"/>
  <c r="BL28" i="8" s="1"/>
  <c r="BI28" i="8"/>
  <c r="BH28" i="8"/>
  <c r="BG28" i="8"/>
  <c r="BF28" i="8"/>
  <c r="BE28" i="8"/>
  <c r="BD28" i="8"/>
  <c r="BC28" i="8"/>
  <c r="BB28" i="8"/>
  <c r="BA28" i="8"/>
  <c r="AZ28" i="8"/>
  <c r="AX28" i="8"/>
  <c r="AV28" i="8"/>
  <c r="AU28" i="8"/>
  <c r="AT28" i="8"/>
  <c r="AR28" i="8"/>
  <c r="AQ28" i="8"/>
  <c r="AP28" i="8"/>
  <c r="AO28" i="8"/>
  <c r="AN28" i="8"/>
  <c r="AM28" i="8"/>
  <c r="AL28" i="8"/>
  <c r="AK28" i="8"/>
  <c r="AJ28" i="8"/>
  <c r="AI28" i="8"/>
  <c r="AH28" i="8"/>
  <c r="AG28" i="8"/>
  <c r="AE28" i="8"/>
  <c r="AD28" i="8"/>
  <c r="AF28" i="8" s="1"/>
  <c r="AC28" i="8"/>
  <c r="AB28" i="8"/>
  <c r="AA28" i="8"/>
  <c r="Z28" i="8"/>
  <c r="Y28" i="8"/>
  <c r="X28" i="8"/>
  <c r="V28" i="8"/>
  <c r="U28" i="8"/>
  <c r="S28" i="8"/>
  <c r="R28" i="8"/>
  <c r="T28" i="8" s="1"/>
  <c r="P28" i="8"/>
  <c r="O28" i="8"/>
  <c r="Q28" i="8" s="1"/>
  <c r="M28" i="8"/>
  <c r="L28" i="8"/>
  <c r="K28" i="8"/>
  <c r="J28" i="8"/>
  <c r="I28" i="8"/>
  <c r="E28" i="8"/>
  <c r="D28" i="8"/>
  <c r="BR27" i="8"/>
  <c r="BQ27" i="8"/>
  <c r="BP27" i="8"/>
  <c r="BO27" i="8"/>
  <c r="BN27" i="8"/>
  <c r="BM27" i="8"/>
  <c r="BK27" i="8"/>
  <c r="BJ27" i="8"/>
  <c r="BI27" i="8"/>
  <c r="BH27" i="8"/>
  <c r="BG27" i="8"/>
  <c r="BF27" i="8"/>
  <c r="BE27" i="8"/>
  <c r="BD27" i="8"/>
  <c r="BC27" i="8"/>
  <c r="BB27" i="8"/>
  <c r="BA27" i="8"/>
  <c r="AZ27" i="8"/>
  <c r="AX27" i="8"/>
  <c r="AV27" i="8"/>
  <c r="AU27" i="8"/>
  <c r="AT27" i="8"/>
  <c r="AR27" i="8"/>
  <c r="AQ27" i="8"/>
  <c r="AP27" i="8"/>
  <c r="AO27" i="8"/>
  <c r="AN27" i="8"/>
  <c r="AM27" i="8"/>
  <c r="AL27" i="8"/>
  <c r="AK27" i="8"/>
  <c r="AJ27" i="8"/>
  <c r="AI27" i="8"/>
  <c r="AH27" i="8"/>
  <c r="AG27" i="8"/>
  <c r="AE27" i="8"/>
  <c r="AD27" i="8"/>
  <c r="AC27" i="8"/>
  <c r="AB27" i="8"/>
  <c r="AA27" i="8"/>
  <c r="Z27" i="8"/>
  <c r="Y27" i="8"/>
  <c r="X27" i="8"/>
  <c r="V27" i="8"/>
  <c r="U27" i="8"/>
  <c r="S27" i="8"/>
  <c r="R27" i="8"/>
  <c r="P27" i="8"/>
  <c r="O27" i="8"/>
  <c r="Q27" i="8" s="1"/>
  <c r="M27" i="8"/>
  <c r="L27" i="8"/>
  <c r="K27" i="8"/>
  <c r="J27" i="8"/>
  <c r="I27" i="8"/>
  <c r="E27" i="8"/>
  <c r="D27" i="8"/>
  <c r="BR26" i="8"/>
  <c r="BQ26" i="8"/>
  <c r="BP26" i="8"/>
  <c r="BO26" i="8"/>
  <c r="BN26" i="8"/>
  <c r="BM26" i="8"/>
  <c r="BK26" i="8"/>
  <c r="BJ26" i="8"/>
  <c r="BL26" i="8" s="1"/>
  <c r="BI26" i="8"/>
  <c r="BH26" i="8"/>
  <c r="BG26" i="8"/>
  <c r="BF26" i="8"/>
  <c r="BE26" i="8"/>
  <c r="BD26" i="8"/>
  <c r="BC26" i="8"/>
  <c r="BB26" i="8"/>
  <c r="BA26" i="8"/>
  <c r="AZ26" i="8"/>
  <c r="AX26" i="8"/>
  <c r="AV26" i="8"/>
  <c r="AU26" i="8"/>
  <c r="AY26" i="8" s="1"/>
  <c r="AT26" i="8"/>
  <c r="AW26" i="8" s="1"/>
  <c r="AR26" i="8"/>
  <c r="AQ26" i="8"/>
  <c r="AP26" i="8"/>
  <c r="AO26" i="8"/>
  <c r="AS26" i="8" s="1"/>
  <c r="AN26" i="8"/>
  <c r="AM26" i="8"/>
  <c r="AL26" i="8"/>
  <c r="AK26" i="8"/>
  <c r="AJ26" i="8"/>
  <c r="AI26" i="8"/>
  <c r="AH26" i="8"/>
  <c r="AG26" i="8"/>
  <c r="AE26" i="8"/>
  <c r="AD26" i="8"/>
  <c r="AF26" i="8" s="1"/>
  <c r="AC26" i="8"/>
  <c r="AB26" i="8"/>
  <c r="AA26" i="8"/>
  <c r="Z26" i="8"/>
  <c r="Y26" i="8"/>
  <c r="X26" i="8"/>
  <c r="V26" i="8"/>
  <c r="U26" i="8"/>
  <c r="W26" i="8" s="1"/>
  <c r="S26" i="8"/>
  <c r="R26" i="8"/>
  <c r="T26" i="8" s="1"/>
  <c r="P26" i="8"/>
  <c r="O26" i="8"/>
  <c r="Q26" i="8" s="1"/>
  <c r="M26" i="8"/>
  <c r="L26" i="8"/>
  <c r="K26" i="8"/>
  <c r="J26" i="8"/>
  <c r="I26" i="8"/>
  <c r="E26" i="8"/>
  <c r="N26" i="8" s="1"/>
  <c r="D26" i="8"/>
  <c r="BR25" i="8"/>
  <c r="BQ25" i="8"/>
  <c r="BP25" i="8"/>
  <c r="BO25" i="8"/>
  <c r="BN25" i="8"/>
  <c r="BM25" i="8"/>
  <c r="BK25" i="8"/>
  <c r="BJ25" i="8"/>
  <c r="BL25" i="8" s="1"/>
  <c r="BI25" i="8"/>
  <c r="BH25" i="8"/>
  <c r="BG25" i="8"/>
  <c r="BF25" i="8"/>
  <c r="BE25" i="8"/>
  <c r="BD25" i="8"/>
  <c r="BC25" i="8"/>
  <c r="BB25" i="8"/>
  <c r="BA25" i="8"/>
  <c r="AZ25" i="8"/>
  <c r="AX25" i="8"/>
  <c r="AV25" i="8"/>
  <c r="AU25" i="8"/>
  <c r="AY25" i="8" s="1"/>
  <c r="AT25" i="8"/>
  <c r="AW25" i="8" s="1"/>
  <c r="AR25" i="8"/>
  <c r="AQ25" i="8"/>
  <c r="AP25" i="8"/>
  <c r="AO25" i="8"/>
  <c r="AS25" i="8" s="1"/>
  <c r="AN25" i="8"/>
  <c r="AM25" i="8"/>
  <c r="AL25" i="8"/>
  <c r="AK25" i="8"/>
  <c r="AJ25" i="8"/>
  <c r="AI25" i="8"/>
  <c r="AH25" i="8"/>
  <c r="AG25" i="8"/>
  <c r="AE25" i="8"/>
  <c r="AD25" i="8"/>
  <c r="AF25" i="8" s="1"/>
  <c r="AC25" i="8"/>
  <c r="AB25" i="8"/>
  <c r="AA25" i="8"/>
  <c r="Z25" i="8"/>
  <c r="Y25" i="8"/>
  <c r="X25" i="8"/>
  <c r="V25" i="8"/>
  <c r="U25" i="8"/>
  <c r="W25" i="8" s="1"/>
  <c r="S25" i="8"/>
  <c r="R25" i="8"/>
  <c r="T25" i="8" s="1"/>
  <c r="P25" i="8"/>
  <c r="O25" i="8"/>
  <c r="Q25" i="8" s="1"/>
  <c r="M25" i="8"/>
  <c r="L25" i="8"/>
  <c r="K25" i="8"/>
  <c r="J25" i="8"/>
  <c r="I25" i="8"/>
  <c r="E25" i="8"/>
  <c r="D25" i="8"/>
  <c r="G25" i="8" s="1"/>
  <c r="BR24" i="8"/>
  <c r="BQ24" i="8"/>
  <c r="BP24" i="8"/>
  <c r="BO24" i="8"/>
  <c r="BN24" i="8"/>
  <c r="BM24" i="8"/>
  <c r="BK24" i="8"/>
  <c r="BJ24" i="8"/>
  <c r="BL24" i="8" s="1"/>
  <c r="BI24" i="8"/>
  <c r="BH24" i="8"/>
  <c r="BG24" i="8"/>
  <c r="BF24" i="8"/>
  <c r="BE24" i="8"/>
  <c r="BD24" i="8"/>
  <c r="BC24" i="8"/>
  <c r="BB24" i="8"/>
  <c r="BA24" i="8"/>
  <c r="AZ24" i="8"/>
  <c r="AX24" i="8"/>
  <c r="AV24" i="8"/>
  <c r="AU24" i="8"/>
  <c r="AY24" i="8" s="1"/>
  <c r="AT24" i="8"/>
  <c r="AW24" i="8" s="1"/>
  <c r="AR24" i="8"/>
  <c r="AQ24" i="8"/>
  <c r="AP24" i="8"/>
  <c r="AO24" i="8"/>
  <c r="AS24" i="8" s="1"/>
  <c r="AN24" i="8"/>
  <c r="AM24" i="8"/>
  <c r="AL24" i="8"/>
  <c r="AK24" i="8"/>
  <c r="AJ24" i="8"/>
  <c r="AI24" i="8"/>
  <c r="AH24" i="8"/>
  <c r="AG24" i="8"/>
  <c r="AE24" i="8"/>
  <c r="AD24" i="8"/>
  <c r="AF24" i="8" s="1"/>
  <c r="AC24" i="8"/>
  <c r="AB24" i="8"/>
  <c r="AA24" i="8"/>
  <c r="Z24" i="8"/>
  <c r="Y24" i="8"/>
  <c r="X24" i="8"/>
  <c r="V24" i="8"/>
  <c r="U24" i="8"/>
  <c r="W24" i="8" s="1"/>
  <c r="S24" i="8"/>
  <c r="R24" i="8"/>
  <c r="T24" i="8" s="1"/>
  <c r="P24" i="8"/>
  <c r="O24" i="8"/>
  <c r="Q24" i="8" s="1"/>
  <c r="M24" i="8"/>
  <c r="L24" i="8"/>
  <c r="K24" i="8"/>
  <c r="J24" i="8"/>
  <c r="I24" i="8"/>
  <c r="E24" i="8"/>
  <c r="D24" i="8"/>
  <c r="G24" i="8" s="1"/>
  <c r="BR23" i="8"/>
  <c r="BQ23" i="8"/>
  <c r="BP23" i="8"/>
  <c r="BO23" i="8"/>
  <c r="BN23" i="8"/>
  <c r="BM23" i="8"/>
  <c r="BK23" i="8"/>
  <c r="BJ23" i="8"/>
  <c r="BL23" i="8" s="1"/>
  <c r="BI23" i="8"/>
  <c r="BH23" i="8"/>
  <c r="BG23" i="8"/>
  <c r="BF23" i="8"/>
  <c r="BE23" i="8"/>
  <c r="BD23" i="8"/>
  <c r="BC23" i="8"/>
  <c r="BB23" i="8"/>
  <c r="BA23" i="8"/>
  <c r="AZ23" i="8"/>
  <c r="AX23" i="8"/>
  <c r="AV23" i="8"/>
  <c r="AU23" i="8"/>
  <c r="AT23" i="8"/>
  <c r="AR23" i="8"/>
  <c r="AQ23" i="8"/>
  <c r="AP23" i="8"/>
  <c r="AO23" i="8"/>
  <c r="AS23" i="8" s="1"/>
  <c r="AN23" i="8"/>
  <c r="AM23" i="8"/>
  <c r="AL23" i="8"/>
  <c r="AK23" i="8"/>
  <c r="AJ23" i="8"/>
  <c r="AI23" i="8"/>
  <c r="AH23" i="8"/>
  <c r="AG23" i="8"/>
  <c r="AE23" i="8"/>
  <c r="AD23" i="8"/>
  <c r="AF23" i="8" s="1"/>
  <c r="AC23" i="8"/>
  <c r="AB23" i="8"/>
  <c r="AA23" i="8"/>
  <c r="Z23" i="8"/>
  <c r="Y23" i="8"/>
  <c r="X23" i="8"/>
  <c r="V23" i="8"/>
  <c r="U23" i="8"/>
  <c r="S23" i="8"/>
  <c r="R23" i="8"/>
  <c r="P23" i="8"/>
  <c r="O23" i="8"/>
  <c r="M23" i="8"/>
  <c r="L23" i="8"/>
  <c r="K23" i="8"/>
  <c r="J23" i="8"/>
  <c r="I23" i="8"/>
  <c r="E23" i="8"/>
  <c r="N23" i="8" s="1"/>
  <c r="D23" i="8"/>
  <c r="BR22" i="8"/>
  <c r="BQ22" i="8"/>
  <c r="BP22" i="8"/>
  <c r="BO22" i="8"/>
  <c r="BN22" i="8"/>
  <c r="BM22" i="8"/>
  <c r="BK22" i="8"/>
  <c r="BJ22" i="8"/>
  <c r="BL22" i="8" s="1"/>
  <c r="BI22" i="8"/>
  <c r="BH22" i="8"/>
  <c r="BG22" i="8"/>
  <c r="BF22" i="8"/>
  <c r="BE22" i="8"/>
  <c r="BD22" i="8"/>
  <c r="BC22" i="8"/>
  <c r="BB22" i="8"/>
  <c r="BA22" i="8"/>
  <c r="AZ22" i="8"/>
  <c r="AX22" i="8"/>
  <c r="AV22" i="8"/>
  <c r="AU22" i="8"/>
  <c r="AY22" i="8" s="1"/>
  <c r="AT22" i="8"/>
  <c r="AW22" i="8" s="1"/>
  <c r="AR22" i="8"/>
  <c r="AQ22" i="8"/>
  <c r="AP22" i="8"/>
  <c r="AO22" i="8"/>
  <c r="AS22" i="8" s="1"/>
  <c r="AN22" i="8"/>
  <c r="AM22" i="8"/>
  <c r="AL22" i="8"/>
  <c r="AK22" i="8"/>
  <c r="AJ22" i="8"/>
  <c r="AI22" i="8"/>
  <c r="AH22" i="8"/>
  <c r="AG22" i="8"/>
  <c r="AE22" i="8"/>
  <c r="AD22" i="8"/>
  <c r="AF22" i="8" s="1"/>
  <c r="AC22" i="8"/>
  <c r="AB22" i="8"/>
  <c r="AA22" i="8"/>
  <c r="Z22" i="8"/>
  <c r="Y22" i="8"/>
  <c r="X22" i="8"/>
  <c r="V22" i="8"/>
  <c r="U22" i="8"/>
  <c r="W22" i="8" s="1"/>
  <c r="S22" i="8"/>
  <c r="R22" i="8"/>
  <c r="T22" i="8" s="1"/>
  <c r="P22" i="8"/>
  <c r="O22" i="8"/>
  <c r="Q22" i="8" s="1"/>
  <c r="M22" i="8"/>
  <c r="L22" i="8"/>
  <c r="K22" i="8"/>
  <c r="J22" i="8"/>
  <c r="I22" i="8"/>
  <c r="E22" i="8"/>
  <c r="D22" i="8"/>
  <c r="G22" i="8" s="1"/>
  <c r="BR21" i="8"/>
  <c r="BQ21" i="8"/>
  <c r="BP21" i="8"/>
  <c r="BO21" i="8"/>
  <c r="BN21" i="8"/>
  <c r="BM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X21" i="8"/>
  <c r="AV21" i="8"/>
  <c r="AU21" i="8"/>
  <c r="AT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E21" i="8"/>
  <c r="AD21" i="8"/>
  <c r="AF21" i="8" s="1"/>
  <c r="AC21" i="8"/>
  <c r="AB21" i="8"/>
  <c r="AA21" i="8"/>
  <c r="Z21" i="8"/>
  <c r="Y21" i="8"/>
  <c r="X21" i="8"/>
  <c r="V21" i="8"/>
  <c r="U21" i="8"/>
  <c r="S21" i="8"/>
  <c r="R21" i="8"/>
  <c r="T21" i="8" s="1"/>
  <c r="P21" i="8"/>
  <c r="O21" i="8"/>
  <c r="M21" i="8"/>
  <c r="L21" i="8"/>
  <c r="K21" i="8"/>
  <c r="J21" i="8"/>
  <c r="I21" i="8"/>
  <c r="E21" i="8"/>
  <c r="D21" i="8"/>
  <c r="BR20" i="8"/>
  <c r="BQ20" i="8"/>
  <c r="BP20" i="8"/>
  <c r="BO20" i="8"/>
  <c r="BN20" i="8"/>
  <c r="BM20" i="8"/>
  <c r="BK20" i="8"/>
  <c r="BJ20" i="8"/>
  <c r="BL20" i="8" s="1"/>
  <c r="BI20" i="8"/>
  <c r="BH20" i="8"/>
  <c r="BG20" i="8"/>
  <c r="BF20" i="8"/>
  <c r="BE20" i="8"/>
  <c r="BD20" i="8"/>
  <c r="BC20" i="8"/>
  <c r="BB20" i="8"/>
  <c r="BA20" i="8"/>
  <c r="AZ20" i="8"/>
  <c r="AX20" i="8"/>
  <c r="AV20" i="8"/>
  <c r="AU20" i="8"/>
  <c r="AY20" i="8" s="1"/>
  <c r="AT20" i="8"/>
  <c r="AW20" i="8" s="1"/>
  <c r="AR20" i="8"/>
  <c r="AQ20" i="8"/>
  <c r="AP20" i="8"/>
  <c r="AO20" i="8"/>
  <c r="AS20" i="8" s="1"/>
  <c r="AN20" i="8"/>
  <c r="AM20" i="8"/>
  <c r="AL20" i="8"/>
  <c r="AK20" i="8"/>
  <c r="AJ20" i="8"/>
  <c r="AI20" i="8"/>
  <c r="AH20" i="8"/>
  <c r="AG20" i="8"/>
  <c r="AE20" i="8"/>
  <c r="AD20" i="8"/>
  <c r="AF20" i="8" s="1"/>
  <c r="AC20" i="8"/>
  <c r="AB20" i="8"/>
  <c r="AA20" i="8"/>
  <c r="Z20" i="8"/>
  <c r="Y20" i="8"/>
  <c r="X20" i="8"/>
  <c r="V20" i="8"/>
  <c r="U20" i="8"/>
  <c r="W20" i="8" s="1"/>
  <c r="S20" i="8"/>
  <c r="R20" i="8"/>
  <c r="P20" i="8"/>
  <c r="O20" i="8"/>
  <c r="Q20" i="8" s="1"/>
  <c r="M20" i="8"/>
  <c r="L20" i="8"/>
  <c r="K20" i="8"/>
  <c r="J20" i="8"/>
  <c r="I20" i="8"/>
  <c r="E20" i="8"/>
  <c r="N20" i="8" s="1"/>
  <c r="D20" i="8"/>
  <c r="BR19" i="8"/>
  <c r="BQ19" i="8"/>
  <c r="BP19" i="8"/>
  <c r="BO19" i="8"/>
  <c r="BN19" i="8"/>
  <c r="BM19" i="8"/>
  <c r="BK19" i="8"/>
  <c r="BJ19" i="8"/>
  <c r="BL19" i="8" s="1"/>
  <c r="BI19" i="8"/>
  <c r="BH19" i="8"/>
  <c r="BG19" i="8"/>
  <c r="BF19" i="8"/>
  <c r="BE19" i="8"/>
  <c r="BD19" i="8"/>
  <c r="BC19" i="8"/>
  <c r="BB19" i="8"/>
  <c r="BA19" i="8"/>
  <c r="AZ19" i="8"/>
  <c r="AX19" i="8"/>
  <c r="AV19" i="8"/>
  <c r="AU19" i="8"/>
  <c r="AY19" i="8" s="1"/>
  <c r="AT19" i="8"/>
  <c r="AW19" i="8" s="1"/>
  <c r="AR19" i="8"/>
  <c r="AQ19" i="8"/>
  <c r="AP19" i="8"/>
  <c r="AO19" i="8"/>
  <c r="AS19" i="8" s="1"/>
  <c r="AN19" i="8"/>
  <c r="AM19" i="8"/>
  <c r="AL19" i="8"/>
  <c r="AK19" i="8"/>
  <c r="AJ19" i="8"/>
  <c r="AI19" i="8"/>
  <c r="AH19" i="8"/>
  <c r="AG19" i="8"/>
  <c r="AE19" i="8"/>
  <c r="AD19" i="8"/>
  <c r="AF19" i="8" s="1"/>
  <c r="AC19" i="8"/>
  <c r="AB19" i="8"/>
  <c r="AA19" i="8"/>
  <c r="Z19" i="8"/>
  <c r="Y19" i="8"/>
  <c r="X19" i="8"/>
  <c r="V19" i="8"/>
  <c r="U19" i="8"/>
  <c r="W19" i="8" s="1"/>
  <c r="S19" i="8"/>
  <c r="R19" i="8"/>
  <c r="T19" i="8" s="1"/>
  <c r="P19" i="8"/>
  <c r="O19" i="8"/>
  <c r="Q19" i="8" s="1"/>
  <c r="M19" i="8"/>
  <c r="L19" i="8"/>
  <c r="K19" i="8"/>
  <c r="J19" i="8"/>
  <c r="I19" i="8"/>
  <c r="E19" i="8"/>
  <c r="D19" i="8"/>
  <c r="G19" i="8" s="1"/>
  <c r="BR18" i="8"/>
  <c r="BQ18" i="8"/>
  <c r="BP18" i="8"/>
  <c r="BO18" i="8"/>
  <c r="BN18" i="8"/>
  <c r="BM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X18" i="8"/>
  <c r="AV18" i="8"/>
  <c r="AU18" i="8"/>
  <c r="AT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E18" i="8"/>
  <c r="AD18" i="8"/>
  <c r="AC18" i="8"/>
  <c r="AB18" i="8"/>
  <c r="AA18" i="8"/>
  <c r="Z18" i="8"/>
  <c r="Y18" i="8"/>
  <c r="X18" i="8"/>
  <c r="V18" i="8"/>
  <c r="U18" i="8"/>
  <c r="S18" i="8"/>
  <c r="R18" i="8"/>
  <c r="P18" i="8"/>
  <c r="O18" i="8"/>
  <c r="Q18" i="8" s="1"/>
  <c r="M18" i="8"/>
  <c r="L18" i="8"/>
  <c r="K18" i="8"/>
  <c r="J18" i="8"/>
  <c r="I18" i="8"/>
  <c r="E18" i="8"/>
  <c r="D18" i="8"/>
  <c r="BR17" i="8"/>
  <c r="BQ17" i="8"/>
  <c r="BP17" i="8"/>
  <c r="BO17" i="8"/>
  <c r="BN17" i="8"/>
  <c r="BM17" i="8"/>
  <c r="BK17" i="8"/>
  <c r="BJ17" i="8"/>
  <c r="BL17" i="8" s="1"/>
  <c r="BI17" i="8"/>
  <c r="BH17" i="8"/>
  <c r="BG17" i="8"/>
  <c r="BF17" i="8"/>
  <c r="BE17" i="8"/>
  <c r="BD17" i="8"/>
  <c r="BC17" i="8"/>
  <c r="BB17" i="8"/>
  <c r="BA17" i="8"/>
  <c r="AZ17" i="8"/>
  <c r="AX17" i="8"/>
  <c r="AV17" i="8"/>
  <c r="AU17" i="8"/>
  <c r="AY17" i="8" s="1"/>
  <c r="AT17" i="8"/>
  <c r="AW17" i="8" s="1"/>
  <c r="AR17" i="8"/>
  <c r="AQ17" i="8"/>
  <c r="AP17" i="8"/>
  <c r="AO17" i="8"/>
  <c r="AS17" i="8" s="1"/>
  <c r="AN17" i="8"/>
  <c r="AM17" i="8"/>
  <c r="AL17" i="8"/>
  <c r="AK17" i="8"/>
  <c r="AJ17" i="8"/>
  <c r="AI17" i="8"/>
  <c r="AH17" i="8"/>
  <c r="AG17" i="8"/>
  <c r="AE17" i="8"/>
  <c r="AD17" i="8"/>
  <c r="AF17" i="8" s="1"/>
  <c r="AC17" i="8"/>
  <c r="AB17" i="8"/>
  <c r="AA17" i="8"/>
  <c r="Z17" i="8"/>
  <c r="Y17" i="8"/>
  <c r="X17" i="8"/>
  <c r="V17" i="8"/>
  <c r="U17" i="8"/>
  <c r="W17" i="8" s="1"/>
  <c r="S17" i="8"/>
  <c r="R17" i="8"/>
  <c r="T17" i="8" s="1"/>
  <c r="P17" i="8"/>
  <c r="O17" i="8"/>
  <c r="Q17" i="8" s="1"/>
  <c r="M17" i="8"/>
  <c r="L17" i="8"/>
  <c r="K17" i="8"/>
  <c r="J17" i="8"/>
  <c r="I17" i="8"/>
  <c r="E17" i="8"/>
  <c r="N17" i="8" s="1"/>
  <c r="D17" i="8"/>
  <c r="G17" i="8" s="1"/>
  <c r="BR16" i="8"/>
  <c r="BQ16" i="8"/>
  <c r="BP16" i="8"/>
  <c r="BO16" i="8"/>
  <c r="BN16" i="8"/>
  <c r="BM16" i="8"/>
  <c r="BK16" i="8"/>
  <c r="BJ16" i="8"/>
  <c r="BL16" i="8" s="1"/>
  <c r="BI16" i="8"/>
  <c r="BH16" i="8"/>
  <c r="BG16" i="8"/>
  <c r="BF16" i="8"/>
  <c r="BE16" i="8"/>
  <c r="BD16" i="8"/>
  <c r="BC16" i="8"/>
  <c r="BB16" i="8"/>
  <c r="BA16" i="8"/>
  <c r="AZ16" i="8"/>
  <c r="AX16" i="8"/>
  <c r="AV16" i="8"/>
  <c r="AU16" i="8"/>
  <c r="AY16" i="8" s="1"/>
  <c r="AT16" i="8"/>
  <c r="AW16" i="8" s="1"/>
  <c r="AR16" i="8"/>
  <c r="AQ16" i="8"/>
  <c r="AP16" i="8"/>
  <c r="AO16" i="8"/>
  <c r="AN16" i="8"/>
  <c r="AM16" i="8"/>
  <c r="AL16" i="8"/>
  <c r="AK16" i="8"/>
  <c r="AJ16" i="8"/>
  <c r="AI16" i="8"/>
  <c r="AH16" i="8"/>
  <c r="AG16" i="8"/>
  <c r="AE16" i="8"/>
  <c r="AD16" i="8"/>
  <c r="AF16" i="8" s="1"/>
  <c r="AC16" i="8"/>
  <c r="AB16" i="8"/>
  <c r="AA16" i="8"/>
  <c r="Z16" i="8"/>
  <c r="Y16" i="8"/>
  <c r="X16" i="8"/>
  <c r="V16" i="8"/>
  <c r="U16" i="8"/>
  <c r="W16" i="8" s="1"/>
  <c r="S16" i="8"/>
  <c r="R16" i="8"/>
  <c r="P16" i="8"/>
  <c r="O16" i="8"/>
  <c r="Q16" i="8" s="1"/>
  <c r="M16" i="8"/>
  <c r="L16" i="8"/>
  <c r="K16" i="8"/>
  <c r="J16" i="8"/>
  <c r="I16" i="8"/>
  <c r="E16" i="8"/>
  <c r="D16" i="8"/>
  <c r="BR15" i="8"/>
  <c r="BQ15" i="8"/>
  <c r="BP15" i="8"/>
  <c r="BO15" i="8"/>
  <c r="BN15" i="8"/>
  <c r="BM15" i="8"/>
  <c r="BK15" i="8"/>
  <c r="BJ15" i="8"/>
  <c r="BL15" i="8" s="1"/>
  <c r="BI15" i="8"/>
  <c r="BH15" i="8"/>
  <c r="BG15" i="8"/>
  <c r="BF15" i="8"/>
  <c r="BE15" i="8"/>
  <c r="BD15" i="8"/>
  <c r="BC15" i="8"/>
  <c r="BB15" i="8"/>
  <c r="BA15" i="8"/>
  <c r="AZ15" i="8"/>
  <c r="AX15" i="8"/>
  <c r="AV15" i="8"/>
  <c r="AU15" i="8"/>
  <c r="AY15" i="8" s="1"/>
  <c r="AT15" i="8"/>
  <c r="AW15" i="8" s="1"/>
  <c r="AR15" i="8"/>
  <c r="AQ15" i="8"/>
  <c r="AP15" i="8"/>
  <c r="AO15" i="8"/>
  <c r="AS15" i="8" s="1"/>
  <c r="AN15" i="8"/>
  <c r="AM15" i="8"/>
  <c r="AL15" i="8"/>
  <c r="AK15" i="8"/>
  <c r="AJ15" i="8"/>
  <c r="AI15" i="8"/>
  <c r="AH15" i="8"/>
  <c r="AG15" i="8"/>
  <c r="AE15" i="8"/>
  <c r="AD15" i="8"/>
  <c r="AF15" i="8" s="1"/>
  <c r="AC15" i="8"/>
  <c r="AB15" i="8"/>
  <c r="AA15" i="8"/>
  <c r="Z15" i="8"/>
  <c r="Y15" i="8"/>
  <c r="X15" i="8"/>
  <c r="V15" i="8"/>
  <c r="U15" i="8"/>
  <c r="W15" i="8" s="1"/>
  <c r="S15" i="8"/>
  <c r="R15" i="8"/>
  <c r="T15" i="8" s="1"/>
  <c r="P15" i="8"/>
  <c r="O15" i="8"/>
  <c r="Q15" i="8" s="1"/>
  <c r="M15" i="8"/>
  <c r="L15" i="8"/>
  <c r="K15" i="8"/>
  <c r="J15" i="8"/>
  <c r="I15" i="8"/>
  <c r="E15" i="8"/>
  <c r="D15" i="8"/>
  <c r="G15" i="8" s="1"/>
  <c r="BR14" i="8"/>
  <c r="BQ14" i="8"/>
  <c r="BP14" i="8"/>
  <c r="BO14" i="8"/>
  <c r="BN14" i="8"/>
  <c r="BM14" i="8"/>
  <c r="BK14" i="8"/>
  <c r="BJ14" i="8"/>
  <c r="BL14" i="8" s="1"/>
  <c r="BI14" i="8"/>
  <c r="BH14" i="8"/>
  <c r="BG14" i="8"/>
  <c r="BF14" i="8"/>
  <c r="BE14" i="8"/>
  <c r="BD14" i="8"/>
  <c r="BC14" i="8"/>
  <c r="BB14" i="8"/>
  <c r="BA14" i="8"/>
  <c r="AZ14" i="8"/>
  <c r="AX14" i="8"/>
  <c r="AV14" i="8"/>
  <c r="AU14" i="8"/>
  <c r="AT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E14" i="8"/>
  <c r="AD14" i="8"/>
  <c r="AC14" i="8"/>
  <c r="AB14" i="8"/>
  <c r="AA14" i="8"/>
  <c r="Z14" i="8"/>
  <c r="Y14" i="8"/>
  <c r="X14" i="8"/>
  <c r="V14" i="8"/>
  <c r="U14" i="8"/>
  <c r="S14" i="8"/>
  <c r="R14" i="8"/>
  <c r="T14" i="8" s="1"/>
  <c r="P14" i="8"/>
  <c r="O14" i="8"/>
  <c r="M14" i="8"/>
  <c r="L14" i="8"/>
  <c r="K14" i="8"/>
  <c r="J14" i="8"/>
  <c r="I14" i="8"/>
  <c r="E14" i="8"/>
  <c r="N14" i="8" s="1"/>
  <c r="D14" i="8"/>
  <c r="BL12" i="8"/>
  <c r="AY12" i="8"/>
  <c r="AW12" i="8"/>
  <c r="AS12" i="8"/>
  <c r="AF12" i="8"/>
  <c r="W12" i="8"/>
  <c r="T12" i="8"/>
  <c r="Q12" i="8"/>
  <c r="G12" i="8"/>
  <c r="F12" i="8"/>
  <c r="BL11" i="8"/>
  <c r="AY11" i="8"/>
  <c r="AW11" i="8"/>
  <c r="AS11" i="8"/>
  <c r="N11" i="8"/>
  <c r="G11" i="8"/>
  <c r="F11" i="8"/>
  <c r="BL10" i="8"/>
  <c r="AY10" i="8"/>
  <c r="AW10" i="8"/>
  <c r="AS10" i="8"/>
  <c r="N10" i="8"/>
  <c r="G10" i="8"/>
  <c r="F10" i="8"/>
  <c r="BL9" i="8"/>
  <c r="AY9" i="8"/>
  <c r="AW9" i="8"/>
  <c r="AS9" i="8"/>
  <c r="N9" i="8"/>
  <c r="G9" i="8"/>
  <c r="F9" i="8"/>
  <c r="N116" i="7"/>
  <c r="H116" i="7"/>
  <c r="F116" i="7" s="1"/>
  <c r="G116" i="7"/>
  <c r="C116" i="7"/>
  <c r="N115" i="7"/>
  <c r="H115" i="7"/>
  <c r="G115" i="7"/>
  <c r="F115" i="7"/>
  <c r="C115" i="7"/>
  <c r="N114" i="7"/>
  <c r="H114" i="7"/>
  <c r="G114" i="7"/>
  <c r="F114" i="7"/>
  <c r="C114" i="7"/>
  <c r="N113" i="7"/>
  <c r="H113" i="7"/>
  <c r="F113" i="7" s="1"/>
  <c r="G113" i="7"/>
  <c r="C113" i="7"/>
  <c r="N112" i="7"/>
  <c r="H112" i="7"/>
  <c r="F112" i="7" s="1"/>
  <c r="G112" i="7"/>
  <c r="C112" i="7"/>
  <c r="N111" i="7"/>
  <c r="H111" i="7"/>
  <c r="F111" i="7" s="1"/>
  <c r="G111" i="7"/>
  <c r="C111" i="7"/>
  <c r="N110" i="7"/>
  <c r="H110" i="7"/>
  <c r="F110" i="7" s="1"/>
  <c r="G110" i="7"/>
  <c r="C110" i="7"/>
  <c r="N109" i="7"/>
  <c r="H109" i="7"/>
  <c r="F109" i="7" s="1"/>
  <c r="G109" i="7"/>
  <c r="C109" i="7"/>
  <c r="N108" i="7"/>
  <c r="H108" i="7"/>
  <c r="F108" i="7" s="1"/>
  <c r="G108" i="7"/>
  <c r="C108" i="7"/>
  <c r="N107" i="7"/>
  <c r="H107" i="7"/>
  <c r="F107" i="7" s="1"/>
  <c r="G107" i="7"/>
  <c r="C107" i="7"/>
  <c r="N106" i="7"/>
  <c r="H106" i="7"/>
  <c r="F106" i="7" s="1"/>
  <c r="G106" i="7"/>
  <c r="C106" i="7"/>
  <c r="N105" i="7"/>
  <c r="H105" i="7"/>
  <c r="G105" i="7"/>
  <c r="F105" i="7"/>
  <c r="C105" i="7"/>
  <c r="N104" i="7"/>
  <c r="G104" i="7"/>
  <c r="N103" i="7"/>
  <c r="H103" i="7"/>
  <c r="F103" i="7" s="1"/>
  <c r="G103" i="7"/>
  <c r="C103" i="7"/>
  <c r="N102" i="7"/>
  <c r="H102" i="7"/>
  <c r="F102" i="7" s="1"/>
  <c r="G102" i="7"/>
  <c r="C102" i="7"/>
  <c r="N101" i="7"/>
  <c r="H101" i="7"/>
  <c r="F101" i="7" s="1"/>
  <c r="G101" i="7"/>
  <c r="C101" i="7"/>
  <c r="N100" i="7"/>
  <c r="H100" i="7"/>
  <c r="F100" i="7" s="1"/>
  <c r="G100" i="7"/>
  <c r="C100" i="7"/>
  <c r="N99" i="7"/>
  <c r="H99" i="7"/>
  <c r="F99" i="7" s="1"/>
  <c r="G99" i="7"/>
  <c r="C99" i="7"/>
  <c r="N98" i="7"/>
  <c r="H98" i="7"/>
  <c r="F98" i="7" s="1"/>
  <c r="G98" i="7"/>
  <c r="C98" i="7"/>
  <c r="N97" i="7"/>
  <c r="H97" i="7"/>
  <c r="F97" i="7" s="1"/>
  <c r="G97" i="7"/>
  <c r="C97" i="7"/>
  <c r="N96" i="7"/>
  <c r="H96" i="7"/>
  <c r="F96" i="7" s="1"/>
  <c r="G96" i="7"/>
  <c r="C96" i="7"/>
  <c r="N95" i="7"/>
  <c r="H95" i="7"/>
  <c r="F95" i="7" s="1"/>
  <c r="G95" i="7"/>
  <c r="C95" i="7"/>
  <c r="N94" i="7"/>
  <c r="H94" i="7"/>
  <c r="F94" i="7" s="1"/>
  <c r="G94" i="7"/>
  <c r="C94" i="7"/>
  <c r="N93" i="7"/>
  <c r="H93" i="7"/>
  <c r="F93" i="7" s="1"/>
  <c r="G93" i="7"/>
  <c r="C93" i="7"/>
  <c r="A93" i="7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N92" i="7"/>
  <c r="H92" i="7"/>
  <c r="F92" i="7" s="1"/>
  <c r="G92" i="7"/>
  <c r="C92" i="7"/>
  <c r="N91" i="7"/>
  <c r="H91" i="7"/>
  <c r="F91" i="7" s="1"/>
  <c r="G91" i="7"/>
  <c r="C91" i="7"/>
  <c r="N90" i="7"/>
  <c r="H90" i="7"/>
  <c r="F90" i="7" s="1"/>
  <c r="G90" i="7"/>
  <c r="C90" i="7"/>
  <c r="N89" i="7"/>
  <c r="H89" i="7"/>
  <c r="F89" i="7" s="1"/>
  <c r="G89" i="7"/>
  <c r="AO88" i="7"/>
  <c r="AN88" i="7"/>
  <c r="AM88" i="7"/>
  <c r="AL88" i="7"/>
  <c r="AK88" i="7"/>
  <c r="AI88" i="7"/>
  <c r="AH88" i="7"/>
  <c r="AJ88" i="7" s="1"/>
  <c r="AG88" i="7"/>
  <c r="AF88" i="7"/>
  <c r="AD88" i="7"/>
  <c r="AB88" i="7"/>
  <c r="Z88" i="7"/>
  <c r="X88" i="7"/>
  <c r="V88" i="7"/>
  <c r="U88" i="7"/>
  <c r="W88" i="7" s="1"/>
  <c r="S88" i="7"/>
  <c r="R88" i="7"/>
  <c r="T88" i="7" s="1"/>
  <c r="P88" i="7"/>
  <c r="O88" i="7"/>
  <c r="Y88" i="7" s="1"/>
  <c r="M88" i="7"/>
  <c r="L88" i="7"/>
  <c r="K88" i="7"/>
  <c r="J88" i="7"/>
  <c r="I88" i="7"/>
  <c r="E88" i="7"/>
  <c r="N88" i="7" s="1"/>
  <c r="D88" i="7"/>
  <c r="G88" i="7" s="1"/>
  <c r="AO87" i="7"/>
  <c r="AN87" i="7"/>
  <c r="AM87" i="7"/>
  <c r="AL87" i="7"/>
  <c r="AK87" i="7"/>
  <c r="AI87" i="7"/>
  <c r="AH87" i="7"/>
  <c r="AJ87" i="7" s="1"/>
  <c r="AG87" i="7"/>
  <c r="AF87" i="7"/>
  <c r="AD87" i="7"/>
  <c r="AB87" i="7"/>
  <c r="Z87" i="7"/>
  <c r="X87" i="7"/>
  <c r="V87" i="7"/>
  <c r="U87" i="7"/>
  <c r="W87" i="7" s="1"/>
  <c r="S87" i="7"/>
  <c r="R87" i="7"/>
  <c r="T87" i="7" s="1"/>
  <c r="P87" i="7"/>
  <c r="O87" i="7"/>
  <c r="Y87" i="7" s="1"/>
  <c r="M87" i="7"/>
  <c r="L87" i="7"/>
  <c r="K87" i="7"/>
  <c r="J87" i="7"/>
  <c r="I87" i="7"/>
  <c r="E87" i="7"/>
  <c r="N87" i="7" s="1"/>
  <c r="D87" i="7"/>
  <c r="AO86" i="7"/>
  <c r="AN86" i="7"/>
  <c r="AM86" i="7"/>
  <c r="AL86" i="7"/>
  <c r="AK86" i="7"/>
  <c r="AI86" i="7"/>
  <c r="AH86" i="7"/>
  <c r="AJ86" i="7" s="1"/>
  <c r="AG86" i="7"/>
  <c r="AF86" i="7"/>
  <c r="AD86" i="7"/>
  <c r="AB86" i="7"/>
  <c r="Z86" i="7"/>
  <c r="X86" i="7"/>
  <c r="V86" i="7"/>
  <c r="U86" i="7"/>
  <c r="S86" i="7"/>
  <c r="R86" i="7"/>
  <c r="P86" i="7"/>
  <c r="O86" i="7"/>
  <c r="M86" i="7"/>
  <c r="L86" i="7"/>
  <c r="K86" i="7"/>
  <c r="J86" i="7"/>
  <c r="I86" i="7"/>
  <c r="E86" i="7"/>
  <c r="N86" i="7" s="1"/>
  <c r="D86" i="7"/>
  <c r="AO85" i="7"/>
  <c r="AN85" i="7"/>
  <c r="AM85" i="7"/>
  <c r="AL85" i="7"/>
  <c r="AK85" i="7"/>
  <c r="AI85" i="7"/>
  <c r="AH85" i="7"/>
  <c r="AJ85" i="7" s="1"/>
  <c r="AG85" i="7"/>
  <c r="AF85" i="7"/>
  <c r="AD85" i="7"/>
  <c r="AB85" i="7"/>
  <c r="Z85" i="7"/>
  <c r="X85" i="7"/>
  <c r="V85" i="7"/>
  <c r="U85" i="7"/>
  <c r="W85" i="7" s="1"/>
  <c r="S85" i="7"/>
  <c r="R85" i="7"/>
  <c r="T85" i="7" s="1"/>
  <c r="P85" i="7"/>
  <c r="O85" i="7"/>
  <c r="Y85" i="7" s="1"/>
  <c r="M85" i="7"/>
  <c r="L85" i="7"/>
  <c r="K85" i="7"/>
  <c r="J85" i="7"/>
  <c r="I85" i="7"/>
  <c r="E85" i="7"/>
  <c r="N85" i="7" s="1"/>
  <c r="D85" i="7"/>
  <c r="G85" i="7" s="1"/>
  <c r="AO84" i="7"/>
  <c r="AN84" i="7"/>
  <c r="AM84" i="7"/>
  <c r="AL84" i="7"/>
  <c r="AK84" i="7"/>
  <c r="AI84" i="7"/>
  <c r="AH84" i="7"/>
  <c r="AJ84" i="7" s="1"/>
  <c r="AG84" i="7"/>
  <c r="AF84" i="7"/>
  <c r="AD84" i="7"/>
  <c r="AB84" i="7"/>
  <c r="Z84" i="7"/>
  <c r="X84" i="7"/>
  <c r="V84" i="7"/>
  <c r="U84" i="7"/>
  <c r="S84" i="7"/>
  <c r="R84" i="7"/>
  <c r="P84" i="7"/>
  <c r="O84" i="7"/>
  <c r="M84" i="7"/>
  <c r="L84" i="7"/>
  <c r="K84" i="7"/>
  <c r="J84" i="7"/>
  <c r="I84" i="7"/>
  <c r="E84" i="7"/>
  <c r="D84" i="7"/>
  <c r="AO83" i="7"/>
  <c r="AN83" i="7"/>
  <c r="AM83" i="7"/>
  <c r="AL83" i="7"/>
  <c r="AK83" i="7"/>
  <c r="AI83" i="7"/>
  <c r="AH83" i="7"/>
  <c r="AJ83" i="7" s="1"/>
  <c r="AG83" i="7"/>
  <c r="AF83" i="7"/>
  <c r="AD83" i="7"/>
  <c r="AB83" i="7"/>
  <c r="Z83" i="7"/>
  <c r="X83" i="7"/>
  <c r="V83" i="7"/>
  <c r="U83" i="7"/>
  <c r="W83" i="7" s="1"/>
  <c r="S83" i="7"/>
  <c r="R83" i="7"/>
  <c r="T83" i="7" s="1"/>
  <c r="P83" i="7"/>
  <c r="O83" i="7"/>
  <c r="Y83" i="7" s="1"/>
  <c r="M83" i="7"/>
  <c r="L83" i="7"/>
  <c r="K83" i="7"/>
  <c r="J83" i="7"/>
  <c r="I83" i="7"/>
  <c r="E83" i="7"/>
  <c r="N83" i="7" s="1"/>
  <c r="D83" i="7"/>
  <c r="G83" i="7" s="1"/>
  <c r="AO82" i="7"/>
  <c r="AN82" i="7"/>
  <c r="AM82" i="7"/>
  <c r="AL82" i="7"/>
  <c r="AK82" i="7"/>
  <c r="AI82" i="7"/>
  <c r="AH82" i="7"/>
  <c r="AJ82" i="7" s="1"/>
  <c r="AG82" i="7"/>
  <c r="AF82" i="7"/>
  <c r="AD82" i="7"/>
  <c r="AB82" i="7"/>
  <c r="Z82" i="7"/>
  <c r="X82" i="7"/>
  <c r="V82" i="7"/>
  <c r="U82" i="7"/>
  <c r="S82" i="7"/>
  <c r="R82" i="7"/>
  <c r="P82" i="7"/>
  <c r="O82" i="7"/>
  <c r="Y82" i="7" s="1"/>
  <c r="M82" i="7"/>
  <c r="L82" i="7"/>
  <c r="K82" i="7"/>
  <c r="J82" i="7"/>
  <c r="I82" i="7"/>
  <c r="E82" i="7"/>
  <c r="N82" i="7" s="1"/>
  <c r="D82" i="7"/>
  <c r="AO81" i="7"/>
  <c r="AN81" i="7"/>
  <c r="AM81" i="7"/>
  <c r="AL81" i="7"/>
  <c r="AK81" i="7"/>
  <c r="AI81" i="7"/>
  <c r="AH81" i="7"/>
  <c r="AJ81" i="7" s="1"/>
  <c r="AG81" i="7"/>
  <c r="AF81" i="7"/>
  <c r="AD81" i="7"/>
  <c r="AB81" i="7"/>
  <c r="Z81" i="7"/>
  <c r="X81" i="7"/>
  <c r="V81" i="7"/>
  <c r="U81" i="7"/>
  <c r="W81" i="7" s="1"/>
  <c r="S81" i="7"/>
  <c r="R81" i="7"/>
  <c r="P81" i="7"/>
  <c r="O81" i="7"/>
  <c r="AC81" i="7" s="1"/>
  <c r="M81" i="7"/>
  <c r="L81" i="7"/>
  <c r="K81" i="7"/>
  <c r="J81" i="7"/>
  <c r="I81" i="7"/>
  <c r="E81" i="7"/>
  <c r="N81" i="7" s="1"/>
  <c r="D81" i="7"/>
  <c r="G81" i="7" s="1"/>
  <c r="AO80" i="7"/>
  <c r="AN80" i="7"/>
  <c r="AM80" i="7"/>
  <c r="AL80" i="7"/>
  <c r="AK80" i="7"/>
  <c r="AI80" i="7"/>
  <c r="AH80" i="7"/>
  <c r="AJ80" i="7" s="1"/>
  <c r="AG80" i="7"/>
  <c r="AF80" i="7"/>
  <c r="AD80" i="7"/>
  <c r="AB80" i="7"/>
  <c r="Z80" i="7"/>
  <c r="X80" i="7"/>
  <c r="V80" i="7"/>
  <c r="U80" i="7"/>
  <c r="S80" i="7"/>
  <c r="R80" i="7"/>
  <c r="P80" i="7"/>
  <c r="O80" i="7"/>
  <c r="M80" i="7"/>
  <c r="L80" i="7"/>
  <c r="K80" i="7"/>
  <c r="J80" i="7"/>
  <c r="I80" i="7"/>
  <c r="E80" i="7"/>
  <c r="N80" i="7" s="1"/>
  <c r="D80" i="7"/>
  <c r="AO79" i="7"/>
  <c r="AN79" i="7"/>
  <c r="AM79" i="7"/>
  <c r="AL79" i="7"/>
  <c r="AK79" i="7"/>
  <c r="AI79" i="7"/>
  <c r="AH79" i="7"/>
  <c r="AJ79" i="7" s="1"/>
  <c r="AG79" i="7"/>
  <c r="AF79" i="7"/>
  <c r="AD79" i="7"/>
  <c r="AB79" i="7"/>
  <c r="Z79" i="7"/>
  <c r="X79" i="7"/>
  <c r="V79" i="7"/>
  <c r="U79" i="7"/>
  <c r="S79" i="7"/>
  <c r="R79" i="7"/>
  <c r="P79" i="7"/>
  <c r="O79" i="7"/>
  <c r="M79" i="7"/>
  <c r="L79" i="7"/>
  <c r="K79" i="7"/>
  <c r="J79" i="7"/>
  <c r="I79" i="7"/>
  <c r="E79" i="7"/>
  <c r="N79" i="7" s="1"/>
  <c r="D79" i="7"/>
  <c r="AO78" i="7"/>
  <c r="AN78" i="7"/>
  <c r="AM78" i="7"/>
  <c r="AL78" i="7"/>
  <c r="AK78" i="7"/>
  <c r="AI78" i="7"/>
  <c r="AH78" i="7"/>
  <c r="AJ78" i="7" s="1"/>
  <c r="AG78" i="7"/>
  <c r="AF78" i="7"/>
  <c r="AD78" i="7"/>
  <c r="AB78" i="7"/>
  <c r="Z78" i="7"/>
  <c r="X78" i="7"/>
  <c r="V78" i="7"/>
  <c r="U78" i="7"/>
  <c r="W78" i="7" s="1"/>
  <c r="S78" i="7"/>
  <c r="R78" i="7"/>
  <c r="T78" i="7" s="1"/>
  <c r="P78" i="7"/>
  <c r="O78" i="7"/>
  <c r="M78" i="7"/>
  <c r="L78" i="7"/>
  <c r="K78" i="7"/>
  <c r="J78" i="7"/>
  <c r="I78" i="7"/>
  <c r="E78" i="7"/>
  <c r="D78" i="7"/>
  <c r="G78" i="7" s="1"/>
  <c r="AO77" i="7"/>
  <c r="AN77" i="7"/>
  <c r="AM77" i="7"/>
  <c r="AL77" i="7"/>
  <c r="AK77" i="7"/>
  <c r="AI77" i="7"/>
  <c r="AH77" i="7"/>
  <c r="AJ77" i="7" s="1"/>
  <c r="AG77" i="7"/>
  <c r="AF77" i="7"/>
  <c r="AD77" i="7"/>
  <c r="AB77" i="7"/>
  <c r="Z77" i="7"/>
  <c r="X77" i="7"/>
  <c r="V77" i="7"/>
  <c r="U77" i="7"/>
  <c r="W77" i="7" s="1"/>
  <c r="S77" i="7"/>
  <c r="R77" i="7"/>
  <c r="T77" i="7" s="1"/>
  <c r="P77" i="7"/>
  <c r="O77" i="7"/>
  <c r="AC77" i="7" s="1"/>
  <c r="M77" i="7"/>
  <c r="L77" i="7"/>
  <c r="K77" i="7"/>
  <c r="J77" i="7"/>
  <c r="I77" i="7"/>
  <c r="E77" i="7"/>
  <c r="N77" i="7" s="1"/>
  <c r="D77" i="7"/>
  <c r="AO76" i="7"/>
  <c r="AN76" i="7"/>
  <c r="AM76" i="7"/>
  <c r="AL76" i="7"/>
  <c r="AK76" i="7"/>
  <c r="AI76" i="7"/>
  <c r="AH76" i="7"/>
  <c r="AJ76" i="7" s="1"/>
  <c r="AG76" i="7"/>
  <c r="AF76" i="7"/>
  <c r="AD76" i="7"/>
  <c r="AB76" i="7"/>
  <c r="Z76" i="7"/>
  <c r="X76" i="7"/>
  <c r="V76" i="7"/>
  <c r="U76" i="7"/>
  <c r="W76" i="7" s="1"/>
  <c r="S76" i="7"/>
  <c r="R76" i="7"/>
  <c r="T76" i="7" s="1"/>
  <c r="P76" i="7"/>
  <c r="O76" i="7"/>
  <c r="M76" i="7"/>
  <c r="L76" i="7"/>
  <c r="K76" i="7"/>
  <c r="J76" i="7"/>
  <c r="I76" i="7"/>
  <c r="E76" i="7"/>
  <c r="D76" i="7"/>
  <c r="G76" i="7" s="1"/>
  <c r="AO75" i="7"/>
  <c r="AN75" i="7"/>
  <c r="AM75" i="7"/>
  <c r="AL75" i="7"/>
  <c r="AK75" i="7"/>
  <c r="AI75" i="7"/>
  <c r="AH75" i="7"/>
  <c r="AG75" i="7"/>
  <c r="AF75" i="7"/>
  <c r="AD75" i="7"/>
  <c r="AB75" i="7"/>
  <c r="Z75" i="7"/>
  <c r="X75" i="7"/>
  <c r="V75" i="7"/>
  <c r="U75" i="7"/>
  <c r="S75" i="7"/>
  <c r="R75" i="7"/>
  <c r="T75" i="7" s="1"/>
  <c r="P75" i="7"/>
  <c r="O75" i="7"/>
  <c r="M75" i="7"/>
  <c r="L75" i="7"/>
  <c r="K75" i="7"/>
  <c r="J75" i="7"/>
  <c r="I75" i="7"/>
  <c r="E75" i="7"/>
  <c r="N75" i="7" s="1"/>
  <c r="D75" i="7"/>
  <c r="AO73" i="7"/>
  <c r="AN73" i="7"/>
  <c r="AM73" i="7"/>
  <c r="AL73" i="7"/>
  <c r="AK73" i="7"/>
  <c r="AI73" i="7"/>
  <c r="AH73" i="7"/>
  <c r="AJ73" i="7" s="1"/>
  <c r="AG73" i="7"/>
  <c r="AF73" i="7"/>
  <c r="AD73" i="7"/>
  <c r="AB73" i="7"/>
  <c r="Z73" i="7"/>
  <c r="X73" i="7"/>
  <c r="V73" i="7"/>
  <c r="U73" i="7"/>
  <c r="S73" i="7"/>
  <c r="R73" i="7"/>
  <c r="P73" i="7"/>
  <c r="O73" i="7"/>
  <c r="M73" i="7"/>
  <c r="L73" i="7"/>
  <c r="K73" i="7"/>
  <c r="J73" i="7"/>
  <c r="I73" i="7"/>
  <c r="E73" i="7"/>
  <c r="N73" i="7" s="1"/>
  <c r="D73" i="7"/>
  <c r="AO72" i="7"/>
  <c r="AN72" i="7"/>
  <c r="AM72" i="7"/>
  <c r="AL72" i="7"/>
  <c r="AK72" i="7"/>
  <c r="AI72" i="7"/>
  <c r="AH72" i="7"/>
  <c r="AJ72" i="7" s="1"/>
  <c r="AG72" i="7"/>
  <c r="AF72" i="7"/>
  <c r="AD72" i="7"/>
  <c r="AB72" i="7"/>
  <c r="Z72" i="7"/>
  <c r="X72" i="7"/>
  <c r="V72" i="7"/>
  <c r="U72" i="7"/>
  <c r="S72" i="7"/>
  <c r="R72" i="7"/>
  <c r="P72" i="7"/>
  <c r="O72" i="7"/>
  <c r="M72" i="7"/>
  <c r="L72" i="7"/>
  <c r="K72" i="7"/>
  <c r="J72" i="7"/>
  <c r="I72" i="7"/>
  <c r="E72" i="7"/>
  <c r="D72" i="7"/>
  <c r="AO71" i="7"/>
  <c r="AN71" i="7"/>
  <c r="AM71" i="7"/>
  <c r="AL71" i="7"/>
  <c r="AK71" i="7"/>
  <c r="AI71" i="7"/>
  <c r="AH71" i="7"/>
  <c r="AJ71" i="7" s="1"/>
  <c r="AG71" i="7"/>
  <c r="AF71" i="7"/>
  <c r="AD71" i="7"/>
  <c r="AB71" i="7"/>
  <c r="Z71" i="7"/>
  <c r="X71" i="7"/>
  <c r="V71" i="7"/>
  <c r="U71" i="7"/>
  <c r="S71" i="7"/>
  <c r="R71" i="7"/>
  <c r="P71" i="7"/>
  <c r="O71" i="7"/>
  <c r="M71" i="7"/>
  <c r="L71" i="7"/>
  <c r="K71" i="7"/>
  <c r="J71" i="7"/>
  <c r="I71" i="7"/>
  <c r="E71" i="7"/>
  <c r="N71" i="7" s="1"/>
  <c r="D71" i="7"/>
  <c r="AO70" i="7"/>
  <c r="AN70" i="7"/>
  <c r="AM70" i="7"/>
  <c r="AL70" i="7"/>
  <c r="AK70" i="7"/>
  <c r="AI70" i="7"/>
  <c r="AH70" i="7"/>
  <c r="AJ70" i="7" s="1"/>
  <c r="AG70" i="7"/>
  <c r="AF70" i="7"/>
  <c r="AD70" i="7"/>
  <c r="AB70" i="7"/>
  <c r="Z70" i="7"/>
  <c r="X70" i="7"/>
  <c r="V70" i="7"/>
  <c r="U70" i="7"/>
  <c r="S70" i="7"/>
  <c r="R70" i="7"/>
  <c r="P70" i="7"/>
  <c r="O70" i="7"/>
  <c r="M70" i="7"/>
  <c r="L70" i="7"/>
  <c r="K70" i="7"/>
  <c r="J70" i="7"/>
  <c r="I70" i="7"/>
  <c r="E70" i="7"/>
  <c r="D70" i="7"/>
  <c r="AO69" i="7"/>
  <c r="AN69" i="7"/>
  <c r="AM69" i="7"/>
  <c r="AL69" i="7"/>
  <c r="AK69" i="7"/>
  <c r="AI69" i="7"/>
  <c r="AH69" i="7"/>
  <c r="AJ69" i="7" s="1"/>
  <c r="AG69" i="7"/>
  <c r="AF69" i="7"/>
  <c r="AD69" i="7"/>
  <c r="AB69" i="7"/>
  <c r="Z69" i="7"/>
  <c r="X69" i="7"/>
  <c r="V69" i="7"/>
  <c r="U69" i="7"/>
  <c r="S69" i="7"/>
  <c r="R69" i="7"/>
  <c r="P69" i="7"/>
  <c r="O69" i="7"/>
  <c r="M69" i="7"/>
  <c r="L69" i="7"/>
  <c r="K69" i="7"/>
  <c r="J69" i="7"/>
  <c r="I69" i="7"/>
  <c r="E69" i="7"/>
  <c r="N69" i="7" s="1"/>
  <c r="D69" i="7"/>
  <c r="AO68" i="7"/>
  <c r="AN68" i="7"/>
  <c r="AM68" i="7"/>
  <c r="AL68" i="7"/>
  <c r="AK68" i="7"/>
  <c r="AI68" i="7"/>
  <c r="AH68" i="7"/>
  <c r="AJ68" i="7" s="1"/>
  <c r="AG68" i="7"/>
  <c r="AF68" i="7"/>
  <c r="AD68" i="7"/>
  <c r="AB68" i="7"/>
  <c r="Z68" i="7"/>
  <c r="X68" i="7"/>
  <c r="V68" i="7"/>
  <c r="U68" i="7"/>
  <c r="S68" i="7"/>
  <c r="R68" i="7"/>
  <c r="P68" i="7"/>
  <c r="O68" i="7"/>
  <c r="M68" i="7"/>
  <c r="L68" i="7"/>
  <c r="K68" i="7"/>
  <c r="J68" i="7"/>
  <c r="I68" i="7"/>
  <c r="E68" i="7"/>
  <c r="D68" i="7"/>
  <c r="AO67" i="7"/>
  <c r="AN67" i="7"/>
  <c r="AM67" i="7"/>
  <c r="AL67" i="7"/>
  <c r="AK67" i="7"/>
  <c r="AI67" i="7"/>
  <c r="AH67" i="7"/>
  <c r="AJ67" i="7" s="1"/>
  <c r="AG67" i="7"/>
  <c r="AF67" i="7"/>
  <c r="AD67" i="7"/>
  <c r="AB67" i="7"/>
  <c r="Z67" i="7"/>
  <c r="X67" i="7"/>
  <c r="V67" i="7"/>
  <c r="U67" i="7"/>
  <c r="W67" i="7" s="1"/>
  <c r="S67" i="7"/>
  <c r="R67" i="7"/>
  <c r="T67" i="7" s="1"/>
  <c r="P67" i="7"/>
  <c r="O67" i="7"/>
  <c r="M67" i="7"/>
  <c r="L67" i="7"/>
  <c r="K67" i="7"/>
  <c r="J67" i="7"/>
  <c r="I67" i="7"/>
  <c r="E67" i="7"/>
  <c r="N67" i="7" s="1"/>
  <c r="D67" i="7"/>
  <c r="AO66" i="7"/>
  <c r="AN66" i="7"/>
  <c r="AM66" i="7"/>
  <c r="AL66" i="7"/>
  <c r="AK66" i="7"/>
  <c r="AI66" i="7"/>
  <c r="AH66" i="7"/>
  <c r="AJ66" i="7" s="1"/>
  <c r="AG66" i="7"/>
  <c r="AF66" i="7"/>
  <c r="AD66" i="7"/>
  <c r="AB66" i="7"/>
  <c r="Z66" i="7"/>
  <c r="X66" i="7"/>
  <c r="V66" i="7"/>
  <c r="U66" i="7"/>
  <c r="W66" i="7" s="1"/>
  <c r="S66" i="7"/>
  <c r="R66" i="7"/>
  <c r="T66" i="7" s="1"/>
  <c r="P66" i="7"/>
  <c r="O66" i="7"/>
  <c r="AA66" i="7" s="1"/>
  <c r="M66" i="7"/>
  <c r="L66" i="7"/>
  <c r="K66" i="7"/>
  <c r="J66" i="7"/>
  <c r="I66" i="7"/>
  <c r="E66" i="7"/>
  <c r="N66" i="7" s="1"/>
  <c r="D66" i="7"/>
  <c r="G66" i="7" s="1"/>
  <c r="AO65" i="7"/>
  <c r="AN65" i="7"/>
  <c r="AM65" i="7"/>
  <c r="AL65" i="7"/>
  <c r="AK65" i="7"/>
  <c r="AI65" i="7"/>
  <c r="AH65" i="7"/>
  <c r="AJ65" i="7" s="1"/>
  <c r="AG65" i="7"/>
  <c r="AF65" i="7"/>
  <c r="AD65" i="7"/>
  <c r="AB65" i="7"/>
  <c r="Z65" i="7"/>
  <c r="X65" i="7"/>
  <c r="V65" i="7"/>
  <c r="U65" i="7"/>
  <c r="S65" i="7"/>
  <c r="R65" i="7"/>
  <c r="P65" i="7"/>
  <c r="O65" i="7"/>
  <c r="M65" i="7"/>
  <c r="L65" i="7"/>
  <c r="K65" i="7"/>
  <c r="J65" i="7"/>
  <c r="I65" i="7"/>
  <c r="E65" i="7"/>
  <c r="N65" i="7" s="1"/>
  <c r="D65" i="7"/>
  <c r="AO64" i="7"/>
  <c r="AN64" i="7"/>
  <c r="AM64" i="7"/>
  <c r="AL64" i="7"/>
  <c r="AK64" i="7"/>
  <c r="AI64" i="7"/>
  <c r="AH64" i="7"/>
  <c r="AJ64" i="7" s="1"/>
  <c r="AG64" i="7"/>
  <c r="AF64" i="7"/>
  <c r="AD64" i="7"/>
  <c r="AB64" i="7"/>
  <c r="Z64" i="7"/>
  <c r="X64" i="7"/>
  <c r="V64" i="7"/>
  <c r="U64" i="7"/>
  <c r="S64" i="7"/>
  <c r="R64" i="7"/>
  <c r="P64" i="7"/>
  <c r="O64" i="7"/>
  <c r="Y64" i="7" s="1"/>
  <c r="M64" i="7"/>
  <c r="L64" i="7"/>
  <c r="K64" i="7"/>
  <c r="J64" i="7"/>
  <c r="I64" i="7"/>
  <c r="E64" i="7"/>
  <c r="N64" i="7" s="1"/>
  <c r="D64" i="7"/>
  <c r="AO63" i="7"/>
  <c r="AN63" i="7"/>
  <c r="AM63" i="7"/>
  <c r="AL63" i="7"/>
  <c r="AK63" i="7"/>
  <c r="AI63" i="7"/>
  <c r="AH63" i="7"/>
  <c r="AJ63" i="7" s="1"/>
  <c r="AG63" i="7"/>
  <c r="AF63" i="7"/>
  <c r="AD63" i="7"/>
  <c r="AB63" i="7"/>
  <c r="Z63" i="7"/>
  <c r="X63" i="7"/>
  <c r="V63" i="7"/>
  <c r="U63" i="7"/>
  <c r="S63" i="7"/>
  <c r="R63" i="7"/>
  <c r="P63" i="7"/>
  <c r="O63" i="7"/>
  <c r="M63" i="7"/>
  <c r="L63" i="7"/>
  <c r="K63" i="7"/>
  <c r="J63" i="7"/>
  <c r="I63" i="7"/>
  <c r="E63" i="7"/>
  <c r="N63" i="7" s="1"/>
  <c r="D63" i="7"/>
  <c r="AO62" i="7"/>
  <c r="AN62" i="7"/>
  <c r="AM62" i="7"/>
  <c r="AL62" i="7"/>
  <c r="AK62" i="7"/>
  <c r="AI62" i="7"/>
  <c r="AH62" i="7"/>
  <c r="AJ62" i="7" s="1"/>
  <c r="AG62" i="7"/>
  <c r="AF62" i="7"/>
  <c r="AD62" i="7"/>
  <c r="AB62" i="7"/>
  <c r="Z62" i="7"/>
  <c r="X62" i="7"/>
  <c r="V62" i="7"/>
  <c r="U62" i="7"/>
  <c r="W62" i="7" s="1"/>
  <c r="S62" i="7"/>
  <c r="R62" i="7"/>
  <c r="T62" i="7" s="1"/>
  <c r="P62" i="7"/>
  <c r="O62" i="7"/>
  <c r="M62" i="7"/>
  <c r="L62" i="7"/>
  <c r="K62" i="7"/>
  <c r="J62" i="7"/>
  <c r="I62" i="7"/>
  <c r="E62" i="7"/>
  <c r="N62" i="7" s="1"/>
  <c r="D62" i="7"/>
  <c r="AO61" i="7"/>
  <c r="AN61" i="7"/>
  <c r="AM61" i="7"/>
  <c r="AL61" i="7"/>
  <c r="AK61" i="7"/>
  <c r="AI61" i="7"/>
  <c r="AH61" i="7"/>
  <c r="AJ61" i="7" s="1"/>
  <c r="AG61" i="7"/>
  <c r="AF61" i="7"/>
  <c r="AD61" i="7"/>
  <c r="AB61" i="7"/>
  <c r="Z61" i="7"/>
  <c r="X61" i="7"/>
  <c r="V61" i="7"/>
  <c r="U61" i="7"/>
  <c r="W61" i="7" s="1"/>
  <c r="S61" i="7"/>
  <c r="R61" i="7"/>
  <c r="T61" i="7" s="1"/>
  <c r="P61" i="7"/>
  <c r="O61" i="7"/>
  <c r="AA61" i="7" s="1"/>
  <c r="M61" i="7"/>
  <c r="L61" i="7"/>
  <c r="K61" i="7"/>
  <c r="J61" i="7"/>
  <c r="I61" i="7"/>
  <c r="E61" i="7"/>
  <c r="N61" i="7" s="1"/>
  <c r="D61" i="7"/>
  <c r="AO60" i="7"/>
  <c r="AN60" i="7"/>
  <c r="AM60" i="7"/>
  <c r="AL60" i="7"/>
  <c r="AK60" i="7"/>
  <c r="AI60" i="7"/>
  <c r="AH60" i="7"/>
  <c r="AJ60" i="7" s="1"/>
  <c r="AG60" i="7"/>
  <c r="AF60" i="7"/>
  <c r="AD60" i="7"/>
  <c r="AB60" i="7"/>
  <c r="Z60" i="7"/>
  <c r="X60" i="7"/>
  <c r="V60" i="7"/>
  <c r="U60" i="7"/>
  <c r="W60" i="7" s="1"/>
  <c r="S60" i="7"/>
  <c r="R60" i="7"/>
  <c r="T60" i="7" s="1"/>
  <c r="P60" i="7"/>
  <c r="O60" i="7"/>
  <c r="M60" i="7"/>
  <c r="L60" i="7"/>
  <c r="K60" i="7"/>
  <c r="J60" i="7"/>
  <c r="I60" i="7"/>
  <c r="E60" i="7"/>
  <c r="N60" i="7" s="1"/>
  <c r="D60" i="7"/>
  <c r="G60" i="7" s="1"/>
  <c r="AO59" i="7"/>
  <c r="AN59" i="7"/>
  <c r="AM59" i="7"/>
  <c r="AL59" i="7"/>
  <c r="AK59" i="7"/>
  <c r="AI59" i="7"/>
  <c r="AH59" i="7"/>
  <c r="AJ59" i="7" s="1"/>
  <c r="AG59" i="7"/>
  <c r="AF59" i="7"/>
  <c r="AD59" i="7"/>
  <c r="AB59" i="7"/>
  <c r="Z59" i="7"/>
  <c r="X59" i="7"/>
  <c r="V59" i="7"/>
  <c r="U59" i="7"/>
  <c r="S59" i="7"/>
  <c r="R59" i="7"/>
  <c r="P59" i="7"/>
  <c r="O59" i="7"/>
  <c r="M59" i="7"/>
  <c r="L59" i="7"/>
  <c r="K59" i="7"/>
  <c r="J59" i="7"/>
  <c r="I59" i="7"/>
  <c r="E59" i="7"/>
  <c r="N59" i="7" s="1"/>
  <c r="D59" i="7"/>
  <c r="AO58" i="7"/>
  <c r="AN58" i="7"/>
  <c r="AM58" i="7"/>
  <c r="AL58" i="7"/>
  <c r="AK58" i="7"/>
  <c r="AI58" i="7"/>
  <c r="AH58" i="7"/>
  <c r="AJ58" i="7" s="1"/>
  <c r="AG58" i="7"/>
  <c r="AF58" i="7"/>
  <c r="AD58" i="7"/>
  <c r="AB58" i="7"/>
  <c r="Z58" i="7"/>
  <c r="X58" i="7"/>
  <c r="V58" i="7"/>
  <c r="U58" i="7"/>
  <c r="W58" i="7" s="1"/>
  <c r="S58" i="7"/>
  <c r="R58" i="7"/>
  <c r="T58" i="7" s="1"/>
  <c r="P58" i="7"/>
  <c r="O58" i="7"/>
  <c r="AA58" i="7" s="1"/>
  <c r="M58" i="7"/>
  <c r="L58" i="7"/>
  <c r="K58" i="7"/>
  <c r="J58" i="7"/>
  <c r="I58" i="7"/>
  <c r="E58" i="7"/>
  <c r="N58" i="7" s="1"/>
  <c r="D58" i="7"/>
  <c r="AO57" i="7"/>
  <c r="AN57" i="7"/>
  <c r="AM57" i="7"/>
  <c r="AL57" i="7"/>
  <c r="AK57" i="7"/>
  <c r="AI57" i="7"/>
  <c r="AH57" i="7"/>
  <c r="AJ57" i="7" s="1"/>
  <c r="AG57" i="7"/>
  <c r="AF57" i="7"/>
  <c r="AD57" i="7"/>
  <c r="AB57" i="7"/>
  <c r="Z57" i="7"/>
  <c r="X57" i="7"/>
  <c r="V57" i="7"/>
  <c r="U57" i="7"/>
  <c r="S57" i="7"/>
  <c r="R57" i="7"/>
  <c r="P57" i="7"/>
  <c r="O57" i="7"/>
  <c r="M57" i="7"/>
  <c r="L57" i="7"/>
  <c r="K57" i="7"/>
  <c r="J57" i="7"/>
  <c r="I57" i="7"/>
  <c r="E57" i="7"/>
  <c r="N57" i="7" s="1"/>
  <c r="D57" i="7"/>
  <c r="AO56" i="7"/>
  <c r="AN56" i="7"/>
  <c r="AM56" i="7"/>
  <c r="AL56" i="7"/>
  <c r="AK56" i="7"/>
  <c r="AI56" i="7"/>
  <c r="AH56" i="7"/>
  <c r="AJ56" i="7" s="1"/>
  <c r="AG56" i="7"/>
  <c r="AF56" i="7"/>
  <c r="AD56" i="7"/>
  <c r="AB56" i="7"/>
  <c r="Z56" i="7"/>
  <c r="X56" i="7"/>
  <c r="V56" i="7"/>
  <c r="U56" i="7"/>
  <c r="W56" i="7" s="1"/>
  <c r="S56" i="7"/>
  <c r="R56" i="7"/>
  <c r="T56" i="7" s="1"/>
  <c r="P56" i="7"/>
  <c r="O56" i="7"/>
  <c r="AA56" i="7" s="1"/>
  <c r="M56" i="7"/>
  <c r="L56" i="7"/>
  <c r="K56" i="7"/>
  <c r="J56" i="7"/>
  <c r="I56" i="7"/>
  <c r="E56" i="7"/>
  <c r="N56" i="7" s="1"/>
  <c r="D56" i="7"/>
  <c r="G56" i="7" s="1"/>
  <c r="AO55" i="7"/>
  <c r="AN55" i="7"/>
  <c r="AM55" i="7"/>
  <c r="AL55" i="7"/>
  <c r="AK55" i="7"/>
  <c r="AI55" i="7"/>
  <c r="AH55" i="7"/>
  <c r="AJ55" i="7" s="1"/>
  <c r="AG55" i="7"/>
  <c r="AF55" i="7"/>
  <c r="AD55" i="7"/>
  <c r="AB55" i="7"/>
  <c r="Z55" i="7"/>
  <c r="X55" i="7"/>
  <c r="V55" i="7"/>
  <c r="U55" i="7"/>
  <c r="S55" i="7"/>
  <c r="R55" i="7"/>
  <c r="P55" i="7"/>
  <c r="O55" i="7"/>
  <c r="M55" i="7"/>
  <c r="L55" i="7"/>
  <c r="K55" i="7"/>
  <c r="J55" i="7"/>
  <c r="I55" i="7"/>
  <c r="E55" i="7"/>
  <c r="N55" i="7" s="1"/>
  <c r="D55" i="7"/>
  <c r="AO54" i="7"/>
  <c r="AN54" i="7"/>
  <c r="AM54" i="7"/>
  <c r="AL54" i="7"/>
  <c r="AK54" i="7"/>
  <c r="AI54" i="7"/>
  <c r="AH54" i="7"/>
  <c r="AJ54" i="7" s="1"/>
  <c r="AG54" i="7"/>
  <c r="AF54" i="7"/>
  <c r="AD54" i="7"/>
  <c r="AB54" i="7"/>
  <c r="Z54" i="7"/>
  <c r="X54" i="7"/>
  <c r="V54" i="7"/>
  <c r="U54" i="7"/>
  <c r="S54" i="7"/>
  <c r="R54" i="7"/>
  <c r="P54" i="7"/>
  <c r="O54" i="7"/>
  <c r="Y54" i="7" s="1"/>
  <c r="M54" i="7"/>
  <c r="L54" i="7"/>
  <c r="K54" i="7"/>
  <c r="J54" i="7"/>
  <c r="I54" i="7"/>
  <c r="E54" i="7"/>
  <c r="D54" i="7"/>
  <c r="AO53" i="7"/>
  <c r="AN53" i="7"/>
  <c r="AM53" i="7"/>
  <c r="AL53" i="7"/>
  <c r="AK53" i="7"/>
  <c r="AI53" i="7"/>
  <c r="AH53" i="7"/>
  <c r="AG53" i="7"/>
  <c r="AF53" i="7"/>
  <c r="AD53" i="7"/>
  <c r="AB53" i="7"/>
  <c r="Z53" i="7"/>
  <c r="X53" i="7"/>
  <c r="V53" i="7"/>
  <c r="U53" i="7"/>
  <c r="S53" i="7"/>
  <c r="R53" i="7"/>
  <c r="P53" i="7"/>
  <c r="O53" i="7"/>
  <c r="M53" i="7"/>
  <c r="L53" i="7"/>
  <c r="K53" i="7"/>
  <c r="J53" i="7"/>
  <c r="I53" i="7"/>
  <c r="E53" i="7"/>
  <c r="N53" i="7" s="1"/>
  <c r="D53" i="7"/>
  <c r="AO51" i="7"/>
  <c r="AN51" i="7"/>
  <c r="AM51" i="7"/>
  <c r="AL51" i="7"/>
  <c r="AK51" i="7"/>
  <c r="AI51" i="7"/>
  <c r="AH51" i="7"/>
  <c r="AJ51" i="7" s="1"/>
  <c r="AG51" i="7"/>
  <c r="AF51" i="7"/>
  <c r="AD51" i="7"/>
  <c r="AB51" i="7"/>
  <c r="Z51" i="7"/>
  <c r="X51" i="7"/>
  <c r="V51" i="7"/>
  <c r="U51" i="7"/>
  <c r="S51" i="7"/>
  <c r="R51" i="7"/>
  <c r="P51" i="7"/>
  <c r="O51" i="7"/>
  <c r="M51" i="7"/>
  <c r="L51" i="7"/>
  <c r="K51" i="7"/>
  <c r="J51" i="7"/>
  <c r="I51" i="7"/>
  <c r="E51" i="7"/>
  <c r="N51" i="7" s="1"/>
  <c r="D51" i="7"/>
  <c r="AO50" i="7"/>
  <c r="AN50" i="7"/>
  <c r="AM50" i="7"/>
  <c r="AL50" i="7"/>
  <c r="AK50" i="7"/>
  <c r="AI50" i="7"/>
  <c r="AH50" i="7"/>
  <c r="AJ50" i="7" s="1"/>
  <c r="AG50" i="7"/>
  <c r="AF50" i="7"/>
  <c r="AD50" i="7"/>
  <c r="AB50" i="7"/>
  <c r="Z50" i="7"/>
  <c r="X50" i="7"/>
  <c r="V50" i="7"/>
  <c r="U50" i="7"/>
  <c r="W50" i="7" s="1"/>
  <c r="S50" i="7"/>
  <c r="R50" i="7"/>
  <c r="T50" i="7" s="1"/>
  <c r="P50" i="7"/>
  <c r="O50" i="7"/>
  <c r="AA50" i="7" s="1"/>
  <c r="M50" i="7"/>
  <c r="L50" i="7"/>
  <c r="K50" i="7"/>
  <c r="J50" i="7"/>
  <c r="I50" i="7"/>
  <c r="E50" i="7"/>
  <c r="N50" i="7" s="1"/>
  <c r="D50" i="7"/>
  <c r="AO49" i="7"/>
  <c r="AN49" i="7"/>
  <c r="AM49" i="7"/>
  <c r="AL49" i="7"/>
  <c r="AK49" i="7"/>
  <c r="AI49" i="7"/>
  <c r="AH49" i="7"/>
  <c r="AJ49" i="7" s="1"/>
  <c r="AG49" i="7"/>
  <c r="AF49" i="7"/>
  <c r="AD49" i="7"/>
  <c r="AB49" i="7"/>
  <c r="Z49" i="7"/>
  <c r="X49" i="7"/>
  <c r="V49" i="7"/>
  <c r="U49" i="7"/>
  <c r="S49" i="7"/>
  <c r="R49" i="7"/>
  <c r="P49" i="7"/>
  <c r="O49" i="7"/>
  <c r="Y49" i="7" s="1"/>
  <c r="M49" i="7"/>
  <c r="L49" i="7"/>
  <c r="K49" i="7"/>
  <c r="J49" i="7"/>
  <c r="I49" i="7"/>
  <c r="E49" i="7"/>
  <c r="N49" i="7" s="1"/>
  <c r="D49" i="7"/>
  <c r="AO48" i="7"/>
  <c r="AN48" i="7"/>
  <c r="AM48" i="7"/>
  <c r="AL48" i="7"/>
  <c r="AK48" i="7"/>
  <c r="AI48" i="7"/>
  <c r="AH48" i="7"/>
  <c r="AJ48" i="7" s="1"/>
  <c r="AG48" i="7"/>
  <c r="AF48" i="7"/>
  <c r="AD48" i="7"/>
  <c r="AB48" i="7"/>
  <c r="Z48" i="7"/>
  <c r="X48" i="7"/>
  <c r="V48" i="7"/>
  <c r="U48" i="7"/>
  <c r="S48" i="7"/>
  <c r="R48" i="7"/>
  <c r="P48" i="7"/>
  <c r="O48" i="7"/>
  <c r="M48" i="7"/>
  <c r="L48" i="7"/>
  <c r="K48" i="7"/>
  <c r="J48" i="7"/>
  <c r="I48" i="7"/>
  <c r="E48" i="7"/>
  <c r="N48" i="7" s="1"/>
  <c r="D48" i="7"/>
  <c r="AO47" i="7"/>
  <c r="AN47" i="7"/>
  <c r="AM47" i="7"/>
  <c r="AL47" i="7"/>
  <c r="AK47" i="7"/>
  <c r="AI47" i="7"/>
  <c r="AH47" i="7"/>
  <c r="AJ47" i="7" s="1"/>
  <c r="AG47" i="7"/>
  <c r="AF47" i="7"/>
  <c r="AD47" i="7"/>
  <c r="AB47" i="7"/>
  <c r="Z47" i="7"/>
  <c r="X47" i="7"/>
  <c r="V47" i="7"/>
  <c r="U47" i="7"/>
  <c r="S47" i="7"/>
  <c r="R47" i="7"/>
  <c r="P47" i="7"/>
  <c r="O47" i="7"/>
  <c r="M47" i="7"/>
  <c r="L47" i="7"/>
  <c r="K47" i="7"/>
  <c r="J47" i="7"/>
  <c r="I47" i="7"/>
  <c r="E47" i="7"/>
  <c r="N47" i="7" s="1"/>
  <c r="D47" i="7"/>
  <c r="AO46" i="7"/>
  <c r="AN46" i="7"/>
  <c r="AM46" i="7"/>
  <c r="AL46" i="7"/>
  <c r="AK46" i="7"/>
  <c r="AI46" i="7"/>
  <c r="AH46" i="7"/>
  <c r="AG46" i="7"/>
  <c r="AF46" i="7"/>
  <c r="AD46" i="7"/>
  <c r="AB46" i="7"/>
  <c r="Z46" i="7"/>
  <c r="X46" i="7"/>
  <c r="V46" i="7"/>
  <c r="U46" i="7"/>
  <c r="S46" i="7"/>
  <c r="R46" i="7"/>
  <c r="P46" i="7"/>
  <c r="O46" i="7"/>
  <c r="M46" i="7"/>
  <c r="L46" i="7"/>
  <c r="K46" i="7"/>
  <c r="J46" i="7"/>
  <c r="I46" i="7"/>
  <c r="E46" i="7"/>
  <c r="N46" i="7" s="1"/>
  <c r="D46" i="7"/>
  <c r="AO45" i="7"/>
  <c r="AN45" i="7"/>
  <c r="AM45" i="7"/>
  <c r="AL45" i="7"/>
  <c r="AK45" i="7"/>
  <c r="AI45" i="7"/>
  <c r="AH45" i="7"/>
  <c r="AJ45" i="7" s="1"/>
  <c r="AG45" i="7"/>
  <c r="AF45" i="7"/>
  <c r="AD45" i="7"/>
  <c r="AB45" i="7"/>
  <c r="Z45" i="7"/>
  <c r="X45" i="7"/>
  <c r="V45" i="7"/>
  <c r="U45" i="7"/>
  <c r="W45" i="7" s="1"/>
  <c r="S45" i="7"/>
  <c r="R45" i="7"/>
  <c r="T45" i="7" s="1"/>
  <c r="P45" i="7"/>
  <c r="O45" i="7"/>
  <c r="M45" i="7"/>
  <c r="L45" i="7"/>
  <c r="K45" i="7"/>
  <c r="J45" i="7"/>
  <c r="I45" i="7"/>
  <c r="E45" i="7"/>
  <c r="N45" i="7" s="1"/>
  <c r="D45" i="7"/>
  <c r="G45" i="7" s="1"/>
  <c r="AO44" i="7"/>
  <c r="AN44" i="7"/>
  <c r="AM44" i="7"/>
  <c r="AL44" i="7"/>
  <c r="AK44" i="7"/>
  <c r="AI44" i="7"/>
  <c r="AH44" i="7"/>
  <c r="AJ44" i="7" s="1"/>
  <c r="AG44" i="7"/>
  <c r="AF44" i="7"/>
  <c r="AD44" i="7"/>
  <c r="AB44" i="7"/>
  <c r="Z44" i="7"/>
  <c r="X44" i="7"/>
  <c r="V44" i="7"/>
  <c r="U44" i="7"/>
  <c r="S44" i="7"/>
  <c r="R44" i="7"/>
  <c r="P44" i="7"/>
  <c r="O44" i="7"/>
  <c r="M44" i="7"/>
  <c r="L44" i="7"/>
  <c r="K44" i="7"/>
  <c r="J44" i="7"/>
  <c r="I44" i="7"/>
  <c r="E44" i="7"/>
  <c r="N44" i="7" s="1"/>
  <c r="D44" i="7"/>
  <c r="AO43" i="7"/>
  <c r="AN43" i="7"/>
  <c r="AM43" i="7"/>
  <c r="AL43" i="7"/>
  <c r="AK43" i="7"/>
  <c r="AI43" i="7"/>
  <c r="AH43" i="7"/>
  <c r="AJ43" i="7" s="1"/>
  <c r="AG43" i="7"/>
  <c r="AF43" i="7"/>
  <c r="AD43" i="7"/>
  <c r="AB43" i="7"/>
  <c r="Z43" i="7"/>
  <c r="X43" i="7"/>
  <c r="V43" i="7"/>
  <c r="U43" i="7"/>
  <c r="S43" i="7"/>
  <c r="R43" i="7"/>
  <c r="P43" i="7"/>
  <c r="O43" i="7"/>
  <c r="M43" i="7"/>
  <c r="L43" i="7"/>
  <c r="K43" i="7"/>
  <c r="J43" i="7"/>
  <c r="I43" i="7"/>
  <c r="E43" i="7"/>
  <c r="N43" i="7" s="1"/>
  <c r="D43" i="7"/>
  <c r="AO42" i="7"/>
  <c r="AN42" i="7"/>
  <c r="AM42" i="7"/>
  <c r="AL42" i="7"/>
  <c r="AK42" i="7"/>
  <c r="AI42" i="7"/>
  <c r="AH42" i="7"/>
  <c r="AJ42" i="7" s="1"/>
  <c r="AG42" i="7"/>
  <c r="AF42" i="7"/>
  <c r="AD42" i="7"/>
  <c r="AB42" i="7"/>
  <c r="Z42" i="7"/>
  <c r="X42" i="7"/>
  <c r="V42" i="7"/>
  <c r="U42" i="7"/>
  <c r="S42" i="7"/>
  <c r="R42" i="7"/>
  <c r="P42" i="7"/>
  <c r="O42" i="7"/>
  <c r="M42" i="7"/>
  <c r="L42" i="7"/>
  <c r="K42" i="7"/>
  <c r="J42" i="7"/>
  <c r="I42" i="7"/>
  <c r="E42" i="7"/>
  <c r="N42" i="7" s="1"/>
  <c r="D42" i="7"/>
  <c r="AO41" i="7"/>
  <c r="AN41" i="7"/>
  <c r="AM41" i="7"/>
  <c r="AL41" i="7"/>
  <c r="AK41" i="7"/>
  <c r="AI41" i="7"/>
  <c r="AH41" i="7"/>
  <c r="AJ41" i="7" s="1"/>
  <c r="AG41" i="7"/>
  <c r="AF41" i="7"/>
  <c r="AD41" i="7"/>
  <c r="AB41" i="7"/>
  <c r="Z41" i="7"/>
  <c r="X41" i="7"/>
  <c r="V41" i="7"/>
  <c r="U41" i="7"/>
  <c r="W41" i="7" s="1"/>
  <c r="S41" i="7"/>
  <c r="R41" i="7"/>
  <c r="T41" i="7" s="1"/>
  <c r="P41" i="7"/>
  <c r="O41" i="7"/>
  <c r="AC41" i="7" s="1"/>
  <c r="M41" i="7"/>
  <c r="L41" i="7"/>
  <c r="K41" i="7"/>
  <c r="J41" i="7"/>
  <c r="I41" i="7"/>
  <c r="E41" i="7"/>
  <c r="N41" i="7" s="1"/>
  <c r="D41" i="7"/>
  <c r="AO40" i="7"/>
  <c r="AN40" i="7"/>
  <c r="AM40" i="7"/>
  <c r="AL40" i="7"/>
  <c r="AK40" i="7"/>
  <c r="AI40" i="7"/>
  <c r="AH40" i="7"/>
  <c r="AJ40" i="7" s="1"/>
  <c r="AG40" i="7"/>
  <c r="AF40" i="7"/>
  <c r="AD40" i="7"/>
  <c r="AB40" i="7"/>
  <c r="Z40" i="7"/>
  <c r="X40" i="7"/>
  <c r="V40" i="7"/>
  <c r="U40" i="7"/>
  <c r="W40" i="7" s="1"/>
  <c r="S40" i="7"/>
  <c r="R40" i="7"/>
  <c r="T40" i="7" s="1"/>
  <c r="P40" i="7"/>
  <c r="O40" i="7"/>
  <c r="Y40" i="7" s="1"/>
  <c r="M40" i="7"/>
  <c r="L40" i="7"/>
  <c r="K40" i="7"/>
  <c r="J40" i="7"/>
  <c r="I40" i="7"/>
  <c r="E40" i="7"/>
  <c r="N40" i="7" s="1"/>
  <c r="D40" i="7"/>
  <c r="G40" i="7" s="1"/>
  <c r="AO39" i="7"/>
  <c r="AN39" i="7"/>
  <c r="AM39" i="7"/>
  <c r="AL39" i="7"/>
  <c r="AK39" i="7"/>
  <c r="AI39" i="7"/>
  <c r="AH39" i="7"/>
  <c r="AJ39" i="7" s="1"/>
  <c r="AG39" i="7"/>
  <c r="AF39" i="7"/>
  <c r="AD39" i="7"/>
  <c r="AB39" i="7"/>
  <c r="Z39" i="7"/>
  <c r="X39" i="7"/>
  <c r="V39" i="7"/>
  <c r="U39" i="7"/>
  <c r="W39" i="7" s="1"/>
  <c r="S39" i="7"/>
  <c r="R39" i="7"/>
  <c r="T39" i="7" s="1"/>
  <c r="P39" i="7"/>
  <c r="O39" i="7"/>
  <c r="AA39" i="7" s="1"/>
  <c r="M39" i="7"/>
  <c r="L39" i="7"/>
  <c r="K39" i="7"/>
  <c r="J39" i="7"/>
  <c r="I39" i="7"/>
  <c r="E39" i="7"/>
  <c r="N39" i="7" s="1"/>
  <c r="D39" i="7"/>
  <c r="AO38" i="7"/>
  <c r="AN38" i="7"/>
  <c r="AM38" i="7"/>
  <c r="AL38" i="7"/>
  <c r="AK38" i="7"/>
  <c r="AI38" i="7"/>
  <c r="AH38" i="7"/>
  <c r="AJ38" i="7" s="1"/>
  <c r="AG38" i="7"/>
  <c r="AF38" i="7"/>
  <c r="AD38" i="7"/>
  <c r="AB38" i="7"/>
  <c r="Z38" i="7"/>
  <c r="X38" i="7"/>
  <c r="V38" i="7"/>
  <c r="U38" i="7"/>
  <c r="S38" i="7"/>
  <c r="R38" i="7"/>
  <c r="P38" i="7"/>
  <c r="O38" i="7"/>
  <c r="M38" i="7"/>
  <c r="L38" i="7"/>
  <c r="K38" i="7"/>
  <c r="I38" i="7"/>
  <c r="E38" i="7"/>
  <c r="N38" i="7" s="1"/>
  <c r="D38" i="7"/>
  <c r="AO37" i="7"/>
  <c r="AN37" i="7"/>
  <c r="AM37" i="7"/>
  <c r="AL37" i="7"/>
  <c r="AK37" i="7"/>
  <c r="AI37" i="7"/>
  <c r="AH37" i="7"/>
  <c r="AJ37" i="7" s="1"/>
  <c r="AG37" i="7"/>
  <c r="AF37" i="7"/>
  <c r="AD37" i="7"/>
  <c r="AB37" i="7"/>
  <c r="Z37" i="7"/>
  <c r="X37" i="7"/>
  <c r="V37" i="7"/>
  <c r="U37" i="7"/>
  <c r="W37" i="7" s="1"/>
  <c r="S37" i="7"/>
  <c r="R37" i="7"/>
  <c r="T37" i="7" s="1"/>
  <c r="P37" i="7"/>
  <c r="O37" i="7"/>
  <c r="AA37" i="7" s="1"/>
  <c r="M37" i="7"/>
  <c r="L37" i="7"/>
  <c r="K37" i="7"/>
  <c r="J37" i="7"/>
  <c r="I37" i="7"/>
  <c r="E37" i="7"/>
  <c r="N37" i="7" s="1"/>
  <c r="D37" i="7"/>
  <c r="AO36" i="7"/>
  <c r="AN36" i="7"/>
  <c r="AM36" i="7"/>
  <c r="AL36" i="7"/>
  <c r="AK36" i="7"/>
  <c r="AI36" i="7"/>
  <c r="AH36" i="7"/>
  <c r="AJ36" i="7" s="1"/>
  <c r="AG36" i="7"/>
  <c r="AF36" i="7"/>
  <c r="AD36" i="7"/>
  <c r="AB36" i="7"/>
  <c r="Z36" i="7"/>
  <c r="X36" i="7"/>
  <c r="V36" i="7"/>
  <c r="U36" i="7"/>
  <c r="S36" i="7"/>
  <c r="R36" i="7"/>
  <c r="P36" i="7"/>
  <c r="O36" i="7"/>
  <c r="M36" i="7"/>
  <c r="L36" i="7"/>
  <c r="K36" i="7"/>
  <c r="J36" i="7"/>
  <c r="I36" i="7"/>
  <c r="E36" i="7"/>
  <c r="N36" i="7" s="1"/>
  <c r="D36" i="7"/>
  <c r="AO35" i="7"/>
  <c r="AN35" i="7"/>
  <c r="AM35" i="7"/>
  <c r="AL35" i="7"/>
  <c r="AK35" i="7"/>
  <c r="AI35" i="7"/>
  <c r="AH35" i="7"/>
  <c r="AJ35" i="7" s="1"/>
  <c r="AG35" i="7"/>
  <c r="AF35" i="7"/>
  <c r="AD35" i="7"/>
  <c r="AB35" i="7"/>
  <c r="Z35" i="7"/>
  <c r="X35" i="7"/>
  <c r="V35" i="7"/>
  <c r="U35" i="7"/>
  <c r="S35" i="7"/>
  <c r="R35" i="7"/>
  <c r="P35" i="7"/>
  <c r="O35" i="7"/>
  <c r="M35" i="7"/>
  <c r="L35" i="7"/>
  <c r="K35" i="7"/>
  <c r="J35" i="7"/>
  <c r="I35" i="7"/>
  <c r="E35" i="7"/>
  <c r="N35" i="7" s="1"/>
  <c r="D35" i="7"/>
  <c r="AO34" i="7"/>
  <c r="AN34" i="7"/>
  <c r="AM34" i="7"/>
  <c r="AL34" i="7"/>
  <c r="AK34" i="7"/>
  <c r="AI34" i="7"/>
  <c r="AH34" i="7"/>
  <c r="AJ34" i="7" s="1"/>
  <c r="AG34" i="7"/>
  <c r="AF34" i="7"/>
  <c r="AD34" i="7"/>
  <c r="AB34" i="7"/>
  <c r="Z34" i="7"/>
  <c r="X34" i="7"/>
  <c r="V34" i="7"/>
  <c r="U34" i="7"/>
  <c r="S34" i="7"/>
  <c r="R34" i="7"/>
  <c r="P34" i="7"/>
  <c r="O34" i="7"/>
  <c r="M34" i="7"/>
  <c r="L34" i="7"/>
  <c r="K34" i="7"/>
  <c r="J34" i="7"/>
  <c r="I34" i="7"/>
  <c r="E34" i="7"/>
  <c r="N34" i="7" s="1"/>
  <c r="D34" i="7"/>
  <c r="AO33" i="7"/>
  <c r="AN33" i="7"/>
  <c r="AM33" i="7"/>
  <c r="AL33" i="7"/>
  <c r="AK33" i="7"/>
  <c r="AI33" i="7"/>
  <c r="AH33" i="7"/>
  <c r="AJ33" i="7" s="1"/>
  <c r="AG33" i="7"/>
  <c r="AF33" i="7"/>
  <c r="AD33" i="7"/>
  <c r="AB33" i="7"/>
  <c r="Z33" i="7"/>
  <c r="X33" i="7"/>
  <c r="V33" i="7"/>
  <c r="U33" i="7"/>
  <c r="W33" i="7" s="1"/>
  <c r="S33" i="7"/>
  <c r="R33" i="7"/>
  <c r="P33" i="7"/>
  <c r="O33" i="7"/>
  <c r="AC33" i="7" s="1"/>
  <c r="M33" i="7"/>
  <c r="L33" i="7"/>
  <c r="K33" i="7"/>
  <c r="J33" i="7"/>
  <c r="I33" i="7"/>
  <c r="E33" i="7"/>
  <c r="N33" i="7" s="1"/>
  <c r="D33" i="7"/>
  <c r="AO32" i="7"/>
  <c r="AN32" i="7"/>
  <c r="AM32" i="7"/>
  <c r="AL32" i="7"/>
  <c r="AK32" i="7"/>
  <c r="AI32" i="7"/>
  <c r="AH32" i="7"/>
  <c r="AJ32" i="7" s="1"/>
  <c r="AG32" i="7"/>
  <c r="AF32" i="7"/>
  <c r="AD32" i="7"/>
  <c r="AB32" i="7"/>
  <c r="Z32" i="7"/>
  <c r="X32" i="7"/>
  <c r="V32" i="7"/>
  <c r="U32" i="7"/>
  <c r="S32" i="7"/>
  <c r="R32" i="7"/>
  <c r="P32" i="7"/>
  <c r="O32" i="7"/>
  <c r="M32" i="7"/>
  <c r="L32" i="7"/>
  <c r="K32" i="7"/>
  <c r="J32" i="7"/>
  <c r="I32" i="7"/>
  <c r="E32" i="7"/>
  <c r="N32" i="7" s="1"/>
  <c r="D32" i="7"/>
  <c r="AO30" i="7"/>
  <c r="AN30" i="7"/>
  <c r="AM30" i="7"/>
  <c r="AL30" i="7"/>
  <c r="AK30" i="7"/>
  <c r="AI30" i="7"/>
  <c r="AH30" i="7"/>
  <c r="AJ30" i="7" s="1"/>
  <c r="AG30" i="7"/>
  <c r="AF30" i="7"/>
  <c r="AD30" i="7"/>
  <c r="AB30" i="7"/>
  <c r="Z30" i="7"/>
  <c r="X30" i="7"/>
  <c r="V30" i="7"/>
  <c r="U30" i="7"/>
  <c r="S30" i="7"/>
  <c r="R30" i="7"/>
  <c r="P30" i="7"/>
  <c r="O30" i="7"/>
  <c r="M30" i="7"/>
  <c r="L30" i="7"/>
  <c r="K30" i="7"/>
  <c r="J30" i="7"/>
  <c r="I30" i="7"/>
  <c r="E30" i="7"/>
  <c r="N30" i="7" s="1"/>
  <c r="D30" i="7"/>
  <c r="AO29" i="7"/>
  <c r="AN29" i="7"/>
  <c r="AM29" i="7"/>
  <c r="AL29" i="7"/>
  <c r="AK29" i="7"/>
  <c r="AI29" i="7"/>
  <c r="AH29" i="7"/>
  <c r="AJ29" i="7" s="1"/>
  <c r="AG29" i="7"/>
  <c r="AF29" i="7"/>
  <c r="AD29" i="7"/>
  <c r="AB29" i="7"/>
  <c r="Z29" i="7"/>
  <c r="X29" i="7"/>
  <c r="V29" i="7"/>
  <c r="U29" i="7"/>
  <c r="S29" i="7"/>
  <c r="R29" i="7"/>
  <c r="P29" i="7"/>
  <c r="O29" i="7"/>
  <c r="M29" i="7"/>
  <c r="L29" i="7"/>
  <c r="K29" i="7"/>
  <c r="J29" i="7"/>
  <c r="I29" i="7"/>
  <c r="E29" i="7"/>
  <c r="N29" i="7" s="1"/>
  <c r="D29" i="7"/>
  <c r="AO28" i="7"/>
  <c r="AN28" i="7"/>
  <c r="AM28" i="7"/>
  <c r="AL28" i="7"/>
  <c r="AK28" i="7"/>
  <c r="AI28" i="7"/>
  <c r="AH28" i="7"/>
  <c r="AJ28" i="7" s="1"/>
  <c r="AG28" i="7"/>
  <c r="AF28" i="7"/>
  <c r="AD28" i="7"/>
  <c r="AB28" i="7"/>
  <c r="Z28" i="7"/>
  <c r="X28" i="7"/>
  <c r="V28" i="7"/>
  <c r="U28" i="7"/>
  <c r="S28" i="7"/>
  <c r="R28" i="7"/>
  <c r="P28" i="7"/>
  <c r="O28" i="7"/>
  <c r="M28" i="7"/>
  <c r="L28" i="7"/>
  <c r="K28" i="7"/>
  <c r="J28" i="7"/>
  <c r="I28" i="7"/>
  <c r="E28" i="7"/>
  <c r="D28" i="7"/>
  <c r="AO27" i="7"/>
  <c r="AN27" i="7"/>
  <c r="AM27" i="7"/>
  <c r="AL27" i="7"/>
  <c r="AK27" i="7"/>
  <c r="AI27" i="7"/>
  <c r="AH27" i="7"/>
  <c r="AJ27" i="7" s="1"/>
  <c r="AG27" i="7"/>
  <c r="AF27" i="7"/>
  <c r="AD27" i="7"/>
  <c r="AB27" i="7"/>
  <c r="Z27" i="7"/>
  <c r="X27" i="7"/>
  <c r="V27" i="7"/>
  <c r="U27" i="7"/>
  <c r="S27" i="7"/>
  <c r="R27" i="7"/>
  <c r="P27" i="7"/>
  <c r="O27" i="7"/>
  <c r="M27" i="7"/>
  <c r="L27" i="7"/>
  <c r="K27" i="7"/>
  <c r="J27" i="7"/>
  <c r="I27" i="7"/>
  <c r="E27" i="7"/>
  <c r="N27" i="7" s="1"/>
  <c r="D27" i="7"/>
  <c r="AO26" i="7"/>
  <c r="AN26" i="7"/>
  <c r="AM26" i="7"/>
  <c r="AL26" i="7"/>
  <c r="AK26" i="7"/>
  <c r="AI26" i="7"/>
  <c r="AH26" i="7"/>
  <c r="AJ26" i="7" s="1"/>
  <c r="AG26" i="7"/>
  <c r="AF26" i="7"/>
  <c r="AD26" i="7"/>
  <c r="AB26" i="7"/>
  <c r="Z26" i="7"/>
  <c r="X26" i="7"/>
  <c r="V26" i="7"/>
  <c r="U26" i="7"/>
  <c r="S26" i="7"/>
  <c r="R26" i="7"/>
  <c r="P26" i="7"/>
  <c r="O26" i="7"/>
  <c r="M26" i="7"/>
  <c r="L26" i="7"/>
  <c r="K26" i="7"/>
  <c r="J26" i="7"/>
  <c r="I26" i="7"/>
  <c r="E26" i="7"/>
  <c r="N26" i="7" s="1"/>
  <c r="D26" i="7"/>
  <c r="AO25" i="7"/>
  <c r="AN25" i="7"/>
  <c r="AM25" i="7"/>
  <c r="AL25" i="7"/>
  <c r="AK25" i="7"/>
  <c r="AI25" i="7"/>
  <c r="AH25" i="7"/>
  <c r="AG25" i="7"/>
  <c r="AF25" i="7"/>
  <c r="AD25" i="7"/>
  <c r="AB25" i="7"/>
  <c r="Z25" i="7"/>
  <c r="X25" i="7"/>
  <c r="V25" i="7"/>
  <c r="U25" i="7"/>
  <c r="W25" i="7" s="1"/>
  <c r="S25" i="7"/>
  <c r="R25" i="7"/>
  <c r="T25" i="7" s="1"/>
  <c r="P25" i="7"/>
  <c r="O25" i="7"/>
  <c r="M25" i="7"/>
  <c r="L25" i="7"/>
  <c r="K25" i="7"/>
  <c r="J25" i="7"/>
  <c r="I25" i="7"/>
  <c r="E25" i="7"/>
  <c r="N25" i="7" s="1"/>
  <c r="D25" i="7"/>
  <c r="AO24" i="7"/>
  <c r="AN24" i="7"/>
  <c r="AM24" i="7"/>
  <c r="AL24" i="7"/>
  <c r="AK24" i="7"/>
  <c r="AI24" i="7"/>
  <c r="AH24" i="7"/>
  <c r="AJ24" i="7" s="1"/>
  <c r="AG24" i="7"/>
  <c r="AF24" i="7"/>
  <c r="AD24" i="7"/>
  <c r="AB24" i="7"/>
  <c r="Z24" i="7"/>
  <c r="X24" i="7"/>
  <c r="V24" i="7"/>
  <c r="U24" i="7"/>
  <c r="W24" i="7" s="1"/>
  <c r="S24" i="7"/>
  <c r="R24" i="7"/>
  <c r="T24" i="7" s="1"/>
  <c r="P24" i="7"/>
  <c r="O24" i="7"/>
  <c r="M24" i="7"/>
  <c r="L24" i="7"/>
  <c r="K24" i="7"/>
  <c r="J24" i="7"/>
  <c r="I24" i="7"/>
  <c r="E24" i="7"/>
  <c r="N24" i="7" s="1"/>
  <c r="D24" i="7"/>
  <c r="G24" i="7" s="1"/>
  <c r="AO23" i="7"/>
  <c r="AN23" i="7"/>
  <c r="AM23" i="7"/>
  <c r="AL23" i="7"/>
  <c r="AK23" i="7"/>
  <c r="AI23" i="7"/>
  <c r="AH23" i="7"/>
  <c r="AJ23" i="7" s="1"/>
  <c r="AG23" i="7"/>
  <c r="AF23" i="7"/>
  <c r="AD23" i="7"/>
  <c r="AB23" i="7"/>
  <c r="Z23" i="7"/>
  <c r="X23" i="7"/>
  <c r="V23" i="7"/>
  <c r="U23" i="7"/>
  <c r="W23" i="7" s="1"/>
  <c r="S23" i="7"/>
  <c r="R23" i="7"/>
  <c r="T23" i="7" s="1"/>
  <c r="P23" i="7"/>
  <c r="O23" i="7"/>
  <c r="AC23" i="7" s="1"/>
  <c r="M23" i="7"/>
  <c r="L23" i="7"/>
  <c r="K23" i="7"/>
  <c r="J23" i="7"/>
  <c r="I23" i="7"/>
  <c r="E23" i="7"/>
  <c r="D23" i="7"/>
  <c r="AO22" i="7"/>
  <c r="AN22" i="7"/>
  <c r="AM22" i="7"/>
  <c r="AL22" i="7"/>
  <c r="AK22" i="7"/>
  <c r="AI22" i="7"/>
  <c r="AH22" i="7"/>
  <c r="AJ22" i="7" s="1"/>
  <c r="AG22" i="7"/>
  <c r="AF22" i="7"/>
  <c r="AD22" i="7"/>
  <c r="AB22" i="7"/>
  <c r="Z22" i="7"/>
  <c r="X22" i="7"/>
  <c r="V22" i="7"/>
  <c r="U22" i="7"/>
  <c r="S22" i="7"/>
  <c r="R22" i="7"/>
  <c r="P22" i="7"/>
  <c r="O22" i="7"/>
  <c r="M22" i="7"/>
  <c r="L22" i="7"/>
  <c r="K22" i="7"/>
  <c r="J22" i="7"/>
  <c r="I22" i="7"/>
  <c r="E22" i="7"/>
  <c r="D22" i="7"/>
  <c r="AO21" i="7"/>
  <c r="AN21" i="7"/>
  <c r="AM21" i="7"/>
  <c r="AL21" i="7"/>
  <c r="AK21" i="7"/>
  <c r="AI21" i="7"/>
  <c r="AH21" i="7"/>
  <c r="AJ21" i="7" s="1"/>
  <c r="AG21" i="7"/>
  <c r="AF21" i="7"/>
  <c r="AD21" i="7"/>
  <c r="AB21" i="7"/>
  <c r="Z21" i="7"/>
  <c r="X21" i="7"/>
  <c r="V21" i="7"/>
  <c r="U21" i="7"/>
  <c r="S21" i="7"/>
  <c r="R21" i="7"/>
  <c r="P21" i="7"/>
  <c r="O21" i="7"/>
  <c r="M21" i="7"/>
  <c r="L21" i="7"/>
  <c r="K21" i="7"/>
  <c r="J21" i="7"/>
  <c r="I21" i="7"/>
  <c r="E21" i="7"/>
  <c r="N21" i="7" s="1"/>
  <c r="D21" i="7"/>
  <c r="AO20" i="7"/>
  <c r="AN20" i="7"/>
  <c r="AM20" i="7"/>
  <c r="AL20" i="7"/>
  <c r="AK20" i="7"/>
  <c r="AI20" i="7"/>
  <c r="AH20" i="7"/>
  <c r="AJ20" i="7" s="1"/>
  <c r="AG20" i="7"/>
  <c r="AF20" i="7"/>
  <c r="AD20" i="7"/>
  <c r="AB20" i="7"/>
  <c r="Z20" i="7"/>
  <c r="X20" i="7"/>
  <c r="V20" i="7"/>
  <c r="U20" i="7"/>
  <c r="S20" i="7"/>
  <c r="R20" i="7"/>
  <c r="P20" i="7"/>
  <c r="O20" i="7"/>
  <c r="M20" i="7"/>
  <c r="L20" i="7"/>
  <c r="K20" i="7"/>
  <c r="J20" i="7"/>
  <c r="I20" i="7"/>
  <c r="E20" i="7"/>
  <c r="N20" i="7" s="1"/>
  <c r="D20" i="7"/>
  <c r="AO19" i="7"/>
  <c r="AN19" i="7"/>
  <c r="AM19" i="7"/>
  <c r="AL19" i="7"/>
  <c r="AK19" i="7"/>
  <c r="AI19" i="7"/>
  <c r="AH19" i="7"/>
  <c r="AJ19" i="7" s="1"/>
  <c r="AG19" i="7"/>
  <c r="AF19" i="7"/>
  <c r="AD19" i="7"/>
  <c r="AB19" i="7"/>
  <c r="Z19" i="7"/>
  <c r="X19" i="7"/>
  <c r="V19" i="7"/>
  <c r="U19" i="7"/>
  <c r="W19" i="7" s="1"/>
  <c r="S19" i="7"/>
  <c r="R19" i="7"/>
  <c r="T19" i="7" s="1"/>
  <c r="P19" i="7"/>
  <c r="O19" i="7"/>
  <c r="AA19" i="7" s="1"/>
  <c r="M19" i="7"/>
  <c r="L19" i="7"/>
  <c r="K19" i="7"/>
  <c r="J19" i="7"/>
  <c r="I19" i="7"/>
  <c r="E19" i="7"/>
  <c r="N19" i="7" s="1"/>
  <c r="D19" i="7"/>
  <c r="AO18" i="7"/>
  <c r="AN18" i="7"/>
  <c r="AM18" i="7"/>
  <c r="AL18" i="7"/>
  <c r="AK18" i="7"/>
  <c r="AI18" i="7"/>
  <c r="AH18" i="7"/>
  <c r="AJ18" i="7" s="1"/>
  <c r="AG18" i="7"/>
  <c r="AF18" i="7"/>
  <c r="AD18" i="7"/>
  <c r="AB18" i="7"/>
  <c r="Z18" i="7"/>
  <c r="X18" i="7"/>
  <c r="V18" i="7"/>
  <c r="U18" i="7"/>
  <c r="W18" i="7" s="1"/>
  <c r="S18" i="7"/>
  <c r="R18" i="7"/>
  <c r="T18" i="7" s="1"/>
  <c r="P18" i="7"/>
  <c r="O18" i="7"/>
  <c r="AA18" i="7" s="1"/>
  <c r="M18" i="7"/>
  <c r="L18" i="7"/>
  <c r="K18" i="7"/>
  <c r="J18" i="7"/>
  <c r="I18" i="7"/>
  <c r="E18" i="7"/>
  <c r="N18" i="7" s="1"/>
  <c r="D18" i="7"/>
  <c r="AO17" i="7"/>
  <c r="AN17" i="7"/>
  <c r="AM17" i="7"/>
  <c r="AL17" i="7"/>
  <c r="AK17" i="7"/>
  <c r="AI17" i="7"/>
  <c r="AH17" i="7"/>
  <c r="AJ17" i="7" s="1"/>
  <c r="AG17" i="7"/>
  <c r="AF17" i="7"/>
  <c r="AD17" i="7"/>
  <c r="AB17" i="7"/>
  <c r="Z17" i="7"/>
  <c r="X17" i="7"/>
  <c r="V17" i="7"/>
  <c r="U17" i="7"/>
  <c r="W17" i="7" s="1"/>
  <c r="S17" i="7"/>
  <c r="R17" i="7"/>
  <c r="T17" i="7" s="1"/>
  <c r="P17" i="7"/>
  <c r="O17" i="7"/>
  <c r="M17" i="7"/>
  <c r="L17" i="7"/>
  <c r="K17" i="7"/>
  <c r="J17" i="7"/>
  <c r="I17" i="7"/>
  <c r="E17" i="7"/>
  <c r="N17" i="7" s="1"/>
  <c r="D17" i="7"/>
  <c r="AO16" i="7"/>
  <c r="AN16" i="7"/>
  <c r="AM16" i="7"/>
  <c r="AL16" i="7"/>
  <c r="AK16" i="7"/>
  <c r="AI16" i="7"/>
  <c r="AH16" i="7"/>
  <c r="AJ16" i="7" s="1"/>
  <c r="AG16" i="7"/>
  <c r="AF16" i="7"/>
  <c r="AD16" i="7"/>
  <c r="AB16" i="7"/>
  <c r="Z16" i="7"/>
  <c r="X16" i="7"/>
  <c r="V16" i="7"/>
  <c r="U16" i="7"/>
  <c r="S16" i="7"/>
  <c r="R16" i="7"/>
  <c r="P16" i="7"/>
  <c r="O16" i="7"/>
  <c r="M16" i="7"/>
  <c r="L16" i="7"/>
  <c r="K16" i="7"/>
  <c r="J16" i="7"/>
  <c r="I16" i="7"/>
  <c r="E16" i="7"/>
  <c r="N16" i="7" s="1"/>
  <c r="D16" i="7"/>
  <c r="AO15" i="7"/>
  <c r="AN15" i="7"/>
  <c r="AM15" i="7"/>
  <c r="AL15" i="7"/>
  <c r="AK15" i="7"/>
  <c r="AI15" i="7"/>
  <c r="AH15" i="7"/>
  <c r="AJ15" i="7" s="1"/>
  <c r="AG15" i="7"/>
  <c r="AF15" i="7"/>
  <c r="AD15" i="7"/>
  <c r="AB15" i="7"/>
  <c r="Z15" i="7"/>
  <c r="X15" i="7"/>
  <c r="V15" i="7"/>
  <c r="U15" i="7"/>
  <c r="S15" i="7"/>
  <c r="R15" i="7"/>
  <c r="P15" i="7"/>
  <c r="O15" i="7"/>
  <c r="M15" i="7"/>
  <c r="L15" i="7"/>
  <c r="K15" i="7"/>
  <c r="J15" i="7"/>
  <c r="I15" i="7"/>
  <c r="E15" i="7"/>
  <c r="N15" i="7" s="1"/>
  <c r="D15" i="7"/>
  <c r="AO14" i="7"/>
  <c r="AN14" i="7"/>
  <c r="AM14" i="7"/>
  <c r="AL14" i="7"/>
  <c r="AK14" i="7"/>
  <c r="AI14" i="7"/>
  <c r="AH14" i="7"/>
  <c r="AJ14" i="7" s="1"/>
  <c r="AG14" i="7"/>
  <c r="AF14" i="7"/>
  <c r="AD14" i="7"/>
  <c r="AB14" i="7"/>
  <c r="Z14" i="7"/>
  <c r="X14" i="7"/>
  <c r="V14" i="7"/>
  <c r="U14" i="7"/>
  <c r="S14" i="7"/>
  <c r="R14" i="7"/>
  <c r="T14" i="7" s="1"/>
  <c r="P14" i="7"/>
  <c r="O14" i="7"/>
  <c r="AA14" i="7" s="1"/>
  <c r="M14" i="7"/>
  <c r="L14" i="7"/>
  <c r="K14" i="7"/>
  <c r="J14" i="7"/>
  <c r="I14" i="7"/>
  <c r="E14" i="7"/>
  <c r="N14" i="7" s="1"/>
  <c r="D14" i="7"/>
  <c r="AJ12" i="7"/>
  <c r="AC12" i="7"/>
  <c r="AA12" i="7"/>
  <c r="Y12" i="7"/>
  <c r="W12" i="7"/>
  <c r="T12" i="7"/>
  <c r="Q12" i="7"/>
  <c r="AE12" i="7" s="1"/>
  <c r="G12" i="7"/>
  <c r="F12" i="7"/>
  <c r="AE11" i="7"/>
  <c r="AC11" i="7"/>
  <c r="AA11" i="7"/>
  <c r="Y11" i="7"/>
  <c r="N11" i="7"/>
  <c r="G11" i="7"/>
  <c r="F11" i="7"/>
  <c r="AE10" i="7"/>
  <c r="AC10" i="7"/>
  <c r="AA10" i="7"/>
  <c r="Y10" i="7"/>
  <c r="N10" i="7"/>
  <c r="G10" i="7"/>
  <c r="F10" i="7"/>
  <c r="AE9" i="7"/>
  <c r="AC9" i="7"/>
  <c r="AA9" i="7"/>
  <c r="Y9" i="7"/>
  <c r="N9" i="7"/>
  <c r="G9" i="7"/>
  <c r="F9" i="7"/>
  <c r="N116" i="6"/>
  <c r="H116" i="6"/>
  <c r="G116" i="6"/>
  <c r="F116" i="6"/>
  <c r="C116" i="6"/>
  <c r="N115" i="6"/>
  <c r="H115" i="6"/>
  <c r="F115" i="6" s="1"/>
  <c r="G115" i="6"/>
  <c r="C115" i="6"/>
  <c r="N114" i="6"/>
  <c r="H114" i="6"/>
  <c r="F114" i="6" s="1"/>
  <c r="G114" i="6"/>
  <c r="C114" i="6"/>
  <c r="N113" i="6"/>
  <c r="H113" i="6"/>
  <c r="F113" i="6" s="1"/>
  <c r="G113" i="6"/>
  <c r="C113" i="6"/>
  <c r="N112" i="6"/>
  <c r="H112" i="6"/>
  <c r="F112" i="6" s="1"/>
  <c r="G112" i="6"/>
  <c r="C112" i="6"/>
  <c r="N111" i="6"/>
  <c r="H111" i="6"/>
  <c r="F111" i="6" s="1"/>
  <c r="G111" i="6"/>
  <c r="C111" i="6"/>
  <c r="N110" i="6"/>
  <c r="H110" i="6"/>
  <c r="G110" i="6"/>
  <c r="F110" i="6"/>
  <c r="C110" i="6"/>
  <c r="N109" i="6"/>
  <c r="H109" i="6"/>
  <c r="F109" i="6" s="1"/>
  <c r="G109" i="6"/>
  <c r="C109" i="6"/>
  <c r="N108" i="6"/>
  <c r="H108" i="6"/>
  <c r="F108" i="6" s="1"/>
  <c r="G108" i="6"/>
  <c r="C108" i="6"/>
  <c r="N107" i="6"/>
  <c r="H107" i="6"/>
  <c r="F107" i="6" s="1"/>
  <c r="G107" i="6"/>
  <c r="C107" i="6"/>
  <c r="N106" i="6"/>
  <c r="H106" i="6"/>
  <c r="F106" i="6" s="1"/>
  <c r="G106" i="6"/>
  <c r="C106" i="6"/>
  <c r="N105" i="6"/>
  <c r="H105" i="6"/>
  <c r="F105" i="6" s="1"/>
  <c r="G105" i="6"/>
  <c r="C105" i="6"/>
  <c r="N104" i="6"/>
  <c r="G104" i="6"/>
  <c r="N103" i="6"/>
  <c r="H103" i="6"/>
  <c r="F103" i="6" s="1"/>
  <c r="G103" i="6"/>
  <c r="C103" i="6"/>
  <c r="N102" i="6"/>
  <c r="H102" i="6"/>
  <c r="F102" i="6" s="1"/>
  <c r="G102" i="6"/>
  <c r="C102" i="6"/>
  <c r="N101" i="6"/>
  <c r="H101" i="6"/>
  <c r="F101" i="6" s="1"/>
  <c r="G101" i="6"/>
  <c r="C101" i="6"/>
  <c r="N100" i="6"/>
  <c r="H100" i="6"/>
  <c r="F100" i="6" s="1"/>
  <c r="G100" i="6"/>
  <c r="C100" i="6"/>
  <c r="N99" i="6"/>
  <c r="H99" i="6"/>
  <c r="F99" i="6" s="1"/>
  <c r="G99" i="6"/>
  <c r="C99" i="6"/>
  <c r="N98" i="6"/>
  <c r="H98" i="6"/>
  <c r="F98" i="6" s="1"/>
  <c r="G98" i="6"/>
  <c r="C98" i="6"/>
  <c r="N97" i="6"/>
  <c r="H97" i="6"/>
  <c r="F97" i="6" s="1"/>
  <c r="G97" i="6"/>
  <c r="C97" i="6"/>
  <c r="N96" i="6"/>
  <c r="H96" i="6"/>
  <c r="F96" i="6" s="1"/>
  <c r="G96" i="6"/>
  <c r="C96" i="6"/>
  <c r="N95" i="6"/>
  <c r="H95" i="6"/>
  <c r="F95" i="6" s="1"/>
  <c r="G95" i="6"/>
  <c r="C95" i="6"/>
  <c r="N94" i="6"/>
  <c r="H94" i="6"/>
  <c r="F94" i="6" s="1"/>
  <c r="G94" i="6"/>
  <c r="C94" i="6"/>
  <c r="N93" i="6"/>
  <c r="H93" i="6"/>
  <c r="F93" i="6" s="1"/>
  <c r="G93" i="6"/>
  <c r="C93" i="6"/>
  <c r="A93" i="6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N92" i="6"/>
  <c r="H92" i="6"/>
  <c r="F92" i="6" s="1"/>
  <c r="G92" i="6"/>
  <c r="C92" i="6"/>
  <c r="N91" i="6"/>
  <c r="H91" i="6"/>
  <c r="F91" i="6" s="1"/>
  <c r="G91" i="6"/>
  <c r="C91" i="6"/>
  <c r="N90" i="6"/>
  <c r="H90" i="6"/>
  <c r="G90" i="6"/>
  <c r="C90" i="6"/>
  <c r="C89" i="6" s="1"/>
  <c r="C10" i="6" s="1"/>
  <c r="N89" i="6"/>
  <c r="G89" i="6"/>
  <c r="AG88" i="6"/>
  <c r="AF88" i="6"/>
  <c r="AE88" i="6"/>
  <c r="AH88" i="6" s="1"/>
  <c r="AC88" i="6"/>
  <c r="AB88" i="6"/>
  <c r="AA88" i="6"/>
  <c r="AD88" i="6" s="1"/>
  <c r="Y88" i="6"/>
  <c r="X88" i="6"/>
  <c r="W88" i="6"/>
  <c r="Z88" i="6" s="1"/>
  <c r="V88" i="6"/>
  <c r="U88" i="6"/>
  <c r="S88" i="6"/>
  <c r="R88" i="6"/>
  <c r="T88" i="6" s="1"/>
  <c r="P88" i="6"/>
  <c r="O88" i="6"/>
  <c r="Q88" i="6" s="1"/>
  <c r="M88" i="6"/>
  <c r="L88" i="6"/>
  <c r="K88" i="6"/>
  <c r="J88" i="6"/>
  <c r="I88" i="6"/>
  <c r="E88" i="6"/>
  <c r="D88" i="6"/>
  <c r="G88" i="6" s="1"/>
  <c r="AG87" i="6"/>
  <c r="AF87" i="6"/>
  <c r="AE87" i="6"/>
  <c r="AH87" i="6" s="1"/>
  <c r="AC87" i="6"/>
  <c r="AB87" i="6"/>
  <c r="AA87" i="6"/>
  <c r="AD87" i="6" s="1"/>
  <c r="Y87" i="6"/>
  <c r="X87" i="6"/>
  <c r="W87" i="6"/>
  <c r="Z87" i="6" s="1"/>
  <c r="V87" i="6"/>
  <c r="U87" i="6"/>
  <c r="S87" i="6"/>
  <c r="R87" i="6"/>
  <c r="T87" i="6" s="1"/>
  <c r="P87" i="6"/>
  <c r="O87" i="6"/>
  <c r="Q87" i="6" s="1"/>
  <c r="M87" i="6"/>
  <c r="L87" i="6"/>
  <c r="K87" i="6"/>
  <c r="J87" i="6"/>
  <c r="I87" i="6"/>
  <c r="E87" i="6"/>
  <c r="N87" i="6" s="1"/>
  <c r="D87" i="6"/>
  <c r="G87" i="6" s="1"/>
  <c r="AG86" i="6"/>
  <c r="AF86" i="6"/>
  <c r="AE86" i="6"/>
  <c r="AC86" i="6"/>
  <c r="AB86" i="6"/>
  <c r="AA86" i="6"/>
  <c r="Y86" i="6"/>
  <c r="X86" i="6"/>
  <c r="W86" i="6"/>
  <c r="V86" i="6"/>
  <c r="U86" i="6"/>
  <c r="S86" i="6"/>
  <c r="R86" i="6"/>
  <c r="T86" i="6" s="1"/>
  <c r="P86" i="6"/>
  <c r="O86" i="6"/>
  <c r="Q86" i="6" s="1"/>
  <c r="M86" i="6"/>
  <c r="L86" i="6"/>
  <c r="K86" i="6"/>
  <c r="J86" i="6"/>
  <c r="I86" i="6"/>
  <c r="E86" i="6"/>
  <c r="N86" i="6" s="1"/>
  <c r="D86" i="6"/>
  <c r="AG85" i="6"/>
  <c r="AF85" i="6"/>
  <c r="AE85" i="6"/>
  <c r="AC85" i="6"/>
  <c r="AB85" i="6"/>
  <c r="AA85" i="6"/>
  <c r="Y85" i="6"/>
  <c r="X85" i="6"/>
  <c r="W85" i="6"/>
  <c r="V85" i="6"/>
  <c r="U85" i="6"/>
  <c r="S85" i="6"/>
  <c r="R85" i="6"/>
  <c r="T85" i="6" s="1"/>
  <c r="P85" i="6"/>
  <c r="O85" i="6"/>
  <c r="Q85" i="6" s="1"/>
  <c r="M85" i="6"/>
  <c r="L85" i="6"/>
  <c r="K85" i="6"/>
  <c r="J85" i="6"/>
  <c r="I85" i="6"/>
  <c r="E85" i="6"/>
  <c r="D85" i="6"/>
  <c r="AG84" i="6"/>
  <c r="AF84" i="6"/>
  <c r="AE84" i="6"/>
  <c r="AC84" i="6"/>
  <c r="AB84" i="6"/>
  <c r="AA84" i="6"/>
  <c r="Y84" i="6"/>
  <c r="X84" i="6"/>
  <c r="W84" i="6"/>
  <c r="V84" i="6"/>
  <c r="U84" i="6"/>
  <c r="S84" i="6"/>
  <c r="R84" i="6"/>
  <c r="P84" i="6"/>
  <c r="O84" i="6"/>
  <c r="M84" i="6"/>
  <c r="L84" i="6"/>
  <c r="K84" i="6"/>
  <c r="J84" i="6"/>
  <c r="I84" i="6"/>
  <c r="E84" i="6"/>
  <c r="N84" i="6" s="1"/>
  <c r="D84" i="6"/>
  <c r="AG83" i="6"/>
  <c r="AF83" i="6"/>
  <c r="AE83" i="6"/>
  <c r="AH83" i="6" s="1"/>
  <c r="AC83" i="6"/>
  <c r="AB83" i="6"/>
  <c r="AA83" i="6"/>
  <c r="AD83" i="6" s="1"/>
  <c r="Y83" i="6"/>
  <c r="X83" i="6"/>
  <c r="W83" i="6"/>
  <c r="Z83" i="6" s="1"/>
  <c r="V83" i="6"/>
  <c r="U83" i="6"/>
  <c r="S83" i="6"/>
  <c r="R83" i="6"/>
  <c r="T83" i="6" s="1"/>
  <c r="P83" i="6"/>
  <c r="O83" i="6"/>
  <c r="Q83" i="6" s="1"/>
  <c r="M83" i="6"/>
  <c r="L83" i="6"/>
  <c r="K83" i="6"/>
  <c r="J83" i="6"/>
  <c r="I83" i="6"/>
  <c r="E83" i="6"/>
  <c r="N83" i="6" s="1"/>
  <c r="D83" i="6"/>
  <c r="AG82" i="6"/>
  <c r="AF82" i="6"/>
  <c r="AE82" i="6"/>
  <c r="AH82" i="6" s="1"/>
  <c r="AC82" i="6"/>
  <c r="AB82" i="6"/>
  <c r="AA82" i="6"/>
  <c r="AD82" i="6" s="1"/>
  <c r="Y82" i="6"/>
  <c r="X82" i="6"/>
  <c r="W82" i="6"/>
  <c r="Z82" i="6" s="1"/>
  <c r="V82" i="6"/>
  <c r="U82" i="6"/>
  <c r="S82" i="6"/>
  <c r="R82" i="6"/>
  <c r="P82" i="6"/>
  <c r="O82" i="6"/>
  <c r="Q82" i="6" s="1"/>
  <c r="M82" i="6"/>
  <c r="L82" i="6"/>
  <c r="K82" i="6"/>
  <c r="J82" i="6"/>
  <c r="I82" i="6"/>
  <c r="E82" i="6"/>
  <c r="N82" i="6" s="1"/>
  <c r="D82" i="6"/>
  <c r="AG81" i="6"/>
  <c r="AF81" i="6"/>
  <c r="AE81" i="6"/>
  <c r="AH81" i="6" s="1"/>
  <c r="AC81" i="6"/>
  <c r="AB81" i="6"/>
  <c r="AA81" i="6"/>
  <c r="AD81" i="6" s="1"/>
  <c r="Y81" i="6"/>
  <c r="X81" i="6"/>
  <c r="W81" i="6"/>
  <c r="Z81" i="6" s="1"/>
  <c r="V81" i="6"/>
  <c r="U81" i="6"/>
  <c r="S81" i="6"/>
  <c r="R81" i="6"/>
  <c r="T81" i="6" s="1"/>
  <c r="P81" i="6"/>
  <c r="O81" i="6"/>
  <c r="Q81" i="6" s="1"/>
  <c r="M81" i="6"/>
  <c r="L81" i="6"/>
  <c r="K81" i="6"/>
  <c r="J81" i="6"/>
  <c r="I81" i="6"/>
  <c r="E81" i="6"/>
  <c r="N81" i="6" s="1"/>
  <c r="D81" i="6"/>
  <c r="AG80" i="6"/>
  <c r="AF80" i="6"/>
  <c r="AE80" i="6"/>
  <c r="AH80" i="6" s="1"/>
  <c r="AC80" i="6"/>
  <c r="AB80" i="6"/>
  <c r="AA80" i="6"/>
  <c r="AD80" i="6" s="1"/>
  <c r="Y80" i="6"/>
  <c r="X80" i="6"/>
  <c r="W80" i="6"/>
  <c r="Z80" i="6" s="1"/>
  <c r="V80" i="6"/>
  <c r="U80" i="6"/>
  <c r="S80" i="6"/>
  <c r="R80" i="6"/>
  <c r="T80" i="6" s="1"/>
  <c r="P80" i="6"/>
  <c r="O80" i="6"/>
  <c r="Q80" i="6" s="1"/>
  <c r="M80" i="6"/>
  <c r="L80" i="6"/>
  <c r="K80" i="6"/>
  <c r="J80" i="6"/>
  <c r="I80" i="6"/>
  <c r="E80" i="6"/>
  <c r="N80" i="6" s="1"/>
  <c r="D80" i="6"/>
  <c r="AG79" i="6"/>
  <c r="AF79" i="6"/>
  <c r="AE79" i="6"/>
  <c r="AC79" i="6"/>
  <c r="AB79" i="6"/>
  <c r="AA79" i="6"/>
  <c r="Y79" i="6"/>
  <c r="X79" i="6"/>
  <c r="W79" i="6"/>
  <c r="V79" i="6"/>
  <c r="U79" i="6"/>
  <c r="S79" i="6"/>
  <c r="R79" i="6"/>
  <c r="T79" i="6" s="1"/>
  <c r="P79" i="6"/>
  <c r="O79" i="6"/>
  <c r="Q79" i="6" s="1"/>
  <c r="M79" i="6"/>
  <c r="L79" i="6"/>
  <c r="K79" i="6"/>
  <c r="J79" i="6"/>
  <c r="I79" i="6"/>
  <c r="E79" i="6"/>
  <c r="D79" i="6"/>
  <c r="AG78" i="6"/>
  <c r="AF78" i="6"/>
  <c r="AE78" i="6"/>
  <c r="AC78" i="6"/>
  <c r="AB78" i="6"/>
  <c r="AA78" i="6"/>
  <c r="Y78" i="6"/>
  <c r="X78" i="6"/>
  <c r="W78" i="6"/>
  <c r="V78" i="6"/>
  <c r="U78" i="6"/>
  <c r="S78" i="6"/>
  <c r="R78" i="6"/>
  <c r="P78" i="6"/>
  <c r="O78" i="6"/>
  <c r="M78" i="6"/>
  <c r="L78" i="6"/>
  <c r="K78" i="6"/>
  <c r="J78" i="6"/>
  <c r="I78" i="6"/>
  <c r="E78" i="6"/>
  <c r="N78" i="6" s="1"/>
  <c r="D78" i="6"/>
  <c r="AG77" i="6"/>
  <c r="AF77" i="6"/>
  <c r="AE77" i="6"/>
  <c r="AH77" i="6" s="1"/>
  <c r="AC77" i="6"/>
  <c r="AB77" i="6"/>
  <c r="AA77" i="6"/>
  <c r="AD77" i="6" s="1"/>
  <c r="Y77" i="6"/>
  <c r="X77" i="6"/>
  <c r="W77" i="6"/>
  <c r="Z77" i="6" s="1"/>
  <c r="V77" i="6"/>
  <c r="U77" i="6"/>
  <c r="S77" i="6"/>
  <c r="R77" i="6"/>
  <c r="T77" i="6" s="1"/>
  <c r="P77" i="6"/>
  <c r="O77" i="6"/>
  <c r="Q77" i="6" s="1"/>
  <c r="M77" i="6"/>
  <c r="L77" i="6"/>
  <c r="K77" i="6"/>
  <c r="J77" i="6"/>
  <c r="I77" i="6"/>
  <c r="E77" i="6"/>
  <c r="N77" i="6" s="1"/>
  <c r="D77" i="6"/>
  <c r="G77" i="6" s="1"/>
  <c r="AG76" i="6"/>
  <c r="AF76" i="6"/>
  <c r="AE76" i="6"/>
  <c r="AC76" i="6"/>
  <c r="AB76" i="6"/>
  <c r="AA76" i="6"/>
  <c r="AD76" i="6" s="1"/>
  <c r="Y76" i="6"/>
  <c r="X76" i="6"/>
  <c r="W76" i="6"/>
  <c r="Z76" i="6" s="1"/>
  <c r="V76" i="6"/>
  <c r="U76" i="6"/>
  <c r="S76" i="6"/>
  <c r="R76" i="6"/>
  <c r="T76" i="6" s="1"/>
  <c r="P76" i="6"/>
  <c r="O76" i="6"/>
  <c r="Q76" i="6" s="1"/>
  <c r="M76" i="6"/>
  <c r="L76" i="6"/>
  <c r="K76" i="6"/>
  <c r="J76" i="6"/>
  <c r="I76" i="6"/>
  <c r="E76" i="6"/>
  <c r="N76" i="6" s="1"/>
  <c r="D76" i="6"/>
  <c r="G76" i="6" s="1"/>
  <c r="AG75" i="6"/>
  <c r="AF75" i="6"/>
  <c r="AE75" i="6"/>
  <c r="AC75" i="6"/>
  <c r="AB75" i="6"/>
  <c r="AA75" i="6"/>
  <c r="Y75" i="6"/>
  <c r="X75" i="6"/>
  <c r="W75" i="6"/>
  <c r="V75" i="6"/>
  <c r="U75" i="6"/>
  <c r="S75" i="6"/>
  <c r="R75" i="6"/>
  <c r="P75" i="6"/>
  <c r="O75" i="6"/>
  <c r="M75" i="6"/>
  <c r="L75" i="6"/>
  <c r="K75" i="6"/>
  <c r="J75" i="6"/>
  <c r="I75" i="6"/>
  <c r="E75" i="6"/>
  <c r="N75" i="6" s="1"/>
  <c r="D75" i="6"/>
  <c r="AG73" i="6"/>
  <c r="AF73" i="6"/>
  <c r="AE73" i="6"/>
  <c r="AH73" i="6" s="1"/>
  <c r="AC73" i="6"/>
  <c r="AB73" i="6"/>
  <c r="AA73" i="6"/>
  <c r="AD73" i="6" s="1"/>
  <c r="Y73" i="6"/>
  <c r="X73" i="6"/>
  <c r="W73" i="6"/>
  <c r="Z73" i="6" s="1"/>
  <c r="V73" i="6"/>
  <c r="U73" i="6"/>
  <c r="S73" i="6"/>
  <c r="R73" i="6"/>
  <c r="T73" i="6" s="1"/>
  <c r="P73" i="6"/>
  <c r="O73" i="6"/>
  <c r="Q73" i="6" s="1"/>
  <c r="M73" i="6"/>
  <c r="L73" i="6"/>
  <c r="K73" i="6"/>
  <c r="J73" i="6"/>
  <c r="I73" i="6"/>
  <c r="E73" i="6"/>
  <c r="N73" i="6" s="1"/>
  <c r="D73" i="6"/>
  <c r="AG72" i="6"/>
  <c r="AF72" i="6"/>
  <c r="AE72" i="6"/>
  <c r="AC72" i="6"/>
  <c r="AB72" i="6"/>
  <c r="AA72" i="6"/>
  <c r="Y72" i="6"/>
  <c r="X72" i="6"/>
  <c r="W72" i="6"/>
  <c r="V72" i="6"/>
  <c r="U72" i="6"/>
  <c r="S72" i="6"/>
  <c r="R72" i="6"/>
  <c r="T72" i="6" s="1"/>
  <c r="P72" i="6"/>
  <c r="O72" i="6"/>
  <c r="Q72" i="6" s="1"/>
  <c r="M72" i="6"/>
  <c r="L72" i="6"/>
  <c r="K72" i="6"/>
  <c r="J72" i="6"/>
  <c r="I72" i="6"/>
  <c r="E72" i="6"/>
  <c r="N72" i="6" s="1"/>
  <c r="D72" i="6"/>
  <c r="AG71" i="6"/>
  <c r="AF71" i="6"/>
  <c r="AE71" i="6"/>
  <c r="AH71" i="6" s="1"/>
  <c r="AC71" i="6"/>
  <c r="AB71" i="6"/>
  <c r="AA71" i="6"/>
  <c r="AD71" i="6" s="1"/>
  <c r="Y71" i="6"/>
  <c r="X71" i="6"/>
  <c r="W71" i="6"/>
  <c r="Z71" i="6" s="1"/>
  <c r="V71" i="6"/>
  <c r="U71" i="6"/>
  <c r="S71" i="6"/>
  <c r="R71" i="6"/>
  <c r="T71" i="6" s="1"/>
  <c r="P71" i="6"/>
  <c r="O71" i="6"/>
  <c r="Q71" i="6" s="1"/>
  <c r="M71" i="6"/>
  <c r="L71" i="6"/>
  <c r="K71" i="6"/>
  <c r="J71" i="6"/>
  <c r="I71" i="6"/>
  <c r="E71" i="6"/>
  <c r="N71" i="6" s="1"/>
  <c r="D71" i="6"/>
  <c r="G71" i="6" s="1"/>
  <c r="AG70" i="6"/>
  <c r="AF70" i="6"/>
  <c r="AE70" i="6"/>
  <c r="AC70" i="6"/>
  <c r="AB70" i="6"/>
  <c r="AA70" i="6"/>
  <c r="Y70" i="6"/>
  <c r="X70" i="6"/>
  <c r="W70" i="6"/>
  <c r="V70" i="6"/>
  <c r="U70" i="6"/>
  <c r="S70" i="6"/>
  <c r="R70" i="6"/>
  <c r="T70" i="6" s="1"/>
  <c r="P70" i="6"/>
  <c r="O70" i="6"/>
  <c r="Q70" i="6" s="1"/>
  <c r="M70" i="6"/>
  <c r="L70" i="6"/>
  <c r="K70" i="6"/>
  <c r="J70" i="6"/>
  <c r="I70" i="6"/>
  <c r="E70" i="6"/>
  <c r="N70" i="6" s="1"/>
  <c r="D70" i="6"/>
  <c r="AG69" i="6"/>
  <c r="AF69" i="6"/>
  <c r="AE69" i="6"/>
  <c r="AC69" i="6"/>
  <c r="AB69" i="6"/>
  <c r="AA69" i="6"/>
  <c r="Y69" i="6"/>
  <c r="X69" i="6"/>
  <c r="W69" i="6"/>
  <c r="V69" i="6"/>
  <c r="U69" i="6"/>
  <c r="S69" i="6"/>
  <c r="R69" i="6"/>
  <c r="T69" i="6" s="1"/>
  <c r="P69" i="6"/>
  <c r="O69" i="6"/>
  <c r="Q69" i="6" s="1"/>
  <c r="M69" i="6"/>
  <c r="L69" i="6"/>
  <c r="K69" i="6"/>
  <c r="J69" i="6"/>
  <c r="I69" i="6"/>
  <c r="E69" i="6"/>
  <c r="N69" i="6" s="1"/>
  <c r="D69" i="6"/>
  <c r="AG68" i="6"/>
  <c r="AF68" i="6"/>
  <c r="AE68" i="6"/>
  <c r="AC68" i="6"/>
  <c r="AB68" i="6"/>
  <c r="AA68" i="6"/>
  <c r="Y68" i="6"/>
  <c r="X68" i="6"/>
  <c r="W68" i="6"/>
  <c r="V68" i="6"/>
  <c r="U68" i="6"/>
  <c r="S68" i="6"/>
  <c r="R68" i="6"/>
  <c r="T68" i="6" s="1"/>
  <c r="P68" i="6"/>
  <c r="O68" i="6"/>
  <c r="Q68" i="6" s="1"/>
  <c r="M68" i="6"/>
  <c r="L68" i="6"/>
  <c r="K68" i="6"/>
  <c r="J68" i="6"/>
  <c r="I68" i="6"/>
  <c r="E68" i="6"/>
  <c r="N68" i="6" s="1"/>
  <c r="D68" i="6"/>
  <c r="AG67" i="6"/>
  <c r="AF67" i="6"/>
  <c r="AE67" i="6"/>
  <c r="AC67" i="6"/>
  <c r="AB67" i="6"/>
  <c r="AA67" i="6"/>
  <c r="Y67" i="6"/>
  <c r="X67" i="6"/>
  <c r="W67" i="6"/>
  <c r="V67" i="6"/>
  <c r="U67" i="6"/>
  <c r="S67" i="6"/>
  <c r="R67" i="6"/>
  <c r="P67" i="6"/>
  <c r="O67" i="6"/>
  <c r="M67" i="6"/>
  <c r="L67" i="6"/>
  <c r="K67" i="6"/>
  <c r="J67" i="6"/>
  <c r="I67" i="6"/>
  <c r="E67" i="6"/>
  <c r="N67" i="6" s="1"/>
  <c r="D67" i="6"/>
  <c r="AG66" i="6"/>
  <c r="AF66" i="6"/>
  <c r="AE66" i="6"/>
  <c r="AC66" i="6"/>
  <c r="AB66" i="6"/>
  <c r="AA66" i="6"/>
  <c r="Y66" i="6"/>
  <c r="X66" i="6"/>
  <c r="W66" i="6"/>
  <c r="V66" i="6"/>
  <c r="U66" i="6"/>
  <c r="S66" i="6"/>
  <c r="R66" i="6"/>
  <c r="P66" i="6"/>
  <c r="O66" i="6"/>
  <c r="M66" i="6"/>
  <c r="L66" i="6"/>
  <c r="K66" i="6"/>
  <c r="J66" i="6"/>
  <c r="I66" i="6"/>
  <c r="E66" i="6"/>
  <c r="N66" i="6" s="1"/>
  <c r="D66" i="6"/>
  <c r="AG65" i="6"/>
  <c r="AF65" i="6"/>
  <c r="AE65" i="6"/>
  <c r="AH65" i="6" s="1"/>
  <c r="AC65" i="6"/>
  <c r="AB65" i="6"/>
  <c r="AA65" i="6"/>
  <c r="AD65" i="6" s="1"/>
  <c r="Y65" i="6"/>
  <c r="X65" i="6"/>
  <c r="W65" i="6"/>
  <c r="Z65" i="6" s="1"/>
  <c r="V65" i="6"/>
  <c r="U65" i="6"/>
  <c r="S65" i="6"/>
  <c r="R65" i="6"/>
  <c r="T65" i="6" s="1"/>
  <c r="P65" i="6"/>
  <c r="O65" i="6"/>
  <c r="Q65" i="6" s="1"/>
  <c r="M65" i="6"/>
  <c r="L65" i="6"/>
  <c r="K65" i="6"/>
  <c r="J65" i="6"/>
  <c r="I65" i="6"/>
  <c r="E65" i="6"/>
  <c r="N65" i="6" s="1"/>
  <c r="D65" i="6"/>
  <c r="G65" i="6" s="1"/>
  <c r="AG64" i="6"/>
  <c r="AF64" i="6"/>
  <c r="AE64" i="6"/>
  <c r="AH64" i="6" s="1"/>
  <c r="AC64" i="6"/>
  <c r="AB64" i="6"/>
  <c r="AA64" i="6"/>
  <c r="AD64" i="6" s="1"/>
  <c r="Y64" i="6"/>
  <c r="X64" i="6"/>
  <c r="W64" i="6"/>
  <c r="Z64" i="6" s="1"/>
  <c r="V64" i="6"/>
  <c r="U64" i="6"/>
  <c r="S64" i="6"/>
  <c r="R64" i="6"/>
  <c r="T64" i="6" s="1"/>
  <c r="P64" i="6"/>
  <c r="O64" i="6"/>
  <c r="Q64" i="6" s="1"/>
  <c r="M64" i="6"/>
  <c r="L64" i="6"/>
  <c r="K64" i="6"/>
  <c r="J64" i="6"/>
  <c r="I64" i="6"/>
  <c r="E64" i="6"/>
  <c r="N64" i="6" s="1"/>
  <c r="D64" i="6"/>
  <c r="G64" i="6" s="1"/>
  <c r="AG63" i="6"/>
  <c r="AF63" i="6"/>
  <c r="AE63" i="6"/>
  <c r="AH63" i="6" s="1"/>
  <c r="AC63" i="6"/>
  <c r="AB63" i="6"/>
  <c r="AA63" i="6"/>
  <c r="AD63" i="6" s="1"/>
  <c r="Y63" i="6"/>
  <c r="X63" i="6"/>
  <c r="W63" i="6"/>
  <c r="Z63" i="6" s="1"/>
  <c r="V63" i="6"/>
  <c r="U63" i="6"/>
  <c r="S63" i="6"/>
  <c r="R63" i="6"/>
  <c r="T63" i="6" s="1"/>
  <c r="P63" i="6"/>
  <c r="O63" i="6"/>
  <c r="Q63" i="6" s="1"/>
  <c r="M63" i="6"/>
  <c r="L63" i="6"/>
  <c r="K63" i="6"/>
  <c r="J63" i="6"/>
  <c r="I63" i="6"/>
  <c r="E63" i="6"/>
  <c r="N63" i="6" s="1"/>
  <c r="D63" i="6"/>
  <c r="G63" i="6" s="1"/>
  <c r="AG62" i="6"/>
  <c r="AF62" i="6"/>
  <c r="AE62" i="6"/>
  <c r="AC62" i="6"/>
  <c r="AB62" i="6"/>
  <c r="AA62" i="6"/>
  <c r="Y62" i="6"/>
  <c r="X62" i="6"/>
  <c r="W62" i="6"/>
  <c r="V62" i="6"/>
  <c r="U62" i="6"/>
  <c r="S62" i="6"/>
  <c r="R62" i="6"/>
  <c r="T62" i="6" s="1"/>
  <c r="P62" i="6"/>
  <c r="O62" i="6"/>
  <c r="Q62" i="6" s="1"/>
  <c r="M62" i="6"/>
  <c r="L62" i="6"/>
  <c r="K62" i="6"/>
  <c r="J62" i="6"/>
  <c r="I62" i="6"/>
  <c r="E62" i="6"/>
  <c r="N62" i="6" s="1"/>
  <c r="D62" i="6"/>
  <c r="AG61" i="6"/>
  <c r="AF61" i="6"/>
  <c r="AE61" i="6"/>
  <c r="AH61" i="6" s="1"/>
  <c r="AC61" i="6"/>
  <c r="AB61" i="6"/>
  <c r="AA61" i="6"/>
  <c r="AD61" i="6" s="1"/>
  <c r="Y61" i="6"/>
  <c r="X61" i="6"/>
  <c r="W61" i="6"/>
  <c r="Z61" i="6" s="1"/>
  <c r="V61" i="6"/>
  <c r="U61" i="6"/>
  <c r="S61" i="6"/>
  <c r="R61" i="6"/>
  <c r="T61" i="6" s="1"/>
  <c r="P61" i="6"/>
  <c r="O61" i="6"/>
  <c r="Q61" i="6" s="1"/>
  <c r="M61" i="6"/>
  <c r="L61" i="6"/>
  <c r="K61" i="6"/>
  <c r="J61" i="6"/>
  <c r="I61" i="6"/>
  <c r="E61" i="6"/>
  <c r="N61" i="6" s="1"/>
  <c r="D61" i="6"/>
  <c r="G61" i="6" s="1"/>
  <c r="AG60" i="6"/>
  <c r="AF60" i="6"/>
  <c r="AE60" i="6"/>
  <c r="AH60" i="6" s="1"/>
  <c r="AC60" i="6"/>
  <c r="AB60" i="6"/>
  <c r="AA60" i="6"/>
  <c r="AD60" i="6" s="1"/>
  <c r="Y60" i="6"/>
  <c r="X60" i="6"/>
  <c r="W60" i="6"/>
  <c r="Z60" i="6" s="1"/>
  <c r="V60" i="6"/>
  <c r="U60" i="6"/>
  <c r="S60" i="6"/>
  <c r="R60" i="6"/>
  <c r="T60" i="6" s="1"/>
  <c r="P60" i="6"/>
  <c r="O60" i="6"/>
  <c r="Q60" i="6" s="1"/>
  <c r="M60" i="6"/>
  <c r="L60" i="6"/>
  <c r="K60" i="6"/>
  <c r="J60" i="6"/>
  <c r="I60" i="6"/>
  <c r="E60" i="6"/>
  <c r="N60" i="6" s="1"/>
  <c r="D60" i="6"/>
  <c r="G60" i="6" s="1"/>
  <c r="AG59" i="6"/>
  <c r="AF59" i="6"/>
  <c r="AE59" i="6"/>
  <c r="AH59" i="6" s="1"/>
  <c r="AC59" i="6"/>
  <c r="AB59" i="6"/>
  <c r="AA59" i="6"/>
  <c r="AD59" i="6" s="1"/>
  <c r="Y59" i="6"/>
  <c r="X59" i="6"/>
  <c r="W59" i="6"/>
  <c r="Z59" i="6" s="1"/>
  <c r="V59" i="6"/>
  <c r="U59" i="6"/>
  <c r="S59" i="6"/>
  <c r="R59" i="6"/>
  <c r="T59" i="6" s="1"/>
  <c r="P59" i="6"/>
  <c r="O59" i="6"/>
  <c r="Q59" i="6" s="1"/>
  <c r="M59" i="6"/>
  <c r="L59" i="6"/>
  <c r="K59" i="6"/>
  <c r="J59" i="6"/>
  <c r="I59" i="6"/>
  <c r="E59" i="6"/>
  <c r="N59" i="6" s="1"/>
  <c r="D59" i="6"/>
  <c r="G59" i="6" s="1"/>
  <c r="AG58" i="6"/>
  <c r="AF58" i="6"/>
  <c r="AE58" i="6"/>
  <c r="AC58" i="6"/>
  <c r="AB58" i="6"/>
  <c r="AA58" i="6"/>
  <c r="Y58" i="6"/>
  <c r="X58" i="6"/>
  <c r="W58" i="6"/>
  <c r="V58" i="6"/>
  <c r="U58" i="6"/>
  <c r="S58" i="6"/>
  <c r="R58" i="6"/>
  <c r="T58" i="6" s="1"/>
  <c r="P58" i="6"/>
  <c r="O58" i="6"/>
  <c r="Q58" i="6" s="1"/>
  <c r="M58" i="6"/>
  <c r="L58" i="6"/>
  <c r="K58" i="6"/>
  <c r="J58" i="6"/>
  <c r="I58" i="6"/>
  <c r="E58" i="6"/>
  <c r="N58" i="6" s="1"/>
  <c r="D58" i="6"/>
  <c r="AG57" i="6"/>
  <c r="AF57" i="6"/>
  <c r="AE57" i="6"/>
  <c r="AC57" i="6"/>
  <c r="AB57" i="6"/>
  <c r="AA57" i="6"/>
  <c r="Y57" i="6"/>
  <c r="X57" i="6"/>
  <c r="W57" i="6"/>
  <c r="V57" i="6"/>
  <c r="U57" i="6"/>
  <c r="S57" i="6"/>
  <c r="R57" i="6"/>
  <c r="T57" i="6" s="1"/>
  <c r="P57" i="6"/>
  <c r="O57" i="6"/>
  <c r="Q57" i="6" s="1"/>
  <c r="M57" i="6"/>
  <c r="L57" i="6"/>
  <c r="K57" i="6"/>
  <c r="J57" i="6"/>
  <c r="I57" i="6"/>
  <c r="E57" i="6"/>
  <c r="N57" i="6" s="1"/>
  <c r="D57" i="6"/>
  <c r="AG56" i="6"/>
  <c r="AF56" i="6"/>
  <c r="AE56" i="6"/>
  <c r="AC56" i="6"/>
  <c r="AB56" i="6"/>
  <c r="AA56" i="6"/>
  <c r="Y56" i="6"/>
  <c r="X56" i="6"/>
  <c r="W56" i="6"/>
  <c r="V56" i="6"/>
  <c r="U56" i="6"/>
  <c r="S56" i="6"/>
  <c r="R56" i="6"/>
  <c r="T56" i="6" s="1"/>
  <c r="P56" i="6"/>
  <c r="O56" i="6"/>
  <c r="Q56" i="6" s="1"/>
  <c r="M56" i="6"/>
  <c r="L56" i="6"/>
  <c r="K56" i="6"/>
  <c r="J56" i="6"/>
  <c r="I56" i="6"/>
  <c r="E56" i="6"/>
  <c r="N56" i="6" s="1"/>
  <c r="D56" i="6"/>
  <c r="AG55" i="6"/>
  <c r="AF55" i="6"/>
  <c r="AE55" i="6"/>
  <c r="AH55" i="6" s="1"/>
  <c r="AC55" i="6"/>
  <c r="AB55" i="6"/>
  <c r="AA55" i="6"/>
  <c r="Y55" i="6"/>
  <c r="X55" i="6"/>
  <c r="W55" i="6"/>
  <c r="Z55" i="6" s="1"/>
  <c r="V55" i="6"/>
  <c r="U55" i="6"/>
  <c r="S55" i="6"/>
  <c r="R55" i="6"/>
  <c r="T55" i="6" s="1"/>
  <c r="P55" i="6"/>
  <c r="O55" i="6"/>
  <c r="Q55" i="6" s="1"/>
  <c r="M55" i="6"/>
  <c r="L55" i="6"/>
  <c r="K55" i="6"/>
  <c r="J55" i="6"/>
  <c r="I55" i="6"/>
  <c r="E55" i="6"/>
  <c r="N55" i="6" s="1"/>
  <c r="D55" i="6"/>
  <c r="G55" i="6" s="1"/>
  <c r="AG54" i="6"/>
  <c r="AF54" i="6"/>
  <c r="AE54" i="6"/>
  <c r="AH54" i="6" s="1"/>
  <c r="AC54" i="6"/>
  <c r="AB54" i="6"/>
  <c r="AA54" i="6"/>
  <c r="AD54" i="6" s="1"/>
  <c r="Y54" i="6"/>
  <c r="X54" i="6"/>
  <c r="W54" i="6"/>
  <c r="Z54" i="6" s="1"/>
  <c r="V54" i="6"/>
  <c r="U54" i="6"/>
  <c r="S54" i="6"/>
  <c r="R54" i="6"/>
  <c r="T54" i="6" s="1"/>
  <c r="P54" i="6"/>
  <c r="O54" i="6"/>
  <c r="Q54" i="6" s="1"/>
  <c r="M54" i="6"/>
  <c r="L54" i="6"/>
  <c r="K54" i="6"/>
  <c r="J54" i="6"/>
  <c r="I54" i="6"/>
  <c r="E54" i="6"/>
  <c r="N54" i="6" s="1"/>
  <c r="D54" i="6"/>
  <c r="AG53" i="6"/>
  <c r="AF53" i="6"/>
  <c r="AE53" i="6"/>
  <c r="AC53" i="6"/>
  <c r="AB53" i="6"/>
  <c r="AA53" i="6"/>
  <c r="Y53" i="6"/>
  <c r="X53" i="6"/>
  <c r="W53" i="6"/>
  <c r="V53" i="6"/>
  <c r="U53" i="6"/>
  <c r="S53" i="6"/>
  <c r="R53" i="6"/>
  <c r="P53" i="6"/>
  <c r="O53" i="6"/>
  <c r="M53" i="6"/>
  <c r="L53" i="6"/>
  <c r="K53" i="6"/>
  <c r="J53" i="6"/>
  <c r="I53" i="6"/>
  <c r="E53" i="6"/>
  <c r="D53" i="6"/>
  <c r="AG51" i="6"/>
  <c r="AF51" i="6"/>
  <c r="AE51" i="6"/>
  <c r="AC51" i="6"/>
  <c r="AB51" i="6"/>
  <c r="AA51" i="6"/>
  <c r="Y51" i="6"/>
  <c r="X51" i="6"/>
  <c r="W51" i="6"/>
  <c r="V51" i="6"/>
  <c r="U51" i="6"/>
  <c r="S51" i="6"/>
  <c r="R51" i="6"/>
  <c r="T51" i="6" s="1"/>
  <c r="P51" i="6"/>
  <c r="O51" i="6"/>
  <c r="Q51" i="6" s="1"/>
  <c r="M51" i="6"/>
  <c r="L51" i="6"/>
  <c r="K51" i="6"/>
  <c r="J51" i="6"/>
  <c r="I51" i="6"/>
  <c r="E51" i="6"/>
  <c r="N51" i="6" s="1"/>
  <c r="D51" i="6"/>
  <c r="AG50" i="6"/>
  <c r="AF50" i="6"/>
  <c r="AE50" i="6"/>
  <c r="AC50" i="6"/>
  <c r="AB50" i="6"/>
  <c r="AA50" i="6"/>
  <c r="Y50" i="6"/>
  <c r="X50" i="6"/>
  <c r="W50" i="6"/>
  <c r="V50" i="6"/>
  <c r="U50" i="6"/>
  <c r="S50" i="6"/>
  <c r="R50" i="6"/>
  <c r="P50" i="6"/>
  <c r="O50" i="6"/>
  <c r="M50" i="6"/>
  <c r="L50" i="6"/>
  <c r="K50" i="6"/>
  <c r="J50" i="6"/>
  <c r="I50" i="6"/>
  <c r="E50" i="6"/>
  <c r="D50" i="6"/>
  <c r="AG49" i="6"/>
  <c r="AF49" i="6"/>
  <c r="AE49" i="6"/>
  <c r="AC49" i="6"/>
  <c r="AB49" i="6"/>
  <c r="AA49" i="6"/>
  <c r="Y49" i="6"/>
  <c r="X49" i="6"/>
  <c r="W49" i="6"/>
  <c r="V49" i="6"/>
  <c r="U49" i="6"/>
  <c r="S49" i="6"/>
  <c r="R49" i="6"/>
  <c r="T49" i="6" s="1"/>
  <c r="P49" i="6"/>
  <c r="O49" i="6"/>
  <c r="Q49" i="6" s="1"/>
  <c r="M49" i="6"/>
  <c r="L49" i="6"/>
  <c r="K49" i="6"/>
  <c r="J49" i="6"/>
  <c r="I49" i="6"/>
  <c r="E49" i="6"/>
  <c r="N49" i="6" s="1"/>
  <c r="D49" i="6"/>
  <c r="AG48" i="6"/>
  <c r="AF48" i="6"/>
  <c r="AE48" i="6"/>
  <c r="AC48" i="6"/>
  <c r="AB48" i="6"/>
  <c r="AA48" i="6"/>
  <c r="Y48" i="6"/>
  <c r="X48" i="6"/>
  <c r="W48" i="6"/>
  <c r="V48" i="6"/>
  <c r="U48" i="6"/>
  <c r="S48" i="6"/>
  <c r="R48" i="6"/>
  <c r="T48" i="6" s="1"/>
  <c r="P48" i="6"/>
  <c r="O48" i="6"/>
  <c r="Q48" i="6" s="1"/>
  <c r="M48" i="6"/>
  <c r="L48" i="6"/>
  <c r="K48" i="6"/>
  <c r="J48" i="6"/>
  <c r="I48" i="6"/>
  <c r="E48" i="6"/>
  <c r="N48" i="6" s="1"/>
  <c r="D48" i="6"/>
  <c r="AG47" i="6"/>
  <c r="AF47" i="6"/>
  <c r="AE47" i="6"/>
  <c r="AC47" i="6"/>
  <c r="AB47" i="6"/>
  <c r="AA47" i="6"/>
  <c r="Y47" i="6"/>
  <c r="X47" i="6"/>
  <c r="W47" i="6"/>
  <c r="V47" i="6"/>
  <c r="U47" i="6"/>
  <c r="S47" i="6"/>
  <c r="R47" i="6"/>
  <c r="T47" i="6" s="1"/>
  <c r="P47" i="6"/>
  <c r="O47" i="6"/>
  <c r="Q47" i="6" s="1"/>
  <c r="M47" i="6"/>
  <c r="L47" i="6"/>
  <c r="K47" i="6"/>
  <c r="J47" i="6"/>
  <c r="I47" i="6"/>
  <c r="E47" i="6"/>
  <c r="N47" i="6" s="1"/>
  <c r="D47" i="6"/>
  <c r="AG46" i="6"/>
  <c r="AF46" i="6"/>
  <c r="AE46" i="6"/>
  <c r="AC46" i="6"/>
  <c r="AB46" i="6"/>
  <c r="AA46" i="6"/>
  <c r="Y46" i="6"/>
  <c r="X46" i="6"/>
  <c r="W46" i="6"/>
  <c r="V46" i="6"/>
  <c r="U46" i="6"/>
  <c r="S46" i="6"/>
  <c r="R46" i="6"/>
  <c r="T46" i="6" s="1"/>
  <c r="P46" i="6"/>
  <c r="O46" i="6"/>
  <c r="Q46" i="6" s="1"/>
  <c r="M46" i="6"/>
  <c r="L46" i="6"/>
  <c r="K46" i="6"/>
  <c r="J46" i="6"/>
  <c r="I46" i="6"/>
  <c r="E46" i="6"/>
  <c r="N46" i="6" s="1"/>
  <c r="D46" i="6"/>
  <c r="AG45" i="6"/>
  <c r="AF45" i="6"/>
  <c r="AE45" i="6"/>
  <c r="AC45" i="6"/>
  <c r="AB45" i="6"/>
  <c r="AA45" i="6"/>
  <c r="Y45" i="6"/>
  <c r="X45" i="6"/>
  <c r="W45" i="6"/>
  <c r="V45" i="6"/>
  <c r="U45" i="6"/>
  <c r="S45" i="6"/>
  <c r="R45" i="6"/>
  <c r="T45" i="6" s="1"/>
  <c r="P45" i="6"/>
  <c r="O45" i="6"/>
  <c r="Q45" i="6" s="1"/>
  <c r="M45" i="6"/>
  <c r="L45" i="6"/>
  <c r="K45" i="6"/>
  <c r="J45" i="6"/>
  <c r="I45" i="6"/>
  <c r="E45" i="6"/>
  <c r="N45" i="6" s="1"/>
  <c r="D45" i="6"/>
  <c r="AG44" i="6"/>
  <c r="AF44" i="6"/>
  <c r="AE44" i="6"/>
  <c r="AC44" i="6"/>
  <c r="AB44" i="6"/>
  <c r="AA44" i="6"/>
  <c r="Y44" i="6"/>
  <c r="X44" i="6"/>
  <c r="W44" i="6"/>
  <c r="V44" i="6"/>
  <c r="U44" i="6"/>
  <c r="S44" i="6"/>
  <c r="R44" i="6"/>
  <c r="T44" i="6" s="1"/>
  <c r="P44" i="6"/>
  <c r="O44" i="6"/>
  <c r="Q44" i="6" s="1"/>
  <c r="M44" i="6"/>
  <c r="L44" i="6"/>
  <c r="K44" i="6"/>
  <c r="J44" i="6"/>
  <c r="I44" i="6"/>
  <c r="E44" i="6"/>
  <c r="D44" i="6"/>
  <c r="AG43" i="6"/>
  <c r="AF43" i="6"/>
  <c r="AE43" i="6"/>
  <c r="AC43" i="6"/>
  <c r="AB43" i="6"/>
  <c r="AA43" i="6"/>
  <c r="Y43" i="6"/>
  <c r="X43" i="6"/>
  <c r="W43" i="6"/>
  <c r="V43" i="6"/>
  <c r="U43" i="6"/>
  <c r="S43" i="6"/>
  <c r="R43" i="6"/>
  <c r="T43" i="6" s="1"/>
  <c r="P43" i="6"/>
  <c r="O43" i="6"/>
  <c r="Q43" i="6" s="1"/>
  <c r="M43" i="6"/>
  <c r="L43" i="6"/>
  <c r="K43" i="6"/>
  <c r="J43" i="6"/>
  <c r="I43" i="6"/>
  <c r="E43" i="6"/>
  <c r="D43" i="6"/>
  <c r="AG42" i="6"/>
  <c r="AF42" i="6"/>
  <c r="AE42" i="6"/>
  <c r="AC42" i="6"/>
  <c r="AB42" i="6"/>
  <c r="AA42" i="6"/>
  <c r="Y42" i="6"/>
  <c r="X42" i="6"/>
  <c r="W42" i="6"/>
  <c r="V42" i="6"/>
  <c r="U42" i="6"/>
  <c r="S42" i="6"/>
  <c r="R42" i="6"/>
  <c r="T42" i="6" s="1"/>
  <c r="P42" i="6"/>
  <c r="O42" i="6"/>
  <c r="Q42" i="6" s="1"/>
  <c r="M42" i="6"/>
  <c r="L42" i="6"/>
  <c r="K42" i="6"/>
  <c r="J42" i="6"/>
  <c r="I42" i="6"/>
  <c r="E42" i="6"/>
  <c r="N42" i="6" s="1"/>
  <c r="D42" i="6"/>
  <c r="AG41" i="6"/>
  <c r="AF41" i="6"/>
  <c r="AE41" i="6"/>
  <c r="AC41" i="6"/>
  <c r="AB41" i="6"/>
  <c r="AA41" i="6"/>
  <c r="Y41" i="6"/>
  <c r="X41" i="6"/>
  <c r="W41" i="6"/>
  <c r="V41" i="6"/>
  <c r="U41" i="6"/>
  <c r="S41" i="6"/>
  <c r="R41" i="6"/>
  <c r="T41" i="6" s="1"/>
  <c r="P41" i="6"/>
  <c r="O41" i="6"/>
  <c r="Q41" i="6" s="1"/>
  <c r="M41" i="6"/>
  <c r="L41" i="6"/>
  <c r="K41" i="6"/>
  <c r="J41" i="6"/>
  <c r="I41" i="6"/>
  <c r="E41" i="6"/>
  <c r="D41" i="6"/>
  <c r="AG40" i="6"/>
  <c r="AF40" i="6"/>
  <c r="AE40" i="6"/>
  <c r="AC40" i="6"/>
  <c r="AB40" i="6"/>
  <c r="AA40" i="6"/>
  <c r="Y40" i="6"/>
  <c r="X40" i="6"/>
  <c r="W40" i="6"/>
  <c r="V40" i="6"/>
  <c r="U40" i="6"/>
  <c r="S40" i="6"/>
  <c r="R40" i="6"/>
  <c r="P40" i="6"/>
  <c r="O40" i="6"/>
  <c r="M40" i="6"/>
  <c r="L40" i="6"/>
  <c r="K40" i="6"/>
  <c r="J40" i="6"/>
  <c r="I40" i="6"/>
  <c r="E40" i="6"/>
  <c r="N40" i="6" s="1"/>
  <c r="D40" i="6"/>
  <c r="AG39" i="6"/>
  <c r="AF39" i="6"/>
  <c r="AE39" i="6"/>
  <c r="AC39" i="6"/>
  <c r="AB39" i="6"/>
  <c r="AA39" i="6"/>
  <c r="Y39" i="6"/>
  <c r="X39" i="6"/>
  <c r="W39" i="6"/>
  <c r="V39" i="6"/>
  <c r="U39" i="6"/>
  <c r="S39" i="6"/>
  <c r="R39" i="6"/>
  <c r="T39" i="6" s="1"/>
  <c r="P39" i="6"/>
  <c r="O39" i="6"/>
  <c r="Q39" i="6" s="1"/>
  <c r="M39" i="6"/>
  <c r="L39" i="6"/>
  <c r="K39" i="6"/>
  <c r="J39" i="6"/>
  <c r="I39" i="6"/>
  <c r="E39" i="6"/>
  <c r="N39" i="6" s="1"/>
  <c r="D39" i="6"/>
  <c r="AG38" i="6"/>
  <c r="AF38" i="6"/>
  <c r="AE38" i="6"/>
  <c r="AC38" i="6"/>
  <c r="AB38" i="6"/>
  <c r="AA38" i="6"/>
  <c r="Y38" i="6"/>
  <c r="X38" i="6"/>
  <c r="W38" i="6"/>
  <c r="V38" i="6"/>
  <c r="U38" i="6"/>
  <c r="S38" i="6"/>
  <c r="R38" i="6"/>
  <c r="P38" i="6"/>
  <c r="O38" i="6"/>
  <c r="M38" i="6"/>
  <c r="L38" i="6"/>
  <c r="K38" i="6"/>
  <c r="J38" i="6"/>
  <c r="I38" i="6"/>
  <c r="E38" i="6"/>
  <c r="D38" i="6"/>
  <c r="AG37" i="6"/>
  <c r="AF37" i="6"/>
  <c r="AE37" i="6"/>
  <c r="AC37" i="6"/>
  <c r="AB37" i="6"/>
  <c r="AA37" i="6"/>
  <c r="Y37" i="6"/>
  <c r="X37" i="6"/>
  <c r="W37" i="6"/>
  <c r="V37" i="6"/>
  <c r="U37" i="6"/>
  <c r="S37" i="6"/>
  <c r="R37" i="6"/>
  <c r="T37" i="6" s="1"/>
  <c r="P37" i="6"/>
  <c r="O37" i="6"/>
  <c r="Q37" i="6" s="1"/>
  <c r="M37" i="6"/>
  <c r="L37" i="6"/>
  <c r="K37" i="6"/>
  <c r="J37" i="6"/>
  <c r="I37" i="6"/>
  <c r="E37" i="6"/>
  <c r="D37" i="6"/>
  <c r="AG36" i="6"/>
  <c r="AF36" i="6"/>
  <c r="AE36" i="6"/>
  <c r="AC36" i="6"/>
  <c r="AB36" i="6"/>
  <c r="AA36" i="6"/>
  <c r="Y36" i="6"/>
  <c r="X36" i="6"/>
  <c r="W36" i="6"/>
  <c r="V36" i="6"/>
  <c r="U36" i="6"/>
  <c r="S36" i="6"/>
  <c r="R36" i="6"/>
  <c r="T36" i="6" s="1"/>
  <c r="P36" i="6"/>
  <c r="O36" i="6"/>
  <c r="Q36" i="6" s="1"/>
  <c r="M36" i="6"/>
  <c r="L36" i="6"/>
  <c r="K36" i="6"/>
  <c r="J36" i="6"/>
  <c r="I36" i="6"/>
  <c r="E36" i="6"/>
  <c r="N36" i="6" s="1"/>
  <c r="D36" i="6"/>
  <c r="AG35" i="6"/>
  <c r="AF35" i="6"/>
  <c r="AE35" i="6"/>
  <c r="AH35" i="6" s="1"/>
  <c r="AC35" i="6"/>
  <c r="AB35" i="6"/>
  <c r="AA35" i="6"/>
  <c r="AD35" i="6" s="1"/>
  <c r="Y35" i="6"/>
  <c r="X35" i="6"/>
  <c r="W35" i="6"/>
  <c r="Z35" i="6" s="1"/>
  <c r="V35" i="6"/>
  <c r="U35" i="6"/>
  <c r="S35" i="6"/>
  <c r="R35" i="6"/>
  <c r="T35" i="6" s="1"/>
  <c r="P35" i="6"/>
  <c r="O35" i="6"/>
  <c r="Q35" i="6" s="1"/>
  <c r="M35" i="6"/>
  <c r="L35" i="6"/>
  <c r="K35" i="6"/>
  <c r="J35" i="6"/>
  <c r="I35" i="6"/>
  <c r="E35" i="6"/>
  <c r="D35" i="6"/>
  <c r="G35" i="6" s="1"/>
  <c r="AG34" i="6"/>
  <c r="AF34" i="6"/>
  <c r="AE34" i="6"/>
  <c r="AC34" i="6"/>
  <c r="AB34" i="6"/>
  <c r="AA34" i="6"/>
  <c r="Y34" i="6"/>
  <c r="X34" i="6"/>
  <c r="W34" i="6"/>
  <c r="V34" i="6"/>
  <c r="U34" i="6"/>
  <c r="S34" i="6"/>
  <c r="R34" i="6"/>
  <c r="T34" i="6" s="1"/>
  <c r="P34" i="6"/>
  <c r="O34" i="6"/>
  <c r="Q34" i="6" s="1"/>
  <c r="M34" i="6"/>
  <c r="L34" i="6"/>
  <c r="K34" i="6"/>
  <c r="J34" i="6"/>
  <c r="I34" i="6"/>
  <c r="E34" i="6"/>
  <c r="N34" i="6" s="1"/>
  <c r="D34" i="6"/>
  <c r="AG33" i="6"/>
  <c r="AF33" i="6"/>
  <c r="AE33" i="6"/>
  <c r="AC33" i="6"/>
  <c r="AB33" i="6"/>
  <c r="AA33" i="6"/>
  <c r="Y33" i="6"/>
  <c r="X33" i="6"/>
  <c r="W33" i="6"/>
  <c r="V33" i="6"/>
  <c r="U33" i="6"/>
  <c r="S33" i="6"/>
  <c r="R33" i="6"/>
  <c r="T33" i="6" s="1"/>
  <c r="P33" i="6"/>
  <c r="O33" i="6"/>
  <c r="Q33" i="6" s="1"/>
  <c r="M33" i="6"/>
  <c r="L33" i="6"/>
  <c r="K33" i="6"/>
  <c r="J33" i="6"/>
  <c r="I33" i="6"/>
  <c r="E33" i="6"/>
  <c r="N33" i="6" s="1"/>
  <c r="D33" i="6"/>
  <c r="AG32" i="6"/>
  <c r="AF32" i="6"/>
  <c r="AE32" i="6"/>
  <c r="AC32" i="6"/>
  <c r="AB32" i="6"/>
  <c r="AA32" i="6"/>
  <c r="Y32" i="6"/>
  <c r="X32" i="6"/>
  <c r="W32" i="6"/>
  <c r="V32" i="6"/>
  <c r="U32" i="6"/>
  <c r="S32" i="6"/>
  <c r="R32" i="6"/>
  <c r="P32" i="6"/>
  <c r="O32" i="6"/>
  <c r="Q32" i="6" s="1"/>
  <c r="M32" i="6"/>
  <c r="L32" i="6"/>
  <c r="K32" i="6"/>
  <c r="J32" i="6"/>
  <c r="I32" i="6"/>
  <c r="E32" i="6"/>
  <c r="D32" i="6"/>
  <c r="AG30" i="6"/>
  <c r="AF30" i="6"/>
  <c r="AE30" i="6"/>
  <c r="AC30" i="6"/>
  <c r="AB30" i="6"/>
  <c r="AA30" i="6"/>
  <c r="Y30" i="6"/>
  <c r="X30" i="6"/>
  <c r="W30" i="6"/>
  <c r="V30" i="6"/>
  <c r="U30" i="6"/>
  <c r="S30" i="6"/>
  <c r="R30" i="6"/>
  <c r="T30" i="6" s="1"/>
  <c r="P30" i="6"/>
  <c r="O30" i="6"/>
  <c r="Q30" i="6" s="1"/>
  <c r="M30" i="6"/>
  <c r="L30" i="6"/>
  <c r="K30" i="6"/>
  <c r="J30" i="6"/>
  <c r="I30" i="6"/>
  <c r="E30" i="6"/>
  <c r="N30" i="6" s="1"/>
  <c r="D30" i="6"/>
  <c r="AG29" i="6"/>
  <c r="AF29" i="6"/>
  <c r="AE29" i="6"/>
  <c r="AC29" i="6"/>
  <c r="AB29" i="6"/>
  <c r="AA29" i="6"/>
  <c r="Y29" i="6"/>
  <c r="X29" i="6"/>
  <c r="W29" i="6"/>
  <c r="V29" i="6"/>
  <c r="U29" i="6"/>
  <c r="S29" i="6"/>
  <c r="R29" i="6"/>
  <c r="T29" i="6" s="1"/>
  <c r="P29" i="6"/>
  <c r="O29" i="6"/>
  <c r="Q29" i="6" s="1"/>
  <c r="M29" i="6"/>
  <c r="L29" i="6"/>
  <c r="K29" i="6"/>
  <c r="J29" i="6"/>
  <c r="I29" i="6"/>
  <c r="E29" i="6"/>
  <c r="D29" i="6"/>
  <c r="AG28" i="6"/>
  <c r="AF28" i="6"/>
  <c r="AE28" i="6"/>
  <c r="AC28" i="6"/>
  <c r="AB28" i="6"/>
  <c r="AA28" i="6"/>
  <c r="Y28" i="6"/>
  <c r="X28" i="6"/>
  <c r="W28" i="6"/>
  <c r="V28" i="6"/>
  <c r="U28" i="6"/>
  <c r="S28" i="6"/>
  <c r="R28" i="6"/>
  <c r="T28" i="6" s="1"/>
  <c r="P28" i="6"/>
  <c r="O28" i="6"/>
  <c r="Q28" i="6" s="1"/>
  <c r="M28" i="6"/>
  <c r="L28" i="6"/>
  <c r="K28" i="6"/>
  <c r="J28" i="6"/>
  <c r="I28" i="6"/>
  <c r="E28" i="6"/>
  <c r="N28" i="6" s="1"/>
  <c r="D28" i="6"/>
  <c r="AG27" i="6"/>
  <c r="AF27" i="6"/>
  <c r="AE27" i="6"/>
  <c r="AH27" i="6" s="1"/>
  <c r="AC27" i="6"/>
  <c r="AB27" i="6"/>
  <c r="AA27" i="6"/>
  <c r="AD27" i="6" s="1"/>
  <c r="Y27" i="6"/>
  <c r="X27" i="6"/>
  <c r="W27" i="6"/>
  <c r="Z27" i="6" s="1"/>
  <c r="V27" i="6"/>
  <c r="U27" i="6"/>
  <c r="S27" i="6"/>
  <c r="R27" i="6"/>
  <c r="T27" i="6" s="1"/>
  <c r="P27" i="6"/>
  <c r="O27" i="6"/>
  <c r="Q27" i="6" s="1"/>
  <c r="M27" i="6"/>
  <c r="L27" i="6"/>
  <c r="K27" i="6"/>
  <c r="J27" i="6"/>
  <c r="I27" i="6"/>
  <c r="E27" i="6"/>
  <c r="D27" i="6"/>
  <c r="G27" i="6" s="1"/>
  <c r="AG26" i="6"/>
  <c r="AF26" i="6"/>
  <c r="AE26" i="6"/>
  <c r="AC26" i="6"/>
  <c r="AB26" i="6"/>
  <c r="AA26" i="6"/>
  <c r="Y26" i="6"/>
  <c r="X26" i="6"/>
  <c r="W26" i="6"/>
  <c r="V26" i="6"/>
  <c r="U26" i="6"/>
  <c r="S26" i="6"/>
  <c r="R26" i="6"/>
  <c r="T26" i="6" s="1"/>
  <c r="P26" i="6"/>
  <c r="O26" i="6"/>
  <c r="Q26" i="6" s="1"/>
  <c r="M26" i="6"/>
  <c r="L26" i="6"/>
  <c r="K26" i="6"/>
  <c r="J26" i="6"/>
  <c r="I26" i="6"/>
  <c r="E26" i="6"/>
  <c r="D26" i="6"/>
  <c r="AG25" i="6"/>
  <c r="AF25" i="6"/>
  <c r="AE25" i="6"/>
  <c r="AH25" i="6" s="1"/>
  <c r="AC25" i="6"/>
  <c r="AB25" i="6"/>
  <c r="AA25" i="6"/>
  <c r="AD25" i="6" s="1"/>
  <c r="Y25" i="6"/>
  <c r="X25" i="6"/>
  <c r="W25" i="6"/>
  <c r="Z25" i="6" s="1"/>
  <c r="V25" i="6"/>
  <c r="U25" i="6"/>
  <c r="S25" i="6"/>
  <c r="R25" i="6"/>
  <c r="T25" i="6" s="1"/>
  <c r="P25" i="6"/>
  <c r="O25" i="6"/>
  <c r="Q25" i="6" s="1"/>
  <c r="M25" i="6"/>
  <c r="L25" i="6"/>
  <c r="K25" i="6"/>
  <c r="J25" i="6"/>
  <c r="I25" i="6"/>
  <c r="E25" i="6"/>
  <c r="N25" i="6" s="1"/>
  <c r="D25" i="6"/>
  <c r="AG24" i="6"/>
  <c r="AF24" i="6"/>
  <c r="AE24" i="6"/>
  <c r="AC24" i="6"/>
  <c r="AB24" i="6"/>
  <c r="AA24" i="6"/>
  <c r="Y24" i="6"/>
  <c r="X24" i="6"/>
  <c r="W24" i="6"/>
  <c r="V24" i="6"/>
  <c r="U24" i="6"/>
  <c r="S24" i="6"/>
  <c r="R24" i="6"/>
  <c r="T24" i="6" s="1"/>
  <c r="P24" i="6"/>
  <c r="O24" i="6"/>
  <c r="Q24" i="6" s="1"/>
  <c r="M24" i="6"/>
  <c r="L24" i="6"/>
  <c r="K24" i="6"/>
  <c r="J24" i="6"/>
  <c r="I24" i="6"/>
  <c r="E24" i="6"/>
  <c r="N24" i="6" s="1"/>
  <c r="D24" i="6"/>
  <c r="AG23" i="6"/>
  <c r="AF23" i="6"/>
  <c r="AE23" i="6"/>
  <c r="AC23" i="6"/>
  <c r="AB23" i="6"/>
  <c r="AA23" i="6"/>
  <c r="Y23" i="6"/>
  <c r="X23" i="6"/>
  <c r="W23" i="6"/>
  <c r="V23" i="6"/>
  <c r="U23" i="6"/>
  <c r="S23" i="6"/>
  <c r="R23" i="6"/>
  <c r="P23" i="6"/>
  <c r="O23" i="6"/>
  <c r="M23" i="6"/>
  <c r="L23" i="6"/>
  <c r="K23" i="6"/>
  <c r="J23" i="6"/>
  <c r="I23" i="6"/>
  <c r="E23" i="6"/>
  <c r="D23" i="6"/>
  <c r="AG22" i="6"/>
  <c r="AF22" i="6"/>
  <c r="AE22" i="6"/>
  <c r="AC22" i="6"/>
  <c r="AB22" i="6"/>
  <c r="AA22" i="6"/>
  <c r="Y22" i="6"/>
  <c r="X22" i="6"/>
  <c r="W22" i="6"/>
  <c r="V22" i="6"/>
  <c r="U22" i="6"/>
  <c r="S22" i="6"/>
  <c r="R22" i="6"/>
  <c r="T22" i="6" s="1"/>
  <c r="P22" i="6"/>
  <c r="O22" i="6"/>
  <c r="Q22" i="6" s="1"/>
  <c r="M22" i="6"/>
  <c r="L22" i="6"/>
  <c r="K22" i="6"/>
  <c r="J22" i="6"/>
  <c r="I22" i="6"/>
  <c r="E22" i="6"/>
  <c r="N22" i="6" s="1"/>
  <c r="D22" i="6"/>
  <c r="AG21" i="6"/>
  <c r="AF21" i="6"/>
  <c r="AE21" i="6"/>
  <c r="AC21" i="6"/>
  <c r="AB21" i="6"/>
  <c r="AA21" i="6"/>
  <c r="Y21" i="6"/>
  <c r="X21" i="6"/>
  <c r="W21" i="6"/>
  <c r="V21" i="6"/>
  <c r="U21" i="6"/>
  <c r="S21" i="6"/>
  <c r="R21" i="6"/>
  <c r="T21" i="6" s="1"/>
  <c r="P21" i="6"/>
  <c r="O21" i="6"/>
  <c r="Q21" i="6" s="1"/>
  <c r="M21" i="6"/>
  <c r="L21" i="6"/>
  <c r="K21" i="6"/>
  <c r="J21" i="6"/>
  <c r="I21" i="6"/>
  <c r="E21" i="6"/>
  <c r="N21" i="6" s="1"/>
  <c r="D21" i="6"/>
  <c r="AG20" i="6"/>
  <c r="AF20" i="6"/>
  <c r="AE20" i="6"/>
  <c r="AC20" i="6"/>
  <c r="AB20" i="6"/>
  <c r="AA20" i="6"/>
  <c r="Y20" i="6"/>
  <c r="X20" i="6"/>
  <c r="W20" i="6"/>
  <c r="V20" i="6"/>
  <c r="U20" i="6"/>
  <c r="S20" i="6"/>
  <c r="R20" i="6"/>
  <c r="T20" i="6" s="1"/>
  <c r="P20" i="6"/>
  <c r="O20" i="6"/>
  <c r="Q20" i="6" s="1"/>
  <c r="M20" i="6"/>
  <c r="L20" i="6"/>
  <c r="K20" i="6"/>
  <c r="J20" i="6"/>
  <c r="I20" i="6"/>
  <c r="E20" i="6"/>
  <c r="N20" i="6" s="1"/>
  <c r="D20" i="6"/>
  <c r="AG19" i="6"/>
  <c r="AF19" i="6"/>
  <c r="AE19" i="6"/>
  <c r="AC19" i="6"/>
  <c r="AB19" i="6"/>
  <c r="AA19" i="6"/>
  <c r="Y19" i="6"/>
  <c r="X19" i="6"/>
  <c r="W19" i="6"/>
  <c r="V19" i="6"/>
  <c r="U19" i="6"/>
  <c r="S19" i="6"/>
  <c r="R19" i="6"/>
  <c r="P19" i="6"/>
  <c r="O19" i="6"/>
  <c r="M19" i="6"/>
  <c r="L19" i="6"/>
  <c r="K19" i="6"/>
  <c r="J19" i="6"/>
  <c r="I19" i="6"/>
  <c r="E19" i="6"/>
  <c r="D19" i="6"/>
  <c r="AG18" i="6"/>
  <c r="AF18" i="6"/>
  <c r="AE18" i="6"/>
  <c r="AC18" i="6"/>
  <c r="AB18" i="6"/>
  <c r="AA18" i="6"/>
  <c r="Y18" i="6"/>
  <c r="X18" i="6"/>
  <c r="W18" i="6"/>
  <c r="V18" i="6"/>
  <c r="U18" i="6"/>
  <c r="S18" i="6"/>
  <c r="R18" i="6"/>
  <c r="P18" i="6"/>
  <c r="O18" i="6"/>
  <c r="M18" i="6"/>
  <c r="L18" i="6"/>
  <c r="K18" i="6"/>
  <c r="J18" i="6"/>
  <c r="I18" i="6"/>
  <c r="E18" i="6"/>
  <c r="N18" i="6" s="1"/>
  <c r="D18" i="6"/>
  <c r="AG17" i="6"/>
  <c r="AF17" i="6"/>
  <c r="AE17" i="6"/>
  <c r="AC17" i="6"/>
  <c r="AB17" i="6"/>
  <c r="AA17" i="6"/>
  <c r="Y17" i="6"/>
  <c r="X17" i="6"/>
  <c r="W17" i="6"/>
  <c r="V17" i="6"/>
  <c r="U17" i="6"/>
  <c r="S17" i="6"/>
  <c r="R17" i="6"/>
  <c r="T17" i="6" s="1"/>
  <c r="P17" i="6"/>
  <c r="O17" i="6"/>
  <c r="Q17" i="6" s="1"/>
  <c r="M17" i="6"/>
  <c r="L17" i="6"/>
  <c r="K17" i="6"/>
  <c r="J17" i="6"/>
  <c r="I17" i="6"/>
  <c r="E17" i="6"/>
  <c r="N17" i="6" s="1"/>
  <c r="D17" i="6"/>
  <c r="AG16" i="6"/>
  <c r="AF16" i="6"/>
  <c r="AE16" i="6"/>
  <c r="AC16" i="6"/>
  <c r="AB16" i="6"/>
  <c r="AA16" i="6"/>
  <c r="Y16" i="6"/>
  <c r="X16" i="6"/>
  <c r="W16" i="6"/>
  <c r="V16" i="6"/>
  <c r="U16" i="6"/>
  <c r="S16" i="6"/>
  <c r="R16" i="6"/>
  <c r="P16" i="6"/>
  <c r="O16" i="6"/>
  <c r="M16" i="6"/>
  <c r="L16" i="6"/>
  <c r="K16" i="6"/>
  <c r="J16" i="6"/>
  <c r="I16" i="6"/>
  <c r="E16" i="6"/>
  <c r="N16" i="6" s="1"/>
  <c r="D16" i="6"/>
  <c r="AG15" i="6"/>
  <c r="AF15" i="6"/>
  <c r="AE15" i="6"/>
  <c r="AC15" i="6"/>
  <c r="AB15" i="6"/>
  <c r="AA15" i="6"/>
  <c r="Y15" i="6"/>
  <c r="X15" i="6"/>
  <c r="W15" i="6"/>
  <c r="V15" i="6"/>
  <c r="U15" i="6"/>
  <c r="S15" i="6"/>
  <c r="R15" i="6"/>
  <c r="T15" i="6" s="1"/>
  <c r="P15" i="6"/>
  <c r="O15" i="6"/>
  <c r="M15" i="6"/>
  <c r="L15" i="6"/>
  <c r="K15" i="6"/>
  <c r="J15" i="6"/>
  <c r="I15" i="6"/>
  <c r="E15" i="6"/>
  <c r="N15" i="6" s="1"/>
  <c r="D15" i="6"/>
  <c r="AG14" i="6"/>
  <c r="AF14" i="6"/>
  <c r="AE14" i="6"/>
  <c r="AC14" i="6"/>
  <c r="AB14" i="6"/>
  <c r="AA14" i="6"/>
  <c r="Y14" i="6"/>
  <c r="X14" i="6"/>
  <c r="W14" i="6"/>
  <c r="V14" i="6"/>
  <c r="U14" i="6"/>
  <c r="S14" i="6"/>
  <c r="R14" i="6"/>
  <c r="T14" i="6" s="1"/>
  <c r="P14" i="6"/>
  <c r="O14" i="6"/>
  <c r="Q14" i="6" s="1"/>
  <c r="M14" i="6"/>
  <c r="L14" i="6"/>
  <c r="K14" i="6"/>
  <c r="J14" i="6"/>
  <c r="I14" i="6"/>
  <c r="E14" i="6"/>
  <c r="D14" i="6"/>
  <c r="AH12" i="6"/>
  <c r="AD12" i="6"/>
  <c r="Z12" i="6"/>
  <c r="T12" i="6"/>
  <c r="Q12" i="6"/>
  <c r="G12" i="6"/>
  <c r="F12" i="6"/>
  <c r="N11" i="6"/>
  <c r="G11" i="6"/>
  <c r="F11" i="6"/>
  <c r="N10" i="6"/>
  <c r="G10" i="6"/>
  <c r="F10" i="6"/>
  <c r="N9" i="6"/>
  <c r="G9" i="6"/>
  <c r="F9" i="6"/>
  <c r="O116" i="5"/>
  <c r="H116" i="5"/>
  <c r="F116" i="5" s="1"/>
  <c r="G116" i="5"/>
  <c r="C116" i="5"/>
  <c r="O115" i="5"/>
  <c r="H115" i="5"/>
  <c r="G115" i="5"/>
  <c r="F115" i="5"/>
  <c r="C115" i="5"/>
  <c r="O114" i="5"/>
  <c r="H114" i="5"/>
  <c r="F114" i="5" s="1"/>
  <c r="G114" i="5"/>
  <c r="C114" i="5"/>
  <c r="O113" i="5"/>
  <c r="H113" i="5"/>
  <c r="G113" i="5"/>
  <c r="F113" i="5"/>
  <c r="C113" i="5"/>
  <c r="O112" i="5"/>
  <c r="H112" i="5"/>
  <c r="F112" i="5" s="1"/>
  <c r="G112" i="5"/>
  <c r="C112" i="5"/>
  <c r="O111" i="5"/>
  <c r="H111" i="5"/>
  <c r="F111" i="5" s="1"/>
  <c r="G111" i="5"/>
  <c r="C111" i="5"/>
  <c r="O110" i="5"/>
  <c r="H110" i="5"/>
  <c r="F110" i="5" s="1"/>
  <c r="G110" i="5"/>
  <c r="C110" i="5"/>
  <c r="O109" i="5"/>
  <c r="H109" i="5"/>
  <c r="F109" i="5" s="1"/>
  <c r="G109" i="5"/>
  <c r="C109" i="5"/>
  <c r="O108" i="5"/>
  <c r="H108" i="5"/>
  <c r="G108" i="5"/>
  <c r="F108" i="5"/>
  <c r="C108" i="5"/>
  <c r="O107" i="5"/>
  <c r="H107" i="5"/>
  <c r="F107" i="5" s="1"/>
  <c r="G107" i="5"/>
  <c r="C107" i="5"/>
  <c r="O106" i="5"/>
  <c r="H106" i="5"/>
  <c r="F106" i="5" s="1"/>
  <c r="G106" i="5"/>
  <c r="C106" i="5"/>
  <c r="O105" i="5"/>
  <c r="H105" i="5"/>
  <c r="F105" i="5" s="1"/>
  <c r="G105" i="5"/>
  <c r="C105" i="5"/>
  <c r="O104" i="5"/>
  <c r="G104" i="5"/>
  <c r="O103" i="5"/>
  <c r="H103" i="5"/>
  <c r="G103" i="5"/>
  <c r="F103" i="5"/>
  <c r="C103" i="5"/>
  <c r="O102" i="5"/>
  <c r="H102" i="5"/>
  <c r="F102" i="5" s="1"/>
  <c r="G102" i="5"/>
  <c r="C102" i="5"/>
  <c r="O101" i="5"/>
  <c r="H101" i="5"/>
  <c r="F101" i="5" s="1"/>
  <c r="G101" i="5"/>
  <c r="C101" i="5"/>
  <c r="O100" i="5"/>
  <c r="H100" i="5"/>
  <c r="G100" i="5"/>
  <c r="F100" i="5"/>
  <c r="C100" i="5"/>
  <c r="O99" i="5"/>
  <c r="H99" i="5"/>
  <c r="F99" i="5" s="1"/>
  <c r="G99" i="5"/>
  <c r="C99" i="5"/>
  <c r="O98" i="5"/>
  <c r="H98" i="5"/>
  <c r="F98" i="5" s="1"/>
  <c r="G98" i="5"/>
  <c r="C98" i="5"/>
  <c r="O97" i="5"/>
  <c r="H97" i="5"/>
  <c r="G97" i="5"/>
  <c r="F97" i="5"/>
  <c r="C97" i="5"/>
  <c r="O96" i="5"/>
  <c r="H96" i="5"/>
  <c r="F96" i="5" s="1"/>
  <c r="G96" i="5"/>
  <c r="C96" i="5"/>
  <c r="O95" i="5"/>
  <c r="H95" i="5"/>
  <c r="F95" i="5" s="1"/>
  <c r="G95" i="5"/>
  <c r="C95" i="5"/>
  <c r="O94" i="5"/>
  <c r="H94" i="5"/>
  <c r="G94" i="5"/>
  <c r="F94" i="5"/>
  <c r="C94" i="5"/>
  <c r="O93" i="5"/>
  <c r="H93" i="5"/>
  <c r="F93" i="5" s="1"/>
  <c r="G93" i="5"/>
  <c r="C93" i="5"/>
  <c r="A93" i="5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O92" i="5"/>
  <c r="H92" i="5"/>
  <c r="F92" i="5" s="1"/>
  <c r="G92" i="5"/>
  <c r="C92" i="5"/>
  <c r="O91" i="5"/>
  <c r="H91" i="5"/>
  <c r="F91" i="5" s="1"/>
  <c r="G91" i="5"/>
  <c r="C91" i="5"/>
  <c r="O90" i="5"/>
  <c r="H90" i="5"/>
  <c r="G90" i="5"/>
  <c r="F90" i="5"/>
  <c r="C90" i="5"/>
  <c r="O89" i="5"/>
  <c r="G89" i="5"/>
  <c r="CY88" i="5"/>
  <c r="CX88" i="5"/>
  <c r="CW88" i="5"/>
  <c r="CV88" i="5"/>
  <c r="CU88" i="5"/>
  <c r="CT88" i="5"/>
  <c r="CR88" i="5"/>
  <c r="CP88" i="5"/>
  <c r="CO88" i="5"/>
  <c r="CS88" i="5" s="1"/>
  <c r="CN88" i="5"/>
  <c r="CQ88" i="5" s="1"/>
  <c r="CM88" i="5"/>
  <c r="CL88" i="5"/>
  <c r="CK88" i="5"/>
  <c r="CJ88" i="5"/>
  <c r="CH88" i="5"/>
  <c r="CF88" i="5"/>
  <c r="CE88" i="5"/>
  <c r="CD88" i="5"/>
  <c r="CG88" i="5" s="1"/>
  <c r="CC88" i="5"/>
  <c r="CB88" i="5"/>
  <c r="CA88" i="5"/>
  <c r="BZ88" i="5"/>
  <c r="BY88" i="5"/>
  <c r="BX88" i="5"/>
  <c r="BW88" i="5"/>
  <c r="BV88" i="5"/>
  <c r="BU88" i="5"/>
  <c r="BT88" i="5"/>
  <c r="BS88" i="5"/>
  <c r="BR88" i="5"/>
  <c r="BQ88" i="5"/>
  <c r="BP88" i="5"/>
  <c r="BO88" i="5"/>
  <c r="BN88" i="5"/>
  <c r="BL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R88" i="5"/>
  <c r="AP88" i="5"/>
  <c r="AO88" i="5"/>
  <c r="AN88" i="5"/>
  <c r="AM88" i="5"/>
  <c r="AL88" i="5"/>
  <c r="AK88" i="5"/>
  <c r="AJ88" i="5"/>
  <c r="AI88" i="5"/>
  <c r="AH88" i="5"/>
  <c r="AF88" i="5"/>
  <c r="AD88" i="5"/>
  <c r="AC88" i="5"/>
  <c r="AB88" i="5"/>
  <c r="AA88" i="5"/>
  <c r="Z88" i="5"/>
  <c r="Y88" i="5"/>
  <c r="X88" i="5"/>
  <c r="W88" i="5"/>
  <c r="V88" i="5"/>
  <c r="T88" i="5"/>
  <c r="R88" i="5"/>
  <c r="Q88" i="5"/>
  <c r="P88" i="5"/>
  <c r="N88" i="5"/>
  <c r="M88" i="5"/>
  <c r="L88" i="5"/>
  <c r="K88" i="5"/>
  <c r="J88" i="5"/>
  <c r="I88" i="5"/>
  <c r="E88" i="5"/>
  <c r="D88" i="5"/>
  <c r="CY87" i="5"/>
  <c r="CX87" i="5"/>
  <c r="CW87" i="5"/>
  <c r="CV87" i="5"/>
  <c r="CU87" i="5"/>
  <c r="CT87" i="5"/>
  <c r="CR87" i="5"/>
  <c r="CP87" i="5"/>
  <c r="CO87" i="5"/>
  <c r="CS87" i="5" s="1"/>
  <c r="CN87" i="5"/>
  <c r="CQ87" i="5" s="1"/>
  <c r="CM87" i="5"/>
  <c r="CL87" i="5"/>
  <c r="CK87" i="5"/>
  <c r="CJ87" i="5"/>
  <c r="CH87" i="5"/>
  <c r="CF87" i="5"/>
  <c r="CE87" i="5"/>
  <c r="CD87" i="5"/>
  <c r="CG87" i="5" s="1"/>
  <c r="CC87" i="5"/>
  <c r="CB87" i="5"/>
  <c r="CA87" i="5"/>
  <c r="BZ87" i="5"/>
  <c r="BY87" i="5"/>
  <c r="BX87" i="5"/>
  <c r="BW87" i="5"/>
  <c r="BV87" i="5"/>
  <c r="BU87" i="5"/>
  <c r="BT87" i="5"/>
  <c r="BS87" i="5"/>
  <c r="BR87" i="5"/>
  <c r="BQ87" i="5"/>
  <c r="BP87" i="5"/>
  <c r="BO87" i="5"/>
  <c r="BN87" i="5"/>
  <c r="BL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R87" i="5"/>
  <c r="AP87" i="5"/>
  <c r="AO87" i="5"/>
  <c r="AN87" i="5"/>
  <c r="AM87" i="5"/>
  <c r="AL87" i="5"/>
  <c r="AK87" i="5"/>
  <c r="AJ87" i="5"/>
  <c r="AI87" i="5"/>
  <c r="AH87" i="5"/>
  <c r="AF87" i="5"/>
  <c r="AD87" i="5"/>
  <c r="AC87" i="5"/>
  <c r="AB87" i="5"/>
  <c r="AA87" i="5"/>
  <c r="Z87" i="5"/>
  <c r="Y87" i="5"/>
  <c r="X87" i="5"/>
  <c r="W87" i="5"/>
  <c r="V87" i="5"/>
  <c r="T87" i="5"/>
  <c r="R87" i="5"/>
  <c r="Q87" i="5"/>
  <c r="P87" i="5"/>
  <c r="N87" i="5"/>
  <c r="M87" i="5"/>
  <c r="L87" i="5"/>
  <c r="K87" i="5"/>
  <c r="J87" i="5"/>
  <c r="I87" i="5"/>
  <c r="E87" i="5"/>
  <c r="O87" i="5" s="1"/>
  <c r="D87" i="5"/>
  <c r="CY86" i="5"/>
  <c r="CX86" i="5"/>
  <c r="CW86" i="5"/>
  <c r="CV86" i="5"/>
  <c r="CU86" i="5"/>
  <c r="CT86" i="5"/>
  <c r="CR86" i="5"/>
  <c r="CP86" i="5"/>
  <c r="CO86" i="5"/>
  <c r="CS86" i="5" s="1"/>
  <c r="CN86" i="5"/>
  <c r="CQ86" i="5" s="1"/>
  <c r="CM86" i="5"/>
  <c r="CL86" i="5"/>
  <c r="CK86" i="5"/>
  <c r="CJ86" i="5"/>
  <c r="CH86" i="5"/>
  <c r="CF86" i="5"/>
  <c r="CE86" i="5"/>
  <c r="CD86" i="5"/>
  <c r="CG86" i="5" s="1"/>
  <c r="CC86" i="5"/>
  <c r="CB86" i="5"/>
  <c r="CA86" i="5"/>
  <c r="BZ86" i="5"/>
  <c r="BY86" i="5"/>
  <c r="BX86" i="5"/>
  <c r="BW86" i="5"/>
  <c r="BV86" i="5"/>
  <c r="BU86" i="5"/>
  <c r="BT86" i="5"/>
  <c r="BS86" i="5"/>
  <c r="BR86" i="5"/>
  <c r="BQ86" i="5"/>
  <c r="BP86" i="5"/>
  <c r="BO86" i="5"/>
  <c r="BN86" i="5"/>
  <c r="BL86" i="5"/>
  <c r="BJ86" i="5"/>
  <c r="BI86" i="5"/>
  <c r="BH86" i="5"/>
  <c r="BG86" i="5"/>
  <c r="BF86" i="5"/>
  <c r="BE86" i="5"/>
  <c r="BD86" i="5"/>
  <c r="BC86" i="5"/>
  <c r="BB86" i="5"/>
  <c r="BA86" i="5"/>
  <c r="AZ86" i="5"/>
  <c r="AY86" i="5"/>
  <c r="AX86" i="5"/>
  <c r="AW86" i="5"/>
  <c r="AV86" i="5"/>
  <c r="AU86" i="5"/>
  <c r="AT86" i="5"/>
  <c r="AR86" i="5"/>
  <c r="AP86" i="5"/>
  <c r="AO86" i="5"/>
  <c r="AN86" i="5"/>
  <c r="AM86" i="5"/>
  <c r="AL86" i="5"/>
  <c r="AK86" i="5"/>
  <c r="AJ86" i="5"/>
  <c r="AI86" i="5"/>
  <c r="AH86" i="5"/>
  <c r="AF86" i="5"/>
  <c r="AD86" i="5"/>
  <c r="AC86" i="5"/>
  <c r="AB86" i="5"/>
  <c r="AA86" i="5"/>
  <c r="Z86" i="5"/>
  <c r="Y86" i="5"/>
  <c r="X86" i="5"/>
  <c r="W86" i="5"/>
  <c r="V86" i="5"/>
  <c r="T86" i="5"/>
  <c r="R86" i="5"/>
  <c r="Q86" i="5"/>
  <c r="P86" i="5"/>
  <c r="N86" i="5"/>
  <c r="M86" i="5"/>
  <c r="L86" i="5"/>
  <c r="K86" i="5"/>
  <c r="J86" i="5"/>
  <c r="I86" i="5"/>
  <c r="E86" i="5"/>
  <c r="O86" i="5" s="1"/>
  <c r="D86" i="5"/>
  <c r="CY85" i="5"/>
  <c r="CX85" i="5"/>
  <c r="CW85" i="5"/>
  <c r="CV85" i="5"/>
  <c r="CU85" i="5"/>
  <c r="CT85" i="5"/>
  <c r="CR85" i="5"/>
  <c r="CP85" i="5"/>
  <c r="CO85" i="5"/>
  <c r="CS85" i="5" s="1"/>
  <c r="CN85" i="5"/>
  <c r="CQ85" i="5" s="1"/>
  <c r="CM85" i="5"/>
  <c r="CL85" i="5"/>
  <c r="CK85" i="5"/>
  <c r="CJ85" i="5"/>
  <c r="CH85" i="5"/>
  <c r="CF85" i="5"/>
  <c r="CE85" i="5"/>
  <c r="CD85" i="5"/>
  <c r="CG85" i="5" s="1"/>
  <c r="CC85" i="5"/>
  <c r="CB85" i="5"/>
  <c r="CA85" i="5"/>
  <c r="BZ85" i="5"/>
  <c r="BY85" i="5"/>
  <c r="BX85" i="5"/>
  <c r="BW85" i="5"/>
  <c r="BV85" i="5"/>
  <c r="BU85" i="5"/>
  <c r="BT85" i="5"/>
  <c r="BS85" i="5"/>
  <c r="BR85" i="5"/>
  <c r="BQ85" i="5"/>
  <c r="BP85" i="5"/>
  <c r="BO85" i="5"/>
  <c r="BN85" i="5"/>
  <c r="BL85" i="5"/>
  <c r="BJ85" i="5"/>
  <c r="BI85" i="5"/>
  <c r="BH85" i="5"/>
  <c r="BG85" i="5"/>
  <c r="BF85" i="5"/>
  <c r="BE85" i="5"/>
  <c r="BD85" i="5"/>
  <c r="BC85" i="5"/>
  <c r="BB85" i="5"/>
  <c r="BA85" i="5"/>
  <c r="AZ85" i="5"/>
  <c r="AY85" i="5"/>
  <c r="AX85" i="5"/>
  <c r="AW85" i="5"/>
  <c r="AV85" i="5"/>
  <c r="AU85" i="5"/>
  <c r="AT85" i="5"/>
  <c r="AR85" i="5"/>
  <c r="AP85" i="5"/>
  <c r="AO85" i="5"/>
  <c r="AS85" i="5" s="1"/>
  <c r="AN85" i="5"/>
  <c r="AQ85" i="5" s="1"/>
  <c r="AM85" i="5"/>
  <c r="AL85" i="5"/>
  <c r="AK85" i="5"/>
  <c r="AJ85" i="5"/>
  <c r="AI85" i="5"/>
  <c r="AH85" i="5"/>
  <c r="AF85" i="5"/>
  <c r="AD85" i="5"/>
  <c r="AC85" i="5"/>
  <c r="AG85" i="5" s="1"/>
  <c r="AB85" i="5"/>
  <c r="AE85" i="5" s="1"/>
  <c r="AA85" i="5"/>
  <c r="Z85" i="5"/>
  <c r="Y85" i="5"/>
  <c r="X85" i="5"/>
  <c r="W85" i="5"/>
  <c r="V85" i="5"/>
  <c r="T85" i="5"/>
  <c r="R85" i="5"/>
  <c r="Q85" i="5"/>
  <c r="U85" i="5" s="1"/>
  <c r="P85" i="5"/>
  <c r="S85" i="5" s="1"/>
  <c r="N85" i="5"/>
  <c r="M85" i="5"/>
  <c r="L85" i="5"/>
  <c r="K85" i="5"/>
  <c r="J85" i="5"/>
  <c r="I85" i="5"/>
  <c r="E85" i="5"/>
  <c r="O85" i="5" s="1"/>
  <c r="D85" i="5"/>
  <c r="CY84" i="5"/>
  <c r="CX84" i="5"/>
  <c r="CW84" i="5"/>
  <c r="CV84" i="5"/>
  <c r="CU84" i="5"/>
  <c r="CT84" i="5"/>
  <c r="CR84" i="5"/>
  <c r="CP84" i="5"/>
  <c r="CO84" i="5"/>
  <c r="CS84" i="5" s="1"/>
  <c r="CN84" i="5"/>
  <c r="CQ84" i="5" s="1"/>
  <c r="CM84" i="5"/>
  <c r="CL84" i="5"/>
  <c r="CK84" i="5"/>
  <c r="CJ84" i="5"/>
  <c r="CH84" i="5"/>
  <c r="CF84" i="5"/>
  <c r="CE84" i="5"/>
  <c r="CD84" i="5"/>
  <c r="CG84" i="5" s="1"/>
  <c r="CC84" i="5"/>
  <c r="CB84" i="5"/>
  <c r="CA84" i="5"/>
  <c r="BZ84" i="5"/>
  <c r="BY84" i="5"/>
  <c r="BX84" i="5"/>
  <c r="BW84" i="5"/>
  <c r="BV84" i="5"/>
  <c r="BU84" i="5"/>
  <c r="BT84" i="5"/>
  <c r="BS84" i="5"/>
  <c r="BR84" i="5"/>
  <c r="BQ84" i="5"/>
  <c r="BP84" i="5"/>
  <c r="BO84" i="5"/>
  <c r="BN84" i="5"/>
  <c r="BL84" i="5"/>
  <c r="BJ84" i="5"/>
  <c r="BI84" i="5"/>
  <c r="BH84" i="5"/>
  <c r="BG84" i="5"/>
  <c r="BF84" i="5"/>
  <c r="BE84" i="5"/>
  <c r="BD84" i="5"/>
  <c r="BC84" i="5"/>
  <c r="BB84" i="5"/>
  <c r="BA84" i="5"/>
  <c r="AZ84" i="5"/>
  <c r="AY84" i="5"/>
  <c r="AX84" i="5"/>
  <c r="AW84" i="5"/>
  <c r="AV84" i="5"/>
  <c r="AU84" i="5"/>
  <c r="AT84" i="5"/>
  <c r="AR84" i="5"/>
  <c r="AP84" i="5"/>
  <c r="AO84" i="5"/>
  <c r="AN84" i="5"/>
  <c r="AM84" i="5"/>
  <c r="AL84" i="5"/>
  <c r="AK84" i="5"/>
  <c r="AJ84" i="5"/>
  <c r="AI84" i="5"/>
  <c r="AH84" i="5"/>
  <c r="AF84" i="5"/>
  <c r="AD84" i="5"/>
  <c r="AC84" i="5"/>
  <c r="AB84" i="5"/>
  <c r="AA84" i="5"/>
  <c r="Z84" i="5"/>
  <c r="Y84" i="5"/>
  <c r="X84" i="5"/>
  <c r="W84" i="5"/>
  <c r="V84" i="5"/>
  <c r="T84" i="5"/>
  <c r="R84" i="5"/>
  <c r="Q84" i="5"/>
  <c r="P84" i="5"/>
  <c r="N84" i="5"/>
  <c r="M84" i="5"/>
  <c r="L84" i="5"/>
  <c r="K84" i="5"/>
  <c r="J84" i="5"/>
  <c r="I84" i="5"/>
  <c r="E84" i="5"/>
  <c r="D84" i="5"/>
  <c r="CY83" i="5"/>
  <c r="CX83" i="5"/>
  <c r="CW83" i="5"/>
  <c r="CV83" i="5"/>
  <c r="CU83" i="5"/>
  <c r="CT83" i="5"/>
  <c r="CR83" i="5"/>
  <c r="CP83" i="5"/>
  <c r="CO83" i="5"/>
  <c r="CS83" i="5" s="1"/>
  <c r="CN83" i="5"/>
  <c r="CQ83" i="5" s="1"/>
  <c r="CM83" i="5"/>
  <c r="CL83" i="5"/>
  <c r="CK83" i="5"/>
  <c r="CJ83" i="5"/>
  <c r="CH83" i="5"/>
  <c r="CF83" i="5"/>
  <c r="CE83" i="5"/>
  <c r="CD83" i="5"/>
  <c r="CG83" i="5" s="1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L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R83" i="5"/>
  <c r="AP83" i="5"/>
  <c r="AO83" i="5"/>
  <c r="AS83" i="5" s="1"/>
  <c r="AN83" i="5"/>
  <c r="AQ83" i="5" s="1"/>
  <c r="AM83" i="5"/>
  <c r="AL83" i="5"/>
  <c r="AK83" i="5"/>
  <c r="AJ83" i="5"/>
  <c r="AI83" i="5"/>
  <c r="AH83" i="5"/>
  <c r="AF83" i="5"/>
  <c r="AD83" i="5"/>
  <c r="AC83" i="5"/>
  <c r="AG83" i="5" s="1"/>
  <c r="AB83" i="5"/>
  <c r="AE83" i="5" s="1"/>
  <c r="AA83" i="5"/>
  <c r="Z83" i="5"/>
  <c r="Y83" i="5"/>
  <c r="X83" i="5"/>
  <c r="W83" i="5"/>
  <c r="V83" i="5"/>
  <c r="T83" i="5"/>
  <c r="R83" i="5"/>
  <c r="Q83" i="5"/>
  <c r="U83" i="5" s="1"/>
  <c r="P83" i="5"/>
  <c r="S83" i="5" s="1"/>
  <c r="N83" i="5"/>
  <c r="M83" i="5"/>
  <c r="L83" i="5"/>
  <c r="K83" i="5"/>
  <c r="J83" i="5"/>
  <c r="I83" i="5"/>
  <c r="E83" i="5"/>
  <c r="O83" i="5" s="1"/>
  <c r="D83" i="5"/>
  <c r="CY82" i="5"/>
  <c r="CX82" i="5"/>
  <c r="CW82" i="5"/>
  <c r="CV82" i="5"/>
  <c r="CU82" i="5"/>
  <c r="CT82" i="5"/>
  <c r="CR82" i="5"/>
  <c r="CP82" i="5"/>
  <c r="CO82" i="5"/>
  <c r="CN82" i="5"/>
  <c r="CM82" i="5"/>
  <c r="CL82" i="5"/>
  <c r="CK82" i="5"/>
  <c r="CJ82" i="5"/>
  <c r="CH82" i="5"/>
  <c r="CF82" i="5"/>
  <c r="CE82" i="5"/>
  <c r="CD82" i="5"/>
  <c r="CG82" i="5" s="1"/>
  <c r="CC82" i="5"/>
  <c r="CB82" i="5"/>
  <c r="CA82" i="5"/>
  <c r="BZ82" i="5"/>
  <c r="BY82" i="5"/>
  <c r="BX82" i="5"/>
  <c r="BW82" i="5"/>
  <c r="BV82" i="5"/>
  <c r="BU82" i="5"/>
  <c r="BT82" i="5"/>
  <c r="BS82" i="5"/>
  <c r="BR82" i="5"/>
  <c r="BQ82" i="5"/>
  <c r="BP82" i="5"/>
  <c r="BO82" i="5"/>
  <c r="BN82" i="5"/>
  <c r="BL82" i="5"/>
  <c r="BJ82" i="5"/>
  <c r="BI82" i="5"/>
  <c r="BH82" i="5"/>
  <c r="BG82" i="5"/>
  <c r="BF82" i="5"/>
  <c r="BE82" i="5"/>
  <c r="BD82" i="5"/>
  <c r="BC82" i="5"/>
  <c r="BB82" i="5"/>
  <c r="BA82" i="5"/>
  <c r="AZ82" i="5"/>
  <c r="AY82" i="5"/>
  <c r="AX82" i="5"/>
  <c r="AW82" i="5"/>
  <c r="AV82" i="5"/>
  <c r="AU82" i="5"/>
  <c r="AT82" i="5"/>
  <c r="AR82" i="5"/>
  <c r="AP82" i="5"/>
  <c r="AO82" i="5"/>
  <c r="AN82" i="5"/>
  <c r="AM82" i="5"/>
  <c r="AL82" i="5"/>
  <c r="AK82" i="5"/>
  <c r="AJ82" i="5"/>
  <c r="AI82" i="5"/>
  <c r="AH82" i="5"/>
  <c r="AF82" i="5"/>
  <c r="AD82" i="5"/>
  <c r="AC82" i="5"/>
  <c r="AB82" i="5"/>
  <c r="AA82" i="5"/>
  <c r="Z82" i="5"/>
  <c r="Y82" i="5"/>
  <c r="X82" i="5"/>
  <c r="W82" i="5"/>
  <c r="V82" i="5"/>
  <c r="T82" i="5"/>
  <c r="R82" i="5"/>
  <c r="Q82" i="5"/>
  <c r="P82" i="5"/>
  <c r="N82" i="5"/>
  <c r="M82" i="5"/>
  <c r="L82" i="5"/>
  <c r="K82" i="5"/>
  <c r="J82" i="5"/>
  <c r="I82" i="5"/>
  <c r="E82" i="5"/>
  <c r="D82" i="5"/>
  <c r="CY81" i="5"/>
  <c r="CX81" i="5"/>
  <c r="CW81" i="5"/>
  <c r="CV81" i="5"/>
  <c r="CU81" i="5"/>
  <c r="CT81" i="5"/>
  <c r="CR81" i="5"/>
  <c r="CP81" i="5"/>
  <c r="CO81" i="5"/>
  <c r="CS81" i="5" s="1"/>
  <c r="CN81" i="5"/>
  <c r="CQ81" i="5" s="1"/>
  <c r="CM81" i="5"/>
  <c r="CL81" i="5"/>
  <c r="CK81" i="5"/>
  <c r="CJ81" i="5"/>
  <c r="CH81" i="5"/>
  <c r="CF81" i="5"/>
  <c r="CE81" i="5"/>
  <c r="CD81" i="5"/>
  <c r="CG81" i="5" s="1"/>
  <c r="CC81" i="5"/>
  <c r="CB81" i="5"/>
  <c r="CA81" i="5"/>
  <c r="BZ81" i="5"/>
  <c r="BY81" i="5"/>
  <c r="BX81" i="5"/>
  <c r="BW81" i="5"/>
  <c r="BV81" i="5"/>
  <c r="BU81" i="5"/>
  <c r="BT81" i="5"/>
  <c r="BS81" i="5"/>
  <c r="BR81" i="5"/>
  <c r="BQ81" i="5"/>
  <c r="BP81" i="5"/>
  <c r="BO81" i="5"/>
  <c r="BN81" i="5"/>
  <c r="BL81" i="5"/>
  <c r="BJ81" i="5"/>
  <c r="BI81" i="5"/>
  <c r="BH81" i="5"/>
  <c r="BG81" i="5"/>
  <c r="BF81" i="5"/>
  <c r="BE81" i="5"/>
  <c r="BD81" i="5"/>
  <c r="BC81" i="5"/>
  <c r="BB81" i="5"/>
  <c r="BA81" i="5"/>
  <c r="AZ81" i="5"/>
  <c r="AY81" i="5"/>
  <c r="AX81" i="5"/>
  <c r="AW81" i="5"/>
  <c r="AV81" i="5"/>
  <c r="AU81" i="5"/>
  <c r="AT81" i="5"/>
  <c r="AR81" i="5"/>
  <c r="AP81" i="5"/>
  <c r="AO81" i="5"/>
  <c r="AN81" i="5"/>
  <c r="AM81" i="5"/>
  <c r="AL81" i="5"/>
  <c r="AK81" i="5"/>
  <c r="AJ81" i="5"/>
  <c r="AI81" i="5"/>
  <c r="AH81" i="5"/>
  <c r="AF81" i="5"/>
  <c r="AD81" i="5"/>
  <c r="AC81" i="5"/>
  <c r="AB81" i="5"/>
  <c r="AA81" i="5"/>
  <c r="Z81" i="5"/>
  <c r="Y81" i="5"/>
  <c r="X81" i="5"/>
  <c r="W81" i="5"/>
  <c r="V81" i="5"/>
  <c r="T81" i="5"/>
  <c r="R81" i="5"/>
  <c r="Q81" i="5"/>
  <c r="P81" i="5"/>
  <c r="N81" i="5"/>
  <c r="M81" i="5"/>
  <c r="L81" i="5"/>
  <c r="K81" i="5"/>
  <c r="J81" i="5"/>
  <c r="I81" i="5"/>
  <c r="E81" i="5"/>
  <c r="O81" i="5" s="1"/>
  <c r="D81" i="5"/>
  <c r="CY80" i="5"/>
  <c r="CX80" i="5"/>
  <c r="CW80" i="5"/>
  <c r="CV80" i="5"/>
  <c r="CU80" i="5"/>
  <c r="CT80" i="5"/>
  <c r="CR80" i="5"/>
  <c r="CP80" i="5"/>
  <c r="CO80" i="5"/>
  <c r="CS80" i="5" s="1"/>
  <c r="CN80" i="5"/>
  <c r="CQ80" i="5" s="1"/>
  <c r="CM80" i="5"/>
  <c r="CL80" i="5"/>
  <c r="CK80" i="5"/>
  <c r="CJ80" i="5"/>
  <c r="CH80" i="5"/>
  <c r="CF80" i="5"/>
  <c r="CE80" i="5"/>
  <c r="CD80" i="5"/>
  <c r="CG80" i="5" s="1"/>
  <c r="CC80" i="5"/>
  <c r="CB80" i="5"/>
  <c r="CA80" i="5"/>
  <c r="BZ80" i="5"/>
  <c r="BY80" i="5"/>
  <c r="BX80" i="5"/>
  <c r="BW80" i="5"/>
  <c r="BV80" i="5"/>
  <c r="BU80" i="5"/>
  <c r="BT80" i="5"/>
  <c r="BS80" i="5"/>
  <c r="BR80" i="5"/>
  <c r="BQ80" i="5"/>
  <c r="BP80" i="5"/>
  <c r="BO80" i="5"/>
  <c r="BN80" i="5"/>
  <c r="BL80" i="5"/>
  <c r="BJ80" i="5"/>
  <c r="BI80" i="5"/>
  <c r="BH80" i="5"/>
  <c r="BG80" i="5"/>
  <c r="BF80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R80" i="5"/>
  <c r="AP80" i="5"/>
  <c r="AO80" i="5"/>
  <c r="AN80" i="5"/>
  <c r="AM80" i="5"/>
  <c r="AL80" i="5"/>
  <c r="AK80" i="5"/>
  <c r="AJ80" i="5"/>
  <c r="AI80" i="5"/>
  <c r="AH80" i="5"/>
  <c r="AF80" i="5"/>
  <c r="AD80" i="5"/>
  <c r="AC80" i="5"/>
  <c r="AB80" i="5"/>
  <c r="AA80" i="5"/>
  <c r="Z80" i="5"/>
  <c r="Y80" i="5"/>
  <c r="X80" i="5"/>
  <c r="W80" i="5"/>
  <c r="V80" i="5"/>
  <c r="T80" i="5"/>
  <c r="R80" i="5"/>
  <c r="Q80" i="5"/>
  <c r="P80" i="5"/>
  <c r="N80" i="5"/>
  <c r="M80" i="5"/>
  <c r="L80" i="5"/>
  <c r="K80" i="5"/>
  <c r="J80" i="5"/>
  <c r="I80" i="5"/>
  <c r="E80" i="5"/>
  <c r="O80" i="5" s="1"/>
  <c r="D80" i="5"/>
  <c r="CY79" i="5"/>
  <c r="CX79" i="5"/>
  <c r="CW79" i="5"/>
  <c r="CV79" i="5"/>
  <c r="CU79" i="5"/>
  <c r="CT79" i="5"/>
  <c r="CR79" i="5"/>
  <c r="CP79" i="5"/>
  <c r="CO79" i="5"/>
  <c r="CS79" i="5" s="1"/>
  <c r="CN79" i="5"/>
  <c r="CQ79" i="5" s="1"/>
  <c r="CM79" i="5"/>
  <c r="CL79" i="5"/>
  <c r="CK79" i="5"/>
  <c r="CJ79" i="5"/>
  <c r="CH79" i="5"/>
  <c r="CF79" i="5"/>
  <c r="CE79" i="5"/>
  <c r="CD79" i="5"/>
  <c r="CC79" i="5"/>
  <c r="CB79" i="5"/>
  <c r="CA79" i="5"/>
  <c r="BZ79" i="5"/>
  <c r="BY79" i="5"/>
  <c r="BX79" i="5"/>
  <c r="BW79" i="5"/>
  <c r="BV79" i="5"/>
  <c r="BU79" i="5"/>
  <c r="BT79" i="5"/>
  <c r="BS79" i="5"/>
  <c r="BR79" i="5"/>
  <c r="BQ79" i="5"/>
  <c r="BP79" i="5"/>
  <c r="BO79" i="5"/>
  <c r="BN79" i="5"/>
  <c r="BL79" i="5"/>
  <c r="BJ79" i="5"/>
  <c r="BI79" i="5"/>
  <c r="BH79" i="5"/>
  <c r="BG79" i="5"/>
  <c r="BF79" i="5"/>
  <c r="BE79" i="5"/>
  <c r="BD79" i="5"/>
  <c r="BC79" i="5"/>
  <c r="BB79" i="5"/>
  <c r="BA79" i="5"/>
  <c r="AZ79" i="5"/>
  <c r="AY79" i="5"/>
  <c r="AX79" i="5"/>
  <c r="AW79" i="5"/>
  <c r="AV79" i="5"/>
  <c r="AU79" i="5"/>
  <c r="AT79" i="5"/>
  <c r="AR79" i="5"/>
  <c r="AP79" i="5"/>
  <c r="AO79" i="5"/>
  <c r="AN79" i="5"/>
  <c r="AM79" i="5"/>
  <c r="AL79" i="5"/>
  <c r="AK79" i="5"/>
  <c r="AJ79" i="5"/>
  <c r="AI79" i="5"/>
  <c r="AH79" i="5"/>
  <c r="AF79" i="5"/>
  <c r="AD79" i="5"/>
  <c r="AC79" i="5"/>
  <c r="AB79" i="5"/>
  <c r="AA79" i="5"/>
  <c r="Z79" i="5"/>
  <c r="Y79" i="5"/>
  <c r="X79" i="5"/>
  <c r="W79" i="5"/>
  <c r="V79" i="5"/>
  <c r="T79" i="5"/>
  <c r="R79" i="5"/>
  <c r="Q79" i="5"/>
  <c r="P79" i="5"/>
  <c r="N79" i="5"/>
  <c r="M79" i="5"/>
  <c r="L79" i="5"/>
  <c r="K79" i="5"/>
  <c r="J79" i="5"/>
  <c r="I79" i="5"/>
  <c r="E79" i="5"/>
  <c r="D79" i="5"/>
  <c r="CY78" i="5"/>
  <c r="CX78" i="5"/>
  <c r="CW78" i="5"/>
  <c r="CV78" i="5"/>
  <c r="CU78" i="5"/>
  <c r="CT78" i="5"/>
  <c r="CR78" i="5"/>
  <c r="CP78" i="5"/>
  <c r="CO78" i="5"/>
  <c r="CN78" i="5"/>
  <c r="CM78" i="5"/>
  <c r="CL78" i="5"/>
  <c r="CK78" i="5"/>
  <c r="CJ78" i="5"/>
  <c r="CH78" i="5"/>
  <c r="CF78" i="5"/>
  <c r="CE78" i="5"/>
  <c r="CD78" i="5"/>
  <c r="CG78" i="5" s="1"/>
  <c r="CC78" i="5"/>
  <c r="CB78" i="5"/>
  <c r="CA78" i="5"/>
  <c r="BZ78" i="5"/>
  <c r="BY78" i="5"/>
  <c r="BX78" i="5"/>
  <c r="BW78" i="5"/>
  <c r="BV78" i="5"/>
  <c r="BU78" i="5"/>
  <c r="BT78" i="5"/>
  <c r="BS78" i="5"/>
  <c r="BR78" i="5"/>
  <c r="BQ78" i="5"/>
  <c r="BP78" i="5"/>
  <c r="BO78" i="5"/>
  <c r="BN78" i="5"/>
  <c r="BL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R78" i="5"/>
  <c r="AP78" i="5"/>
  <c r="AO78" i="5"/>
  <c r="AN78" i="5"/>
  <c r="AM78" i="5"/>
  <c r="AL78" i="5"/>
  <c r="AK78" i="5"/>
  <c r="AJ78" i="5"/>
  <c r="AI78" i="5"/>
  <c r="AH78" i="5"/>
  <c r="AF78" i="5"/>
  <c r="AD78" i="5"/>
  <c r="AC78" i="5"/>
  <c r="AB78" i="5"/>
  <c r="AA78" i="5"/>
  <c r="Z78" i="5"/>
  <c r="Y78" i="5"/>
  <c r="X78" i="5"/>
  <c r="W78" i="5"/>
  <c r="V78" i="5"/>
  <c r="T78" i="5"/>
  <c r="R78" i="5"/>
  <c r="Q78" i="5"/>
  <c r="P78" i="5"/>
  <c r="N78" i="5"/>
  <c r="M78" i="5"/>
  <c r="L78" i="5"/>
  <c r="K78" i="5"/>
  <c r="J78" i="5"/>
  <c r="I78" i="5"/>
  <c r="E78" i="5"/>
  <c r="O78" i="5" s="1"/>
  <c r="D78" i="5"/>
  <c r="CY77" i="5"/>
  <c r="CX77" i="5"/>
  <c r="CW77" i="5"/>
  <c r="CV77" i="5"/>
  <c r="CU77" i="5"/>
  <c r="CT77" i="5"/>
  <c r="CR77" i="5"/>
  <c r="CP77" i="5"/>
  <c r="CO77" i="5"/>
  <c r="CN77" i="5"/>
  <c r="CM77" i="5"/>
  <c r="CL77" i="5"/>
  <c r="CK77" i="5"/>
  <c r="CJ77" i="5"/>
  <c r="CH77" i="5"/>
  <c r="CF77" i="5"/>
  <c r="CE77" i="5"/>
  <c r="CD77" i="5"/>
  <c r="CG77" i="5" s="1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L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R77" i="5"/>
  <c r="AP77" i="5"/>
  <c r="AO77" i="5"/>
  <c r="AN77" i="5"/>
  <c r="AM77" i="5"/>
  <c r="AL77" i="5"/>
  <c r="AK77" i="5"/>
  <c r="AJ77" i="5"/>
  <c r="AI77" i="5"/>
  <c r="AH77" i="5"/>
  <c r="AF77" i="5"/>
  <c r="AD77" i="5"/>
  <c r="AC77" i="5"/>
  <c r="AB77" i="5"/>
  <c r="AA77" i="5"/>
  <c r="Z77" i="5"/>
  <c r="Y77" i="5"/>
  <c r="X77" i="5"/>
  <c r="W77" i="5"/>
  <c r="V77" i="5"/>
  <c r="T77" i="5"/>
  <c r="R77" i="5"/>
  <c r="Q77" i="5"/>
  <c r="P77" i="5"/>
  <c r="N77" i="5"/>
  <c r="M77" i="5"/>
  <c r="L77" i="5"/>
  <c r="K77" i="5"/>
  <c r="J77" i="5"/>
  <c r="I77" i="5"/>
  <c r="E77" i="5"/>
  <c r="O77" i="5" s="1"/>
  <c r="D77" i="5"/>
  <c r="CY76" i="5"/>
  <c r="CX76" i="5"/>
  <c r="CW76" i="5"/>
  <c r="CV76" i="5"/>
  <c r="CU76" i="5"/>
  <c r="CT76" i="5"/>
  <c r="CR76" i="5"/>
  <c r="CP76" i="5"/>
  <c r="CO76" i="5"/>
  <c r="CS76" i="5" s="1"/>
  <c r="CN76" i="5"/>
  <c r="CQ76" i="5" s="1"/>
  <c r="CM76" i="5"/>
  <c r="CL76" i="5"/>
  <c r="CK76" i="5"/>
  <c r="CJ76" i="5"/>
  <c r="CH76" i="5"/>
  <c r="CF76" i="5"/>
  <c r="CE76" i="5"/>
  <c r="CD76" i="5"/>
  <c r="CG76" i="5" s="1"/>
  <c r="CC76" i="5"/>
  <c r="CB76" i="5"/>
  <c r="CA76" i="5"/>
  <c r="BZ76" i="5"/>
  <c r="BY76" i="5"/>
  <c r="BX76" i="5"/>
  <c r="BW76" i="5"/>
  <c r="BV76" i="5"/>
  <c r="BU76" i="5"/>
  <c r="BT76" i="5"/>
  <c r="BS76" i="5"/>
  <c r="BR76" i="5"/>
  <c r="BQ76" i="5"/>
  <c r="BP76" i="5"/>
  <c r="BO76" i="5"/>
  <c r="BN76" i="5"/>
  <c r="BL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R76" i="5"/>
  <c r="AP76" i="5"/>
  <c r="AO76" i="5"/>
  <c r="AN76" i="5"/>
  <c r="AM76" i="5"/>
  <c r="AL76" i="5"/>
  <c r="AK76" i="5"/>
  <c r="AJ76" i="5"/>
  <c r="AI76" i="5"/>
  <c r="AH76" i="5"/>
  <c r="AF76" i="5"/>
  <c r="AD76" i="5"/>
  <c r="AC76" i="5"/>
  <c r="AB76" i="5"/>
  <c r="AA76" i="5"/>
  <c r="Z76" i="5"/>
  <c r="Y76" i="5"/>
  <c r="X76" i="5"/>
  <c r="W76" i="5"/>
  <c r="V76" i="5"/>
  <c r="T76" i="5"/>
  <c r="R76" i="5"/>
  <c r="Q76" i="5"/>
  <c r="P76" i="5"/>
  <c r="N76" i="5"/>
  <c r="M76" i="5"/>
  <c r="L76" i="5"/>
  <c r="K76" i="5"/>
  <c r="J76" i="5"/>
  <c r="I76" i="5"/>
  <c r="E76" i="5"/>
  <c r="O76" i="5" s="1"/>
  <c r="D76" i="5"/>
  <c r="CY75" i="5"/>
  <c r="CX75" i="5"/>
  <c r="CW75" i="5"/>
  <c r="CV75" i="5"/>
  <c r="CU75" i="5"/>
  <c r="CT75" i="5"/>
  <c r="CR75" i="5"/>
  <c r="CP75" i="5"/>
  <c r="CO75" i="5"/>
  <c r="CN75" i="5"/>
  <c r="CM75" i="5"/>
  <c r="CL75" i="5"/>
  <c r="CK75" i="5"/>
  <c r="CJ75" i="5"/>
  <c r="CH75" i="5"/>
  <c r="CF75" i="5"/>
  <c r="CE75" i="5"/>
  <c r="CD75" i="5"/>
  <c r="CG75" i="5" s="1"/>
  <c r="CC75" i="5"/>
  <c r="CB75" i="5"/>
  <c r="CA75" i="5"/>
  <c r="BZ75" i="5"/>
  <c r="BY75" i="5"/>
  <c r="BX75" i="5"/>
  <c r="BW75" i="5"/>
  <c r="BV75" i="5"/>
  <c r="BU75" i="5"/>
  <c r="BT75" i="5"/>
  <c r="BS75" i="5"/>
  <c r="BR75" i="5"/>
  <c r="BQ75" i="5"/>
  <c r="BP75" i="5"/>
  <c r="BO75" i="5"/>
  <c r="BN75" i="5"/>
  <c r="BL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R75" i="5"/>
  <c r="AP75" i="5"/>
  <c r="AO75" i="5"/>
  <c r="AN75" i="5"/>
  <c r="AM75" i="5"/>
  <c r="AL75" i="5"/>
  <c r="AK75" i="5"/>
  <c r="AJ75" i="5"/>
  <c r="AI75" i="5"/>
  <c r="AH75" i="5"/>
  <c r="AF75" i="5"/>
  <c r="AD75" i="5"/>
  <c r="AC75" i="5"/>
  <c r="AB75" i="5"/>
  <c r="AA75" i="5"/>
  <c r="Z75" i="5"/>
  <c r="Y75" i="5"/>
  <c r="X75" i="5"/>
  <c r="W75" i="5"/>
  <c r="V75" i="5"/>
  <c r="T75" i="5"/>
  <c r="R75" i="5"/>
  <c r="Q75" i="5"/>
  <c r="P75" i="5"/>
  <c r="N75" i="5"/>
  <c r="L75" i="5"/>
  <c r="K75" i="5"/>
  <c r="J75" i="5"/>
  <c r="I75" i="5"/>
  <c r="E75" i="5"/>
  <c r="O75" i="5" s="1"/>
  <c r="D75" i="5"/>
  <c r="CY73" i="5"/>
  <c r="CX73" i="5"/>
  <c r="CW73" i="5"/>
  <c r="CV73" i="5"/>
  <c r="CU73" i="5"/>
  <c r="CT73" i="5"/>
  <c r="CR73" i="5"/>
  <c r="CP73" i="5"/>
  <c r="CO73" i="5"/>
  <c r="CS73" i="5" s="1"/>
  <c r="CN73" i="5"/>
  <c r="CQ73" i="5" s="1"/>
  <c r="CM73" i="5"/>
  <c r="CL73" i="5"/>
  <c r="CK73" i="5"/>
  <c r="CJ73" i="5"/>
  <c r="CH73" i="5"/>
  <c r="CF73" i="5"/>
  <c r="CE73" i="5"/>
  <c r="CD73" i="5"/>
  <c r="CG73" i="5" s="1"/>
  <c r="CC73" i="5"/>
  <c r="CB73" i="5"/>
  <c r="CA73" i="5"/>
  <c r="BZ73" i="5"/>
  <c r="BY73" i="5"/>
  <c r="BX73" i="5"/>
  <c r="BW73" i="5"/>
  <c r="BV73" i="5"/>
  <c r="BU73" i="5"/>
  <c r="BT73" i="5"/>
  <c r="BS73" i="5"/>
  <c r="BR73" i="5"/>
  <c r="BQ73" i="5"/>
  <c r="BP73" i="5"/>
  <c r="BO73" i="5"/>
  <c r="BN73" i="5"/>
  <c r="BL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R73" i="5"/>
  <c r="AP73" i="5"/>
  <c r="AO73" i="5"/>
  <c r="AS73" i="5" s="1"/>
  <c r="AN73" i="5"/>
  <c r="AQ73" i="5" s="1"/>
  <c r="AM73" i="5"/>
  <c r="AL73" i="5"/>
  <c r="AK73" i="5"/>
  <c r="AJ73" i="5"/>
  <c r="AI73" i="5"/>
  <c r="AH73" i="5"/>
  <c r="AF73" i="5"/>
  <c r="AD73" i="5"/>
  <c r="AC73" i="5"/>
  <c r="AG73" i="5" s="1"/>
  <c r="AB73" i="5"/>
  <c r="AE73" i="5" s="1"/>
  <c r="AA73" i="5"/>
  <c r="Z73" i="5"/>
  <c r="Y73" i="5"/>
  <c r="X73" i="5"/>
  <c r="W73" i="5"/>
  <c r="V73" i="5"/>
  <c r="T73" i="5"/>
  <c r="R73" i="5"/>
  <c r="Q73" i="5"/>
  <c r="U73" i="5" s="1"/>
  <c r="P73" i="5"/>
  <c r="S73" i="5" s="1"/>
  <c r="N73" i="5"/>
  <c r="M73" i="5"/>
  <c r="L73" i="5"/>
  <c r="K73" i="5"/>
  <c r="J73" i="5"/>
  <c r="I73" i="5"/>
  <c r="E73" i="5"/>
  <c r="O73" i="5" s="1"/>
  <c r="D73" i="5"/>
  <c r="CY72" i="5"/>
  <c r="CX72" i="5"/>
  <c r="CW72" i="5"/>
  <c r="CV72" i="5"/>
  <c r="CU72" i="5"/>
  <c r="CT72" i="5"/>
  <c r="CR72" i="5"/>
  <c r="CP72" i="5"/>
  <c r="CO72" i="5"/>
  <c r="CS72" i="5" s="1"/>
  <c r="CN72" i="5"/>
  <c r="CQ72" i="5" s="1"/>
  <c r="CM72" i="5"/>
  <c r="CL72" i="5"/>
  <c r="CK72" i="5"/>
  <c r="CJ72" i="5"/>
  <c r="CH72" i="5"/>
  <c r="CF72" i="5"/>
  <c r="CE72" i="5"/>
  <c r="CD72" i="5"/>
  <c r="CG72" i="5" s="1"/>
  <c r="CC72" i="5"/>
  <c r="CB72" i="5"/>
  <c r="CA72" i="5"/>
  <c r="BZ72" i="5"/>
  <c r="BY72" i="5"/>
  <c r="BX72" i="5"/>
  <c r="BW72" i="5"/>
  <c r="BV72" i="5"/>
  <c r="BU72" i="5"/>
  <c r="BT72" i="5"/>
  <c r="BS72" i="5"/>
  <c r="BR72" i="5"/>
  <c r="BQ72" i="5"/>
  <c r="BP72" i="5"/>
  <c r="BO72" i="5"/>
  <c r="BN72" i="5"/>
  <c r="BL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R72" i="5"/>
  <c r="AP72" i="5"/>
  <c r="AO72" i="5"/>
  <c r="AN72" i="5"/>
  <c r="AM72" i="5"/>
  <c r="AL72" i="5"/>
  <c r="AK72" i="5"/>
  <c r="AJ72" i="5"/>
  <c r="AI72" i="5"/>
  <c r="AH72" i="5"/>
  <c r="AF72" i="5"/>
  <c r="AD72" i="5"/>
  <c r="AC72" i="5"/>
  <c r="AB72" i="5"/>
  <c r="AA72" i="5"/>
  <c r="Z72" i="5"/>
  <c r="Y72" i="5"/>
  <c r="X72" i="5"/>
  <c r="W72" i="5"/>
  <c r="V72" i="5"/>
  <c r="T72" i="5"/>
  <c r="R72" i="5"/>
  <c r="Q72" i="5"/>
  <c r="P72" i="5"/>
  <c r="N72" i="5"/>
  <c r="M72" i="5"/>
  <c r="L72" i="5"/>
  <c r="K72" i="5"/>
  <c r="J72" i="5"/>
  <c r="I72" i="5"/>
  <c r="E72" i="5"/>
  <c r="O72" i="5" s="1"/>
  <c r="D72" i="5"/>
  <c r="CY71" i="5"/>
  <c r="CX71" i="5"/>
  <c r="CW71" i="5"/>
  <c r="CV71" i="5"/>
  <c r="CU71" i="5"/>
  <c r="CT71" i="5"/>
  <c r="CR71" i="5"/>
  <c r="CP71" i="5"/>
  <c r="CO71" i="5"/>
  <c r="CS71" i="5" s="1"/>
  <c r="CN71" i="5"/>
  <c r="CQ71" i="5" s="1"/>
  <c r="CM71" i="5"/>
  <c r="CL71" i="5"/>
  <c r="CK71" i="5"/>
  <c r="CJ71" i="5"/>
  <c r="CH71" i="5"/>
  <c r="CF71" i="5"/>
  <c r="CE71" i="5"/>
  <c r="CD71" i="5"/>
  <c r="CG71" i="5" s="1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L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R71" i="5"/>
  <c r="AP71" i="5"/>
  <c r="AO71" i="5"/>
  <c r="AS71" i="5" s="1"/>
  <c r="AN71" i="5"/>
  <c r="AQ71" i="5" s="1"/>
  <c r="AM71" i="5"/>
  <c r="AL71" i="5"/>
  <c r="AK71" i="5"/>
  <c r="AJ71" i="5"/>
  <c r="AI71" i="5"/>
  <c r="AH71" i="5"/>
  <c r="AF71" i="5"/>
  <c r="AD71" i="5"/>
  <c r="AC71" i="5"/>
  <c r="AG71" i="5" s="1"/>
  <c r="AB71" i="5"/>
  <c r="AE71" i="5" s="1"/>
  <c r="AA71" i="5"/>
  <c r="Z71" i="5"/>
  <c r="Y71" i="5"/>
  <c r="X71" i="5"/>
  <c r="W71" i="5"/>
  <c r="V71" i="5"/>
  <c r="T71" i="5"/>
  <c r="R71" i="5"/>
  <c r="Q71" i="5"/>
  <c r="U71" i="5" s="1"/>
  <c r="P71" i="5"/>
  <c r="S71" i="5" s="1"/>
  <c r="N71" i="5"/>
  <c r="M71" i="5"/>
  <c r="L71" i="5"/>
  <c r="K71" i="5"/>
  <c r="J71" i="5"/>
  <c r="I71" i="5"/>
  <c r="E71" i="5"/>
  <c r="O71" i="5" s="1"/>
  <c r="D71" i="5"/>
  <c r="CY70" i="5"/>
  <c r="CX70" i="5"/>
  <c r="CW70" i="5"/>
  <c r="CV70" i="5"/>
  <c r="CU70" i="5"/>
  <c r="CT70" i="5"/>
  <c r="CR70" i="5"/>
  <c r="CP70" i="5"/>
  <c r="CO70" i="5"/>
  <c r="CS70" i="5" s="1"/>
  <c r="CN70" i="5"/>
  <c r="CQ70" i="5" s="1"/>
  <c r="CM70" i="5"/>
  <c r="CL70" i="5"/>
  <c r="CK70" i="5"/>
  <c r="CJ70" i="5"/>
  <c r="CH70" i="5"/>
  <c r="CF70" i="5"/>
  <c r="CE70" i="5"/>
  <c r="CD70" i="5"/>
  <c r="CG70" i="5" s="1"/>
  <c r="CC70" i="5"/>
  <c r="CB70" i="5"/>
  <c r="CA70" i="5"/>
  <c r="BZ70" i="5"/>
  <c r="BY70" i="5"/>
  <c r="BX70" i="5"/>
  <c r="BW70" i="5"/>
  <c r="BV70" i="5"/>
  <c r="BU70" i="5"/>
  <c r="BT70" i="5"/>
  <c r="BS70" i="5"/>
  <c r="BR70" i="5"/>
  <c r="BQ70" i="5"/>
  <c r="BP70" i="5"/>
  <c r="BO70" i="5"/>
  <c r="BN70" i="5"/>
  <c r="BL70" i="5"/>
  <c r="BJ70" i="5"/>
  <c r="BI70" i="5"/>
  <c r="BH70" i="5"/>
  <c r="BG70" i="5"/>
  <c r="BF70" i="5"/>
  <c r="BE70" i="5"/>
  <c r="BD70" i="5"/>
  <c r="BC70" i="5"/>
  <c r="BB70" i="5"/>
  <c r="BA70" i="5"/>
  <c r="AZ70" i="5"/>
  <c r="AY70" i="5"/>
  <c r="AX70" i="5"/>
  <c r="AW70" i="5"/>
  <c r="AV70" i="5"/>
  <c r="AU70" i="5"/>
  <c r="AT70" i="5"/>
  <c r="AR70" i="5"/>
  <c r="AP70" i="5"/>
  <c r="AO70" i="5"/>
  <c r="AS70" i="5" s="1"/>
  <c r="AN70" i="5"/>
  <c r="AQ70" i="5" s="1"/>
  <c r="AM70" i="5"/>
  <c r="AL70" i="5"/>
  <c r="AK70" i="5"/>
  <c r="AJ70" i="5"/>
  <c r="AI70" i="5"/>
  <c r="AH70" i="5"/>
  <c r="AF70" i="5"/>
  <c r="AD70" i="5"/>
  <c r="AC70" i="5"/>
  <c r="AG70" i="5" s="1"/>
  <c r="AB70" i="5"/>
  <c r="AE70" i="5" s="1"/>
  <c r="AA70" i="5"/>
  <c r="Z70" i="5"/>
  <c r="Y70" i="5"/>
  <c r="X70" i="5"/>
  <c r="W70" i="5"/>
  <c r="V70" i="5"/>
  <c r="T70" i="5"/>
  <c r="R70" i="5"/>
  <c r="Q70" i="5"/>
  <c r="U70" i="5" s="1"/>
  <c r="P70" i="5"/>
  <c r="S70" i="5" s="1"/>
  <c r="N70" i="5"/>
  <c r="M70" i="5"/>
  <c r="L70" i="5"/>
  <c r="K70" i="5"/>
  <c r="J70" i="5"/>
  <c r="I70" i="5"/>
  <c r="E70" i="5"/>
  <c r="O70" i="5" s="1"/>
  <c r="D70" i="5"/>
  <c r="CY69" i="5"/>
  <c r="CX69" i="5"/>
  <c r="CW69" i="5"/>
  <c r="CV69" i="5"/>
  <c r="CU69" i="5"/>
  <c r="CT69" i="5"/>
  <c r="CR69" i="5"/>
  <c r="CP69" i="5"/>
  <c r="CO69" i="5"/>
  <c r="CS69" i="5" s="1"/>
  <c r="CN69" i="5"/>
  <c r="CQ69" i="5" s="1"/>
  <c r="CM69" i="5"/>
  <c r="CL69" i="5"/>
  <c r="CK69" i="5"/>
  <c r="CJ69" i="5"/>
  <c r="CH69" i="5"/>
  <c r="CF69" i="5"/>
  <c r="CE69" i="5"/>
  <c r="CD69" i="5"/>
  <c r="CG69" i="5" s="1"/>
  <c r="CC69" i="5"/>
  <c r="CB69" i="5"/>
  <c r="CA69" i="5"/>
  <c r="BZ69" i="5"/>
  <c r="BY69" i="5"/>
  <c r="BX69" i="5"/>
  <c r="BW69" i="5"/>
  <c r="BV69" i="5"/>
  <c r="BU69" i="5"/>
  <c r="BT69" i="5"/>
  <c r="BS69" i="5"/>
  <c r="BR69" i="5"/>
  <c r="BQ69" i="5"/>
  <c r="BP69" i="5"/>
  <c r="BO69" i="5"/>
  <c r="BN69" i="5"/>
  <c r="BL69" i="5"/>
  <c r="BJ69" i="5"/>
  <c r="BI69" i="5"/>
  <c r="BH69" i="5"/>
  <c r="BG69" i="5"/>
  <c r="BF69" i="5"/>
  <c r="BE69" i="5"/>
  <c r="BD69" i="5"/>
  <c r="BC69" i="5"/>
  <c r="BB69" i="5"/>
  <c r="BA69" i="5"/>
  <c r="AZ69" i="5"/>
  <c r="AY69" i="5"/>
  <c r="AX69" i="5"/>
  <c r="AW69" i="5"/>
  <c r="AV69" i="5"/>
  <c r="AU69" i="5"/>
  <c r="AT69" i="5"/>
  <c r="AR69" i="5"/>
  <c r="AP69" i="5"/>
  <c r="AO69" i="5"/>
  <c r="AN69" i="5"/>
  <c r="AM69" i="5"/>
  <c r="AL69" i="5"/>
  <c r="AK69" i="5"/>
  <c r="AJ69" i="5"/>
  <c r="AI69" i="5"/>
  <c r="AH69" i="5"/>
  <c r="AF69" i="5"/>
  <c r="AD69" i="5"/>
  <c r="AC69" i="5"/>
  <c r="AB69" i="5"/>
  <c r="AA69" i="5"/>
  <c r="Z69" i="5"/>
  <c r="Y69" i="5"/>
  <c r="X69" i="5"/>
  <c r="W69" i="5"/>
  <c r="V69" i="5"/>
  <c r="T69" i="5"/>
  <c r="R69" i="5"/>
  <c r="Q69" i="5"/>
  <c r="P69" i="5"/>
  <c r="N69" i="5"/>
  <c r="M69" i="5"/>
  <c r="L69" i="5"/>
  <c r="K69" i="5"/>
  <c r="J69" i="5"/>
  <c r="I69" i="5"/>
  <c r="E69" i="5"/>
  <c r="O69" i="5" s="1"/>
  <c r="D69" i="5"/>
  <c r="CY68" i="5"/>
  <c r="CX68" i="5"/>
  <c r="CW68" i="5"/>
  <c r="CV68" i="5"/>
  <c r="CU68" i="5"/>
  <c r="CT68" i="5"/>
  <c r="CR68" i="5"/>
  <c r="CP68" i="5"/>
  <c r="CO68" i="5"/>
  <c r="CN68" i="5"/>
  <c r="CM68" i="5"/>
  <c r="CL68" i="5"/>
  <c r="CK68" i="5"/>
  <c r="CJ68" i="5"/>
  <c r="CH68" i="5"/>
  <c r="CF68" i="5"/>
  <c r="CE68" i="5"/>
  <c r="CD68" i="5"/>
  <c r="CG68" i="5" s="1"/>
  <c r="CC68" i="5"/>
  <c r="CB68" i="5"/>
  <c r="CA68" i="5"/>
  <c r="BZ68" i="5"/>
  <c r="BY68" i="5"/>
  <c r="BX68" i="5"/>
  <c r="BW68" i="5"/>
  <c r="BV68" i="5"/>
  <c r="BU68" i="5"/>
  <c r="BT68" i="5"/>
  <c r="BS68" i="5"/>
  <c r="BR68" i="5"/>
  <c r="BQ68" i="5"/>
  <c r="BP68" i="5"/>
  <c r="BO68" i="5"/>
  <c r="BN68" i="5"/>
  <c r="BL68" i="5"/>
  <c r="BJ68" i="5"/>
  <c r="BI68" i="5"/>
  <c r="BH68" i="5"/>
  <c r="BG68" i="5"/>
  <c r="BF68" i="5"/>
  <c r="BE68" i="5"/>
  <c r="BD68" i="5"/>
  <c r="BC68" i="5"/>
  <c r="BB68" i="5"/>
  <c r="BA68" i="5"/>
  <c r="AZ68" i="5"/>
  <c r="AY68" i="5"/>
  <c r="AX68" i="5"/>
  <c r="AW68" i="5"/>
  <c r="AV68" i="5"/>
  <c r="AU68" i="5"/>
  <c r="AT68" i="5"/>
  <c r="AR68" i="5"/>
  <c r="AP68" i="5"/>
  <c r="AO68" i="5"/>
  <c r="AN68" i="5"/>
  <c r="AM68" i="5"/>
  <c r="AL68" i="5"/>
  <c r="AK68" i="5"/>
  <c r="AJ68" i="5"/>
  <c r="AI68" i="5"/>
  <c r="AH68" i="5"/>
  <c r="AF68" i="5"/>
  <c r="AD68" i="5"/>
  <c r="AC68" i="5"/>
  <c r="AB68" i="5"/>
  <c r="AA68" i="5"/>
  <c r="Z68" i="5"/>
  <c r="Y68" i="5"/>
  <c r="X68" i="5"/>
  <c r="W68" i="5"/>
  <c r="V68" i="5"/>
  <c r="T68" i="5"/>
  <c r="R68" i="5"/>
  <c r="Q68" i="5"/>
  <c r="P68" i="5"/>
  <c r="N68" i="5"/>
  <c r="M68" i="5"/>
  <c r="L68" i="5"/>
  <c r="K68" i="5"/>
  <c r="J68" i="5"/>
  <c r="I68" i="5"/>
  <c r="E68" i="5"/>
  <c r="O68" i="5" s="1"/>
  <c r="D68" i="5"/>
  <c r="CY67" i="5"/>
  <c r="CX67" i="5"/>
  <c r="CW67" i="5"/>
  <c r="CV67" i="5"/>
  <c r="CU67" i="5"/>
  <c r="CT67" i="5"/>
  <c r="CR67" i="5"/>
  <c r="CP67" i="5"/>
  <c r="CO67" i="5"/>
  <c r="CS67" i="5" s="1"/>
  <c r="CN67" i="5"/>
  <c r="CQ67" i="5" s="1"/>
  <c r="CM67" i="5"/>
  <c r="CL67" i="5"/>
  <c r="CK67" i="5"/>
  <c r="CJ67" i="5"/>
  <c r="CH67" i="5"/>
  <c r="CF67" i="5"/>
  <c r="CE67" i="5"/>
  <c r="CD67" i="5"/>
  <c r="CG67" i="5" s="1"/>
  <c r="CC67" i="5"/>
  <c r="CB67" i="5"/>
  <c r="CA67" i="5"/>
  <c r="BZ67" i="5"/>
  <c r="BY67" i="5"/>
  <c r="BX67" i="5"/>
  <c r="BW67" i="5"/>
  <c r="BV67" i="5"/>
  <c r="BU67" i="5"/>
  <c r="BT67" i="5"/>
  <c r="BS67" i="5"/>
  <c r="BR67" i="5"/>
  <c r="BQ67" i="5"/>
  <c r="BP67" i="5"/>
  <c r="BO67" i="5"/>
  <c r="BN67" i="5"/>
  <c r="BL67" i="5"/>
  <c r="BJ67" i="5"/>
  <c r="BI67" i="5"/>
  <c r="BH67" i="5"/>
  <c r="BG67" i="5"/>
  <c r="BF67" i="5"/>
  <c r="BE67" i="5"/>
  <c r="BD67" i="5"/>
  <c r="BC67" i="5"/>
  <c r="BB67" i="5"/>
  <c r="BA67" i="5"/>
  <c r="AZ67" i="5"/>
  <c r="AY67" i="5"/>
  <c r="AX67" i="5"/>
  <c r="AW67" i="5"/>
  <c r="AV67" i="5"/>
  <c r="AU67" i="5"/>
  <c r="AT67" i="5"/>
  <c r="AR67" i="5"/>
  <c r="AP67" i="5"/>
  <c r="AO67" i="5"/>
  <c r="AS67" i="5" s="1"/>
  <c r="AN67" i="5"/>
  <c r="AQ67" i="5" s="1"/>
  <c r="AM67" i="5"/>
  <c r="AL67" i="5"/>
  <c r="AK67" i="5"/>
  <c r="AJ67" i="5"/>
  <c r="AI67" i="5"/>
  <c r="AH67" i="5"/>
  <c r="AF67" i="5"/>
  <c r="AD67" i="5"/>
  <c r="AC67" i="5"/>
  <c r="AG67" i="5" s="1"/>
  <c r="AB67" i="5"/>
  <c r="AE67" i="5" s="1"/>
  <c r="AA67" i="5"/>
  <c r="Z67" i="5"/>
  <c r="Y67" i="5"/>
  <c r="X67" i="5"/>
  <c r="W67" i="5"/>
  <c r="V67" i="5"/>
  <c r="T67" i="5"/>
  <c r="R67" i="5"/>
  <c r="Q67" i="5"/>
  <c r="U67" i="5" s="1"/>
  <c r="P67" i="5"/>
  <c r="S67" i="5" s="1"/>
  <c r="N67" i="5"/>
  <c r="M67" i="5"/>
  <c r="L67" i="5"/>
  <c r="K67" i="5"/>
  <c r="J67" i="5"/>
  <c r="I67" i="5"/>
  <c r="E67" i="5"/>
  <c r="O67" i="5" s="1"/>
  <c r="D67" i="5"/>
  <c r="CY66" i="5"/>
  <c r="CX66" i="5"/>
  <c r="CW66" i="5"/>
  <c r="CV66" i="5"/>
  <c r="CU66" i="5"/>
  <c r="CT66" i="5"/>
  <c r="CR66" i="5"/>
  <c r="CP66" i="5"/>
  <c r="CO66" i="5"/>
  <c r="CS66" i="5" s="1"/>
  <c r="CN66" i="5"/>
  <c r="CQ66" i="5" s="1"/>
  <c r="CM66" i="5"/>
  <c r="CL66" i="5"/>
  <c r="CK66" i="5"/>
  <c r="CJ66" i="5"/>
  <c r="CH66" i="5"/>
  <c r="CF66" i="5"/>
  <c r="CE66" i="5"/>
  <c r="CD66" i="5"/>
  <c r="CG66" i="5" s="1"/>
  <c r="CC66" i="5"/>
  <c r="CB66" i="5"/>
  <c r="CA66" i="5"/>
  <c r="BZ66" i="5"/>
  <c r="BY66" i="5"/>
  <c r="BX66" i="5"/>
  <c r="BW66" i="5"/>
  <c r="BV66" i="5"/>
  <c r="BU66" i="5"/>
  <c r="BT66" i="5"/>
  <c r="BS66" i="5"/>
  <c r="BR66" i="5"/>
  <c r="BQ66" i="5"/>
  <c r="BP66" i="5"/>
  <c r="BO66" i="5"/>
  <c r="BN66" i="5"/>
  <c r="BL66" i="5"/>
  <c r="BJ66" i="5"/>
  <c r="BI66" i="5"/>
  <c r="BH66" i="5"/>
  <c r="BG66" i="5"/>
  <c r="BF66" i="5"/>
  <c r="BE66" i="5"/>
  <c r="BD66" i="5"/>
  <c r="BC66" i="5"/>
  <c r="BB66" i="5"/>
  <c r="BA66" i="5"/>
  <c r="AZ66" i="5"/>
  <c r="AY66" i="5"/>
  <c r="AX66" i="5"/>
  <c r="AW66" i="5"/>
  <c r="AV66" i="5"/>
  <c r="AU66" i="5"/>
  <c r="AT66" i="5"/>
  <c r="AR66" i="5"/>
  <c r="AP66" i="5"/>
  <c r="AO66" i="5"/>
  <c r="AS66" i="5" s="1"/>
  <c r="AN66" i="5"/>
  <c r="AQ66" i="5" s="1"/>
  <c r="AM66" i="5"/>
  <c r="AL66" i="5"/>
  <c r="AK66" i="5"/>
  <c r="AJ66" i="5"/>
  <c r="AI66" i="5"/>
  <c r="AH66" i="5"/>
  <c r="AF66" i="5"/>
  <c r="AD66" i="5"/>
  <c r="AC66" i="5"/>
  <c r="AG66" i="5" s="1"/>
  <c r="AB66" i="5"/>
  <c r="AE66" i="5" s="1"/>
  <c r="AA66" i="5"/>
  <c r="Z66" i="5"/>
  <c r="Y66" i="5"/>
  <c r="X66" i="5"/>
  <c r="W66" i="5"/>
  <c r="V66" i="5"/>
  <c r="T66" i="5"/>
  <c r="R66" i="5"/>
  <c r="Q66" i="5"/>
  <c r="U66" i="5" s="1"/>
  <c r="P66" i="5"/>
  <c r="S66" i="5" s="1"/>
  <c r="N66" i="5"/>
  <c r="M66" i="5"/>
  <c r="L66" i="5"/>
  <c r="K66" i="5"/>
  <c r="J66" i="5"/>
  <c r="I66" i="5"/>
  <c r="E66" i="5"/>
  <c r="D66" i="5"/>
  <c r="CY65" i="5"/>
  <c r="CX65" i="5"/>
  <c r="CW65" i="5"/>
  <c r="CV65" i="5"/>
  <c r="CU65" i="5"/>
  <c r="CT65" i="5"/>
  <c r="CR65" i="5"/>
  <c r="CP65" i="5"/>
  <c r="CO65" i="5"/>
  <c r="CS65" i="5" s="1"/>
  <c r="CN65" i="5"/>
  <c r="CQ65" i="5" s="1"/>
  <c r="CM65" i="5"/>
  <c r="CL65" i="5"/>
  <c r="CK65" i="5"/>
  <c r="CJ65" i="5"/>
  <c r="CH65" i="5"/>
  <c r="CF65" i="5"/>
  <c r="CE65" i="5"/>
  <c r="CD65" i="5"/>
  <c r="CG65" i="5" s="1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L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R65" i="5"/>
  <c r="AP65" i="5"/>
  <c r="AO65" i="5"/>
  <c r="AS65" i="5" s="1"/>
  <c r="AN65" i="5"/>
  <c r="AQ65" i="5" s="1"/>
  <c r="AM65" i="5"/>
  <c r="AL65" i="5"/>
  <c r="AK65" i="5"/>
  <c r="AJ65" i="5"/>
  <c r="AI65" i="5"/>
  <c r="AH65" i="5"/>
  <c r="AF65" i="5"/>
  <c r="AD65" i="5"/>
  <c r="AC65" i="5"/>
  <c r="AG65" i="5" s="1"/>
  <c r="AB65" i="5"/>
  <c r="AE65" i="5" s="1"/>
  <c r="AA65" i="5"/>
  <c r="Z65" i="5"/>
  <c r="Y65" i="5"/>
  <c r="X65" i="5"/>
  <c r="W65" i="5"/>
  <c r="V65" i="5"/>
  <c r="T65" i="5"/>
  <c r="R65" i="5"/>
  <c r="Q65" i="5"/>
  <c r="U65" i="5" s="1"/>
  <c r="P65" i="5"/>
  <c r="S65" i="5" s="1"/>
  <c r="N65" i="5"/>
  <c r="M65" i="5"/>
  <c r="L65" i="5"/>
  <c r="K65" i="5"/>
  <c r="J65" i="5"/>
  <c r="I65" i="5"/>
  <c r="E65" i="5"/>
  <c r="O65" i="5" s="1"/>
  <c r="D65" i="5"/>
  <c r="CY64" i="5"/>
  <c r="CX64" i="5"/>
  <c r="CW64" i="5"/>
  <c r="CV64" i="5"/>
  <c r="CU64" i="5"/>
  <c r="CT64" i="5"/>
  <c r="CR64" i="5"/>
  <c r="CP64" i="5"/>
  <c r="CO64" i="5"/>
  <c r="CS64" i="5" s="1"/>
  <c r="CN64" i="5"/>
  <c r="CQ64" i="5" s="1"/>
  <c r="CM64" i="5"/>
  <c r="CL64" i="5"/>
  <c r="CK64" i="5"/>
  <c r="CJ64" i="5"/>
  <c r="CH64" i="5"/>
  <c r="CF64" i="5"/>
  <c r="CE64" i="5"/>
  <c r="CD64" i="5"/>
  <c r="CG64" i="5" s="1"/>
  <c r="CC64" i="5"/>
  <c r="CB64" i="5"/>
  <c r="CA64" i="5"/>
  <c r="BZ64" i="5"/>
  <c r="BY64" i="5"/>
  <c r="BX64" i="5"/>
  <c r="BW64" i="5"/>
  <c r="BV64" i="5"/>
  <c r="BU64" i="5"/>
  <c r="BT64" i="5"/>
  <c r="BS64" i="5"/>
  <c r="BR64" i="5"/>
  <c r="BQ64" i="5"/>
  <c r="BP64" i="5"/>
  <c r="BO64" i="5"/>
  <c r="BN64" i="5"/>
  <c r="BL64" i="5"/>
  <c r="BJ64" i="5"/>
  <c r="BI64" i="5"/>
  <c r="BH64" i="5"/>
  <c r="BG64" i="5"/>
  <c r="BF64" i="5"/>
  <c r="BE64" i="5"/>
  <c r="BD64" i="5"/>
  <c r="BC64" i="5"/>
  <c r="BB64" i="5"/>
  <c r="BA64" i="5"/>
  <c r="AZ64" i="5"/>
  <c r="AY64" i="5"/>
  <c r="AX64" i="5"/>
  <c r="AW64" i="5"/>
  <c r="AV64" i="5"/>
  <c r="AU64" i="5"/>
  <c r="AT64" i="5"/>
  <c r="AR64" i="5"/>
  <c r="AP64" i="5"/>
  <c r="AO64" i="5"/>
  <c r="AS64" i="5" s="1"/>
  <c r="AN64" i="5"/>
  <c r="AQ64" i="5" s="1"/>
  <c r="AM64" i="5"/>
  <c r="AL64" i="5"/>
  <c r="AK64" i="5"/>
  <c r="AJ64" i="5"/>
  <c r="AI64" i="5"/>
  <c r="AH64" i="5"/>
  <c r="AF64" i="5"/>
  <c r="AD64" i="5"/>
  <c r="AC64" i="5"/>
  <c r="AG64" i="5" s="1"/>
  <c r="AB64" i="5"/>
  <c r="AE64" i="5" s="1"/>
  <c r="AA64" i="5"/>
  <c r="Z64" i="5"/>
  <c r="Y64" i="5"/>
  <c r="X64" i="5"/>
  <c r="W64" i="5"/>
  <c r="V64" i="5"/>
  <c r="T64" i="5"/>
  <c r="R64" i="5"/>
  <c r="Q64" i="5"/>
  <c r="U64" i="5" s="1"/>
  <c r="P64" i="5"/>
  <c r="S64" i="5" s="1"/>
  <c r="N64" i="5"/>
  <c r="M64" i="5"/>
  <c r="L64" i="5"/>
  <c r="K64" i="5"/>
  <c r="J64" i="5"/>
  <c r="I64" i="5"/>
  <c r="E64" i="5"/>
  <c r="O64" i="5" s="1"/>
  <c r="D64" i="5"/>
  <c r="CY63" i="5"/>
  <c r="CX63" i="5"/>
  <c r="CW63" i="5"/>
  <c r="CV63" i="5"/>
  <c r="CU63" i="5"/>
  <c r="CT63" i="5"/>
  <c r="CR63" i="5"/>
  <c r="CP63" i="5"/>
  <c r="CO63" i="5"/>
  <c r="CS63" i="5" s="1"/>
  <c r="CN63" i="5"/>
  <c r="CQ63" i="5" s="1"/>
  <c r="CM63" i="5"/>
  <c r="CL63" i="5"/>
  <c r="CK63" i="5"/>
  <c r="CJ63" i="5"/>
  <c r="CH63" i="5"/>
  <c r="CF63" i="5"/>
  <c r="CE63" i="5"/>
  <c r="CD63" i="5"/>
  <c r="CG63" i="5" s="1"/>
  <c r="CC63" i="5"/>
  <c r="CB63" i="5"/>
  <c r="CA63" i="5"/>
  <c r="BZ63" i="5"/>
  <c r="BY63" i="5"/>
  <c r="BX63" i="5"/>
  <c r="BW63" i="5"/>
  <c r="BV63" i="5"/>
  <c r="BU63" i="5"/>
  <c r="BT63" i="5"/>
  <c r="BS63" i="5"/>
  <c r="BR63" i="5"/>
  <c r="BQ63" i="5"/>
  <c r="BP63" i="5"/>
  <c r="BO63" i="5"/>
  <c r="BN63" i="5"/>
  <c r="BL63" i="5"/>
  <c r="BJ63" i="5"/>
  <c r="BI63" i="5"/>
  <c r="BH63" i="5"/>
  <c r="BG63" i="5"/>
  <c r="BF63" i="5"/>
  <c r="BE63" i="5"/>
  <c r="BD63" i="5"/>
  <c r="BC63" i="5"/>
  <c r="BB63" i="5"/>
  <c r="BA63" i="5"/>
  <c r="AZ63" i="5"/>
  <c r="AY63" i="5"/>
  <c r="AX63" i="5"/>
  <c r="AW63" i="5"/>
  <c r="AV63" i="5"/>
  <c r="AU63" i="5"/>
  <c r="AT63" i="5"/>
  <c r="AR63" i="5"/>
  <c r="AP63" i="5"/>
  <c r="AO63" i="5"/>
  <c r="AS63" i="5" s="1"/>
  <c r="AN63" i="5"/>
  <c r="AQ63" i="5" s="1"/>
  <c r="AM63" i="5"/>
  <c r="AL63" i="5"/>
  <c r="AK63" i="5"/>
  <c r="AJ63" i="5"/>
  <c r="AI63" i="5"/>
  <c r="AH63" i="5"/>
  <c r="AF63" i="5"/>
  <c r="AD63" i="5"/>
  <c r="AC63" i="5"/>
  <c r="AG63" i="5" s="1"/>
  <c r="AB63" i="5"/>
  <c r="AE63" i="5" s="1"/>
  <c r="AA63" i="5"/>
  <c r="Z63" i="5"/>
  <c r="Y63" i="5"/>
  <c r="X63" i="5"/>
  <c r="W63" i="5"/>
  <c r="V63" i="5"/>
  <c r="T63" i="5"/>
  <c r="R63" i="5"/>
  <c r="Q63" i="5"/>
  <c r="U63" i="5" s="1"/>
  <c r="P63" i="5"/>
  <c r="S63" i="5" s="1"/>
  <c r="N63" i="5"/>
  <c r="M63" i="5"/>
  <c r="L63" i="5"/>
  <c r="K63" i="5"/>
  <c r="J63" i="5"/>
  <c r="I63" i="5"/>
  <c r="E63" i="5"/>
  <c r="O63" i="5" s="1"/>
  <c r="D63" i="5"/>
  <c r="CY62" i="5"/>
  <c r="CX62" i="5"/>
  <c r="CW62" i="5"/>
  <c r="CV62" i="5"/>
  <c r="CU62" i="5"/>
  <c r="CT62" i="5"/>
  <c r="CR62" i="5"/>
  <c r="CP62" i="5"/>
  <c r="CO62" i="5"/>
  <c r="CS62" i="5" s="1"/>
  <c r="CN62" i="5"/>
  <c r="CQ62" i="5" s="1"/>
  <c r="CM62" i="5"/>
  <c r="CL62" i="5"/>
  <c r="CK62" i="5"/>
  <c r="CJ62" i="5"/>
  <c r="CH62" i="5"/>
  <c r="CF62" i="5"/>
  <c r="CE62" i="5"/>
  <c r="CD62" i="5"/>
  <c r="CG62" i="5" s="1"/>
  <c r="CC62" i="5"/>
  <c r="CB62" i="5"/>
  <c r="CA62" i="5"/>
  <c r="BZ62" i="5"/>
  <c r="BY62" i="5"/>
  <c r="BX62" i="5"/>
  <c r="BW62" i="5"/>
  <c r="BV62" i="5"/>
  <c r="BU62" i="5"/>
  <c r="BT62" i="5"/>
  <c r="BS62" i="5"/>
  <c r="BR62" i="5"/>
  <c r="BQ62" i="5"/>
  <c r="BP62" i="5"/>
  <c r="BO62" i="5"/>
  <c r="BN62" i="5"/>
  <c r="BL62" i="5"/>
  <c r="BJ62" i="5"/>
  <c r="BI62" i="5"/>
  <c r="BH62" i="5"/>
  <c r="BG62" i="5"/>
  <c r="BF62" i="5"/>
  <c r="BE62" i="5"/>
  <c r="BD62" i="5"/>
  <c r="BC62" i="5"/>
  <c r="BB62" i="5"/>
  <c r="BA62" i="5"/>
  <c r="AZ62" i="5"/>
  <c r="AY62" i="5"/>
  <c r="AX62" i="5"/>
  <c r="AW62" i="5"/>
  <c r="AV62" i="5"/>
  <c r="AU62" i="5"/>
  <c r="AT62" i="5"/>
  <c r="AR62" i="5"/>
  <c r="AP62" i="5"/>
  <c r="AO62" i="5"/>
  <c r="AN62" i="5"/>
  <c r="AM62" i="5"/>
  <c r="AL62" i="5"/>
  <c r="AK62" i="5"/>
  <c r="AJ62" i="5"/>
  <c r="AI62" i="5"/>
  <c r="AH62" i="5"/>
  <c r="AF62" i="5"/>
  <c r="AD62" i="5"/>
  <c r="AC62" i="5"/>
  <c r="AB62" i="5"/>
  <c r="AA62" i="5"/>
  <c r="Z62" i="5"/>
  <c r="Y62" i="5"/>
  <c r="X62" i="5"/>
  <c r="W62" i="5"/>
  <c r="V62" i="5"/>
  <c r="T62" i="5"/>
  <c r="R62" i="5"/>
  <c r="Q62" i="5"/>
  <c r="P62" i="5"/>
  <c r="N62" i="5"/>
  <c r="M62" i="5"/>
  <c r="L62" i="5"/>
  <c r="K62" i="5"/>
  <c r="J62" i="5"/>
  <c r="I62" i="5"/>
  <c r="E62" i="5"/>
  <c r="O62" i="5" s="1"/>
  <c r="D62" i="5"/>
  <c r="CY61" i="5"/>
  <c r="CX61" i="5"/>
  <c r="CW61" i="5"/>
  <c r="CV61" i="5"/>
  <c r="CU61" i="5"/>
  <c r="CT61" i="5"/>
  <c r="CR61" i="5"/>
  <c r="CP61" i="5"/>
  <c r="CO61" i="5"/>
  <c r="CS61" i="5" s="1"/>
  <c r="CN61" i="5"/>
  <c r="CQ61" i="5" s="1"/>
  <c r="CM61" i="5"/>
  <c r="CL61" i="5"/>
  <c r="CK61" i="5"/>
  <c r="CJ61" i="5"/>
  <c r="CH61" i="5"/>
  <c r="CF61" i="5"/>
  <c r="CE61" i="5"/>
  <c r="CD61" i="5"/>
  <c r="CG61" i="5" s="1"/>
  <c r="CC61" i="5"/>
  <c r="CB61" i="5"/>
  <c r="CA61" i="5"/>
  <c r="BZ61" i="5"/>
  <c r="BY61" i="5"/>
  <c r="BX61" i="5"/>
  <c r="BW61" i="5"/>
  <c r="BV61" i="5"/>
  <c r="BU61" i="5"/>
  <c r="BT61" i="5"/>
  <c r="BS61" i="5"/>
  <c r="BR61" i="5"/>
  <c r="BQ61" i="5"/>
  <c r="BP61" i="5"/>
  <c r="BO61" i="5"/>
  <c r="BN61" i="5"/>
  <c r="BL61" i="5"/>
  <c r="BJ61" i="5"/>
  <c r="BI61" i="5"/>
  <c r="BH61" i="5"/>
  <c r="BG61" i="5"/>
  <c r="BF61" i="5"/>
  <c r="BE61" i="5"/>
  <c r="BD61" i="5"/>
  <c r="BC61" i="5"/>
  <c r="BB61" i="5"/>
  <c r="BA61" i="5"/>
  <c r="AZ61" i="5"/>
  <c r="AY61" i="5"/>
  <c r="AX61" i="5"/>
  <c r="AW61" i="5"/>
  <c r="AV61" i="5"/>
  <c r="AU61" i="5"/>
  <c r="AT61" i="5"/>
  <c r="AR61" i="5"/>
  <c r="AP61" i="5"/>
  <c r="AO61" i="5"/>
  <c r="AS61" i="5" s="1"/>
  <c r="AN61" i="5"/>
  <c r="AQ61" i="5" s="1"/>
  <c r="AM61" i="5"/>
  <c r="AL61" i="5"/>
  <c r="AK61" i="5"/>
  <c r="AJ61" i="5"/>
  <c r="AI61" i="5"/>
  <c r="AH61" i="5"/>
  <c r="AF61" i="5"/>
  <c r="AD61" i="5"/>
  <c r="AC61" i="5"/>
  <c r="AG61" i="5" s="1"/>
  <c r="AB61" i="5"/>
  <c r="AE61" i="5" s="1"/>
  <c r="AA61" i="5"/>
  <c r="Z61" i="5"/>
  <c r="Y61" i="5"/>
  <c r="X61" i="5"/>
  <c r="W61" i="5"/>
  <c r="V61" i="5"/>
  <c r="T61" i="5"/>
  <c r="R61" i="5"/>
  <c r="Q61" i="5"/>
  <c r="U61" i="5" s="1"/>
  <c r="P61" i="5"/>
  <c r="S61" i="5" s="1"/>
  <c r="N61" i="5"/>
  <c r="M61" i="5"/>
  <c r="L61" i="5"/>
  <c r="K61" i="5"/>
  <c r="J61" i="5"/>
  <c r="I61" i="5"/>
  <c r="E61" i="5"/>
  <c r="O61" i="5" s="1"/>
  <c r="D61" i="5"/>
  <c r="CY60" i="5"/>
  <c r="CX60" i="5"/>
  <c r="CW60" i="5"/>
  <c r="CV60" i="5"/>
  <c r="CU60" i="5"/>
  <c r="CT60" i="5"/>
  <c r="CR60" i="5"/>
  <c r="CP60" i="5"/>
  <c r="CO60" i="5"/>
  <c r="CS60" i="5" s="1"/>
  <c r="CN60" i="5"/>
  <c r="CQ60" i="5" s="1"/>
  <c r="CM60" i="5"/>
  <c r="CL60" i="5"/>
  <c r="CK60" i="5"/>
  <c r="CJ60" i="5"/>
  <c r="CH60" i="5"/>
  <c r="CF60" i="5"/>
  <c r="CE60" i="5"/>
  <c r="CD60" i="5"/>
  <c r="CG60" i="5" s="1"/>
  <c r="CC60" i="5"/>
  <c r="CB60" i="5"/>
  <c r="CA60" i="5"/>
  <c r="BZ60" i="5"/>
  <c r="BY60" i="5"/>
  <c r="BX60" i="5"/>
  <c r="BW60" i="5"/>
  <c r="BV60" i="5"/>
  <c r="BU60" i="5"/>
  <c r="BT60" i="5"/>
  <c r="BS60" i="5"/>
  <c r="BR60" i="5"/>
  <c r="BQ60" i="5"/>
  <c r="BP60" i="5"/>
  <c r="BO60" i="5"/>
  <c r="BN60" i="5"/>
  <c r="BL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R60" i="5"/>
  <c r="AP60" i="5"/>
  <c r="AO60" i="5"/>
  <c r="AS60" i="5" s="1"/>
  <c r="AN60" i="5"/>
  <c r="AQ60" i="5" s="1"/>
  <c r="AM60" i="5"/>
  <c r="AL60" i="5"/>
  <c r="AK60" i="5"/>
  <c r="AJ60" i="5"/>
  <c r="AI60" i="5"/>
  <c r="AH60" i="5"/>
  <c r="AF60" i="5"/>
  <c r="AD60" i="5"/>
  <c r="AC60" i="5"/>
  <c r="AG60" i="5" s="1"/>
  <c r="AB60" i="5"/>
  <c r="AE60" i="5" s="1"/>
  <c r="AA60" i="5"/>
  <c r="Z60" i="5"/>
  <c r="Y60" i="5"/>
  <c r="X60" i="5"/>
  <c r="W60" i="5"/>
  <c r="V60" i="5"/>
  <c r="T60" i="5"/>
  <c r="R60" i="5"/>
  <c r="Q60" i="5"/>
  <c r="U60" i="5" s="1"/>
  <c r="P60" i="5"/>
  <c r="S60" i="5" s="1"/>
  <c r="N60" i="5"/>
  <c r="M60" i="5"/>
  <c r="L60" i="5"/>
  <c r="K60" i="5"/>
  <c r="J60" i="5"/>
  <c r="I60" i="5"/>
  <c r="E60" i="5"/>
  <c r="O60" i="5" s="1"/>
  <c r="D60" i="5"/>
  <c r="CY59" i="5"/>
  <c r="CX59" i="5"/>
  <c r="CW59" i="5"/>
  <c r="CV59" i="5"/>
  <c r="CU59" i="5"/>
  <c r="CT59" i="5"/>
  <c r="CR59" i="5"/>
  <c r="CP59" i="5"/>
  <c r="CO59" i="5"/>
  <c r="CS59" i="5" s="1"/>
  <c r="CN59" i="5"/>
  <c r="CQ59" i="5" s="1"/>
  <c r="CM59" i="5"/>
  <c r="CL59" i="5"/>
  <c r="CK59" i="5"/>
  <c r="CJ59" i="5"/>
  <c r="CH59" i="5"/>
  <c r="CF59" i="5"/>
  <c r="CE59" i="5"/>
  <c r="CD59" i="5"/>
  <c r="CG59" i="5" s="1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L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R59" i="5"/>
  <c r="AP59" i="5"/>
  <c r="AO59" i="5"/>
  <c r="AS59" i="5" s="1"/>
  <c r="AN59" i="5"/>
  <c r="AQ59" i="5" s="1"/>
  <c r="AM59" i="5"/>
  <c r="AL59" i="5"/>
  <c r="AK59" i="5"/>
  <c r="AJ59" i="5"/>
  <c r="AI59" i="5"/>
  <c r="AH59" i="5"/>
  <c r="AF59" i="5"/>
  <c r="AD59" i="5"/>
  <c r="AC59" i="5"/>
  <c r="AG59" i="5" s="1"/>
  <c r="AB59" i="5"/>
  <c r="AE59" i="5" s="1"/>
  <c r="AA59" i="5"/>
  <c r="Z59" i="5"/>
  <c r="Y59" i="5"/>
  <c r="X59" i="5"/>
  <c r="W59" i="5"/>
  <c r="V59" i="5"/>
  <c r="T59" i="5"/>
  <c r="R59" i="5"/>
  <c r="Q59" i="5"/>
  <c r="U59" i="5" s="1"/>
  <c r="P59" i="5"/>
  <c r="S59" i="5" s="1"/>
  <c r="N59" i="5"/>
  <c r="M59" i="5"/>
  <c r="L59" i="5"/>
  <c r="K59" i="5"/>
  <c r="J59" i="5"/>
  <c r="I59" i="5"/>
  <c r="E59" i="5"/>
  <c r="O59" i="5" s="1"/>
  <c r="D59" i="5"/>
  <c r="CY58" i="5"/>
  <c r="CX58" i="5"/>
  <c r="CW58" i="5"/>
  <c r="CV58" i="5"/>
  <c r="CU58" i="5"/>
  <c r="CT58" i="5"/>
  <c r="CR58" i="5"/>
  <c r="CP58" i="5"/>
  <c r="CO58" i="5"/>
  <c r="CS58" i="5" s="1"/>
  <c r="CN58" i="5"/>
  <c r="CQ58" i="5" s="1"/>
  <c r="CM58" i="5"/>
  <c r="CL58" i="5"/>
  <c r="CK58" i="5"/>
  <c r="CJ58" i="5"/>
  <c r="CH58" i="5"/>
  <c r="CF58" i="5"/>
  <c r="CE58" i="5"/>
  <c r="CD58" i="5"/>
  <c r="CG58" i="5" s="1"/>
  <c r="CC58" i="5"/>
  <c r="CB58" i="5"/>
  <c r="CA58" i="5"/>
  <c r="BZ58" i="5"/>
  <c r="BY58" i="5"/>
  <c r="BX58" i="5"/>
  <c r="BW58" i="5"/>
  <c r="BV58" i="5"/>
  <c r="BU58" i="5"/>
  <c r="BT58" i="5"/>
  <c r="BS58" i="5"/>
  <c r="BR58" i="5"/>
  <c r="BQ58" i="5"/>
  <c r="BP58" i="5"/>
  <c r="BO58" i="5"/>
  <c r="BN58" i="5"/>
  <c r="BL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R58" i="5"/>
  <c r="AP58" i="5"/>
  <c r="AO58" i="5"/>
  <c r="AS58" i="5" s="1"/>
  <c r="AN58" i="5"/>
  <c r="AQ58" i="5" s="1"/>
  <c r="AM58" i="5"/>
  <c r="AL58" i="5"/>
  <c r="AK58" i="5"/>
  <c r="AJ58" i="5"/>
  <c r="AI58" i="5"/>
  <c r="AH58" i="5"/>
  <c r="AF58" i="5"/>
  <c r="AD58" i="5"/>
  <c r="AC58" i="5"/>
  <c r="AG58" i="5" s="1"/>
  <c r="AB58" i="5"/>
  <c r="AE58" i="5" s="1"/>
  <c r="AA58" i="5"/>
  <c r="Z58" i="5"/>
  <c r="Y58" i="5"/>
  <c r="X58" i="5"/>
  <c r="W58" i="5"/>
  <c r="V58" i="5"/>
  <c r="T58" i="5"/>
  <c r="R58" i="5"/>
  <c r="Q58" i="5"/>
  <c r="U58" i="5" s="1"/>
  <c r="P58" i="5"/>
  <c r="S58" i="5" s="1"/>
  <c r="N58" i="5"/>
  <c r="M58" i="5"/>
  <c r="L58" i="5"/>
  <c r="K58" i="5"/>
  <c r="J58" i="5"/>
  <c r="I58" i="5"/>
  <c r="E58" i="5"/>
  <c r="O58" i="5" s="1"/>
  <c r="D58" i="5"/>
  <c r="CY57" i="5"/>
  <c r="CX57" i="5"/>
  <c r="CW57" i="5"/>
  <c r="CV57" i="5"/>
  <c r="CU57" i="5"/>
  <c r="CT57" i="5"/>
  <c r="CR57" i="5"/>
  <c r="CP57" i="5"/>
  <c r="CO57" i="5"/>
  <c r="CS57" i="5" s="1"/>
  <c r="CN57" i="5"/>
  <c r="CQ57" i="5" s="1"/>
  <c r="CM57" i="5"/>
  <c r="CL57" i="5"/>
  <c r="CK57" i="5"/>
  <c r="CJ57" i="5"/>
  <c r="CH57" i="5"/>
  <c r="CF57" i="5"/>
  <c r="CE57" i="5"/>
  <c r="CD57" i="5"/>
  <c r="CG57" i="5" s="1"/>
  <c r="CC57" i="5"/>
  <c r="CB57" i="5"/>
  <c r="CA57" i="5"/>
  <c r="BZ57" i="5"/>
  <c r="BY57" i="5"/>
  <c r="BX57" i="5"/>
  <c r="BW57" i="5"/>
  <c r="BV57" i="5"/>
  <c r="BU57" i="5"/>
  <c r="BT57" i="5"/>
  <c r="BS57" i="5"/>
  <c r="BR57" i="5"/>
  <c r="BQ57" i="5"/>
  <c r="BP57" i="5"/>
  <c r="BO57" i="5"/>
  <c r="BN57" i="5"/>
  <c r="BL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R57" i="5"/>
  <c r="AP57" i="5"/>
  <c r="AO57" i="5"/>
  <c r="AS57" i="5" s="1"/>
  <c r="AN57" i="5"/>
  <c r="AQ57" i="5" s="1"/>
  <c r="AM57" i="5"/>
  <c r="AL57" i="5"/>
  <c r="AK57" i="5"/>
  <c r="AJ57" i="5"/>
  <c r="AI57" i="5"/>
  <c r="AH57" i="5"/>
  <c r="AF57" i="5"/>
  <c r="AD57" i="5"/>
  <c r="AC57" i="5"/>
  <c r="AB57" i="5"/>
  <c r="AE57" i="5" s="1"/>
  <c r="AA57" i="5"/>
  <c r="Z57" i="5"/>
  <c r="Y57" i="5"/>
  <c r="X57" i="5"/>
  <c r="W57" i="5"/>
  <c r="V57" i="5"/>
  <c r="T57" i="5"/>
  <c r="R57" i="5"/>
  <c r="Q57" i="5"/>
  <c r="U57" i="5" s="1"/>
  <c r="P57" i="5"/>
  <c r="S57" i="5" s="1"/>
  <c r="N57" i="5"/>
  <c r="M57" i="5"/>
  <c r="L57" i="5"/>
  <c r="K57" i="5"/>
  <c r="J57" i="5"/>
  <c r="I57" i="5"/>
  <c r="E57" i="5"/>
  <c r="O57" i="5" s="1"/>
  <c r="D57" i="5"/>
  <c r="CY56" i="5"/>
  <c r="CX56" i="5"/>
  <c r="CW56" i="5"/>
  <c r="CV56" i="5"/>
  <c r="CU56" i="5"/>
  <c r="CT56" i="5"/>
  <c r="CR56" i="5"/>
  <c r="CP56" i="5"/>
  <c r="CO56" i="5"/>
  <c r="CS56" i="5" s="1"/>
  <c r="CN56" i="5"/>
  <c r="CQ56" i="5" s="1"/>
  <c r="CM56" i="5"/>
  <c r="CL56" i="5"/>
  <c r="CK56" i="5"/>
  <c r="CJ56" i="5"/>
  <c r="CH56" i="5"/>
  <c r="CF56" i="5"/>
  <c r="CE56" i="5"/>
  <c r="CD56" i="5"/>
  <c r="CG56" i="5" s="1"/>
  <c r="CC56" i="5"/>
  <c r="CB56" i="5"/>
  <c r="CA56" i="5"/>
  <c r="BZ56" i="5"/>
  <c r="BY56" i="5"/>
  <c r="BX56" i="5"/>
  <c r="BW56" i="5"/>
  <c r="BV56" i="5"/>
  <c r="BU56" i="5"/>
  <c r="BT56" i="5"/>
  <c r="BS56" i="5"/>
  <c r="BR56" i="5"/>
  <c r="BQ56" i="5"/>
  <c r="BP56" i="5"/>
  <c r="BO56" i="5"/>
  <c r="BN56" i="5"/>
  <c r="BL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R56" i="5"/>
  <c r="AP56" i="5"/>
  <c r="AO56" i="5"/>
  <c r="AS56" i="5" s="1"/>
  <c r="AN56" i="5"/>
  <c r="AQ56" i="5" s="1"/>
  <c r="AM56" i="5"/>
  <c r="AL56" i="5"/>
  <c r="AK56" i="5"/>
  <c r="AJ56" i="5"/>
  <c r="AI56" i="5"/>
  <c r="AH56" i="5"/>
  <c r="AF56" i="5"/>
  <c r="AD56" i="5"/>
  <c r="AC56" i="5"/>
  <c r="AG56" i="5" s="1"/>
  <c r="AB56" i="5"/>
  <c r="AE56" i="5" s="1"/>
  <c r="AA56" i="5"/>
  <c r="Z56" i="5"/>
  <c r="Y56" i="5"/>
  <c r="X56" i="5"/>
  <c r="W56" i="5"/>
  <c r="V56" i="5"/>
  <c r="T56" i="5"/>
  <c r="R56" i="5"/>
  <c r="Q56" i="5"/>
  <c r="P56" i="5"/>
  <c r="S56" i="5" s="1"/>
  <c r="N56" i="5"/>
  <c r="M56" i="5"/>
  <c r="L56" i="5"/>
  <c r="K56" i="5"/>
  <c r="J56" i="5"/>
  <c r="I56" i="5"/>
  <c r="E56" i="5"/>
  <c r="D56" i="5"/>
  <c r="CY55" i="5"/>
  <c r="CX55" i="5"/>
  <c r="CW55" i="5"/>
  <c r="CV55" i="5"/>
  <c r="CU55" i="5"/>
  <c r="CT55" i="5"/>
  <c r="CR55" i="5"/>
  <c r="CP55" i="5"/>
  <c r="CO55" i="5"/>
  <c r="CS55" i="5" s="1"/>
  <c r="CN55" i="5"/>
  <c r="CQ55" i="5" s="1"/>
  <c r="CM55" i="5"/>
  <c r="CL55" i="5"/>
  <c r="CK55" i="5"/>
  <c r="CJ55" i="5"/>
  <c r="CH55" i="5"/>
  <c r="CF55" i="5"/>
  <c r="CE55" i="5"/>
  <c r="CD55" i="5"/>
  <c r="CG55" i="5" s="1"/>
  <c r="CC55" i="5"/>
  <c r="CB55" i="5"/>
  <c r="CA55" i="5"/>
  <c r="BZ55" i="5"/>
  <c r="BY55" i="5"/>
  <c r="BX55" i="5"/>
  <c r="BW55" i="5"/>
  <c r="BV55" i="5"/>
  <c r="BU55" i="5"/>
  <c r="BT55" i="5"/>
  <c r="BS55" i="5"/>
  <c r="BR55" i="5"/>
  <c r="BQ55" i="5"/>
  <c r="BP55" i="5"/>
  <c r="BO55" i="5"/>
  <c r="BN55" i="5"/>
  <c r="BL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R55" i="5"/>
  <c r="AP55" i="5"/>
  <c r="AO55" i="5"/>
  <c r="AS55" i="5" s="1"/>
  <c r="AN55" i="5"/>
  <c r="AQ55" i="5" s="1"/>
  <c r="AM55" i="5"/>
  <c r="AL55" i="5"/>
  <c r="AK55" i="5"/>
  <c r="AJ55" i="5"/>
  <c r="AI55" i="5"/>
  <c r="AH55" i="5"/>
  <c r="AF55" i="5"/>
  <c r="AD55" i="5"/>
  <c r="AC55" i="5"/>
  <c r="AG55" i="5" s="1"/>
  <c r="AB55" i="5"/>
  <c r="AE55" i="5" s="1"/>
  <c r="AA55" i="5"/>
  <c r="Z55" i="5"/>
  <c r="Y55" i="5"/>
  <c r="X55" i="5"/>
  <c r="W55" i="5"/>
  <c r="V55" i="5"/>
  <c r="T55" i="5"/>
  <c r="R55" i="5"/>
  <c r="Q55" i="5"/>
  <c r="U55" i="5" s="1"/>
  <c r="P55" i="5"/>
  <c r="S55" i="5" s="1"/>
  <c r="N55" i="5"/>
  <c r="M55" i="5"/>
  <c r="L55" i="5"/>
  <c r="K55" i="5"/>
  <c r="J55" i="5"/>
  <c r="I55" i="5"/>
  <c r="E55" i="5"/>
  <c r="O55" i="5" s="1"/>
  <c r="D55" i="5"/>
  <c r="CY54" i="5"/>
  <c r="CX54" i="5"/>
  <c r="CW54" i="5"/>
  <c r="CV54" i="5"/>
  <c r="CU54" i="5"/>
  <c r="CT54" i="5"/>
  <c r="CR54" i="5"/>
  <c r="CP54" i="5"/>
  <c r="CO54" i="5"/>
  <c r="CS54" i="5" s="1"/>
  <c r="CN54" i="5"/>
  <c r="CQ54" i="5" s="1"/>
  <c r="CM54" i="5"/>
  <c r="CL54" i="5"/>
  <c r="CK54" i="5"/>
  <c r="CJ54" i="5"/>
  <c r="CH54" i="5"/>
  <c r="CF54" i="5"/>
  <c r="CE54" i="5"/>
  <c r="CD54" i="5"/>
  <c r="CG54" i="5" s="1"/>
  <c r="CC54" i="5"/>
  <c r="CB54" i="5"/>
  <c r="CA54" i="5"/>
  <c r="BZ54" i="5"/>
  <c r="BY54" i="5"/>
  <c r="BX54" i="5"/>
  <c r="BW54" i="5"/>
  <c r="BV54" i="5"/>
  <c r="BU54" i="5"/>
  <c r="BT54" i="5"/>
  <c r="BS54" i="5"/>
  <c r="BR54" i="5"/>
  <c r="BQ54" i="5"/>
  <c r="BP54" i="5"/>
  <c r="BO54" i="5"/>
  <c r="BN54" i="5"/>
  <c r="BL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R54" i="5"/>
  <c r="AP54" i="5"/>
  <c r="AO54" i="5"/>
  <c r="AS54" i="5" s="1"/>
  <c r="AN54" i="5"/>
  <c r="AQ54" i="5" s="1"/>
  <c r="AM54" i="5"/>
  <c r="AL54" i="5"/>
  <c r="AK54" i="5"/>
  <c r="AJ54" i="5"/>
  <c r="AI54" i="5"/>
  <c r="AH54" i="5"/>
  <c r="AF54" i="5"/>
  <c r="AD54" i="5"/>
  <c r="AC54" i="5"/>
  <c r="AG54" i="5" s="1"/>
  <c r="AB54" i="5"/>
  <c r="AE54" i="5" s="1"/>
  <c r="AA54" i="5"/>
  <c r="Z54" i="5"/>
  <c r="Y54" i="5"/>
  <c r="X54" i="5"/>
  <c r="W54" i="5"/>
  <c r="V54" i="5"/>
  <c r="T54" i="5"/>
  <c r="R54" i="5"/>
  <c r="Q54" i="5"/>
  <c r="U54" i="5" s="1"/>
  <c r="P54" i="5"/>
  <c r="S54" i="5" s="1"/>
  <c r="N54" i="5"/>
  <c r="M54" i="5"/>
  <c r="L54" i="5"/>
  <c r="K54" i="5"/>
  <c r="J54" i="5"/>
  <c r="I54" i="5"/>
  <c r="E54" i="5"/>
  <c r="O54" i="5" s="1"/>
  <c r="D54" i="5"/>
  <c r="CY53" i="5"/>
  <c r="CX53" i="5"/>
  <c r="CW53" i="5"/>
  <c r="CV53" i="5"/>
  <c r="CU53" i="5"/>
  <c r="CT53" i="5"/>
  <c r="CR53" i="5"/>
  <c r="CP53" i="5"/>
  <c r="CO53" i="5"/>
  <c r="CN53" i="5"/>
  <c r="CM53" i="5"/>
  <c r="CL53" i="5"/>
  <c r="CK53" i="5"/>
  <c r="CJ53" i="5"/>
  <c r="CH53" i="5"/>
  <c r="CF53" i="5"/>
  <c r="CE53" i="5"/>
  <c r="CD53" i="5"/>
  <c r="CG53" i="5" s="1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L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AW53" i="5"/>
  <c r="AV53" i="5"/>
  <c r="AU53" i="5"/>
  <c r="AT53" i="5"/>
  <c r="AR53" i="5"/>
  <c r="AP53" i="5"/>
  <c r="AO53" i="5"/>
  <c r="AN53" i="5"/>
  <c r="AM53" i="5"/>
  <c r="AL53" i="5"/>
  <c r="AK53" i="5"/>
  <c r="AJ53" i="5"/>
  <c r="AI53" i="5"/>
  <c r="AH53" i="5"/>
  <c r="AF53" i="5"/>
  <c r="AD53" i="5"/>
  <c r="AC53" i="5"/>
  <c r="AB53" i="5"/>
  <c r="AA53" i="5"/>
  <c r="Z53" i="5"/>
  <c r="Y53" i="5"/>
  <c r="X53" i="5"/>
  <c r="W53" i="5"/>
  <c r="V53" i="5"/>
  <c r="T53" i="5"/>
  <c r="R53" i="5"/>
  <c r="Q53" i="5"/>
  <c r="P53" i="5"/>
  <c r="N53" i="5"/>
  <c r="M53" i="5"/>
  <c r="L53" i="5"/>
  <c r="K53" i="5"/>
  <c r="J53" i="5"/>
  <c r="I53" i="5"/>
  <c r="E53" i="5"/>
  <c r="O53" i="5" s="1"/>
  <c r="D53" i="5"/>
  <c r="CY51" i="5"/>
  <c r="CX51" i="5"/>
  <c r="CW51" i="5"/>
  <c r="CV51" i="5"/>
  <c r="CU51" i="5"/>
  <c r="CT51" i="5"/>
  <c r="CR51" i="5"/>
  <c r="CP51" i="5"/>
  <c r="CO51" i="5"/>
  <c r="CN51" i="5"/>
  <c r="CM51" i="5"/>
  <c r="CL51" i="5"/>
  <c r="CK51" i="5"/>
  <c r="CJ51" i="5"/>
  <c r="CH51" i="5"/>
  <c r="CF51" i="5"/>
  <c r="CE51" i="5"/>
  <c r="CD51" i="5"/>
  <c r="CG51" i="5" s="1"/>
  <c r="CC51" i="5"/>
  <c r="CB51" i="5"/>
  <c r="CA51" i="5"/>
  <c r="BZ51" i="5"/>
  <c r="BY51" i="5"/>
  <c r="BX51" i="5"/>
  <c r="BW51" i="5"/>
  <c r="BV51" i="5"/>
  <c r="BU51" i="5"/>
  <c r="BT51" i="5"/>
  <c r="BS51" i="5"/>
  <c r="BR51" i="5"/>
  <c r="BQ51" i="5"/>
  <c r="BP51" i="5"/>
  <c r="BO51" i="5"/>
  <c r="BN51" i="5"/>
  <c r="BL51" i="5"/>
  <c r="BJ51" i="5"/>
  <c r="BI51" i="5"/>
  <c r="BH51" i="5"/>
  <c r="BG51" i="5"/>
  <c r="BF51" i="5"/>
  <c r="BE51" i="5"/>
  <c r="BD51" i="5"/>
  <c r="BC51" i="5"/>
  <c r="BB51" i="5"/>
  <c r="BA51" i="5"/>
  <c r="AZ51" i="5"/>
  <c r="AY51" i="5"/>
  <c r="AX51" i="5"/>
  <c r="AW51" i="5"/>
  <c r="AV51" i="5"/>
  <c r="AU51" i="5"/>
  <c r="AT51" i="5"/>
  <c r="AR51" i="5"/>
  <c r="AP51" i="5"/>
  <c r="AO51" i="5"/>
  <c r="AN51" i="5"/>
  <c r="AM51" i="5"/>
  <c r="AL51" i="5"/>
  <c r="AK51" i="5"/>
  <c r="AJ51" i="5"/>
  <c r="AI51" i="5"/>
  <c r="AH51" i="5"/>
  <c r="AF51" i="5"/>
  <c r="AD51" i="5"/>
  <c r="AC51" i="5"/>
  <c r="AB51" i="5"/>
  <c r="AA51" i="5"/>
  <c r="Z51" i="5"/>
  <c r="Y51" i="5"/>
  <c r="X51" i="5"/>
  <c r="W51" i="5"/>
  <c r="V51" i="5"/>
  <c r="T51" i="5"/>
  <c r="R51" i="5"/>
  <c r="Q51" i="5"/>
  <c r="P51" i="5"/>
  <c r="N51" i="5"/>
  <c r="M51" i="5"/>
  <c r="L51" i="5"/>
  <c r="K51" i="5"/>
  <c r="J51" i="5"/>
  <c r="I51" i="5"/>
  <c r="E51" i="5"/>
  <c r="O51" i="5" s="1"/>
  <c r="D51" i="5"/>
  <c r="CY50" i="5"/>
  <c r="CX50" i="5"/>
  <c r="CW50" i="5"/>
  <c r="CV50" i="5"/>
  <c r="CU50" i="5"/>
  <c r="CT50" i="5"/>
  <c r="CR50" i="5"/>
  <c r="CP50" i="5"/>
  <c r="CO50" i="5"/>
  <c r="CN50" i="5"/>
  <c r="CM50" i="5"/>
  <c r="CL50" i="5"/>
  <c r="CK50" i="5"/>
  <c r="CJ50" i="5"/>
  <c r="CH50" i="5"/>
  <c r="CF50" i="5"/>
  <c r="CE50" i="5"/>
  <c r="CD50" i="5"/>
  <c r="CG50" i="5" s="1"/>
  <c r="CC50" i="5"/>
  <c r="CB50" i="5"/>
  <c r="CA50" i="5"/>
  <c r="BZ50" i="5"/>
  <c r="BY50" i="5"/>
  <c r="BX50" i="5"/>
  <c r="BW50" i="5"/>
  <c r="BV50" i="5"/>
  <c r="BU50" i="5"/>
  <c r="BT50" i="5"/>
  <c r="BS50" i="5"/>
  <c r="BR50" i="5"/>
  <c r="BQ50" i="5"/>
  <c r="BP50" i="5"/>
  <c r="BO50" i="5"/>
  <c r="BN50" i="5"/>
  <c r="BL50" i="5"/>
  <c r="BJ50" i="5"/>
  <c r="BI50" i="5"/>
  <c r="BH50" i="5"/>
  <c r="BG50" i="5"/>
  <c r="BF50" i="5"/>
  <c r="BE50" i="5"/>
  <c r="BD50" i="5"/>
  <c r="BC50" i="5"/>
  <c r="BB50" i="5"/>
  <c r="BA50" i="5"/>
  <c r="AZ50" i="5"/>
  <c r="AY50" i="5"/>
  <c r="AX50" i="5"/>
  <c r="AW50" i="5"/>
  <c r="AV50" i="5"/>
  <c r="AU50" i="5"/>
  <c r="AT50" i="5"/>
  <c r="AR50" i="5"/>
  <c r="AP50" i="5"/>
  <c r="AO50" i="5"/>
  <c r="AN50" i="5"/>
  <c r="AM50" i="5"/>
  <c r="AL50" i="5"/>
  <c r="AK50" i="5"/>
  <c r="AJ50" i="5"/>
  <c r="AI50" i="5"/>
  <c r="AH50" i="5"/>
  <c r="AF50" i="5"/>
  <c r="AD50" i="5"/>
  <c r="AC50" i="5"/>
  <c r="AB50" i="5"/>
  <c r="AA50" i="5"/>
  <c r="Z50" i="5"/>
  <c r="Y50" i="5"/>
  <c r="X50" i="5"/>
  <c r="W50" i="5"/>
  <c r="V50" i="5"/>
  <c r="T50" i="5"/>
  <c r="R50" i="5"/>
  <c r="Q50" i="5"/>
  <c r="P50" i="5"/>
  <c r="N50" i="5"/>
  <c r="M50" i="5"/>
  <c r="L50" i="5"/>
  <c r="K50" i="5"/>
  <c r="J50" i="5"/>
  <c r="I50" i="5"/>
  <c r="E50" i="5"/>
  <c r="O50" i="5" s="1"/>
  <c r="D50" i="5"/>
  <c r="CY49" i="5"/>
  <c r="CX49" i="5"/>
  <c r="CW49" i="5"/>
  <c r="CV49" i="5"/>
  <c r="CU49" i="5"/>
  <c r="CT49" i="5"/>
  <c r="CR49" i="5"/>
  <c r="CP49" i="5"/>
  <c r="CO49" i="5"/>
  <c r="CS49" i="5" s="1"/>
  <c r="CN49" i="5"/>
  <c r="CQ49" i="5" s="1"/>
  <c r="CM49" i="5"/>
  <c r="CL49" i="5"/>
  <c r="CK49" i="5"/>
  <c r="CJ49" i="5"/>
  <c r="CH49" i="5"/>
  <c r="CF49" i="5"/>
  <c r="CE49" i="5"/>
  <c r="CD49" i="5"/>
  <c r="CG49" i="5" s="1"/>
  <c r="CC49" i="5"/>
  <c r="CB49" i="5"/>
  <c r="CA49" i="5"/>
  <c r="BZ49" i="5"/>
  <c r="BY49" i="5"/>
  <c r="BX49" i="5"/>
  <c r="BW49" i="5"/>
  <c r="BV49" i="5"/>
  <c r="BU49" i="5"/>
  <c r="BT49" i="5"/>
  <c r="BS49" i="5"/>
  <c r="BR49" i="5"/>
  <c r="BQ49" i="5"/>
  <c r="BP49" i="5"/>
  <c r="BO49" i="5"/>
  <c r="BN49" i="5"/>
  <c r="BL49" i="5"/>
  <c r="BJ49" i="5"/>
  <c r="BI49" i="5"/>
  <c r="BH49" i="5"/>
  <c r="BG49" i="5"/>
  <c r="BF49" i="5"/>
  <c r="BE49" i="5"/>
  <c r="BD49" i="5"/>
  <c r="BC49" i="5"/>
  <c r="BB49" i="5"/>
  <c r="BA49" i="5"/>
  <c r="AZ49" i="5"/>
  <c r="AY49" i="5"/>
  <c r="AX49" i="5"/>
  <c r="AW49" i="5"/>
  <c r="AV49" i="5"/>
  <c r="AU49" i="5"/>
  <c r="AT49" i="5"/>
  <c r="AR49" i="5"/>
  <c r="AP49" i="5"/>
  <c r="AO49" i="5"/>
  <c r="AN49" i="5"/>
  <c r="AM49" i="5"/>
  <c r="AL49" i="5"/>
  <c r="AK49" i="5"/>
  <c r="AJ49" i="5"/>
  <c r="AI49" i="5"/>
  <c r="AH49" i="5"/>
  <c r="AF49" i="5"/>
  <c r="AD49" i="5"/>
  <c r="AC49" i="5"/>
  <c r="AB49" i="5"/>
  <c r="AA49" i="5"/>
  <c r="Z49" i="5"/>
  <c r="Y49" i="5"/>
  <c r="X49" i="5"/>
  <c r="W49" i="5"/>
  <c r="V49" i="5"/>
  <c r="T49" i="5"/>
  <c r="R49" i="5"/>
  <c r="Q49" i="5"/>
  <c r="P49" i="5"/>
  <c r="N49" i="5"/>
  <c r="M49" i="5"/>
  <c r="L49" i="5"/>
  <c r="K49" i="5"/>
  <c r="J49" i="5"/>
  <c r="I49" i="5"/>
  <c r="E49" i="5"/>
  <c r="O49" i="5" s="1"/>
  <c r="D49" i="5"/>
  <c r="CY48" i="5"/>
  <c r="CX48" i="5"/>
  <c r="CW48" i="5"/>
  <c r="CV48" i="5"/>
  <c r="CU48" i="5"/>
  <c r="CT48" i="5"/>
  <c r="CR48" i="5"/>
  <c r="CP48" i="5"/>
  <c r="CO48" i="5"/>
  <c r="CN48" i="5"/>
  <c r="CM48" i="5"/>
  <c r="CL48" i="5"/>
  <c r="CK48" i="5"/>
  <c r="CJ48" i="5"/>
  <c r="CH48" i="5"/>
  <c r="CF48" i="5"/>
  <c r="CE48" i="5"/>
  <c r="CD48" i="5"/>
  <c r="CG48" i="5" s="1"/>
  <c r="CC48" i="5"/>
  <c r="CB48" i="5"/>
  <c r="CA48" i="5"/>
  <c r="BZ48" i="5"/>
  <c r="BY48" i="5"/>
  <c r="BX48" i="5"/>
  <c r="BW48" i="5"/>
  <c r="BV48" i="5"/>
  <c r="BU48" i="5"/>
  <c r="BT48" i="5"/>
  <c r="BS48" i="5"/>
  <c r="BR48" i="5"/>
  <c r="BQ48" i="5"/>
  <c r="BP48" i="5"/>
  <c r="BO48" i="5"/>
  <c r="BN48" i="5"/>
  <c r="BL48" i="5"/>
  <c r="BJ48" i="5"/>
  <c r="BI48" i="5"/>
  <c r="BH48" i="5"/>
  <c r="BG48" i="5"/>
  <c r="BF48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R48" i="5"/>
  <c r="AP48" i="5"/>
  <c r="AO48" i="5"/>
  <c r="AN48" i="5"/>
  <c r="AM48" i="5"/>
  <c r="AL48" i="5"/>
  <c r="AK48" i="5"/>
  <c r="AJ48" i="5"/>
  <c r="AI48" i="5"/>
  <c r="AH48" i="5"/>
  <c r="AF48" i="5"/>
  <c r="AD48" i="5"/>
  <c r="AC48" i="5"/>
  <c r="AB48" i="5"/>
  <c r="AA48" i="5"/>
  <c r="Z48" i="5"/>
  <c r="Y48" i="5"/>
  <c r="X48" i="5"/>
  <c r="W48" i="5"/>
  <c r="V48" i="5"/>
  <c r="T48" i="5"/>
  <c r="R48" i="5"/>
  <c r="Q48" i="5"/>
  <c r="P48" i="5"/>
  <c r="N48" i="5"/>
  <c r="M48" i="5"/>
  <c r="L48" i="5"/>
  <c r="K48" i="5"/>
  <c r="J48" i="5"/>
  <c r="I48" i="5"/>
  <c r="E48" i="5"/>
  <c r="O48" i="5" s="1"/>
  <c r="D48" i="5"/>
  <c r="CY47" i="5"/>
  <c r="CX47" i="5"/>
  <c r="CW47" i="5"/>
  <c r="CV47" i="5"/>
  <c r="CU47" i="5"/>
  <c r="CT47" i="5"/>
  <c r="CR47" i="5"/>
  <c r="CP47" i="5"/>
  <c r="CO47" i="5"/>
  <c r="CN47" i="5"/>
  <c r="CM47" i="5"/>
  <c r="CL47" i="5"/>
  <c r="CK47" i="5"/>
  <c r="CJ47" i="5"/>
  <c r="CH47" i="5"/>
  <c r="CF47" i="5"/>
  <c r="CE47" i="5"/>
  <c r="CD47" i="5"/>
  <c r="CG47" i="5" s="1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L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R47" i="5"/>
  <c r="AP47" i="5"/>
  <c r="AO47" i="5"/>
  <c r="AN47" i="5"/>
  <c r="AM47" i="5"/>
  <c r="AL47" i="5"/>
  <c r="AK47" i="5"/>
  <c r="AJ47" i="5"/>
  <c r="AI47" i="5"/>
  <c r="AH47" i="5"/>
  <c r="AF47" i="5"/>
  <c r="AD47" i="5"/>
  <c r="AC47" i="5"/>
  <c r="AB47" i="5"/>
  <c r="AA47" i="5"/>
  <c r="Z47" i="5"/>
  <c r="Y47" i="5"/>
  <c r="X47" i="5"/>
  <c r="W47" i="5"/>
  <c r="V47" i="5"/>
  <c r="T47" i="5"/>
  <c r="R47" i="5"/>
  <c r="Q47" i="5"/>
  <c r="P47" i="5"/>
  <c r="N47" i="5"/>
  <c r="M47" i="5"/>
  <c r="L47" i="5"/>
  <c r="K47" i="5"/>
  <c r="J47" i="5"/>
  <c r="I47" i="5"/>
  <c r="E47" i="5"/>
  <c r="O47" i="5" s="1"/>
  <c r="D47" i="5"/>
  <c r="CY46" i="5"/>
  <c r="CX46" i="5"/>
  <c r="CW46" i="5"/>
  <c r="CV46" i="5"/>
  <c r="CU46" i="5"/>
  <c r="CT46" i="5"/>
  <c r="CR46" i="5"/>
  <c r="CP46" i="5"/>
  <c r="CO46" i="5"/>
  <c r="CN46" i="5"/>
  <c r="CM46" i="5"/>
  <c r="CL46" i="5"/>
  <c r="CK46" i="5"/>
  <c r="CJ46" i="5"/>
  <c r="CH46" i="5"/>
  <c r="CF46" i="5"/>
  <c r="CE46" i="5"/>
  <c r="CD46" i="5"/>
  <c r="CG46" i="5" s="1"/>
  <c r="CC46" i="5"/>
  <c r="CB46" i="5"/>
  <c r="CA46" i="5"/>
  <c r="BZ46" i="5"/>
  <c r="BY46" i="5"/>
  <c r="BX46" i="5"/>
  <c r="BW46" i="5"/>
  <c r="BV46" i="5"/>
  <c r="BU46" i="5"/>
  <c r="BT46" i="5"/>
  <c r="BS46" i="5"/>
  <c r="BR46" i="5"/>
  <c r="BQ46" i="5"/>
  <c r="BP46" i="5"/>
  <c r="BO46" i="5"/>
  <c r="BN46" i="5"/>
  <c r="BL46" i="5"/>
  <c r="BJ46" i="5"/>
  <c r="BI46" i="5"/>
  <c r="BH46" i="5"/>
  <c r="BG46" i="5"/>
  <c r="BF46" i="5"/>
  <c r="BE46" i="5"/>
  <c r="BD46" i="5"/>
  <c r="BC46" i="5"/>
  <c r="BB46" i="5"/>
  <c r="BA46" i="5"/>
  <c r="AZ46" i="5"/>
  <c r="AY46" i="5"/>
  <c r="AX46" i="5"/>
  <c r="AW46" i="5"/>
  <c r="AV46" i="5"/>
  <c r="AU46" i="5"/>
  <c r="AT46" i="5"/>
  <c r="AR46" i="5"/>
  <c r="AP46" i="5"/>
  <c r="AO46" i="5"/>
  <c r="AN46" i="5"/>
  <c r="AM46" i="5"/>
  <c r="AL46" i="5"/>
  <c r="AK46" i="5"/>
  <c r="AJ46" i="5"/>
  <c r="AI46" i="5"/>
  <c r="AH46" i="5"/>
  <c r="AF46" i="5"/>
  <c r="AD46" i="5"/>
  <c r="AC46" i="5"/>
  <c r="AB46" i="5"/>
  <c r="AA46" i="5"/>
  <c r="Z46" i="5"/>
  <c r="Y46" i="5"/>
  <c r="X46" i="5"/>
  <c r="W46" i="5"/>
  <c r="V46" i="5"/>
  <c r="T46" i="5"/>
  <c r="R46" i="5"/>
  <c r="Q46" i="5"/>
  <c r="P46" i="5"/>
  <c r="N46" i="5"/>
  <c r="M46" i="5"/>
  <c r="L46" i="5"/>
  <c r="K46" i="5"/>
  <c r="J46" i="5"/>
  <c r="I46" i="5"/>
  <c r="E46" i="5"/>
  <c r="O46" i="5" s="1"/>
  <c r="D46" i="5"/>
  <c r="CY45" i="5"/>
  <c r="CX45" i="5"/>
  <c r="CW45" i="5"/>
  <c r="CV45" i="5"/>
  <c r="CU45" i="5"/>
  <c r="CT45" i="5"/>
  <c r="CR45" i="5"/>
  <c r="CP45" i="5"/>
  <c r="CO45" i="5"/>
  <c r="CN45" i="5"/>
  <c r="CM45" i="5"/>
  <c r="CL45" i="5"/>
  <c r="CK45" i="5"/>
  <c r="CJ45" i="5"/>
  <c r="CH45" i="5"/>
  <c r="CF45" i="5"/>
  <c r="CE45" i="5"/>
  <c r="CD45" i="5"/>
  <c r="CG45" i="5" s="1"/>
  <c r="CC45" i="5"/>
  <c r="CB45" i="5"/>
  <c r="CA45" i="5"/>
  <c r="BZ45" i="5"/>
  <c r="BY45" i="5"/>
  <c r="BX45" i="5"/>
  <c r="BW45" i="5"/>
  <c r="BV45" i="5"/>
  <c r="BU45" i="5"/>
  <c r="BT45" i="5"/>
  <c r="BS45" i="5"/>
  <c r="BR45" i="5"/>
  <c r="BQ45" i="5"/>
  <c r="BP45" i="5"/>
  <c r="BO45" i="5"/>
  <c r="BN45" i="5"/>
  <c r="BL45" i="5"/>
  <c r="BJ45" i="5"/>
  <c r="BI45" i="5"/>
  <c r="BH45" i="5"/>
  <c r="BG45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R45" i="5"/>
  <c r="AP45" i="5"/>
  <c r="AO45" i="5"/>
  <c r="AN45" i="5"/>
  <c r="AM45" i="5"/>
  <c r="AL45" i="5"/>
  <c r="AK45" i="5"/>
  <c r="AJ45" i="5"/>
  <c r="AI45" i="5"/>
  <c r="AH45" i="5"/>
  <c r="AF45" i="5"/>
  <c r="AD45" i="5"/>
  <c r="AC45" i="5"/>
  <c r="AB45" i="5"/>
  <c r="AA45" i="5"/>
  <c r="Z45" i="5"/>
  <c r="Y45" i="5"/>
  <c r="X45" i="5"/>
  <c r="W45" i="5"/>
  <c r="V45" i="5"/>
  <c r="T45" i="5"/>
  <c r="R45" i="5"/>
  <c r="Q45" i="5"/>
  <c r="P45" i="5"/>
  <c r="N45" i="5"/>
  <c r="M45" i="5"/>
  <c r="L45" i="5"/>
  <c r="K45" i="5"/>
  <c r="J45" i="5"/>
  <c r="I45" i="5"/>
  <c r="E45" i="5"/>
  <c r="O45" i="5" s="1"/>
  <c r="D45" i="5"/>
  <c r="CY44" i="5"/>
  <c r="CX44" i="5"/>
  <c r="CW44" i="5"/>
  <c r="CV44" i="5"/>
  <c r="CU44" i="5"/>
  <c r="CT44" i="5"/>
  <c r="CR44" i="5"/>
  <c r="CP44" i="5"/>
  <c r="CO44" i="5"/>
  <c r="CN44" i="5"/>
  <c r="CM44" i="5"/>
  <c r="CL44" i="5"/>
  <c r="CK44" i="5"/>
  <c r="CJ44" i="5"/>
  <c r="CH44" i="5"/>
  <c r="CF44" i="5"/>
  <c r="CE44" i="5"/>
  <c r="CD44" i="5"/>
  <c r="CG44" i="5" s="1"/>
  <c r="CC44" i="5"/>
  <c r="CB44" i="5"/>
  <c r="CA44" i="5"/>
  <c r="BZ44" i="5"/>
  <c r="BY44" i="5"/>
  <c r="BX44" i="5"/>
  <c r="BW44" i="5"/>
  <c r="BV44" i="5"/>
  <c r="BU44" i="5"/>
  <c r="BT44" i="5"/>
  <c r="BS44" i="5"/>
  <c r="BR44" i="5"/>
  <c r="BQ44" i="5"/>
  <c r="BP44" i="5"/>
  <c r="BO44" i="5"/>
  <c r="BN44" i="5"/>
  <c r="BL44" i="5"/>
  <c r="BJ44" i="5"/>
  <c r="BI44" i="5"/>
  <c r="BH44" i="5"/>
  <c r="BG44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R44" i="5"/>
  <c r="AP44" i="5"/>
  <c r="AO44" i="5"/>
  <c r="AN44" i="5"/>
  <c r="AM44" i="5"/>
  <c r="AL44" i="5"/>
  <c r="AK44" i="5"/>
  <c r="AJ44" i="5"/>
  <c r="AI44" i="5"/>
  <c r="AH44" i="5"/>
  <c r="AF44" i="5"/>
  <c r="AD44" i="5"/>
  <c r="AC44" i="5"/>
  <c r="AB44" i="5"/>
  <c r="AA44" i="5"/>
  <c r="Z44" i="5"/>
  <c r="Y44" i="5"/>
  <c r="X44" i="5"/>
  <c r="W44" i="5"/>
  <c r="V44" i="5"/>
  <c r="T44" i="5"/>
  <c r="R44" i="5"/>
  <c r="Q44" i="5"/>
  <c r="P44" i="5"/>
  <c r="N44" i="5"/>
  <c r="M44" i="5"/>
  <c r="L44" i="5"/>
  <c r="K44" i="5"/>
  <c r="J44" i="5"/>
  <c r="I44" i="5"/>
  <c r="E44" i="5"/>
  <c r="O44" i="5" s="1"/>
  <c r="D44" i="5"/>
  <c r="CY43" i="5"/>
  <c r="CX43" i="5"/>
  <c r="CW43" i="5"/>
  <c r="CV43" i="5"/>
  <c r="CU43" i="5"/>
  <c r="CT43" i="5"/>
  <c r="CR43" i="5"/>
  <c r="CP43" i="5"/>
  <c r="CO43" i="5"/>
  <c r="CN43" i="5"/>
  <c r="CM43" i="5"/>
  <c r="CL43" i="5"/>
  <c r="CK43" i="5"/>
  <c r="CJ43" i="5"/>
  <c r="CH43" i="5"/>
  <c r="CF43" i="5"/>
  <c r="CE43" i="5"/>
  <c r="CD43" i="5"/>
  <c r="CG43" i="5" s="1"/>
  <c r="CC43" i="5"/>
  <c r="CB43" i="5"/>
  <c r="CA43" i="5"/>
  <c r="BZ43" i="5"/>
  <c r="BY43" i="5"/>
  <c r="BX43" i="5"/>
  <c r="BW43" i="5"/>
  <c r="BV43" i="5"/>
  <c r="BU43" i="5"/>
  <c r="BT43" i="5"/>
  <c r="BS43" i="5"/>
  <c r="BR43" i="5"/>
  <c r="BQ43" i="5"/>
  <c r="BP43" i="5"/>
  <c r="BO43" i="5"/>
  <c r="BN43" i="5"/>
  <c r="BL43" i="5"/>
  <c r="BJ43" i="5"/>
  <c r="BI43" i="5"/>
  <c r="BH43" i="5"/>
  <c r="BG43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R43" i="5"/>
  <c r="AP43" i="5"/>
  <c r="AO43" i="5"/>
  <c r="AN43" i="5"/>
  <c r="AM43" i="5"/>
  <c r="AL43" i="5"/>
  <c r="AK43" i="5"/>
  <c r="AJ43" i="5"/>
  <c r="AI43" i="5"/>
  <c r="AH43" i="5"/>
  <c r="AF43" i="5"/>
  <c r="AD43" i="5"/>
  <c r="AC43" i="5"/>
  <c r="AB43" i="5"/>
  <c r="AA43" i="5"/>
  <c r="Z43" i="5"/>
  <c r="Y43" i="5"/>
  <c r="X43" i="5"/>
  <c r="W43" i="5"/>
  <c r="V43" i="5"/>
  <c r="T43" i="5"/>
  <c r="R43" i="5"/>
  <c r="Q43" i="5"/>
  <c r="P43" i="5"/>
  <c r="N43" i="5"/>
  <c r="M43" i="5"/>
  <c r="L43" i="5"/>
  <c r="K43" i="5"/>
  <c r="J43" i="5"/>
  <c r="I43" i="5"/>
  <c r="E43" i="5"/>
  <c r="O43" i="5" s="1"/>
  <c r="D43" i="5"/>
  <c r="CY42" i="5"/>
  <c r="CX42" i="5"/>
  <c r="CW42" i="5"/>
  <c r="CV42" i="5"/>
  <c r="CU42" i="5"/>
  <c r="CT42" i="5"/>
  <c r="CR42" i="5"/>
  <c r="CP42" i="5"/>
  <c r="CO42" i="5"/>
  <c r="CN42" i="5"/>
  <c r="CM42" i="5"/>
  <c r="CL42" i="5"/>
  <c r="CK42" i="5"/>
  <c r="CJ42" i="5"/>
  <c r="CH42" i="5"/>
  <c r="CF42" i="5"/>
  <c r="CE42" i="5"/>
  <c r="CD42" i="5"/>
  <c r="CG42" i="5" s="1"/>
  <c r="CC42" i="5"/>
  <c r="CB42" i="5"/>
  <c r="CA42" i="5"/>
  <c r="BZ42" i="5"/>
  <c r="BY42" i="5"/>
  <c r="BX42" i="5"/>
  <c r="BW42" i="5"/>
  <c r="BV42" i="5"/>
  <c r="BU42" i="5"/>
  <c r="BT42" i="5"/>
  <c r="BS42" i="5"/>
  <c r="BR42" i="5"/>
  <c r="BQ42" i="5"/>
  <c r="BP42" i="5"/>
  <c r="BO42" i="5"/>
  <c r="BN42" i="5"/>
  <c r="BL42" i="5"/>
  <c r="BJ42" i="5"/>
  <c r="BI42" i="5"/>
  <c r="BH42" i="5"/>
  <c r="BG42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R42" i="5"/>
  <c r="AP42" i="5"/>
  <c r="AO42" i="5"/>
  <c r="AN42" i="5"/>
  <c r="AM42" i="5"/>
  <c r="AL42" i="5"/>
  <c r="AK42" i="5"/>
  <c r="AJ42" i="5"/>
  <c r="AI42" i="5"/>
  <c r="AH42" i="5"/>
  <c r="AF42" i="5"/>
  <c r="AD42" i="5"/>
  <c r="AC42" i="5"/>
  <c r="AB42" i="5"/>
  <c r="AA42" i="5"/>
  <c r="Z42" i="5"/>
  <c r="Y42" i="5"/>
  <c r="X42" i="5"/>
  <c r="W42" i="5"/>
  <c r="V42" i="5"/>
  <c r="T42" i="5"/>
  <c r="R42" i="5"/>
  <c r="Q42" i="5"/>
  <c r="P42" i="5"/>
  <c r="N42" i="5"/>
  <c r="M42" i="5"/>
  <c r="L42" i="5"/>
  <c r="K42" i="5"/>
  <c r="J42" i="5"/>
  <c r="I42" i="5"/>
  <c r="E42" i="5"/>
  <c r="O42" i="5" s="1"/>
  <c r="D42" i="5"/>
  <c r="CY41" i="5"/>
  <c r="CX41" i="5"/>
  <c r="CW41" i="5"/>
  <c r="CV41" i="5"/>
  <c r="CU41" i="5"/>
  <c r="CT41" i="5"/>
  <c r="CR41" i="5"/>
  <c r="CP41" i="5"/>
  <c r="CO41" i="5"/>
  <c r="CS41" i="5" s="1"/>
  <c r="CN41" i="5"/>
  <c r="CQ41" i="5" s="1"/>
  <c r="CM41" i="5"/>
  <c r="CL41" i="5"/>
  <c r="CK41" i="5"/>
  <c r="CJ41" i="5"/>
  <c r="CH41" i="5"/>
  <c r="CF41" i="5"/>
  <c r="CE41" i="5"/>
  <c r="CD41" i="5"/>
  <c r="CG41" i="5" s="1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L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R41" i="5"/>
  <c r="AP41" i="5"/>
  <c r="AO41" i="5"/>
  <c r="AN41" i="5"/>
  <c r="AM41" i="5"/>
  <c r="AL41" i="5"/>
  <c r="AK41" i="5"/>
  <c r="AJ41" i="5"/>
  <c r="AI41" i="5"/>
  <c r="AH41" i="5"/>
  <c r="AF41" i="5"/>
  <c r="AD41" i="5"/>
  <c r="AC41" i="5"/>
  <c r="AB41" i="5"/>
  <c r="AA41" i="5"/>
  <c r="Z41" i="5"/>
  <c r="Y41" i="5"/>
  <c r="X41" i="5"/>
  <c r="W41" i="5"/>
  <c r="V41" i="5"/>
  <c r="T41" i="5"/>
  <c r="R41" i="5"/>
  <c r="Q41" i="5"/>
  <c r="P41" i="5"/>
  <c r="N41" i="5"/>
  <c r="M41" i="5"/>
  <c r="L41" i="5"/>
  <c r="K41" i="5"/>
  <c r="J41" i="5"/>
  <c r="I41" i="5"/>
  <c r="E41" i="5"/>
  <c r="O41" i="5" s="1"/>
  <c r="D41" i="5"/>
  <c r="CY40" i="5"/>
  <c r="CX40" i="5"/>
  <c r="CW40" i="5"/>
  <c r="CV40" i="5"/>
  <c r="CU40" i="5"/>
  <c r="CT40" i="5"/>
  <c r="CR40" i="5"/>
  <c r="CP40" i="5"/>
  <c r="CO40" i="5"/>
  <c r="CN40" i="5"/>
  <c r="CM40" i="5"/>
  <c r="CL40" i="5"/>
  <c r="CK40" i="5"/>
  <c r="CJ40" i="5"/>
  <c r="CH40" i="5"/>
  <c r="CF40" i="5"/>
  <c r="CE40" i="5"/>
  <c r="CD40" i="5"/>
  <c r="CG40" i="5" s="1"/>
  <c r="CC40" i="5"/>
  <c r="CB40" i="5"/>
  <c r="CA40" i="5"/>
  <c r="BZ40" i="5"/>
  <c r="BY40" i="5"/>
  <c r="BX40" i="5"/>
  <c r="BW40" i="5"/>
  <c r="BV40" i="5"/>
  <c r="BU40" i="5"/>
  <c r="BT40" i="5"/>
  <c r="BS40" i="5"/>
  <c r="BR40" i="5"/>
  <c r="BQ40" i="5"/>
  <c r="BP40" i="5"/>
  <c r="BO40" i="5"/>
  <c r="BN40" i="5"/>
  <c r="BL40" i="5"/>
  <c r="BJ40" i="5"/>
  <c r="BI40" i="5"/>
  <c r="BH40" i="5"/>
  <c r="BG40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R40" i="5"/>
  <c r="AP40" i="5"/>
  <c r="AO40" i="5"/>
  <c r="AN40" i="5"/>
  <c r="AM40" i="5"/>
  <c r="AL40" i="5"/>
  <c r="AK40" i="5"/>
  <c r="AJ40" i="5"/>
  <c r="AI40" i="5"/>
  <c r="AH40" i="5"/>
  <c r="AF40" i="5"/>
  <c r="AD40" i="5"/>
  <c r="AC40" i="5"/>
  <c r="AB40" i="5"/>
  <c r="AA40" i="5"/>
  <c r="Z40" i="5"/>
  <c r="Y40" i="5"/>
  <c r="X40" i="5"/>
  <c r="W40" i="5"/>
  <c r="V40" i="5"/>
  <c r="T40" i="5"/>
  <c r="R40" i="5"/>
  <c r="Q40" i="5"/>
  <c r="P40" i="5"/>
  <c r="N40" i="5"/>
  <c r="M40" i="5"/>
  <c r="L40" i="5"/>
  <c r="K40" i="5"/>
  <c r="J40" i="5"/>
  <c r="I40" i="5"/>
  <c r="E40" i="5"/>
  <c r="D40" i="5"/>
  <c r="CY39" i="5"/>
  <c r="CX39" i="5"/>
  <c r="CW39" i="5"/>
  <c r="CV39" i="5"/>
  <c r="CU39" i="5"/>
  <c r="CT39" i="5"/>
  <c r="CR39" i="5"/>
  <c r="CP39" i="5"/>
  <c r="CO39" i="5"/>
  <c r="CS39" i="5" s="1"/>
  <c r="CN39" i="5"/>
  <c r="CQ39" i="5" s="1"/>
  <c r="CM39" i="5"/>
  <c r="CL39" i="5"/>
  <c r="CK39" i="5"/>
  <c r="CJ39" i="5"/>
  <c r="CH39" i="5"/>
  <c r="CF39" i="5"/>
  <c r="CE39" i="5"/>
  <c r="CD39" i="5"/>
  <c r="CG39" i="5" s="1"/>
  <c r="CC39" i="5"/>
  <c r="CB39" i="5"/>
  <c r="CA39" i="5"/>
  <c r="BZ39" i="5"/>
  <c r="BY39" i="5"/>
  <c r="BX39" i="5"/>
  <c r="BW39" i="5"/>
  <c r="BV39" i="5"/>
  <c r="BU39" i="5"/>
  <c r="BT39" i="5"/>
  <c r="BS39" i="5"/>
  <c r="BR39" i="5"/>
  <c r="BQ39" i="5"/>
  <c r="BP39" i="5"/>
  <c r="BO39" i="5"/>
  <c r="BN39" i="5"/>
  <c r="BL39" i="5"/>
  <c r="BJ39" i="5"/>
  <c r="BI39" i="5"/>
  <c r="BH39" i="5"/>
  <c r="BG39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R39" i="5"/>
  <c r="AP39" i="5"/>
  <c r="AO39" i="5"/>
  <c r="AN39" i="5"/>
  <c r="AM39" i="5"/>
  <c r="AL39" i="5"/>
  <c r="AK39" i="5"/>
  <c r="AJ39" i="5"/>
  <c r="AI39" i="5"/>
  <c r="AH39" i="5"/>
  <c r="AF39" i="5"/>
  <c r="AD39" i="5"/>
  <c r="AC39" i="5"/>
  <c r="AB39" i="5"/>
  <c r="AA39" i="5"/>
  <c r="Z39" i="5"/>
  <c r="Y39" i="5"/>
  <c r="X39" i="5"/>
  <c r="W39" i="5"/>
  <c r="V39" i="5"/>
  <c r="T39" i="5"/>
  <c r="R39" i="5"/>
  <c r="Q39" i="5"/>
  <c r="P39" i="5"/>
  <c r="N39" i="5"/>
  <c r="L39" i="5"/>
  <c r="K39" i="5"/>
  <c r="J39" i="5"/>
  <c r="I39" i="5"/>
  <c r="E39" i="5"/>
  <c r="O39" i="5" s="1"/>
  <c r="D39" i="5"/>
  <c r="CY38" i="5"/>
  <c r="CX38" i="5"/>
  <c r="CW38" i="5"/>
  <c r="CV38" i="5"/>
  <c r="CU38" i="5"/>
  <c r="CT38" i="5"/>
  <c r="CR38" i="5"/>
  <c r="CP38" i="5"/>
  <c r="CO38" i="5"/>
  <c r="CN38" i="5"/>
  <c r="CM38" i="5"/>
  <c r="CL38" i="5"/>
  <c r="CK38" i="5"/>
  <c r="CJ38" i="5"/>
  <c r="CH38" i="5"/>
  <c r="CF38" i="5"/>
  <c r="CE38" i="5"/>
  <c r="CD38" i="5"/>
  <c r="CG38" i="5" s="1"/>
  <c r="CC38" i="5"/>
  <c r="CB38" i="5"/>
  <c r="CA38" i="5"/>
  <c r="BZ38" i="5"/>
  <c r="BY38" i="5"/>
  <c r="BX38" i="5"/>
  <c r="BW38" i="5"/>
  <c r="BV38" i="5"/>
  <c r="BU38" i="5"/>
  <c r="BT38" i="5"/>
  <c r="BS38" i="5"/>
  <c r="BR38" i="5"/>
  <c r="BQ38" i="5"/>
  <c r="BP38" i="5"/>
  <c r="BO38" i="5"/>
  <c r="BN38" i="5"/>
  <c r="BL38" i="5"/>
  <c r="BJ38" i="5"/>
  <c r="BI38" i="5"/>
  <c r="BH38" i="5"/>
  <c r="BG38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R38" i="5"/>
  <c r="AP38" i="5"/>
  <c r="AO38" i="5"/>
  <c r="AN38" i="5"/>
  <c r="AM38" i="5"/>
  <c r="AL38" i="5"/>
  <c r="AK38" i="5"/>
  <c r="AJ38" i="5"/>
  <c r="AI38" i="5"/>
  <c r="AH38" i="5"/>
  <c r="AF38" i="5"/>
  <c r="AD38" i="5"/>
  <c r="AC38" i="5"/>
  <c r="AB38" i="5"/>
  <c r="AA38" i="5"/>
  <c r="Z38" i="5"/>
  <c r="Y38" i="5"/>
  <c r="X38" i="5"/>
  <c r="W38" i="5"/>
  <c r="V38" i="5"/>
  <c r="T38" i="5"/>
  <c r="R38" i="5"/>
  <c r="Q38" i="5"/>
  <c r="P38" i="5"/>
  <c r="N38" i="5"/>
  <c r="M38" i="5"/>
  <c r="L38" i="5"/>
  <c r="K38" i="5"/>
  <c r="J38" i="5"/>
  <c r="I38" i="5"/>
  <c r="E38" i="5"/>
  <c r="O38" i="5" s="1"/>
  <c r="D38" i="5"/>
  <c r="CY37" i="5"/>
  <c r="CX37" i="5"/>
  <c r="CW37" i="5"/>
  <c r="CV37" i="5"/>
  <c r="CU37" i="5"/>
  <c r="CT37" i="5"/>
  <c r="CR37" i="5"/>
  <c r="CP37" i="5"/>
  <c r="CO37" i="5"/>
  <c r="CN37" i="5"/>
  <c r="CM37" i="5"/>
  <c r="CL37" i="5"/>
  <c r="CK37" i="5"/>
  <c r="CJ37" i="5"/>
  <c r="CH37" i="5"/>
  <c r="CF37" i="5"/>
  <c r="CE37" i="5"/>
  <c r="CD37" i="5"/>
  <c r="CG37" i="5" s="1"/>
  <c r="CC37" i="5"/>
  <c r="CB37" i="5"/>
  <c r="CA37" i="5"/>
  <c r="BZ37" i="5"/>
  <c r="BY37" i="5"/>
  <c r="BX37" i="5"/>
  <c r="BW37" i="5"/>
  <c r="BV37" i="5"/>
  <c r="BU37" i="5"/>
  <c r="BT37" i="5"/>
  <c r="BS37" i="5"/>
  <c r="BR37" i="5"/>
  <c r="BQ37" i="5"/>
  <c r="BP37" i="5"/>
  <c r="BO37" i="5"/>
  <c r="BN37" i="5"/>
  <c r="BL37" i="5"/>
  <c r="BJ37" i="5"/>
  <c r="BI37" i="5"/>
  <c r="BH37" i="5"/>
  <c r="BG37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R37" i="5"/>
  <c r="AP37" i="5"/>
  <c r="AO37" i="5"/>
  <c r="AN37" i="5"/>
  <c r="AM37" i="5"/>
  <c r="AL37" i="5"/>
  <c r="AK37" i="5"/>
  <c r="AJ37" i="5"/>
  <c r="AI37" i="5"/>
  <c r="AH37" i="5"/>
  <c r="AF37" i="5"/>
  <c r="AD37" i="5"/>
  <c r="AC37" i="5"/>
  <c r="AB37" i="5"/>
  <c r="AA37" i="5"/>
  <c r="Z37" i="5"/>
  <c r="Y37" i="5"/>
  <c r="X37" i="5"/>
  <c r="W37" i="5"/>
  <c r="V37" i="5"/>
  <c r="T37" i="5"/>
  <c r="R37" i="5"/>
  <c r="Q37" i="5"/>
  <c r="P37" i="5"/>
  <c r="N37" i="5"/>
  <c r="M37" i="5"/>
  <c r="L37" i="5"/>
  <c r="K37" i="5"/>
  <c r="J37" i="5"/>
  <c r="I37" i="5"/>
  <c r="E37" i="5"/>
  <c r="O37" i="5" s="1"/>
  <c r="D37" i="5"/>
  <c r="CY36" i="5"/>
  <c r="CX36" i="5"/>
  <c r="CW36" i="5"/>
  <c r="CV36" i="5"/>
  <c r="CU36" i="5"/>
  <c r="CT36" i="5"/>
  <c r="CR36" i="5"/>
  <c r="CP36" i="5"/>
  <c r="CO36" i="5"/>
  <c r="CN36" i="5"/>
  <c r="CQ36" i="5" s="1"/>
  <c r="CM36" i="5"/>
  <c r="CL36" i="5"/>
  <c r="CK36" i="5"/>
  <c r="CJ36" i="5"/>
  <c r="CH36" i="5"/>
  <c r="CF36" i="5"/>
  <c r="CE36" i="5"/>
  <c r="CD36" i="5"/>
  <c r="CG36" i="5" s="1"/>
  <c r="CC36" i="5"/>
  <c r="CB36" i="5"/>
  <c r="CA36" i="5"/>
  <c r="BZ36" i="5"/>
  <c r="BY36" i="5"/>
  <c r="BX36" i="5"/>
  <c r="BW36" i="5"/>
  <c r="BV36" i="5"/>
  <c r="BU36" i="5"/>
  <c r="BT36" i="5"/>
  <c r="BS36" i="5"/>
  <c r="BR36" i="5"/>
  <c r="BQ36" i="5"/>
  <c r="BP36" i="5"/>
  <c r="BO36" i="5"/>
  <c r="BN36" i="5"/>
  <c r="BL36" i="5"/>
  <c r="BJ36" i="5"/>
  <c r="BI36" i="5"/>
  <c r="BH36" i="5"/>
  <c r="BG36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R36" i="5"/>
  <c r="AP36" i="5"/>
  <c r="AO36" i="5"/>
  <c r="AN36" i="5"/>
  <c r="AM36" i="5"/>
  <c r="AL36" i="5"/>
  <c r="AK36" i="5"/>
  <c r="AJ36" i="5"/>
  <c r="AI36" i="5"/>
  <c r="AH36" i="5"/>
  <c r="AF36" i="5"/>
  <c r="AD36" i="5"/>
  <c r="AC36" i="5"/>
  <c r="AB36" i="5"/>
  <c r="AA36" i="5"/>
  <c r="Z36" i="5"/>
  <c r="Y36" i="5"/>
  <c r="X36" i="5"/>
  <c r="W36" i="5"/>
  <c r="V36" i="5"/>
  <c r="T36" i="5"/>
  <c r="R36" i="5"/>
  <c r="Q36" i="5"/>
  <c r="P36" i="5"/>
  <c r="N36" i="5"/>
  <c r="M36" i="5"/>
  <c r="L36" i="5"/>
  <c r="K36" i="5"/>
  <c r="J36" i="5"/>
  <c r="I36" i="5"/>
  <c r="E36" i="5"/>
  <c r="O36" i="5" s="1"/>
  <c r="D36" i="5"/>
  <c r="CY35" i="5"/>
  <c r="CX35" i="5"/>
  <c r="CW35" i="5"/>
  <c r="CV35" i="5"/>
  <c r="CU35" i="5"/>
  <c r="CT35" i="5"/>
  <c r="CR35" i="5"/>
  <c r="CP35" i="5"/>
  <c r="CO35" i="5"/>
  <c r="CS35" i="5" s="1"/>
  <c r="CN35" i="5"/>
  <c r="CQ35" i="5" s="1"/>
  <c r="CM35" i="5"/>
  <c r="CL35" i="5"/>
  <c r="CK35" i="5"/>
  <c r="CJ35" i="5"/>
  <c r="CH35" i="5"/>
  <c r="CF35" i="5"/>
  <c r="CE35" i="5"/>
  <c r="CD35" i="5"/>
  <c r="CG35" i="5" s="1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L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R35" i="5"/>
  <c r="AP35" i="5"/>
  <c r="AO35" i="5"/>
  <c r="AN35" i="5"/>
  <c r="AM35" i="5"/>
  <c r="AL35" i="5"/>
  <c r="AK35" i="5"/>
  <c r="AJ35" i="5"/>
  <c r="AI35" i="5"/>
  <c r="AH35" i="5"/>
  <c r="AF35" i="5"/>
  <c r="AD35" i="5"/>
  <c r="AC35" i="5"/>
  <c r="AB35" i="5"/>
  <c r="AA35" i="5"/>
  <c r="Z35" i="5"/>
  <c r="Y35" i="5"/>
  <c r="X35" i="5"/>
  <c r="W35" i="5"/>
  <c r="V35" i="5"/>
  <c r="T35" i="5"/>
  <c r="R35" i="5"/>
  <c r="Q35" i="5"/>
  <c r="P35" i="5"/>
  <c r="N35" i="5"/>
  <c r="M35" i="5"/>
  <c r="L35" i="5"/>
  <c r="K35" i="5"/>
  <c r="J35" i="5"/>
  <c r="I35" i="5"/>
  <c r="E35" i="5"/>
  <c r="O35" i="5" s="1"/>
  <c r="D35" i="5"/>
  <c r="CY34" i="5"/>
  <c r="CX34" i="5"/>
  <c r="CW34" i="5"/>
  <c r="CV34" i="5"/>
  <c r="CU34" i="5"/>
  <c r="CT34" i="5"/>
  <c r="CR34" i="5"/>
  <c r="CP34" i="5"/>
  <c r="CO34" i="5"/>
  <c r="CN34" i="5"/>
  <c r="CM34" i="5"/>
  <c r="CL34" i="5"/>
  <c r="CK34" i="5"/>
  <c r="CJ34" i="5"/>
  <c r="CH34" i="5"/>
  <c r="CF34" i="5"/>
  <c r="CE34" i="5"/>
  <c r="CD34" i="5"/>
  <c r="CG34" i="5" s="1"/>
  <c r="CC34" i="5"/>
  <c r="CB34" i="5"/>
  <c r="CA34" i="5"/>
  <c r="BZ34" i="5"/>
  <c r="BY34" i="5"/>
  <c r="BX34" i="5"/>
  <c r="BW34" i="5"/>
  <c r="BV34" i="5"/>
  <c r="BU34" i="5"/>
  <c r="BT34" i="5"/>
  <c r="BS34" i="5"/>
  <c r="BR34" i="5"/>
  <c r="BQ34" i="5"/>
  <c r="BP34" i="5"/>
  <c r="BO34" i="5"/>
  <c r="BN34" i="5"/>
  <c r="BL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R34" i="5"/>
  <c r="AP34" i="5"/>
  <c r="AO34" i="5"/>
  <c r="AN34" i="5"/>
  <c r="AM34" i="5"/>
  <c r="AL34" i="5"/>
  <c r="AK34" i="5"/>
  <c r="AJ34" i="5"/>
  <c r="AI34" i="5"/>
  <c r="AH34" i="5"/>
  <c r="AF34" i="5"/>
  <c r="AD34" i="5"/>
  <c r="AC34" i="5"/>
  <c r="AB34" i="5"/>
  <c r="AA34" i="5"/>
  <c r="Z34" i="5"/>
  <c r="Y34" i="5"/>
  <c r="X34" i="5"/>
  <c r="W34" i="5"/>
  <c r="V34" i="5"/>
  <c r="T34" i="5"/>
  <c r="R34" i="5"/>
  <c r="Q34" i="5"/>
  <c r="P34" i="5"/>
  <c r="N34" i="5"/>
  <c r="M34" i="5"/>
  <c r="L34" i="5"/>
  <c r="K34" i="5"/>
  <c r="J34" i="5"/>
  <c r="I34" i="5"/>
  <c r="E34" i="5"/>
  <c r="O34" i="5" s="1"/>
  <c r="D34" i="5"/>
  <c r="CY33" i="5"/>
  <c r="CX33" i="5"/>
  <c r="CW33" i="5"/>
  <c r="CV33" i="5"/>
  <c r="CU33" i="5"/>
  <c r="CT33" i="5"/>
  <c r="CR33" i="5"/>
  <c r="CP33" i="5"/>
  <c r="CO33" i="5"/>
  <c r="CN33" i="5"/>
  <c r="CM33" i="5"/>
  <c r="CL33" i="5"/>
  <c r="CK33" i="5"/>
  <c r="CJ33" i="5"/>
  <c r="CH33" i="5"/>
  <c r="CF33" i="5"/>
  <c r="CE33" i="5"/>
  <c r="CD33" i="5"/>
  <c r="CG33" i="5" s="1"/>
  <c r="CC33" i="5"/>
  <c r="CB33" i="5"/>
  <c r="CA33" i="5"/>
  <c r="BZ33" i="5"/>
  <c r="BY33" i="5"/>
  <c r="BX33" i="5"/>
  <c r="BW33" i="5"/>
  <c r="BV33" i="5"/>
  <c r="BU33" i="5"/>
  <c r="BT33" i="5"/>
  <c r="BS33" i="5"/>
  <c r="BR33" i="5"/>
  <c r="BQ33" i="5"/>
  <c r="BP33" i="5"/>
  <c r="BO33" i="5"/>
  <c r="BN33" i="5"/>
  <c r="BL33" i="5"/>
  <c r="BJ33" i="5"/>
  <c r="BI33" i="5"/>
  <c r="BH33" i="5"/>
  <c r="BG33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R33" i="5"/>
  <c r="AP33" i="5"/>
  <c r="AO33" i="5"/>
  <c r="AN33" i="5"/>
  <c r="AM33" i="5"/>
  <c r="AL33" i="5"/>
  <c r="AK33" i="5"/>
  <c r="AJ33" i="5"/>
  <c r="AI33" i="5"/>
  <c r="AH33" i="5"/>
  <c r="AF33" i="5"/>
  <c r="AD33" i="5"/>
  <c r="AC33" i="5"/>
  <c r="AB33" i="5"/>
  <c r="AA33" i="5"/>
  <c r="Z33" i="5"/>
  <c r="Y33" i="5"/>
  <c r="X33" i="5"/>
  <c r="W33" i="5"/>
  <c r="V33" i="5"/>
  <c r="T33" i="5"/>
  <c r="R33" i="5"/>
  <c r="Q33" i="5"/>
  <c r="P33" i="5"/>
  <c r="N33" i="5"/>
  <c r="M33" i="5"/>
  <c r="L33" i="5"/>
  <c r="K33" i="5"/>
  <c r="J33" i="5"/>
  <c r="I33" i="5"/>
  <c r="E33" i="5"/>
  <c r="O33" i="5" s="1"/>
  <c r="D33" i="5"/>
  <c r="CY32" i="5"/>
  <c r="CX32" i="5"/>
  <c r="CW32" i="5"/>
  <c r="CV32" i="5"/>
  <c r="CU32" i="5"/>
  <c r="CT32" i="5"/>
  <c r="CR32" i="5"/>
  <c r="CP32" i="5"/>
  <c r="CO32" i="5"/>
  <c r="CN32" i="5"/>
  <c r="CM32" i="5"/>
  <c r="CL32" i="5"/>
  <c r="CK32" i="5"/>
  <c r="CJ32" i="5"/>
  <c r="CH32" i="5"/>
  <c r="CF32" i="5"/>
  <c r="CE32" i="5"/>
  <c r="CD32" i="5"/>
  <c r="CC32" i="5"/>
  <c r="CB32" i="5"/>
  <c r="CA32" i="5"/>
  <c r="BZ32" i="5"/>
  <c r="BY32" i="5"/>
  <c r="BX32" i="5"/>
  <c r="BW32" i="5"/>
  <c r="BV32" i="5"/>
  <c r="BU32" i="5"/>
  <c r="BT32" i="5"/>
  <c r="BS32" i="5"/>
  <c r="BR32" i="5"/>
  <c r="BQ32" i="5"/>
  <c r="BP32" i="5"/>
  <c r="BO32" i="5"/>
  <c r="BN32" i="5"/>
  <c r="BL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R32" i="5"/>
  <c r="AP32" i="5"/>
  <c r="AO32" i="5"/>
  <c r="AN32" i="5"/>
  <c r="AM32" i="5"/>
  <c r="AL32" i="5"/>
  <c r="AK32" i="5"/>
  <c r="AJ32" i="5"/>
  <c r="AI32" i="5"/>
  <c r="AH32" i="5"/>
  <c r="AF32" i="5"/>
  <c r="AD32" i="5"/>
  <c r="AC32" i="5"/>
  <c r="AB32" i="5"/>
  <c r="AA32" i="5"/>
  <c r="Z32" i="5"/>
  <c r="Y32" i="5"/>
  <c r="X32" i="5"/>
  <c r="W32" i="5"/>
  <c r="V32" i="5"/>
  <c r="T32" i="5"/>
  <c r="R32" i="5"/>
  <c r="Q32" i="5"/>
  <c r="P32" i="5"/>
  <c r="N32" i="5"/>
  <c r="M32" i="5"/>
  <c r="L32" i="5"/>
  <c r="K32" i="5"/>
  <c r="J32" i="5"/>
  <c r="I32" i="5"/>
  <c r="E32" i="5"/>
  <c r="D32" i="5"/>
  <c r="CY30" i="5"/>
  <c r="CX30" i="5"/>
  <c r="CW30" i="5"/>
  <c r="CV30" i="5"/>
  <c r="CU30" i="5"/>
  <c r="CT30" i="5"/>
  <c r="CR30" i="5"/>
  <c r="CP30" i="5"/>
  <c r="CO30" i="5"/>
  <c r="CS30" i="5" s="1"/>
  <c r="CN30" i="5"/>
  <c r="CQ30" i="5" s="1"/>
  <c r="CM30" i="5"/>
  <c r="CL30" i="5"/>
  <c r="CK30" i="5"/>
  <c r="CJ30" i="5"/>
  <c r="CH30" i="5"/>
  <c r="CF30" i="5"/>
  <c r="CE30" i="5"/>
  <c r="CD30" i="5"/>
  <c r="CG30" i="5" s="1"/>
  <c r="CC30" i="5"/>
  <c r="CB30" i="5"/>
  <c r="CA30" i="5"/>
  <c r="BZ30" i="5"/>
  <c r="BY30" i="5"/>
  <c r="BX30" i="5"/>
  <c r="BW30" i="5"/>
  <c r="BV30" i="5"/>
  <c r="BU30" i="5"/>
  <c r="BT30" i="5"/>
  <c r="BS30" i="5"/>
  <c r="BR30" i="5"/>
  <c r="BQ30" i="5"/>
  <c r="BP30" i="5"/>
  <c r="BO30" i="5"/>
  <c r="BN30" i="5"/>
  <c r="BL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R30" i="5"/>
  <c r="AP30" i="5"/>
  <c r="AO30" i="5"/>
  <c r="AN30" i="5"/>
  <c r="AM30" i="5"/>
  <c r="AL30" i="5"/>
  <c r="AK30" i="5"/>
  <c r="AJ30" i="5"/>
  <c r="AI30" i="5"/>
  <c r="AH30" i="5"/>
  <c r="AF30" i="5"/>
  <c r="AD30" i="5"/>
  <c r="AC30" i="5"/>
  <c r="AB30" i="5"/>
  <c r="AA30" i="5"/>
  <c r="Z30" i="5"/>
  <c r="Y30" i="5"/>
  <c r="X30" i="5"/>
  <c r="W30" i="5"/>
  <c r="V30" i="5"/>
  <c r="T30" i="5"/>
  <c r="R30" i="5"/>
  <c r="Q30" i="5"/>
  <c r="P30" i="5"/>
  <c r="N30" i="5"/>
  <c r="M30" i="5"/>
  <c r="L30" i="5"/>
  <c r="K30" i="5"/>
  <c r="J30" i="5"/>
  <c r="I30" i="5"/>
  <c r="E30" i="5"/>
  <c r="O30" i="5" s="1"/>
  <c r="D30" i="5"/>
  <c r="CY29" i="5"/>
  <c r="CX29" i="5"/>
  <c r="CW29" i="5"/>
  <c r="CV29" i="5"/>
  <c r="CU29" i="5"/>
  <c r="CT29" i="5"/>
  <c r="CR29" i="5"/>
  <c r="CP29" i="5"/>
  <c r="CO29" i="5"/>
  <c r="CN29" i="5"/>
  <c r="CM29" i="5"/>
  <c r="CL29" i="5"/>
  <c r="CK29" i="5"/>
  <c r="CJ29" i="5"/>
  <c r="CH29" i="5"/>
  <c r="CF29" i="5"/>
  <c r="CE29" i="5"/>
  <c r="CD29" i="5"/>
  <c r="CG29" i="5" s="1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L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R29" i="5"/>
  <c r="AP29" i="5"/>
  <c r="AO29" i="5"/>
  <c r="AN29" i="5"/>
  <c r="AM29" i="5"/>
  <c r="AL29" i="5"/>
  <c r="AK29" i="5"/>
  <c r="AJ29" i="5"/>
  <c r="AI29" i="5"/>
  <c r="AH29" i="5"/>
  <c r="AF29" i="5"/>
  <c r="AD29" i="5"/>
  <c r="AC29" i="5"/>
  <c r="AB29" i="5"/>
  <c r="AA29" i="5"/>
  <c r="Z29" i="5"/>
  <c r="Y29" i="5"/>
  <c r="X29" i="5"/>
  <c r="W29" i="5"/>
  <c r="V29" i="5"/>
  <c r="T29" i="5"/>
  <c r="R29" i="5"/>
  <c r="Q29" i="5"/>
  <c r="P29" i="5"/>
  <c r="N29" i="5"/>
  <c r="M29" i="5"/>
  <c r="L29" i="5"/>
  <c r="K29" i="5"/>
  <c r="J29" i="5"/>
  <c r="I29" i="5"/>
  <c r="E29" i="5"/>
  <c r="O29" i="5" s="1"/>
  <c r="D29" i="5"/>
  <c r="CY28" i="5"/>
  <c r="CX28" i="5"/>
  <c r="CW28" i="5"/>
  <c r="CV28" i="5"/>
  <c r="CU28" i="5"/>
  <c r="CT28" i="5"/>
  <c r="CR28" i="5"/>
  <c r="CP28" i="5"/>
  <c r="CO28" i="5"/>
  <c r="CN28" i="5"/>
  <c r="CM28" i="5"/>
  <c r="CL28" i="5"/>
  <c r="CK28" i="5"/>
  <c r="CJ28" i="5"/>
  <c r="CH28" i="5"/>
  <c r="CF28" i="5"/>
  <c r="CE28" i="5"/>
  <c r="CD28" i="5"/>
  <c r="CG28" i="5" s="1"/>
  <c r="CC28" i="5"/>
  <c r="CB28" i="5"/>
  <c r="CA28" i="5"/>
  <c r="BZ28" i="5"/>
  <c r="BY28" i="5"/>
  <c r="BX28" i="5"/>
  <c r="BW28" i="5"/>
  <c r="BV28" i="5"/>
  <c r="BU28" i="5"/>
  <c r="BT28" i="5"/>
  <c r="BS28" i="5"/>
  <c r="BR28" i="5"/>
  <c r="BQ28" i="5"/>
  <c r="BP28" i="5"/>
  <c r="BO28" i="5"/>
  <c r="BN28" i="5"/>
  <c r="BL28" i="5"/>
  <c r="BJ28" i="5"/>
  <c r="BI28" i="5"/>
  <c r="BH28" i="5"/>
  <c r="BG28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R28" i="5"/>
  <c r="AP28" i="5"/>
  <c r="AO28" i="5"/>
  <c r="AN28" i="5"/>
  <c r="AM28" i="5"/>
  <c r="AL28" i="5"/>
  <c r="AK28" i="5"/>
  <c r="AJ28" i="5"/>
  <c r="AI28" i="5"/>
  <c r="AH28" i="5"/>
  <c r="AF28" i="5"/>
  <c r="AD28" i="5"/>
  <c r="AC28" i="5"/>
  <c r="AB28" i="5"/>
  <c r="AA28" i="5"/>
  <c r="Z28" i="5"/>
  <c r="Y28" i="5"/>
  <c r="X28" i="5"/>
  <c r="W28" i="5"/>
  <c r="V28" i="5"/>
  <c r="T28" i="5"/>
  <c r="R28" i="5"/>
  <c r="Q28" i="5"/>
  <c r="P28" i="5"/>
  <c r="N28" i="5"/>
  <c r="M28" i="5"/>
  <c r="L28" i="5"/>
  <c r="K28" i="5"/>
  <c r="J28" i="5"/>
  <c r="I28" i="5"/>
  <c r="E28" i="5"/>
  <c r="O28" i="5" s="1"/>
  <c r="D28" i="5"/>
  <c r="CY27" i="5"/>
  <c r="CX27" i="5"/>
  <c r="CW27" i="5"/>
  <c r="CV27" i="5"/>
  <c r="CU27" i="5"/>
  <c r="CT27" i="5"/>
  <c r="CR27" i="5"/>
  <c r="CP27" i="5"/>
  <c r="CO27" i="5"/>
  <c r="CN27" i="5"/>
  <c r="CM27" i="5"/>
  <c r="CL27" i="5"/>
  <c r="CK27" i="5"/>
  <c r="CJ27" i="5"/>
  <c r="CH27" i="5"/>
  <c r="CF27" i="5"/>
  <c r="CE27" i="5"/>
  <c r="CD27" i="5"/>
  <c r="CG27" i="5" s="1"/>
  <c r="CC27" i="5"/>
  <c r="CB27" i="5"/>
  <c r="CA27" i="5"/>
  <c r="BZ27" i="5"/>
  <c r="BY27" i="5"/>
  <c r="BX27" i="5"/>
  <c r="BW27" i="5"/>
  <c r="BV27" i="5"/>
  <c r="BU27" i="5"/>
  <c r="BT27" i="5"/>
  <c r="BS27" i="5"/>
  <c r="BR27" i="5"/>
  <c r="BQ27" i="5"/>
  <c r="BP27" i="5"/>
  <c r="BO27" i="5"/>
  <c r="BN27" i="5"/>
  <c r="BL27" i="5"/>
  <c r="BJ27" i="5"/>
  <c r="BI27" i="5"/>
  <c r="BH27" i="5"/>
  <c r="BG27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R27" i="5"/>
  <c r="AP27" i="5"/>
  <c r="AO27" i="5"/>
  <c r="AN27" i="5"/>
  <c r="AM27" i="5"/>
  <c r="AL27" i="5"/>
  <c r="AK27" i="5"/>
  <c r="AJ27" i="5"/>
  <c r="AI27" i="5"/>
  <c r="AH27" i="5"/>
  <c r="AF27" i="5"/>
  <c r="AD27" i="5"/>
  <c r="AC27" i="5"/>
  <c r="AB27" i="5"/>
  <c r="AA27" i="5"/>
  <c r="Z27" i="5"/>
  <c r="Y27" i="5"/>
  <c r="X27" i="5"/>
  <c r="W27" i="5"/>
  <c r="V27" i="5"/>
  <c r="T27" i="5"/>
  <c r="R27" i="5"/>
  <c r="Q27" i="5"/>
  <c r="P27" i="5"/>
  <c r="N27" i="5"/>
  <c r="M27" i="5"/>
  <c r="L27" i="5"/>
  <c r="K27" i="5"/>
  <c r="J27" i="5"/>
  <c r="I27" i="5"/>
  <c r="E27" i="5"/>
  <c r="O27" i="5" s="1"/>
  <c r="D27" i="5"/>
  <c r="CY26" i="5"/>
  <c r="CX26" i="5"/>
  <c r="CW26" i="5"/>
  <c r="CV26" i="5"/>
  <c r="CU26" i="5"/>
  <c r="CT26" i="5"/>
  <c r="CR26" i="5"/>
  <c r="CP26" i="5"/>
  <c r="CO26" i="5"/>
  <c r="CN26" i="5"/>
  <c r="CM26" i="5"/>
  <c r="CL26" i="5"/>
  <c r="CK26" i="5"/>
  <c r="CJ26" i="5"/>
  <c r="CH26" i="5"/>
  <c r="CF26" i="5"/>
  <c r="CE26" i="5"/>
  <c r="CD26" i="5"/>
  <c r="CG26" i="5" s="1"/>
  <c r="CC26" i="5"/>
  <c r="CB26" i="5"/>
  <c r="CA26" i="5"/>
  <c r="BZ26" i="5"/>
  <c r="BY26" i="5"/>
  <c r="BX26" i="5"/>
  <c r="BW26" i="5"/>
  <c r="BV26" i="5"/>
  <c r="BU26" i="5"/>
  <c r="BT26" i="5"/>
  <c r="BS26" i="5"/>
  <c r="BR26" i="5"/>
  <c r="BQ26" i="5"/>
  <c r="BP26" i="5"/>
  <c r="BO26" i="5"/>
  <c r="BN26" i="5"/>
  <c r="BL26" i="5"/>
  <c r="BJ26" i="5"/>
  <c r="BI26" i="5"/>
  <c r="BH26" i="5"/>
  <c r="BG26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R26" i="5"/>
  <c r="AP26" i="5"/>
  <c r="AO26" i="5"/>
  <c r="AN26" i="5"/>
  <c r="AM26" i="5"/>
  <c r="AL26" i="5"/>
  <c r="AK26" i="5"/>
  <c r="AJ26" i="5"/>
  <c r="AI26" i="5"/>
  <c r="AH26" i="5"/>
  <c r="AF26" i="5"/>
  <c r="AD26" i="5"/>
  <c r="AC26" i="5"/>
  <c r="AB26" i="5"/>
  <c r="AA26" i="5"/>
  <c r="Z26" i="5"/>
  <c r="Y26" i="5"/>
  <c r="X26" i="5"/>
  <c r="W26" i="5"/>
  <c r="V26" i="5"/>
  <c r="T26" i="5"/>
  <c r="R26" i="5"/>
  <c r="Q26" i="5"/>
  <c r="P26" i="5"/>
  <c r="N26" i="5"/>
  <c r="M26" i="5"/>
  <c r="L26" i="5"/>
  <c r="K26" i="5"/>
  <c r="J26" i="5"/>
  <c r="I26" i="5"/>
  <c r="E26" i="5"/>
  <c r="O26" i="5" s="1"/>
  <c r="D26" i="5"/>
  <c r="CY25" i="5"/>
  <c r="CX25" i="5"/>
  <c r="CW25" i="5"/>
  <c r="CV25" i="5"/>
  <c r="CU25" i="5"/>
  <c r="CT25" i="5"/>
  <c r="CR25" i="5"/>
  <c r="CP25" i="5"/>
  <c r="CO25" i="5"/>
  <c r="CS25" i="5" s="1"/>
  <c r="CN25" i="5"/>
  <c r="CQ25" i="5" s="1"/>
  <c r="CM25" i="5"/>
  <c r="CL25" i="5"/>
  <c r="CK25" i="5"/>
  <c r="CJ25" i="5"/>
  <c r="CH25" i="5"/>
  <c r="CF25" i="5"/>
  <c r="CE25" i="5"/>
  <c r="CD25" i="5"/>
  <c r="CG25" i="5" s="1"/>
  <c r="CC25" i="5"/>
  <c r="CB25" i="5"/>
  <c r="CA25" i="5"/>
  <c r="BZ25" i="5"/>
  <c r="BY25" i="5"/>
  <c r="BX25" i="5"/>
  <c r="BW25" i="5"/>
  <c r="BV25" i="5"/>
  <c r="BU25" i="5"/>
  <c r="BT25" i="5"/>
  <c r="BS25" i="5"/>
  <c r="BR25" i="5"/>
  <c r="BQ25" i="5"/>
  <c r="BP25" i="5"/>
  <c r="BO25" i="5"/>
  <c r="BN25" i="5"/>
  <c r="BL25" i="5"/>
  <c r="BJ25" i="5"/>
  <c r="BI25" i="5"/>
  <c r="BH25" i="5"/>
  <c r="BG25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R25" i="5"/>
  <c r="AP25" i="5"/>
  <c r="AO25" i="5"/>
  <c r="AS25" i="5" s="1"/>
  <c r="AN25" i="5"/>
  <c r="AQ25" i="5" s="1"/>
  <c r="AM25" i="5"/>
  <c r="AL25" i="5"/>
  <c r="AK25" i="5"/>
  <c r="AJ25" i="5"/>
  <c r="AI25" i="5"/>
  <c r="AH25" i="5"/>
  <c r="AF25" i="5"/>
  <c r="AD25" i="5"/>
  <c r="AC25" i="5"/>
  <c r="AG25" i="5" s="1"/>
  <c r="AB25" i="5"/>
  <c r="AE25" i="5" s="1"/>
  <c r="AA25" i="5"/>
  <c r="Z25" i="5"/>
  <c r="Y25" i="5"/>
  <c r="X25" i="5"/>
  <c r="W25" i="5"/>
  <c r="V25" i="5"/>
  <c r="T25" i="5"/>
  <c r="R25" i="5"/>
  <c r="Q25" i="5"/>
  <c r="U25" i="5" s="1"/>
  <c r="P25" i="5"/>
  <c r="S25" i="5" s="1"/>
  <c r="N25" i="5"/>
  <c r="M25" i="5"/>
  <c r="L25" i="5"/>
  <c r="K25" i="5"/>
  <c r="J25" i="5"/>
  <c r="I25" i="5"/>
  <c r="E25" i="5"/>
  <c r="O25" i="5" s="1"/>
  <c r="D25" i="5"/>
  <c r="CY24" i="5"/>
  <c r="CX24" i="5"/>
  <c r="CW24" i="5"/>
  <c r="CV24" i="5"/>
  <c r="CU24" i="5"/>
  <c r="CT24" i="5"/>
  <c r="CR24" i="5"/>
  <c r="CP24" i="5"/>
  <c r="CO24" i="5"/>
  <c r="CN24" i="5"/>
  <c r="CM24" i="5"/>
  <c r="CL24" i="5"/>
  <c r="CK24" i="5"/>
  <c r="CJ24" i="5"/>
  <c r="CH24" i="5"/>
  <c r="CF24" i="5"/>
  <c r="CE24" i="5"/>
  <c r="CD24" i="5"/>
  <c r="CG24" i="5" s="1"/>
  <c r="CC24" i="5"/>
  <c r="CB24" i="5"/>
  <c r="CA24" i="5"/>
  <c r="BZ24" i="5"/>
  <c r="BY24" i="5"/>
  <c r="BX24" i="5"/>
  <c r="BW24" i="5"/>
  <c r="BV24" i="5"/>
  <c r="BU24" i="5"/>
  <c r="BT24" i="5"/>
  <c r="BS24" i="5"/>
  <c r="BR24" i="5"/>
  <c r="BQ24" i="5"/>
  <c r="BP24" i="5"/>
  <c r="BO24" i="5"/>
  <c r="BN24" i="5"/>
  <c r="BL24" i="5"/>
  <c r="BJ24" i="5"/>
  <c r="BI24" i="5"/>
  <c r="BH24" i="5"/>
  <c r="BG24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R24" i="5"/>
  <c r="AP24" i="5"/>
  <c r="AO24" i="5"/>
  <c r="AN24" i="5"/>
  <c r="AM24" i="5"/>
  <c r="AL24" i="5"/>
  <c r="AK24" i="5"/>
  <c r="AJ24" i="5"/>
  <c r="AI24" i="5"/>
  <c r="AH24" i="5"/>
  <c r="AF24" i="5"/>
  <c r="AD24" i="5"/>
  <c r="AC24" i="5"/>
  <c r="AB24" i="5"/>
  <c r="AA24" i="5"/>
  <c r="Z24" i="5"/>
  <c r="Y24" i="5"/>
  <c r="X24" i="5"/>
  <c r="W24" i="5"/>
  <c r="V24" i="5"/>
  <c r="T24" i="5"/>
  <c r="R24" i="5"/>
  <c r="Q24" i="5"/>
  <c r="P24" i="5"/>
  <c r="N24" i="5"/>
  <c r="M24" i="5"/>
  <c r="L24" i="5"/>
  <c r="K24" i="5"/>
  <c r="J24" i="5"/>
  <c r="E24" i="5"/>
  <c r="O24" i="5" s="1"/>
  <c r="D24" i="5"/>
  <c r="CY23" i="5"/>
  <c r="CX23" i="5"/>
  <c r="CW23" i="5"/>
  <c r="CV23" i="5"/>
  <c r="CU23" i="5"/>
  <c r="CT23" i="5"/>
  <c r="CR23" i="5"/>
  <c r="CP23" i="5"/>
  <c r="CO23" i="5"/>
  <c r="CN23" i="5"/>
  <c r="CM23" i="5"/>
  <c r="CL23" i="5"/>
  <c r="CK23" i="5"/>
  <c r="CJ23" i="5"/>
  <c r="CH23" i="5"/>
  <c r="CF23" i="5"/>
  <c r="CE23" i="5"/>
  <c r="CD23" i="5"/>
  <c r="CG23" i="5" s="1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L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R23" i="5"/>
  <c r="AP23" i="5"/>
  <c r="AO23" i="5"/>
  <c r="AN23" i="5"/>
  <c r="AM23" i="5"/>
  <c r="AL23" i="5"/>
  <c r="AK23" i="5"/>
  <c r="AJ23" i="5"/>
  <c r="AI23" i="5"/>
  <c r="AH23" i="5"/>
  <c r="AF23" i="5"/>
  <c r="AD23" i="5"/>
  <c r="AC23" i="5"/>
  <c r="AB23" i="5"/>
  <c r="AA23" i="5"/>
  <c r="Z23" i="5"/>
  <c r="Y23" i="5"/>
  <c r="X23" i="5"/>
  <c r="W23" i="5"/>
  <c r="V23" i="5"/>
  <c r="T23" i="5"/>
  <c r="R23" i="5"/>
  <c r="Q23" i="5"/>
  <c r="P23" i="5"/>
  <c r="N23" i="5"/>
  <c r="M23" i="5"/>
  <c r="L23" i="5"/>
  <c r="K23" i="5"/>
  <c r="J23" i="5"/>
  <c r="I23" i="5"/>
  <c r="E23" i="5"/>
  <c r="O23" i="5" s="1"/>
  <c r="D23" i="5"/>
  <c r="CY22" i="5"/>
  <c r="CX22" i="5"/>
  <c r="CW22" i="5"/>
  <c r="CV22" i="5"/>
  <c r="CU22" i="5"/>
  <c r="CT22" i="5"/>
  <c r="CR22" i="5"/>
  <c r="CP22" i="5"/>
  <c r="CO22" i="5"/>
  <c r="CN22" i="5"/>
  <c r="CM22" i="5"/>
  <c r="CL22" i="5"/>
  <c r="CK22" i="5"/>
  <c r="CJ22" i="5"/>
  <c r="CH22" i="5"/>
  <c r="CF22" i="5"/>
  <c r="CE22" i="5"/>
  <c r="CD22" i="5"/>
  <c r="CG22" i="5" s="1"/>
  <c r="CC22" i="5"/>
  <c r="CB22" i="5"/>
  <c r="CA22" i="5"/>
  <c r="BZ22" i="5"/>
  <c r="BY22" i="5"/>
  <c r="BX22" i="5"/>
  <c r="BW22" i="5"/>
  <c r="BV22" i="5"/>
  <c r="BU22" i="5"/>
  <c r="BT22" i="5"/>
  <c r="BS22" i="5"/>
  <c r="BR22" i="5"/>
  <c r="BQ22" i="5"/>
  <c r="BP22" i="5"/>
  <c r="BO22" i="5"/>
  <c r="BN22" i="5"/>
  <c r="BL22" i="5"/>
  <c r="BJ22" i="5"/>
  <c r="BI22" i="5"/>
  <c r="BH22" i="5"/>
  <c r="BG22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R22" i="5"/>
  <c r="AP22" i="5"/>
  <c r="AO22" i="5"/>
  <c r="AN22" i="5"/>
  <c r="AM22" i="5"/>
  <c r="AL22" i="5"/>
  <c r="AK22" i="5"/>
  <c r="AJ22" i="5"/>
  <c r="AI22" i="5"/>
  <c r="AH22" i="5"/>
  <c r="AF22" i="5"/>
  <c r="AD22" i="5"/>
  <c r="AC22" i="5"/>
  <c r="AB22" i="5"/>
  <c r="AA22" i="5"/>
  <c r="Z22" i="5"/>
  <c r="Y22" i="5"/>
  <c r="X22" i="5"/>
  <c r="W22" i="5"/>
  <c r="V22" i="5"/>
  <c r="T22" i="5"/>
  <c r="R22" i="5"/>
  <c r="Q22" i="5"/>
  <c r="P22" i="5"/>
  <c r="N22" i="5"/>
  <c r="M22" i="5"/>
  <c r="L22" i="5"/>
  <c r="K22" i="5"/>
  <c r="J22" i="5"/>
  <c r="I22" i="5"/>
  <c r="E22" i="5"/>
  <c r="O22" i="5" s="1"/>
  <c r="D22" i="5"/>
  <c r="CY21" i="5"/>
  <c r="CX21" i="5"/>
  <c r="CW21" i="5"/>
  <c r="CV21" i="5"/>
  <c r="CU21" i="5"/>
  <c r="CT21" i="5"/>
  <c r="CR21" i="5"/>
  <c r="CP21" i="5"/>
  <c r="CO21" i="5"/>
  <c r="CS21" i="5" s="1"/>
  <c r="CN21" i="5"/>
  <c r="CQ21" i="5" s="1"/>
  <c r="CM21" i="5"/>
  <c r="CL21" i="5"/>
  <c r="CK21" i="5"/>
  <c r="CJ21" i="5"/>
  <c r="CH21" i="5"/>
  <c r="CF21" i="5"/>
  <c r="CE21" i="5"/>
  <c r="CD21" i="5"/>
  <c r="CG21" i="5" s="1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L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R21" i="5"/>
  <c r="AP21" i="5"/>
  <c r="AO21" i="5"/>
  <c r="AN21" i="5"/>
  <c r="AM21" i="5"/>
  <c r="AL21" i="5"/>
  <c r="AK21" i="5"/>
  <c r="AJ21" i="5"/>
  <c r="AI21" i="5"/>
  <c r="AH21" i="5"/>
  <c r="AF21" i="5"/>
  <c r="AD21" i="5"/>
  <c r="AC21" i="5"/>
  <c r="AB21" i="5"/>
  <c r="AA21" i="5"/>
  <c r="Z21" i="5"/>
  <c r="Y21" i="5"/>
  <c r="X21" i="5"/>
  <c r="W21" i="5"/>
  <c r="V21" i="5"/>
  <c r="T21" i="5"/>
  <c r="R21" i="5"/>
  <c r="Q21" i="5"/>
  <c r="P21" i="5"/>
  <c r="N21" i="5"/>
  <c r="M21" i="5"/>
  <c r="L21" i="5"/>
  <c r="K21" i="5"/>
  <c r="J21" i="5"/>
  <c r="I21" i="5"/>
  <c r="E21" i="5"/>
  <c r="O21" i="5" s="1"/>
  <c r="D21" i="5"/>
  <c r="CY20" i="5"/>
  <c r="CX20" i="5"/>
  <c r="CW20" i="5"/>
  <c r="CV20" i="5"/>
  <c r="CU20" i="5"/>
  <c r="CT20" i="5"/>
  <c r="CR20" i="5"/>
  <c r="CP20" i="5"/>
  <c r="CO20" i="5"/>
  <c r="CS20" i="5" s="1"/>
  <c r="CN20" i="5"/>
  <c r="CQ20" i="5" s="1"/>
  <c r="CM20" i="5"/>
  <c r="CL20" i="5"/>
  <c r="CK20" i="5"/>
  <c r="CJ20" i="5"/>
  <c r="CH20" i="5"/>
  <c r="CF20" i="5"/>
  <c r="CE20" i="5"/>
  <c r="CD20" i="5"/>
  <c r="CG20" i="5" s="1"/>
  <c r="CC20" i="5"/>
  <c r="CB20" i="5"/>
  <c r="CA20" i="5"/>
  <c r="BZ20" i="5"/>
  <c r="BY20" i="5"/>
  <c r="BX20" i="5"/>
  <c r="BW20" i="5"/>
  <c r="BV20" i="5"/>
  <c r="BU20" i="5"/>
  <c r="BT20" i="5"/>
  <c r="BS20" i="5"/>
  <c r="BR20" i="5"/>
  <c r="BQ20" i="5"/>
  <c r="BP20" i="5"/>
  <c r="BO20" i="5"/>
  <c r="BN20" i="5"/>
  <c r="BL20" i="5"/>
  <c r="BJ20" i="5"/>
  <c r="BI20" i="5"/>
  <c r="BH20" i="5"/>
  <c r="BG20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R20" i="5"/>
  <c r="AP20" i="5"/>
  <c r="AO20" i="5"/>
  <c r="AN20" i="5"/>
  <c r="AM20" i="5"/>
  <c r="AL20" i="5"/>
  <c r="AK20" i="5"/>
  <c r="AJ20" i="5"/>
  <c r="AI20" i="5"/>
  <c r="AH20" i="5"/>
  <c r="AF20" i="5"/>
  <c r="AD20" i="5"/>
  <c r="AC20" i="5"/>
  <c r="AB20" i="5"/>
  <c r="AA20" i="5"/>
  <c r="Z20" i="5"/>
  <c r="Y20" i="5"/>
  <c r="X20" i="5"/>
  <c r="W20" i="5"/>
  <c r="V20" i="5"/>
  <c r="T20" i="5"/>
  <c r="R20" i="5"/>
  <c r="Q20" i="5"/>
  <c r="P20" i="5"/>
  <c r="N20" i="5"/>
  <c r="M20" i="5"/>
  <c r="L20" i="5"/>
  <c r="K20" i="5"/>
  <c r="J20" i="5"/>
  <c r="I20" i="5"/>
  <c r="E20" i="5"/>
  <c r="O20" i="5" s="1"/>
  <c r="D20" i="5"/>
  <c r="CY19" i="5"/>
  <c r="CX19" i="5"/>
  <c r="CW19" i="5"/>
  <c r="CV19" i="5"/>
  <c r="CU19" i="5"/>
  <c r="CT19" i="5"/>
  <c r="CR19" i="5"/>
  <c r="CP19" i="5"/>
  <c r="CO19" i="5"/>
  <c r="CS19" i="5" s="1"/>
  <c r="CN19" i="5"/>
  <c r="CQ19" i="5" s="1"/>
  <c r="CM19" i="5"/>
  <c r="CL19" i="5"/>
  <c r="CK19" i="5"/>
  <c r="CJ19" i="5"/>
  <c r="CH19" i="5"/>
  <c r="CF19" i="5"/>
  <c r="CE19" i="5"/>
  <c r="CD19" i="5"/>
  <c r="CG19" i="5" s="1"/>
  <c r="CC19" i="5"/>
  <c r="CB19" i="5"/>
  <c r="CA19" i="5"/>
  <c r="BZ19" i="5"/>
  <c r="BY19" i="5"/>
  <c r="BX19" i="5"/>
  <c r="BW19" i="5"/>
  <c r="BV19" i="5"/>
  <c r="BU19" i="5"/>
  <c r="BT19" i="5"/>
  <c r="BS19" i="5"/>
  <c r="BR19" i="5"/>
  <c r="BQ19" i="5"/>
  <c r="BP19" i="5"/>
  <c r="BO19" i="5"/>
  <c r="BN19" i="5"/>
  <c r="BL19" i="5"/>
  <c r="BJ19" i="5"/>
  <c r="BI19" i="5"/>
  <c r="BH19" i="5"/>
  <c r="BG19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R19" i="5"/>
  <c r="AP19" i="5"/>
  <c r="AO19" i="5"/>
  <c r="AN19" i="5"/>
  <c r="AM19" i="5"/>
  <c r="AL19" i="5"/>
  <c r="AK19" i="5"/>
  <c r="AJ19" i="5"/>
  <c r="AI19" i="5"/>
  <c r="AH19" i="5"/>
  <c r="AF19" i="5"/>
  <c r="AD19" i="5"/>
  <c r="AC19" i="5"/>
  <c r="AB19" i="5"/>
  <c r="AA19" i="5"/>
  <c r="Z19" i="5"/>
  <c r="Y19" i="5"/>
  <c r="X19" i="5"/>
  <c r="W19" i="5"/>
  <c r="V19" i="5"/>
  <c r="T19" i="5"/>
  <c r="R19" i="5"/>
  <c r="Q19" i="5"/>
  <c r="P19" i="5"/>
  <c r="N19" i="5"/>
  <c r="M19" i="5"/>
  <c r="L19" i="5"/>
  <c r="K19" i="5"/>
  <c r="J19" i="5"/>
  <c r="I19" i="5"/>
  <c r="E19" i="5"/>
  <c r="O19" i="5" s="1"/>
  <c r="D19" i="5"/>
  <c r="CY18" i="5"/>
  <c r="CX18" i="5"/>
  <c r="CW18" i="5"/>
  <c r="CV18" i="5"/>
  <c r="CU18" i="5"/>
  <c r="CT18" i="5"/>
  <c r="CR18" i="5"/>
  <c r="CP18" i="5"/>
  <c r="CO18" i="5"/>
  <c r="CS18" i="5" s="1"/>
  <c r="CN18" i="5"/>
  <c r="CQ18" i="5" s="1"/>
  <c r="CM18" i="5"/>
  <c r="CL18" i="5"/>
  <c r="CK18" i="5"/>
  <c r="CJ18" i="5"/>
  <c r="CH18" i="5"/>
  <c r="CF18" i="5"/>
  <c r="CE18" i="5"/>
  <c r="CD18" i="5"/>
  <c r="CC18" i="5"/>
  <c r="CB18" i="5"/>
  <c r="CA18" i="5"/>
  <c r="BZ18" i="5"/>
  <c r="BY18" i="5"/>
  <c r="BX18" i="5"/>
  <c r="BW18" i="5"/>
  <c r="BV18" i="5"/>
  <c r="BU18" i="5"/>
  <c r="BT18" i="5"/>
  <c r="BS18" i="5"/>
  <c r="BR18" i="5"/>
  <c r="BQ18" i="5"/>
  <c r="BP18" i="5"/>
  <c r="BO18" i="5"/>
  <c r="BN18" i="5"/>
  <c r="BL18" i="5"/>
  <c r="BJ18" i="5"/>
  <c r="BI18" i="5"/>
  <c r="BH18" i="5"/>
  <c r="BG18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R18" i="5"/>
  <c r="AP18" i="5"/>
  <c r="AO18" i="5"/>
  <c r="AN18" i="5"/>
  <c r="AM18" i="5"/>
  <c r="AL18" i="5"/>
  <c r="AK18" i="5"/>
  <c r="AJ18" i="5"/>
  <c r="AI18" i="5"/>
  <c r="AH18" i="5"/>
  <c r="AF18" i="5"/>
  <c r="AD18" i="5"/>
  <c r="AC18" i="5"/>
  <c r="AB18" i="5"/>
  <c r="AA18" i="5"/>
  <c r="Z18" i="5"/>
  <c r="Y18" i="5"/>
  <c r="X18" i="5"/>
  <c r="W18" i="5"/>
  <c r="V18" i="5"/>
  <c r="T18" i="5"/>
  <c r="R18" i="5"/>
  <c r="Q18" i="5"/>
  <c r="P18" i="5"/>
  <c r="N18" i="5"/>
  <c r="M18" i="5"/>
  <c r="L18" i="5"/>
  <c r="K18" i="5"/>
  <c r="J18" i="5"/>
  <c r="I18" i="5"/>
  <c r="E18" i="5"/>
  <c r="O18" i="5" s="1"/>
  <c r="D18" i="5"/>
  <c r="CY17" i="5"/>
  <c r="CX17" i="5"/>
  <c r="CW17" i="5"/>
  <c r="CV17" i="5"/>
  <c r="CU17" i="5"/>
  <c r="CT17" i="5"/>
  <c r="CR17" i="5"/>
  <c r="CP17" i="5"/>
  <c r="CO17" i="5"/>
  <c r="CN17" i="5"/>
  <c r="CM17" i="5"/>
  <c r="CL17" i="5"/>
  <c r="CK17" i="5"/>
  <c r="CJ17" i="5"/>
  <c r="CH17" i="5"/>
  <c r="CF17" i="5"/>
  <c r="CE17" i="5"/>
  <c r="CD17" i="5"/>
  <c r="CG17" i="5" s="1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L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R17" i="5"/>
  <c r="AP17" i="5"/>
  <c r="AO17" i="5"/>
  <c r="AN17" i="5"/>
  <c r="AM17" i="5"/>
  <c r="AL17" i="5"/>
  <c r="AK17" i="5"/>
  <c r="AJ17" i="5"/>
  <c r="AI17" i="5"/>
  <c r="AH17" i="5"/>
  <c r="AF17" i="5"/>
  <c r="AD17" i="5"/>
  <c r="AC17" i="5"/>
  <c r="AB17" i="5"/>
  <c r="AA17" i="5"/>
  <c r="Z17" i="5"/>
  <c r="Y17" i="5"/>
  <c r="X17" i="5"/>
  <c r="W17" i="5"/>
  <c r="V17" i="5"/>
  <c r="T17" i="5"/>
  <c r="R17" i="5"/>
  <c r="Q17" i="5"/>
  <c r="P17" i="5"/>
  <c r="N17" i="5"/>
  <c r="L17" i="5"/>
  <c r="K17" i="5"/>
  <c r="J17" i="5"/>
  <c r="I17" i="5"/>
  <c r="E17" i="5"/>
  <c r="O17" i="5" s="1"/>
  <c r="D17" i="5"/>
  <c r="CY16" i="5"/>
  <c r="CX16" i="5"/>
  <c r="CW16" i="5"/>
  <c r="CV16" i="5"/>
  <c r="CU16" i="5"/>
  <c r="CT16" i="5"/>
  <c r="CR16" i="5"/>
  <c r="CP16" i="5"/>
  <c r="CO16" i="5"/>
  <c r="CN16" i="5"/>
  <c r="CM16" i="5"/>
  <c r="CL16" i="5"/>
  <c r="CK16" i="5"/>
  <c r="CJ16" i="5"/>
  <c r="CH16" i="5"/>
  <c r="CF16" i="5"/>
  <c r="CE16" i="5"/>
  <c r="CD16" i="5"/>
  <c r="CG16" i="5" s="1"/>
  <c r="CC16" i="5"/>
  <c r="CB16" i="5"/>
  <c r="CA16" i="5"/>
  <c r="BZ16" i="5"/>
  <c r="BY16" i="5"/>
  <c r="BX16" i="5"/>
  <c r="BW16" i="5"/>
  <c r="BV16" i="5"/>
  <c r="BU16" i="5"/>
  <c r="BT16" i="5"/>
  <c r="BS16" i="5"/>
  <c r="BR16" i="5"/>
  <c r="BQ16" i="5"/>
  <c r="BP16" i="5"/>
  <c r="BO16" i="5"/>
  <c r="BN16" i="5"/>
  <c r="BL16" i="5"/>
  <c r="BJ16" i="5"/>
  <c r="BI16" i="5"/>
  <c r="BH16" i="5"/>
  <c r="BG16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R16" i="5"/>
  <c r="AP16" i="5"/>
  <c r="AO16" i="5"/>
  <c r="AN16" i="5"/>
  <c r="AM16" i="5"/>
  <c r="AL16" i="5"/>
  <c r="AK16" i="5"/>
  <c r="AJ16" i="5"/>
  <c r="AI16" i="5"/>
  <c r="AH16" i="5"/>
  <c r="AF16" i="5"/>
  <c r="AD16" i="5"/>
  <c r="AC16" i="5"/>
  <c r="AB16" i="5"/>
  <c r="AA16" i="5"/>
  <c r="Z16" i="5"/>
  <c r="Y16" i="5"/>
  <c r="X16" i="5"/>
  <c r="W16" i="5"/>
  <c r="V16" i="5"/>
  <c r="T16" i="5"/>
  <c r="R16" i="5"/>
  <c r="Q16" i="5"/>
  <c r="P16" i="5"/>
  <c r="N16" i="5"/>
  <c r="M16" i="5"/>
  <c r="L16" i="5"/>
  <c r="K16" i="5"/>
  <c r="J16" i="5"/>
  <c r="I16" i="5"/>
  <c r="E16" i="5"/>
  <c r="O16" i="5" s="1"/>
  <c r="D16" i="5"/>
  <c r="CY15" i="5"/>
  <c r="CX15" i="5"/>
  <c r="CW15" i="5"/>
  <c r="CV15" i="5"/>
  <c r="CU15" i="5"/>
  <c r="CT15" i="5"/>
  <c r="CR15" i="5"/>
  <c r="CP15" i="5"/>
  <c r="CO15" i="5"/>
  <c r="CS15" i="5" s="1"/>
  <c r="CN15" i="5"/>
  <c r="CQ15" i="5" s="1"/>
  <c r="CM15" i="5"/>
  <c r="CL15" i="5"/>
  <c r="CK15" i="5"/>
  <c r="CJ15" i="5"/>
  <c r="CH15" i="5"/>
  <c r="CF15" i="5"/>
  <c r="CE15" i="5"/>
  <c r="CD15" i="5"/>
  <c r="CG15" i="5" s="1"/>
  <c r="CC15" i="5"/>
  <c r="CB15" i="5"/>
  <c r="CA15" i="5"/>
  <c r="BZ15" i="5"/>
  <c r="BY15" i="5"/>
  <c r="BX15" i="5"/>
  <c r="BW15" i="5"/>
  <c r="BV15" i="5"/>
  <c r="BU15" i="5"/>
  <c r="BT15" i="5"/>
  <c r="BS15" i="5"/>
  <c r="BR15" i="5"/>
  <c r="BQ15" i="5"/>
  <c r="BP15" i="5"/>
  <c r="BO15" i="5"/>
  <c r="BN15" i="5"/>
  <c r="BL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R15" i="5"/>
  <c r="AP15" i="5"/>
  <c r="AO15" i="5"/>
  <c r="AN15" i="5"/>
  <c r="AM15" i="5"/>
  <c r="AL15" i="5"/>
  <c r="AK15" i="5"/>
  <c r="AJ15" i="5"/>
  <c r="AI15" i="5"/>
  <c r="AH15" i="5"/>
  <c r="AF15" i="5"/>
  <c r="AD15" i="5"/>
  <c r="AC15" i="5"/>
  <c r="AB15" i="5"/>
  <c r="AA15" i="5"/>
  <c r="Z15" i="5"/>
  <c r="Y15" i="5"/>
  <c r="X15" i="5"/>
  <c r="W15" i="5"/>
  <c r="V15" i="5"/>
  <c r="T15" i="5"/>
  <c r="R15" i="5"/>
  <c r="Q15" i="5"/>
  <c r="P15" i="5"/>
  <c r="N15" i="5"/>
  <c r="M15" i="5"/>
  <c r="L15" i="5"/>
  <c r="K15" i="5"/>
  <c r="J15" i="5"/>
  <c r="I15" i="5"/>
  <c r="E15" i="5"/>
  <c r="D15" i="5"/>
  <c r="CY14" i="5"/>
  <c r="CX14" i="5"/>
  <c r="CW14" i="5"/>
  <c r="CV14" i="5"/>
  <c r="CU14" i="5"/>
  <c r="CT14" i="5"/>
  <c r="CR14" i="5"/>
  <c r="CP14" i="5"/>
  <c r="CO14" i="5"/>
  <c r="CN14" i="5"/>
  <c r="CQ14" i="5" s="1"/>
  <c r="CM14" i="5"/>
  <c r="CL14" i="5"/>
  <c r="CK14" i="5"/>
  <c r="CJ14" i="5"/>
  <c r="CH14" i="5"/>
  <c r="CF14" i="5"/>
  <c r="CE14" i="5"/>
  <c r="CD14" i="5"/>
  <c r="CG14" i="5" s="1"/>
  <c r="CC14" i="5"/>
  <c r="CB14" i="5"/>
  <c r="CA14" i="5"/>
  <c r="BZ14" i="5"/>
  <c r="BY14" i="5"/>
  <c r="BX14" i="5"/>
  <c r="BW14" i="5"/>
  <c r="BV14" i="5"/>
  <c r="BU14" i="5"/>
  <c r="BT14" i="5"/>
  <c r="BS14" i="5"/>
  <c r="BR14" i="5"/>
  <c r="BQ14" i="5"/>
  <c r="BP14" i="5"/>
  <c r="BO14" i="5"/>
  <c r="BN14" i="5"/>
  <c r="BL14" i="5"/>
  <c r="BJ14" i="5"/>
  <c r="BI14" i="5"/>
  <c r="BH14" i="5"/>
  <c r="BG14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R14" i="5"/>
  <c r="AP14" i="5"/>
  <c r="AO14" i="5"/>
  <c r="AN14" i="5"/>
  <c r="AM14" i="5"/>
  <c r="AL14" i="5"/>
  <c r="AK14" i="5"/>
  <c r="AJ14" i="5"/>
  <c r="AI14" i="5"/>
  <c r="AH14" i="5"/>
  <c r="AF14" i="5"/>
  <c r="AD14" i="5"/>
  <c r="AC14" i="5"/>
  <c r="AB14" i="5"/>
  <c r="AA14" i="5"/>
  <c r="Z14" i="5"/>
  <c r="Y14" i="5"/>
  <c r="X14" i="5"/>
  <c r="W14" i="5"/>
  <c r="V14" i="5"/>
  <c r="T14" i="5"/>
  <c r="R14" i="5"/>
  <c r="Q14" i="5"/>
  <c r="P14" i="5"/>
  <c r="N14" i="5"/>
  <c r="M14" i="5"/>
  <c r="L14" i="5"/>
  <c r="K14" i="5"/>
  <c r="J14" i="5"/>
  <c r="I14" i="5"/>
  <c r="E14" i="5"/>
  <c r="O14" i="5" s="1"/>
  <c r="D14" i="5"/>
  <c r="CS12" i="5"/>
  <c r="CQ12" i="5"/>
  <c r="CI12" i="5"/>
  <c r="CG12" i="5"/>
  <c r="BM12" i="5"/>
  <c r="BK12" i="5"/>
  <c r="AS12" i="5"/>
  <c r="AQ12" i="5"/>
  <c r="AG12" i="5"/>
  <c r="AE12" i="5"/>
  <c r="U12" i="5"/>
  <c r="S12" i="5"/>
  <c r="G12" i="5"/>
  <c r="F12" i="5"/>
  <c r="CS11" i="5"/>
  <c r="CI11" i="5"/>
  <c r="BM11" i="5"/>
  <c r="AS11" i="5"/>
  <c r="AG11" i="5"/>
  <c r="U11" i="5"/>
  <c r="O11" i="5"/>
  <c r="G11" i="5"/>
  <c r="F11" i="5"/>
  <c r="CS10" i="5"/>
  <c r="CI10" i="5"/>
  <c r="BM10" i="5"/>
  <c r="AS10" i="5"/>
  <c r="AG10" i="5"/>
  <c r="U10" i="5"/>
  <c r="O10" i="5"/>
  <c r="G10" i="5"/>
  <c r="F10" i="5"/>
  <c r="CS9" i="5"/>
  <c r="CI9" i="5"/>
  <c r="BM9" i="5"/>
  <c r="AS9" i="5"/>
  <c r="AG9" i="5"/>
  <c r="U9" i="5"/>
  <c r="O9" i="5"/>
  <c r="G9" i="5"/>
  <c r="F9" i="5"/>
  <c r="N116" i="4"/>
  <c r="H116" i="4"/>
  <c r="F116" i="4" s="1"/>
  <c r="G116" i="4"/>
  <c r="C116" i="4"/>
  <c r="N115" i="4"/>
  <c r="H115" i="4"/>
  <c r="G115" i="4"/>
  <c r="F115" i="4"/>
  <c r="C115" i="4"/>
  <c r="N114" i="4"/>
  <c r="H114" i="4"/>
  <c r="G114" i="4"/>
  <c r="F114" i="4"/>
  <c r="C114" i="4"/>
  <c r="N113" i="4"/>
  <c r="H113" i="4"/>
  <c r="F113" i="4" s="1"/>
  <c r="G113" i="4"/>
  <c r="C113" i="4"/>
  <c r="N112" i="4"/>
  <c r="H112" i="4"/>
  <c r="G112" i="4"/>
  <c r="F112" i="4"/>
  <c r="C112" i="4"/>
  <c r="N111" i="4"/>
  <c r="H111" i="4"/>
  <c r="F111" i="4" s="1"/>
  <c r="G111" i="4"/>
  <c r="C111" i="4"/>
  <c r="N110" i="4"/>
  <c r="H110" i="4"/>
  <c r="F110" i="4" s="1"/>
  <c r="G110" i="4"/>
  <c r="C110" i="4"/>
  <c r="N109" i="4"/>
  <c r="H109" i="4"/>
  <c r="F109" i="4" s="1"/>
  <c r="G109" i="4"/>
  <c r="C109" i="4"/>
  <c r="N108" i="4"/>
  <c r="H108" i="4"/>
  <c r="F108" i="4" s="1"/>
  <c r="G108" i="4"/>
  <c r="C108" i="4"/>
  <c r="N107" i="4"/>
  <c r="H107" i="4"/>
  <c r="F107" i="4" s="1"/>
  <c r="G107" i="4"/>
  <c r="C107" i="4"/>
  <c r="N106" i="4"/>
  <c r="H106" i="4"/>
  <c r="F106" i="4" s="1"/>
  <c r="G106" i="4"/>
  <c r="C106" i="4"/>
  <c r="N105" i="4"/>
  <c r="H105" i="4"/>
  <c r="F105" i="4" s="1"/>
  <c r="G105" i="4"/>
  <c r="C105" i="4"/>
  <c r="N104" i="4"/>
  <c r="G104" i="4"/>
  <c r="N103" i="4"/>
  <c r="H103" i="4"/>
  <c r="F103" i="4" s="1"/>
  <c r="G103" i="4"/>
  <c r="C103" i="4"/>
  <c r="N102" i="4"/>
  <c r="H102" i="4"/>
  <c r="F102" i="4" s="1"/>
  <c r="G102" i="4"/>
  <c r="C102" i="4"/>
  <c r="N101" i="4"/>
  <c r="H101" i="4"/>
  <c r="F101" i="4" s="1"/>
  <c r="G101" i="4"/>
  <c r="C101" i="4"/>
  <c r="N100" i="4"/>
  <c r="H100" i="4"/>
  <c r="G100" i="4"/>
  <c r="F100" i="4"/>
  <c r="C100" i="4"/>
  <c r="N99" i="4"/>
  <c r="H99" i="4"/>
  <c r="G99" i="4"/>
  <c r="F99" i="4"/>
  <c r="C99" i="4"/>
  <c r="N98" i="4"/>
  <c r="H98" i="4"/>
  <c r="F98" i="4" s="1"/>
  <c r="G98" i="4"/>
  <c r="C98" i="4"/>
  <c r="N97" i="4"/>
  <c r="H97" i="4"/>
  <c r="F97" i="4" s="1"/>
  <c r="G97" i="4"/>
  <c r="C97" i="4"/>
  <c r="N96" i="4"/>
  <c r="H96" i="4"/>
  <c r="F96" i="4" s="1"/>
  <c r="G96" i="4"/>
  <c r="C96" i="4"/>
  <c r="N95" i="4"/>
  <c r="H95" i="4"/>
  <c r="F95" i="4" s="1"/>
  <c r="G95" i="4"/>
  <c r="C95" i="4"/>
  <c r="N94" i="4"/>
  <c r="H94" i="4"/>
  <c r="G94" i="4"/>
  <c r="F94" i="4"/>
  <c r="C94" i="4"/>
  <c r="N93" i="4"/>
  <c r="H93" i="4"/>
  <c r="F93" i="4" s="1"/>
  <c r="G93" i="4"/>
  <c r="C93" i="4"/>
  <c r="A93" i="4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N92" i="4"/>
  <c r="H92" i="4"/>
  <c r="G92" i="4"/>
  <c r="F92" i="4"/>
  <c r="C92" i="4"/>
  <c r="N91" i="4"/>
  <c r="H91" i="4"/>
  <c r="H89" i="4" s="1"/>
  <c r="F89" i="4" s="1"/>
  <c r="G91" i="4"/>
  <c r="C91" i="4"/>
  <c r="N90" i="4"/>
  <c r="H90" i="4"/>
  <c r="F90" i="4" s="1"/>
  <c r="G90" i="4"/>
  <c r="C90" i="4"/>
  <c r="N89" i="4"/>
  <c r="G89" i="4"/>
  <c r="AE88" i="4"/>
  <c r="AD88" i="4"/>
  <c r="AB88" i="4"/>
  <c r="AA88" i="4"/>
  <c r="Y88" i="4"/>
  <c r="X88" i="4"/>
  <c r="Z88" i="4" s="1"/>
  <c r="V88" i="4"/>
  <c r="U88" i="4"/>
  <c r="W88" i="4" s="1"/>
  <c r="S88" i="4"/>
  <c r="R88" i="4"/>
  <c r="P88" i="4"/>
  <c r="O88" i="4"/>
  <c r="M88" i="4"/>
  <c r="L88" i="4"/>
  <c r="K88" i="4"/>
  <c r="J88" i="4"/>
  <c r="I88" i="4"/>
  <c r="E88" i="4"/>
  <c r="N88" i="4" s="1"/>
  <c r="D88" i="4"/>
  <c r="AE87" i="4"/>
  <c r="AD87" i="4"/>
  <c r="AF87" i="4" s="1"/>
  <c r="AB87" i="4"/>
  <c r="AA87" i="4"/>
  <c r="AC87" i="4" s="1"/>
  <c r="Y87" i="4"/>
  <c r="X87" i="4"/>
  <c r="Z87" i="4" s="1"/>
  <c r="V87" i="4"/>
  <c r="U87" i="4"/>
  <c r="W87" i="4" s="1"/>
  <c r="S87" i="4"/>
  <c r="R87" i="4"/>
  <c r="T87" i="4" s="1"/>
  <c r="P87" i="4"/>
  <c r="O87" i="4"/>
  <c r="Q87" i="4" s="1"/>
  <c r="M87" i="4"/>
  <c r="L87" i="4"/>
  <c r="K87" i="4"/>
  <c r="J87" i="4"/>
  <c r="I87" i="4"/>
  <c r="E87" i="4"/>
  <c r="N87" i="4" s="1"/>
  <c r="D87" i="4"/>
  <c r="G87" i="4" s="1"/>
  <c r="AE86" i="4"/>
  <c r="AD86" i="4"/>
  <c r="AB86" i="4"/>
  <c r="AA86" i="4"/>
  <c r="AC86" i="4" s="1"/>
  <c r="Y86" i="4"/>
  <c r="X86" i="4"/>
  <c r="V86" i="4"/>
  <c r="U86" i="4"/>
  <c r="S86" i="4"/>
  <c r="R86" i="4"/>
  <c r="P86" i="4"/>
  <c r="O86" i="4"/>
  <c r="M86" i="4"/>
  <c r="L86" i="4"/>
  <c r="K86" i="4"/>
  <c r="J86" i="4"/>
  <c r="I86" i="4"/>
  <c r="E86" i="4"/>
  <c r="N86" i="4" s="1"/>
  <c r="D86" i="4"/>
  <c r="AE85" i="4"/>
  <c r="AD85" i="4"/>
  <c r="AF85" i="4" s="1"/>
  <c r="AB85" i="4"/>
  <c r="AA85" i="4"/>
  <c r="AC85" i="4" s="1"/>
  <c r="Y85" i="4"/>
  <c r="X85" i="4"/>
  <c r="Z85" i="4" s="1"/>
  <c r="V85" i="4"/>
  <c r="U85" i="4"/>
  <c r="W85" i="4" s="1"/>
  <c r="S85" i="4"/>
  <c r="R85" i="4"/>
  <c r="T85" i="4" s="1"/>
  <c r="P85" i="4"/>
  <c r="O85" i="4"/>
  <c r="Q85" i="4" s="1"/>
  <c r="M85" i="4"/>
  <c r="L85" i="4"/>
  <c r="K85" i="4"/>
  <c r="J85" i="4"/>
  <c r="I85" i="4"/>
  <c r="E85" i="4"/>
  <c r="D85" i="4"/>
  <c r="G85" i="4" s="1"/>
  <c r="AE84" i="4"/>
  <c r="AD84" i="4"/>
  <c r="AF84" i="4" s="1"/>
  <c r="AB84" i="4"/>
  <c r="AA84" i="4"/>
  <c r="AC84" i="4" s="1"/>
  <c r="Y84" i="4"/>
  <c r="X84" i="4"/>
  <c r="Z84" i="4" s="1"/>
  <c r="V84" i="4"/>
  <c r="U84" i="4"/>
  <c r="W84" i="4" s="1"/>
  <c r="S84" i="4"/>
  <c r="R84" i="4"/>
  <c r="T84" i="4" s="1"/>
  <c r="P84" i="4"/>
  <c r="O84" i="4"/>
  <c r="Q84" i="4" s="1"/>
  <c r="M84" i="4"/>
  <c r="L84" i="4"/>
  <c r="K84" i="4"/>
  <c r="J84" i="4"/>
  <c r="I84" i="4"/>
  <c r="E84" i="4"/>
  <c r="N84" i="4" s="1"/>
  <c r="D84" i="4"/>
  <c r="G84" i="4" s="1"/>
  <c r="AE83" i="4"/>
  <c r="AD83" i="4"/>
  <c r="AF83" i="4" s="1"/>
  <c r="AB83" i="4"/>
  <c r="AA83" i="4"/>
  <c r="AC83" i="4" s="1"/>
  <c r="Y83" i="4"/>
  <c r="X83" i="4"/>
  <c r="Z83" i="4" s="1"/>
  <c r="V83" i="4"/>
  <c r="U83" i="4"/>
  <c r="W83" i="4" s="1"/>
  <c r="S83" i="4"/>
  <c r="R83" i="4"/>
  <c r="T83" i="4" s="1"/>
  <c r="P83" i="4"/>
  <c r="O83" i="4"/>
  <c r="Q83" i="4" s="1"/>
  <c r="M83" i="4"/>
  <c r="L83" i="4"/>
  <c r="K83" i="4"/>
  <c r="J83" i="4"/>
  <c r="I83" i="4"/>
  <c r="E83" i="4"/>
  <c r="N83" i="4" s="1"/>
  <c r="D83" i="4"/>
  <c r="AE82" i="4"/>
  <c r="AD82" i="4"/>
  <c r="AF82" i="4" s="1"/>
  <c r="AB82" i="4"/>
  <c r="AA82" i="4"/>
  <c r="AC82" i="4" s="1"/>
  <c r="Y82" i="4"/>
  <c r="X82" i="4"/>
  <c r="Z82" i="4" s="1"/>
  <c r="V82" i="4"/>
  <c r="U82" i="4"/>
  <c r="W82" i="4" s="1"/>
  <c r="S82" i="4"/>
  <c r="R82" i="4"/>
  <c r="T82" i="4" s="1"/>
  <c r="P82" i="4"/>
  <c r="O82" i="4"/>
  <c r="Q82" i="4" s="1"/>
  <c r="M82" i="4"/>
  <c r="L82" i="4"/>
  <c r="K82" i="4"/>
  <c r="J82" i="4"/>
  <c r="I82" i="4"/>
  <c r="E82" i="4"/>
  <c r="N82" i="4" s="1"/>
  <c r="D82" i="4"/>
  <c r="AE81" i="4"/>
  <c r="AD81" i="4"/>
  <c r="AF81" i="4" s="1"/>
  <c r="AB81" i="4"/>
  <c r="AA81" i="4"/>
  <c r="AC81" i="4" s="1"/>
  <c r="Y81" i="4"/>
  <c r="X81" i="4"/>
  <c r="Z81" i="4" s="1"/>
  <c r="V81" i="4"/>
  <c r="U81" i="4"/>
  <c r="W81" i="4" s="1"/>
  <c r="S81" i="4"/>
  <c r="R81" i="4"/>
  <c r="T81" i="4" s="1"/>
  <c r="P81" i="4"/>
  <c r="O81" i="4"/>
  <c r="Q81" i="4" s="1"/>
  <c r="M81" i="4"/>
  <c r="L81" i="4"/>
  <c r="K81" i="4"/>
  <c r="J81" i="4"/>
  <c r="I81" i="4"/>
  <c r="E81" i="4"/>
  <c r="N81" i="4" s="1"/>
  <c r="D81" i="4"/>
  <c r="G81" i="4" s="1"/>
  <c r="AE80" i="4"/>
  <c r="AD80" i="4"/>
  <c r="AF80" i="4" s="1"/>
  <c r="AB80" i="4"/>
  <c r="AA80" i="4"/>
  <c r="AC80" i="4" s="1"/>
  <c r="Y80" i="4"/>
  <c r="X80" i="4"/>
  <c r="Z80" i="4" s="1"/>
  <c r="V80" i="4"/>
  <c r="U80" i="4"/>
  <c r="W80" i="4" s="1"/>
  <c r="S80" i="4"/>
  <c r="R80" i="4"/>
  <c r="P80" i="4"/>
  <c r="O80" i="4"/>
  <c r="Q80" i="4" s="1"/>
  <c r="M80" i="4"/>
  <c r="L80" i="4"/>
  <c r="K80" i="4"/>
  <c r="J80" i="4"/>
  <c r="I80" i="4"/>
  <c r="E80" i="4"/>
  <c r="N80" i="4" s="1"/>
  <c r="D80" i="4"/>
  <c r="AE79" i="4"/>
  <c r="AD79" i="4"/>
  <c r="AF79" i="4" s="1"/>
  <c r="AB79" i="4"/>
  <c r="AA79" i="4"/>
  <c r="AC79" i="4" s="1"/>
  <c r="Y79" i="4"/>
  <c r="X79" i="4"/>
  <c r="Z79" i="4" s="1"/>
  <c r="V79" i="4"/>
  <c r="U79" i="4"/>
  <c r="W79" i="4" s="1"/>
  <c r="S79" i="4"/>
  <c r="R79" i="4"/>
  <c r="T79" i="4" s="1"/>
  <c r="P79" i="4"/>
  <c r="O79" i="4"/>
  <c r="Q79" i="4" s="1"/>
  <c r="M79" i="4"/>
  <c r="L79" i="4"/>
  <c r="K79" i="4"/>
  <c r="J79" i="4"/>
  <c r="I79" i="4"/>
  <c r="E79" i="4"/>
  <c r="N79" i="4" s="1"/>
  <c r="D79" i="4"/>
  <c r="G79" i="4" s="1"/>
  <c r="AE78" i="4"/>
  <c r="AD78" i="4"/>
  <c r="AF78" i="4" s="1"/>
  <c r="AB78" i="4"/>
  <c r="AA78" i="4"/>
  <c r="AC78" i="4" s="1"/>
  <c r="Y78" i="4"/>
  <c r="X78" i="4"/>
  <c r="Z78" i="4" s="1"/>
  <c r="V78" i="4"/>
  <c r="U78" i="4"/>
  <c r="W78" i="4" s="1"/>
  <c r="S78" i="4"/>
  <c r="R78" i="4"/>
  <c r="T78" i="4" s="1"/>
  <c r="P78" i="4"/>
  <c r="O78" i="4"/>
  <c r="Q78" i="4" s="1"/>
  <c r="M78" i="4"/>
  <c r="L78" i="4"/>
  <c r="K78" i="4"/>
  <c r="J78" i="4"/>
  <c r="I78" i="4"/>
  <c r="E78" i="4"/>
  <c r="N78" i="4" s="1"/>
  <c r="D78" i="4"/>
  <c r="G78" i="4" s="1"/>
  <c r="AE77" i="4"/>
  <c r="AD77" i="4"/>
  <c r="AF77" i="4" s="1"/>
  <c r="AB77" i="4"/>
  <c r="AA77" i="4"/>
  <c r="AC77" i="4" s="1"/>
  <c r="Y77" i="4"/>
  <c r="X77" i="4"/>
  <c r="V77" i="4"/>
  <c r="U77" i="4"/>
  <c r="W77" i="4" s="1"/>
  <c r="S77" i="4"/>
  <c r="R77" i="4"/>
  <c r="T77" i="4" s="1"/>
  <c r="P77" i="4"/>
  <c r="O77" i="4"/>
  <c r="Q77" i="4" s="1"/>
  <c r="M77" i="4"/>
  <c r="L77" i="4"/>
  <c r="K77" i="4"/>
  <c r="J77" i="4"/>
  <c r="I77" i="4"/>
  <c r="E77" i="4"/>
  <c r="N77" i="4" s="1"/>
  <c r="D77" i="4"/>
  <c r="G77" i="4" s="1"/>
  <c r="AE76" i="4"/>
  <c r="AD76" i="4"/>
  <c r="AB76" i="4"/>
  <c r="AA76" i="4"/>
  <c r="AC76" i="4" s="1"/>
  <c r="Y76" i="4"/>
  <c r="X76" i="4"/>
  <c r="V76" i="4"/>
  <c r="U76" i="4"/>
  <c r="S76" i="4"/>
  <c r="R76" i="4"/>
  <c r="P76" i="4"/>
  <c r="O76" i="4"/>
  <c r="M76" i="4"/>
  <c r="L76" i="4"/>
  <c r="K76" i="4"/>
  <c r="J76" i="4"/>
  <c r="I76" i="4"/>
  <c r="E76" i="4"/>
  <c r="N76" i="4" s="1"/>
  <c r="D76" i="4"/>
  <c r="AE75" i="4"/>
  <c r="AD75" i="4"/>
  <c r="AB75" i="4"/>
  <c r="AA75" i="4"/>
  <c r="Y75" i="4"/>
  <c r="X75" i="4"/>
  <c r="V75" i="4"/>
  <c r="U75" i="4"/>
  <c r="S75" i="4"/>
  <c r="R75" i="4"/>
  <c r="P75" i="4"/>
  <c r="O75" i="4"/>
  <c r="M75" i="4"/>
  <c r="L75" i="4"/>
  <c r="K75" i="4"/>
  <c r="J75" i="4"/>
  <c r="I75" i="4"/>
  <c r="E75" i="4"/>
  <c r="D75" i="4"/>
  <c r="AE73" i="4"/>
  <c r="AD73" i="4"/>
  <c r="AF73" i="4" s="1"/>
  <c r="AB73" i="4"/>
  <c r="AA73" i="4"/>
  <c r="AC73" i="4" s="1"/>
  <c r="Y73" i="4"/>
  <c r="X73" i="4"/>
  <c r="Z73" i="4" s="1"/>
  <c r="V73" i="4"/>
  <c r="U73" i="4"/>
  <c r="W73" i="4" s="1"/>
  <c r="S73" i="4"/>
  <c r="R73" i="4"/>
  <c r="T73" i="4" s="1"/>
  <c r="P73" i="4"/>
  <c r="O73" i="4"/>
  <c r="Q73" i="4" s="1"/>
  <c r="M73" i="4"/>
  <c r="L73" i="4"/>
  <c r="K73" i="4"/>
  <c r="J73" i="4"/>
  <c r="I73" i="4"/>
  <c r="E73" i="4"/>
  <c r="N73" i="4" s="1"/>
  <c r="D73" i="4"/>
  <c r="G73" i="4" s="1"/>
  <c r="AE72" i="4"/>
  <c r="AD72" i="4"/>
  <c r="AF72" i="4" s="1"/>
  <c r="AB72" i="4"/>
  <c r="AA72" i="4"/>
  <c r="AC72" i="4" s="1"/>
  <c r="Y72" i="4"/>
  <c r="X72" i="4"/>
  <c r="Z72" i="4" s="1"/>
  <c r="V72" i="4"/>
  <c r="U72" i="4"/>
  <c r="W72" i="4" s="1"/>
  <c r="S72" i="4"/>
  <c r="R72" i="4"/>
  <c r="T72" i="4" s="1"/>
  <c r="P72" i="4"/>
  <c r="O72" i="4"/>
  <c r="Q72" i="4" s="1"/>
  <c r="M72" i="4"/>
  <c r="L72" i="4"/>
  <c r="K72" i="4"/>
  <c r="J72" i="4"/>
  <c r="I72" i="4"/>
  <c r="E72" i="4"/>
  <c r="N72" i="4" s="1"/>
  <c r="D72" i="4"/>
  <c r="G72" i="4" s="1"/>
  <c r="AE71" i="4"/>
  <c r="AD71" i="4"/>
  <c r="AF71" i="4" s="1"/>
  <c r="AB71" i="4"/>
  <c r="AA71" i="4"/>
  <c r="AC71" i="4" s="1"/>
  <c r="Y71" i="4"/>
  <c r="X71" i="4"/>
  <c r="Z71" i="4" s="1"/>
  <c r="V71" i="4"/>
  <c r="U71" i="4"/>
  <c r="W71" i="4" s="1"/>
  <c r="S71" i="4"/>
  <c r="R71" i="4"/>
  <c r="T71" i="4" s="1"/>
  <c r="P71" i="4"/>
  <c r="O71" i="4"/>
  <c r="Q71" i="4" s="1"/>
  <c r="M71" i="4"/>
  <c r="L71" i="4"/>
  <c r="K71" i="4"/>
  <c r="J71" i="4"/>
  <c r="I71" i="4"/>
  <c r="E71" i="4"/>
  <c r="N71" i="4" s="1"/>
  <c r="D71" i="4"/>
  <c r="G71" i="4" s="1"/>
  <c r="AE70" i="4"/>
  <c r="AD70" i="4"/>
  <c r="AF70" i="4" s="1"/>
  <c r="AB70" i="4"/>
  <c r="AA70" i="4"/>
  <c r="AC70" i="4" s="1"/>
  <c r="Y70" i="4"/>
  <c r="X70" i="4"/>
  <c r="Z70" i="4" s="1"/>
  <c r="V70" i="4"/>
  <c r="U70" i="4"/>
  <c r="W70" i="4" s="1"/>
  <c r="S70" i="4"/>
  <c r="R70" i="4"/>
  <c r="T70" i="4" s="1"/>
  <c r="P70" i="4"/>
  <c r="O70" i="4"/>
  <c r="Q70" i="4" s="1"/>
  <c r="M70" i="4"/>
  <c r="L70" i="4"/>
  <c r="K70" i="4"/>
  <c r="J70" i="4"/>
  <c r="I70" i="4"/>
  <c r="E70" i="4"/>
  <c r="N70" i="4" s="1"/>
  <c r="D70" i="4"/>
  <c r="AE69" i="4"/>
  <c r="AD69" i="4"/>
  <c r="AB69" i="4"/>
  <c r="AA69" i="4"/>
  <c r="Y69" i="4"/>
  <c r="X69" i="4"/>
  <c r="Z69" i="4" s="1"/>
  <c r="V69" i="4"/>
  <c r="U69" i="4"/>
  <c r="W69" i="4" s="1"/>
  <c r="S69" i="4"/>
  <c r="R69" i="4"/>
  <c r="P69" i="4"/>
  <c r="O69" i="4"/>
  <c r="M69" i="4"/>
  <c r="L69" i="4"/>
  <c r="K69" i="4"/>
  <c r="J69" i="4"/>
  <c r="I69" i="4"/>
  <c r="E69" i="4"/>
  <c r="N69" i="4" s="1"/>
  <c r="D69" i="4"/>
  <c r="AE68" i="4"/>
  <c r="AD68" i="4"/>
  <c r="AF68" i="4" s="1"/>
  <c r="AB68" i="4"/>
  <c r="AA68" i="4"/>
  <c r="AC68" i="4" s="1"/>
  <c r="Y68" i="4"/>
  <c r="X68" i="4"/>
  <c r="Z68" i="4" s="1"/>
  <c r="V68" i="4"/>
  <c r="U68" i="4"/>
  <c r="W68" i="4" s="1"/>
  <c r="S68" i="4"/>
  <c r="R68" i="4"/>
  <c r="T68" i="4" s="1"/>
  <c r="P68" i="4"/>
  <c r="O68" i="4"/>
  <c r="Q68" i="4" s="1"/>
  <c r="M68" i="4"/>
  <c r="L68" i="4"/>
  <c r="K68" i="4"/>
  <c r="J68" i="4"/>
  <c r="I68" i="4"/>
  <c r="E68" i="4"/>
  <c r="N68" i="4" s="1"/>
  <c r="D68" i="4"/>
  <c r="AE67" i="4"/>
  <c r="AD67" i="4"/>
  <c r="AF67" i="4" s="1"/>
  <c r="AB67" i="4"/>
  <c r="AA67" i="4"/>
  <c r="AC67" i="4" s="1"/>
  <c r="Y67" i="4"/>
  <c r="X67" i="4"/>
  <c r="Z67" i="4" s="1"/>
  <c r="V67" i="4"/>
  <c r="U67" i="4"/>
  <c r="W67" i="4" s="1"/>
  <c r="S67" i="4"/>
  <c r="R67" i="4"/>
  <c r="T67" i="4" s="1"/>
  <c r="P67" i="4"/>
  <c r="O67" i="4"/>
  <c r="Q67" i="4" s="1"/>
  <c r="M67" i="4"/>
  <c r="L67" i="4"/>
  <c r="K67" i="4"/>
  <c r="J67" i="4"/>
  <c r="I67" i="4"/>
  <c r="E67" i="4"/>
  <c r="N67" i="4" s="1"/>
  <c r="D67" i="4"/>
  <c r="G67" i="4" s="1"/>
  <c r="AE66" i="4"/>
  <c r="AD66" i="4"/>
  <c r="AF66" i="4" s="1"/>
  <c r="AB66" i="4"/>
  <c r="AA66" i="4"/>
  <c r="AC66" i="4" s="1"/>
  <c r="Y66" i="4"/>
  <c r="X66" i="4"/>
  <c r="Z66" i="4" s="1"/>
  <c r="V66" i="4"/>
  <c r="U66" i="4"/>
  <c r="W66" i="4" s="1"/>
  <c r="S66" i="4"/>
  <c r="R66" i="4"/>
  <c r="T66" i="4" s="1"/>
  <c r="P66" i="4"/>
  <c r="O66" i="4"/>
  <c r="Q66" i="4" s="1"/>
  <c r="M66" i="4"/>
  <c r="L66" i="4"/>
  <c r="K66" i="4"/>
  <c r="J66" i="4"/>
  <c r="I66" i="4"/>
  <c r="E66" i="4"/>
  <c r="N66" i="4" s="1"/>
  <c r="D66" i="4"/>
  <c r="G66" i="4" s="1"/>
  <c r="AE65" i="4"/>
  <c r="AD65" i="4"/>
  <c r="AF65" i="4" s="1"/>
  <c r="AB65" i="4"/>
  <c r="AA65" i="4"/>
  <c r="AC65" i="4" s="1"/>
  <c r="Y65" i="4"/>
  <c r="X65" i="4"/>
  <c r="Z65" i="4" s="1"/>
  <c r="V65" i="4"/>
  <c r="U65" i="4"/>
  <c r="W65" i="4" s="1"/>
  <c r="S65" i="4"/>
  <c r="R65" i="4"/>
  <c r="T65" i="4" s="1"/>
  <c r="P65" i="4"/>
  <c r="O65" i="4"/>
  <c r="Q65" i="4" s="1"/>
  <c r="M65" i="4"/>
  <c r="L65" i="4"/>
  <c r="K65" i="4"/>
  <c r="J65" i="4"/>
  <c r="I65" i="4"/>
  <c r="E65" i="4"/>
  <c r="N65" i="4" s="1"/>
  <c r="D65" i="4"/>
  <c r="AE64" i="4"/>
  <c r="AD64" i="4"/>
  <c r="AF64" i="4" s="1"/>
  <c r="AB64" i="4"/>
  <c r="AA64" i="4"/>
  <c r="AC64" i="4" s="1"/>
  <c r="Y64" i="4"/>
  <c r="X64" i="4"/>
  <c r="Z64" i="4" s="1"/>
  <c r="V64" i="4"/>
  <c r="U64" i="4"/>
  <c r="W64" i="4" s="1"/>
  <c r="S64" i="4"/>
  <c r="R64" i="4"/>
  <c r="T64" i="4" s="1"/>
  <c r="P64" i="4"/>
  <c r="O64" i="4"/>
  <c r="Q64" i="4" s="1"/>
  <c r="M64" i="4"/>
  <c r="L64" i="4"/>
  <c r="K64" i="4"/>
  <c r="J64" i="4"/>
  <c r="I64" i="4"/>
  <c r="E64" i="4"/>
  <c r="N64" i="4" s="1"/>
  <c r="D64" i="4"/>
  <c r="G64" i="4" s="1"/>
  <c r="AE63" i="4"/>
  <c r="AD63" i="4"/>
  <c r="AF63" i="4" s="1"/>
  <c r="AB63" i="4"/>
  <c r="AA63" i="4"/>
  <c r="AC63" i="4" s="1"/>
  <c r="Y63" i="4"/>
  <c r="X63" i="4"/>
  <c r="Z63" i="4" s="1"/>
  <c r="V63" i="4"/>
  <c r="U63" i="4"/>
  <c r="W63" i="4" s="1"/>
  <c r="S63" i="4"/>
  <c r="R63" i="4"/>
  <c r="T63" i="4" s="1"/>
  <c r="P63" i="4"/>
  <c r="O63" i="4"/>
  <c r="Q63" i="4" s="1"/>
  <c r="M63" i="4"/>
  <c r="L63" i="4"/>
  <c r="K63" i="4"/>
  <c r="J63" i="4"/>
  <c r="I63" i="4"/>
  <c r="E63" i="4"/>
  <c r="N63" i="4" s="1"/>
  <c r="D63" i="4"/>
  <c r="AE62" i="4"/>
  <c r="AD62" i="4"/>
  <c r="AF62" i="4" s="1"/>
  <c r="AB62" i="4"/>
  <c r="AA62" i="4"/>
  <c r="AC62" i="4" s="1"/>
  <c r="Y62" i="4"/>
  <c r="X62" i="4"/>
  <c r="Z62" i="4" s="1"/>
  <c r="V62" i="4"/>
  <c r="U62" i="4"/>
  <c r="W62" i="4" s="1"/>
  <c r="S62" i="4"/>
  <c r="R62" i="4"/>
  <c r="T62" i="4" s="1"/>
  <c r="P62" i="4"/>
  <c r="O62" i="4"/>
  <c r="Q62" i="4" s="1"/>
  <c r="M62" i="4"/>
  <c r="L62" i="4"/>
  <c r="K62" i="4"/>
  <c r="J62" i="4"/>
  <c r="I62" i="4"/>
  <c r="E62" i="4"/>
  <c r="N62" i="4" s="1"/>
  <c r="D62" i="4"/>
  <c r="G62" i="4" s="1"/>
  <c r="AE61" i="4"/>
  <c r="AD61" i="4"/>
  <c r="AF61" i="4" s="1"/>
  <c r="AB61" i="4"/>
  <c r="AA61" i="4"/>
  <c r="AC61" i="4" s="1"/>
  <c r="Y61" i="4"/>
  <c r="X61" i="4"/>
  <c r="Z61" i="4" s="1"/>
  <c r="V61" i="4"/>
  <c r="U61" i="4"/>
  <c r="W61" i="4" s="1"/>
  <c r="S61" i="4"/>
  <c r="R61" i="4"/>
  <c r="T61" i="4" s="1"/>
  <c r="P61" i="4"/>
  <c r="O61" i="4"/>
  <c r="Q61" i="4" s="1"/>
  <c r="M61" i="4"/>
  <c r="L61" i="4"/>
  <c r="K61" i="4"/>
  <c r="J61" i="4"/>
  <c r="I61" i="4"/>
  <c r="E61" i="4"/>
  <c r="N61" i="4" s="1"/>
  <c r="D61" i="4"/>
  <c r="G61" i="4" s="1"/>
  <c r="AE60" i="4"/>
  <c r="AD60" i="4"/>
  <c r="AF60" i="4" s="1"/>
  <c r="AB60" i="4"/>
  <c r="AA60" i="4"/>
  <c r="AC60" i="4" s="1"/>
  <c r="Y60" i="4"/>
  <c r="X60" i="4"/>
  <c r="Z60" i="4" s="1"/>
  <c r="V60" i="4"/>
  <c r="U60" i="4"/>
  <c r="W60" i="4" s="1"/>
  <c r="S60" i="4"/>
  <c r="R60" i="4"/>
  <c r="T60" i="4" s="1"/>
  <c r="P60" i="4"/>
  <c r="O60" i="4"/>
  <c r="Q60" i="4" s="1"/>
  <c r="M60" i="4"/>
  <c r="L60" i="4"/>
  <c r="K60" i="4"/>
  <c r="J60" i="4"/>
  <c r="I60" i="4"/>
  <c r="E60" i="4"/>
  <c r="N60" i="4" s="1"/>
  <c r="D60" i="4"/>
  <c r="AE59" i="4"/>
  <c r="AD59" i="4"/>
  <c r="AF59" i="4" s="1"/>
  <c r="AB59" i="4"/>
  <c r="AA59" i="4"/>
  <c r="AC59" i="4" s="1"/>
  <c r="Y59" i="4"/>
  <c r="X59" i="4"/>
  <c r="Z59" i="4" s="1"/>
  <c r="V59" i="4"/>
  <c r="U59" i="4"/>
  <c r="W59" i="4" s="1"/>
  <c r="S59" i="4"/>
  <c r="R59" i="4"/>
  <c r="T59" i="4" s="1"/>
  <c r="P59" i="4"/>
  <c r="O59" i="4"/>
  <c r="Q59" i="4" s="1"/>
  <c r="M59" i="4"/>
  <c r="L59" i="4"/>
  <c r="K59" i="4"/>
  <c r="J59" i="4"/>
  <c r="I59" i="4"/>
  <c r="E59" i="4"/>
  <c r="N59" i="4" s="1"/>
  <c r="D59" i="4"/>
  <c r="AE58" i="4"/>
  <c r="AD58" i="4"/>
  <c r="AF58" i="4" s="1"/>
  <c r="AB58" i="4"/>
  <c r="AA58" i="4"/>
  <c r="AC58" i="4" s="1"/>
  <c r="Y58" i="4"/>
  <c r="X58" i="4"/>
  <c r="V58" i="4"/>
  <c r="U58" i="4"/>
  <c r="W58" i="4" s="1"/>
  <c r="S58" i="4"/>
  <c r="R58" i="4"/>
  <c r="T58" i="4" s="1"/>
  <c r="P58" i="4"/>
  <c r="O58" i="4"/>
  <c r="Q58" i="4" s="1"/>
  <c r="M58" i="4"/>
  <c r="L58" i="4"/>
  <c r="K58" i="4"/>
  <c r="J58" i="4"/>
  <c r="I58" i="4"/>
  <c r="E58" i="4"/>
  <c r="D58" i="4"/>
  <c r="G58" i="4" s="1"/>
  <c r="AE57" i="4"/>
  <c r="AD57" i="4"/>
  <c r="AF57" i="4" s="1"/>
  <c r="AB57" i="4"/>
  <c r="AA57" i="4"/>
  <c r="AC57" i="4" s="1"/>
  <c r="Y57" i="4"/>
  <c r="X57" i="4"/>
  <c r="Z57" i="4" s="1"/>
  <c r="V57" i="4"/>
  <c r="U57" i="4"/>
  <c r="W57" i="4" s="1"/>
  <c r="S57" i="4"/>
  <c r="R57" i="4"/>
  <c r="T57" i="4" s="1"/>
  <c r="P57" i="4"/>
  <c r="O57" i="4"/>
  <c r="Q57" i="4" s="1"/>
  <c r="M57" i="4"/>
  <c r="L57" i="4"/>
  <c r="K57" i="4"/>
  <c r="J57" i="4"/>
  <c r="I57" i="4"/>
  <c r="E57" i="4"/>
  <c r="N57" i="4" s="1"/>
  <c r="D57" i="4"/>
  <c r="G57" i="4" s="1"/>
  <c r="AE56" i="4"/>
  <c r="AD56" i="4"/>
  <c r="AB56" i="4"/>
  <c r="AA56" i="4"/>
  <c r="Y56" i="4"/>
  <c r="X56" i="4"/>
  <c r="Z56" i="4" s="1"/>
  <c r="V56" i="4"/>
  <c r="U56" i="4"/>
  <c r="W56" i="4" s="1"/>
  <c r="S56" i="4"/>
  <c r="R56" i="4"/>
  <c r="P56" i="4"/>
  <c r="O56" i="4"/>
  <c r="M56" i="4"/>
  <c r="L56" i="4"/>
  <c r="K56" i="4"/>
  <c r="J56" i="4"/>
  <c r="I56" i="4"/>
  <c r="E56" i="4"/>
  <c r="N56" i="4" s="1"/>
  <c r="D56" i="4"/>
  <c r="AE55" i="4"/>
  <c r="AD55" i="4"/>
  <c r="AF55" i="4" s="1"/>
  <c r="AB55" i="4"/>
  <c r="AA55" i="4"/>
  <c r="AC55" i="4" s="1"/>
  <c r="Y55" i="4"/>
  <c r="X55" i="4"/>
  <c r="Z55" i="4" s="1"/>
  <c r="V55" i="4"/>
  <c r="U55" i="4"/>
  <c r="W55" i="4" s="1"/>
  <c r="S55" i="4"/>
  <c r="R55" i="4"/>
  <c r="T55" i="4" s="1"/>
  <c r="P55" i="4"/>
  <c r="O55" i="4"/>
  <c r="Q55" i="4" s="1"/>
  <c r="M55" i="4"/>
  <c r="L55" i="4"/>
  <c r="K55" i="4"/>
  <c r="J55" i="4"/>
  <c r="I55" i="4"/>
  <c r="E55" i="4"/>
  <c r="N55" i="4" s="1"/>
  <c r="D55" i="4"/>
  <c r="G55" i="4" s="1"/>
  <c r="AE54" i="4"/>
  <c r="AD54" i="4"/>
  <c r="AF54" i="4" s="1"/>
  <c r="AB54" i="4"/>
  <c r="AA54" i="4"/>
  <c r="AC54" i="4" s="1"/>
  <c r="Y54" i="4"/>
  <c r="X54" i="4"/>
  <c r="Z54" i="4" s="1"/>
  <c r="V54" i="4"/>
  <c r="U54" i="4"/>
  <c r="W54" i="4" s="1"/>
  <c r="S54" i="4"/>
  <c r="R54" i="4"/>
  <c r="T54" i="4" s="1"/>
  <c r="P54" i="4"/>
  <c r="O54" i="4"/>
  <c r="Q54" i="4" s="1"/>
  <c r="M54" i="4"/>
  <c r="L54" i="4"/>
  <c r="K54" i="4"/>
  <c r="J54" i="4"/>
  <c r="I54" i="4"/>
  <c r="E54" i="4"/>
  <c r="N54" i="4" s="1"/>
  <c r="D54" i="4"/>
  <c r="G54" i="4" s="1"/>
  <c r="AE53" i="4"/>
  <c r="AD53" i="4"/>
  <c r="AB53" i="4"/>
  <c r="AA53" i="4"/>
  <c r="Y53" i="4"/>
  <c r="X53" i="4"/>
  <c r="Z53" i="4" s="1"/>
  <c r="V53" i="4"/>
  <c r="U53" i="4"/>
  <c r="W53" i="4" s="1"/>
  <c r="S53" i="4"/>
  <c r="R53" i="4"/>
  <c r="P53" i="4"/>
  <c r="O53" i="4"/>
  <c r="M53" i="4"/>
  <c r="L53" i="4"/>
  <c r="K53" i="4"/>
  <c r="J53" i="4"/>
  <c r="I53" i="4"/>
  <c r="E53" i="4"/>
  <c r="D53" i="4"/>
  <c r="AE51" i="4"/>
  <c r="AD51" i="4"/>
  <c r="AF51" i="4" s="1"/>
  <c r="AB51" i="4"/>
  <c r="AA51" i="4"/>
  <c r="Y51" i="4"/>
  <c r="X51" i="4"/>
  <c r="Z51" i="4" s="1"/>
  <c r="V51" i="4"/>
  <c r="U51" i="4"/>
  <c r="W51" i="4" s="1"/>
  <c r="S51" i="4"/>
  <c r="R51" i="4"/>
  <c r="T51" i="4" s="1"/>
  <c r="P51" i="4"/>
  <c r="O51" i="4"/>
  <c r="Q51" i="4" s="1"/>
  <c r="M51" i="4"/>
  <c r="L51" i="4"/>
  <c r="K51" i="4"/>
  <c r="J51" i="4"/>
  <c r="I51" i="4"/>
  <c r="E51" i="4"/>
  <c r="N51" i="4" s="1"/>
  <c r="D51" i="4"/>
  <c r="G51" i="4" s="1"/>
  <c r="AE50" i="4"/>
  <c r="AD50" i="4"/>
  <c r="AF50" i="4" s="1"/>
  <c r="AB50" i="4"/>
  <c r="AA50" i="4"/>
  <c r="AC50" i="4" s="1"/>
  <c r="Y50" i="4"/>
  <c r="X50" i="4"/>
  <c r="Z50" i="4" s="1"/>
  <c r="V50" i="4"/>
  <c r="U50" i="4"/>
  <c r="W50" i="4" s="1"/>
  <c r="S50" i="4"/>
  <c r="R50" i="4"/>
  <c r="T50" i="4" s="1"/>
  <c r="P50" i="4"/>
  <c r="O50" i="4"/>
  <c r="Q50" i="4" s="1"/>
  <c r="M50" i="4"/>
  <c r="L50" i="4"/>
  <c r="K50" i="4"/>
  <c r="J50" i="4"/>
  <c r="I50" i="4"/>
  <c r="E50" i="4"/>
  <c r="N50" i="4" s="1"/>
  <c r="D50" i="4"/>
  <c r="G50" i="4" s="1"/>
  <c r="AE49" i="4"/>
  <c r="AD49" i="4"/>
  <c r="AF49" i="4" s="1"/>
  <c r="AB49" i="4"/>
  <c r="AA49" i="4"/>
  <c r="AC49" i="4" s="1"/>
  <c r="Y49" i="4"/>
  <c r="X49" i="4"/>
  <c r="Z49" i="4" s="1"/>
  <c r="V49" i="4"/>
  <c r="U49" i="4"/>
  <c r="W49" i="4" s="1"/>
  <c r="S49" i="4"/>
  <c r="R49" i="4"/>
  <c r="T49" i="4" s="1"/>
  <c r="P49" i="4"/>
  <c r="O49" i="4"/>
  <c r="Q49" i="4" s="1"/>
  <c r="M49" i="4"/>
  <c r="L49" i="4"/>
  <c r="K49" i="4"/>
  <c r="J49" i="4"/>
  <c r="I49" i="4"/>
  <c r="E49" i="4"/>
  <c r="N49" i="4" s="1"/>
  <c r="D49" i="4"/>
  <c r="G49" i="4" s="1"/>
  <c r="AE48" i="4"/>
  <c r="AD48" i="4"/>
  <c r="AF48" i="4" s="1"/>
  <c r="AB48" i="4"/>
  <c r="AA48" i="4"/>
  <c r="AC48" i="4" s="1"/>
  <c r="Y48" i="4"/>
  <c r="X48" i="4"/>
  <c r="Z48" i="4" s="1"/>
  <c r="V48" i="4"/>
  <c r="U48" i="4"/>
  <c r="W48" i="4" s="1"/>
  <c r="S48" i="4"/>
  <c r="R48" i="4"/>
  <c r="T48" i="4" s="1"/>
  <c r="P48" i="4"/>
  <c r="O48" i="4"/>
  <c r="Q48" i="4" s="1"/>
  <c r="M48" i="4"/>
  <c r="L48" i="4"/>
  <c r="K48" i="4"/>
  <c r="J48" i="4"/>
  <c r="I48" i="4"/>
  <c r="E48" i="4"/>
  <c r="N48" i="4" s="1"/>
  <c r="D48" i="4"/>
  <c r="G48" i="4" s="1"/>
  <c r="AE47" i="4"/>
  <c r="AD47" i="4"/>
  <c r="AF47" i="4" s="1"/>
  <c r="AB47" i="4"/>
  <c r="AA47" i="4"/>
  <c r="AC47" i="4" s="1"/>
  <c r="Y47" i="4"/>
  <c r="X47" i="4"/>
  <c r="Z47" i="4" s="1"/>
  <c r="V47" i="4"/>
  <c r="U47" i="4"/>
  <c r="W47" i="4" s="1"/>
  <c r="S47" i="4"/>
  <c r="R47" i="4"/>
  <c r="T47" i="4" s="1"/>
  <c r="P47" i="4"/>
  <c r="O47" i="4"/>
  <c r="Q47" i="4" s="1"/>
  <c r="M47" i="4"/>
  <c r="L47" i="4"/>
  <c r="K47" i="4"/>
  <c r="J47" i="4"/>
  <c r="I47" i="4"/>
  <c r="E47" i="4"/>
  <c r="N47" i="4" s="1"/>
  <c r="D47" i="4"/>
  <c r="G47" i="4" s="1"/>
  <c r="AE46" i="4"/>
  <c r="AD46" i="4"/>
  <c r="AF46" i="4" s="1"/>
  <c r="AB46" i="4"/>
  <c r="AA46" i="4"/>
  <c r="AC46" i="4" s="1"/>
  <c r="Y46" i="4"/>
  <c r="X46" i="4"/>
  <c r="Z46" i="4" s="1"/>
  <c r="V46" i="4"/>
  <c r="U46" i="4"/>
  <c r="W46" i="4" s="1"/>
  <c r="S46" i="4"/>
  <c r="R46" i="4"/>
  <c r="T46" i="4" s="1"/>
  <c r="P46" i="4"/>
  <c r="O46" i="4"/>
  <c r="Q46" i="4" s="1"/>
  <c r="M46" i="4"/>
  <c r="L46" i="4"/>
  <c r="K46" i="4"/>
  <c r="J46" i="4"/>
  <c r="I46" i="4"/>
  <c r="E46" i="4"/>
  <c r="N46" i="4" s="1"/>
  <c r="D46" i="4"/>
  <c r="G46" i="4" s="1"/>
  <c r="AE45" i="4"/>
  <c r="AD45" i="4"/>
  <c r="AF45" i="4" s="1"/>
  <c r="AB45" i="4"/>
  <c r="AA45" i="4"/>
  <c r="AC45" i="4" s="1"/>
  <c r="Y45" i="4"/>
  <c r="X45" i="4"/>
  <c r="Z45" i="4" s="1"/>
  <c r="V45" i="4"/>
  <c r="U45" i="4"/>
  <c r="W45" i="4" s="1"/>
  <c r="S45" i="4"/>
  <c r="R45" i="4"/>
  <c r="T45" i="4" s="1"/>
  <c r="P45" i="4"/>
  <c r="O45" i="4"/>
  <c r="Q45" i="4" s="1"/>
  <c r="M45" i="4"/>
  <c r="L45" i="4"/>
  <c r="K45" i="4"/>
  <c r="J45" i="4"/>
  <c r="I45" i="4"/>
  <c r="E45" i="4"/>
  <c r="N45" i="4" s="1"/>
  <c r="D45" i="4"/>
  <c r="G45" i="4" s="1"/>
  <c r="AE44" i="4"/>
  <c r="AD44" i="4"/>
  <c r="AF44" i="4" s="1"/>
  <c r="AB44" i="4"/>
  <c r="AA44" i="4"/>
  <c r="AC44" i="4" s="1"/>
  <c r="Y44" i="4"/>
  <c r="X44" i="4"/>
  <c r="Z44" i="4" s="1"/>
  <c r="V44" i="4"/>
  <c r="U44" i="4"/>
  <c r="W44" i="4" s="1"/>
  <c r="S44" i="4"/>
  <c r="R44" i="4"/>
  <c r="T44" i="4" s="1"/>
  <c r="P44" i="4"/>
  <c r="O44" i="4"/>
  <c r="Q44" i="4" s="1"/>
  <c r="M44" i="4"/>
  <c r="L44" i="4"/>
  <c r="K44" i="4"/>
  <c r="J44" i="4"/>
  <c r="I44" i="4"/>
  <c r="E44" i="4"/>
  <c r="N44" i="4" s="1"/>
  <c r="D44" i="4"/>
  <c r="G44" i="4" s="1"/>
  <c r="AE43" i="4"/>
  <c r="AD43" i="4"/>
  <c r="AF43" i="4" s="1"/>
  <c r="AB43" i="4"/>
  <c r="AA43" i="4"/>
  <c r="AC43" i="4" s="1"/>
  <c r="Y43" i="4"/>
  <c r="X43" i="4"/>
  <c r="Z43" i="4" s="1"/>
  <c r="V43" i="4"/>
  <c r="U43" i="4"/>
  <c r="W43" i="4" s="1"/>
  <c r="S43" i="4"/>
  <c r="R43" i="4"/>
  <c r="T43" i="4" s="1"/>
  <c r="P43" i="4"/>
  <c r="O43" i="4"/>
  <c r="Q43" i="4" s="1"/>
  <c r="M43" i="4"/>
  <c r="L43" i="4"/>
  <c r="K43" i="4"/>
  <c r="J43" i="4"/>
  <c r="I43" i="4"/>
  <c r="E43" i="4"/>
  <c r="N43" i="4" s="1"/>
  <c r="D43" i="4"/>
  <c r="G43" i="4" s="1"/>
  <c r="AE42" i="4"/>
  <c r="AD42" i="4"/>
  <c r="AF42" i="4" s="1"/>
  <c r="AB42" i="4"/>
  <c r="AA42" i="4"/>
  <c r="AC42" i="4" s="1"/>
  <c r="Y42" i="4"/>
  <c r="X42" i="4"/>
  <c r="Z42" i="4" s="1"/>
  <c r="V42" i="4"/>
  <c r="U42" i="4"/>
  <c r="W42" i="4" s="1"/>
  <c r="S42" i="4"/>
  <c r="R42" i="4"/>
  <c r="T42" i="4" s="1"/>
  <c r="P42" i="4"/>
  <c r="O42" i="4"/>
  <c r="Q42" i="4" s="1"/>
  <c r="M42" i="4"/>
  <c r="L42" i="4"/>
  <c r="K42" i="4"/>
  <c r="J42" i="4"/>
  <c r="I42" i="4"/>
  <c r="E42" i="4"/>
  <c r="N42" i="4" s="1"/>
  <c r="D42" i="4"/>
  <c r="G42" i="4" s="1"/>
  <c r="AE41" i="4"/>
  <c r="AD41" i="4"/>
  <c r="AF41" i="4" s="1"/>
  <c r="AB41" i="4"/>
  <c r="AA41" i="4"/>
  <c r="AC41" i="4" s="1"/>
  <c r="Y41" i="4"/>
  <c r="X41" i="4"/>
  <c r="Z41" i="4" s="1"/>
  <c r="V41" i="4"/>
  <c r="U41" i="4"/>
  <c r="W41" i="4" s="1"/>
  <c r="S41" i="4"/>
  <c r="R41" i="4"/>
  <c r="T41" i="4" s="1"/>
  <c r="P41" i="4"/>
  <c r="O41" i="4"/>
  <c r="Q41" i="4" s="1"/>
  <c r="M41" i="4"/>
  <c r="L41" i="4"/>
  <c r="K41" i="4"/>
  <c r="J41" i="4"/>
  <c r="I41" i="4"/>
  <c r="E41" i="4"/>
  <c r="N41" i="4" s="1"/>
  <c r="D41" i="4"/>
  <c r="G41" i="4" s="1"/>
  <c r="AE40" i="4"/>
  <c r="AD40" i="4"/>
  <c r="AF40" i="4" s="1"/>
  <c r="AB40" i="4"/>
  <c r="AA40" i="4"/>
  <c r="AC40" i="4" s="1"/>
  <c r="Y40" i="4"/>
  <c r="X40" i="4"/>
  <c r="Z40" i="4" s="1"/>
  <c r="V40" i="4"/>
  <c r="U40" i="4"/>
  <c r="W40" i="4" s="1"/>
  <c r="S40" i="4"/>
  <c r="R40" i="4"/>
  <c r="T40" i="4" s="1"/>
  <c r="P40" i="4"/>
  <c r="O40" i="4"/>
  <c r="Q40" i="4" s="1"/>
  <c r="M40" i="4"/>
  <c r="L40" i="4"/>
  <c r="K40" i="4"/>
  <c r="J40" i="4"/>
  <c r="I40" i="4"/>
  <c r="E40" i="4"/>
  <c r="N40" i="4" s="1"/>
  <c r="D40" i="4"/>
  <c r="G40" i="4" s="1"/>
  <c r="AE39" i="4"/>
  <c r="AD39" i="4"/>
  <c r="AF39" i="4" s="1"/>
  <c r="AB39" i="4"/>
  <c r="AA39" i="4"/>
  <c r="AC39" i="4" s="1"/>
  <c r="Y39" i="4"/>
  <c r="X39" i="4"/>
  <c r="Z39" i="4" s="1"/>
  <c r="V39" i="4"/>
  <c r="U39" i="4"/>
  <c r="W39" i="4" s="1"/>
  <c r="S39" i="4"/>
  <c r="R39" i="4"/>
  <c r="T39" i="4" s="1"/>
  <c r="P39" i="4"/>
  <c r="O39" i="4"/>
  <c r="Q39" i="4" s="1"/>
  <c r="M39" i="4"/>
  <c r="L39" i="4"/>
  <c r="K39" i="4"/>
  <c r="J39" i="4"/>
  <c r="I39" i="4"/>
  <c r="E39" i="4"/>
  <c r="N39" i="4" s="1"/>
  <c r="D39" i="4"/>
  <c r="G39" i="4" s="1"/>
  <c r="AE38" i="4"/>
  <c r="AD38" i="4"/>
  <c r="AF38" i="4" s="1"/>
  <c r="AB38" i="4"/>
  <c r="AA38" i="4"/>
  <c r="AC38" i="4" s="1"/>
  <c r="Y38" i="4"/>
  <c r="X38" i="4"/>
  <c r="Z38" i="4" s="1"/>
  <c r="V38" i="4"/>
  <c r="U38" i="4"/>
  <c r="W38" i="4" s="1"/>
  <c r="S38" i="4"/>
  <c r="R38" i="4"/>
  <c r="T38" i="4" s="1"/>
  <c r="P38" i="4"/>
  <c r="O38" i="4"/>
  <c r="Q38" i="4" s="1"/>
  <c r="M38" i="4"/>
  <c r="L38" i="4"/>
  <c r="K38" i="4"/>
  <c r="J38" i="4"/>
  <c r="I38" i="4"/>
  <c r="E38" i="4"/>
  <c r="N38" i="4" s="1"/>
  <c r="D38" i="4"/>
  <c r="G38" i="4" s="1"/>
  <c r="AE37" i="4"/>
  <c r="AD37" i="4"/>
  <c r="AB37" i="4"/>
  <c r="AA37" i="4"/>
  <c r="AC37" i="4" s="1"/>
  <c r="Y37" i="4"/>
  <c r="X37" i="4"/>
  <c r="V37" i="4"/>
  <c r="U37" i="4"/>
  <c r="W37" i="4" s="1"/>
  <c r="S37" i="4"/>
  <c r="R37" i="4"/>
  <c r="T37" i="4" s="1"/>
  <c r="P37" i="4"/>
  <c r="O37" i="4"/>
  <c r="Q37" i="4" s="1"/>
  <c r="M37" i="4"/>
  <c r="L37" i="4"/>
  <c r="K37" i="4"/>
  <c r="J37" i="4"/>
  <c r="I37" i="4"/>
  <c r="E37" i="4"/>
  <c r="N37" i="4" s="1"/>
  <c r="D37" i="4"/>
  <c r="G37" i="4" s="1"/>
  <c r="AE36" i="4"/>
  <c r="AD36" i="4"/>
  <c r="AB36" i="4"/>
  <c r="AA36" i="4"/>
  <c r="Y36" i="4"/>
  <c r="X36" i="4"/>
  <c r="Z36" i="4" s="1"/>
  <c r="V36" i="4"/>
  <c r="U36" i="4"/>
  <c r="W36" i="4" s="1"/>
  <c r="S36" i="4"/>
  <c r="R36" i="4"/>
  <c r="P36" i="4"/>
  <c r="O36" i="4"/>
  <c r="M36" i="4"/>
  <c r="L36" i="4"/>
  <c r="K36" i="4"/>
  <c r="J36" i="4"/>
  <c r="I36" i="4"/>
  <c r="E36" i="4"/>
  <c r="N36" i="4" s="1"/>
  <c r="D36" i="4"/>
  <c r="AE35" i="4"/>
  <c r="AD35" i="4"/>
  <c r="AF35" i="4" s="1"/>
  <c r="AB35" i="4"/>
  <c r="AA35" i="4"/>
  <c r="AC35" i="4" s="1"/>
  <c r="Y35" i="4"/>
  <c r="X35" i="4"/>
  <c r="Z35" i="4" s="1"/>
  <c r="V35" i="4"/>
  <c r="U35" i="4"/>
  <c r="W35" i="4" s="1"/>
  <c r="S35" i="4"/>
  <c r="R35" i="4"/>
  <c r="T35" i="4" s="1"/>
  <c r="P35" i="4"/>
  <c r="O35" i="4"/>
  <c r="Q35" i="4" s="1"/>
  <c r="M35" i="4"/>
  <c r="L35" i="4"/>
  <c r="K35" i="4"/>
  <c r="J35" i="4"/>
  <c r="I35" i="4"/>
  <c r="E35" i="4"/>
  <c r="N35" i="4" s="1"/>
  <c r="D35" i="4"/>
  <c r="G35" i="4" s="1"/>
  <c r="AE34" i="4"/>
  <c r="AD34" i="4"/>
  <c r="AF34" i="4" s="1"/>
  <c r="AB34" i="4"/>
  <c r="AA34" i="4"/>
  <c r="AC34" i="4" s="1"/>
  <c r="Y34" i="4"/>
  <c r="X34" i="4"/>
  <c r="Z34" i="4" s="1"/>
  <c r="V34" i="4"/>
  <c r="U34" i="4"/>
  <c r="W34" i="4" s="1"/>
  <c r="S34" i="4"/>
  <c r="R34" i="4"/>
  <c r="T34" i="4" s="1"/>
  <c r="P34" i="4"/>
  <c r="O34" i="4"/>
  <c r="Q34" i="4" s="1"/>
  <c r="M34" i="4"/>
  <c r="L34" i="4"/>
  <c r="K34" i="4"/>
  <c r="J34" i="4"/>
  <c r="I34" i="4"/>
  <c r="E34" i="4"/>
  <c r="N34" i="4" s="1"/>
  <c r="D34" i="4"/>
  <c r="G34" i="4" s="1"/>
  <c r="AE33" i="4"/>
  <c r="AD33" i="4"/>
  <c r="AF33" i="4" s="1"/>
  <c r="AB33" i="4"/>
  <c r="AA33" i="4"/>
  <c r="AC33" i="4" s="1"/>
  <c r="Y33" i="4"/>
  <c r="X33" i="4"/>
  <c r="Z33" i="4" s="1"/>
  <c r="V33" i="4"/>
  <c r="U33" i="4"/>
  <c r="S33" i="4"/>
  <c r="R33" i="4"/>
  <c r="T33" i="4" s="1"/>
  <c r="P33" i="4"/>
  <c r="O33" i="4"/>
  <c r="M33" i="4"/>
  <c r="L33" i="4"/>
  <c r="K33" i="4"/>
  <c r="J33" i="4"/>
  <c r="I33" i="4"/>
  <c r="E33" i="4"/>
  <c r="N33" i="4" s="1"/>
  <c r="D33" i="4"/>
  <c r="AE32" i="4"/>
  <c r="AD32" i="4"/>
  <c r="AB32" i="4"/>
  <c r="AA32" i="4"/>
  <c r="Y32" i="4"/>
  <c r="X32" i="4"/>
  <c r="Z32" i="4" s="1"/>
  <c r="V32" i="4"/>
  <c r="U32" i="4"/>
  <c r="W32" i="4" s="1"/>
  <c r="S32" i="4"/>
  <c r="R32" i="4"/>
  <c r="P32" i="4"/>
  <c r="O32" i="4"/>
  <c r="M32" i="4"/>
  <c r="L32" i="4"/>
  <c r="K32" i="4"/>
  <c r="J32" i="4"/>
  <c r="I32" i="4"/>
  <c r="E32" i="4"/>
  <c r="D32" i="4"/>
  <c r="AE30" i="4"/>
  <c r="AD30" i="4"/>
  <c r="AB30" i="4"/>
  <c r="AA30" i="4"/>
  <c r="Y30" i="4"/>
  <c r="X30" i="4"/>
  <c r="Z30" i="4" s="1"/>
  <c r="V30" i="4"/>
  <c r="U30" i="4"/>
  <c r="W30" i="4" s="1"/>
  <c r="S30" i="4"/>
  <c r="R30" i="4"/>
  <c r="P30" i="4"/>
  <c r="O30" i="4"/>
  <c r="M30" i="4"/>
  <c r="L30" i="4"/>
  <c r="K30" i="4"/>
  <c r="J30" i="4"/>
  <c r="I30" i="4"/>
  <c r="E30" i="4"/>
  <c r="N30" i="4" s="1"/>
  <c r="D30" i="4"/>
  <c r="AE29" i="4"/>
  <c r="AD29" i="4"/>
  <c r="AF29" i="4" s="1"/>
  <c r="AB29" i="4"/>
  <c r="AA29" i="4"/>
  <c r="AC29" i="4" s="1"/>
  <c r="Y29" i="4"/>
  <c r="X29" i="4"/>
  <c r="Z29" i="4" s="1"/>
  <c r="V29" i="4"/>
  <c r="U29" i="4"/>
  <c r="W29" i="4" s="1"/>
  <c r="S29" i="4"/>
  <c r="R29" i="4"/>
  <c r="T29" i="4" s="1"/>
  <c r="P29" i="4"/>
  <c r="O29" i="4"/>
  <c r="Q29" i="4" s="1"/>
  <c r="M29" i="4"/>
  <c r="L29" i="4"/>
  <c r="K29" i="4"/>
  <c r="J29" i="4"/>
  <c r="I29" i="4"/>
  <c r="E29" i="4"/>
  <c r="N29" i="4" s="1"/>
  <c r="D29" i="4"/>
  <c r="G29" i="4" s="1"/>
  <c r="AE28" i="4"/>
  <c r="AD28" i="4"/>
  <c r="AF28" i="4" s="1"/>
  <c r="AB28" i="4"/>
  <c r="AA28" i="4"/>
  <c r="AC28" i="4" s="1"/>
  <c r="Y28" i="4"/>
  <c r="X28" i="4"/>
  <c r="Z28" i="4" s="1"/>
  <c r="V28" i="4"/>
  <c r="U28" i="4"/>
  <c r="W28" i="4" s="1"/>
  <c r="S28" i="4"/>
  <c r="R28" i="4"/>
  <c r="T28" i="4" s="1"/>
  <c r="P28" i="4"/>
  <c r="O28" i="4"/>
  <c r="Q28" i="4" s="1"/>
  <c r="M28" i="4"/>
  <c r="L28" i="4"/>
  <c r="K28" i="4"/>
  <c r="J28" i="4"/>
  <c r="I28" i="4"/>
  <c r="E28" i="4"/>
  <c r="N28" i="4" s="1"/>
  <c r="D28" i="4"/>
  <c r="G28" i="4" s="1"/>
  <c r="AE27" i="4"/>
  <c r="AD27" i="4"/>
  <c r="AF27" i="4" s="1"/>
  <c r="AB27" i="4"/>
  <c r="AA27" i="4"/>
  <c r="AC27" i="4" s="1"/>
  <c r="Y27" i="4"/>
  <c r="X27" i="4"/>
  <c r="Z27" i="4" s="1"/>
  <c r="V27" i="4"/>
  <c r="U27" i="4"/>
  <c r="W27" i="4" s="1"/>
  <c r="S27" i="4"/>
  <c r="R27" i="4"/>
  <c r="T27" i="4" s="1"/>
  <c r="P27" i="4"/>
  <c r="O27" i="4"/>
  <c r="Q27" i="4" s="1"/>
  <c r="M27" i="4"/>
  <c r="L27" i="4"/>
  <c r="K27" i="4"/>
  <c r="J27" i="4"/>
  <c r="I27" i="4"/>
  <c r="E27" i="4"/>
  <c r="N27" i="4" s="1"/>
  <c r="D27" i="4"/>
  <c r="G27" i="4" s="1"/>
  <c r="AE26" i="4"/>
  <c r="AD26" i="4"/>
  <c r="AF26" i="4" s="1"/>
  <c r="AB26" i="4"/>
  <c r="AA26" i="4"/>
  <c r="AC26" i="4" s="1"/>
  <c r="Y26" i="4"/>
  <c r="X26" i="4"/>
  <c r="Z26" i="4" s="1"/>
  <c r="V26" i="4"/>
  <c r="U26" i="4"/>
  <c r="W26" i="4" s="1"/>
  <c r="S26" i="4"/>
  <c r="R26" i="4"/>
  <c r="T26" i="4" s="1"/>
  <c r="P26" i="4"/>
  <c r="O26" i="4"/>
  <c r="Q26" i="4" s="1"/>
  <c r="M26" i="4"/>
  <c r="L26" i="4"/>
  <c r="K26" i="4"/>
  <c r="J26" i="4"/>
  <c r="I26" i="4"/>
  <c r="E26" i="4"/>
  <c r="N26" i="4" s="1"/>
  <c r="D26" i="4"/>
  <c r="G26" i="4" s="1"/>
  <c r="AE25" i="4"/>
  <c r="AD25" i="4"/>
  <c r="AF25" i="4" s="1"/>
  <c r="AB25" i="4"/>
  <c r="AA25" i="4"/>
  <c r="AC25" i="4" s="1"/>
  <c r="Y25" i="4"/>
  <c r="X25" i="4"/>
  <c r="Z25" i="4" s="1"/>
  <c r="V25" i="4"/>
  <c r="U25" i="4"/>
  <c r="W25" i="4" s="1"/>
  <c r="S25" i="4"/>
  <c r="R25" i="4"/>
  <c r="T25" i="4" s="1"/>
  <c r="P25" i="4"/>
  <c r="O25" i="4"/>
  <c r="Q25" i="4" s="1"/>
  <c r="M25" i="4"/>
  <c r="L25" i="4"/>
  <c r="K25" i="4"/>
  <c r="J25" i="4"/>
  <c r="I25" i="4"/>
  <c r="E25" i="4"/>
  <c r="N25" i="4" s="1"/>
  <c r="D25" i="4"/>
  <c r="G25" i="4" s="1"/>
  <c r="AE24" i="4"/>
  <c r="AD24" i="4"/>
  <c r="AF24" i="4" s="1"/>
  <c r="AB24" i="4"/>
  <c r="AA24" i="4"/>
  <c r="AC24" i="4" s="1"/>
  <c r="Y24" i="4"/>
  <c r="X24" i="4"/>
  <c r="Z24" i="4" s="1"/>
  <c r="V24" i="4"/>
  <c r="U24" i="4"/>
  <c r="W24" i="4" s="1"/>
  <c r="S24" i="4"/>
  <c r="R24" i="4"/>
  <c r="T24" i="4" s="1"/>
  <c r="P24" i="4"/>
  <c r="O24" i="4"/>
  <c r="Q24" i="4" s="1"/>
  <c r="M24" i="4"/>
  <c r="L24" i="4"/>
  <c r="K24" i="4"/>
  <c r="J24" i="4"/>
  <c r="I24" i="4"/>
  <c r="E24" i="4"/>
  <c r="N24" i="4" s="1"/>
  <c r="D24" i="4"/>
  <c r="AE23" i="4"/>
  <c r="AD23" i="4"/>
  <c r="AF23" i="4" s="1"/>
  <c r="AB23" i="4"/>
  <c r="AA23" i="4"/>
  <c r="AC23" i="4" s="1"/>
  <c r="Y23" i="4"/>
  <c r="X23" i="4"/>
  <c r="Z23" i="4" s="1"/>
  <c r="V23" i="4"/>
  <c r="U23" i="4"/>
  <c r="W23" i="4" s="1"/>
  <c r="S23" i="4"/>
  <c r="R23" i="4"/>
  <c r="T23" i="4" s="1"/>
  <c r="P23" i="4"/>
  <c r="O23" i="4"/>
  <c r="Q23" i="4" s="1"/>
  <c r="M23" i="4"/>
  <c r="L23" i="4"/>
  <c r="K23" i="4"/>
  <c r="J23" i="4"/>
  <c r="I23" i="4"/>
  <c r="E23" i="4"/>
  <c r="N23" i="4" s="1"/>
  <c r="D23" i="4"/>
  <c r="G23" i="4" s="1"/>
  <c r="AE22" i="4"/>
  <c r="AD22" i="4"/>
  <c r="AF22" i="4" s="1"/>
  <c r="AB22" i="4"/>
  <c r="AA22" i="4"/>
  <c r="AC22" i="4" s="1"/>
  <c r="Y22" i="4"/>
  <c r="X22" i="4"/>
  <c r="Z22" i="4" s="1"/>
  <c r="V22" i="4"/>
  <c r="U22" i="4"/>
  <c r="W22" i="4" s="1"/>
  <c r="S22" i="4"/>
  <c r="R22" i="4"/>
  <c r="P22" i="4"/>
  <c r="O22" i="4"/>
  <c r="Q22" i="4" s="1"/>
  <c r="M22" i="4"/>
  <c r="L22" i="4"/>
  <c r="K22" i="4"/>
  <c r="J22" i="4"/>
  <c r="I22" i="4"/>
  <c r="E22" i="4"/>
  <c r="N22" i="4" s="1"/>
  <c r="D22" i="4"/>
  <c r="G22" i="4" s="1"/>
  <c r="AE21" i="4"/>
  <c r="AD21" i="4"/>
  <c r="AF21" i="4" s="1"/>
  <c r="AB21" i="4"/>
  <c r="AA21" i="4"/>
  <c r="AC21" i="4" s="1"/>
  <c r="Y21" i="4"/>
  <c r="X21" i="4"/>
  <c r="Z21" i="4" s="1"/>
  <c r="V21" i="4"/>
  <c r="U21" i="4"/>
  <c r="W21" i="4" s="1"/>
  <c r="S21" i="4"/>
  <c r="R21" i="4"/>
  <c r="T21" i="4" s="1"/>
  <c r="P21" i="4"/>
  <c r="O21" i="4"/>
  <c r="Q21" i="4" s="1"/>
  <c r="M21" i="4"/>
  <c r="L21" i="4"/>
  <c r="K21" i="4"/>
  <c r="J21" i="4"/>
  <c r="I21" i="4"/>
  <c r="E21" i="4"/>
  <c r="N21" i="4" s="1"/>
  <c r="D21" i="4"/>
  <c r="G21" i="4" s="1"/>
  <c r="AE20" i="4"/>
  <c r="AD20" i="4"/>
  <c r="AF20" i="4" s="1"/>
  <c r="AB20" i="4"/>
  <c r="AA20" i="4"/>
  <c r="AC20" i="4" s="1"/>
  <c r="Y20" i="4"/>
  <c r="X20" i="4"/>
  <c r="Z20" i="4" s="1"/>
  <c r="V20" i="4"/>
  <c r="U20" i="4"/>
  <c r="W20" i="4" s="1"/>
  <c r="S20" i="4"/>
  <c r="R20" i="4"/>
  <c r="T20" i="4" s="1"/>
  <c r="P20" i="4"/>
  <c r="O20" i="4"/>
  <c r="Q20" i="4" s="1"/>
  <c r="M20" i="4"/>
  <c r="L20" i="4"/>
  <c r="K20" i="4"/>
  <c r="J20" i="4"/>
  <c r="I20" i="4"/>
  <c r="E20" i="4"/>
  <c r="N20" i="4" s="1"/>
  <c r="D20" i="4"/>
  <c r="G20" i="4" s="1"/>
  <c r="AE19" i="4"/>
  <c r="AD19" i="4"/>
  <c r="AF19" i="4" s="1"/>
  <c r="AB19" i="4"/>
  <c r="AA19" i="4"/>
  <c r="AC19" i="4" s="1"/>
  <c r="Y19" i="4"/>
  <c r="X19" i="4"/>
  <c r="Z19" i="4" s="1"/>
  <c r="V19" i="4"/>
  <c r="U19" i="4"/>
  <c r="W19" i="4" s="1"/>
  <c r="S19" i="4"/>
  <c r="R19" i="4"/>
  <c r="T19" i="4" s="1"/>
  <c r="P19" i="4"/>
  <c r="O19" i="4"/>
  <c r="Q19" i="4" s="1"/>
  <c r="M19" i="4"/>
  <c r="L19" i="4"/>
  <c r="K19" i="4"/>
  <c r="J19" i="4"/>
  <c r="I19" i="4"/>
  <c r="E19" i="4"/>
  <c r="N19" i="4" s="1"/>
  <c r="D19" i="4"/>
  <c r="AE18" i="4"/>
  <c r="AD18" i="4"/>
  <c r="AF18" i="4" s="1"/>
  <c r="AB18" i="4"/>
  <c r="AA18" i="4"/>
  <c r="AC18" i="4" s="1"/>
  <c r="Y18" i="4"/>
  <c r="X18" i="4"/>
  <c r="Z18" i="4" s="1"/>
  <c r="V18" i="4"/>
  <c r="U18" i="4"/>
  <c r="W18" i="4" s="1"/>
  <c r="S18" i="4"/>
  <c r="R18" i="4"/>
  <c r="T18" i="4" s="1"/>
  <c r="P18" i="4"/>
  <c r="O18" i="4"/>
  <c r="Q18" i="4" s="1"/>
  <c r="M18" i="4"/>
  <c r="L18" i="4"/>
  <c r="K18" i="4"/>
  <c r="J18" i="4"/>
  <c r="I18" i="4"/>
  <c r="E18" i="4"/>
  <c r="N18" i="4" s="1"/>
  <c r="D18" i="4"/>
  <c r="G18" i="4" s="1"/>
  <c r="AE17" i="4"/>
  <c r="AD17" i="4"/>
  <c r="AF17" i="4" s="1"/>
  <c r="AB17" i="4"/>
  <c r="AA17" i="4"/>
  <c r="AC17" i="4" s="1"/>
  <c r="Y17" i="4"/>
  <c r="X17" i="4"/>
  <c r="Z17" i="4" s="1"/>
  <c r="V17" i="4"/>
  <c r="U17" i="4"/>
  <c r="W17" i="4" s="1"/>
  <c r="S17" i="4"/>
  <c r="R17" i="4"/>
  <c r="T17" i="4" s="1"/>
  <c r="P17" i="4"/>
  <c r="O17" i="4"/>
  <c r="Q17" i="4" s="1"/>
  <c r="M17" i="4"/>
  <c r="L17" i="4"/>
  <c r="K17" i="4"/>
  <c r="J17" i="4"/>
  <c r="I17" i="4"/>
  <c r="E17" i="4"/>
  <c r="N17" i="4" s="1"/>
  <c r="D17" i="4"/>
  <c r="AE16" i="4"/>
  <c r="AD16" i="4"/>
  <c r="AF16" i="4" s="1"/>
  <c r="AB16" i="4"/>
  <c r="AA16" i="4"/>
  <c r="AC16" i="4" s="1"/>
  <c r="Y16" i="4"/>
  <c r="X16" i="4"/>
  <c r="Z16" i="4" s="1"/>
  <c r="V16" i="4"/>
  <c r="U16" i="4"/>
  <c r="W16" i="4" s="1"/>
  <c r="S16" i="4"/>
  <c r="R16" i="4"/>
  <c r="T16" i="4" s="1"/>
  <c r="P16" i="4"/>
  <c r="O16" i="4"/>
  <c r="Q16" i="4" s="1"/>
  <c r="M16" i="4"/>
  <c r="L16" i="4"/>
  <c r="K16" i="4"/>
  <c r="J16" i="4"/>
  <c r="I16" i="4"/>
  <c r="E16" i="4"/>
  <c r="N16" i="4" s="1"/>
  <c r="D16" i="4"/>
  <c r="G16" i="4" s="1"/>
  <c r="AE15" i="4"/>
  <c r="AD15" i="4"/>
  <c r="AB15" i="4"/>
  <c r="AA15" i="4"/>
  <c r="AC15" i="4" s="1"/>
  <c r="Y15" i="4"/>
  <c r="X15" i="4"/>
  <c r="Z15" i="4" s="1"/>
  <c r="V15" i="4"/>
  <c r="U15" i="4"/>
  <c r="S15" i="4"/>
  <c r="R15" i="4"/>
  <c r="T15" i="4" s="1"/>
  <c r="P15" i="4"/>
  <c r="O15" i="4"/>
  <c r="Q15" i="4" s="1"/>
  <c r="M15" i="4"/>
  <c r="L15" i="4"/>
  <c r="K15" i="4"/>
  <c r="J15" i="4"/>
  <c r="I15" i="4"/>
  <c r="E15" i="4"/>
  <c r="N15" i="4" s="1"/>
  <c r="D15" i="4"/>
  <c r="AE14" i="4"/>
  <c r="AD14" i="4"/>
  <c r="AF14" i="4" s="1"/>
  <c r="AB14" i="4"/>
  <c r="AA14" i="4"/>
  <c r="AC14" i="4" s="1"/>
  <c r="Y14" i="4"/>
  <c r="X14" i="4"/>
  <c r="Z14" i="4" s="1"/>
  <c r="V14" i="4"/>
  <c r="U14" i="4"/>
  <c r="W14" i="4" s="1"/>
  <c r="S14" i="4"/>
  <c r="R14" i="4"/>
  <c r="T14" i="4" s="1"/>
  <c r="P14" i="4"/>
  <c r="O14" i="4"/>
  <c r="M14" i="4"/>
  <c r="L14" i="4"/>
  <c r="K14" i="4"/>
  <c r="J14" i="4"/>
  <c r="I14" i="4"/>
  <c r="E14" i="4"/>
  <c r="N14" i="4" s="1"/>
  <c r="D14" i="4"/>
  <c r="G14" i="4" s="1"/>
  <c r="AF12" i="4"/>
  <c r="AC12" i="4"/>
  <c r="Z12" i="4"/>
  <c r="W12" i="4"/>
  <c r="T12" i="4"/>
  <c r="Q12" i="4"/>
  <c r="G12" i="4"/>
  <c r="F12" i="4"/>
  <c r="N11" i="4"/>
  <c r="G11" i="4"/>
  <c r="F11" i="4"/>
  <c r="N10" i="4"/>
  <c r="G10" i="4"/>
  <c r="F10" i="4"/>
  <c r="N9" i="4"/>
  <c r="G9" i="4"/>
  <c r="F9" i="4"/>
  <c r="N116" i="3"/>
  <c r="H116" i="3"/>
  <c r="F116" i="3" s="1"/>
  <c r="G116" i="3"/>
  <c r="C116" i="3"/>
  <c r="N115" i="3"/>
  <c r="H115" i="3"/>
  <c r="F115" i="3" s="1"/>
  <c r="G115" i="3"/>
  <c r="C115" i="3"/>
  <c r="N114" i="3"/>
  <c r="H114" i="3"/>
  <c r="F114" i="3" s="1"/>
  <c r="G114" i="3"/>
  <c r="C114" i="3"/>
  <c r="N113" i="3"/>
  <c r="H113" i="3"/>
  <c r="F113" i="3" s="1"/>
  <c r="G113" i="3"/>
  <c r="C113" i="3"/>
  <c r="N112" i="3"/>
  <c r="H112" i="3"/>
  <c r="F112" i="3" s="1"/>
  <c r="G112" i="3"/>
  <c r="C112" i="3"/>
  <c r="N111" i="3"/>
  <c r="H111" i="3"/>
  <c r="F111" i="3" s="1"/>
  <c r="G111" i="3"/>
  <c r="C111" i="3"/>
  <c r="N110" i="3"/>
  <c r="H110" i="3"/>
  <c r="G110" i="3"/>
  <c r="C110" i="3"/>
  <c r="N109" i="3"/>
  <c r="H109" i="3"/>
  <c r="G109" i="3"/>
  <c r="F109" i="3"/>
  <c r="C109" i="3"/>
  <c r="N108" i="3"/>
  <c r="H108" i="3"/>
  <c r="G108" i="3"/>
  <c r="F108" i="3"/>
  <c r="C108" i="3"/>
  <c r="N107" i="3"/>
  <c r="H107" i="3"/>
  <c r="F107" i="3" s="1"/>
  <c r="G107" i="3"/>
  <c r="C107" i="3"/>
  <c r="N106" i="3"/>
  <c r="H106" i="3"/>
  <c r="G106" i="3"/>
  <c r="F106" i="3"/>
  <c r="C106" i="3"/>
  <c r="N105" i="3"/>
  <c r="H105" i="3"/>
  <c r="F105" i="3" s="1"/>
  <c r="G105" i="3"/>
  <c r="C105" i="3"/>
  <c r="C104" i="3" s="1"/>
  <c r="C11" i="3" s="1"/>
  <c r="N104" i="3"/>
  <c r="G104" i="3"/>
  <c r="N103" i="3"/>
  <c r="H103" i="3"/>
  <c r="F103" i="3" s="1"/>
  <c r="G103" i="3"/>
  <c r="C103" i="3"/>
  <c r="N102" i="3"/>
  <c r="H102" i="3"/>
  <c r="F102" i="3" s="1"/>
  <c r="G102" i="3"/>
  <c r="C102" i="3"/>
  <c r="N101" i="3"/>
  <c r="H101" i="3"/>
  <c r="F101" i="3" s="1"/>
  <c r="G101" i="3"/>
  <c r="C101" i="3"/>
  <c r="N100" i="3"/>
  <c r="H100" i="3"/>
  <c r="F100" i="3" s="1"/>
  <c r="G100" i="3"/>
  <c r="C100" i="3"/>
  <c r="N99" i="3"/>
  <c r="H99" i="3"/>
  <c r="F99" i="3" s="1"/>
  <c r="G99" i="3"/>
  <c r="C99" i="3"/>
  <c r="N98" i="3"/>
  <c r="H98" i="3"/>
  <c r="F98" i="3" s="1"/>
  <c r="G98" i="3"/>
  <c r="C98" i="3"/>
  <c r="N97" i="3"/>
  <c r="H97" i="3"/>
  <c r="F97" i="3" s="1"/>
  <c r="G97" i="3"/>
  <c r="C97" i="3"/>
  <c r="N96" i="3"/>
  <c r="H96" i="3"/>
  <c r="F96" i="3" s="1"/>
  <c r="G96" i="3"/>
  <c r="C96" i="3"/>
  <c r="N95" i="3"/>
  <c r="H95" i="3"/>
  <c r="F95" i="3" s="1"/>
  <c r="G95" i="3"/>
  <c r="C95" i="3"/>
  <c r="N94" i="3"/>
  <c r="H94" i="3"/>
  <c r="F94" i="3" s="1"/>
  <c r="G94" i="3"/>
  <c r="C94" i="3"/>
  <c r="N93" i="3"/>
  <c r="H93" i="3"/>
  <c r="F93" i="3" s="1"/>
  <c r="G93" i="3"/>
  <c r="C93" i="3"/>
  <c r="A93" i="3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N92" i="3"/>
  <c r="H92" i="3"/>
  <c r="F92" i="3" s="1"/>
  <c r="G92" i="3"/>
  <c r="C92" i="3"/>
  <c r="N91" i="3"/>
  <c r="H91" i="3"/>
  <c r="F91" i="3" s="1"/>
  <c r="G91" i="3"/>
  <c r="C91" i="3"/>
  <c r="N90" i="3"/>
  <c r="H90" i="3"/>
  <c r="G90" i="3"/>
  <c r="C90" i="3"/>
  <c r="N89" i="3"/>
  <c r="G89" i="3"/>
  <c r="AT88" i="3"/>
  <c r="AR88" i="3"/>
  <c r="AQ88" i="3"/>
  <c r="AP88" i="3"/>
  <c r="AN88" i="3"/>
  <c r="AM88" i="3"/>
  <c r="AK88" i="3"/>
  <c r="AJ88" i="3"/>
  <c r="AI88" i="3"/>
  <c r="AG88" i="3"/>
  <c r="AF88" i="3"/>
  <c r="AE88" i="3"/>
  <c r="AC88" i="3"/>
  <c r="AB88" i="3"/>
  <c r="Z88" i="3"/>
  <c r="Y88" i="3"/>
  <c r="X88" i="3"/>
  <c r="V88" i="3"/>
  <c r="U88" i="3"/>
  <c r="S88" i="3"/>
  <c r="Q88" i="3"/>
  <c r="P88" i="3"/>
  <c r="O88" i="3"/>
  <c r="M88" i="3"/>
  <c r="L88" i="3"/>
  <c r="K88" i="3"/>
  <c r="J88" i="3"/>
  <c r="I88" i="3"/>
  <c r="E88" i="3"/>
  <c r="N88" i="3" s="1"/>
  <c r="D88" i="3"/>
  <c r="AT87" i="3"/>
  <c r="AR87" i="3"/>
  <c r="AQ87" i="3"/>
  <c r="AP87" i="3"/>
  <c r="AN87" i="3"/>
  <c r="AM87" i="3"/>
  <c r="AK87" i="3"/>
  <c r="AJ87" i="3"/>
  <c r="AI87" i="3"/>
  <c r="AG87" i="3"/>
  <c r="AF87" i="3"/>
  <c r="AE87" i="3"/>
  <c r="AC87" i="3"/>
  <c r="AB87" i="3"/>
  <c r="Z87" i="3"/>
  <c r="Y87" i="3"/>
  <c r="X87" i="3"/>
  <c r="V87" i="3"/>
  <c r="U87" i="3"/>
  <c r="S87" i="3"/>
  <c r="Q87" i="3"/>
  <c r="P87" i="3"/>
  <c r="O87" i="3"/>
  <c r="M87" i="3"/>
  <c r="L87" i="3"/>
  <c r="K87" i="3"/>
  <c r="J87" i="3"/>
  <c r="I87" i="3"/>
  <c r="E87" i="3"/>
  <c r="N87" i="3" s="1"/>
  <c r="D87" i="3"/>
  <c r="AT86" i="3"/>
  <c r="AR86" i="3"/>
  <c r="AQ86" i="3"/>
  <c r="AP86" i="3"/>
  <c r="AN86" i="3"/>
  <c r="AM86" i="3"/>
  <c r="AK86" i="3"/>
  <c r="AJ86" i="3"/>
  <c r="AI86" i="3"/>
  <c r="AG86" i="3"/>
  <c r="AF86" i="3"/>
  <c r="AE86" i="3"/>
  <c r="AC86" i="3"/>
  <c r="AB86" i="3"/>
  <c r="Z86" i="3"/>
  <c r="Y86" i="3"/>
  <c r="X86" i="3"/>
  <c r="V86" i="3"/>
  <c r="U86" i="3"/>
  <c r="S86" i="3"/>
  <c r="Q86" i="3"/>
  <c r="P86" i="3"/>
  <c r="O86" i="3"/>
  <c r="M86" i="3"/>
  <c r="L86" i="3"/>
  <c r="K86" i="3"/>
  <c r="J86" i="3"/>
  <c r="I86" i="3"/>
  <c r="E86" i="3"/>
  <c r="N86" i="3" s="1"/>
  <c r="D86" i="3"/>
  <c r="AT85" i="3"/>
  <c r="AR85" i="3"/>
  <c r="AQ85" i="3"/>
  <c r="AP85" i="3"/>
  <c r="AN85" i="3"/>
  <c r="AM85" i="3"/>
  <c r="AK85" i="3"/>
  <c r="AJ85" i="3"/>
  <c r="AI85" i="3"/>
  <c r="AG85" i="3"/>
  <c r="AF85" i="3"/>
  <c r="AE85" i="3"/>
  <c r="AC85" i="3"/>
  <c r="AB85" i="3"/>
  <c r="Z85" i="3"/>
  <c r="Y85" i="3"/>
  <c r="X85" i="3"/>
  <c r="V85" i="3"/>
  <c r="U85" i="3"/>
  <c r="S85" i="3"/>
  <c r="Q85" i="3"/>
  <c r="P85" i="3"/>
  <c r="O85" i="3"/>
  <c r="M85" i="3"/>
  <c r="L85" i="3"/>
  <c r="K85" i="3"/>
  <c r="J85" i="3"/>
  <c r="I85" i="3"/>
  <c r="E85" i="3"/>
  <c r="N85" i="3" s="1"/>
  <c r="D85" i="3"/>
  <c r="AT84" i="3"/>
  <c r="AR84" i="3"/>
  <c r="AQ84" i="3"/>
  <c r="AP84" i="3"/>
  <c r="AN84" i="3"/>
  <c r="AM84" i="3"/>
  <c r="AK84" i="3"/>
  <c r="AJ84" i="3"/>
  <c r="AI84" i="3"/>
  <c r="AG84" i="3"/>
  <c r="AF84" i="3"/>
  <c r="AE84" i="3"/>
  <c r="AC84" i="3"/>
  <c r="AB84" i="3"/>
  <c r="Z84" i="3"/>
  <c r="Y84" i="3"/>
  <c r="X84" i="3"/>
  <c r="V84" i="3"/>
  <c r="U84" i="3"/>
  <c r="S84" i="3"/>
  <c r="Q84" i="3"/>
  <c r="P84" i="3"/>
  <c r="O84" i="3"/>
  <c r="M84" i="3"/>
  <c r="L84" i="3"/>
  <c r="K84" i="3"/>
  <c r="J84" i="3"/>
  <c r="I84" i="3"/>
  <c r="E84" i="3"/>
  <c r="N84" i="3" s="1"/>
  <c r="D84" i="3"/>
  <c r="AT83" i="3"/>
  <c r="AR83" i="3"/>
  <c r="AQ83" i="3"/>
  <c r="AP83" i="3"/>
  <c r="AN83" i="3"/>
  <c r="AM83" i="3"/>
  <c r="AK83" i="3"/>
  <c r="AJ83" i="3"/>
  <c r="AI83" i="3"/>
  <c r="AG83" i="3"/>
  <c r="AF83" i="3"/>
  <c r="AE83" i="3"/>
  <c r="AC83" i="3"/>
  <c r="AB83" i="3"/>
  <c r="Z83" i="3"/>
  <c r="Y83" i="3"/>
  <c r="X83" i="3"/>
  <c r="V83" i="3"/>
  <c r="U83" i="3"/>
  <c r="S83" i="3"/>
  <c r="Q83" i="3"/>
  <c r="P83" i="3"/>
  <c r="O83" i="3"/>
  <c r="M83" i="3"/>
  <c r="L83" i="3"/>
  <c r="K83" i="3"/>
  <c r="J83" i="3"/>
  <c r="I83" i="3"/>
  <c r="E83" i="3"/>
  <c r="N83" i="3" s="1"/>
  <c r="D83" i="3"/>
  <c r="AT82" i="3"/>
  <c r="AR82" i="3"/>
  <c r="AQ82" i="3"/>
  <c r="AP82" i="3"/>
  <c r="AN82" i="3"/>
  <c r="AM82" i="3"/>
  <c r="AK82" i="3"/>
  <c r="AJ82" i="3"/>
  <c r="AI82" i="3"/>
  <c r="AG82" i="3"/>
  <c r="AF82" i="3"/>
  <c r="AE82" i="3"/>
  <c r="AC82" i="3"/>
  <c r="AB82" i="3"/>
  <c r="Z82" i="3"/>
  <c r="Y82" i="3"/>
  <c r="X82" i="3"/>
  <c r="V82" i="3"/>
  <c r="U82" i="3"/>
  <c r="S82" i="3"/>
  <c r="Q82" i="3"/>
  <c r="P82" i="3"/>
  <c r="O82" i="3"/>
  <c r="M82" i="3"/>
  <c r="L82" i="3"/>
  <c r="K82" i="3"/>
  <c r="J82" i="3"/>
  <c r="I82" i="3"/>
  <c r="E82" i="3"/>
  <c r="N82" i="3" s="1"/>
  <c r="D82" i="3"/>
  <c r="AT81" i="3"/>
  <c r="AR81" i="3"/>
  <c r="AQ81" i="3"/>
  <c r="AP81" i="3"/>
  <c r="AN81" i="3"/>
  <c r="AM81" i="3"/>
  <c r="AK81" i="3"/>
  <c r="AJ81" i="3"/>
  <c r="AI81" i="3"/>
  <c r="AG81" i="3"/>
  <c r="AF81" i="3"/>
  <c r="AE81" i="3"/>
  <c r="AC81" i="3"/>
  <c r="AB81" i="3"/>
  <c r="Z81" i="3"/>
  <c r="Y81" i="3"/>
  <c r="X81" i="3"/>
  <c r="V81" i="3"/>
  <c r="U81" i="3"/>
  <c r="S81" i="3"/>
  <c r="Q81" i="3"/>
  <c r="P81" i="3"/>
  <c r="O81" i="3"/>
  <c r="M81" i="3"/>
  <c r="L81" i="3"/>
  <c r="K81" i="3"/>
  <c r="J81" i="3"/>
  <c r="I81" i="3"/>
  <c r="E81" i="3"/>
  <c r="N81" i="3" s="1"/>
  <c r="D81" i="3"/>
  <c r="AT80" i="3"/>
  <c r="AR80" i="3"/>
  <c r="AQ80" i="3"/>
  <c r="AP80" i="3"/>
  <c r="AN80" i="3"/>
  <c r="AM80" i="3"/>
  <c r="AK80" i="3"/>
  <c r="AJ80" i="3"/>
  <c r="AI80" i="3"/>
  <c r="AG80" i="3"/>
  <c r="AF80" i="3"/>
  <c r="AE80" i="3"/>
  <c r="AC80" i="3"/>
  <c r="AB80" i="3"/>
  <c r="Z80" i="3"/>
  <c r="Y80" i="3"/>
  <c r="X80" i="3"/>
  <c r="V80" i="3"/>
  <c r="U80" i="3"/>
  <c r="S80" i="3"/>
  <c r="Q80" i="3"/>
  <c r="P80" i="3"/>
  <c r="O80" i="3"/>
  <c r="M80" i="3"/>
  <c r="L80" i="3"/>
  <c r="K80" i="3"/>
  <c r="J80" i="3"/>
  <c r="I80" i="3"/>
  <c r="E80" i="3"/>
  <c r="D80" i="3"/>
  <c r="AT79" i="3"/>
  <c r="AR79" i="3"/>
  <c r="AQ79" i="3"/>
  <c r="AP79" i="3"/>
  <c r="AN79" i="3"/>
  <c r="AM79" i="3"/>
  <c r="AK79" i="3"/>
  <c r="AJ79" i="3"/>
  <c r="AI79" i="3"/>
  <c r="AG79" i="3"/>
  <c r="AF79" i="3"/>
  <c r="AE79" i="3"/>
  <c r="AC79" i="3"/>
  <c r="AB79" i="3"/>
  <c r="Z79" i="3"/>
  <c r="Y79" i="3"/>
  <c r="X79" i="3"/>
  <c r="V79" i="3"/>
  <c r="U79" i="3"/>
  <c r="S79" i="3"/>
  <c r="Q79" i="3"/>
  <c r="P79" i="3"/>
  <c r="O79" i="3"/>
  <c r="M79" i="3"/>
  <c r="L79" i="3"/>
  <c r="K79" i="3"/>
  <c r="J79" i="3"/>
  <c r="I79" i="3"/>
  <c r="E79" i="3"/>
  <c r="N79" i="3" s="1"/>
  <c r="D79" i="3"/>
  <c r="AT78" i="3"/>
  <c r="AR78" i="3"/>
  <c r="AQ78" i="3"/>
  <c r="AP78" i="3"/>
  <c r="AN78" i="3"/>
  <c r="AM78" i="3"/>
  <c r="AK78" i="3"/>
  <c r="AJ78" i="3"/>
  <c r="AI78" i="3"/>
  <c r="AG78" i="3"/>
  <c r="AF78" i="3"/>
  <c r="AE78" i="3"/>
  <c r="AC78" i="3"/>
  <c r="AB78" i="3"/>
  <c r="Z78" i="3"/>
  <c r="Y78" i="3"/>
  <c r="X78" i="3"/>
  <c r="V78" i="3"/>
  <c r="U78" i="3"/>
  <c r="S78" i="3"/>
  <c r="Q78" i="3"/>
  <c r="P78" i="3"/>
  <c r="O78" i="3"/>
  <c r="M78" i="3"/>
  <c r="L78" i="3"/>
  <c r="K78" i="3"/>
  <c r="J78" i="3"/>
  <c r="I78" i="3"/>
  <c r="E78" i="3"/>
  <c r="N78" i="3" s="1"/>
  <c r="D78" i="3"/>
  <c r="AT77" i="3"/>
  <c r="AR77" i="3"/>
  <c r="AQ77" i="3"/>
  <c r="AP77" i="3"/>
  <c r="AN77" i="3"/>
  <c r="AM77" i="3"/>
  <c r="AK77" i="3"/>
  <c r="AJ77" i="3"/>
  <c r="AI77" i="3"/>
  <c r="AG77" i="3"/>
  <c r="AF77" i="3"/>
  <c r="AE77" i="3"/>
  <c r="AC77" i="3"/>
  <c r="AB77" i="3"/>
  <c r="Z77" i="3"/>
  <c r="Y77" i="3"/>
  <c r="X77" i="3"/>
  <c r="V77" i="3"/>
  <c r="U77" i="3"/>
  <c r="S77" i="3"/>
  <c r="Q77" i="3"/>
  <c r="P77" i="3"/>
  <c r="O77" i="3"/>
  <c r="M77" i="3"/>
  <c r="L77" i="3"/>
  <c r="K77" i="3"/>
  <c r="J77" i="3"/>
  <c r="I77" i="3"/>
  <c r="E77" i="3"/>
  <c r="N77" i="3" s="1"/>
  <c r="D77" i="3"/>
  <c r="AT76" i="3"/>
  <c r="AR76" i="3"/>
  <c r="AQ76" i="3"/>
  <c r="AP76" i="3"/>
  <c r="AN76" i="3"/>
  <c r="AM76" i="3"/>
  <c r="AK76" i="3"/>
  <c r="AJ76" i="3"/>
  <c r="AI76" i="3"/>
  <c r="AG76" i="3"/>
  <c r="AF76" i="3"/>
  <c r="AE76" i="3"/>
  <c r="AC76" i="3"/>
  <c r="AB76" i="3"/>
  <c r="Z76" i="3"/>
  <c r="Y76" i="3"/>
  <c r="X76" i="3"/>
  <c r="V76" i="3"/>
  <c r="U76" i="3"/>
  <c r="S76" i="3"/>
  <c r="Q76" i="3"/>
  <c r="P76" i="3"/>
  <c r="O76" i="3"/>
  <c r="M76" i="3"/>
  <c r="L76" i="3"/>
  <c r="K76" i="3"/>
  <c r="J76" i="3"/>
  <c r="I76" i="3"/>
  <c r="E76" i="3"/>
  <c r="N76" i="3" s="1"/>
  <c r="D76" i="3"/>
  <c r="AT75" i="3"/>
  <c r="AR75" i="3"/>
  <c r="AQ75" i="3"/>
  <c r="AP75" i="3"/>
  <c r="AN75" i="3"/>
  <c r="AM75" i="3"/>
  <c r="AK75" i="3"/>
  <c r="AJ75" i="3"/>
  <c r="AI75" i="3"/>
  <c r="AG75" i="3"/>
  <c r="AF75" i="3"/>
  <c r="AE75" i="3"/>
  <c r="AC75" i="3"/>
  <c r="AB75" i="3"/>
  <c r="Z75" i="3"/>
  <c r="Y75" i="3"/>
  <c r="X75" i="3"/>
  <c r="V75" i="3"/>
  <c r="U75" i="3"/>
  <c r="S75" i="3"/>
  <c r="Q75" i="3"/>
  <c r="P75" i="3"/>
  <c r="O75" i="3"/>
  <c r="M75" i="3"/>
  <c r="L75" i="3"/>
  <c r="K75" i="3"/>
  <c r="J75" i="3"/>
  <c r="I75" i="3"/>
  <c r="E75" i="3"/>
  <c r="N75" i="3" s="1"/>
  <c r="D75" i="3"/>
  <c r="AT73" i="3"/>
  <c r="AR73" i="3"/>
  <c r="AQ73" i="3"/>
  <c r="AS73" i="3" s="1"/>
  <c r="AP73" i="3"/>
  <c r="AN73" i="3"/>
  <c r="AM73" i="3"/>
  <c r="AO73" i="3" s="1"/>
  <c r="AK73" i="3"/>
  <c r="AJ73" i="3"/>
  <c r="AL73" i="3" s="1"/>
  <c r="AI73" i="3"/>
  <c r="AG73" i="3"/>
  <c r="AF73" i="3"/>
  <c r="AH73" i="3" s="1"/>
  <c r="AE73" i="3"/>
  <c r="AC73" i="3"/>
  <c r="AB73" i="3"/>
  <c r="AD73" i="3" s="1"/>
  <c r="Z73" i="3"/>
  <c r="Y73" i="3"/>
  <c r="AA73" i="3" s="1"/>
  <c r="X73" i="3"/>
  <c r="V73" i="3"/>
  <c r="U73" i="3"/>
  <c r="W73" i="3" s="1"/>
  <c r="S73" i="3"/>
  <c r="Q73" i="3"/>
  <c r="P73" i="3"/>
  <c r="T73" i="3" s="1"/>
  <c r="O73" i="3"/>
  <c r="R73" i="3" s="1"/>
  <c r="M73" i="3"/>
  <c r="L73" i="3"/>
  <c r="K73" i="3"/>
  <c r="J73" i="3"/>
  <c r="I73" i="3"/>
  <c r="E73" i="3"/>
  <c r="D73" i="3"/>
  <c r="G73" i="3" s="1"/>
  <c r="AT72" i="3"/>
  <c r="AR72" i="3"/>
  <c r="AQ72" i="3"/>
  <c r="AP72" i="3"/>
  <c r="AN72" i="3"/>
  <c r="AM72" i="3"/>
  <c r="AK72" i="3"/>
  <c r="AJ72" i="3"/>
  <c r="AI72" i="3"/>
  <c r="AG72" i="3"/>
  <c r="AF72" i="3"/>
  <c r="AE72" i="3"/>
  <c r="AC72" i="3"/>
  <c r="AB72" i="3"/>
  <c r="Z72" i="3"/>
  <c r="Y72" i="3"/>
  <c r="X72" i="3"/>
  <c r="V72" i="3"/>
  <c r="U72" i="3"/>
  <c r="S72" i="3"/>
  <c r="Q72" i="3"/>
  <c r="P72" i="3"/>
  <c r="O72" i="3"/>
  <c r="M72" i="3"/>
  <c r="L72" i="3"/>
  <c r="K72" i="3"/>
  <c r="J72" i="3"/>
  <c r="I72" i="3"/>
  <c r="E72" i="3"/>
  <c r="N72" i="3" s="1"/>
  <c r="D72" i="3"/>
  <c r="AT71" i="3"/>
  <c r="AR71" i="3"/>
  <c r="AQ71" i="3"/>
  <c r="AS71" i="3" s="1"/>
  <c r="AP71" i="3"/>
  <c r="AN71" i="3"/>
  <c r="AM71" i="3"/>
  <c r="AO71" i="3" s="1"/>
  <c r="AK71" i="3"/>
  <c r="AJ71" i="3"/>
  <c r="AL71" i="3" s="1"/>
  <c r="AI71" i="3"/>
  <c r="AG71" i="3"/>
  <c r="AF71" i="3"/>
  <c r="AH71" i="3" s="1"/>
  <c r="AE71" i="3"/>
  <c r="AC71" i="3"/>
  <c r="AB71" i="3"/>
  <c r="AD71" i="3" s="1"/>
  <c r="Z71" i="3"/>
  <c r="Y71" i="3"/>
  <c r="AA71" i="3" s="1"/>
  <c r="X71" i="3"/>
  <c r="V71" i="3"/>
  <c r="U71" i="3"/>
  <c r="W71" i="3" s="1"/>
  <c r="S71" i="3"/>
  <c r="Q71" i="3"/>
  <c r="P71" i="3"/>
  <c r="T71" i="3" s="1"/>
  <c r="O71" i="3"/>
  <c r="R71" i="3" s="1"/>
  <c r="M71" i="3"/>
  <c r="L71" i="3"/>
  <c r="K71" i="3"/>
  <c r="J71" i="3"/>
  <c r="I71" i="3"/>
  <c r="E71" i="3"/>
  <c r="N71" i="3" s="1"/>
  <c r="D71" i="3"/>
  <c r="AT70" i="3"/>
  <c r="AR70" i="3"/>
  <c r="AQ70" i="3"/>
  <c r="AP70" i="3"/>
  <c r="AN70" i="3"/>
  <c r="AM70" i="3"/>
  <c r="AK70" i="3"/>
  <c r="AJ70" i="3"/>
  <c r="AI70" i="3"/>
  <c r="AG70" i="3"/>
  <c r="AF70" i="3"/>
  <c r="AE70" i="3"/>
  <c r="AC70" i="3"/>
  <c r="AB70" i="3"/>
  <c r="Z70" i="3"/>
  <c r="Y70" i="3"/>
  <c r="X70" i="3"/>
  <c r="V70" i="3"/>
  <c r="U70" i="3"/>
  <c r="S70" i="3"/>
  <c r="Q70" i="3"/>
  <c r="P70" i="3"/>
  <c r="O70" i="3"/>
  <c r="M70" i="3"/>
  <c r="L70" i="3"/>
  <c r="K70" i="3"/>
  <c r="J70" i="3"/>
  <c r="I70" i="3"/>
  <c r="E70" i="3"/>
  <c r="N70" i="3" s="1"/>
  <c r="D70" i="3"/>
  <c r="AT69" i="3"/>
  <c r="AR69" i="3"/>
  <c r="AQ69" i="3"/>
  <c r="AP69" i="3"/>
  <c r="AN69" i="3"/>
  <c r="AM69" i="3"/>
  <c r="AK69" i="3"/>
  <c r="AJ69" i="3"/>
  <c r="AI69" i="3"/>
  <c r="AG69" i="3"/>
  <c r="AF69" i="3"/>
  <c r="AE69" i="3"/>
  <c r="AC69" i="3"/>
  <c r="AB69" i="3"/>
  <c r="Z69" i="3"/>
  <c r="Y69" i="3"/>
  <c r="X69" i="3"/>
  <c r="V69" i="3"/>
  <c r="U69" i="3"/>
  <c r="S69" i="3"/>
  <c r="Q69" i="3"/>
  <c r="P69" i="3"/>
  <c r="O69" i="3"/>
  <c r="M69" i="3"/>
  <c r="L69" i="3"/>
  <c r="K69" i="3"/>
  <c r="J69" i="3"/>
  <c r="I69" i="3"/>
  <c r="E69" i="3"/>
  <c r="N69" i="3" s="1"/>
  <c r="D69" i="3"/>
  <c r="AT68" i="3"/>
  <c r="AR68" i="3"/>
  <c r="AQ68" i="3"/>
  <c r="AP68" i="3"/>
  <c r="AN68" i="3"/>
  <c r="AM68" i="3"/>
  <c r="AK68" i="3"/>
  <c r="AJ68" i="3"/>
  <c r="AI68" i="3"/>
  <c r="AG68" i="3"/>
  <c r="AF68" i="3"/>
  <c r="AE68" i="3"/>
  <c r="AC68" i="3"/>
  <c r="AB68" i="3"/>
  <c r="Z68" i="3"/>
  <c r="Y68" i="3"/>
  <c r="X68" i="3"/>
  <c r="V68" i="3"/>
  <c r="U68" i="3"/>
  <c r="S68" i="3"/>
  <c r="Q68" i="3"/>
  <c r="P68" i="3"/>
  <c r="O68" i="3"/>
  <c r="M68" i="3"/>
  <c r="L68" i="3"/>
  <c r="K68" i="3"/>
  <c r="J68" i="3"/>
  <c r="I68" i="3"/>
  <c r="E68" i="3"/>
  <c r="N68" i="3" s="1"/>
  <c r="D68" i="3"/>
  <c r="AT67" i="3"/>
  <c r="AR67" i="3"/>
  <c r="AQ67" i="3"/>
  <c r="AP67" i="3"/>
  <c r="AN67" i="3"/>
  <c r="AM67" i="3"/>
  <c r="AK67" i="3"/>
  <c r="AJ67" i="3"/>
  <c r="AI67" i="3"/>
  <c r="AG67" i="3"/>
  <c r="AF67" i="3"/>
  <c r="AE67" i="3"/>
  <c r="AC67" i="3"/>
  <c r="AB67" i="3"/>
  <c r="Z67" i="3"/>
  <c r="Y67" i="3"/>
  <c r="X67" i="3"/>
  <c r="V67" i="3"/>
  <c r="U67" i="3"/>
  <c r="S67" i="3"/>
  <c r="Q67" i="3"/>
  <c r="P67" i="3"/>
  <c r="O67" i="3"/>
  <c r="M67" i="3"/>
  <c r="L67" i="3"/>
  <c r="K67" i="3"/>
  <c r="J67" i="3"/>
  <c r="I67" i="3"/>
  <c r="E67" i="3"/>
  <c r="N67" i="3" s="1"/>
  <c r="D67" i="3"/>
  <c r="AT66" i="3"/>
  <c r="AR66" i="3"/>
  <c r="AQ66" i="3"/>
  <c r="AP66" i="3"/>
  <c r="AN66" i="3"/>
  <c r="AM66" i="3"/>
  <c r="AK66" i="3"/>
  <c r="AJ66" i="3"/>
  <c r="AI66" i="3"/>
  <c r="AG66" i="3"/>
  <c r="AF66" i="3"/>
  <c r="AE66" i="3"/>
  <c r="AC66" i="3"/>
  <c r="AB66" i="3"/>
  <c r="Z66" i="3"/>
  <c r="Y66" i="3"/>
  <c r="X66" i="3"/>
  <c r="V66" i="3"/>
  <c r="U66" i="3"/>
  <c r="S66" i="3"/>
  <c r="Q66" i="3"/>
  <c r="P66" i="3"/>
  <c r="O66" i="3"/>
  <c r="M66" i="3"/>
  <c r="L66" i="3"/>
  <c r="K66" i="3"/>
  <c r="J66" i="3"/>
  <c r="I66" i="3"/>
  <c r="E66" i="3"/>
  <c r="N66" i="3" s="1"/>
  <c r="D66" i="3"/>
  <c r="AT65" i="3"/>
  <c r="AR65" i="3"/>
  <c r="AQ65" i="3"/>
  <c r="AP65" i="3"/>
  <c r="AN65" i="3"/>
  <c r="AM65" i="3"/>
  <c r="AK65" i="3"/>
  <c r="AJ65" i="3"/>
  <c r="AI65" i="3"/>
  <c r="AG65" i="3"/>
  <c r="AF65" i="3"/>
  <c r="AE65" i="3"/>
  <c r="AC65" i="3"/>
  <c r="AB65" i="3"/>
  <c r="Z65" i="3"/>
  <c r="Y65" i="3"/>
  <c r="X65" i="3"/>
  <c r="V65" i="3"/>
  <c r="U65" i="3"/>
  <c r="S65" i="3"/>
  <c r="Q65" i="3"/>
  <c r="P65" i="3"/>
  <c r="O65" i="3"/>
  <c r="M65" i="3"/>
  <c r="L65" i="3"/>
  <c r="K65" i="3"/>
  <c r="J65" i="3"/>
  <c r="I65" i="3"/>
  <c r="E65" i="3"/>
  <c r="N65" i="3" s="1"/>
  <c r="D65" i="3"/>
  <c r="AT64" i="3"/>
  <c r="AR64" i="3"/>
  <c r="AQ64" i="3"/>
  <c r="AS64" i="3" s="1"/>
  <c r="AP64" i="3"/>
  <c r="AN64" i="3"/>
  <c r="AM64" i="3"/>
  <c r="AO64" i="3" s="1"/>
  <c r="AK64" i="3"/>
  <c r="AJ64" i="3"/>
  <c r="AL64" i="3" s="1"/>
  <c r="AI64" i="3"/>
  <c r="AG64" i="3"/>
  <c r="AF64" i="3"/>
  <c r="AH64" i="3" s="1"/>
  <c r="AE64" i="3"/>
  <c r="AC64" i="3"/>
  <c r="AB64" i="3"/>
  <c r="AD64" i="3" s="1"/>
  <c r="Z64" i="3"/>
  <c r="Y64" i="3"/>
  <c r="AA64" i="3" s="1"/>
  <c r="X64" i="3"/>
  <c r="V64" i="3"/>
  <c r="U64" i="3"/>
  <c r="W64" i="3" s="1"/>
  <c r="S64" i="3"/>
  <c r="Q64" i="3"/>
  <c r="P64" i="3"/>
  <c r="T64" i="3" s="1"/>
  <c r="O64" i="3"/>
  <c r="R64" i="3" s="1"/>
  <c r="M64" i="3"/>
  <c r="L64" i="3"/>
  <c r="K64" i="3"/>
  <c r="J64" i="3"/>
  <c r="I64" i="3"/>
  <c r="E64" i="3"/>
  <c r="N64" i="3" s="1"/>
  <c r="D64" i="3"/>
  <c r="AT63" i="3"/>
  <c r="AR63" i="3"/>
  <c r="AQ63" i="3"/>
  <c r="AP63" i="3"/>
  <c r="AN63" i="3"/>
  <c r="AM63" i="3"/>
  <c r="AK63" i="3"/>
  <c r="AJ63" i="3"/>
  <c r="AI63" i="3"/>
  <c r="AG63" i="3"/>
  <c r="AF63" i="3"/>
  <c r="AE63" i="3"/>
  <c r="AC63" i="3"/>
  <c r="AB63" i="3"/>
  <c r="Z63" i="3"/>
  <c r="Y63" i="3"/>
  <c r="X63" i="3"/>
  <c r="V63" i="3"/>
  <c r="U63" i="3"/>
  <c r="S63" i="3"/>
  <c r="Q63" i="3"/>
  <c r="P63" i="3"/>
  <c r="O63" i="3"/>
  <c r="M63" i="3"/>
  <c r="L63" i="3"/>
  <c r="K63" i="3"/>
  <c r="J63" i="3"/>
  <c r="I63" i="3"/>
  <c r="E63" i="3"/>
  <c r="N63" i="3" s="1"/>
  <c r="D63" i="3"/>
  <c r="AT62" i="3"/>
  <c r="AR62" i="3"/>
  <c r="AQ62" i="3"/>
  <c r="AP62" i="3"/>
  <c r="AN62" i="3"/>
  <c r="AM62" i="3"/>
  <c r="AK62" i="3"/>
  <c r="AJ62" i="3"/>
  <c r="AI62" i="3"/>
  <c r="AG62" i="3"/>
  <c r="AF62" i="3"/>
  <c r="AE62" i="3"/>
  <c r="AC62" i="3"/>
  <c r="AB62" i="3"/>
  <c r="Z62" i="3"/>
  <c r="Y62" i="3"/>
  <c r="X62" i="3"/>
  <c r="V62" i="3"/>
  <c r="U62" i="3"/>
  <c r="S62" i="3"/>
  <c r="Q62" i="3"/>
  <c r="P62" i="3"/>
  <c r="O62" i="3"/>
  <c r="M62" i="3"/>
  <c r="L62" i="3"/>
  <c r="K62" i="3"/>
  <c r="J62" i="3"/>
  <c r="I62" i="3"/>
  <c r="E62" i="3"/>
  <c r="N62" i="3" s="1"/>
  <c r="D62" i="3"/>
  <c r="AT61" i="3"/>
  <c r="AR61" i="3"/>
  <c r="AQ61" i="3"/>
  <c r="AS61" i="3" s="1"/>
  <c r="AP61" i="3"/>
  <c r="AN61" i="3"/>
  <c r="AM61" i="3"/>
  <c r="AO61" i="3" s="1"/>
  <c r="AK61" i="3"/>
  <c r="AJ61" i="3"/>
  <c r="AL61" i="3" s="1"/>
  <c r="AI61" i="3"/>
  <c r="AG61" i="3"/>
  <c r="AF61" i="3"/>
  <c r="AH61" i="3" s="1"/>
  <c r="AE61" i="3"/>
  <c r="AC61" i="3"/>
  <c r="AB61" i="3"/>
  <c r="AD61" i="3" s="1"/>
  <c r="Z61" i="3"/>
  <c r="Y61" i="3"/>
  <c r="AA61" i="3" s="1"/>
  <c r="X61" i="3"/>
  <c r="V61" i="3"/>
  <c r="U61" i="3"/>
  <c r="W61" i="3" s="1"/>
  <c r="S61" i="3"/>
  <c r="Q61" i="3"/>
  <c r="P61" i="3"/>
  <c r="T61" i="3" s="1"/>
  <c r="O61" i="3"/>
  <c r="R61" i="3" s="1"/>
  <c r="M61" i="3"/>
  <c r="L61" i="3"/>
  <c r="K61" i="3"/>
  <c r="J61" i="3"/>
  <c r="I61" i="3"/>
  <c r="E61" i="3"/>
  <c r="N61" i="3" s="1"/>
  <c r="D61" i="3"/>
  <c r="AT60" i="3"/>
  <c r="AR60" i="3"/>
  <c r="AQ60" i="3"/>
  <c r="AS60" i="3" s="1"/>
  <c r="AP60" i="3"/>
  <c r="AN60" i="3"/>
  <c r="AM60" i="3"/>
  <c r="AO60" i="3" s="1"/>
  <c r="AK60" i="3"/>
  <c r="AJ60" i="3"/>
  <c r="AL60" i="3" s="1"/>
  <c r="AI60" i="3"/>
  <c r="AG60" i="3"/>
  <c r="AF60" i="3"/>
  <c r="AH60" i="3" s="1"/>
  <c r="AE60" i="3"/>
  <c r="AC60" i="3"/>
  <c r="AB60" i="3"/>
  <c r="AD60" i="3" s="1"/>
  <c r="Z60" i="3"/>
  <c r="Y60" i="3"/>
  <c r="AA60" i="3" s="1"/>
  <c r="X60" i="3"/>
  <c r="V60" i="3"/>
  <c r="U60" i="3"/>
  <c r="W60" i="3" s="1"/>
  <c r="S60" i="3"/>
  <c r="Q60" i="3"/>
  <c r="P60" i="3"/>
  <c r="T60" i="3" s="1"/>
  <c r="O60" i="3"/>
  <c r="R60" i="3" s="1"/>
  <c r="M60" i="3"/>
  <c r="L60" i="3"/>
  <c r="K60" i="3"/>
  <c r="J60" i="3"/>
  <c r="I60" i="3"/>
  <c r="E60" i="3"/>
  <c r="N60" i="3" s="1"/>
  <c r="D60" i="3"/>
  <c r="AT59" i="3"/>
  <c r="AR59" i="3"/>
  <c r="AQ59" i="3"/>
  <c r="AS59" i="3" s="1"/>
  <c r="AP59" i="3"/>
  <c r="AN59" i="3"/>
  <c r="AM59" i="3"/>
  <c r="AO59" i="3" s="1"/>
  <c r="AK59" i="3"/>
  <c r="AJ59" i="3"/>
  <c r="AL59" i="3" s="1"/>
  <c r="AI59" i="3"/>
  <c r="AG59" i="3"/>
  <c r="AF59" i="3"/>
  <c r="AH59" i="3" s="1"/>
  <c r="AE59" i="3"/>
  <c r="AC59" i="3"/>
  <c r="AB59" i="3"/>
  <c r="AD59" i="3" s="1"/>
  <c r="Z59" i="3"/>
  <c r="Y59" i="3"/>
  <c r="AA59" i="3" s="1"/>
  <c r="X59" i="3"/>
  <c r="V59" i="3"/>
  <c r="U59" i="3"/>
  <c r="W59" i="3" s="1"/>
  <c r="S59" i="3"/>
  <c r="Q59" i="3"/>
  <c r="P59" i="3"/>
  <c r="T59" i="3" s="1"/>
  <c r="O59" i="3"/>
  <c r="R59" i="3" s="1"/>
  <c r="M59" i="3"/>
  <c r="L59" i="3"/>
  <c r="K59" i="3"/>
  <c r="J59" i="3"/>
  <c r="I59" i="3"/>
  <c r="E59" i="3"/>
  <c r="N59" i="3" s="1"/>
  <c r="D59" i="3"/>
  <c r="AT58" i="3"/>
  <c r="AR58" i="3"/>
  <c r="AQ58" i="3"/>
  <c r="AP58" i="3"/>
  <c r="AN58" i="3"/>
  <c r="AM58" i="3"/>
  <c r="AK58" i="3"/>
  <c r="AJ58" i="3"/>
  <c r="AI58" i="3"/>
  <c r="AG58" i="3"/>
  <c r="AF58" i="3"/>
  <c r="AE58" i="3"/>
  <c r="AC58" i="3"/>
  <c r="AB58" i="3"/>
  <c r="Z58" i="3"/>
  <c r="Y58" i="3"/>
  <c r="X58" i="3"/>
  <c r="V58" i="3"/>
  <c r="U58" i="3"/>
  <c r="S58" i="3"/>
  <c r="Q58" i="3"/>
  <c r="P58" i="3"/>
  <c r="O58" i="3"/>
  <c r="M58" i="3"/>
  <c r="L58" i="3"/>
  <c r="K58" i="3"/>
  <c r="J58" i="3"/>
  <c r="I58" i="3"/>
  <c r="E58" i="3"/>
  <c r="N58" i="3" s="1"/>
  <c r="D58" i="3"/>
  <c r="AT57" i="3"/>
  <c r="AR57" i="3"/>
  <c r="AQ57" i="3"/>
  <c r="AP57" i="3"/>
  <c r="AN57" i="3"/>
  <c r="AM57" i="3"/>
  <c r="AK57" i="3"/>
  <c r="AJ57" i="3"/>
  <c r="AI57" i="3"/>
  <c r="AG57" i="3"/>
  <c r="AF57" i="3"/>
  <c r="AE57" i="3"/>
  <c r="AC57" i="3"/>
  <c r="AB57" i="3"/>
  <c r="Z57" i="3"/>
  <c r="Y57" i="3"/>
  <c r="X57" i="3"/>
  <c r="V57" i="3"/>
  <c r="U57" i="3"/>
  <c r="S57" i="3"/>
  <c r="Q57" i="3"/>
  <c r="P57" i="3"/>
  <c r="O57" i="3"/>
  <c r="M57" i="3"/>
  <c r="L57" i="3"/>
  <c r="K57" i="3"/>
  <c r="J57" i="3"/>
  <c r="I57" i="3"/>
  <c r="E57" i="3"/>
  <c r="N57" i="3" s="1"/>
  <c r="D57" i="3"/>
  <c r="AT56" i="3"/>
  <c r="AR56" i="3"/>
  <c r="AQ56" i="3"/>
  <c r="AP56" i="3"/>
  <c r="AN56" i="3"/>
  <c r="AM56" i="3"/>
  <c r="AK56" i="3"/>
  <c r="AJ56" i="3"/>
  <c r="AI56" i="3"/>
  <c r="AG56" i="3"/>
  <c r="AF56" i="3"/>
  <c r="AE56" i="3"/>
  <c r="AC56" i="3"/>
  <c r="AB56" i="3"/>
  <c r="Z56" i="3"/>
  <c r="Y56" i="3"/>
  <c r="X56" i="3"/>
  <c r="V56" i="3"/>
  <c r="U56" i="3"/>
  <c r="S56" i="3"/>
  <c r="Q56" i="3"/>
  <c r="P56" i="3"/>
  <c r="O56" i="3"/>
  <c r="M56" i="3"/>
  <c r="L56" i="3"/>
  <c r="K56" i="3"/>
  <c r="J56" i="3"/>
  <c r="I56" i="3"/>
  <c r="E56" i="3"/>
  <c r="N56" i="3" s="1"/>
  <c r="D56" i="3"/>
  <c r="AT55" i="3"/>
  <c r="AR55" i="3"/>
  <c r="AQ55" i="3"/>
  <c r="AP55" i="3"/>
  <c r="AN55" i="3"/>
  <c r="AM55" i="3"/>
  <c r="AK55" i="3"/>
  <c r="AJ55" i="3"/>
  <c r="AI55" i="3"/>
  <c r="AG55" i="3"/>
  <c r="AF55" i="3"/>
  <c r="AE55" i="3"/>
  <c r="AC55" i="3"/>
  <c r="AB55" i="3"/>
  <c r="Z55" i="3"/>
  <c r="Y55" i="3"/>
  <c r="X55" i="3"/>
  <c r="V55" i="3"/>
  <c r="U55" i="3"/>
  <c r="S55" i="3"/>
  <c r="Q55" i="3"/>
  <c r="P55" i="3"/>
  <c r="O55" i="3"/>
  <c r="M55" i="3"/>
  <c r="L55" i="3"/>
  <c r="K55" i="3"/>
  <c r="J55" i="3"/>
  <c r="I55" i="3"/>
  <c r="E55" i="3"/>
  <c r="N55" i="3" s="1"/>
  <c r="D55" i="3"/>
  <c r="AT54" i="3"/>
  <c r="AR54" i="3"/>
  <c r="AQ54" i="3"/>
  <c r="AP54" i="3"/>
  <c r="AN54" i="3"/>
  <c r="AM54" i="3"/>
  <c r="AK54" i="3"/>
  <c r="AJ54" i="3"/>
  <c r="AI54" i="3"/>
  <c r="AG54" i="3"/>
  <c r="AF54" i="3"/>
  <c r="AE54" i="3"/>
  <c r="AC54" i="3"/>
  <c r="AB54" i="3"/>
  <c r="Z54" i="3"/>
  <c r="Y54" i="3"/>
  <c r="X54" i="3"/>
  <c r="V54" i="3"/>
  <c r="U54" i="3"/>
  <c r="S54" i="3"/>
  <c r="Q54" i="3"/>
  <c r="P54" i="3"/>
  <c r="O54" i="3"/>
  <c r="M54" i="3"/>
  <c r="L54" i="3"/>
  <c r="K54" i="3"/>
  <c r="J54" i="3"/>
  <c r="I54" i="3"/>
  <c r="E54" i="3"/>
  <c r="N54" i="3" s="1"/>
  <c r="D54" i="3"/>
  <c r="AT53" i="3"/>
  <c r="AR53" i="3"/>
  <c r="AQ53" i="3"/>
  <c r="AP53" i="3"/>
  <c r="AN53" i="3"/>
  <c r="AM53" i="3"/>
  <c r="AK53" i="3"/>
  <c r="AJ53" i="3"/>
  <c r="AI53" i="3"/>
  <c r="AG53" i="3"/>
  <c r="AF53" i="3"/>
  <c r="AE53" i="3"/>
  <c r="AC53" i="3"/>
  <c r="AB53" i="3"/>
  <c r="Z53" i="3"/>
  <c r="Y53" i="3"/>
  <c r="X53" i="3"/>
  <c r="V53" i="3"/>
  <c r="U53" i="3"/>
  <c r="S53" i="3"/>
  <c r="Q53" i="3"/>
  <c r="P53" i="3"/>
  <c r="O53" i="3"/>
  <c r="M53" i="3"/>
  <c r="L53" i="3"/>
  <c r="K53" i="3"/>
  <c r="J53" i="3"/>
  <c r="I53" i="3"/>
  <c r="E53" i="3"/>
  <c r="D53" i="3"/>
  <c r="AT51" i="3"/>
  <c r="AR51" i="3"/>
  <c r="AQ51" i="3"/>
  <c r="AP51" i="3"/>
  <c r="AN51" i="3"/>
  <c r="AM51" i="3"/>
  <c r="AK51" i="3"/>
  <c r="AJ51" i="3"/>
  <c r="AI51" i="3"/>
  <c r="AG51" i="3"/>
  <c r="AF51" i="3"/>
  <c r="AE51" i="3"/>
  <c r="AC51" i="3"/>
  <c r="AB51" i="3"/>
  <c r="Z51" i="3"/>
  <c r="Y51" i="3"/>
  <c r="X51" i="3"/>
  <c r="V51" i="3"/>
  <c r="U51" i="3"/>
  <c r="S51" i="3"/>
  <c r="Q51" i="3"/>
  <c r="P51" i="3"/>
  <c r="O51" i="3"/>
  <c r="M51" i="3"/>
  <c r="L51" i="3"/>
  <c r="K51" i="3"/>
  <c r="J51" i="3"/>
  <c r="I51" i="3"/>
  <c r="E51" i="3"/>
  <c r="N51" i="3" s="1"/>
  <c r="D51" i="3"/>
  <c r="AT50" i="3"/>
  <c r="AR50" i="3"/>
  <c r="AQ50" i="3"/>
  <c r="AP50" i="3"/>
  <c r="AN50" i="3"/>
  <c r="AM50" i="3"/>
  <c r="AK50" i="3"/>
  <c r="AJ50" i="3"/>
  <c r="AI50" i="3"/>
  <c r="AG50" i="3"/>
  <c r="AF50" i="3"/>
  <c r="AE50" i="3"/>
  <c r="AC50" i="3"/>
  <c r="AB50" i="3"/>
  <c r="Z50" i="3"/>
  <c r="Y50" i="3"/>
  <c r="X50" i="3"/>
  <c r="V50" i="3"/>
  <c r="U50" i="3"/>
  <c r="S50" i="3"/>
  <c r="Q50" i="3"/>
  <c r="P50" i="3"/>
  <c r="O50" i="3"/>
  <c r="M50" i="3"/>
  <c r="L50" i="3"/>
  <c r="K50" i="3"/>
  <c r="J50" i="3"/>
  <c r="I50" i="3"/>
  <c r="E50" i="3"/>
  <c r="N50" i="3" s="1"/>
  <c r="D50" i="3"/>
  <c r="AT49" i="3"/>
  <c r="AR49" i="3"/>
  <c r="AQ49" i="3"/>
  <c r="AP49" i="3"/>
  <c r="AN49" i="3"/>
  <c r="AM49" i="3"/>
  <c r="AK49" i="3"/>
  <c r="AJ49" i="3"/>
  <c r="AI49" i="3"/>
  <c r="AG49" i="3"/>
  <c r="AF49" i="3"/>
  <c r="AE49" i="3"/>
  <c r="AC49" i="3"/>
  <c r="AB49" i="3"/>
  <c r="Z49" i="3"/>
  <c r="Y49" i="3"/>
  <c r="X49" i="3"/>
  <c r="V49" i="3"/>
  <c r="U49" i="3"/>
  <c r="S49" i="3"/>
  <c r="Q49" i="3"/>
  <c r="P49" i="3"/>
  <c r="O49" i="3"/>
  <c r="M49" i="3"/>
  <c r="L49" i="3"/>
  <c r="K49" i="3"/>
  <c r="J49" i="3"/>
  <c r="I49" i="3"/>
  <c r="E49" i="3"/>
  <c r="N49" i="3" s="1"/>
  <c r="D49" i="3"/>
  <c r="AT48" i="3"/>
  <c r="AR48" i="3"/>
  <c r="AQ48" i="3"/>
  <c r="AP48" i="3"/>
  <c r="AN48" i="3"/>
  <c r="AM48" i="3"/>
  <c r="AK48" i="3"/>
  <c r="AJ48" i="3"/>
  <c r="AI48" i="3"/>
  <c r="AG48" i="3"/>
  <c r="AF48" i="3"/>
  <c r="AE48" i="3"/>
  <c r="AC48" i="3"/>
  <c r="AB48" i="3"/>
  <c r="Z48" i="3"/>
  <c r="Y48" i="3"/>
  <c r="X48" i="3"/>
  <c r="V48" i="3"/>
  <c r="U48" i="3"/>
  <c r="S48" i="3"/>
  <c r="Q48" i="3"/>
  <c r="P48" i="3"/>
  <c r="O48" i="3"/>
  <c r="M48" i="3"/>
  <c r="L48" i="3"/>
  <c r="K48" i="3"/>
  <c r="J48" i="3"/>
  <c r="I48" i="3"/>
  <c r="E48" i="3"/>
  <c r="N48" i="3" s="1"/>
  <c r="D48" i="3"/>
  <c r="AT47" i="3"/>
  <c r="AR47" i="3"/>
  <c r="AQ47" i="3"/>
  <c r="AP47" i="3"/>
  <c r="AN47" i="3"/>
  <c r="AM47" i="3"/>
  <c r="AK47" i="3"/>
  <c r="AJ47" i="3"/>
  <c r="AI47" i="3"/>
  <c r="AG47" i="3"/>
  <c r="AF47" i="3"/>
  <c r="AE47" i="3"/>
  <c r="AC47" i="3"/>
  <c r="AB47" i="3"/>
  <c r="Z47" i="3"/>
  <c r="Y47" i="3"/>
  <c r="X47" i="3"/>
  <c r="V47" i="3"/>
  <c r="U47" i="3"/>
  <c r="S47" i="3"/>
  <c r="Q47" i="3"/>
  <c r="P47" i="3"/>
  <c r="O47" i="3"/>
  <c r="M47" i="3"/>
  <c r="L47" i="3"/>
  <c r="K47" i="3"/>
  <c r="J47" i="3"/>
  <c r="I47" i="3"/>
  <c r="E47" i="3"/>
  <c r="N47" i="3" s="1"/>
  <c r="D47" i="3"/>
  <c r="AT46" i="3"/>
  <c r="AR46" i="3"/>
  <c r="AQ46" i="3"/>
  <c r="AP46" i="3"/>
  <c r="AN46" i="3"/>
  <c r="AM46" i="3"/>
  <c r="AK46" i="3"/>
  <c r="AJ46" i="3"/>
  <c r="AI46" i="3"/>
  <c r="AG46" i="3"/>
  <c r="AF46" i="3"/>
  <c r="AE46" i="3"/>
  <c r="AC46" i="3"/>
  <c r="AB46" i="3"/>
  <c r="Z46" i="3"/>
  <c r="Y46" i="3"/>
  <c r="X46" i="3"/>
  <c r="V46" i="3"/>
  <c r="U46" i="3"/>
  <c r="S46" i="3"/>
  <c r="Q46" i="3"/>
  <c r="P46" i="3"/>
  <c r="O46" i="3"/>
  <c r="M46" i="3"/>
  <c r="L46" i="3"/>
  <c r="K46" i="3"/>
  <c r="J46" i="3"/>
  <c r="I46" i="3"/>
  <c r="E46" i="3"/>
  <c r="N46" i="3" s="1"/>
  <c r="D46" i="3"/>
  <c r="AT45" i="3"/>
  <c r="AR45" i="3"/>
  <c r="AQ45" i="3"/>
  <c r="AP45" i="3"/>
  <c r="AN45" i="3"/>
  <c r="AM45" i="3"/>
  <c r="AK45" i="3"/>
  <c r="AJ45" i="3"/>
  <c r="AI45" i="3"/>
  <c r="AG45" i="3"/>
  <c r="AF45" i="3"/>
  <c r="AE45" i="3"/>
  <c r="AC45" i="3"/>
  <c r="AB45" i="3"/>
  <c r="Z45" i="3"/>
  <c r="Y45" i="3"/>
  <c r="X45" i="3"/>
  <c r="V45" i="3"/>
  <c r="U45" i="3"/>
  <c r="S45" i="3"/>
  <c r="Q45" i="3"/>
  <c r="P45" i="3"/>
  <c r="O45" i="3"/>
  <c r="M45" i="3"/>
  <c r="L45" i="3"/>
  <c r="K45" i="3"/>
  <c r="J45" i="3"/>
  <c r="I45" i="3"/>
  <c r="E45" i="3"/>
  <c r="N45" i="3" s="1"/>
  <c r="D45" i="3"/>
  <c r="AT44" i="3"/>
  <c r="AR44" i="3"/>
  <c r="AQ44" i="3"/>
  <c r="AP44" i="3"/>
  <c r="AN44" i="3"/>
  <c r="AM44" i="3"/>
  <c r="AK44" i="3"/>
  <c r="AJ44" i="3"/>
  <c r="AI44" i="3"/>
  <c r="AG44" i="3"/>
  <c r="AF44" i="3"/>
  <c r="AE44" i="3"/>
  <c r="AC44" i="3"/>
  <c r="AB44" i="3"/>
  <c r="Z44" i="3"/>
  <c r="Y44" i="3"/>
  <c r="X44" i="3"/>
  <c r="V44" i="3"/>
  <c r="U44" i="3"/>
  <c r="S44" i="3"/>
  <c r="Q44" i="3"/>
  <c r="P44" i="3"/>
  <c r="O44" i="3"/>
  <c r="M44" i="3"/>
  <c r="L44" i="3"/>
  <c r="K44" i="3"/>
  <c r="J44" i="3"/>
  <c r="I44" i="3"/>
  <c r="E44" i="3"/>
  <c r="N44" i="3" s="1"/>
  <c r="D44" i="3"/>
  <c r="AT43" i="3"/>
  <c r="AR43" i="3"/>
  <c r="AQ43" i="3"/>
  <c r="AP43" i="3"/>
  <c r="AN43" i="3"/>
  <c r="AM43" i="3"/>
  <c r="AK43" i="3"/>
  <c r="AJ43" i="3"/>
  <c r="AI43" i="3"/>
  <c r="AG43" i="3"/>
  <c r="AF43" i="3"/>
  <c r="AE43" i="3"/>
  <c r="AC43" i="3"/>
  <c r="AB43" i="3"/>
  <c r="Z43" i="3"/>
  <c r="Y43" i="3"/>
  <c r="X43" i="3"/>
  <c r="V43" i="3"/>
  <c r="U43" i="3"/>
  <c r="S43" i="3"/>
  <c r="Q43" i="3"/>
  <c r="P43" i="3"/>
  <c r="O43" i="3"/>
  <c r="M43" i="3"/>
  <c r="L43" i="3"/>
  <c r="K43" i="3"/>
  <c r="J43" i="3"/>
  <c r="I43" i="3"/>
  <c r="E43" i="3"/>
  <c r="N43" i="3" s="1"/>
  <c r="D43" i="3"/>
  <c r="AT42" i="3"/>
  <c r="AR42" i="3"/>
  <c r="AQ42" i="3"/>
  <c r="AP42" i="3"/>
  <c r="AN42" i="3"/>
  <c r="AM42" i="3"/>
  <c r="AK42" i="3"/>
  <c r="AJ42" i="3"/>
  <c r="AI42" i="3"/>
  <c r="AG42" i="3"/>
  <c r="AF42" i="3"/>
  <c r="AE42" i="3"/>
  <c r="AC42" i="3"/>
  <c r="AB42" i="3"/>
  <c r="Z42" i="3"/>
  <c r="Y42" i="3"/>
  <c r="X42" i="3"/>
  <c r="V42" i="3"/>
  <c r="U42" i="3"/>
  <c r="S42" i="3"/>
  <c r="Q42" i="3"/>
  <c r="P42" i="3"/>
  <c r="O42" i="3"/>
  <c r="M42" i="3"/>
  <c r="L42" i="3"/>
  <c r="K42" i="3"/>
  <c r="J42" i="3"/>
  <c r="I42" i="3"/>
  <c r="E42" i="3"/>
  <c r="N42" i="3" s="1"/>
  <c r="D42" i="3"/>
  <c r="AT41" i="3"/>
  <c r="AR41" i="3"/>
  <c r="AQ41" i="3"/>
  <c r="AP41" i="3"/>
  <c r="AN41" i="3"/>
  <c r="AM41" i="3"/>
  <c r="AK41" i="3"/>
  <c r="AJ41" i="3"/>
  <c r="AI41" i="3"/>
  <c r="AG41" i="3"/>
  <c r="AF41" i="3"/>
  <c r="AE41" i="3"/>
  <c r="AC41" i="3"/>
  <c r="AB41" i="3"/>
  <c r="Z41" i="3"/>
  <c r="Y41" i="3"/>
  <c r="X41" i="3"/>
  <c r="V41" i="3"/>
  <c r="U41" i="3"/>
  <c r="S41" i="3"/>
  <c r="Q41" i="3"/>
  <c r="P41" i="3"/>
  <c r="O41" i="3"/>
  <c r="M41" i="3"/>
  <c r="L41" i="3"/>
  <c r="K41" i="3"/>
  <c r="J41" i="3"/>
  <c r="I41" i="3"/>
  <c r="E41" i="3"/>
  <c r="N41" i="3" s="1"/>
  <c r="D41" i="3"/>
  <c r="AT40" i="3"/>
  <c r="AR40" i="3"/>
  <c r="AQ40" i="3"/>
  <c r="AP40" i="3"/>
  <c r="AN40" i="3"/>
  <c r="AM40" i="3"/>
  <c r="AK40" i="3"/>
  <c r="AJ40" i="3"/>
  <c r="AI40" i="3"/>
  <c r="AG40" i="3"/>
  <c r="AF40" i="3"/>
  <c r="AE40" i="3"/>
  <c r="AC40" i="3"/>
  <c r="AB40" i="3"/>
  <c r="Z40" i="3"/>
  <c r="Y40" i="3"/>
  <c r="X40" i="3"/>
  <c r="V40" i="3"/>
  <c r="U40" i="3"/>
  <c r="S40" i="3"/>
  <c r="Q40" i="3"/>
  <c r="P40" i="3"/>
  <c r="O40" i="3"/>
  <c r="M40" i="3"/>
  <c r="L40" i="3"/>
  <c r="K40" i="3"/>
  <c r="J40" i="3"/>
  <c r="I40" i="3"/>
  <c r="E40" i="3"/>
  <c r="N40" i="3" s="1"/>
  <c r="D40" i="3"/>
  <c r="AT39" i="3"/>
  <c r="AR39" i="3"/>
  <c r="AQ39" i="3"/>
  <c r="AP39" i="3"/>
  <c r="AN39" i="3"/>
  <c r="AM39" i="3"/>
  <c r="AK39" i="3"/>
  <c r="AJ39" i="3"/>
  <c r="AI39" i="3"/>
  <c r="AG39" i="3"/>
  <c r="AF39" i="3"/>
  <c r="AE39" i="3"/>
  <c r="AC39" i="3"/>
  <c r="AB39" i="3"/>
  <c r="Z39" i="3"/>
  <c r="Y39" i="3"/>
  <c r="X39" i="3"/>
  <c r="V39" i="3"/>
  <c r="U39" i="3"/>
  <c r="S39" i="3"/>
  <c r="Q39" i="3"/>
  <c r="P39" i="3"/>
  <c r="O39" i="3"/>
  <c r="M39" i="3"/>
  <c r="L39" i="3"/>
  <c r="K39" i="3"/>
  <c r="J39" i="3"/>
  <c r="I39" i="3"/>
  <c r="E39" i="3"/>
  <c r="N39" i="3" s="1"/>
  <c r="D39" i="3"/>
  <c r="AT38" i="3"/>
  <c r="AR38" i="3"/>
  <c r="AQ38" i="3"/>
  <c r="AP38" i="3"/>
  <c r="AN38" i="3"/>
  <c r="AM38" i="3"/>
  <c r="AK38" i="3"/>
  <c r="AJ38" i="3"/>
  <c r="AI38" i="3"/>
  <c r="AG38" i="3"/>
  <c r="AF38" i="3"/>
  <c r="AE38" i="3"/>
  <c r="AC38" i="3"/>
  <c r="AB38" i="3"/>
  <c r="Z38" i="3"/>
  <c r="Y38" i="3"/>
  <c r="X38" i="3"/>
  <c r="V38" i="3"/>
  <c r="U38" i="3"/>
  <c r="S38" i="3"/>
  <c r="Q38" i="3"/>
  <c r="P38" i="3"/>
  <c r="O38" i="3"/>
  <c r="M38" i="3"/>
  <c r="L38" i="3"/>
  <c r="K38" i="3"/>
  <c r="J38" i="3"/>
  <c r="I38" i="3"/>
  <c r="E38" i="3"/>
  <c r="N38" i="3" s="1"/>
  <c r="D38" i="3"/>
  <c r="AT37" i="3"/>
  <c r="AR37" i="3"/>
  <c r="AQ37" i="3"/>
  <c r="AP37" i="3"/>
  <c r="AN37" i="3"/>
  <c r="AM37" i="3"/>
  <c r="AK37" i="3"/>
  <c r="AJ37" i="3"/>
  <c r="AI37" i="3"/>
  <c r="AG37" i="3"/>
  <c r="AF37" i="3"/>
  <c r="AE37" i="3"/>
  <c r="AC37" i="3"/>
  <c r="AB37" i="3"/>
  <c r="Z37" i="3"/>
  <c r="Y37" i="3"/>
  <c r="X37" i="3"/>
  <c r="V37" i="3"/>
  <c r="U37" i="3"/>
  <c r="S37" i="3"/>
  <c r="Q37" i="3"/>
  <c r="P37" i="3"/>
  <c r="O37" i="3"/>
  <c r="M37" i="3"/>
  <c r="L37" i="3"/>
  <c r="K37" i="3"/>
  <c r="J37" i="3"/>
  <c r="I37" i="3"/>
  <c r="E37" i="3"/>
  <c r="N37" i="3" s="1"/>
  <c r="D37" i="3"/>
  <c r="AT36" i="3"/>
  <c r="AR36" i="3"/>
  <c r="AQ36" i="3"/>
  <c r="AP36" i="3"/>
  <c r="AN36" i="3"/>
  <c r="AM36" i="3"/>
  <c r="AK36" i="3"/>
  <c r="AJ36" i="3"/>
  <c r="AI36" i="3"/>
  <c r="AG36" i="3"/>
  <c r="AF36" i="3"/>
  <c r="AE36" i="3"/>
  <c r="AC36" i="3"/>
  <c r="AB36" i="3"/>
  <c r="Z36" i="3"/>
  <c r="Y36" i="3"/>
  <c r="X36" i="3"/>
  <c r="V36" i="3"/>
  <c r="U36" i="3"/>
  <c r="S36" i="3"/>
  <c r="Q36" i="3"/>
  <c r="P36" i="3"/>
  <c r="O36" i="3"/>
  <c r="M36" i="3"/>
  <c r="L36" i="3"/>
  <c r="K36" i="3"/>
  <c r="J36" i="3"/>
  <c r="I36" i="3"/>
  <c r="E36" i="3"/>
  <c r="N36" i="3" s="1"/>
  <c r="D36" i="3"/>
  <c r="AT35" i="3"/>
  <c r="AR35" i="3"/>
  <c r="AQ35" i="3"/>
  <c r="AP35" i="3"/>
  <c r="AN35" i="3"/>
  <c r="AM35" i="3"/>
  <c r="AK35" i="3"/>
  <c r="AJ35" i="3"/>
  <c r="AI35" i="3"/>
  <c r="AG35" i="3"/>
  <c r="AF35" i="3"/>
  <c r="AE35" i="3"/>
  <c r="AC35" i="3"/>
  <c r="AB35" i="3"/>
  <c r="Z35" i="3"/>
  <c r="Y35" i="3"/>
  <c r="X35" i="3"/>
  <c r="V35" i="3"/>
  <c r="U35" i="3"/>
  <c r="S35" i="3"/>
  <c r="Q35" i="3"/>
  <c r="P35" i="3"/>
  <c r="O35" i="3"/>
  <c r="M35" i="3"/>
  <c r="L35" i="3"/>
  <c r="K35" i="3"/>
  <c r="J35" i="3"/>
  <c r="I35" i="3"/>
  <c r="E35" i="3"/>
  <c r="N35" i="3" s="1"/>
  <c r="D35" i="3"/>
  <c r="AT34" i="3"/>
  <c r="AR34" i="3"/>
  <c r="AQ34" i="3"/>
  <c r="AP34" i="3"/>
  <c r="AN34" i="3"/>
  <c r="AM34" i="3"/>
  <c r="AK34" i="3"/>
  <c r="AJ34" i="3"/>
  <c r="AI34" i="3"/>
  <c r="AG34" i="3"/>
  <c r="AF34" i="3"/>
  <c r="AE34" i="3"/>
  <c r="AC34" i="3"/>
  <c r="AB34" i="3"/>
  <c r="Z34" i="3"/>
  <c r="Y34" i="3"/>
  <c r="X34" i="3"/>
  <c r="V34" i="3"/>
  <c r="U34" i="3"/>
  <c r="S34" i="3"/>
  <c r="Q34" i="3"/>
  <c r="P34" i="3"/>
  <c r="O34" i="3"/>
  <c r="M34" i="3"/>
  <c r="L34" i="3"/>
  <c r="K34" i="3"/>
  <c r="J34" i="3"/>
  <c r="I34" i="3"/>
  <c r="E34" i="3"/>
  <c r="N34" i="3" s="1"/>
  <c r="D34" i="3"/>
  <c r="AT33" i="3"/>
  <c r="AR33" i="3"/>
  <c r="AQ33" i="3"/>
  <c r="AP33" i="3"/>
  <c r="AN33" i="3"/>
  <c r="AM33" i="3"/>
  <c r="AK33" i="3"/>
  <c r="AJ33" i="3"/>
  <c r="AI33" i="3"/>
  <c r="AG33" i="3"/>
  <c r="AF33" i="3"/>
  <c r="AE33" i="3"/>
  <c r="AC33" i="3"/>
  <c r="AB33" i="3"/>
  <c r="Z33" i="3"/>
  <c r="Y33" i="3"/>
  <c r="X33" i="3"/>
  <c r="V33" i="3"/>
  <c r="U33" i="3"/>
  <c r="S33" i="3"/>
  <c r="Q33" i="3"/>
  <c r="P33" i="3"/>
  <c r="O33" i="3"/>
  <c r="M33" i="3"/>
  <c r="L33" i="3"/>
  <c r="K33" i="3"/>
  <c r="J33" i="3"/>
  <c r="I33" i="3"/>
  <c r="E33" i="3"/>
  <c r="N33" i="3" s="1"/>
  <c r="D33" i="3"/>
  <c r="AT32" i="3"/>
  <c r="AR32" i="3"/>
  <c r="AQ32" i="3"/>
  <c r="AP32" i="3"/>
  <c r="AN32" i="3"/>
  <c r="AM32" i="3"/>
  <c r="AK32" i="3"/>
  <c r="AJ32" i="3"/>
  <c r="AI32" i="3"/>
  <c r="AG32" i="3"/>
  <c r="AF32" i="3"/>
  <c r="AE32" i="3"/>
  <c r="AC32" i="3"/>
  <c r="AB32" i="3"/>
  <c r="Z32" i="3"/>
  <c r="Y32" i="3"/>
  <c r="X32" i="3"/>
  <c r="V32" i="3"/>
  <c r="U32" i="3"/>
  <c r="S32" i="3"/>
  <c r="Q32" i="3"/>
  <c r="P32" i="3"/>
  <c r="O32" i="3"/>
  <c r="M32" i="3"/>
  <c r="L32" i="3"/>
  <c r="K32" i="3"/>
  <c r="J32" i="3"/>
  <c r="I32" i="3"/>
  <c r="E32" i="3"/>
  <c r="D32" i="3"/>
  <c r="AT30" i="3"/>
  <c r="AR30" i="3"/>
  <c r="AQ30" i="3"/>
  <c r="AP30" i="3"/>
  <c r="AN30" i="3"/>
  <c r="AM30" i="3"/>
  <c r="AK30" i="3"/>
  <c r="AJ30" i="3"/>
  <c r="AI30" i="3"/>
  <c r="AG30" i="3"/>
  <c r="AF30" i="3"/>
  <c r="AE30" i="3"/>
  <c r="AC30" i="3"/>
  <c r="AB30" i="3"/>
  <c r="Z30" i="3"/>
  <c r="Y30" i="3"/>
  <c r="X30" i="3"/>
  <c r="V30" i="3"/>
  <c r="U30" i="3"/>
  <c r="S30" i="3"/>
  <c r="Q30" i="3"/>
  <c r="P30" i="3"/>
  <c r="O30" i="3"/>
  <c r="M30" i="3"/>
  <c r="L30" i="3"/>
  <c r="K30" i="3"/>
  <c r="J30" i="3"/>
  <c r="I30" i="3"/>
  <c r="E30" i="3"/>
  <c r="N30" i="3" s="1"/>
  <c r="D30" i="3"/>
  <c r="AT29" i="3"/>
  <c r="AR29" i="3"/>
  <c r="AQ29" i="3"/>
  <c r="AP29" i="3"/>
  <c r="AN29" i="3"/>
  <c r="AM29" i="3"/>
  <c r="AK29" i="3"/>
  <c r="AJ29" i="3"/>
  <c r="AI29" i="3"/>
  <c r="AG29" i="3"/>
  <c r="AF29" i="3"/>
  <c r="AE29" i="3"/>
  <c r="AC29" i="3"/>
  <c r="AB29" i="3"/>
  <c r="Z29" i="3"/>
  <c r="Y29" i="3"/>
  <c r="X29" i="3"/>
  <c r="V29" i="3"/>
  <c r="U29" i="3"/>
  <c r="S29" i="3"/>
  <c r="Q29" i="3"/>
  <c r="P29" i="3"/>
  <c r="O29" i="3"/>
  <c r="M29" i="3"/>
  <c r="L29" i="3"/>
  <c r="K29" i="3"/>
  <c r="I29" i="3"/>
  <c r="E29" i="3"/>
  <c r="D29" i="3"/>
  <c r="AT28" i="3"/>
  <c r="AR28" i="3"/>
  <c r="AQ28" i="3"/>
  <c r="AP28" i="3"/>
  <c r="AN28" i="3"/>
  <c r="AM28" i="3"/>
  <c r="AK28" i="3"/>
  <c r="AJ28" i="3"/>
  <c r="AI28" i="3"/>
  <c r="AG28" i="3"/>
  <c r="AF28" i="3"/>
  <c r="AE28" i="3"/>
  <c r="AC28" i="3"/>
  <c r="AB28" i="3"/>
  <c r="Z28" i="3"/>
  <c r="Y28" i="3"/>
  <c r="X28" i="3"/>
  <c r="V28" i="3"/>
  <c r="U28" i="3"/>
  <c r="S28" i="3"/>
  <c r="Q28" i="3"/>
  <c r="P28" i="3"/>
  <c r="O28" i="3"/>
  <c r="M28" i="3"/>
  <c r="L28" i="3"/>
  <c r="K28" i="3"/>
  <c r="J28" i="3"/>
  <c r="I28" i="3"/>
  <c r="E28" i="3"/>
  <c r="N28" i="3" s="1"/>
  <c r="D28" i="3"/>
  <c r="AT27" i="3"/>
  <c r="AR27" i="3"/>
  <c r="AQ27" i="3"/>
  <c r="AP27" i="3"/>
  <c r="AN27" i="3"/>
  <c r="AM27" i="3"/>
  <c r="AK27" i="3"/>
  <c r="AJ27" i="3"/>
  <c r="AI27" i="3"/>
  <c r="AG27" i="3"/>
  <c r="AF27" i="3"/>
  <c r="AE27" i="3"/>
  <c r="AC27" i="3"/>
  <c r="AB27" i="3"/>
  <c r="Z27" i="3"/>
  <c r="Y27" i="3"/>
  <c r="X27" i="3"/>
  <c r="V27" i="3"/>
  <c r="U27" i="3"/>
  <c r="S27" i="3"/>
  <c r="Q27" i="3"/>
  <c r="P27" i="3"/>
  <c r="O27" i="3"/>
  <c r="M27" i="3"/>
  <c r="L27" i="3"/>
  <c r="K27" i="3"/>
  <c r="J27" i="3"/>
  <c r="I27" i="3"/>
  <c r="E27" i="3"/>
  <c r="N27" i="3" s="1"/>
  <c r="D27" i="3"/>
  <c r="AT26" i="3"/>
  <c r="AR26" i="3"/>
  <c r="AQ26" i="3"/>
  <c r="AP26" i="3"/>
  <c r="AN26" i="3"/>
  <c r="AM26" i="3"/>
  <c r="AK26" i="3"/>
  <c r="AJ26" i="3"/>
  <c r="AI26" i="3"/>
  <c r="AG26" i="3"/>
  <c r="AF26" i="3"/>
  <c r="AE26" i="3"/>
  <c r="AC26" i="3"/>
  <c r="AB26" i="3"/>
  <c r="Z26" i="3"/>
  <c r="Y26" i="3"/>
  <c r="X26" i="3"/>
  <c r="V26" i="3"/>
  <c r="U26" i="3"/>
  <c r="S26" i="3"/>
  <c r="Q26" i="3"/>
  <c r="P26" i="3"/>
  <c r="O26" i="3"/>
  <c r="M26" i="3"/>
  <c r="L26" i="3"/>
  <c r="K26" i="3"/>
  <c r="J26" i="3"/>
  <c r="I26" i="3"/>
  <c r="E26" i="3"/>
  <c r="D26" i="3"/>
  <c r="AT25" i="3"/>
  <c r="AR25" i="3"/>
  <c r="AQ25" i="3"/>
  <c r="AP25" i="3"/>
  <c r="AN25" i="3"/>
  <c r="AM25" i="3"/>
  <c r="AK25" i="3"/>
  <c r="AJ25" i="3"/>
  <c r="AI25" i="3"/>
  <c r="AG25" i="3"/>
  <c r="AF25" i="3"/>
  <c r="AE25" i="3"/>
  <c r="AC25" i="3"/>
  <c r="AB25" i="3"/>
  <c r="Z25" i="3"/>
  <c r="Y25" i="3"/>
  <c r="X25" i="3"/>
  <c r="V25" i="3"/>
  <c r="U25" i="3"/>
  <c r="S25" i="3"/>
  <c r="Q25" i="3"/>
  <c r="P25" i="3"/>
  <c r="O25" i="3"/>
  <c r="M25" i="3"/>
  <c r="L25" i="3"/>
  <c r="K25" i="3"/>
  <c r="J25" i="3"/>
  <c r="I25" i="3"/>
  <c r="E25" i="3"/>
  <c r="N25" i="3" s="1"/>
  <c r="D25" i="3"/>
  <c r="AT24" i="3"/>
  <c r="AR24" i="3"/>
  <c r="AQ24" i="3"/>
  <c r="AP24" i="3"/>
  <c r="AN24" i="3"/>
  <c r="AM24" i="3"/>
  <c r="AK24" i="3"/>
  <c r="AJ24" i="3"/>
  <c r="AI24" i="3"/>
  <c r="AG24" i="3"/>
  <c r="AF24" i="3"/>
  <c r="AE24" i="3"/>
  <c r="AC24" i="3"/>
  <c r="AB24" i="3"/>
  <c r="Z24" i="3"/>
  <c r="Y24" i="3"/>
  <c r="X24" i="3"/>
  <c r="V24" i="3"/>
  <c r="U24" i="3"/>
  <c r="S24" i="3"/>
  <c r="Q24" i="3"/>
  <c r="P24" i="3"/>
  <c r="O24" i="3"/>
  <c r="M24" i="3"/>
  <c r="L24" i="3"/>
  <c r="K24" i="3"/>
  <c r="J24" i="3"/>
  <c r="I24" i="3"/>
  <c r="E24" i="3"/>
  <c r="N24" i="3" s="1"/>
  <c r="D24" i="3"/>
  <c r="AT23" i="3"/>
  <c r="AR23" i="3"/>
  <c r="AQ23" i="3"/>
  <c r="AP23" i="3"/>
  <c r="AN23" i="3"/>
  <c r="AM23" i="3"/>
  <c r="AK23" i="3"/>
  <c r="AJ23" i="3"/>
  <c r="AI23" i="3"/>
  <c r="AG23" i="3"/>
  <c r="AF23" i="3"/>
  <c r="AE23" i="3"/>
  <c r="AC23" i="3"/>
  <c r="AB23" i="3"/>
  <c r="Z23" i="3"/>
  <c r="Y23" i="3"/>
  <c r="X23" i="3"/>
  <c r="V23" i="3"/>
  <c r="U23" i="3"/>
  <c r="S23" i="3"/>
  <c r="Q23" i="3"/>
  <c r="P23" i="3"/>
  <c r="O23" i="3"/>
  <c r="M23" i="3"/>
  <c r="L23" i="3"/>
  <c r="K23" i="3"/>
  <c r="J23" i="3"/>
  <c r="I23" i="3"/>
  <c r="E23" i="3"/>
  <c r="D23" i="3"/>
  <c r="AT22" i="3"/>
  <c r="AR22" i="3"/>
  <c r="AQ22" i="3"/>
  <c r="AP22" i="3"/>
  <c r="AN22" i="3"/>
  <c r="AM22" i="3"/>
  <c r="AK22" i="3"/>
  <c r="AJ22" i="3"/>
  <c r="AI22" i="3"/>
  <c r="AG22" i="3"/>
  <c r="AF22" i="3"/>
  <c r="AE22" i="3"/>
  <c r="AC22" i="3"/>
  <c r="AB22" i="3"/>
  <c r="Z22" i="3"/>
  <c r="Y22" i="3"/>
  <c r="X22" i="3"/>
  <c r="V22" i="3"/>
  <c r="U22" i="3"/>
  <c r="S22" i="3"/>
  <c r="Q22" i="3"/>
  <c r="P22" i="3"/>
  <c r="O22" i="3"/>
  <c r="M22" i="3"/>
  <c r="L22" i="3"/>
  <c r="K22" i="3"/>
  <c r="J22" i="3"/>
  <c r="I22" i="3"/>
  <c r="E22" i="3"/>
  <c r="N22" i="3" s="1"/>
  <c r="D22" i="3"/>
  <c r="AT21" i="3"/>
  <c r="AR21" i="3"/>
  <c r="AQ21" i="3"/>
  <c r="AP21" i="3"/>
  <c r="AN21" i="3"/>
  <c r="AM21" i="3"/>
  <c r="AK21" i="3"/>
  <c r="AJ21" i="3"/>
  <c r="AI21" i="3"/>
  <c r="AG21" i="3"/>
  <c r="AF21" i="3"/>
  <c r="AE21" i="3"/>
  <c r="AC21" i="3"/>
  <c r="AB21" i="3"/>
  <c r="Z21" i="3"/>
  <c r="Y21" i="3"/>
  <c r="X21" i="3"/>
  <c r="V21" i="3"/>
  <c r="U21" i="3"/>
  <c r="S21" i="3"/>
  <c r="Q21" i="3"/>
  <c r="P21" i="3"/>
  <c r="O21" i="3"/>
  <c r="M21" i="3"/>
  <c r="L21" i="3"/>
  <c r="K21" i="3"/>
  <c r="J21" i="3"/>
  <c r="I21" i="3"/>
  <c r="E21" i="3"/>
  <c r="N21" i="3" s="1"/>
  <c r="D21" i="3"/>
  <c r="AT20" i="3"/>
  <c r="AR20" i="3"/>
  <c r="AQ20" i="3"/>
  <c r="AP20" i="3"/>
  <c r="AN20" i="3"/>
  <c r="AM20" i="3"/>
  <c r="AK20" i="3"/>
  <c r="AJ20" i="3"/>
  <c r="AI20" i="3"/>
  <c r="AG20" i="3"/>
  <c r="AF20" i="3"/>
  <c r="AE20" i="3"/>
  <c r="AC20" i="3"/>
  <c r="AB20" i="3"/>
  <c r="Z20" i="3"/>
  <c r="Y20" i="3"/>
  <c r="X20" i="3"/>
  <c r="V20" i="3"/>
  <c r="U20" i="3"/>
  <c r="S20" i="3"/>
  <c r="Q20" i="3"/>
  <c r="P20" i="3"/>
  <c r="O20" i="3"/>
  <c r="M20" i="3"/>
  <c r="L20" i="3"/>
  <c r="K20" i="3"/>
  <c r="J20" i="3"/>
  <c r="I20" i="3"/>
  <c r="E20" i="3"/>
  <c r="D20" i="3"/>
  <c r="AT19" i="3"/>
  <c r="AR19" i="3"/>
  <c r="AQ19" i="3"/>
  <c r="AP19" i="3"/>
  <c r="AN19" i="3"/>
  <c r="AM19" i="3"/>
  <c r="AK19" i="3"/>
  <c r="AJ19" i="3"/>
  <c r="AI19" i="3"/>
  <c r="AG19" i="3"/>
  <c r="AF19" i="3"/>
  <c r="AE19" i="3"/>
  <c r="AC19" i="3"/>
  <c r="AB19" i="3"/>
  <c r="Z19" i="3"/>
  <c r="Y19" i="3"/>
  <c r="X19" i="3"/>
  <c r="V19" i="3"/>
  <c r="U19" i="3"/>
  <c r="S19" i="3"/>
  <c r="Q19" i="3"/>
  <c r="P19" i="3"/>
  <c r="O19" i="3"/>
  <c r="M19" i="3"/>
  <c r="L19" i="3"/>
  <c r="K19" i="3"/>
  <c r="J19" i="3"/>
  <c r="I19" i="3"/>
  <c r="E19" i="3"/>
  <c r="N19" i="3" s="1"/>
  <c r="D19" i="3"/>
  <c r="AT18" i="3"/>
  <c r="AR18" i="3"/>
  <c r="AQ18" i="3"/>
  <c r="AP18" i="3"/>
  <c r="AN18" i="3"/>
  <c r="AM18" i="3"/>
  <c r="AK18" i="3"/>
  <c r="AJ18" i="3"/>
  <c r="AI18" i="3"/>
  <c r="AG18" i="3"/>
  <c r="AF18" i="3"/>
  <c r="AE18" i="3"/>
  <c r="AC18" i="3"/>
  <c r="AB18" i="3"/>
  <c r="Z18" i="3"/>
  <c r="Y18" i="3"/>
  <c r="X18" i="3"/>
  <c r="V18" i="3"/>
  <c r="U18" i="3"/>
  <c r="S18" i="3"/>
  <c r="Q18" i="3"/>
  <c r="P18" i="3"/>
  <c r="O18" i="3"/>
  <c r="M18" i="3"/>
  <c r="L18" i="3"/>
  <c r="K18" i="3"/>
  <c r="I18" i="3"/>
  <c r="E18" i="3"/>
  <c r="N18" i="3" s="1"/>
  <c r="D18" i="3"/>
  <c r="AT17" i="3"/>
  <c r="AR17" i="3"/>
  <c r="AQ17" i="3"/>
  <c r="AP17" i="3"/>
  <c r="AN17" i="3"/>
  <c r="AM17" i="3"/>
  <c r="AK17" i="3"/>
  <c r="AJ17" i="3"/>
  <c r="AI17" i="3"/>
  <c r="AG17" i="3"/>
  <c r="AF17" i="3"/>
  <c r="AE17" i="3"/>
  <c r="AC17" i="3"/>
  <c r="AB17" i="3"/>
  <c r="Z17" i="3"/>
  <c r="Y17" i="3"/>
  <c r="X17" i="3"/>
  <c r="V17" i="3"/>
  <c r="U17" i="3"/>
  <c r="S17" i="3"/>
  <c r="Q17" i="3"/>
  <c r="P17" i="3"/>
  <c r="O17" i="3"/>
  <c r="M17" i="3"/>
  <c r="L17" i="3"/>
  <c r="K17" i="3"/>
  <c r="J17" i="3"/>
  <c r="I17" i="3"/>
  <c r="E17" i="3"/>
  <c r="D17" i="3"/>
  <c r="AT16" i="3"/>
  <c r="AR16" i="3"/>
  <c r="AQ16" i="3"/>
  <c r="AP16" i="3"/>
  <c r="AN16" i="3"/>
  <c r="AM16" i="3"/>
  <c r="AK16" i="3"/>
  <c r="AJ16" i="3"/>
  <c r="AI16" i="3"/>
  <c r="AG16" i="3"/>
  <c r="AF16" i="3"/>
  <c r="AE16" i="3"/>
  <c r="AC16" i="3"/>
  <c r="AB16" i="3"/>
  <c r="Z16" i="3"/>
  <c r="Y16" i="3"/>
  <c r="X16" i="3"/>
  <c r="V16" i="3"/>
  <c r="U16" i="3"/>
  <c r="S16" i="3"/>
  <c r="Q16" i="3"/>
  <c r="P16" i="3"/>
  <c r="O16" i="3"/>
  <c r="M16" i="3"/>
  <c r="L16" i="3"/>
  <c r="K16" i="3"/>
  <c r="J16" i="3"/>
  <c r="I16" i="3"/>
  <c r="E16" i="3"/>
  <c r="N16" i="3" s="1"/>
  <c r="D16" i="3"/>
  <c r="AT15" i="3"/>
  <c r="AR15" i="3"/>
  <c r="AQ15" i="3"/>
  <c r="AP15" i="3"/>
  <c r="AN15" i="3"/>
  <c r="AM15" i="3"/>
  <c r="AK15" i="3"/>
  <c r="AJ15" i="3"/>
  <c r="AI15" i="3"/>
  <c r="AG15" i="3"/>
  <c r="AF15" i="3"/>
  <c r="AE15" i="3"/>
  <c r="AC15" i="3"/>
  <c r="AB15" i="3"/>
  <c r="Z15" i="3"/>
  <c r="Y15" i="3"/>
  <c r="X15" i="3"/>
  <c r="V15" i="3"/>
  <c r="U15" i="3"/>
  <c r="S15" i="3"/>
  <c r="Q15" i="3"/>
  <c r="P15" i="3"/>
  <c r="O15" i="3"/>
  <c r="M15" i="3"/>
  <c r="L15" i="3"/>
  <c r="K15" i="3"/>
  <c r="J15" i="3"/>
  <c r="E15" i="3"/>
  <c r="N15" i="3" s="1"/>
  <c r="D15" i="3"/>
  <c r="AT14" i="3"/>
  <c r="AR14" i="3"/>
  <c r="AQ14" i="3"/>
  <c r="AP14" i="3"/>
  <c r="AN14" i="3"/>
  <c r="AM14" i="3"/>
  <c r="AK14" i="3"/>
  <c r="AJ14" i="3"/>
  <c r="AI14" i="3"/>
  <c r="AG14" i="3"/>
  <c r="AF14" i="3"/>
  <c r="AE14" i="3"/>
  <c r="AC14" i="3"/>
  <c r="AB14" i="3"/>
  <c r="Z14" i="3"/>
  <c r="Y14" i="3"/>
  <c r="X14" i="3"/>
  <c r="V14" i="3"/>
  <c r="U14" i="3"/>
  <c r="S14" i="3"/>
  <c r="Q14" i="3"/>
  <c r="P14" i="3"/>
  <c r="O14" i="3"/>
  <c r="M14" i="3"/>
  <c r="L14" i="3"/>
  <c r="K14" i="3"/>
  <c r="J14" i="3"/>
  <c r="I14" i="3"/>
  <c r="E14" i="3"/>
  <c r="D14" i="3"/>
  <c r="AS12" i="3"/>
  <c r="AO12" i="3"/>
  <c r="AL12" i="3"/>
  <c r="AH12" i="3"/>
  <c r="AD12" i="3"/>
  <c r="AA12" i="3"/>
  <c r="W12" i="3"/>
  <c r="T12" i="3"/>
  <c r="R12" i="3"/>
  <c r="G12" i="3"/>
  <c r="F12" i="3"/>
  <c r="T11" i="3"/>
  <c r="R11" i="3"/>
  <c r="N11" i="3"/>
  <c r="G11" i="3"/>
  <c r="F11" i="3"/>
  <c r="T10" i="3"/>
  <c r="R10" i="3"/>
  <c r="N10" i="3"/>
  <c r="G10" i="3"/>
  <c r="F10" i="3"/>
  <c r="T9" i="3"/>
  <c r="R9" i="3"/>
  <c r="N9" i="3"/>
  <c r="G9" i="3"/>
  <c r="F9" i="3"/>
  <c r="N116" i="2"/>
  <c r="H116" i="2"/>
  <c r="F116" i="2" s="1"/>
  <c r="G116" i="2"/>
  <c r="C116" i="2"/>
  <c r="N115" i="2"/>
  <c r="H115" i="2"/>
  <c r="F115" i="2" s="1"/>
  <c r="G115" i="2"/>
  <c r="C115" i="2"/>
  <c r="N114" i="2"/>
  <c r="H114" i="2"/>
  <c r="G114" i="2"/>
  <c r="F114" i="2"/>
  <c r="C114" i="2"/>
  <c r="N113" i="2"/>
  <c r="H113" i="2"/>
  <c r="F113" i="2" s="1"/>
  <c r="G113" i="2"/>
  <c r="C113" i="2"/>
  <c r="N112" i="2"/>
  <c r="H112" i="2"/>
  <c r="F112" i="2" s="1"/>
  <c r="G112" i="2"/>
  <c r="C112" i="2"/>
  <c r="N111" i="2"/>
  <c r="H111" i="2"/>
  <c r="F111" i="2" s="1"/>
  <c r="G111" i="2"/>
  <c r="C111" i="2"/>
  <c r="N110" i="2"/>
  <c r="H110" i="2"/>
  <c r="F110" i="2" s="1"/>
  <c r="G110" i="2"/>
  <c r="C110" i="2"/>
  <c r="N109" i="2"/>
  <c r="H109" i="2"/>
  <c r="F109" i="2" s="1"/>
  <c r="G109" i="2"/>
  <c r="C109" i="2"/>
  <c r="N108" i="2"/>
  <c r="H108" i="2"/>
  <c r="F108" i="2" s="1"/>
  <c r="G108" i="2"/>
  <c r="C108" i="2"/>
  <c r="N107" i="2"/>
  <c r="H107" i="2"/>
  <c r="F107" i="2" s="1"/>
  <c r="G107" i="2"/>
  <c r="C107" i="2"/>
  <c r="N106" i="2"/>
  <c r="H106" i="2"/>
  <c r="F106" i="2" s="1"/>
  <c r="G106" i="2"/>
  <c r="C106" i="2"/>
  <c r="C104" i="2" s="1"/>
  <c r="C11" i="2" s="1"/>
  <c r="N105" i="2"/>
  <c r="H105" i="2"/>
  <c r="F105" i="2" s="1"/>
  <c r="G105" i="2"/>
  <c r="C105" i="2"/>
  <c r="N104" i="2"/>
  <c r="G104" i="2"/>
  <c r="N103" i="2"/>
  <c r="H103" i="2"/>
  <c r="F103" i="2" s="1"/>
  <c r="G103" i="2"/>
  <c r="C103" i="2"/>
  <c r="N102" i="2"/>
  <c r="H102" i="2"/>
  <c r="F102" i="2" s="1"/>
  <c r="G102" i="2"/>
  <c r="C102" i="2"/>
  <c r="N101" i="2"/>
  <c r="H101" i="2"/>
  <c r="F101" i="2" s="1"/>
  <c r="G101" i="2"/>
  <c r="C101" i="2"/>
  <c r="N100" i="2"/>
  <c r="H100" i="2"/>
  <c r="F100" i="2" s="1"/>
  <c r="G100" i="2"/>
  <c r="C100" i="2"/>
  <c r="N99" i="2"/>
  <c r="H99" i="2"/>
  <c r="F99" i="2" s="1"/>
  <c r="G99" i="2"/>
  <c r="C99" i="2"/>
  <c r="N98" i="2"/>
  <c r="H98" i="2"/>
  <c r="F98" i="2" s="1"/>
  <c r="G98" i="2"/>
  <c r="C98" i="2"/>
  <c r="N97" i="2"/>
  <c r="H97" i="2"/>
  <c r="F97" i="2" s="1"/>
  <c r="G97" i="2"/>
  <c r="C97" i="2"/>
  <c r="N96" i="2"/>
  <c r="H96" i="2"/>
  <c r="F96" i="2" s="1"/>
  <c r="G96" i="2"/>
  <c r="C96" i="2"/>
  <c r="N95" i="2"/>
  <c r="H95" i="2"/>
  <c r="F95" i="2" s="1"/>
  <c r="G95" i="2"/>
  <c r="C95" i="2"/>
  <c r="N94" i="2"/>
  <c r="H94" i="2"/>
  <c r="F94" i="2" s="1"/>
  <c r="G94" i="2"/>
  <c r="C94" i="2"/>
  <c r="N93" i="2"/>
  <c r="H93" i="2"/>
  <c r="F93" i="2" s="1"/>
  <c r="G93" i="2"/>
  <c r="C93" i="2"/>
  <c r="A93" i="2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N92" i="2"/>
  <c r="H92" i="2"/>
  <c r="F92" i="2" s="1"/>
  <c r="G92" i="2"/>
  <c r="C92" i="2"/>
  <c r="N91" i="2"/>
  <c r="H91" i="2"/>
  <c r="F91" i="2" s="1"/>
  <c r="G91" i="2"/>
  <c r="C91" i="2"/>
  <c r="N90" i="2"/>
  <c r="H90" i="2"/>
  <c r="G90" i="2"/>
  <c r="C90" i="2"/>
  <c r="C89" i="2" s="1"/>
  <c r="C10" i="2" s="1"/>
  <c r="C9" i="2" s="1"/>
  <c r="N89" i="2"/>
  <c r="G89" i="2"/>
  <c r="AB88" i="2"/>
  <c r="Z88" i="2"/>
  <c r="Y88" i="2"/>
  <c r="X88" i="2"/>
  <c r="V88" i="2"/>
  <c r="U88" i="2"/>
  <c r="S88" i="2"/>
  <c r="R88" i="2"/>
  <c r="P88" i="2"/>
  <c r="O88" i="2"/>
  <c r="Q88" i="2" s="1"/>
  <c r="M88" i="2"/>
  <c r="L88" i="2"/>
  <c r="K88" i="2"/>
  <c r="J88" i="2"/>
  <c r="I88" i="2"/>
  <c r="E88" i="2"/>
  <c r="D88" i="2"/>
  <c r="AB87" i="2"/>
  <c r="Z87" i="2"/>
  <c r="Y87" i="2"/>
  <c r="AC87" i="2" s="1"/>
  <c r="X87" i="2"/>
  <c r="AA87" i="2" s="1"/>
  <c r="V87" i="2"/>
  <c r="U87" i="2"/>
  <c r="W87" i="2" s="1"/>
  <c r="S87" i="2"/>
  <c r="R87" i="2"/>
  <c r="T87" i="2" s="1"/>
  <c r="P87" i="2"/>
  <c r="O87" i="2"/>
  <c r="Q87" i="2" s="1"/>
  <c r="M87" i="2"/>
  <c r="L87" i="2"/>
  <c r="K87" i="2"/>
  <c r="J87" i="2"/>
  <c r="I87" i="2"/>
  <c r="E87" i="2"/>
  <c r="D87" i="2"/>
  <c r="G87" i="2" s="1"/>
  <c r="AB86" i="2"/>
  <c r="Z86" i="2"/>
  <c r="Y86" i="2"/>
  <c r="X86" i="2"/>
  <c r="V86" i="2"/>
  <c r="U86" i="2"/>
  <c r="S86" i="2"/>
  <c r="R86" i="2"/>
  <c r="P86" i="2"/>
  <c r="O86" i="2"/>
  <c r="Q86" i="2" s="1"/>
  <c r="M86" i="2"/>
  <c r="L86" i="2"/>
  <c r="K86" i="2"/>
  <c r="J86" i="2"/>
  <c r="I86" i="2"/>
  <c r="E86" i="2"/>
  <c r="D86" i="2"/>
  <c r="AB85" i="2"/>
  <c r="Z85" i="2"/>
  <c r="Y85" i="2"/>
  <c r="X85" i="2"/>
  <c r="V85" i="2"/>
  <c r="U85" i="2"/>
  <c r="S85" i="2"/>
  <c r="R85" i="2"/>
  <c r="P85" i="2"/>
  <c r="O85" i="2"/>
  <c r="Q85" i="2" s="1"/>
  <c r="M85" i="2"/>
  <c r="L85" i="2"/>
  <c r="K85" i="2"/>
  <c r="J85" i="2"/>
  <c r="I85" i="2"/>
  <c r="E85" i="2"/>
  <c r="D85" i="2"/>
  <c r="AB84" i="2"/>
  <c r="Z84" i="2"/>
  <c r="Y84" i="2"/>
  <c r="AC84" i="2" s="1"/>
  <c r="X84" i="2"/>
  <c r="AA84" i="2" s="1"/>
  <c r="V84" i="2"/>
  <c r="U84" i="2"/>
  <c r="W84" i="2" s="1"/>
  <c r="S84" i="2"/>
  <c r="R84" i="2"/>
  <c r="T84" i="2" s="1"/>
  <c r="P84" i="2"/>
  <c r="O84" i="2"/>
  <c r="Q84" i="2" s="1"/>
  <c r="M84" i="2"/>
  <c r="L84" i="2"/>
  <c r="K84" i="2"/>
  <c r="J84" i="2"/>
  <c r="I84" i="2"/>
  <c r="E84" i="2"/>
  <c r="N84" i="2" s="1"/>
  <c r="D84" i="2"/>
  <c r="AB83" i="2"/>
  <c r="Z83" i="2"/>
  <c r="Y83" i="2"/>
  <c r="X83" i="2"/>
  <c r="V83" i="2"/>
  <c r="U83" i="2"/>
  <c r="S83" i="2"/>
  <c r="R83" i="2"/>
  <c r="P83" i="2"/>
  <c r="O83" i="2"/>
  <c r="Q83" i="2" s="1"/>
  <c r="M83" i="2"/>
  <c r="L83" i="2"/>
  <c r="K83" i="2"/>
  <c r="J83" i="2"/>
  <c r="I83" i="2"/>
  <c r="E83" i="2"/>
  <c r="D83" i="2"/>
  <c r="AB82" i="2"/>
  <c r="Z82" i="2"/>
  <c r="Y82" i="2"/>
  <c r="X82" i="2"/>
  <c r="V82" i="2"/>
  <c r="U82" i="2"/>
  <c r="S82" i="2"/>
  <c r="R82" i="2"/>
  <c r="P82" i="2"/>
  <c r="O82" i="2"/>
  <c r="Q82" i="2" s="1"/>
  <c r="M82" i="2"/>
  <c r="L82" i="2"/>
  <c r="K82" i="2"/>
  <c r="J82" i="2"/>
  <c r="I82" i="2"/>
  <c r="E82" i="2"/>
  <c r="N82" i="2" s="1"/>
  <c r="D82" i="2"/>
  <c r="AB81" i="2"/>
  <c r="Z81" i="2"/>
  <c r="Y81" i="2"/>
  <c r="X81" i="2"/>
  <c r="V81" i="2"/>
  <c r="U81" i="2"/>
  <c r="S81" i="2"/>
  <c r="R81" i="2"/>
  <c r="P81" i="2"/>
  <c r="O81" i="2"/>
  <c r="Q81" i="2" s="1"/>
  <c r="M81" i="2"/>
  <c r="L81" i="2"/>
  <c r="K81" i="2"/>
  <c r="J81" i="2"/>
  <c r="I81" i="2"/>
  <c r="E81" i="2"/>
  <c r="D81" i="2"/>
  <c r="AB80" i="2"/>
  <c r="Z80" i="2"/>
  <c r="Y80" i="2"/>
  <c r="X80" i="2"/>
  <c r="V80" i="2"/>
  <c r="U80" i="2"/>
  <c r="S80" i="2"/>
  <c r="R80" i="2"/>
  <c r="P80" i="2"/>
  <c r="O80" i="2"/>
  <c r="Q80" i="2" s="1"/>
  <c r="M80" i="2"/>
  <c r="L80" i="2"/>
  <c r="K80" i="2"/>
  <c r="J80" i="2"/>
  <c r="I80" i="2"/>
  <c r="E80" i="2"/>
  <c r="N80" i="2" s="1"/>
  <c r="D80" i="2"/>
  <c r="AB79" i="2"/>
  <c r="Z79" i="2"/>
  <c r="Y79" i="2"/>
  <c r="AC79" i="2" s="1"/>
  <c r="X79" i="2"/>
  <c r="AA79" i="2" s="1"/>
  <c r="V79" i="2"/>
  <c r="U79" i="2"/>
  <c r="W79" i="2" s="1"/>
  <c r="S79" i="2"/>
  <c r="R79" i="2"/>
  <c r="T79" i="2" s="1"/>
  <c r="P79" i="2"/>
  <c r="O79" i="2"/>
  <c r="Q79" i="2" s="1"/>
  <c r="M79" i="2"/>
  <c r="L79" i="2"/>
  <c r="K79" i="2"/>
  <c r="J79" i="2"/>
  <c r="I79" i="2"/>
  <c r="E79" i="2"/>
  <c r="D79" i="2"/>
  <c r="G79" i="2" s="1"/>
  <c r="AB78" i="2"/>
  <c r="Z78" i="2"/>
  <c r="Y78" i="2"/>
  <c r="AC78" i="2" s="1"/>
  <c r="X78" i="2"/>
  <c r="AA78" i="2" s="1"/>
  <c r="V78" i="2"/>
  <c r="U78" i="2"/>
  <c r="W78" i="2" s="1"/>
  <c r="S78" i="2"/>
  <c r="R78" i="2"/>
  <c r="T78" i="2" s="1"/>
  <c r="P78" i="2"/>
  <c r="O78" i="2"/>
  <c r="Q78" i="2" s="1"/>
  <c r="M78" i="2"/>
  <c r="L78" i="2"/>
  <c r="K78" i="2"/>
  <c r="J78" i="2"/>
  <c r="I78" i="2"/>
  <c r="E78" i="2"/>
  <c r="N78" i="2" s="1"/>
  <c r="D78" i="2"/>
  <c r="AB77" i="2"/>
  <c r="Z77" i="2"/>
  <c r="Y77" i="2"/>
  <c r="X77" i="2"/>
  <c r="V77" i="2"/>
  <c r="U77" i="2"/>
  <c r="S77" i="2"/>
  <c r="R77" i="2"/>
  <c r="P77" i="2"/>
  <c r="O77" i="2"/>
  <c r="Q77" i="2" s="1"/>
  <c r="M77" i="2"/>
  <c r="L77" i="2"/>
  <c r="K77" i="2"/>
  <c r="J77" i="2"/>
  <c r="I77" i="2"/>
  <c r="E77" i="2"/>
  <c r="D77" i="2"/>
  <c r="AB76" i="2"/>
  <c r="Z76" i="2"/>
  <c r="Y76" i="2"/>
  <c r="X76" i="2"/>
  <c r="V76" i="2"/>
  <c r="U76" i="2"/>
  <c r="S76" i="2"/>
  <c r="R76" i="2"/>
  <c r="P76" i="2"/>
  <c r="O76" i="2"/>
  <c r="Q76" i="2" s="1"/>
  <c r="M76" i="2"/>
  <c r="L76" i="2"/>
  <c r="K76" i="2"/>
  <c r="J76" i="2"/>
  <c r="I76" i="2"/>
  <c r="E76" i="2"/>
  <c r="N76" i="2" s="1"/>
  <c r="D76" i="2"/>
  <c r="AB75" i="2"/>
  <c r="Z75" i="2"/>
  <c r="Y75" i="2"/>
  <c r="X75" i="2"/>
  <c r="V75" i="2"/>
  <c r="U75" i="2"/>
  <c r="W75" i="2" s="1"/>
  <c r="S75" i="2"/>
  <c r="R75" i="2"/>
  <c r="T75" i="2" s="1"/>
  <c r="P75" i="2"/>
  <c r="O75" i="2"/>
  <c r="Q75" i="2" s="1"/>
  <c r="M75" i="2"/>
  <c r="L75" i="2"/>
  <c r="K75" i="2"/>
  <c r="J75" i="2"/>
  <c r="I75" i="2"/>
  <c r="E75" i="2"/>
  <c r="D75" i="2"/>
  <c r="G75" i="2" s="1"/>
  <c r="AB73" i="2"/>
  <c r="Z73" i="2"/>
  <c r="Y73" i="2"/>
  <c r="X73" i="2"/>
  <c r="V73" i="2"/>
  <c r="U73" i="2"/>
  <c r="S73" i="2"/>
  <c r="R73" i="2"/>
  <c r="P73" i="2"/>
  <c r="O73" i="2"/>
  <c r="Q73" i="2" s="1"/>
  <c r="M73" i="2"/>
  <c r="L73" i="2"/>
  <c r="K73" i="2"/>
  <c r="J73" i="2"/>
  <c r="I73" i="2"/>
  <c r="E73" i="2"/>
  <c r="D73" i="2"/>
  <c r="AB72" i="2"/>
  <c r="Z72" i="2"/>
  <c r="Y72" i="2"/>
  <c r="X72" i="2"/>
  <c r="V72" i="2"/>
  <c r="U72" i="2"/>
  <c r="S72" i="2"/>
  <c r="R72" i="2"/>
  <c r="P72" i="2"/>
  <c r="O72" i="2"/>
  <c r="Q72" i="2" s="1"/>
  <c r="M72" i="2"/>
  <c r="L72" i="2"/>
  <c r="K72" i="2"/>
  <c r="J72" i="2"/>
  <c r="I72" i="2"/>
  <c r="E72" i="2"/>
  <c r="N72" i="2" s="1"/>
  <c r="D72" i="2"/>
  <c r="AB71" i="2"/>
  <c r="Z71" i="2"/>
  <c r="Y71" i="2"/>
  <c r="AC71" i="2" s="1"/>
  <c r="X71" i="2"/>
  <c r="AA71" i="2" s="1"/>
  <c r="V71" i="2"/>
  <c r="U71" i="2"/>
  <c r="W71" i="2" s="1"/>
  <c r="S71" i="2"/>
  <c r="R71" i="2"/>
  <c r="T71" i="2" s="1"/>
  <c r="P71" i="2"/>
  <c r="O71" i="2"/>
  <c r="Q71" i="2" s="1"/>
  <c r="M71" i="2"/>
  <c r="L71" i="2"/>
  <c r="K71" i="2"/>
  <c r="J71" i="2"/>
  <c r="I71" i="2"/>
  <c r="E71" i="2"/>
  <c r="D71" i="2"/>
  <c r="G71" i="2" s="1"/>
  <c r="AB70" i="2"/>
  <c r="Z70" i="2"/>
  <c r="Y70" i="2"/>
  <c r="X70" i="2"/>
  <c r="V70" i="2"/>
  <c r="U70" i="2"/>
  <c r="S70" i="2"/>
  <c r="R70" i="2"/>
  <c r="P70" i="2"/>
  <c r="O70" i="2"/>
  <c r="Q70" i="2" s="1"/>
  <c r="M70" i="2"/>
  <c r="L70" i="2"/>
  <c r="K70" i="2"/>
  <c r="J70" i="2"/>
  <c r="I70" i="2"/>
  <c r="E70" i="2"/>
  <c r="N70" i="2" s="1"/>
  <c r="D70" i="2"/>
  <c r="AB69" i="2"/>
  <c r="Z69" i="2"/>
  <c r="Y69" i="2"/>
  <c r="AC69" i="2" s="1"/>
  <c r="X69" i="2"/>
  <c r="AA69" i="2" s="1"/>
  <c r="V69" i="2"/>
  <c r="U69" i="2"/>
  <c r="W69" i="2" s="1"/>
  <c r="S69" i="2"/>
  <c r="R69" i="2"/>
  <c r="T69" i="2" s="1"/>
  <c r="P69" i="2"/>
  <c r="O69" i="2"/>
  <c r="Q69" i="2" s="1"/>
  <c r="M69" i="2"/>
  <c r="L69" i="2"/>
  <c r="K69" i="2"/>
  <c r="J69" i="2"/>
  <c r="I69" i="2"/>
  <c r="E69" i="2"/>
  <c r="D69" i="2"/>
  <c r="G69" i="2" s="1"/>
  <c r="AB68" i="2"/>
  <c r="Z68" i="2"/>
  <c r="Y68" i="2"/>
  <c r="X68" i="2"/>
  <c r="V68" i="2"/>
  <c r="U68" i="2"/>
  <c r="S68" i="2"/>
  <c r="R68" i="2"/>
  <c r="P68" i="2"/>
  <c r="O68" i="2"/>
  <c r="Q68" i="2" s="1"/>
  <c r="M68" i="2"/>
  <c r="L68" i="2"/>
  <c r="K68" i="2"/>
  <c r="J68" i="2"/>
  <c r="I68" i="2"/>
  <c r="E68" i="2"/>
  <c r="N68" i="2" s="1"/>
  <c r="D68" i="2"/>
  <c r="AB67" i="2"/>
  <c r="Z67" i="2"/>
  <c r="Y67" i="2"/>
  <c r="AC67" i="2" s="1"/>
  <c r="X67" i="2"/>
  <c r="AA67" i="2" s="1"/>
  <c r="V67" i="2"/>
  <c r="U67" i="2"/>
  <c r="W67" i="2" s="1"/>
  <c r="S67" i="2"/>
  <c r="R67" i="2"/>
  <c r="T67" i="2" s="1"/>
  <c r="P67" i="2"/>
  <c r="O67" i="2"/>
  <c r="Q67" i="2" s="1"/>
  <c r="M67" i="2"/>
  <c r="L67" i="2"/>
  <c r="K67" i="2"/>
  <c r="J67" i="2"/>
  <c r="I67" i="2"/>
  <c r="E67" i="2"/>
  <c r="D67" i="2"/>
  <c r="G67" i="2" s="1"/>
  <c r="AB66" i="2"/>
  <c r="Z66" i="2"/>
  <c r="Y66" i="2"/>
  <c r="X66" i="2"/>
  <c r="V66" i="2"/>
  <c r="U66" i="2"/>
  <c r="S66" i="2"/>
  <c r="R66" i="2"/>
  <c r="P66" i="2"/>
  <c r="O66" i="2"/>
  <c r="Q66" i="2" s="1"/>
  <c r="M66" i="2"/>
  <c r="L66" i="2"/>
  <c r="K66" i="2"/>
  <c r="J66" i="2"/>
  <c r="I66" i="2"/>
  <c r="E66" i="2"/>
  <c r="N66" i="2" s="1"/>
  <c r="D66" i="2"/>
  <c r="AB65" i="2"/>
  <c r="Z65" i="2"/>
  <c r="Y65" i="2"/>
  <c r="AC65" i="2" s="1"/>
  <c r="X65" i="2"/>
  <c r="AA65" i="2" s="1"/>
  <c r="V65" i="2"/>
  <c r="U65" i="2"/>
  <c r="W65" i="2" s="1"/>
  <c r="S65" i="2"/>
  <c r="R65" i="2"/>
  <c r="T65" i="2" s="1"/>
  <c r="P65" i="2"/>
  <c r="O65" i="2"/>
  <c r="Q65" i="2" s="1"/>
  <c r="M65" i="2"/>
  <c r="L65" i="2"/>
  <c r="K65" i="2"/>
  <c r="J65" i="2"/>
  <c r="I65" i="2"/>
  <c r="E65" i="2"/>
  <c r="D65" i="2"/>
  <c r="G65" i="2" s="1"/>
  <c r="AB64" i="2"/>
  <c r="Z64" i="2"/>
  <c r="Y64" i="2"/>
  <c r="AC64" i="2" s="1"/>
  <c r="X64" i="2"/>
  <c r="AA64" i="2" s="1"/>
  <c r="V64" i="2"/>
  <c r="U64" i="2"/>
  <c r="W64" i="2" s="1"/>
  <c r="S64" i="2"/>
  <c r="R64" i="2"/>
  <c r="T64" i="2" s="1"/>
  <c r="P64" i="2"/>
  <c r="O64" i="2"/>
  <c r="Q64" i="2" s="1"/>
  <c r="M64" i="2"/>
  <c r="L64" i="2"/>
  <c r="K64" i="2"/>
  <c r="J64" i="2"/>
  <c r="I64" i="2"/>
  <c r="E64" i="2"/>
  <c r="D64" i="2"/>
  <c r="G64" i="2" s="1"/>
  <c r="AB63" i="2"/>
  <c r="Z63" i="2"/>
  <c r="Y63" i="2"/>
  <c r="X63" i="2"/>
  <c r="V63" i="2"/>
  <c r="U63" i="2"/>
  <c r="S63" i="2"/>
  <c r="R63" i="2"/>
  <c r="P63" i="2"/>
  <c r="O63" i="2"/>
  <c r="Q63" i="2" s="1"/>
  <c r="M63" i="2"/>
  <c r="L63" i="2"/>
  <c r="K63" i="2"/>
  <c r="J63" i="2"/>
  <c r="I63" i="2"/>
  <c r="E63" i="2"/>
  <c r="D63" i="2"/>
  <c r="AB62" i="2"/>
  <c r="Z62" i="2"/>
  <c r="Y62" i="2"/>
  <c r="AC62" i="2" s="1"/>
  <c r="X62" i="2"/>
  <c r="AA62" i="2" s="1"/>
  <c r="V62" i="2"/>
  <c r="U62" i="2"/>
  <c r="W62" i="2" s="1"/>
  <c r="S62" i="2"/>
  <c r="R62" i="2"/>
  <c r="T62" i="2" s="1"/>
  <c r="P62" i="2"/>
  <c r="O62" i="2"/>
  <c r="Q62" i="2" s="1"/>
  <c r="M62" i="2"/>
  <c r="L62" i="2"/>
  <c r="K62" i="2"/>
  <c r="J62" i="2"/>
  <c r="I62" i="2"/>
  <c r="E62" i="2"/>
  <c r="N62" i="2" s="1"/>
  <c r="D62" i="2"/>
  <c r="G62" i="2" s="1"/>
  <c r="AB61" i="2"/>
  <c r="Z61" i="2"/>
  <c r="Y61" i="2"/>
  <c r="X61" i="2"/>
  <c r="V61" i="2"/>
  <c r="U61" i="2"/>
  <c r="S61" i="2"/>
  <c r="R61" i="2"/>
  <c r="P61" i="2"/>
  <c r="O61" i="2"/>
  <c r="Q61" i="2" s="1"/>
  <c r="M61" i="2"/>
  <c r="L61" i="2"/>
  <c r="K61" i="2"/>
  <c r="J61" i="2"/>
  <c r="I61" i="2"/>
  <c r="E61" i="2"/>
  <c r="D61" i="2"/>
  <c r="AB60" i="2"/>
  <c r="Z60" i="2"/>
  <c r="Y60" i="2"/>
  <c r="AC60" i="2" s="1"/>
  <c r="X60" i="2"/>
  <c r="AA60" i="2" s="1"/>
  <c r="V60" i="2"/>
  <c r="U60" i="2"/>
  <c r="W60" i="2" s="1"/>
  <c r="S60" i="2"/>
  <c r="R60" i="2"/>
  <c r="T60" i="2" s="1"/>
  <c r="P60" i="2"/>
  <c r="O60" i="2"/>
  <c r="Q60" i="2" s="1"/>
  <c r="M60" i="2"/>
  <c r="L60" i="2"/>
  <c r="K60" i="2"/>
  <c r="J60" i="2"/>
  <c r="I60" i="2"/>
  <c r="E60" i="2"/>
  <c r="N60" i="2" s="1"/>
  <c r="D60" i="2"/>
  <c r="G60" i="2" s="1"/>
  <c r="AB59" i="2"/>
  <c r="Z59" i="2"/>
  <c r="Y59" i="2"/>
  <c r="X59" i="2"/>
  <c r="V59" i="2"/>
  <c r="U59" i="2"/>
  <c r="S59" i="2"/>
  <c r="R59" i="2"/>
  <c r="P59" i="2"/>
  <c r="O59" i="2"/>
  <c r="Q59" i="2" s="1"/>
  <c r="M59" i="2"/>
  <c r="L59" i="2"/>
  <c r="K59" i="2"/>
  <c r="J59" i="2"/>
  <c r="I59" i="2"/>
  <c r="E59" i="2"/>
  <c r="D59" i="2"/>
  <c r="AB58" i="2"/>
  <c r="Z58" i="2"/>
  <c r="Y58" i="2"/>
  <c r="AC58" i="2" s="1"/>
  <c r="X58" i="2"/>
  <c r="AA58" i="2" s="1"/>
  <c r="V58" i="2"/>
  <c r="U58" i="2"/>
  <c r="W58" i="2" s="1"/>
  <c r="S58" i="2"/>
  <c r="R58" i="2"/>
  <c r="T58" i="2" s="1"/>
  <c r="P58" i="2"/>
  <c r="O58" i="2"/>
  <c r="Q58" i="2" s="1"/>
  <c r="M58" i="2"/>
  <c r="L58" i="2"/>
  <c r="K58" i="2"/>
  <c r="J58" i="2"/>
  <c r="I58" i="2"/>
  <c r="E58" i="2"/>
  <c r="N58" i="2" s="1"/>
  <c r="D58" i="2"/>
  <c r="AB57" i="2"/>
  <c r="Z57" i="2"/>
  <c r="Y57" i="2"/>
  <c r="AC57" i="2" s="1"/>
  <c r="X57" i="2"/>
  <c r="AA57" i="2" s="1"/>
  <c r="V57" i="2"/>
  <c r="U57" i="2"/>
  <c r="W57" i="2" s="1"/>
  <c r="S57" i="2"/>
  <c r="R57" i="2"/>
  <c r="T57" i="2" s="1"/>
  <c r="P57" i="2"/>
  <c r="O57" i="2"/>
  <c r="Q57" i="2" s="1"/>
  <c r="M57" i="2"/>
  <c r="L57" i="2"/>
  <c r="K57" i="2"/>
  <c r="J57" i="2"/>
  <c r="I57" i="2"/>
  <c r="E57" i="2"/>
  <c r="D57" i="2"/>
  <c r="G57" i="2" s="1"/>
  <c r="AB56" i="2"/>
  <c r="Z56" i="2"/>
  <c r="Y56" i="2"/>
  <c r="X56" i="2"/>
  <c r="V56" i="2"/>
  <c r="U56" i="2"/>
  <c r="S56" i="2"/>
  <c r="R56" i="2"/>
  <c r="P56" i="2"/>
  <c r="O56" i="2"/>
  <c r="Q56" i="2" s="1"/>
  <c r="M56" i="2"/>
  <c r="L56" i="2"/>
  <c r="K56" i="2"/>
  <c r="J56" i="2"/>
  <c r="I56" i="2"/>
  <c r="E56" i="2"/>
  <c r="N56" i="2" s="1"/>
  <c r="D56" i="2"/>
  <c r="AB55" i="2"/>
  <c r="Z55" i="2"/>
  <c r="Y55" i="2"/>
  <c r="X55" i="2"/>
  <c r="V55" i="2"/>
  <c r="U55" i="2"/>
  <c r="S55" i="2"/>
  <c r="R55" i="2"/>
  <c r="P55" i="2"/>
  <c r="O55" i="2"/>
  <c r="Q55" i="2" s="1"/>
  <c r="M55" i="2"/>
  <c r="L55" i="2"/>
  <c r="K55" i="2"/>
  <c r="J55" i="2"/>
  <c r="I55" i="2"/>
  <c r="E55" i="2"/>
  <c r="D55" i="2"/>
  <c r="AB54" i="2"/>
  <c r="Z54" i="2"/>
  <c r="Y54" i="2"/>
  <c r="AC54" i="2" s="1"/>
  <c r="X54" i="2"/>
  <c r="AA54" i="2" s="1"/>
  <c r="V54" i="2"/>
  <c r="U54" i="2"/>
  <c r="W54" i="2" s="1"/>
  <c r="S54" i="2"/>
  <c r="R54" i="2"/>
  <c r="T54" i="2" s="1"/>
  <c r="P54" i="2"/>
  <c r="O54" i="2"/>
  <c r="Q54" i="2" s="1"/>
  <c r="M54" i="2"/>
  <c r="L54" i="2"/>
  <c r="K54" i="2"/>
  <c r="J54" i="2"/>
  <c r="I54" i="2"/>
  <c r="E54" i="2"/>
  <c r="N54" i="2" s="1"/>
  <c r="D54" i="2"/>
  <c r="AB53" i="2"/>
  <c r="Z53" i="2"/>
  <c r="Y53" i="2"/>
  <c r="X53" i="2"/>
  <c r="V53" i="2"/>
  <c r="U53" i="2"/>
  <c r="S53" i="2"/>
  <c r="R53" i="2"/>
  <c r="P53" i="2"/>
  <c r="O53" i="2"/>
  <c r="M53" i="2"/>
  <c r="L53" i="2"/>
  <c r="K53" i="2"/>
  <c r="J53" i="2"/>
  <c r="I53" i="2"/>
  <c r="E53" i="2"/>
  <c r="D53" i="2"/>
  <c r="AB51" i="2"/>
  <c r="Z51" i="2"/>
  <c r="Y51" i="2"/>
  <c r="X51" i="2"/>
  <c r="V51" i="2"/>
  <c r="U51" i="2"/>
  <c r="S51" i="2"/>
  <c r="R51" i="2"/>
  <c r="P51" i="2"/>
  <c r="O51" i="2"/>
  <c r="Q51" i="2" s="1"/>
  <c r="M51" i="2"/>
  <c r="L51" i="2"/>
  <c r="K51" i="2"/>
  <c r="J51" i="2"/>
  <c r="I51" i="2"/>
  <c r="E51" i="2"/>
  <c r="D51" i="2"/>
  <c r="AB50" i="2"/>
  <c r="Z50" i="2"/>
  <c r="Y50" i="2"/>
  <c r="X50" i="2"/>
  <c r="V50" i="2"/>
  <c r="U50" i="2"/>
  <c r="S50" i="2"/>
  <c r="R50" i="2"/>
  <c r="P50" i="2"/>
  <c r="O50" i="2"/>
  <c r="Q50" i="2" s="1"/>
  <c r="M50" i="2"/>
  <c r="L50" i="2"/>
  <c r="K50" i="2"/>
  <c r="J50" i="2"/>
  <c r="I50" i="2"/>
  <c r="E50" i="2"/>
  <c r="N50" i="2" s="1"/>
  <c r="D50" i="2"/>
  <c r="AB49" i="2"/>
  <c r="Z49" i="2"/>
  <c r="Y49" i="2"/>
  <c r="X49" i="2"/>
  <c r="V49" i="2"/>
  <c r="U49" i="2"/>
  <c r="S49" i="2"/>
  <c r="R49" i="2"/>
  <c r="P49" i="2"/>
  <c r="O49" i="2"/>
  <c r="Q49" i="2" s="1"/>
  <c r="M49" i="2"/>
  <c r="L49" i="2"/>
  <c r="K49" i="2"/>
  <c r="J49" i="2"/>
  <c r="I49" i="2"/>
  <c r="E49" i="2"/>
  <c r="D49" i="2"/>
  <c r="AB48" i="2"/>
  <c r="Z48" i="2"/>
  <c r="Y48" i="2"/>
  <c r="X48" i="2"/>
  <c r="V48" i="2"/>
  <c r="U48" i="2"/>
  <c r="S48" i="2"/>
  <c r="R48" i="2"/>
  <c r="P48" i="2"/>
  <c r="O48" i="2"/>
  <c r="Q48" i="2" s="1"/>
  <c r="M48" i="2"/>
  <c r="L48" i="2"/>
  <c r="K48" i="2"/>
  <c r="J48" i="2"/>
  <c r="I48" i="2"/>
  <c r="E48" i="2"/>
  <c r="N48" i="2" s="1"/>
  <c r="D48" i="2"/>
  <c r="AB47" i="2"/>
  <c r="Z47" i="2"/>
  <c r="Y47" i="2"/>
  <c r="X47" i="2"/>
  <c r="V47" i="2"/>
  <c r="U47" i="2"/>
  <c r="S47" i="2"/>
  <c r="R47" i="2"/>
  <c r="P47" i="2"/>
  <c r="O47" i="2"/>
  <c r="Q47" i="2" s="1"/>
  <c r="M47" i="2"/>
  <c r="L47" i="2"/>
  <c r="K47" i="2"/>
  <c r="J47" i="2"/>
  <c r="I47" i="2"/>
  <c r="E47" i="2"/>
  <c r="D47" i="2"/>
  <c r="AB46" i="2"/>
  <c r="Z46" i="2"/>
  <c r="Y46" i="2"/>
  <c r="X46" i="2"/>
  <c r="V46" i="2"/>
  <c r="U46" i="2"/>
  <c r="S46" i="2"/>
  <c r="R46" i="2"/>
  <c r="P46" i="2"/>
  <c r="O46" i="2"/>
  <c r="Q46" i="2" s="1"/>
  <c r="M46" i="2"/>
  <c r="L46" i="2"/>
  <c r="K46" i="2"/>
  <c r="J46" i="2"/>
  <c r="I46" i="2"/>
  <c r="E46" i="2"/>
  <c r="N46" i="2" s="1"/>
  <c r="D46" i="2"/>
  <c r="AB45" i="2"/>
  <c r="Z45" i="2"/>
  <c r="Y45" i="2"/>
  <c r="X45" i="2"/>
  <c r="V45" i="2"/>
  <c r="U45" i="2"/>
  <c r="S45" i="2"/>
  <c r="R45" i="2"/>
  <c r="P45" i="2"/>
  <c r="O45" i="2"/>
  <c r="Q45" i="2" s="1"/>
  <c r="M45" i="2"/>
  <c r="L45" i="2"/>
  <c r="K45" i="2"/>
  <c r="J45" i="2"/>
  <c r="I45" i="2"/>
  <c r="E45" i="2"/>
  <c r="D45" i="2"/>
  <c r="AB44" i="2"/>
  <c r="Z44" i="2"/>
  <c r="Y44" i="2"/>
  <c r="X44" i="2"/>
  <c r="V44" i="2"/>
  <c r="U44" i="2"/>
  <c r="S44" i="2"/>
  <c r="R44" i="2"/>
  <c r="P44" i="2"/>
  <c r="O44" i="2"/>
  <c r="Q44" i="2" s="1"/>
  <c r="M44" i="2"/>
  <c r="L44" i="2"/>
  <c r="K44" i="2"/>
  <c r="J44" i="2"/>
  <c r="I44" i="2"/>
  <c r="E44" i="2"/>
  <c r="N44" i="2" s="1"/>
  <c r="D44" i="2"/>
  <c r="AB43" i="2"/>
  <c r="Z43" i="2"/>
  <c r="Y43" i="2"/>
  <c r="X43" i="2"/>
  <c r="V43" i="2"/>
  <c r="U43" i="2"/>
  <c r="S43" i="2"/>
  <c r="R43" i="2"/>
  <c r="P43" i="2"/>
  <c r="O43" i="2"/>
  <c r="Q43" i="2" s="1"/>
  <c r="M43" i="2"/>
  <c r="L43" i="2"/>
  <c r="K43" i="2"/>
  <c r="J43" i="2"/>
  <c r="I43" i="2"/>
  <c r="E43" i="2"/>
  <c r="D43" i="2"/>
  <c r="AB42" i="2"/>
  <c r="Z42" i="2"/>
  <c r="Y42" i="2"/>
  <c r="X42" i="2"/>
  <c r="V42" i="2"/>
  <c r="U42" i="2"/>
  <c r="S42" i="2"/>
  <c r="R42" i="2"/>
  <c r="P42" i="2"/>
  <c r="O42" i="2"/>
  <c r="Q42" i="2" s="1"/>
  <c r="M42" i="2"/>
  <c r="L42" i="2"/>
  <c r="K42" i="2"/>
  <c r="J42" i="2"/>
  <c r="I42" i="2"/>
  <c r="E42" i="2"/>
  <c r="N42" i="2" s="1"/>
  <c r="D42" i="2"/>
  <c r="AB41" i="2"/>
  <c r="Z41" i="2"/>
  <c r="Y41" i="2"/>
  <c r="X41" i="2"/>
  <c r="V41" i="2"/>
  <c r="U41" i="2"/>
  <c r="S41" i="2"/>
  <c r="R41" i="2"/>
  <c r="P41" i="2"/>
  <c r="O41" i="2"/>
  <c r="Q41" i="2" s="1"/>
  <c r="M41" i="2"/>
  <c r="L41" i="2"/>
  <c r="K41" i="2"/>
  <c r="J41" i="2"/>
  <c r="I41" i="2"/>
  <c r="E41" i="2"/>
  <c r="D41" i="2"/>
  <c r="AB40" i="2"/>
  <c r="Y40" i="2"/>
  <c r="X40" i="2"/>
  <c r="V40" i="2"/>
  <c r="U40" i="2"/>
  <c r="S40" i="2"/>
  <c r="R40" i="2"/>
  <c r="P40" i="2"/>
  <c r="O40" i="2"/>
  <c r="Q40" i="2" s="1"/>
  <c r="M40" i="2"/>
  <c r="L40" i="2"/>
  <c r="K40" i="2"/>
  <c r="J40" i="2"/>
  <c r="I40" i="2"/>
  <c r="E40" i="2"/>
  <c r="N40" i="2" s="1"/>
  <c r="D40" i="2"/>
  <c r="AB39" i="2"/>
  <c r="Z39" i="2"/>
  <c r="Y39" i="2"/>
  <c r="X39" i="2"/>
  <c r="V39" i="2"/>
  <c r="U39" i="2"/>
  <c r="S39" i="2"/>
  <c r="R39" i="2"/>
  <c r="P39" i="2"/>
  <c r="O39" i="2"/>
  <c r="Q39" i="2" s="1"/>
  <c r="M39" i="2"/>
  <c r="L39" i="2"/>
  <c r="K39" i="2"/>
  <c r="J39" i="2"/>
  <c r="I39" i="2"/>
  <c r="E39" i="2"/>
  <c r="N39" i="2" s="1"/>
  <c r="D39" i="2"/>
  <c r="AB38" i="2"/>
  <c r="Z38" i="2"/>
  <c r="Y38" i="2"/>
  <c r="X38" i="2"/>
  <c r="V38" i="2"/>
  <c r="U38" i="2"/>
  <c r="S38" i="2"/>
  <c r="R38" i="2"/>
  <c r="P38" i="2"/>
  <c r="O38" i="2"/>
  <c r="Q38" i="2" s="1"/>
  <c r="M38" i="2"/>
  <c r="L38" i="2"/>
  <c r="K38" i="2"/>
  <c r="J38" i="2"/>
  <c r="I38" i="2"/>
  <c r="E38" i="2"/>
  <c r="N38" i="2" s="1"/>
  <c r="D38" i="2"/>
  <c r="AB37" i="2"/>
  <c r="Z37" i="2"/>
  <c r="Y37" i="2"/>
  <c r="X37" i="2"/>
  <c r="V37" i="2"/>
  <c r="U37" i="2"/>
  <c r="S37" i="2"/>
  <c r="R37" i="2"/>
  <c r="P37" i="2"/>
  <c r="O37" i="2"/>
  <c r="Q37" i="2" s="1"/>
  <c r="M37" i="2"/>
  <c r="L37" i="2"/>
  <c r="K37" i="2"/>
  <c r="J37" i="2"/>
  <c r="I37" i="2"/>
  <c r="E37" i="2"/>
  <c r="D37" i="2"/>
  <c r="AB36" i="2"/>
  <c r="Z36" i="2"/>
  <c r="Y36" i="2"/>
  <c r="X36" i="2"/>
  <c r="V36" i="2"/>
  <c r="U36" i="2"/>
  <c r="S36" i="2"/>
  <c r="R36" i="2"/>
  <c r="P36" i="2"/>
  <c r="O36" i="2"/>
  <c r="Q36" i="2" s="1"/>
  <c r="M36" i="2"/>
  <c r="L36" i="2"/>
  <c r="K36" i="2"/>
  <c r="J36" i="2"/>
  <c r="I36" i="2"/>
  <c r="E36" i="2"/>
  <c r="N36" i="2" s="1"/>
  <c r="D36" i="2"/>
  <c r="AB35" i="2"/>
  <c r="Z35" i="2"/>
  <c r="Y35" i="2"/>
  <c r="X35" i="2"/>
  <c r="V35" i="2"/>
  <c r="U35" i="2"/>
  <c r="S35" i="2"/>
  <c r="R35" i="2"/>
  <c r="P35" i="2"/>
  <c r="O35" i="2"/>
  <c r="Q35" i="2" s="1"/>
  <c r="M35" i="2"/>
  <c r="L35" i="2"/>
  <c r="K35" i="2"/>
  <c r="J35" i="2"/>
  <c r="I35" i="2"/>
  <c r="E35" i="2"/>
  <c r="D35" i="2"/>
  <c r="AB34" i="2"/>
  <c r="Z34" i="2"/>
  <c r="Y34" i="2"/>
  <c r="AC34" i="2" s="1"/>
  <c r="X34" i="2"/>
  <c r="AA34" i="2" s="1"/>
  <c r="V34" i="2"/>
  <c r="U34" i="2"/>
  <c r="W34" i="2" s="1"/>
  <c r="S34" i="2"/>
  <c r="R34" i="2"/>
  <c r="T34" i="2" s="1"/>
  <c r="P34" i="2"/>
  <c r="O34" i="2"/>
  <c r="Q34" i="2" s="1"/>
  <c r="M34" i="2"/>
  <c r="L34" i="2"/>
  <c r="K34" i="2"/>
  <c r="J34" i="2"/>
  <c r="I34" i="2"/>
  <c r="E34" i="2"/>
  <c r="N34" i="2" s="1"/>
  <c r="D34" i="2"/>
  <c r="G34" i="2" s="1"/>
  <c r="AB33" i="2"/>
  <c r="Z33" i="2"/>
  <c r="Y33" i="2"/>
  <c r="X33" i="2"/>
  <c r="V33" i="2"/>
  <c r="U33" i="2"/>
  <c r="S33" i="2"/>
  <c r="R33" i="2"/>
  <c r="P33" i="2"/>
  <c r="O33" i="2"/>
  <c r="Q33" i="2" s="1"/>
  <c r="M33" i="2"/>
  <c r="L33" i="2"/>
  <c r="K33" i="2"/>
  <c r="J33" i="2"/>
  <c r="I33" i="2"/>
  <c r="E33" i="2"/>
  <c r="D33" i="2"/>
  <c r="Y32" i="2"/>
  <c r="X32" i="2"/>
  <c r="V32" i="2"/>
  <c r="U32" i="2"/>
  <c r="S32" i="2"/>
  <c r="R32" i="2"/>
  <c r="P32" i="2"/>
  <c r="O32" i="2"/>
  <c r="Q32" i="2" s="1"/>
  <c r="M32" i="2"/>
  <c r="L32" i="2"/>
  <c r="K32" i="2"/>
  <c r="J32" i="2"/>
  <c r="I32" i="2"/>
  <c r="E32" i="2"/>
  <c r="N32" i="2" s="1"/>
  <c r="D32" i="2"/>
  <c r="AB30" i="2"/>
  <c r="Z30" i="2"/>
  <c r="Y30" i="2"/>
  <c r="X30" i="2"/>
  <c r="V30" i="2"/>
  <c r="U30" i="2"/>
  <c r="S30" i="2"/>
  <c r="R30" i="2"/>
  <c r="P30" i="2"/>
  <c r="O30" i="2"/>
  <c r="Q30" i="2" s="1"/>
  <c r="M30" i="2"/>
  <c r="L30" i="2"/>
  <c r="K30" i="2"/>
  <c r="J30" i="2"/>
  <c r="I30" i="2"/>
  <c r="E30" i="2"/>
  <c r="N30" i="2" s="1"/>
  <c r="D30" i="2"/>
  <c r="AB29" i="2"/>
  <c r="Z29" i="2"/>
  <c r="Y29" i="2"/>
  <c r="X29" i="2"/>
  <c r="V29" i="2"/>
  <c r="U29" i="2"/>
  <c r="S29" i="2"/>
  <c r="R29" i="2"/>
  <c r="P29" i="2"/>
  <c r="O29" i="2"/>
  <c r="Q29" i="2" s="1"/>
  <c r="M29" i="2"/>
  <c r="L29" i="2"/>
  <c r="K29" i="2"/>
  <c r="I29" i="2"/>
  <c r="E29" i="2"/>
  <c r="D29" i="2"/>
  <c r="AB28" i="2"/>
  <c r="Z28" i="2"/>
  <c r="Y28" i="2"/>
  <c r="X28" i="2"/>
  <c r="V28" i="2"/>
  <c r="U28" i="2"/>
  <c r="S28" i="2"/>
  <c r="R28" i="2"/>
  <c r="P28" i="2"/>
  <c r="O28" i="2"/>
  <c r="Q28" i="2" s="1"/>
  <c r="M28" i="2"/>
  <c r="L28" i="2"/>
  <c r="K28" i="2"/>
  <c r="J28" i="2"/>
  <c r="I28" i="2"/>
  <c r="E28" i="2"/>
  <c r="N28" i="2" s="1"/>
  <c r="D28" i="2"/>
  <c r="AB27" i="2"/>
  <c r="Z27" i="2"/>
  <c r="Y27" i="2"/>
  <c r="X27" i="2"/>
  <c r="V27" i="2"/>
  <c r="U27" i="2"/>
  <c r="S27" i="2"/>
  <c r="R27" i="2"/>
  <c r="P27" i="2"/>
  <c r="O27" i="2"/>
  <c r="Q27" i="2" s="1"/>
  <c r="M27" i="2"/>
  <c r="L27" i="2"/>
  <c r="K27" i="2"/>
  <c r="J27" i="2"/>
  <c r="I27" i="2"/>
  <c r="E27" i="2"/>
  <c r="D27" i="2"/>
  <c r="AB26" i="2"/>
  <c r="Z26" i="2"/>
  <c r="Y26" i="2"/>
  <c r="X26" i="2"/>
  <c r="V26" i="2"/>
  <c r="U26" i="2"/>
  <c r="S26" i="2"/>
  <c r="R26" i="2"/>
  <c r="P26" i="2"/>
  <c r="O26" i="2"/>
  <c r="Q26" i="2" s="1"/>
  <c r="M26" i="2"/>
  <c r="L26" i="2"/>
  <c r="K26" i="2"/>
  <c r="J26" i="2"/>
  <c r="I26" i="2"/>
  <c r="E26" i="2"/>
  <c r="N26" i="2" s="1"/>
  <c r="D26" i="2"/>
  <c r="AB25" i="2"/>
  <c r="Z25" i="2"/>
  <c r="Y25" i="2"/>
  <c r="X25" i="2"/>
  <c r="V25" i="2"/>
  <c r="U25" i="2"/>
  <c r="S25" i="2"/>
  <c r="R25" i="2"/>
  <c r="P25" i="2"/>
  <c r="O25" i="2"/>
  <c r="Q25" i="2" s="1"/>
  <c r="M25" i="2"/>
  <c r="L25" i="2"/>
  <c r="K25" i="2"/>
  <c r="J25" i="2"/>
  <c r="I25" i="2"/>
  <c r="E25" i="2"/>
  <c r="D25" i="2"/>
  <c r="AB24" i="2"/>
  <c r="Z24" i="2"/>
  <c r="Y24" i="2"/>
  <c r="X24" i="2"/>
  <c r="V24" i="2"/>
  <c r="U24" i="2"/>
  <c r="S24" i="2"/>
  <c r="R24" i="2"/>
  <c r="P24" i="2"/>
  <c r="O24" i="2"/>
  <c r="Q24" i="2" s="1"/>
  <c r="M24" i="2"/>
  <c r="L24" i="2"/>
  <c r="K24" i="2"/>
  <c r="J24" i="2"/>
  <c r="I24" i="2"/>
  <c r="E24" i="2"/>
  <c r="N24" i="2" s="1"/>
  <c r="D24" i="2"/>
  <c r="AB23" i="2"/>
  <c r="Z23" i="2"/>
  <c r="Y23" i="2"/>
  <c r="X23" i="2"/>
  <c r="V23" i="2"/>
  <c r="U23" i="2"/>
  <c r="S23" i="2"/>
  <c r="R23" i="2"/>
  <c r="P23" i="2"/>
  <c r="O23" i="2"/>
  <c r="Q23" i="2" s="1"/>
  <c r="M23" i="2"/>
  <c r="L23" i="2"/>
  <c r="K23" i="2"/>
  <c r="J23" i="2"/>
  <c r="I23" i="2"/>
  <c r="E23" i="2"/>
  <c r="D23" i="2"/>
  <c r="AB22" i="2"/>
  <c r="Z22" i="2"/>
  <c r="Y22" i="2"/>
  <c r="AC22" i="2" s="1"/>
  <c r="X22" i="2"/>
  <c r="AA22" i="2" s="1"/>
  <c r="V22" i="2"/>
  <c r="U22" i="2"/>
  <c r="W22" i="2" s="1"/>
  <c r="S22" i="2"/>
  <c r="R22" i="2"/>
  <c r="T22" i="2" s="1"/>
  <c r="P22" i="2"/>
  <c r="O22" i="2"/>
  <c r="Q22" i="2" s="1"/>
  <c r="M22" i="2"/>
  <c r="L22" i="2"/>
  <c r="K22" i="2"/>
  <c r="J22" i="2"/>
  <c r="I22" i="2"/>
  <c r="E22" i="2"/>
  <c r="N22" i="2" s="1"/>
  <c r="D22" i="2"/>
  <c r="G22" i="2" s="1"/>
  <c r="AB21" i="2"/>
  <c r="Z21" i="2"/>
  <c r="Y21" i="2"/>
  <c r="X21" i="2"/>
  <c r="V21" i="2"/>
  <c r="U21" i="2"/>
  <c r="S21" i="2"/>
  <c r="R21" i="2"/>
  <c r="P21" i="2"/>
  <c r="O21" i="2"/>
  <c r="Q21" i="2" s="1"/>
  <c r="M21" i="2"/>
  <c r="L21" i="2"/>
  <c r="K21" i="2"/>
  <c r="J21" i="2"/>
  <c r="I21" i="2"/>
  <c r="E21" i="2"/>
  <c r="D21" i="2"/>
  <c r="AB20" i="2"/>
  <c r="Z20" i="2"/>
  <c r="Y20" i="2"/>
  <c r="X20" i="2"/>
  <c r="V20" i="2"/>
  <c r="U20" i="2"/>
  <c r="S20" i="2"/>
  <c r="R20" i="2"/>
  <c r="P20" i="2"/>
  <c r="O20" i="2"/>
  <c r="Q20" i="2" s="1"/>
  <c r="M20" i="2"/>
  <c r="L20" i="2"/>
  <c r="K20" i="2"/>
  <c r="J20" i="2"/>
  <c r="I20" i="2"/>
  <c r="E20" i="2"/>
  <c r="N20" i="2" s="1"/>
  <c r="D20" i="2"/>
  <c r="AB19" i="2"/>
  <c r="Z19" i="2"/>
  <c r="Y19" i="2"/>
  <c r="X19" i="2"/>
  <c r="V19" i="2"/>
  <c r="U19" i="2"/>
  <c r="S19" i="2"/>
  <c r="R19" i="2"/>
  <c r="P19" i="2"/>
  <c r="O19" i="2"/>
  <c r="Q19" i="2" s="1"/>
  <c r="M19" i="2"/>
  <c r="L19" i="2"/>
  <c r="K19" i="2"/>
  <c r="J19" i="2"/>
  <c r="I19" i="2"/>
  <c r="E19" i="2"/>
  <c r="D19" i="2"/>
  <c r="AB18" i="2"/>
  <c r="Z18" i="2"/>
  <c r="Y18" i="2"/>
  <c r="X18" i="2"/>
  <c r="V18" i="2"/>
  <c r="U18" i="2"/>
  <c r="S18" i="2"/>
  <c r="R18" i="2"/>
  <c r="P18" i="2"/>
  <c r="O18" i="2"/>
  <c r="Q18" i="2" s="1"/>
  <c r="M18" i="2"/>
  <c r="L18" i="2"/>
  <c r="K18" i="2"/>
  <c r="J18" i="2"/>
  <c r="I18" i="2"/>
  <c r="E18" i="2"/>
  <c r="N18" i="2" s="1"/>
  <c r="D18" i="2"/>
  <c r="AB17" i="2"/>
  <c r="Z17" i="2"/>
  <c r="Y17" i="2"/>
  <c r="AC17" i="2" s="1"/>
  <c r="X17" i="2"/>
  <c r="AA17" i="2" s="1"/>
  <c r="V17" i="2"/>
  <c r="U17" i="2"/>
  <c r="W17" i="2" s="1"/>
  <c r="S17" i="2"/>
  <c r="R17" i="2"/>
  <c r="T17" i="2" s="1"/>
  <c r="P17" i="2"/>
  <c r="O17" i="2"/>
  <c r="Q17" i="2" s="1"/>
  <c r="M17" i="2"/>
  <c r="L17" i="2"/>
  <c r="K17" i="2"/>
  <c r="J17" i="2"/>
  <c r="I17" i="2"/>
  <c r="E17" i="2"/>
  <c r="D17" i="2"/>
  <c r="G17" i="2" s="1"/>
  <c r="AB16" i="2"/>
  <c r="Z16" i="2"/>
  <c r="Y16" i="2"/>
  <c r="X16" i="2"/>
  <c r="V16" i="2"/>
  <c r="U16" i="2"/>
  <c r="S16" i="2"/>
  <c r="R16" i="2"/>
  <c r="P16" i="2"/>
  <c r="O16" i="2"/>
  <c r="Q16" i="2" s="1"/>
  <c r="M16" i="2"/>
  <c r="L16" i="2"/>
  <c r="K16" i="2"/>
  <c r="J16" i="2"/>
  <c r="I16" i="2"/>
  <c r="E16" i="2"/>
  <c r="N16" i="2" s="1"/>
  <c r="D16" i="2"/>
  <c r="AB15" i="2"/>
  <c r="Z15" i="2"/>
  <c r="Y15" i="2"/>
  <c r="X15" i="2"/>
  <c r="V15" i="2"/>
  <c r="U15" i="2"/>
  <c r="S15" i="2"/>
  <c r="R15" i="2"/>
  <c r="P15" i="2"/>
  <c r="O15" i="2"/>
  <c r="Q15" i="2" s="1"/>
  <c r="M15" i="2"/>
  <c r="L15" i="2"/>
  <c r="K15" i="2"/>
  <c r="J15" i="2"/>
  <c r="I15" i="2"/>
  <c r="E15" i="2"/>
  <c r="D15" i="2"/>
  <c r="AB14" i="2"/>
  <c r="Z14" i="2"/>
  <c r="Y14" i="2"/>
  <c r="AC14" i="2" s="1"/>
  <c r="X14" i="2"/>
  <c r="AA14" i="2" s="1"/>
  <c r="V14" i="2"/>
  <c r="U14" i="2"/>
  <c r="W14" i="2" s="1"/>
  <c r="S14" i="2"/>
  <c r="R14" i="2"/>
  <c r="P14" i="2"/>
  <c r="O14" i="2"/>
  <c r="Q14" i="2" s="1"/>
  <c r="M14" i="2"/>
  <c r="L14" i="2"/>
  <c r="K14" i="2"/>
  <c r="J14" i="2"/>
  <c r="I14" i="2"/>
  <c r="E14" i="2"/>
  <c r="N14" i="2" s="1"/>
  <c r="D14" i="2"/>
  <c r="AC12" i="2"/>
  <c r="AA12" i="2"/>
  <c r="W12" i="2"/>
  <c r="T12" i="2"/>
  <c r="Q12" i="2"/>
  <c r="G12" i="2"/>
  <c r="F12" i="2"/>
  <c r="AC11" i="2"/>
  <c r="N11" i="2"/>
  <c r="G11" i="2"/>
  <c r="F11" i="2"/>
  <c r="AC10" i="2"/>
  <c r="N10" i="2"/>
  <c r="G10" i="2"/>
  <c r="F10" i="2"/>
  <c r="AC9" i="2"/>
  <c r="N9" i="2"/>
  <c r="G9" i="2"/>
  <c r="F9" i="2"/>
  <c r="N116" i="1"/>
  <c r="H116" i="1"/>
  <c r="F116" i="1" s="1"/>
  <c r="G116" i="1"/>
  <c r="C116" i="1"/>
  <c r="N115" i="1"/>
  <c r="H115" i="1"/>
  <c r="G115" i="1"/>
  <c r="F115" i="1"/>
  <c r="C115" i="1"/>
  <c r="N114" i="1"/>
  <c r="H114" i="1"/>
  <c r="F114" i="1" s="1"/>
  <c r="G114" i="1"/>
  <c r="C114" i="1"/>
  <c r="N113" i="1"/>
  <c r="H113" i="1"/>
  <c r="G113" i="1"/>
  <c r="F113" i="1"/>
  <c r="C113" i="1"/>
  <c r="N112" i="1"/>
  <c r="H112" i="1"/>
  <c r="F112" i="1" s="1"/>
  <c r="G112" i="1"/>
  <c r="C112" i="1"/>
  <c r="N111" i="1"/>
  <c r="H111" i="1"/>
  <c r="F111" i="1" s="1"/>
  <c r="G111" i="1"/>
  <c r="C111" i="1"/>
  <c r="N110" i="1"/>
  <c r="H110" i="1"/>
  <c r="F110" i="1" s="1"/>
  <c r="G110" i="1"/>
  <c r="C110" i="1"/>
  <c r="N109" i="1"/>
  <c r="H109" i="1"/>
  <c r="G109" i="1"/>
  <c r="F109" i="1"/>
  <c r="C109" i="1"/>
  <c r="N108" i="1"/>
  <c r="H108" i="1"/>
  <c r="F108" i="1" s="1"/>
  <c r="G108" i="1"/>
  <c r="C108" i="1"/>
  <c r="N107" i="1"/>
  <c r="H107" i="1"/>
  <c r="F107" i="1" s="1"/>
  <c r="G107" i="1"/>
  <c r="C107" i="1"/>
  <c r="N106" i="1"/>
  <c r="H106" i="1"/>
  <c r="G106" i="1"/>
  <c r="F106" i="1"/>
  <c r="C106" i="1"/>
  <c r="N105" i="1"/>
  <c r="H105" i="1"/>
  <c r="G105" i="1"/>
  <c r="C105" i="1"/>
  <c r="N104" i="1"/>
  <c r="G104" i="1"/>
  <c r="N103" i="1"/>
  <c r="H103" i="1"/>
  <c r="G103" i="1"/>
  <c r="F103" i="1"/>
  <c r="C103" i="1"/>
  <c r="N102" i="1"/>
  <c r="H102" i="1"/>
  <c r="F102" i="1" s="1"/>
  <c r="G102" i="1"/>
  <c r="C102" i="1"/>
  <c r="N101" i="1"/>
  <c r="H101" i="1"/>
  <c r="F101" i="1" s="1"/>
  <c r="G101" i="1"/>
  <c r="C101" i="1"/>
  <c r="N100" i="1"/>
  <c r="H100" i="1"/>
  <c r="G100" i="1"/>
  <c r="F100" i="1"/>
  <c r="C100" i="1"/>
  <c r="N99" i="1"/>
  <c r="H99" i="1"/>
  <c r="F99" i="1" s="1"/>
  <c r="G99" i="1"/>
  <c r="C99" i="1"/>
  <c r="N98" i="1"/>
  <c r="H98" i="1"/>
  <c r="F98" i="1" s="1"/>
  <c r="G98" i="1"/>
  <c r="C98" i="1"/>
  <c r="N97" i="1"/>
  <c r="H97" i="1"/>
  <c r="G97" i="1"/>
  <c r="F97" i="1"/>
  <c r="C97" i="1"/>
  <c r="N96" i="1"/>
  <c r="H96" i="1"/>
  <c r="F96" i="1" s="1"/>
  <c r="G96" i="1"/>
  <c r="C96" i="1"/>
  <c r="N95" i="1"/>
  <c r="H95" i="1"/>
  <c r="F95" i="1" s="1"/>
  <c r="G95" i="1"/>
  <c r="C95" i="1"/>
  <c r="N94" i="1"/>
  <c r="H94" i="1"/>
  <c r="G94" i="1"/>
  <c r="F94" i="1"/>
  <c r="C94" i="1"/>
  <c r="N93" i="1"/>
  <c r="H93" i="1"/>
  <c r="F93" i="1" s="1"/>
  <c r="G93" i="1"/>
  <c r="C93" i="1"/>
  <c r="A93" i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N92" i="1"/>
  <c r="H92" i="1"/>
  <c r="F92" i="1" s="1"/>
  <c r="G92" i="1"/>
  <c r="C92" i="1"/>
  <c r="N91" i="1"/>
  <c r="H91" i="1"/>
  <c r="F91" i="1" s="1"/>
  <c r="G91" i="1"/>
  <c r="C91" i="1"/>
  <c r="N90" i="1"/>
  <c r="H90" i="1"/>
  <c r="H89" i="1" s="1"/>
  <c r="F89" i="1" s="1"/>
  <c r="G90" i="1"/>
  <c r="C90" i="1"/>
  <c r="N89" i="1"/>
  <c r="G89" i="1"/>
  <c r="AK88" i="1"/>
  <c r="AJ88" i="1"/>
  <c r="AL88" i="1" s="1"/>
  <c r="AH88" i="1"/>
  <c r="AF88" i="1"/>
  <c r="AE88" i="1"/>
  <c r="AD88" i="1"/>
  <c r="AB88" i="1"/>
  <c r="Z88" i="1"/>
  <c r="Y88" i="1"/>
  <c r="X88" i="1"/>
  <c r="V88" i="1"/>
  <c r="U88" i="1"/>
  <c r="S88" i="1"/>
  <c r="Q88" i="1"/>
  <c r="P88" i="1"/>
  <c r="O88" i="1"/>
  <c r="M88" i="1"/>
  <c r="L88" i="1"/>
  <c r="K88" i="1"/>
  <c r="J88" i="1"/>
  <c r="I88" i="1"/>
  <c r="E88" i="1"/>
  <c r="N88" i="1" s="1"/>
  <c r="D88" i="1"/>
  <c r="AK87" i="1"/>
  <c r="AJ87" i="1"/>
  <c r="AL87" i="1" s="1"/>
  <c r="AH87" i="1"/>
  <c r="AF87" i="1"/>
  <c r="AE87" i="1"/>
  <c r="AD87" i="1"/>
  <c r="AB87" i="1"/>
  <c r="Z87" i="1"/>
  <c r="Y87" i="1"/>
  <c r="AC87" i="1" s="1"/>
  <c r="X87" i="1"/>
  <c r="AA87" i="1" s="1"/>
  <c r="V87" i="1"/>
  <c r="U87" i="1"/>
  <c r="S87" i="1"/>
  <c r="Q87" i="1"/>
  <c r="P87" i="1"/>
  <c r="O87" i="1"/>
  <c r="M87" i="1"/>
  <c r="L87" i="1"/>
  <c r="K87" i="1"/>
  <c r="J87" i="1"/>
  <c r="I87" i="1"/>
  <c r="E87" i="1"/>
  <c r="N87" i="1" s="1"/>
  <c r="D87" i="1"/>
  <c r="AK86" i="1"/>
  <c r="AJ86" i="1"/>
  <c r="AL86" i="1" s="1"/>
  <c r="AH86" i="1"/>
  <c r="AF86" i="1"/>
  <c r="AE86" i="1"/>
  <c r="AD86" i="1"/>
  <c r="AB86" i="1"/>
  <c r="Z86" i="1"/>
  <c r="Y86" i="1"/>
  <c r="AC86" i="1" s="1"/>
  <c r="X86" i="1"/>
  <c r="AA86" i="1" s="1"/>
  <c r="V86" i="1"/>
  <c r="U86" i="1"/>
  <c r="S86" i="1"/>
  <c r="Q86" i="1"/>
  <c r="P86" i="1"/>
  <c r="O86" i="1"/>
  <c r="M86" i="1"/>
  <c r="L86" i="1"/>
  <c r="K86" i="1"/>
  <c r="J86" i="1"/>
  <c r="I86" i="1"/>
  <c r="E86" i="1"/>
  <c r="N86" i="1" s="1"/>
  <c r="D86" i="1"/>
  <c r="AK85" i="1"/>
  <c r="AJ85" i="1"/>
  <c r="AL85" i="1" s="1"/>
  <c r="AH85" i="1"/>
  <c r="AF85" i="1"/>
  <c r="AE85" i="1"/>
  <c r="AD85" i="1"/>
  <c r="AB85" i="1"/>
  <c r="Z85" i="1"/>
  <c r="Y85" i="1"/>
  <c r="AC85" i="1" s="1"/>
  <c r="X85" i="1"/>
  <c r="AA85" i="1" s="1"/>
  <c r="V85" i="1"/>
  <c r="U85" i="1"/>
  <c r="S85" i="1"/>
  <c r="Q85" i="1"/>
  <c r="P85" i="1"/>
  <c r="O85" i="1"/>
  <c r="M85" i="1"/>
  <c r="L85" i="1"/>
  <c r="K85" i="1"/>
  <c r="J85" i="1"/>
  <c r="I85" i="1"/>
  <c r="E85" i="1"/>
  <c r="N85" i="1" s="1"/>
  <c r="D85" i="1"/>
  <c r="AK84" i="1"/>
  <c r="AJ84" i="1"/>
  <c r="AL84" i="1" s="1"/>
  <c r="AH84" i="1"/>
  <c r="AF84" i="1"/>
  <c r="AE84" i="1"/>
  <c r="AD84" i="1"/>
  <c r="AB84" i="1"/>
  <c r="Z84" i="1"/>
  <c r="Y84" i="1"/>
  <c r="AC84" i="1" s="1"/>
  <c r="X84" i="1"/>
  <c r="AA84" i="1" s="1"/>
  <c r="V84" i="1"/>
  <c r="U84" i="1"/>
  <c r="S84" i="1"/>
  <c r="Q84" i="1"/>
  <c r="P84" i="1"/>
  <c r="O84" i="1"/>
  <c r="M84" i="1"/>
  <c r="L84" i="1"/>
  <c r="K84" i="1"/>
  <c r="J84" i="1"/>
  <c r="I84" i="1"/>
  <c r="E84" i="1"/>
  <c r="N84" i="1" s="1"/>
  <c r="D84" i="1"/>
  <c r="AK83" i="1"/>
  <c r="AJ83" i="1"/>
  <c r="AL83" i="1" s="1"/>
  <c r="AH83" i="1"/>
  <c r="AF83" i="1"/>
  <c r="AE83" i="1"/>
  <c r="AD83" i="1"/>
  <c r="AB83" i="1"/>
  <c r="Z83" i="1"/>
  <c r="Y83" i="1"/>
  <c r="AC83" i="1" s="1"/>
  <c r="X83" i="1"/>
  <c r="AA83" i="1" s="1"/>
  <c r="V83" i="1"/>
  <c r="U83" i="1"/>
  <c r="S83" i="1"/>
  <c r="Q83" i="1"/>
  <c r="P83" i="1"/>
  <c r="O83" i="1"/>
  <c r="M83" i="1"/>
  <c r="L83" i="1"/>
  <c r="K83" i="1"/>
  <c r="J83" i="1"/>
  <c r="I83" i="1"/>
  <c r="E83" i="1"/>
  <c r="N83" i="1" s="1"/>
  <c r="D83" i="1"/>
  <c r="AK82" i="1"/>
  <c r="AJ82" i="1"/>
  <c r="AL82" i="1" s="1"/>
  <c r="AH82" i="1"/>
  <c r="AE82" i="1"/>
  <c r="AD82" i="1"/>
  <c r="AB82" i="1"/>
  <c r="Z82" i="1"/>
  <c r="Y82" i="1"/>
  <c r="AC82" i="1" s="1"/>
  <c r="X82" i="1"/>
  <c r="AA82" i="1" s="1"/>
  <c r="V82" i="1"/>
  <c r="U82" i="1"/>
  <c r="S82" i="1"/>
  <c r="Q82" i="1"/>
  <c r="P82" i="1"/>
  <c r="O82" i="1"/>
  <c r="M82" i="1"/>
  <c r="L82" i="1"/>
  <c r="K82" i="1"/>
  <c r="J82" i="1"/>
  <c r="I82" i="1"/>
  <c r="E82" i="1"/>
  <c r="N82" i="1" s="1"/>
  <c r="D82" i="1"/>
  <c r="AK81" i="1"/>
  <c r="AJ81" i="1"/>
  <c r="AL81" i="1" s="1"/>
  <c r="AH81" i="1"/>
  <c r="AF81" i="1"/>
  <c r="AE81" i="1"/>
  <c r="AD81" i="1"/>
  <c r="AB81" i="1"/>
  <c r="Z81" i="1"/>
  <c r="Y81" i="1"/>
  <c r="AC81" i="1" s="1"/>
  <c r="X81" i="1"/>
  <c r="AA81" i="1" s="1"/>
  <c r="V81" i="1"/>
  <c r="U81" i="1"/>
  <c r="S81" i="1"/>
  <c r="Q81" i="1"/>
  <c r="P81" i="1"/>
  <c r="O81" i="1"/>
  <c r="M81" i="1"/>
  <c r="L81" i="1"/>
  <c r="K81" i="1"/>
  <c r="J81" i="1"/>
  <c r="I81" i="1"/>
  <c r="E81" i="1"/>
  <c r="N81" i="1" s="1"/>
  <c r="D81" i="1"/>
  <c r="AK80" i="1"/>
  <c r="AJ80" i="1"/>
  <c r="AL80" i="1" s="1"/>
  <c r="AH80" i="1"/>
  <c r="AF80" i="1"/>
  <c r="AE80" i="1"/>
  <c r="AD80" i="1"/>
  <c r="AB80" i="1"/>
  <c r="Z80" i="1"/>
  <c r="Y80" i="1"/>
  <c r="AC80" i="1" s="1"/>
  <c r="X80" i="1"/>
  <c r="AA80" i="1" s="1"/>
  <c r="V80" i="1"/>
  <c r="U80" i="1"/>
  <c r="S80" i="1"/>
  <c r="Q80" i="1"/>
  <c r="P80" i="1"/>
  <c r="O80" i="1"/>
  <c r="M80" i="1"/>
  <c r="L80" i="1"/>
  <c r="K80" i="1"/>
  <c r="J80" i="1"/>
  <c r="I80" i="1"/>
  <c r="E80" i="1"/>
  <c r="N80" i="1" s="1"/>
  <c r="D80" i="1"/>
  <c r="AK79" i="1"/>
  <c r="AJ79" i="1"/>
  <c r="AH79" i="1"/>
  <c r="AF79" i="1"/>
  <c r="AE79" i="1"/>
  <c r="AD79" i="1"/>
  <c r="AB79" i="1"/>
  <c r="Z79" i="1"/>
  <c r="Y79" i="1"/>
  <c r="AC79" i="1" s="1"/>
  <c r="X79" i="1"/>
  <c r="AA79" i="1" s="1"/>
  <c r="V79" i="1"/>
  <c r="U79" i="1"/>
  <c r="S79" i="1"/>
  <c r="Q79" i="1"/>
  <c r="P79" i="1"/>
  <c r="O79" i="1"/>
  <c r="M79" i="1"/>
  <c r="L79" i="1"/>
  <c r="K79" i="1"/>
  <c r="J79" i="1"/>
  <c r="I79" i="1"/>
  <c r="E79" i="1"/>
  <c r="N79" i="1" s="1"/>
  <c r="D79" i="1"/>
  <c r="AK78" i="1"/>
  <c r="AJ78" i="1"/>
  <c r="AL78" i="1" s="1"/>
  <c r="AH78" i="1"/>
  <c r="AF78" i="1"/>
  <c r="AE78" i="1"/>
  <c r="AD78" i="1"/>
  <c r="AB78" i="1"/>
  <c r="Z78" i="1"/>
  <c r="Y78" i="1"/>
  <c r="AC78" i="1" s="1"/>
  <c r="X78" i="1"/>
  <c r="AA78" i="1" s="1"/>
  <c r="V78" i="1"/>
  <c r="U78" i="1"/>
  <c r="S78" i="1"/>
  <c r="Q78" i="1"/>
  <c r="P78" i="1"/>
  <c r="O78" i="1"/>
  <c r="M78" i="1"/>
  <c r="L78" i="1"/>
  <c r="K78" i="1"/>
  <c r="J78" i="1"/>
  <c r="I78" i="1"/>
  <c r="E78" i="1"/>
  <c r="N78" i="1" s="1"/>
  <c r="D78" i="1"/>
  <c r="AK77" i="1"/>
  <c r="AJ77" i="1"/>
  <c r="AL77" i="1" s="1"/>
  <c r="AH77" i="1"/>
  <c r="AF77" i="1"/>
  <c r="AE77" i="1"/>
  <c r="AD77" i="1"/>
  <c r="AB77" i="1"/>
  <c r="Z77" i="1"/>
  <c r="Y77" i="1"/>
  <c r="AC77" i="1" s="1"/>
  <c r="X77" i="1"/>
  <c r="AA77" i="1" s="1"/>
  <c r="V77" i="1"/>
  <c r="U77" i="1"/>
  <c r="S77" i="1"/>
  <c r="Q77" i="1"/>
  <c r="P77" i="1"/>
  <c r="O77" i="1"/>
  <c r="M77" i="1"/>
  <c r="L77" i="1"/>
  <c r="K77" i="1"/>
  <c r="J77" i="1"/>
  <c r="I77" i="1"/>
  <c r="E77" i="1"/>
  <c r="N77" i="1" s="1"/>
  <c r="D77" i="1"/>
  <c r="AK76" i="1"/>
  <c r="AJ76" i="1"/>
  <c r="AL76" i="1" s="1"/>
  <c r="AH76" i="1"/>
  <c r="AF76" i="1"/>
  <c r="AE76" i="1"/>
  <c r="AD76" i="1"/>
  <c r="AB76" i="1"/>
  <c r="Z76" i="1"/>
  <c r="Y76" i="1"/>
  <c r="AC76" i="1" s="1"/>
  <c r="X76" i="1"/>
  <c r="V76" i="1"/>
  <c r="U76" i="1"/>
  <c r="S76" i="1"/>
  <c r="Q76" i="1"/>
  <c r="P76" i="1"/>
  <c r="O76" i="1"/>
  <c r="M76" i="1"/>
  <c r="L76" i="1"/>
  <c r="K76" i="1"/>
  <c r="J76" i="1"/>
  <c r="I76" i="1"/>
  <c r="E76" i="1"/>
  <c r="N76" i="1" s="1"/>
  <c r="D76" i="1"/>
  <c r="AK75" i="1"/>
  <c r="AJ75" i="1"/>
  <c r="AL75" i="1" s="1"/>
  <c r="AH75" i="1"/>
  <c r="AF75" i="1"/>
  <c r="AE75" i="1"/>
  <c r="AD75" i="1"/>
  <c r="AB75" i="1"/>
  <c r="Z75" i="1"/>
  <c r="Y75" i="1"/>
  <c r="AC75" i="1" s="1"/>
  <c r="X75" i="1"/>
  <c r="AA75" i="1" s="1"/>
  <c r="V75" i="1"/>
  <c r="U75" i="1"/>
  <c r="S75" i="1"/>
  <c r="Q75" i="1"/>
  <c r="P75" i="1"/>
  <c r="O75" i="1"/>
  <c r="M75" i="1"/>
  <c r="L75" i="1"/>
  <c r="K75" i="1"/>
  <c r="J75" i="1"/>
  <c r="I75" i="1"/>
  <c r="E75" i="1"/>
  <c r="N75" i="1" s="1"/>
  <c r="D75" i="1"/>
  <c r="AK73" i="1"/>
  <c r="AJ73" i="1"/>
  <c r="AL73" i="1" s="1"/>
  <c r="AH73" i="1"/>
  <c r="AF73" i="1"/>
  <c r="AE73" i="1"/>
  <c r="AD73" i="1"/>
  <c r="AB73" i="1"/>
  <c r="Z73" i="1"/>
  <c r="Y73" i="1"/>
  <c r="AC73" i="1" s="1"/>
  <c r="X73" i="1"/>
  <c r="AA73" i="1" s="1"/>
  <c r="V73" i="1"/>
  <c r="U73" i="1"/>
  <c r="S73" i="1"/>
  <c r="Q73" i="1"/>
  <c r="P73" i="1"/>
  <c r="O73" i="1"/>
  <c r="M73" i="1"/>
  <c r="L73" i="1"/>
  <c r="K73" i="1"/>
  <c r="J73" i="1"/>
  <c r="I73" i="1"/>
  <c r="E73" i="1"/>
  <c r="N73" i="1" s="1"/>
  <c r="D73" i="1"/>
  <c r="AK72" i="1"/>
  <c r="AJ72" i="1"/>
  <c r="AL72" i="1" s="1"/>
  <c r="AH72" i="1"/>
  <c r="AF72" i="1"/>
  <c r="AE72" i="1"/>
  <c r="AD72" i="1"/>
  <c r="AB72" i="1"/>
  <c r="Z72" i="1"/>
  <c r="Y72" i="1"/>
  <c r="X72" i="1"/>
  <c r="V72" i="1"/>
  <c r="U72" i="1"/>
  <c r="S72" i="1"/>
  <c r="Q72" i="1"/>
  <c r="P72" i="1"/>
  <c r="O72" i="1"/>
  <c r="M72" i="1"/>
  <c r="L72" i="1"/>
  <c r="K72" i="1"/>
  <c r="J72" i="1"/>
  <c r="I72" i="1"/>
  <c r="E72" i="1"/>
  <c r="N72" i="1" s="1"/>
  <c r="D72" i="1"/>
  <c r="AK71" i="1"/>
  <c r="AJ71" i="1"/>
  <c r="AL71" i="1" s="1"/>
  <c r="AH71" i="1"/>
  <c r="AF71" i="1"/>
  <c r="AE71" i="1"/>
  <c r="AD71" i="1"/>
  <c r="AB71" i="1"/>
  <c r="Z71" i="1"/>
  <c r="Y71" i="1"/>
  <c r="AC71" i="1" s="1"/>
  <c r="X71" i="1"/>
  <c r="AA71" i="1" s="1"/>
  <c r="V71" i="1"/>
  <c r="U71" i="1"/>
  <c r="S71" i="1"/>
  <c r="Q71" i="1"/>
  <c r="P71" i="1"/>
  <c r="O71" i="1"/>
  <c r="M71" i="1"/>
  <c r="L71" i="1"/>
  <c r="K71" i="1"/>
  <c r="J71" i="1"/>
  <c r="I71" i="1"/>
  <c r="E71" i="1"/>
  <c r="N71" i="1" s="1"/>
  <c r="D71" i="1"/>
  <c r="AK70" i="1"/>
  <c r="AJ70" i="1"/>
  <c r="AL70" i="1" s="1"/>
  <c r="AH70" i="1"/>
  <c r="AF70" i="1"/>
  <c r="AE70" i="1"/>
  <c r="AD70" i="1"/>
  <c r="AB70" i="1"/>
  <c r="Z70" i="1"/>
  <c r="Y70" i="1"/>
  <c r="AC70" i="1" s="1"/>
  <c r="X70" i="1"/>
  <c r="AA70" i="1" s="1"/>
  <c r="V70" i="1"/>
  <c r="U70" i="1"/>
  <c r="S70" i="1"/>
  <c r="Q70" i="1"/>
  <c r="P70" i="1"/>
  <c r="O70" i="1"/>
  <c r="M70" i="1"/>
  <c r="L70" i="1"/>
  <c r="K70" i="1"/>
  <c r="J70" i="1"/>
  <c r="I70" i="1"/>
  <c r="E70" i="1"/>
  <c r="N70" i="1" s="1"/>
  <c r="D70" i="1"/>
  <c r="AK69" i="1"/>
  <c r="AJ69" i="1"/>
  <c r="AL69" i="1" s="1"/>
  <c r="AH69" i="1"/>
  <c r="AF69" i="1"/>
  <c r="AE69" i="1"/>
  <c r="AD69" i="1"/>
  <c r="AB69" i="1"/>
  <c r="Z69" i="1"/>
  <c r="Y69" i="1"/>
  <c r="AC69" i="1" s="1"/>
  <c r="X69" i="1"/>
  <c r="AA69" i="1" s="1"/>
  <c r="V69" i="1"/>
  <c r="U69" i="1"/>
  <c r="S69" i="1"/>
  <c r="Q69" i="1"/>
  <c r="P69" i="1"/>
  <c r="O69" i="1"/>
  <c r="M69" i="1"/>
  <c r="L69" i="1"/>
  <c r="K69" i="1"/>
  <c r="J69" i="1"/>
  <c r="I69" i="1"/>
  <c r="E69" i="1"/>
  <c r="N69" i="1" s="1"/>
  <c r="D69" i="1"/>
  <c r="AK68" i="1"/>
  <c r="AJ68" i="1"/>
  <c r="AL68" i="1" s="1"/>
  <c r="AH68" i="1"/>
  <c r="AF68" i="1"/>
  <c r="AE68" i="1"/>
  <c r="AD68" i="1"/>
  <c r="AB68" i="1"/>
  <c r="Z68" i="1"/>
  <c r="Y68" i="1"/>
  <c r="X68" i="1"/>
  <c r="V68" i="1"/>
  <c r="U68" i="1"/>
  <c r="S68" i="1"/>
  <c r="Q68" i="1"/>
  <c r="P68" i="1"/>
  <c r="O68" i="1"/>
  <c r="M68" i="1"/>
  <c r="L68" i="1"/>
  <c r="K68" i="1"/>
  <c r="J68" i="1"/>
  <c r="I68" i="1"/>
  <c r="E68" i="1"/>
  <c r="N68" i="1" s="1"/>
  <c r="D68" i="1"/>
  <c r="AK67" i="1"/>
  <c r="AJ67" i="1"/>
  <c r="AL67" i="1" s="1"/>
  <c r="AH67" i="1"/>
  <c r="AF67" i="1"/>
  <c r="AE67" i="1"/>
  <c r="AD67" i="1"/>
  <c r="AB67" i="1"/>
  <c r="Z67" i="1"/>
  <c r="Y67" i="1"/>
  <c r="AC67" i="1" s="1"/>
  <c r="X67" i="1"/>
  <c r="AA67" i="1" s="1"/>
  <c r="V67" i="1"/>
  <c r="U67" i="1"/>
  <c r="S67" i="1"/>
  <c r="Q67" i="1"/>
  <c r="P67" i="1"/>
  <c r="O67" i="1"/>
  <c r="M67" i="1"/>
  <c r="L67" i="1"/>
  <c r="K67" i="1"/>
  <c r="J67" i="1"/>
  <c r="I67" i="1"/>
  <c r="E67" i="1"/>
  <c r="N67" i="1" s="1"/>
  <c r="D67" i="1"/>
  <c r="AK66" i="1"/>
  <c r="AJ66" i="1"/>
  <c r="AL66" i="1" s="1"/>
  <c r="AH66" i="1"/>
  <c r="AF66" i="1"/>
  <c r="AE66" i="1"/>
  <c r="AD66" i="1"/>
  <c r="AB66" i="1"/>
  <c r="Z66" i="1"/>
  <c r="Y66" i="1"/>
  <c r="AC66" i="1" s="1"/>
  <c r="X66" i="1"/>
  <c r="AA66" i="1" s="1"/>
  <c r="V66" i="1"/>
  <c r="U66" i="1"/>
  <c r="S66" i="1"/>
  <c r="Q66" i="1"/>
  <c r="P66" i="1"/>
  <c r="O66" i="1"/>
  <c r="M66" i="1"/>
  <c r="L66" i="1"/>
  <c r="K66" i="1"/>
  <c r="J66" i="1"/>
  <c r="I66" i="1"/>
  <c r="E66" i="1"/>
  <c r="D66" i="1"/>
  <c r="AK65" i="1"/>
  <c r="AJ65" i="1"/>
  <c r="AL65" i="1" s="1"/>
  <c r="AH65" i="1"/>
  <c r="AF65" i="1"/>
  <c r="AE65" i="1"/>
  <c r="AD65" i="1"/>
  <c r="AB65" i="1"/>
  <c r="Z65" i="1"/>
  <c r="Y65" i="1"/>
  <c r="AC65" i="1" s="1"/>
  <c r="X65" i="1"/>
  <c r="AA65" i="1" s="1"/>
  <c r="V65" i="1"/>
  <c r="U65" i="1"/>
  <c r="S65" i="1"/>
  <c r="Q65" i="1"/>
  <c r="P65" i="1"/>
  <c r="O65" i="1"/>
  <c r="M65" i="1"/>
  <c r="L65" i="1"/>
  <c r="K65" i="1"/>
  <c r="J65" i="1"/>
  <c r="I65" i="1"/>
  <c r="E65" i="1"/>
  <c r="N65" i="1" s="1"/>
  <c r="D65" i="1"/>
  <c r="AK64" i="1"/>
  <c r="AJ64" i="1"/>
  <c r="AL64" i="1" s="1"/>
  <c r="AH64" i="1"/>
  <c r="AF64" i="1"/>
  <c r="AE64" i="1"/>
  <c r="AD64" i="1"/>
  <c r="AB64" i="1"/>
  <c r="Z64" i="1"/>
  <c r="Y64" i="1"/>
  <c r="X64" i="1"/>
  <c r="V64" i="1"/>
  <c r="U64" i="1"/>
  <c r="S64" i="1"/>
  <c r="Q64" i="1"/>
  <c r="P64" i="1"/>
  <c r="O64" i="1"/>
  <c r="M64" i="1"/>
  <c r="L64" i="1"/>
  <c r="K64" i="1"/>
  <c r="J64" i="1"/>
  <c r="I64" i="1"/>
  <c r="E64" i="1"/>
  <c r="N64" i="1" s="1"/>
  <c r="D64" i="1"/>
  <c r="AK63" i="1"/>
  <c r="AJ63" i="1"/>
  <c r="AL63" i="1" s="1"/>
  <c r="AH63" i="1"/>
  <c r="AF63" i="1"/>
  <c r="AE63" i="1"/>
  <c r="AD63" i="1"/>
  <c r="AB63" i="1"/>
  <c r="Z63" i="1"/>
  <c r="Y63" i="1"/>
  <c r="AC63" i="1" s="1"/>
  <c r="X63" i="1"/>
  <c r="AA63" i="1" s="1"/>
  <c r="V63" i="1"/>
  <c r="U63" i="1"/>
  <c r="S63" i="1"/>
  <c r="Q63" i="1"/>
  <c r="P63" i="1"/>
  <c r="O63" i="1"/>
  <c r="M63" i="1"/>
  <c r="L63" i="1"/>
  <c r="K63" i="1"/>
  <c r="J63" i="1"/>
  <c r="I63" i="1"/>
  <c r="E63" i="1"/>
  <c r="N63" i="1" s="1"/>
  <c r="D63" i="1"/>
  <c r="AK62" i="1"/>
  <c r="AJ62" i="1"/>
  <c r="AL62" i="1" s="1"/>
  <c r="AH62" i="1"/>
  <c r="AF62" i="1"/>
  <c r="AE62" i="1"/>
  <c r="AD62" i="1"/>
  <c r="AB62" i="1"/>
  <c r="Z62" i="1"/>
  <c r="Y62" i="1"/>
  <c r="AC62" i="1" s="1"/>
  <c r="X62" i="1"/>
  <c r="AA62" i="1" s="1"/>
  <c r="V62" i="1"/>
  <c r="U62" i="1"/>
  <c r="S62" i="1"/>
  <c r="Q62" i="1"/>
  <c r="P62" i="1"/>
  <c r="O62" i="1"/>
  <c r="M62" i="1"/>
  <c r="L62" i="1"/>
  <c r="K62" i="1"/>
  <c r="J62" i="1"/>
  <c r="I62" i="1"/>
  <c r="E62" i="1"/>
  <c r="N62" i="1" s="1"/>
  <c r="D62" i="1"/>
  <c r="AK61" i="1"/>
  <c r="AJ61" i="1"/>
  <c r="AL61" i="1" s="1"/>
  <c r="AH61" i="1"/>
  <c r="AF61" i="1"/>
  <c r="AE61" i="1"/>
  <c r="AD61" i="1"/>
  <c r="AB61" i="1"/>
  <c r="Z61" i="1"/>
  <c r="Y61" i="1"/>
  <c r="AC61" i="1" s="1"/>
  <c r="X61" i="1"/>
  <c r="AA61" i="1" s="1"/>
  <c r="V61" i="1"/>
  <c r="U61" i="1"/>
  <c r="S61" i="1"/>
  <c r="Q61" i="1"/>
  <c r="P61" i="1"/>
  <c r="O61" i="1"/>
  <c r="M61" i="1"/>
  <c r="L61" i="1"/>
  <c r="K61" i="1"/>
  <c r="J61" i="1"/>
  <c r="I61" i="1"/>
  <c r="E61" i="1"/>
  <c r="N61" i="1" s="1"/>
  <c r="D61" i="1"/>
  <c r="AK60" i="1"/>
  <c r="AJ60" i="1"/>
  <c r="AL60" i="1" s="1"/>
  <c r="AH60" i="1"/>
  <c r="AF60" i="1"/>
  <c r="AE60" i="1"/>
  <c r="AD60" i="1"/>
  <c r="AB60" i="1"/>
  <c r="Z60" i="1"/>
  <c r="Y60" i="1"/>
  <c r="AC60" i="1" s="1"/>
  <c r="X60" i="1"/>
  <c r="AA60" i="1" s="1"/>
  <c r="V60" i="1"/>
  <c r="U60" i="1"/>
  <c r="S60" i="1"/>
  <c r="Q60" i="1"/>
  <c r="P60" i="1"/>
  <c r="O60" i="1"/>
  <c r="M60" i="1"/>
  <c r="L60" i="1"/>
  <c r="K60" i="1"/>
  <c r="J60" i="1"/>
  <c r="I60" i="1"/>
  <c r="E60" i="1"/>
  <c r="N60" i="1" s="1"/>
  <c r="D60" i="1"/>
  <c r="AK59" i="1"/>
  <c r="AJ59" i="1"/>
  <c r="AL59" i="1" s="1"/>
  <c r="AH59" i="1"/>
  <c r="AF59" i="1"/>
  <c r="AE59" i="1"/>
  <c r="AD59" i="1"/>
  <c r="AB59" i="1"/>
  <c r="Z59" i="1"/>
  <c r="Y59" i="1"/>
  <c r="X59" i="1"/>
  <c r="V59" i="1"/>
  <c r="U59" i="1"/>
  <c r="S59" i="1"/>
  <c r="Q59" i="1"/>
  <c r="P59" i="1"/>
  <c r="O59" i="1"/>
  <c r="M59" i="1"/>
  <c r="L59" i="1"/>
  <c r="K59" i="1"/>
  <c r="J59" i="1"/>
  <c r="I59" i="1"/>
  <c r="E59" i="1"/>
  <c r="N59" i="1" s="1"/>
  <c r="D59" i="1"/>
  <c r="AK58" i="1"/>
  <c r="AJ58" i="1"/>
  <c r="AL58" i="1" s="1"/>
  <c r="AH58" i="1"/>
  <c r="AF58" i="1"/>
  <c r="AE58" i="1"/>
  <c r="AD58" i="1"/>
  <c r="AB58" i="1"/>
  <c r="Z58" i="1"/>
  <c r="Y58" i="1"/>
  <c r="AC58" i="1" s="1"/>
  <c r="X58" i="1"/>
  <c r="AA58" i="1" s="1"/>
  <c r="V58" i="1"/>
  <c r="U58" i="1"/>
  <c r="S58" i="1"/>
  <c r="Q58" i="1"/>
  <c r="P58" i="1"/>
  <c r="O58" i="1"/>
  <c r="M58" i="1"/>
  <c r="L58" i="1"/>
  <c r="K58" i="1"/>
  <c r="J58" i="1"/>
  <c r="I58" i="1"/>
  <c r="E58" i="1"/>
  <c r="N58" i="1" s="1"/>
  <c r="D58" i="1"/>
  <c r="AK57" i="1"/>
  <c r="AJ57" i="1"/>
  <c r="AL57" i="1" s="1"/>
  <c r="AH57" i="1"/>
  <c r="AF57" i="1"/>
  <c r="AE57" i="1"/>
  <c r="AD57" i="1"/>
  <c r="AB57" i="1"/>
  <c r="Z57" i="1"/>
  <c r="Y57" i="1"/>
  <c r="AC57" i="1" s="1"/>
  <c r="X57" i="1"/>
  <c r="AA57" i="1" s="1"/>
  <c r="V57" i="1"/>
  <c r="U57" i="1"/>
  <c r="S57" i="1"/>
  <c r="Q57" i="1"/>
  <c r="P57" i="1"/>
  <c r="O57" i="1"/>
  <c r="M57" i="1"/>
  <c r="L57" i="1"/>
  <c r="K57" i="1"/>
  <c r="J57" i="1"/>
  <c r="I57" i="1"/>
  <c r="E57" i="1"/>
  <c r="N57" i="1" s="1"/>
  <c r="D57" i="1"/>
  <c r="AK56" i="1"/>
  <c r="AJ56" i="1"/>
  <c r="AL56" i="1" s="1"/>
  <c r="AH56" i="1"/>
  <c r="AF56" i="1"/>
  <c r="AE56" i="1"/>
  <c r="AD56" i="1"/>
  <c r="AB56" i="1"/>
  <c r="Z56" i="1"/>
  <c r="Y56" i="1"/>
  <c r="AC56" i="1" s="1"/>
  <c r="X56" i="1"/>
  <c r="AA56" i="1" s="1"/>
  <c r="V56" i="1"/>
  <c r="U56" i="1"/>
  <c r="S56" i="1"/>
  <c r="Q56" i="1"/>
  <c r="P56" i="1"/>
  <c r="O56" i="1"/>
  <c r="M56" i="1"/>
  <c r="L56" i="1"/>
  <c r="K56" i="1"/>
  <c r="J56" i="1"/>
  <c r="I56" i="1"/>
  <c r="E56" i="1"/>
  <c r="N56" i="1" s="1"/>
  <c r="D56" i="1"/>
  <c r="AK55" i="1"/>
  <c r="AJ55" i="1"/>
  <c r="AL55" i="1" s="1"/>
  <c r="AH55" i="1"/>
  <c r="AF55" i="1"/>
  <c r="AE55" i="1"/>
  <c r="AD55" i="1"/>
  <c r="AB55" i="1"/>
  <c r="Z55" i="1"/>
  <c r="Y55" i="1"/>
  <c r="X55" i="1"/>
  <c r="V55" i="1"/>
  <c r="U55" i="1"/>
  <c r="S55" i="1"/>
  <c r="Q55" i="1"/>
  <c r="P55" i="1"/>
  <c r="O55" i="1"/>
  <c r="M55" i="1"/>
  <c r="L55" i="1"/>
  <c r="K55" i="1"/>
  <c r="J55" i="1"/>
  <c r="I55" i="1"/>
  <c r="E55" i="1"/>
  <c r="N55" i="1" s="1"/>
  <c r="D55" i="1"/>
  <c r="AK54" i="1"/>
  <c r="AJ54" i="1"/>
  <c r="AL54" i="1" s="1"/>
  <c r="AH54" i="1"/>
  <c r="AF54" i="1"/>
  <c r="AE54" i="1"/>
  <c r="AD54" i="1"/>
  <c r="AB54" i="1"/>
  <c r="Z54" i="1"/>
  <c r="Y54" i="1"/>
  <c r="AC54" i="1" s="1"/>
  <c r="X54" i="1"/>
  <c r="AA54" i="1" s="1"/>
  <c r="V54" i="1"/>
  <c r="U54" i="1"/>
  <c r="S54" i="1"/>
  <c r="Q54" i="1"/>
  <c r="P54" i="1"/>
  <c r="O54" i="1"/>
  <c r="M54" i="1"/>
  <c r="L54" i="1"/>
  <c r="K54" i="1"/>
  <c r="J54" i="1"/>
  <c r="I54" i="1"/>
  <c r="E54" i="1"/>
  <c r="N54" i="1" s="1"/>
  <c r="D54" i="1"/>
  <c r="AK53" i="1"/>
  <c r="AJ53" i="1"/>
  <c r="AL53" i="1" s="1"/>
  <c r="AH53" i="1"/>
  <c r="AF53" i="1"/>
  <c r="AE53" i="1"/>
  <c r="AD53" i="1"/>
  <c r="AB53" i="1"/>
  <c r="Z53" i="1"/>
  <c r="Y53" i="1"/>
  <c r="AC53" i="1" s="1"/>
  <c r="X53" i="1"/>
  <c r="AA53" i="1" s="1"/>
  <c r="V53" i="1"/>
  <c r="U53" i="1"/>
  <c r="S53" i="1"/>
  <c r="Q53" i="1"/>
  <c r="P53" i="1"/>
  <c r="O53" i="1"/>
  <c r="M53" i="1"/>
  <c r="L53" i="1"/>
  <c r="K53" i="1"/>
  <c r="J53" i="1"/>
  <c r="I53" i="1"/>
  <c r="E53" i="1"/>
  <c r="N53" i="1" s="1"/>
  <c r="D53" i="1"/>
  <c r="AK51" i="1"/>
  <c r="AJ51" i="1"/>
  <c r="AL51" i="1" s="1"/>
  <c r="AH51" i="1"/>
  <c r="AF51" i="1"/>
  <c r="AE51" i="1"/>
  <c r="AD51" i="1"/>
  <c r="AB51" i="1"/>
  <c r="Z51" i="1"/>
  <c r="Y51" i="1"/>
  <c r="AC51" i="1" s="1"/>
  <c r="X51" i="1"/>
  <c r="AA51" i="1" s="1"/>
  <c r="V51" i="1"/>
  <c r="U51" i="1"/>
  <c r="S51" i="1"/>
  <c r="Q51" i="1"/>
  <c r="P51" i="1"/>
  <c r="O51" i="1"/>
  <c r="M51" i="1"/>
  <c r="L51" i="1"/>
  <c r="K51" i="1"/>
  <c r="J51" i="1"/>
  <c r="I51" i="1"/>
  <c r="E51" i="1"/>
  <c r="N51" i="1" s="1"/>
  <c r="D51" i="1"/>
  <c r="AK50" i="1"/>
  <c r="AJ50" i="1"/>
  <c r="AL50" i="1" s="1"/>
  <c r="AH50" i="1"/>
  <c r="AF50" i="1"/>
  <c r="AE50" i="1"/>
  <c r="AD50" i="1"/>
  <c r="AB50" i="1"/>
  <c r="Z50" i="1"/>
  <c r="Y50" i="1"/>
  <c r="AC50" i="1" s="1"/>
  <c r="X50" i="1"/>
  <c r="AA50" i="1" s="1"/>
  <c r="V50" i="1"/>
  <c r="U50" i="1"/>
  <c r="S50" i="1"/>
  <c r="Q50" i="1"/>
  <c r="P50" i="1"/>
  <c r="O50" i="1"/>
  <c r="M50" i="1"/>
  <c r="L50" i="1"/>
  <c r="K50" i="1"/>
  <c r="J50" i="1"/>
  <c r="I50" i="1"/>
  <c r="E50" i="1"/>
  <c r="N50" i="1" s="1"/>
  <c r="D50" i="1"/>
  <c r="AK49" i="1"/>
  <c r="AJ49" i="1"/>
  <c r="AL49" i="1" s="1"/>
  <c r="AH49" i="1"/>
  <c r="AF49" i="1"/>
  <c r="AE49" i="1"/>
  <c r="AD49" i="1"/>
  <c r="AB49" i="1"/>
  <c r="Z49" i="1"/>
  <c r="Y49" i="1"/>
  <c r="AC49" i="1" s="1"/>
  <c r="X49" i="1"/>
  <c r="AA49" i="1" s="1"/>
  <c r="V49" i="1"/>
  <c r="U49" i="1"/>
  <c r="S49" i="1"/>
  <c r="Q49" i="1"/>
  <c r="P49" i="1"/>
  <c r="O49" i="1"/>
  <c r="M49" i="1"/>
  <c r="L49" i="1"/>
  <c r="K49" i="1"/>
  <c r="J49" i="1"/>
  <c r="I49" i="1"/>
  <c r="E49" i="1"/>
  <c r="N49" i="1" s="1"/>
  <c r="D49" i="1"/>
  <c r="AK48" i="1"/>
  <c r="AJ48" i="1"/>
  <c r="AL48" i="1" s="1"/>
  <c r="AH48" i="1"/>
  <c r="AF48" i="1"/>
  <c r="AE48" i="1"/>
  <c r="AD48" i="1"/>
  <c r="AB48" i="1"/>
  <c r="Z48" i="1"/>
  <c r="Y48" i="1"/>
  <c r="AC48" i="1" s="1"/>
  <c r="X48" i="1"/>
  <c r="AA48" i="1" s="1"/>
  <c r="V48" i="1"/>
  <c r="U48" i="1"/>
  <c r="S48" i="1"/>
  <c r="Q48" i="1"/>
  <c r="P48" i="1"/>
  <c r="O48" i="1"/>
  <c r="M48" i="1"/>
  <c r="L48" i="1"/>
  <c r="K48" i="1"/>
  <c r="J48" i="1"/>
  <c r="I48" i="1"/>
  <c r="E48" i="1"/>
  <c r="N48" i="1" s="1"/>
  <c r="D48" i="1"/>
  <c r="AK47" i="1"/>
  <c r="AJ47" i="1"/>
  <c r="AL47" i="1" s="1"/>
  <c r="AH47" i="1"/>
  <c r="AF47" i="1"/>
  <c r="AE47" i="1"/>
  <c r="AD47" i="1"/>
  <c r="AB47" i="1"/>
  <c r="Z47" i="1"/>
  <c r="Y47" i="1"/>
  <c r="AC47" i="1" s="1"/>
  <c r="X47" i="1"/>
  <c r="AA47" i="1" s="1"/>
  <c r="V47" i="1"/>
  <c r="U47" i="1"/>
  <c r="S47" i="1"/>
  <c r="Q47" i="1"/>
  <c r="P47" i="1"/>
  <c r="O47" i="1"/>
  <c r="M47" i="1"/>
  <c r="L47" i="1"/>
  <c r="K47" i="1"/>
  <c r="J47" i="1"/>
  <c r="I47" i="1"/>
  <c r="E47" i="1"/>
  <c r="N47" i="1" s="1"/>
  <c r="D47" i="1"/>
  <c r="AK46" i="1"/>
  <c r="AJ46" i="1"/>
  <c r="AL46" i="1" s="1"/>
  <c r="AH46" i="1"/>
  <c r="AF46" i="1"/>
  <c r="AE46" i="1"/>
  <c r="AD46" i="1"/>
  <c r="AB46" i="1"/>
  <c r="Z46" i="1"/>
  <c r="Y46" i="1"/>
  <c r="X46" i="1"/>
  <c r="V46" i="1"/>
  <c r="U46" i="1"/>
  <c r="S46" i="1"/>
  <c r="Q46" i="1"/>
  <c r="P46" i="1"/>
  <c r="O46" i="1"/>
  <c r="M46" i="1"/>
  <c r="L46" i="1"/>
  <c r="K46" i="1"/>
  <c r="J46" i="1"/>
  <c r="I46" i="1"/>
  <c r="E46" i="1"/>
  <c r="N46" i="1" s="1"/>
  <c r="D46" i="1"/>
  <c r="AK45" i="1"/>
  <c r="AJ45" i="1"/>
  <c r="AL45" i="1" s="1"/>
  <c r="AH45" i="1"/>
  <c r="AF45" i="1"/>
  <c r="AE45" i="1"/>
  <c r="AD45" i="1"/>
  <c r="AB45" i="1"/>
  <c r="Z45" i="1"/>
  <c r="Y45" i="1"/>
  <c r="AC45" i="1" s="1"/>
  <c r="X45" i="1"/>
  <c r="AA45" i="1" s="1"/>
  <c r="V45" i="1"/>
  <c r="U45" i="1"/>
  <c r="S45" i="1"/>
  <c r="Q45" i="1"/>
  <c r="P45" i="1"/>
  <c r="O45" i="1"/>
  <c r="M45" i="1"/>
  <c r="L45" i="1"/>
  <c r="K45" i="1"/>
  <c r="J45" i="1"/>
  <c r="I45" i="1"/>
  <c r="E45" i="1"/>
  <c r="N45" i="1" s="1"/>
  <c r="D45" i="1"/>
  <c r="AK44" i="1"/>
  <c r="AJ44" i="1"/>
  <c r="AL44" i="1" s="1"/>
  <c r="AH44" i="1"/>
  <c r="AF44" i="1"/>
  <c r="AE44" i="1"/>
  <c r="AD44" i="1"/>
  <c r="AB44" i="1"/>
  <c r="Z44" i="1"/>
  <c r="Y44" i="1"/>
  <c r="AC44" i="1" s="1"/>
  <c r="X44" i="1"/>
  <c r="AA44" i="1" s="1"/>
  <c r="V44" i="1"/>
  <c r="U44" i="1"/>
  <c r="S44" i="1"/>
  <c r="Q44" i="1"/>
  <c r="P44" i="1"/>
  <c r="O44" i="1"/>
  <c r="M44" i="1"/>
  <c r="L44" i="1"/>
  <c r="K44" i="1"/>
  <c r="J44" i="1"/>
  <c r="I44" i="1"/>
  <c r="E44" i="1"/>
  <c r="N44" i="1" s="1"/>
  <c r="D44" i="1"/>
  <c r="AK43" i="1"/>
  <c r="AJ43" i="1"/>
  <c r="AL43" i="1" s="1"/>
  <c r="AH43" i="1"/>
  <c r="AF43" i="1"/>
  <c r="AE43" i="1"/>
  <c r="AD43" i="1"/>
  <c r="AB43" i="1"/>
  <c r="Z43" i="1"/>
  <c r="Y43" i="1"/>
  <c r="AC43" i="1" s="1"/>
  <c r="X43" i="1"/>
  <c r="AA43" i="1" s="1"/>
  <c r="V43" i="1"/>
  <c r="U43" i="1"/>
  <c r="S43" i="1"/>
  <c r="Q43" i="1"/>
  <c r="P43" i="1"/>
  <c r="O43" i="1"/>
  <c r="M43" i="1"/>
  <c r="L43" i="1"/>
  <c r="K43" i="1"/>
  <c r="J43" i="1"/>
  <c r="I43" i="1"/>
  <c r="E43" i="1"/>
  <c r="N43" i="1" s="1"/>
  <c r="D43" i="1"/>
  <c r="AK42" i="1"/>
  <c r="AJ42" i="1"/>
  <c r="AL42" i="1" s="1"/>
  <c r="AH42" i="1"/>
  <c r="AF42" i="1"/>
  <c r="AE42" i="1"/>
  <c r="AD42" i="1"/>
  <c r="AB42" i="1"/>
  <c r="Z42" i="1"/>
  <c r="Y42" i="1"/>
  <c r="AC42" i="1" s="1"/>
  <c r="X42" i="1"/>
  <c r="AA42" i="1" s="1"/>
  <c r="V42" i="1"/>
  <c r="U42" i="1"/>
  <c r="S42" i="1"/>
  <c r="Q42" i="1"/>
  <c r="P42" i="1"/>
  <c r="O42" i="1"/>
  <c r="M42" i="1"/>
  <c r="L42" i="1"/>
  <c r="K42" i="1"/>
  <c r="I42" i="1"/>
  <c r="E42" i="1"/>
  <c r="N42" i="1" s="1"/>
  <c r="D42" i="1"/>
  <c r="AK41" i="1"/>
  <c r="AJ41" i="1"/>
  <c r="AL41" i="1" s="1"/>
  <c r="AH41" i="1"/>
  <c r="AF41" i="1"/>
  <c r="AE41" i="1"/>
  <c r="AD41" i="1"/>
  <c r="AB41" i="1"/>
  <c r="Z41" i="1"/>
  <c r="Y41" i="1"/>
  <c r="AC41" i="1" s="1"/>
  <c r="X41" i="1"/>
  <c r="AA41" i="1" s="1"/>
  <c r="V41" i="1"/>
  <c r="U41" i="1"/>
  <c r="S41" i="1"/>
  <c r="Q41" i="1"/>
  <c r="P41" i="1"/>
  <c r="O41" i="1"/>
  <c r="M41" i="1"/>
  <c r="L41" i="1"/>
  <c r="K41" i="1"/>
  <c r="J41" i="1"/>
  <c r="I41" i="1"/>
  <c r="E41" i="1"/>
  <c r="N41" i="1" s="1"/>
  <c r="D41" i="1"/>
  <c r="AK40" i="1"/>
  <c r="AJ40" i="1"/>
  <c r="AL40" i="1" s="1"/>
  <c r="AH40" i="1"/>
  <c r="AF40" i="1"/>
  <c r="AE40" i="1"/>
  <c r="AD40" i="1"/>
  <c r="AB40" i="1"/>
  <c r="Z40" i="1"/>
  <c r="Y40" i="1"/>
  <c r="AC40" i="1" s="1"/>
  <c r="X40" i="1"/>
  <c r="AA40" i="1" s="1"/>
  <c r="V40" i="1"/>
  <c r="U40" i="1"/>
  <c r="S40" i="1"/>
  <c r="Q40" i="1"/>
  <c r="P40" i="1"/>
  <c r="O40" i="1"/>
  <c r="M40" i="1"/>
  <c r="L40" i="1"/>
  <c r="K40" i="1"/>
  <c r="J40" i="1"/>
  <c r="I40" i="1"/>
  <c r="E40" i="1"/>
  <c r="N40" i="1" s="1"/>
  <c r="D40" i="1"/>
  <c r="AK39" i="1"/>
  <c r="AJ39" i="1"/>
  <c r="AL39" i="1" s="1"/>
  <c r="AH39" i="1"/>
  <c r="AF39" i="1"/>
  <c r="AE39" i="1"/>
  <c r="AD39" i="1"/>
  <c r="AB39" i="1"/>
  <c r="Z39" i="1"/>
  <c r="Y39" i="1"/>
  <c r="AC39" i="1" s="1"/>
  <c r="X39" i="1"/>
  <c r="AA39" i="1" s="1"/>
  <c r="V39" i="1"/>
  <c r="U39" i="1"/>
  <c r="S39" i="1"/>
  <c r="Q39" i="1"/>
  <c r="P39" i="1"/>
  <c r="O39" i="1"/>
  <c r="M39" i="1"/>
  <c r="L39" i="1"/>
  <c r="K39" i="1"/>
  <c r="J39" i="1"/>
  <c r="I39" i="1"/>
  <c r="E39" i="1"/>
  <c r="N39" i="1" s="1"/>
  <c r="D39" i="1"/>
  <c r="AK38" i="1"/>
  <c r="AJ38" i="1"/>
  <c r="AL38" i="1" s="1"/>
  <c r="AH38" i="1"/>
  <c r="AF38" i="1"/>
  <c r="AE38" i="1"/>
  <c r="AD38" i="1"/>
  <c r="AB38" i="1"/>
  <c r="Z38" i="1"/>
  <c r="Y38" i="1"/>
  <c r="AC38" i="1" s="1"/>
  <c r="X38" i="1"/>
  <c r="AA38" i="1" s="1"/>
  <c r="V38" i="1"/>
  <c r="U38" i="1"/>
  <c r="S38" i="1"/>
  <c r="Q38" i="1"/>
  <c r="P38" i="1"/>
  <c r="O38" i="1"/>
  <c r="M38" i="1"/>
  <c r="L38" i="1"/>
  <c r="K38" i="1"/>
  <c r="J38" i="1"/>
  <c r="I38" i="1"/>
  <c r="E38" i="1"/>
  <c r="N38" i="1" s="1"/>
  <c r="D38" i="1"/>
  <c r="AK37" i="1"/>
  <c r="AJ37" i="1"/>
  <c r="AL37" i="1" s="1"/>
  <c r="AH37" i="1"/>
  <c r="AF37" i="1"/>
  <c r="AE37" i="1"/>
  <c r="AD37" i="1"/>
  <c r="AB37" i="1"/>
  <c r="Z37" i="1"/>
  <c r="Y37" i="1"/>
  <c r="AC37" i="1" s="1"/>
  <c r="X37" i="1"/>
  <c r="AA37" i="1" s="1"/>
  <c r="V37" i="1"/>
  <c r="U37" i="1"/>
  <c r="S37" i="1"/>
  <c r="Q37" i="1"/>
  <c r="P37" i="1"/>
  <c r="O37" i="1"/>
  <c r="M37" i="1"/>
  <c r="L37" i="1"/>
  <c r="K37" i="1"/>
  <c r="J37" i="1"/>
  <c r="I37" i="1"/>
  <c r="E37" i="1"/>
  <c r="N37" i="1" s="1"/>
  <c r="D37" i="1"/>
  <c r="AK36" i="1"/>
  <c r="AJ36" i="1"/>
  <c r="AL36" i="1" s="1"/>
  <c r="AH36" i="1"/>
  <c r="AF36" i="1"/>
  <c r="AE36" i="1"/>
  <c r="AD36" i="1"/>
  <c r="AB36" i="1"/>
  <c r="Z36" i="1"/>
  <c r="Y36" i="1"/>
  <c r="X36" i="1"/>
  <c r="V36" i="1"/>
  <c r="U36" i="1"/>
  <c r="S36" i="1"/>
  <c r="Q36" i="1"/>
  <c r="P36" i="1"/>
  <c r="O36" i="1"/>
  <c r="M36" i="1"/>
  <c r="L36" i="1"/>
  <c r="K36" i="1"/>
  <c r="J36" i="1"/>
  <c r="I36" i="1"/>
  <c r="E36" i="1"/>
  <c r="N36" i="1" s="1"/>
  <c r="D36" i="1"/>
  <c r="AK35" i="1"/>
  <c r="AJ35" i="1"/>
  <c r="AL35" i="1" s="1"/>
  <c r="AH35" i="1"/>
  <c r="AF35" i="1"/>
  <c r="AE35" i="1"/>
  <c r="AD35" i="1"/>
  <c r="AB35" i="1"/>
  <c r="Z35" i="1"/>
  <c r="Y35" i="1"/>
  <c r="AC35" i="1" s="1"/>
  <c r="X35" i="1"/>
  <c r="AA35" i="1" s="1"/>
  <c r="V35" i="1"/>
  <c r="U35" i="1"/>
  <c r="S35" i="1"/>
  <c r="Q35" i="1"/>
  <c r="P35" i="1"/>
  <c r="O35" i="1"/>
  <c r="M35" i="1"/>
  <c r="L35" i="1"/>
  <c r="K35" i="1"/>
  <c r="J35" i="1"/>
  <c r="I35" i="1"/>
  <c r="E35" i="1"/>
  <c r="N35" i="1" s="1"/>
  <c r="D35" i="1"/>
  <c r="AK34" i="1"/>
  <c r="AJ34" i="1"/>
  <c r="AL34" i="1" s="1"/>
  <c r="AH34" i="1"/>
  <c r="AF34" i="1"/>
  <c r="AE34" i="1"/>
  <c r="AD34" i="1"/>
  <c r="AB34" i="1"/>
  <c r="Z34" i="1"/>
  <c r="Y34" i="1"/>
  <c r="AC34" i="1" s="1"/>
  <c r="X34" i="1"/>
  <c r="AA34" i="1" s="1"/>
  <c r="V34" i="1"/>
  <c r="U34" i="1"/>
  <c r="S34" i="1"/>
  <c r="Q34" i="1"/>
  <c r="P34" i="1"/>
  <c r="O34" i="1"/>
  <c r="M34" i="1"/>
  <c r="L34" i="1"/>
  <c r="K34" i="1"/>
  <c r="J34" i="1"/>
  <c r="I34" i="1"/>
  <c r="E34" i="1"/>
  <c r="N34" i="1" s="1"/>
  <c r="D34" i="1"/>
  <c r="AK33" i="1"/>
  <c r="AJ33" i="1"/>
  <c r="AL33" i="1" s="1"/>
  <c r="AH33" i="1"/>
  <c r="AF33" i="1"/>
  <c r="AE33" i="1"/>
  <c r="AD33" i="1"/>
  <c r="AB33" i="1"/>
  <c r="Z33" i="1"/>
  <c r="Y33" i="1"/>
  <c r="AC33" i="1" s="1"/>
  <c r="X33" i="1"/>
  <c r="AA33" i="1" s="1"/>
  <c r="V33" i="1"/>
  <c r="U33" i="1"/>
  <c r="S33" i="1"/>
  <c r="Q33" i="1"/>
  <c r="P33" i="1"/>
  <c r="O33" i="1"/>
  <c r="M33" i="1"/>
  <c r="L33" i="1"/>
  <c r="K33" i="1"/>
  <c r="J33" i="1"/>
  <c r="I33" i="1"/>
  <c r="E33" i="1"/>
  <c r="N33" i="1" s="1"/>
  <c r="D33" i="1"/>
  <c r="AK32" i="1"/>
  <c r="AJ32" i="1"/>
  <c r="AL32" i="1" s="1"/>
  <c r="AH32" i="1"/>
  <c r="AF32" i="1"/>
  <c r="AE32" i="1"/>
  <c r="AD32" i="1"/>
  <c r="AB32" i="1"/>
  <c r="Z32" i="1"/>
  <c r="Y32" i="1"/>
  <c r="AC32" i="1" s="1"/>
  <c r="X32" i="1"/>
  <c r="AA32" i="1" s="1"/>
  <c r="V32" i="1"/>
  <c r="U32" i="1"/>
  <c r="S32" i="1"/>
  <c r="Q32" i="1"/>
  <c r="P32" i="1"/>
  <c r="O32" i="1"/>
  <c r="M32" i="1"/>
  <c r="L32" i="1"/>
  <c r="K32" i="1"/>
  <c r="J32" i="1"/>
  <c r="I32" i="1"/>
  <c r="E32" i="1"/>
  <c r="N32" i="1" s="1"/>
  <c r="D32" i="1"/>
  <c r="AK30" i="1"/>
  <c r="AJ30" i="1"/>
  <c r="AL30" i="1" s="1"/>
  <c r="AH30" i="1"/>
  <c r="AF30" i="1"/>
  <c r="AE30" i="1"/>
  <c r="AD30" i="1"/>
  <c r="AB30" i="1"/>
  <c r="Z30" i="1"/>
  <c r="Y30" i="1"/>
  <c r="AC30" i="1" s="1"/>
  <c r="X30" i="1"/>
  <c r="AA30" i="1" s="1"/>
  <c r="V30" i="1"/>
  <c r="U30" i="1"/>
  <c r="S30" i="1"/>
  <c r="Q30" i="1"/>
  <c r="P30" i="1"/>
  <c r="O30" i="1"/>
  <c r="M30" i="1"/>
  <c r="L30" i="1"/>
  <c r="K30" i="1"/>
  <c r="J30" i="1"/>
  <c r="I30" i="1"/>
  <c r="E30" i="1"/>
  <c r="N30" i="1" s="1"/>
  <c r="D30" i="1"/>
  <c r="AK29" i="1"/>
  <c r="AJ29" i="1"/>
  <c r="AL29" i="1" s="1"/>
  <c r="AH29" i="1"/>
  <c r="AF29" i="1"/>
  <c r="AE29" i="1"/>
  <c r="AD29" i="1"/>
  <c r="AB29" i="1"/>
  <c r="Z29" i="1"/>
  <c r="Y29" i="1"/>
  <c r="AC29" i="1" s="1"/>
  <c r="X29" i="1"/>
  <c r="AA29" i="1" s="1"/>
  <c r="V29" i="1"/>
  <c r="U29" i="1"/>
  <c r="S29" i="1"/>
  <c r="Q29" i="1"/>
  <c r="P29" i="1"/>
  <c r="O29" i="1"/>
  <c r="M29" i="1"/>
  <c r="L29" i="1"/>
  <c r="I29" i="1"/>
  <c r="E29" i="1"/>
  <c r="N29" i="1" s="1"/>
  <c r="D29" i="1"/>
  <c r="AK28" i="1"/>
  <c r="AJ28" i="1"/>
  <c r="AL28" i="1" s="1"/>
  <c r="AH28" i="1"/>
  <c r="AF28" i="1"/>
  <c r="AE28" i="1"/>
  <c r="AD28" i="1"/>
  <c r="AB28" i="1"/>
  <c r="Z28" i="1"/>
  <c r="Y28" i="1"/>
  <c r="X28" i="1"/>
  <c r="V28" i="1"/>
  <c r="U28" i="1"/>
  <c r="S28" i="1"/>
  <c r="Q28" i="1"/>
  <c r="P28" i="1"/>
  <c r="O28" i="1"/>
  <c r="M28" i="1"/>
  <c r="L28" i="1"/>
  <c r="K28" i="1"/>
  <c r="J28" i="1"/>
  <c r="I28" i="1"/>
  <c r="E28" i="1"/>
  <c r="N28" i="1" s="1"/>
  <c r="D28" i="1"/>
  <c r="AK27" i="1"/>
  <c r="AJ27" i="1"/>
  <c r="AL27" i="1" s="1"/>
  <c r="AH27" i="1"/>
  <c r="AF27" i="1"/>
  <c r="AE27" i="1"/>
  <c r="AD27" i="1"/>
  <c r="AB27" i="1"/>
  <c r="Z27" i="1"/>
  <c r="Y27" i="1"/>
  <c r="X27" i="1"/>
  <c r="V27" i="1"/>
  <c r="U27" i="1"/>
  <c r="S27" i="1"/>
  <c r="Q27" i="1"/>
  <c r="P27" i="1"/>
  <c r="O27" i="1"/>
  <c r="M27" i="1"/>
  <c r="L27" i="1"/>
  <c r="K27" i="1"/>
  <c r="J27" i="1"/>
  <c r="I27" i="1"/>
  <c r="E27" i="1"/>
  <c r="N27" i="1" s="1"/>
  <c r="D27" i="1"/>
  <c r="AK26" i="1"/>
  <c r="AJ26" i="1"/>
  <c r="AL26" i="1" s="1"/>
  <c r="AH26" i="1"/>
  <c r="AF26" i="1"/>
  <c r="AE26" i="1"/>
  <c r="AD26" i="1"/>
  <c r="AB26" i="1"/>
  <c r="Z26" i="1"/>
  <c r="Y26" i="1"/>
  <c r="X26" i="1"/>
  <c r="V26" i="1"/>
  <c r="U26" i="1"/>
  <c r="S26" i="1"/>
  <c r="Q26" i="1"/>
  <c r="P26" i="1"/>
  <c r="O26" i="1"/>
  <c r="M26" i="1"/>
  <c r="L26" i="1"/>
  <c r="K26" i="1"/>
  <c r="J26" i="1"/>
  <c r="I26" i="1"/>
  <c r="E26" i="1"/>
  <c r="N26" i="1" s="1"/>
  <c r="D26" i="1"/>
  <c r="AK25" i="1"/>
  <c r="AJ25" i="1"/>
  <c r="AL25" i="1" s="1"/>
  <c r="AH25" i="1"/>
  <c r="AF25" i="1"/>
  <c r="AE25" i="1"/>
  <c r="AD25" i="1"/>
  <c r="AB25" i="1"/>
  <c r="Z25" i="1"/>
  <c r="Y25" i="1"/>
  <c r="AC25" i="1" s="1"/>
  <c r="X25" i="1"/>
  <c r="AA25" i="1" s="1"/>
  <c r="V25" i="1"/>
  <c r="U25" i="1"/>
  <c r="S25" i="1"/>
  <c r="Q25" i="1"/>
  <c r="P25" i="1"/>
  <c r="O25" i="1"/>
  <c r="M25" i="1"/>
  <c r="L25" i="1"/>
  <c r="K25" i="1"/>
  <c r="J25" i="1"/>
  <c r="I25" i="1"/>
  <c r="E25" i="1"/>
  <c r="N25" i="1" s="1"/>
  <c r="D25" i="1"/>
  <c r="AK24" i="1"/>
  <c r="AJ24" i="1"/>
  <c r="AL24" i="1" s="1"/>
  <c r="AH24" i="1"/>
  <c r="AF24" i="1"/>
  <c r="AE24" i="1"/>
  <c r="AD24" i="1"/>
  <c r="AB24" i="1"/>
  <c r="Z24" i="1"/>
  <c r="Y24" i="1"/>
  <c r="AC24" i="1" s="1"/>
  <c r="X24" i="1"/>
  <c r="AA24" i="1" s="1"/>
  <c r="V24" i="1"/>
  <c r="U24" i="1"/>
  <c r="S24" i="1"/>
  <c r="Q24" i="1"/>
  <c r="P24" i="1"/>
  <c r="O24" i="1"/>
  <c r="M24" i="1"/>
  <c r="L24" i="1"/>
  <c r="K24" i="1"/>
  <c r="J24" i="1"/>
  <c r="I24" i="1"/>
  <c r="E24" i="1"/>
  <c r="N24" i="1" s="1"/>
  <c r="D24" i="1"/>
  <c r="AK23" i="1"/>
  <c r="AJ23" i="1"/>
  <c r="AL23" i="1" s="1"/>
  <c r="AH23" i="1"/>
  <c r="AF23" i="1"/>
  <c r="AE23" i="1"/>
  <c r="AD23" i="1"/>
  <c r="AB23" i="1"/>
  <c r="Z23" i="1"/>
  <c r="Y23" i="1"/>
  <c r="AC23" i="1" s="1"/>
  <c r="X23" i="1"/>
  <c r="AA23" i="1" s="1"/>
  <c r="V23" i="1"/>
  <c r="U23" i="1"/>
  <c r="S23" i="1"/>
  <c r="Q23" i="1"/>
  <c r="P23" i="1"/>
  <c r="O23" i="1"/>
  <c r="M23" i="1"/>
  <c r="L23" i="1"/>
  <c r="K23" i="1"/>
  <c r="J23" i="1"/>
  <c r="I23" i="1"/>
  <c r="E23" i="1"/>
  <c r="N23" i="1" s="1"/>
  <c r="D23" i="1"/>
  <c r="AK22" i="1"/>
  <c r="AJ22" i="1"/>
  <c r="AL22" i="1" s="1"/>
  <c r="AH22" i="1"/>
  <c r="AF22" i="1"/>
  <c r="AE22" i="1"/>
  <c r="AD22" i="1"/>
  <c r="AB22" i="1"/>
  <c r="Z22" i="1"/>
  <c r="Y22" i="1"/>
  <c r="AC22" i="1" s="1"/>
  <c r="X22" i="1"/>
  <c r="AA22" i="1" s="1"/>
  <c r="V22" i="1"/>
  <c r="U22" i="1"/>
  <c r="S22" i="1"/>
  <c r="Q22" i="1"/>
  <c r="P22" i="1"/>
  <c r="O22" i="1"/>
  <c r="M22" i="1"/>
  <c r="L22" i="1"/>
  <c r="K22" i="1"/>
  <c r="J22" i="1"/>
  <c r="I22" i="1"/>
  <c r="E22" i="1"/>
  <c r="N22" i="1" s="1"/>
  <c r="D22" i="1"/>
  <c r="AK21" i="1"/>
  <c r="AJ21" i="1"/>
  <c r="AL21" i="1" s="1"/>
  <c r="AH21" i="1"/>
  <c r="AF21" i="1"/>
  <c r="AE21" i="1"/>
  <c r="AD21" i="1"/>
  <c r="AB21" i="1"/>
  <c r="Z21" i="1"/>
  <c r="Y21" i="1"/>
  <c r="AC21" i="1" s="1"/>
  <c r="X21" i="1"/>
  <c r="AA21" i="1" s="1"/>
  <c r="V21" i="1"/>
  <c r="U21" i="1"/>
  <c r="S21" i="1"/>
  <c r="Q21" i="1"/>
  <c r="P21" i="1"/>
  <c r="O21" i="1"/>
  <c r="M21" i="1"/>
  <c r="L21" i="1"/>
  <c r="K21" i="1"/>
  <c r="J21" i="1"/>
  <c r="I21" i="1"/>
  <c r="E21" i="1"/>
  <c r="N21" i="1" s="1"/>
  <c r="D21" i="1"/>
  <c r="AK20" i="1"/>
  <c r="AJ20" i="1"/>
  <c r="AL20" i="1" s="1"/>
  <c r="AH20" i="1"/>
  <c r="AF20" i="1"/>
  <c r="AE20" i="1"/>
  <c r="AD20" i="1"/>
  <c r="AB20" i="1"/>
  <c r="Z20" i="1"/>
  <c r="Y20" i="1"/>
  <c r="X20" i="1"/>
  <c r="V20" i="1"/>
  <c r="U20" i="1"/>
  <c r="S20" i="1"/>
  <c r="Q20" i="1"/>
  <c r="P20" i="1"/>
  <c r="O20" i="1"/>
  <c r="M20" i="1"/>
  <c r="L20" i="1"/>
  <c r="K20" i="1"/>
  <c r="J20" i="1"/>
  <c r="I20" i="1"/>
  <c r="E20" i="1"/>
  <c r="N20" i="1" s="1"/>
  <c r="D20" i="1"/>
  <c r="AK19" i="1"/>
  <c r="AJ19" i="1"/>
  <c r="AL19" i="1" s="1"/>
  <c r="AH19" i="1"/>
  <c r="AF19" i="1"/>
  <c r="AE19" i="1"/>
  <c r="AD19" i="1"/>
  <c r="AB19" i="1"/>
  <c r="Z19" i="1"/>
  <c r="Y19" i="1"/>
  <c r="AC19" i="1" s="1"/>
  <c r="X19" i="1"/>
  <c r="AA19" i="1" s="1"/>
  <c r="V19" i="1"/>
  <c r="U19" i="1"/>
  <c r="S19" i="1"/>
  <c r="Q19" i="1"/>
  <c r="P19" i="1"/>
  <c r="O19" i="1"/>
  <c r="M19" i="1"/>
  <c r="L19" i="1"/>
  <c r="K19" i="1"/>
  <c r="J19" i="1"/>
  <c r="I19" i="1"/>
  <c r="E19" i="1"/>
  <c r="N19" i="1" s="1"/>
  <c r="D19" i="1"/>
  <c r="AK18" i="1"/>
  <c r="AJ18" i="1"/>
  <c r="AL18" i="1" s="1"/>
  <c r="AH18" i="1"/>
  <c r="AF18" i="1"/>
  <c r="AE18" i="1"/>
  <c r="AD18" i="1"/>
  <c r="AB18" i="1"/>
  <c r="Z18" i="1"/>
  <c r="Y18" i="1"/>
  <c r="X18" i="1"/>
  <c r="V18" i="1"/>
  <c r="U18" i="1"/>
  <c r="S18" i="1"/>
  <c r="Q18" i="1"/>
  <c r="P18" i="1"/>
  <c r="O18" i="1"/>
  <c r="M18" i="1"/>
  <c r="L18" i="1"/>
  <c r="K18" i="1"/>
  <c r="J18" i="1"/>
  <c r="I18" i="1"/>
  <c r="E18" i="1"/>
  <c r="N18" i="1" s="1"/>
  <c r="D18" i="1"/>
  <c r="AK17" i="1"/>
  <c r="AJ17" i="1"/>
  <c r="AL17" i="1" s="1"/>
  <c r="AH17" i="1"/>
  <c r="AF17" i="1"/>
  <c r="AE17" i="1"/>
  <c r="AD17" i="1"/>
  <c r="AB17" i="1"/>
  <c r="Z17" i="1"/>
  <c r="Y17" i="1"/>
  <c r="AC17" i="1" s="1"/>
  <c r="X17" i="1"/>
  <c r="AA17" i="1" s="1"/>
  <c r="V17" i="1"/>
  <c r="U17" i="1"/>
  <c r="S17" i="1"/>
  <c r="Q17" i="1"/>
  <c r="P17" i="1"/>
  <c r="O17" i="1"/>
  <c r="M17" i="1"/>
  <c r="L17" i="1"/>
  <c r="K17" i="1"/>
  <c r="J17" i="1"/>
  <c r="I17" i="1"/>
  <c r="E17" i="1"/>
  <c r="N17" i="1" s="1"/>
  <c r="D17" i="1"/>
  <c r="AK16" i="1"/>
  <c r="AJ16" i="1"/>
  <c r="AL16" i="1" s="1"/>
  <c r="AH16" i="1"/>
  <c r="AF16" i="1"/>
  <c r="AE16" i="1"/>
  <c r="AD16" i="1"/>
  <c r="AB16" i="1"/>
  <c r="Z16" i="1"/>
  <c r="Y16" i="1"/>
  <c r="AC16" i="1" s="1"/>
  <c r="X16" i="1"/>
  <c r="AA16" i="1" s="1"/>
  <c r="V16" i="1"/>
  <c r="U16" i="1"/>
  <c r="S16" i="1"/>
  <c r="Q16" i="1"/>
  <c r="P16" i="1"/>
  <c r="O16" i="1"/>
  <c r="M16" i="1"/>
  <c r="L16" i="1"/>
  <c r="K16" i="1"/>
  <c r="J16" i="1"/>
  <c r="I16" i="1"/>
  <c r="E16" i="1"/>
  <c r="N16" i="1" s="1"/>
  <c r="D16" i="1"/>
  <c r="AK15" i="1"/>
  <c r="AJ15" i="1"/>
  <c r="AL15" i="1" s="1"/>
  <c r="AH15" i="1"/>
  <c r="AF15" i="1"/>
  <c r="AE15" i="1"/>
  <c r="AD15" i="1"/>
  <c r="AB15" i="1"/>
  <c r="Z15" i="1"/>
  <c r="Y15" i="1"/>
  <c r="X15" i="1"/>
  <c r="V15" i="1"/>
  <c r="U15" i="1"/>
  <c r="S15" i="1"/>
  <c r="Q15" i="1"/>
  <c r="P15" i="1"/>
  <c r="O15" i="1"/>
  <c r="M15" i="1"/>
  <c r="L15" i="1"/>
  <c r="K15" i="1"/>
  <c r="J15" i="1"/>
  <c r="I15" i="1"/>
  <c r="E15" i="1"/>
  <c r="N15" i="1" s="1"/>
  <c r="D15" i="1"/>
  <c r="AK14" i="1"/>
  <c r="AJ14" i="1"/>
  <c r="AL14" i="1" s="1"/>
  <c r="AH14" i="1"/>
  <c r="AF14" i="1"/>
  <c r="AE14" i="1"/>
  <c r="AD14" i="1"/>
  <c r="AB14" i="1"/>
  <c r="Z14" i="1"/>
  <c r="Y14" i="1"/>
  <c r="X14" i="1"/>
  <c r="V14" i="1"/>
  <c r="U14" i="1"/>
  <c r="S14" i="1"/>
  <c r="Q14" i="1"/>
  <c r="P14" i="1"/>
  <c r="O14" i="1"/>
  <c r="M14" i="1"/>
  <c r="L14" i="1"/>
  <c r="K14" i="1"/>
  <c r="J14" i="1"/>
  <c r="I14" i="1"/>
  <c r="E14" i="1"/>
  <c r="N14" i="1" s="1"/>
  <c r="D14" i="1"/>
  <c r="AL12" i="1"/>
  <c r="AI12" i="1"/>
  <c r="AG12" i="1"/>
  <c r="AC12" i="1"/>
  <c r="AA12" i="1"/>
  <c r="W12" i="1"/>
  <c r="T12" i="1"/>
  <c r="R12" i="1"/>
  <c r="G12" i="1"/>
  <c r="F12" i="1"/>
  <c r="AI11" i="1"/>
  <c r="AC11" i="1"/>
  <c r="T11" i="1"/>
  <c r="N11" i="1"/>
  <c r="G11" i="1"/>
  <c r="F11" i="1"/>
  <c r="AI10" i="1"/>
  <c r="AC10" i="1"/>
  <c r="T10" i="1"/>
  <c r="N10" i="1"/>
  <c r="G10" i="1"/>
  <c r="F10" i="1"/>
  <c r="AI9" i="1"/>
  <c r="AC9" i="1"/>
  <c r="T9" i="1"/>
  <c r="N9" i="1"/>
  <c r="G9" i="1"/>
  <c r="F9" i="1"/>
  <c r="AG13" i="3" l="1"/>
  <c r="Y38" i="7"/>
  <c r="T34" i="7"/>
  <c r="C39" i="8"/>
  <c r="AO23" i="3"/>
  <c r="Z18" i="6"/>
  <c r="Q40" i="6"/>
  <c r="Z40" i="6"/>
  <c r="AG22" i="5"/>
  <c r="CI85" i="5"/>
  <c r="R76" i="3"/>
  <c r="C24" i="3"/>
  <c r="AS28" i="3"/>
  <c r="AD47" i="6"/>
  <c r="Z28" i="6"/>
  <c r="Z38" i="6"/>
  <c r="AW47" i="8"/>
  <c r="T23" i="6"/>
  <c r="W46" i="2"/>
  <c r="R55" i="1"/>
  <c r="AS88" i="5"/>
  <c r="BM88" i="5"/>
  <c r="W80" i="2"/>
  <c r="AE24" i="5"/>
  <c r="T32" i="7"/>
  <c r="C75" i="7"/>
  <c r="AC84" i="7"/>
  <c r="AD45" i="3"/>
  <c r="AL45" i="3"/>
  <c r="AD49" i="3"/>
  <c r="AL49" i="3"/>
  <c r="C72" i="5"/>
  <c r="W66" i="1"/>
  <c r="W72" i="1"/>
  <c r="T73" i="2"/>
  <c r="AL55" i="3"/>
  <c r="C30" i="7"/>
  <c r="T65" i="1"/>
  <c r="AA48" i="2"/>
  <c r="W85" i="3"/>
  <c r="S80" i="5"/>
  <c r="Q48" i="7"/>
  <c r="AE48" i="7" s="1"/>
  <c r="AY70" i="8"/>
  <c r="AH54" i="3"/>
  <c r="AH67" i="3"/>
  <c r="AH68" i="3"/>
  <c r="AF88" i="4"/>
  <c r="T79" i="7"/>
  <c r="Q51" i="8"/>
  <c r="AQ28" i="5"/>
  <c r="T38" i="7"/>
  <c r="W33" i="8"/>
  <c r="W19" i="3"/>
  <c r="AF86" i="4"/>
  <c r="C14" i="8"/>
  <c r="T18" i="2"/>
  <c r="Q57" i="8"/>
  <c r="W16" i="1"/>
  <c r="C71" i="1"/>
  <c r="T46" i="2"/>
  <c r="AD24" i="3"/>
  <c r="AD65" i="3"/>
  <c r="AL67" i="3"/>
  <c r="AL70" i="3"/>
  <c r="AS72" i="3"/>
  <c r="AL80" i="3"/>
  <c r="BM40" i="5"/>
  <c r="AS41" i="5"/>
  <c r="C55" i="8"/>
  <c r="BK73" i="5"/>
  <c r="Q54" i="8"/>
  <c r="W32" i="3"/>
  <c r="C64" i="3"/>
  <c r="CI86" i="5"/>
  <c r="P41" i="9"/>
  <c r="AD85" i="6"/>
  <c r="T36" i="2"/>
  <c r="W20" i="7"/>
  <c r="T21" i="7"/>
  <c r="T64" i="7"/>
  <c r="AA71" i="7"/>
  <c r="AC46" i="2"/>
  <c r="AS16" i="3"/>
  <c r="AS33" i="3"/>
  <c r="AS34" i="3"/>
  <c r="AS39" i="3"/>
  <c r="T36" i="4"/>
  <c r="AS19" i="5"/>
  <c r="C72" i="8"/>
  <c r="AD15" i="3"/>
  <c r="AD16" i="3"/>
  <c r="AD25" i="3"/>
  <c r="AL78" i="3"/>
  <c r="CS40" i="5"/>
  <c r="BM44" i="5"/>
  <c r="AS84" i="5"/>
  <c r="R59" i="1"/>
  <c r="C59" i="5"/>
  <c r="AE78" i="5"/>
  <c r="C36" i="3"/>
  <c r="T29" i="3"/>
  <c r="T30" i="3"/>
  <c r="T32" i="3"/>
  <c r="AQ24" i="5"/>
  <c r="AQ26" i="5"/>
  <c r="CI65" i="5"/>
  <c r="AG68" i="5"/>
  <c r="C23" i="1"/>
  <c r="R63" i="1"/>
  <c r="W15" i="2"/>
  <c r="AC29" i="2"/>
  <c r="R37" i="3"/>
  <c r="AO41" i="3"/>
  <c r="R49" i="3"/>
  <c r="R50" i="3"/>
  <c r="R53" i="3"/>
  <c r="R55" i="3"/>
  <c r="R65" i="3"/>
  <c r="R67" i="3"/>
  <c r="R68" i="3"/>
  <c r="R72" i="3"/>
  <c r="C36" i="9"/>
  <c r="W63" i="2"/>
  <c r="W88" i="2"/>
  <c r="T35" i="3"/>
  <c r="AA38" i="3"/>
  <c r="T40" i="3"/>
  <c r="T45" i="3"/>
  <c r="AE79" i="5"/>
  <c r="AE84" i="5"/>
  <c r="C46" i="6"/>
  <c r="C61" i="8"/>
  <c r="T64" i="8"/>
  <c r="AG84" i="5"/>
  <c r="AG87" i="5"/>
  <c r="C38" i="8"/>
  <c r="AF43" i="8"/>
  <c r="C44" i="8"/>
  <c r="AC18" i="1"/>
  <c r="AI35" i="1"/>
  <c r="W65" i="1"/>
  <c r="W77" i="1"/>
  <c r="AC39" i="2"/>
  <c r="AC45" i="2"/>
  <c r="T66" i="2"/>
  <c r="AD18" i="3"/>
  <c r="AL20" i="3"/>
  <c r="AL23" i="3"/>
  <c r="AS54" i="3"/>
  <c r="AS66" i="3"/>
  <c r="BK14" i="5"/>
  <c r="CS17" i="5"/>
  <c r="S36" i="5"/>
  <c r="S40" i="5"/>
  <c r="C51" i="6"/>
  <c r="AF61" i="8"/>
  <c r="Q88" i="4"/>
  <c r="S34" i="5"/>
  <c r="S35" i="5"/>
  <c r="Q27" i="7"/>
  <c r="AE27" i="7" s="1"/>
  <c r="W84" i="7"/>
  <c r="AW80" i="8"/>
  <c r="P20" i="9"/>
  <c r="BK58" i="5"/>
  <c r="AH36" i="6"/>
  <c r="AY55" i="8"/>
  <c r="R57" i="1"/>
  <c r="H28" i="2"/>
  <c r="F28" i="2" s="1"/>
  <c r="G28" i="2" s="1"/>
  <c r="AC59" i="2"/>
  <c r="AS18" i="3"/>
  <c r="AA36" i="3"/>
  <c r="T42" i="3"/>
  <c r="AO50" i="3"/>
  <c r="AH70" i="3"/>
  <c r="AO83" i="3"/>
  <c r="R87" i="3"/>
  <c r="R88" i="3"/>
  <c r="BK85" i="5"/>
  <c r="AE87" i="5"/>
  <c r="AE88" i="5"/>
  <c r="AG28" i="1"/>
  <c r="AI29" i="1"/>
  <c r="C34" i="1"/>
  <c r="AA87" i="3"/>
  <c r="C89" i="3"/>
  <c r="C10" i="3" s="1"/>
  <c r="C9" i="3" s="1"/>
  <c r="S42" i="5"/>
  <c r="S47" i="5"/>
  <c r="CQ51" i="5"/>
  <c r="CI87" i="5"/>
  <c r="C89" i="7"/>
  <c r="C10" i="7" s="1"/>
  <c r="C84" i="9"/>
  <c r="AC42" i="2"/>
  <c r="T43" i="2"/>
  <c r="W45" i="2"/>
  <c r="C46" i="2"/>
  <c r="AF32" i="4"/>
  <c r="C89" i="4"/>
  <c r="C10" i="4" s="1"/>
  <c r="H89" i="5"/>
  <c r="F89" i="5" s="1"/>
  <c r="W30" i="7"/>
  <c r="H89" i="9"/>
  <c r="F89" i="9" s="1"/>
  <c r="R41" i="1"/>
  <c r="R81" i="1"/>
  <c r="T23" i="2"/>
  <c r="T29" i="2"/>
  <c r="W38" i="2"/>
  <c r="T48" i="2"/>
  <c r="AC85" i="2"/>
  <c r="AO14" i="3"/>
  <c r="C15" i="3"/>
  <c r="W26" i="3"/>
  <c r="C27" i="3"/>
  <c r="W42" i="3"/>
  <c r="AS51" i="3"/>
  <c r="F91" i="4"/>
  <c r="U16" i="5"/>
  <c r="CQ22" i="5"/>
  <c r="BK62" i="5"/>
  <c r="BK67" i="5"/>
  <c r="AH45" i="6"/>
  <c r="C104" i="6"/>
  <c r="C11" i="6" s="1"/>
  <c r="C9" i="6" s="1"/>
  <c r="AC15" i="7"/>
  <c r="C57" i="8"/>
  <c r="C30" i="1"/>
  <c r="W36" i="1"/>
  <c r="AG38" i="1"/>
  <c r="C79" i="1"/>
  <c r="AH28" i="3"/>
  <c r="AC30" i="4"/>
  <c r="AF76" i="4"/>
  <c r="H104" i="5"/>
  <c r="F104" i="5" s="1"/>
  <c r="Z70" i="6"/>
  <c r="AH70" i="6"/>
  <c r="T57" i="7"/>
  <c r="T63" i="7"/>
  <c r="W68" i="7"/>
  <c r="T69" i="7"/>
  <c r="C104" i="7"/>
  <c r="C11" i="7" s="1"/>
  <c r="W28" i="8"/>
  <c r="AW65" i="8"/>
  <c r="AI36" i="1"/>
  <c r="R43" i="1"/>
  <c r="AA25" i="2"/>
  <c r="T45" i="2"/>
  <c r="T59" i="2"/>
  <c r="W81" i="2"/>
  <c r="T85" i="2"/>
  <c r="AH20" i="3"/>
  <c r="BM41" i="5"/>
  <c r="AW34" i="8"/>
  <c r="AA36" i="1"/>
  <c r="AC19" i="2"/>
  <c r="W20" i="2"/>
  <c r="C66" i="2"/>
  <c r="C61" i="3"/>
  <c r="T81" i="3"/>
  <c r="AG35" i="5"/>
  <c r="BM38" i="5"/>
  <c r="AE43" i="5"/>
  <c r="C44" i="5"/>
  <c r="BK44" i="5"/>
  <c r="AQ47" i="5"/>
  <c r="AE48" i="5"/>
  <c r="BK49" i="5"/>
  <c r="AE50" i="5"/>
  <c r="C53" i="5"/>
  <c r="BK60" i="5"/>
  <c r="C54" i="6"/>
  <c r="H55" i="6"/>
  <c r="F55" i="6" s="1"/>
  <c r="W35" i="7"/>
  <c r="AF55" i="8"/>
  <c r="H61" i="2"/>
  <c r="H84" i="2"/>
  <c r="F84" i="2" s="1"/>
  <c r="W86" i="2"/>
  <c r="AA24" i="3"/>
  <c r="AS21" i="5"/>
  <c r="BM62" i="5"/>
  <c r="BM65" i="5"/>
  <c r="H70" i="6"/>
  <c r="F70" i="6" s="1"/>
  <c r="G70" i="6" s="1"/>
  <c r="C82" i="6"/>
  <c r="T30" i="8"/>
  <c r="T32" i="8"/>
  <c r="AW32" i="8"/>
  <c r="AG35" i="1"/>
  <c r="C36" i="1"/>
  <c r="AG36" i="1"/>
  <c r="H21" i="2"/>
  <c r="F21" i="2" s="1"/>
  <c r="G21" i="2" s="1"/>
  <c r="AA40" i="2"/>
  <c r="AC41" i="2"/>
  <c r="AA46" i="2"/>
  <c r="AC47" i="2"/>
  <c r="AC80" i="2"/>
  <c r="AA81" i="2"/>
  <c r="T63" i="3"/>
  <c r="AH63" i="3"/>
  <c r="T69" i="3"/>
  <c r="CS23" i="5"/>
  <c r="AS26" i="5"/>
  <c r="AS27" i="5"/>
  <c r="BM27" i="5"/>
  <c r="AS34" i="5"/>
  <c r="BM34" i="5"/>
  <c r="BM35" i="5"/>
  <c r="AQ36" i="5"/>
  <c r="BK36" i="5"/>
  <c r="U37" i="5"/>
  <c r="AH46" i="6"/>
  <c r="C53" i="6"/>
  <c r="Z66" i="6"/>
  <c r="AH66" i="6"/>
  <c r="AC35" i="7"/>
  <c r="AW21" i="8"/>
  <c r="AF68" i="8"/>
  <c r="P38" i="9"/>
  <c r="P39" i="9"/>
  <c r="P40" i="9"/>
  <c r="C35" i="1"/>
  <c r="R53" i="1"/>
  <c r="W30" i="2"/>
  <c r="W37" i="2"/>
  <c r="W43" i="2"/>
  <c r="W56" i="2"/>
  <c r="R62" i="3"/>
  <c r="R70" i="3"/>
  <c r="AH75" i="3"/>
  <c r="H36" i="4"/>
  <c r="F36" i="4" s="1"/>
  <c r="G36" i="4" s="1"/>
  <c r="C85" i="4"/>
  <c r="H16" i="5"/>
  <c r="F16" i="5" s="1"/>
  <c r="G16" i="5" s="1"/>
  <c r="AE28" i="5"/>
  <c r="C32" i="5"/>
  <c r="BK32" i="5"/>
  <c r="AE34" i="5"/>
  <c r="C35" i="5"/>
  <c r="AE35" i="5"/>
  <c r="CI42" i="5"/>
  <c r="CS42" i="5"/>
  <c r="CI48" i="5"/>
  <c r="CS50" i="5"/>
  <c r="U78" i="5"/>
  <c r="AS86" i="5"/>
  <c r="BM86" i="5"/>
  <c r="AD24" i="6"/>
  <c r="Z49" i="6"/>
  <c r="C75" i="6"/>
  <c r="AH85" i="6"/>
  <c r="W21" i="7"/>
  <c r="T22" i="7"/>
  <c r="W79" i="7"/>
  <c r="AF54" i="8"/>
  <c r="AG16" i="1"/>
  <c r="T19" i="1"/>
  <c r="R49" i="1"/>
  <c r="AA72" i="1"/>
  <c r="AG78" i="1"/>
  <c r="AI86" i="1"/>
  <c r="R87" i="1"/>
  <c r="K13" i="1"/>
  <c r="AC20" i="1"/>
  <c r="AG30" i="1"/>
  <c r="C38" i="1"/>
  <c r="R60" i="1"/>
  <c r="C85" i="1"/>
  <c r="AA88" i="1"/>
  <c r="W19" i="2"/>
  <c r="H22" i="2"/>
  <c r="F22" i="2" s="1"/>
  <c r="AC24" i="2"/>
  <c r="T25" i="2"/>
  <c r="W27" i="2"/>
  <c r="N37" i="6"/>
  <c r="C37" i="6"/>
  <c r="AG33" i="1"/>
  <c r="R46" i="1"/>
  <c r="AA46" i="1"/>
  <c r="T55" i="1"/>
  <c r="T57" i="1"/>
  <c r="T63" i="1"/>
  <c r="W75" i="1"/>
  <c r="AG81" i="1"/>
  <c r="R83" i="1"/>
  <c r="R84" i="1"/>
  <c r="T85" i="1"/>
  <c r="AG88" i="1"/>
  <c r="CL13" i="5"/>
  <c r="T15" i="1"/>
  <c r="AG18" i="1"/>
  <c r="AA27" i="1"/>
  <c r="AI28" i="1"/>
  <c r="T39" i="1"/>
  <c r="W43" i="1"/>
  <c r="R45" i="1"/>
  <c r="T46" i="1"/>
  <c r="AI51" i="1"/>
  <c r="AJ52" i="1"/>
  <c r="AL52" i="1" s="1"/>
  <c r="L52" i="1"/>
  <c r="C55" i="1"/>
  <c r="W55" i="1"/>
  <c r="C60" i="1"/>
  <c r="W73" i="1"/>
  <c r="W16" i="2"/>
  <c r="AC23" i="2"/>
  <c r="AA62" i="7"/>
  <c r="Y62" i="7"/>
  <c r="Q62" i="7"/>
  <c r="AE62" i="7" s="1"/>
  <c r="C32" i="1"/>
  <c r="AI38" i="1"/>
  <c r="W21" i="2"/>
  <c r="T42" i="2"/>
  <c r="C61" i="2"/>
  <c r="AC63" i="2"/>
  <c r="AA17" i="3"/>
  <c r="AO19" i="3"/>
  <c r="AO22" i="3"/>
  <c r="AO28" i="3"/>
  <c r="C29" i="3"/>
  <c r="AH34" i="3"/>
  <c r="W41" i="3"/>
  <c r="AD46" i="3"/>
  <c r="AO68" i="3"/>
  <c r="AC69" i="4"/>
  <c r="AG17" i="5"/>
  <c r="AQ29" i="5"/>
  <c r="AQ30" i="5"/>
  <c r="BK30" i="5"/>
  <c r="AQ50" i="5"/>
  <c r="C19" i="6"/>
  <c r="C42" i="6"/>
  <c r="T28" i="7"/>
  <c r="Q29" i="7"/>
  <c r="AE29" i="7" s="1"/>
  <c r="T84" i="7"/>
  <c r="H87" i="7"/>
  <c r="F87" i="7" s="1"/>
  <c r="C26" i="8"/>
  <c r="AF30" i="8"/>
  <c r="BL34" i="8"/>
  <c r="AH52" i="8"/>
  <c r="BC52" i="8"/>
  <c r="BI52" i="8"/>
  <c r="H54" i="8"/>
  <c r="F54" i="8" s="1"/>
  <c r="G54" i="8" s="1"/>
  <c r="W59" i="8"/>
  <c r="BL59" i="8"/>
  <c r="T67" i="8"/>
  <c r="Q68" i="8"/>
  <c r="C76" i="8"/>
  <c r="P23" i="9"/>
  <c r="Q23" i="9" s="1"/>
  <c r="H25" i="9"/>
  <c r="F25" i="9" s="1"/>
  <c r="C27" i="2"/>
  <c r="F61" i="2"/>
  <c r="G61" i="2" s="1"/>
  <c r="AC61" i="2"/>
  <c r="AC73" i="2"/>
  <c r="T80" i="2"/>
  <c r="AA19" i="3"/>
  <c r="AL57" i="3"/>
  <c r="C78" i="3"/>
  <c r="C87" i="3"/>
  <c r="H48" i="4"/>
  <c r="F48" i="4" s="1"/>
  <c r="BM20" i="5"/>
  <c r="CS28" i="5"/>
  <c r="AQ40" i="5"/>
  <c r="AD14" i="6"/>
  <c r="AD17" i="6"/>
  <c r="C28" i="6"/>
  <c r="AD58" i="6"/>
  <c r="AW54" i="8"/>
  <c r="H22" i="9"/>
  <c r="F22" i="9" s="1"/>
  <c r="G22" i="9" s="1"/>
  <c r="P27" i="9"/>
  <c r="P29" i="9"/>
  <c r="Q29" i="9" s="1"/>
  <c r="P32" i="9"/>
  <c r="W24" i="2"/>
  <c r="Z31" i="2"/>
  <c r="W35" i="2"/>
  <c r="T40" i="2"/>
  <c r="C59" i="2"/>
  <c r="AA33" i="3"/>
  <c r="AH36" i="3"/>
  <c r="AH41" i="3"/>
  <c r="H21" i="4"/>
  <c r="F21" i="4" s="1"/>
  <c r="AE22" i="5"/>
  <c r="C68" i="5"/>
  <c r="U75" i="5"/>
  <c r="U76" i="5"/>
  <c r="AG79" i="5"/>
  <c r="CQ82" i="5"/>
  <c r="AH28" i="6"/>
  <c r="T29" i="7"/>
  <c r="H60" i="7"/>
  <c r="F60" i="7" s="1"/>
  <c r="W72" i="7"/>
  <c r="T73" i="7"/>
  <c r="AS16" i="8"/>
  <c r="C27" i="8"/>
  <c r="C35" i="8"/>
  <c r="AS42" i="8"/>
  <c r="C71" i="9"/>
  <c r="AC26" i="2"/>
  <c r="AC38" i="2"/>
  <c r="AS20" i="3"/>
  <c r="AA40" i="3"/>
  <c r="AA43" i="3"/>
  <c r="H49" i="3"/>
  <c r="F49" i="3" s="1"/>
  <c r="G49" i="3" s="1"/>
  <c r="T49" i="3"/>
  <c r="T50" i="3"/>
  <c r="T51" i="3"/>
  <c r="T72" i="3"/>
  <c r="T84" i="3"/>
  <c r="T87" i="3"/>
  <c r="T88" i="3"/>
  <c r="AS14" i="5"/>
  <c r="CI19" i="5"/>
  <c r="AG20" i="5"/>
  <c r="AS29" i="5"/>
  <c r="AG30" i="5"/>
  <c r="U40" i="5"/>
  <c r="CQ40" i="5"/>
  <c r="AE41" i="5"/>
  <c r="BM50" i="5"/>
  <c r="BM51" i="5"/>
  <c r="BK54" i="5"/>
  <c r="BK55" i="5"/>
  <c r="BK56" i="5"/>
  <c r="BM57" i="5"/>
  <c r="BK59" i="5"/>
  <c r="CI62" i="5"/>
  <c r="BM68" i="5"/>
  <c r="CI68" i="5"/>
  <c r="AG69" i="5"/>
  <c r="AQ72" i="5"/>
  <c r="BK72" i="5"/>
  <c r="AQ78" i="5"/>
  <c r="AQ79" i="5"/>
  <c r="BK79" i="5"/>
  <c r="G82" i="6"/>
  <c r="AA22" i="7"/>
  <c r="AS21" i="8"/>
  <c r="AW33" i="8"/>
  <c r="H59" i="8"/>
  <c r="F59" i="8" s="1"/>
  <c r="G59" i="8" s="1"/>
  <c r="AY63" i="8"/>
  <c r="AW64" i="8"/>
  <c r="T80" i="8"/>
  <c r="H36" i="9"/>
  <c r="F36" i="9" s="1"/>
  <c r="G36" i="9" s="1"/>
  <c r="P44" i="9"/>
  <c r="P45" i="9"/>
  <c r="Q45" i="9" s="1"/>
  <c r="P58" i="9"/>
  <c r="P62" i="9"/>
  <c r="P63" i="9"/>
  <c r="P64" i="9"/>
  <c r="P69" i="9"/>
  <c r="Q69" i="9" s="1"/>
  <c r="P70" i="9"/>
  <c r="P71" i="9"/>
  <c r="T28" i="2"/>
  <c r="W32" i="2"/>
  <c r="T38" i="2"/>
  <c r="AA51" i="2"/>
  <c r="AA59" i="2"/>
  <c r="C64" i="2"/>
  <c r="T68" i="2"/>
  <c r="T70" i="2"/>
  <c r="AC70" i="2"/>
  <c r="C72" i="2"/>
  <c r="H75" i="2"/>
  <c r="F75" i="2" s="1"/>
  <c r="T76" i="2"/>
  <c r="AD30" i="3"/>
  <c r="AD32" i="3"/>
  <c r="AL39" i="3"/>
  <c r="H46" i="3"/>
  <c r="F46" i="3" s="1"/>
  <c r="G46" i="3" s="1"/>
  <c r="T57" i="3"/>
  <c r="T58" i="3"/>
  <c r="AA58" i="3"/>
  <c r="G61" i="3"/>
  <c r="W65" i="3"/>
  <c r="AA80" i="3"/>
  <c r="AA81" i="3"/>
  <c r="AA84" i="3"/>
  <c r="C67" i="4"/>
  <c r="C70" i="4"/>
  <c r="C14" i="5"/>
  <c r="CS16" i="5"/>
  <c r="U17" i="5"/>
  <c r="BK20" i="5"/>
  <c r="C37" i="5"/>
  <c r="S44" i="5"/>
  <c r="CQ45" i="5"/>
  <c r="U62" i="5"/>
  <c r="AS79" i="5"/>
  <c r="T18" i="6"/>
  <c r="Z20" i="6"/>
  <c r="AH20" i="6"/>
  <c r="Q23" i="6"/>
  <c r="H25" i="6"/>
  <c r="F25" i="6" s="1"/>
  <c r="Z34" i="6"/>
  <c r="AD42" i="6"/>
  <c r="C67" i="6"/>
  <c r="C70" i="6"/>
  <c r="C20" i="7"/>
  <c r="T27" i="7"/>
  <c r="C38" i="7"/>
  <c r="H42" i="7"/>
  <c r="F42" i="7" s="1"/>
  <c r="G42" i="7" s="1"/>
  <c r="AA46" i="7"/>
  <c r="AA53" i="7"/>
  <c r="W64" i="7"/>
  <c r="T71" i="7"/>
  <c r="C82" i="7"/>
  <c r="C87" i="7"/>
  <c r="T20" i="8"/>
  <c r="AW27" i="8"/>
  <c r="AY33" i="8"/>
  <c r="W68" i="8"/>
  <c r="H77" i="8"/>
  <c r="F77" i="8" s="1"/>
  <c r="C19" i="9"/>
  <c r="C21" i="9"/>
  <c r="H14" i="1"/>
  <c r="F14" i="1" s="1"/>
  <c r="G14" i="1" s="1"/>
  <c r="T14" i="1"/>
  <c r="Y13" i="1"/>
  <c r="AI14" i="1"/>
  <c r="C18" i="1"/>
  <c r="AI21" i="1"/>
  <c r="AG23" i="1"/>
  <c r="AG25" i="1"/>
  <c r="AI27" i="1"/>
  <c r="AA28" i="1"/>
  <c r="AG37" i="1"/>
  <c r="W38" i="1"/>
  <c r="C41" i="1"/>
  <c r="R44" i="1"/>
  <c r="H45" i="1"/>
  <c r="F45" i="1" s="1"/>
  <c r="G45" i="1" s="1"/>
  <c r="R51" i="1"/>
  <c r="H61" i="1"/>
  <c r="F61" i="1" s="1"/>
  <c r="G61" i="1" s="1"/>
  <c r="R62" i="1"/>
  <c r="C87" i="1"/>
  <c r="AC20" i="2"/>
  <c r="AC21" i="2"/>
  <c r="C24" i="2"/>
  <c r="AA26" i="2"/>
  <c r="AC27" i="2"/>
  <c r="AC30" i="2"/>
  <c r="AC32" i="2"/>
  <c r="AA33" i="2"/>
  <c r="W36" i="2"/>
  <c r="AC40" i="2"/>
  <c r="W44" i="2"/>
  <c r="C47" i="2"/>
  <c r="H48" i="2"/>
  <c r="F48" i="2" s="1"/>
  <c r="G48" i="2" s="1"/>
  <c r="AC48" i="2"/>
  <c r="H50" i="2"/>
  <c r="F50" i="2" s="1"/>
  <c r="G50" i="2" s="1"/>
  <c r="W68" i="2"/>
  <c r="AA18" i="1"/>
  <c r="AI23" i="1"/>
  <c r="AI25" i="1"/>
  <c r="U31" i="1"/>
  <c r="H43" i="1"/>
  <c r="F43" i="1" s="1"/>
  <c r="G43" i="1" s="1"/>
  <c r="R50" i="1"/>
  <c r="H51" i="1"/>
  <c r="F51" i="1" s="1"/>
  <c r="G51" i="1" s="1"/>
  <c r="T71" i="1"/>
  <c r="J74" i="4"/>
  <c r="C82" i="4"/>
  <c r="G82" i="4"/>
  <c r="S13" i="1"/>
  <c r="R17" i="1"/>
  <c r="R33" i="1"/>
  <c r="R48" i="1"/>
  <c r="R66" i="1"/>
  <c r="R67" i="1"/>
  <c r="R76" i="1"/>
  <c r="AG83" i="1"/>
  <c r="AG84" i="1"/>
  <c r="R86" i="1"/>
  <c r="T26" i="2"/>
  <c r="H32" i="2"/>
  <c r="W33" i="2"/>
  <c r="H36" i="2"/>
  <c r="F36" i="2" s="1"/>
  <c r="G36" i="2" s="1"/>
  <c r="T39" i="2"/>
  <c r="T47" i="2"/>
  <c r="W49" i="2"/>
  <c r="C51" i="2"/>
  <c r="N73" i="3"/>
  <c r="C73" i="3"/>
  <c r="N58" i="4"/>
  <c r="C58" i="4"/>
  <c r="T17" i="1"/>
  <c r="AG20" i="1"/>
  <c r="C21" i="1"/>
  <c r="C22" i="1"/>
  <c r="AG22" i="1"/>
  <c r="W23" i="1"/>
  <c r="C27" i="1"/>
  <c r="C28" i="1"/>
  <c r="W61" i="1"/>
  <c r="AI63" i="1"/>
  <c r="H70" i="1"/>
  <c r="F70" i="1" s="1"/>
  <c r="G70" i="1" s="1"/>
  <c r="I74" i="1"/>
  <c r="R77" i="1"/>
  <c r="AI83" i="1"/>
  <c r="C84" i="1"/>
  <c r="T16" i="2"/>
  <c r="AC35" i="2"/>
  <c r="AC44" i="2"/>
  <c r="AA45" i="2"/>
  <c r="T83" i="3"/>
  <c r="C14" i="1"/>
  <c r="C20" i="1"/>
  <c r="C25" i="1"/>
  <c r="C26" i="1"/>
  <c r="H63" i="1"/>
  <c r="F63" i="1" s="1"/>
  <c r="G63" i="1" s="1"/>
  <c r="O52" i="1"/>
  <c r="C81" i="1"/>
  <c r="C82" i="1"/>
  <c r="W18" i="2"/>
  <c r="W25" i="2"/>
  <c r="C26" i="2"/>
  <c r="W26" i="2"/>
  <c r="W28" i="2"/>
  <c r="C30" i="2"/>
  <c r="AC37" i="2"/>
  <c r="W40" i="2"/>
  <c r="H42" i="2"/>
  <c r="F42" i="2" s="1"/>
  <c r="G42" i="2" s="1"/>
  <c r="W48" i="2"/>
  <c r="AF56" i="4"/>
  <c r="T51" i="2"/>
  <c r="AC51" i="2"/>
  <c r="C54" i="2"/>
  <c r="J74" i="2"/>
  <c r="T77" i="2"/>
  <c r="AC77" i="2"/>
  <c r="W82" i="2"/>
  <c r="C85" i="2"/>
  <c r="R16" i="3"/>
  <c r="AO17" i="3"/>
  <c r="W20" i="3"/>
  <c r="AD20" i="3"/>
  <c r="W21" i="3"/>
  <c r="AL27" i="3"/>
  <c r="AS27" i="3"/>
  <c r="AD28" i="3"/>
  <c r="AL29" i="3"/>
  <c r="AS30" i="3"/>
  <c r="AD33" i="3"/>
  <c r="AL35" i="3"/>
  <c r="AS36" i="3"/>
  <c r="C43" i="3"/>
  <c r="T46" i="3"/>
  <c r="AL48" i="3"/>
  <c r="AA54" i="3"/>
  <c r="T55" i="3"/>
  <c r="C58" i="3"/>
  <c r="AH65" i="3"/>
  <c r="AH66" i="3"/>
  <c r="H73" i="3"/>
  <c r="F73" i="3" s="1"/>
  <c r="T76" i="3"/>
  <c r="R78" i="3"/>
  <c r="R79" i="3"/>
  <c r="AH80" i="3"/>
  <c r="AO80" i="3"/>
  <c r="AL83" i="3"/>
  <c r="AL84" i="3"/>
  <c r="AD85" i="3"/>
  <c r="H20" i="4"/>
  <c r="F20" i="4" s="1"/>
  <c r="H22" i="4"/>
  <c r="F22" i="4" s="1"/>
  <c r="Q30" i="4"/>
  <c r="AF30" i="4"/>
  <c r="H50" i="4"/>
  <c r="F50" i="4" s="1"/>
  <c r="H67" i="4"/>
  <c r="F67" i="4" s="1"/>
  <c r="T69" i="4"/>
  <c r="Q75" i="4"/>
  <c r="Z75" i="4"/>
  <c r="H88" i="4"/>
  <c r="F88" i="4" s="1"/>
  <c r="G88" i="4" s="1"/>
  <c r="BM15" i="5"/>
  <c r="C18" i="5"/>
  <c r="AE19" i="5"/>
  <c r="P52" i="2"/>
  <c r="AA68" i="2"/>
  <c r="AA15" i="3"/>
  <c r="AO20" i="3"/>
  <c r="C21" i="3"/>
  <c r="W35" i="3"/>
  <c r="AD36" i="3"/>
  <c r="H39" i="3"/>
  <c r="F39" i="3" s="1"/>
  <c r="R56" i="3"/>
  <c r="AH56" i="3"/>
  <c r="R58" i="3"/>
  <c r="AH58" i="3"/>
  <c r="H64" i="3"/>
  <c r="F64" i="3" s="1"/>
  <c r="R69" i="3"/>
  <c r="T78" i="3"/>
  <c r="AA78" i="3"/>
  <c r="H79" i="3"/>
  <c r="F79" i="3" s="1"/>
  <c r="G79" i="3" s="1"/>
  <c r="T80" i="3"/>
  <c r="H81" i="3"/>
  <c r="F81" i="3" s="1"/>
  <c r="G81" i="3" s="1"/>
  <c r="J13" i="4"/>
  <c r="D31" i="4"/>
  <c r="M31" i="4"/>
  <c r="AC36" i="4"/>
  <c r="H42" i="4"/>
  <c r="F42" i="4" s="1"/>
  <c r="C53" i="4"/>
  <c r="AC88" i="4"/>
  <c r="AS16" i="5"/>
  <c r="BM16" i="5"/>
  <c r="CQ17" i="5"/>
  <c r="CI20" i="5"/>
  <c r="C53" i="2"/>
  <c r="AC55" i="2"/>
  <c r="AC56" i="2"/>
  <c r="AC68" i="2"/>
  <c r="D74" i="2"/>
  <c r="W77" i="2"/>
  <c r="C81" i="2"/>
  <c r="AC82" i="2"/>
  <c r="AC83" i="2"/>
  <c r="AC88" i="2"/>
  <c r="AH25" i="3"/>
  <c r="W28" i="3"/>
  <c r="AO29" i="3"/>
  <c r="AO32" i="3"/>
  <c r="AD38" i="3"/>
  <c r="AH42" i="3"/>
  <c r="H45" i="3"/>
  <c r="F45" i="3" s="1"/>
  <c r="G45" i="3" s="1"/>
  <c r="AO46" i="3"/>
  <c r="C49" i="3"/>
  <c r="AD50" i="3"/>
  <c r="H60" i="3"/>
  <c r="F60" i="3" s="1"/>
  <c r="T70" i="3"/>
  <c r="AI74" i="3"/>
  <c r="AS76" i="3"/>
  <c r="AC56" i="4"/>
  <c r="C69" i="4"/>
  <c r="H82" i="4"/>
  <c r="F82" i="4" s="1"/>
  <c r="C86" i="4"/>
  <c r="AC53" i="2"/>
  <c r="AA55" i="2"/>
  <c r="W61" i="2"/>
  <c r="T72" i="2"/>
  <c r="W73" i="2"/>
  <c r="AC81" i="2"/>
  <c r="T14" i="3"/>
  <c r="T17" i="3"/>
  <c r="AH19" i="3"/>
  <c r="T21" i="3"/>
  <c r="T22" i="3"/>
  <c r="AA22" i="3"/>
  <c r="T23" i="3"/>
  <c r="R27" i="3"/>
  <c r="R30" i="3"/>
  <c r="R34" i="3"/>
  <c r="R35" i="3"/>
  <c r="AO36" i="3"/>
  <c r="R46" i="3"/>
  <c r="R47" i="3"/>
  <c r="AH47" i="3"/>
  <c r="AA57" i="3"/>
  <c r="AL66" i="3"/>
  <c r="R84" i="3"/>
  <c r="R85" i="3"/>
  <c r="AB13" i="4"/>
  <c r="V31" i="4"/>
  <c r="H53" i="4"/>
  <c r="F53" i="4" s="1"/>
  <c r="G53" i="4" s="1"/>
  <c r="H62" i="4"/>
  <c r="F62" i="4" s="1"/>
  <c r="S15" i="5"/>
  <c r="U18" i="5"/>
  <c r="U20" i="5"/>
  <c r="AE36" i="5"/>
  <c r="T53" i="2"/>
  <c r="T81" i="2"/>
  <c r="W85" i="2"/>
  <c r="W15" i="3"/>
  <c r="AD17" i="3"/>
  <c r="AA20" i="3"/>
  <c r="R21" i="3"/>
  <c r="AS24" i="3"/>
  <c r="AS25" i="3"/>
  <c r="H29" i="3"/>
  <c r="F29" i="3" s="1"/>
  <c r="G29" i="3" s="1"/>
  <c r="AO38" i="3"/>
  <c r="AD40" i="3"/>
  <c r="T43" i="3"/>
  <c r="AD43" i="3"/>
  <c r="AH50" i="3"/>
  <c r="AH53" i="3"/>
  <c r="AD58" i="3"/>
  <c r="AD69" i="3"/>
  <c r="AL69" i="3"/>
  <c r="AH72" i="3"/>
  <c r="C76" i="3"/>
  <c r="W76" i="3"/>
  <c r="AD76" i="3"/>
  <c r="AL77" i="3"/>
  <c r="AS82" i="3"/>
  <c r="AH85" i="3"/>
  <c r="AH88" i="3"/>
  <c r="T32" i="4"/>
  <c r="AF36" i="4"/>
  <c r="AC53" i="4"/>
  <c r="C88" i="4"/>
  <c r="CI14" i="5"/>
  <c r="S18" i="5"/>
  <c r="H65" i="5"/>
  <c r="F65" i="5" s="1"/>
  <c r="G65" i="5" s="1"/>
  <c r="Y21" i="7"/>
  <c r="N71" i="9"/>
  <c r="U28" i="5"/>
  <c r="CQ28" i="5"/>
  <c r="AG32" i="5"/>
  <c r="AG33" i="5"/>
  <c r="CI33" i="5"/>
  <c r="AG38" i="5"/>
  <c r="CI43" i="5"/>
  <c r="AS45" i="5"/>
  <c r="BK46" i="5"/>
  <c r="BK50" i="5"/>
  <c r="CI59" i="5"/>
  <c r="CI77" i="5"/>
  <c r="H78" i="5"/>
  <c r="C84" i="5"/>
  <c r="AD44" i="6"/>
  <c r="C85" i="6"/>
  <c r="C19" i="7"/>
  <c r="Q21" i="7"/>
  <c r="AE21" i="7" s="1"/>
  <c r="C27" i="7"/>
  <c r="AA36" i="7"/>
  <c r="W42" i="7"/>
  <c r="H43" i="7"/>
  <c r="F43" i="7" s="1"/>
  <c r="G43" i="7" s="1"/>
  <c r="C44" i="7"/>
  <c r="H73" i="7"/>
  <c r="F73" i="7" s="1"/>
  <c r="G73" i="7" s="1"/>
  <c r="AF18" i="8"/>
  <c r="C21" i="8"/>
  <c r="T34" i="8"/>
  <c r="T36" i="8"/>
  <c r="H56" i="8"/>
  <c r="F56" i="8" s="1"/>
  <c r="W57" i="8"/>
  <c r="T71" i="8"/>
  <c r="C79" i="8"/>
  <c r="BK26" i="5"/>
  <c r="CQ33" i="5"/>
  <c r="CI38" i="5"/>
  <c r="AG39" i="5"/>
  <c r="CI39" i="5"/>
  <c r="S41" i="5"/>
  <c r="BK41" i="5"/>
  <c r="AE45" i="5"/>
  <c r="BM48" i="5"/>
  <c r="AQ53" i="5"/>
  <c r="CI56" i="5"/>
  <c r="BM59" i="5"/>
  <c r="C66" i="5"/>
  <c r="AE77" i="5"/>
  <c r="O84" i="5"/>
  <c r="BM87" i="5"/>
  <c r="AQ88" i="5"/>
  <c r="AD29" i="6"/>
  <c r="Z45" i="6"/>
  <c r="H49" i="6"/>
  <c r="F49" i="6" s="1"/>
  <c r="G49" i="6" s="1"/>
  <c r="AH49" i="6"/>
  <c r="Q53" i="6"/>
  <c r="AH69" i="6"/>
  <c r="AH79" i="6"/>
  <c r="AC21" i="7"/>
  <c r="Y27" i="7"/>
  <c r="H32" i="7"/>
  <c r="F32" i="7" s="1"/>
  <c r="G32" i="7" s="1"/>
  <c r="W38" i="7"/>
  <c r="Q39" i="7"/>
  <c r="AE39" i="7" s="1"/>
  <c r="Y39" i="7"/>
  <c r="C42" i="7"/>
  <c r="AC44" i="7"/>
  <c r="AA47" i="7"/>
  <c r="W48" i="7"/>
  <c r="C59" i="7"/>
  <c r="W70" i="7"/>
  <c r="H80" i="7"/>
  <c r="F80" i="7" s="1"/>
  <c r="G80" i="7" s="1"/>
  <c r="AK74" i="7"/>
  <c r="AF14" i="8"/>
  <c r="H49" i="8"/>
  <c r="F49" i="8" s="1"/>
  <c r="G49" i="8" s="1"/>
  <c r="C53" i="8"/>
  <c r="P66" i="9"/>
  <c r="H67" i="9"/>
  <c r="F67" i="9" s="1"/>
  <c r="P76" i="9"/>
  <c r="P77" i="9"/>
  <c r="H78" i="9"/>
  <c r="F78" i="9" s="1"/>
  <c r="H79" i="9"/>
  <c r="F79" i="9" s="1"/>
  <c r="H80" i="9"/>
  <c r="F80" i="9" s="1"/>
  <c r="CI34" i="5"/>
  <c r="C50" i="5"/>
  <c r="AE51" i="5"/>
  <c r="H53" i="5"/>
  <c r="F53" i="5" s="1"/>
  <c r="G53" i="5" s="1"/>
  <c r="CI55" i="5"/>
  <c r="C61" i="5"/>
  <c r="AQ68" i="5"/>
  <c r="BK68" i="5"/>
  <c r="AE72" i="5"/>
  <c r="U77" i="5"/>
  <c r="S78" i="5"/>
  <c r="C80" i="5"/>
  <c r="AE80" i="5"/>
  <c r="S82" i="5"/>
  <c r="CI83" i="5"/>
  <c r="Z22" i="6"/>
  <c r="H30" i="6"/>
  <c r="F30" i="6" s="1"/>
  <c r="G30" i="6" s="1"/>
  <c r="H61" i="6"/>
  <c r="F61" i="6" s="1"/>
  <c r="H22" i="7"/>
  <c r="F22" i="7" s="1"/>
  <c r="G22" i="7" s="1"/>
  <c r="Q33" i="7"/>
  <c r="AE33" i="7" s="1"/>
  <c r="C48" i="7"/>
  <c r="T18" i="8"/>
  <c r="AY18" i="8"/>
  <c r="H19" i="8"/>
  <c r="F19" i="8" s="1"/>
  <c r="G26" i="8"/>
  <c r="T27" i="8"/>
  <c r="H43" i="8"/>
  <c r="F43" i="8" s="1"/>
  <c r="G43" i="8" s="1"/>
  <c r="H46" i="8"/>
  <c r="F46" i="8" s="1"/>
  <c r="G46" i="8" s="1"/>
  <c r="H47" i="8"/>
  <c r="F47" i="8" s="1"/>
  <c r="G47" i="8" s="1"/>
  <c r="BL55" i="8"/>
  <c r="H65" i="8"/>
  <c r="F65" i="8" s="1"/>
  <c r="G65" i="8" s="1"/>
  <c r="I13" i="9"/>
  <c r="H55" i="9"/>
  <c r="F55" i="9" s="1"/>
  <c r="AQ32" i="5"/>
  <c r="BM36" i="5"/>
  <c r="AQ42" i="5"/>
  <c r="AS49" i="5"/>
  <c r="CI50" i="5"/>
  <c r="AG51" i="5"/>
  <c r="CI51" i="5"/>
  <c r="AE68" i="5"/>
  <c r="AS68" i="5"/>
  <c r="AS69" i="5"/>
  <c r="AG72" i="5"/>
  <c r="AQ77" i="5"/>
  <c r="AG80" i="5"/>
  <c r="CI80" i="5"/>
  <c r="AG81" i="5"/>
  <c r="CI81" i="5"/>
  <c r="AS82" i="5"/>
  <c r="BM82" i="5"/>
  <c r="U84" i="5"/>
  <c r="AD38" i="6"/>
  <c r="AD41" i="6"/>
  <c r="H48" i="6"/>
  <c r="F48" i="6" s="1"/>
  <c r="G48" i="6" s="1"/>
  <c r="AD50" i="6"/>
  <c r="AH51" i="6"/>
  <c r="AD69" i="6"/>
  <c r="Q78" i="6"/>
  <c r="Z78" i="6"/>
  <c r="AH78" i="6"/>
  <c r="H30" i="7"/>
  <c r="F30" i="7" s="1"/>
  <c r="G30" i="7" s="1"/>
  <c r="K52" i="7"/>
  <c r="AC70" i="7"/>
  <c r="AY21" i="8"/>
  <c r="AW23" i="8"/>
  <c r="W27" i="8"/>
  <c r="AS27" i="8"/>
  <c r="W34" i="8"/>
  <c r="AY38" i="8"/>
  <c r="AW61" i="8"/>
  <c r="AY72" i="8"/>
  <c r="AW73" i="8"/>
  <c r="P17" i="9"/>
  <c r="P18" i="9"/>
  <c r="Q18" i="9" s="1"/>
  <c r="G19" i="9"/>
  <c r="C41" i="9"/>
  <c r="P51" i="9"/>
  <c r="Q51" i="9" s="1"/>
  <c r="P56" i="9"/>
  <c r="AS20" i="5"/>
  <c r="AQ22" i="5"/>
  <c r="CI24" i="5"/>
  <c r="BM26" i="5"/>
  <c r="CS33" i="5"/>
  <c r="AG36" i="5"/>
  <c r="U38" i="5"/>
  <c r="C42" i="5"/>
  <c r="AE46" i="5"/>
  <c r="S48" i="5"/>
  <c r="BM70" i="5"/>
  <c r="C73" i="5"/>
  <c r="BM83" i="5"/>
  <c r="BK84" i="5"/>
  <c r="AQ86" i="5"/>
  <c r="BK86" i="5"/>
  <c r="AH17" i="6"/>
  <c r="AH18" i="6"/>
  <c r="AD26" i="6"/>
  <c r="Z39" i="6"/>
  <c r="Z43" i="6"/>
  <c r="Z47" i="6"/>
  <c r="AH47" i="6"/>
  <c r="AD53" i="6"/>
  <c r="C58" i="6"/>
  <c r="C66" i="6"/>
  <c r="AD79" i="6"/>
  <c r="T84" i="6"/>
  <c r="AN13" i="7"/>
  <c r="C26" i="7"/>
  <c r="T30" i="7"/>
  <c r="C36" i="7"/>
  <c r="T42" i="7"/>
  <c r="T47" i="7"/>
  <c r="C55" i="7"/>
  <c r="T59" i="7"/>
  <c r="C65" i="7"/>
  <c r="L13" i="8"/>
  <c r="W14" i="8"/>
  <c r="W21" i="8"/>
  <c r="AY23" i="8"/>
  <c r="AT13" i="8"/>
  <c r="W38" i="8"/>
  <c r="AW38" i="8"/>
  <c r="W42" i="8"/>
  <c r="C45" i="8"/>
  <c r="Q49" i="8"/>
  <c r="C50" i="8"/>
  <c r="AW57" i="8"/>
  <c r="H62" i="8"/>
  <c r="F62" i="8" s="1"/>
  <c r="C63" i="8"/>
  <c r="AS64" i="8"/>
  <c r="T65" i="8"/>
  <c r="Q67" i="8"/>
  <c r="C71" i="8"/>
  <c r="W81" i="8"/>
  <c r="C84" i="8"/>
  <c r="P21" i="9"/>
  <c r="Q21" i="9" s="1"/>
  <c r="P82" i="9"/>
  <c r="P86" i="9"/>
  <c r="P88" i="9"/>
  <c r="J13" i="1"/>
  <c r="Q13" i="1"/>
  <c r="Z13" i="1"/>
  <c r="AK13" i="1"/>
  <c r="H17" i="1"/>
  <c r="F17" i="1" s="1"/>
  <c r="G17" i="1" s="1"/>
  <c r="H19" i="1"/>
  <c r="F19" i="1" s="1"/>
  <c r="G19" i="1" s="1"/>
  <c r="AG19" i="1"/>
  <c r="R20" i="1"/>
  <c r="AA20" i="1"/>
  <c r="R22" i="1"/>
  <c r="C24" i="1"/>
  <c r="AG24" i="1"/>
  <c r="W25" i="1"/>
  <c r="AG26" i="1"/>
  <c r="W27" i="1"/>
  <c r="AC27" i="1"/>
  <c r="C29" i="1"/>
  <c r="AG29" i="1"/>
  <c r="W30" i="1"/>
  <c r="AG32" i="1"/>
  <c r="T33" i="1"/>
  <c r="R35" i="1"/>
  <c r="C37" i="1"/>
  <c r="W40" i="1"/>
  <c r="AG40" i="1"/>
  <c r="T43" i="1"/>
  <c r="H46" i="1"/>
  <c r="F46" i="1" s="1"/>
  <c r="G46" i="1" s="1"/>
  <c r="T51" i="1"/>
  <c r="C53" i="1"/>
  <c r="R54" i="1"/>
  <c r="C57" i="1"/>
  <c r="AI58" i="1"/>
  <c r="C59" i="1"/>
  <c r="AD52" i="1"/>
  <c r="T61" i="1"/>
  <c r="T64" i="1"/>
  <c r="R68" i="1"/>
  <c r="AC43" i="2"/>
  <c r="X52" i="2"/>
  <c r="H76" i="2"/>
  <c r="F76" i="2" s="1"/>
  <c r="G76" i="2" s="1"/>
  <c r="J74" i="3"/>
  <c r="AH13" i="1"/>
  <c r="AG15" i="1"/>
  <c r="C16" i="1"/>
  <c r="AI16" i="1"/>
  <c r="AI18" i="1"/>
  <c r="AG21" i="1"/>
  <c r="H22" i="1"/>
  <c r="F22" i="1" s="1"/>
  <c r="G22" i="1" s="1"/>
  <c r="T22" i="1"/>
  <c r="R24" i="1"/>
  <c r="AG27" i="1"/>
  <c r="R29" i="1"/>
  <c r="E31" i="1"/>
  <c r="N31" i="1" s="1"/>
  <c r="Q31" i="1"/>
  <c r="AI33" i="1"/>
  <c r="AG34" i="1"/>
  <c r="T35" i="1"/>
  <c r="R37" i="1"/>
  <c r="AI40" i="1"/>
  <c r="H50" i="1"/>
  <c r="F50" i="1" s="1"/>
  <c r="G50" i="1" s="1"/>
  <c r="I52" i="1"/>
  <c r="T54" i="1"/>
  <c r="H56" i="1"/>
  <c r="F56" i="1" s="1"/>
  <c r="G56" i="1" s="1"/>
  <c r="R56" i="1"/>
  <c r="R58" i="1"/>
  <c r="AI59" i="1"/>
  <c r="R64" i="1"/>
  <c r="AG70" i="1"/>
  <c r="AB31" i="2"/>
  <c r="P74" i="2"/>
  <c r="AN74" i="3"/>
  <c r="W14" i="1"/>
  <c r="C15" i="1"/>
  <c r="M13" i="1"/>
  <c r="V13" i="1"/>
  <c r="AE13" i="1"/>
  <c r="H24" i="1"/>
  <c r="F24" i="1" s="1"/>
  <c r="G24" i="1" s="1"/>
  <c r="T24" i="1"/>
  <c r="R26" i="1"/>
  <c r="AA26" i="1"/>
  <c r="H29" i="1"/>
  <c r="F29" i="1" s="1"/>
  <c r="G29" i="1" s="1"/>
  <c r="T29" i="1"/>
  <c r="K31" i="1"/>
  <c r="H37" i="1"/>
  <c r="F37" i="1" s="1"/>
  <c r="G37" i="1" s="1"/>
  <c r="T37" i="1"/>
  <c r="C39" i="1"/>
  <c r="R40" i="1"/>
  <c r="R42" i="1"/>
  <c r="C44" i="1"/>
  <c r="T45" i="1"/>
  <c r="AI47" i="1"/>
  <c r="C48" i="1"/>
  <c r="T50" i="1"/>
  <c r="T53" i="1"/>
  <c r="AH52" i="1"/>
  <c r="T58" i="1"/>
  <c r="C62" i="1"/>
  <c r="AG67" i="1"/>
  <c r="AG68" i="1"/>
  <c r="AG69" i="1"/>
  <c r="W70" i="1"/>
  <c r="R15" i="3"/>
  <c r="W23" i="3"/>
  <c r="N85" i="4"/>
  <c r="R15" i="1"/>
  <c r="AA15" i="1"/>
  <c r="AG17" i="1"/>
  <c r="W18" i="1"/>
  <c r="W19" i="1"/>
  <c r="H26" i="1"/>
  <c r="F26" i="1" s="1"/>
  <c r="G26" i="1" s="1"/>
  <c r="T26" i="1"/>
  <c r="H28" i="1"/>
  <c r="F28" i="1" s="1"/>
  <c r="G28" i="1" s="1"/>
  <c r="T28" i="1"/>
  <c r="L31" i="1"/>
  <c r="W32" i="1"/>
  <c r="R39" i="1"/>
  <c r="T40" i="1"/>
  <c r="T42" i="1"/>
  <c r="W45" i="1"/>
  <c r="AG45" i="1"/>
  <c r="R47" i="1"/>
  <c r="C50" i="1"/>
  <c r="W50" i="1"/>
  <c r="AG50" i="1"/>
  <c r="W51" i="1"/>
  <c r="AG51" i="1"/>
  <c r="H55" i="1"/>
  <c r="F55" i="1" s="1"/>
  <c r="G55" i="1" s="1"/>
  <c r="T60" i="1"/>
  <c r="R61" i="1"/>
  <c r="W63" i="1"/>
  <c r="AG63" i="1"/>
  <c r="E52" i="1"/>
  <c r="N52" i="1" s="1"/>
  <c r="N66" i="1"/>
  <c r="AI66" i="1"/>
  <c r="C67" i="1"/>
  <c r="C68" i="1"/>
  <c r="C69" i="1"/>
  <c r="N53" i="2"/>
  <c r="AK31" i="3"/>
  <c r="AL32" i="3"/>
  <c r="U13" i="4"/>
  <c r="W13" i="4" s="1"/>
  <c r="W15" i="4"/>
  <c r="T22" i="4"/>
  <c r="R13" i="4"/>
  <c r="C53" i="9"/>
  <c r="G53" i="9"/>
  <c r="AF13" i="1"/>
  <c r="H15" i="1"/>
  <c r="F15" i="1" s="1"/>
  <c r="G15" i="1" s="1"/>
  <c r="C17" i="1"/>
  <c r="L13" i="1"/>
  <c r="W20" i="1"/>
  <c r="W21" i="1"/>
  <c r="C33" i="1"/>
  <c r="W34" i="1"/>
  <c r="H39" i="1"/>
  <c r="F39" i="1" s="1"/>
  <c r="G39" i="1" s="1"/>
  <c r="H42" i="1"/>
  <c r="F42" i="1" s="1"/>
  <c r="G42" i="1" s="1"/>
  <c r="H44" i="1"/>
  <c r="F44" i="1" s="1"/>
  <c r="G44" i="1" s="1"/>
  <c r="H49" i="1"/>
  <c r="F49" i="1" s="1"/>
  <c r="G49" i="1" s="1"/>
  <c r="K52" i="1"/>
  <c r="U52" i="1"/>
  <c r="H57" i="1"/>
  <c r="F57" i="1" s="1"/>
  <c r="G57" i="1" s="1"/>
  <c r="H62" i="1"/>
  <c r="F62" i="1" s="1"/>
  <c r="G62" i="1" s="1"/>
  <c r="C64" i="1"/>
  <c r="AL79" i="1"/>
  <c r="AJ74" i="1"/>
  <c r="AL74" i="1" s="1"/>
  <c r="AE31" i="3"/>
  <c r="AL51" i="3"/>
  <c r="AL72" i="3"/>
  <c r="H72" i="1"/>
  <c r="F72" i="1" s="1"/>
  <c r="G72" i="1" s="1"/>
  <c r="W80" i="1"/>
  <c r="AG80" i="1"/>
  <c r="C29" i="2"/>
  <c r="W29" i="2"/>
  <c r="C43" i="2"/>
  <c r="T50" i="2"/>
  <c r="I52" i="2"/>
  <c r="V52" i="2"/>
  <c r="L52" i="2"/>
  <c r="T55" i="2"/>
  <c r="T56" i="2"/>
  <c r="H57" i="2"/>
  <c r="F57" i="2" s="1"/>
  <c r="H58" i="2"/>
  <c r="F58" i="2" s="1"/>
  <c r="W59" i="2"/>
  <c r="C69" i="2"/>
  <c r="W72" i="2"/>
  <c r="C73" i="2"/>
  <c r="W76" i="2"/>
  <c r="W83" i="2"/>
  <c r="AD14" i="3"/>
  <c r="AL14" i="3"/>
  <c r="AH15" i="3"/>
  <c r="H16" i="3"/>
  <c r="F16" i="3" s="1"/>
  <c r="G16" i="3" s="1"/>
  <c r="T16" i="3"/>
  <c r="AA16" i="3"/>
  <c r="R18" i="3"/>
  <c r="AH22" i="3"/>
  <c r="AS23" i="3"/>
  <c r="AH24" i="3"/>
  <c r="R25" i="3"/>
  <c r="R26" i="3"/>
  <c r="AO26" i="3"/>
  <c r="AD27" i="3"/>
  <c r="AH29" i="3"/>
  <c r="AH33" i="3"/>
  <c r="AD35" i="3"/>
  <c r="W38" i="3"/>
  <c r="C39" i="3"/>
  <c r="AD39" i="3"/>
  <c r="R40" i="3"/>
  <c r="R41" i="3"/>
  <c r="AO42" i="3"/>
  <c r="AA45" i="3"/>
  <c r="W48" i="3"/>
  <c r="AS48" i="3"/>
  <c r="AD54" i="3"/>
  <c r="AH55" i="3"/>
  <c r="AO55" i="3"/>
  <c r="AS57" i="3"/>
  <c r="AS62" i="3"/>
  <c r="H63" i="3"/>
  <c r="F63" i="3" s="1"/>
  <c r="G63" i="3" s="1"/>
  <c r="G64" i="3"/>
  <c r="T65" i="3"/>
  <c r="AO65" i="3"/>
  <c r="C67" i="3"/>
  <c r="W67" i="3"/>
  <c r="AD67" i="3"/>
  <c r="AD68" i="3"/>
  <c r="AS68" i="3"/>
  <c r="AL75" i="3"/>
  <c r="AS78" i="3"/>
  <c r="W81" i="3"/>
  <c r="AD81" i="3"/>
  <c r="AD82" i="3"/>
  <c r="AA83" i="3"/>
  <c r="H85" i="3"/>
  <c r="F85" i="3" s="1"/>
  <c r="G85" i="3" s="1"/>
  <c r="T85" i="3"/>
  <c r="AO85" i="3"/>
  <c r="R86" i="3"/>
  <c r="AH86" i="3"/>
  <c r="I13" i="4"/>
  <c r="P13" i="4"/>
  <c r="Q32" i="4"/>
  <c r="J31" i="4"/>
  <c r="P31" i="4"/>
  <c r="H59" i="4"/>
  <c r="F59" i="4" s="1"/>
  <c r="C63" i="4"/>
  <c r="G63" i="4"/>
  <c r="H76" i="4"/>
  <c r="F76" i="4" s="1"/>
  <c r="G76" i="4" s="1"/>
  <c r="H71" i="1"/>
  <c r="F71" i="1" s="1"/>
  <c r="G71" i="1" s="1"/>
  <c r="R71" i="1"/>
  <c r="R75" i="1"/>
  <c r="C19" i="2"/>
  <c r="AA21" i="2"/>
  <c r="C23" i="2"/>
  <c r="AC25" i="2"/>
  <c r="AA27" i="2"/>
  <c r="S31" i="2"/>
  <c r="C37" i="2"/>
  <c r="H43" i="2"/>
  <c r="F43" i="2" s="1"/>
  <c r="G43" i="2" s="1"/>
  <c r="W50" i="2"/>
  <c r="M52" i="2"/>
  <c r="AA61" i="2"/>
  <c r="H68" i="2"/>
  <c r="F68" i="2" s="1"/>
  <c r="G68" i="2" s="1"/>
  <c r="H71" i="2"/>
  <c r="F71" i="2" s="1"/>
  <c r="V74" i="2"/>
  <c r="T86" i="2"/>
  <c r="AC86" i="2"/>
  <c r="H87" i="2"/>
  <c r="F87" i="2" s="1"/>
  <c r="W14" i="3"/>
  <c r="T18" i="3"/>
  <c r="AA18" i="3"/>
  <c r="AS21" i="3"/>
  <c r="AH23" i="3"/>
  <c r="W24" i="3"/>
  <c r="AA25" i="3"/>
  <c r="AL28" i="3"/>
  <c r="AH37" i="3"/>
  <c r="W39" i="3"/>
  <c r="H55" i="3"/>
  <c r="F55" i="3" s="1"/>
  <c r="G55" i="3" s="1"/>
  <c r="Q36" i="4"/>
  <c r="H19" i="5"/>
  <c r="F19" i="5" s="1"/>
  <c r="G19" i="5" s="1"/>
  <c r="I31" i="5"/>
  <c r="K74" i="1"/>
  <c r="S74" i="1"/>
  <c r="AB74" i="1"/>
  <c r="AK74" i="1"/>
  <c r="I13" i="2"/>
  <c r="T21" i="2"/>
  <c r="H27" i="2"/>
  <c r="F27" i="2" s="1"/>
  <c r="G27" i="2" s="1"/>
  <c r="T27" i="2"/>
  <c r="AA39" i="2"/>
  <c r="AA41" i="2"/>
  <c r="AA47" i="2"/>
  <c r="W55" i="2"/>
  <c r="H59" i="2"/>
  <c r="F59" i="2" s="1"/>
  <c r="G59" i="2" s="1"/>
  <c r="T61" i="2"/>
  <c r="H65" i="2"/>
  <c r="F65" i="2" s="1"/>
  <c r="W66" i="2"/>
  <c r="C67" i="2"/>
  <c r="AC72" i="2"/>
  <c r="H88" i="2"/>
  <c r="F88" i="2" s="1"/>
  <c r="G88" i="2" s="1"/>
  <c r="M13" i="3"/>
  <c r="AD21" i="3"/>
  <c r="T27" i="3"/>
  <c r="AA29" i="3"/>
  <c r="K31" i="3"/>
  <c r="AO44" i="3"/>
  <c r="AA46" i="3"/>
  <c r="AO47" i="3"/>
  <c r="AL54" i="3"/>
  <c r="AD62" i="3"/>
  <c r="AA66" i="3"/>
  <c r="H70" i="3"/>
  <c r="F70" i="3" s="1"/>
  <c r="G70" i="3" s="1"/>
  <c r="W82" i="3"/>
  <c r="AA86" i="3"/>
  <c r="H88" i="3"/>
  <c r="F88" i="3" s="1"/>
  <c r="G88" i="3" s="1"/>
  <c r="H35" i="4"/>
  <c r="F35" i="4" s="1"/>
  <c r="H38" i="4"/>
  <c r="F38" i="4" s="1"/>
  <c r="L74" i="4"/>
  <c r="R73" i="1"/>
  <c r="L74" i="1"/>
  <c r="AG75" i="1"/>
  <c r="C76" i="1"/>
  <c r="AI77" i="1"/>
  <c r="H17" i="2"/>
  <c r="F17" i="2" s="1"/>
  <c r="AC18" i="2"/>
  <c r="C25" i="2"/>
  <c r="H29" i="2"/>
  <c r="F29" i="2" s="1"/>
  <c r="G29" i="2" s="1"/>
  <c r="T41" i="2"/>
  <c r="C45" i="2"/>
  <c r="AC49" i="2"/>
  <c r="AA53" i="2"/>
  <c r="H60" i="2"/>
  <c r="F60" i="2" s="1"/>
  <c r="C68" i="2"/>
  <c r="C71" i="2"/>
  <c r="C75" i="2"/>
  <c r="T82" i="2"/>
  <c r="AA83" i="2"/>
  <c r="H85" i="2"/>
  <c r="F85" i="2" s="1"/>
  <c r="G85" i="2" s="1"/>
  <c r="H14" i="3"/>
  <c r="F14" i="3" s="1"/>
  <c r="G14" i="3" s="1"/>
  <c r="Y13" i="3"/>
  <c r="AL16" i="3"/>
  <c r="AL17" i="3"/>
  <c r="H19" i="3"/>
  <c r="F19" i="3" s="1"/>
  <c r="G19" i="3" s="1"/>
  <c r="T19" i="3"/>
  <c r="T20" i="3"/>
  <c r="AA23" i="3"/>
  <c r="R24" i="3"/>
  <c r="AS26" i="3"/>
  <c r="AA30" i="3"/>
  <c r="R33" i="3"/>
  <c r="AD34" i="3"/>
  <c r="AO35" i="3"/>
  <c r="AS37" i="3"/>
  <c r="AS40" i="3"/>
  <c r="AS41" i="3"/>
  <c r="AS42" i="3"/>
  <c r="AA44" i="3"/>
  <c r="AH44" i="3"/>
  <c r="AO45" i="3"/>
  <c r="AL46" i="3"/>
  <c r="T48" i="3"/>
  <c r="AS50" i="3"/>
  <c r="H51" i="3"/>
  <c r="F51" i="3" s="1"/>
  <c r="G51" i="3" s="1"/>
  <c r="H53" i="3"/>
  <c r="F53" i="3" s="1"/>
  <c r="G53" i="3" s="1"/>
  <c r="AD55" i="3"/>
  <c r="AO56" i="3"/>
  <c r="R57" i="3"/>
  <c r="AH57" i="3"/>
  <c r="H61" i="3"/>
  <c r="F61" i="3" s="1"/>
  <c r="AD66" i="3"/>
  <c r="C70" i="3"/>
  <c r="W70" i="3"/>
  <c r="AD70" i="3"/>
  <c r="H72" i="3"/>
  <c r="F72" i="3" s="1"/>
  <c r="G72" i="3" s="1"/>
  <c r="H76" i="3"/>
  <c r="F76" i="3" s="1"/>
  <c r="G76" i="3" s="1"/>
  <c r="R77" i="3"/>
  <c r="AO77" i="3"/>
  <c r="W79" i="3"/>
  <c r="R82" i="3"/>
  <c r="AO82" i="3"/>
  <c r="W84" i="3"/>
  <c r="AS87" i="3"/>
  <c r="H30" i="4"/>
  <c r="F30" i="4" s="1"/>
  <c r="G30" i="4" s="1"/>
  <c r="C33" i="4"/>
  <c r="AV13" i="5"/>
  <c r="BB13" i="5"/>
  <c r="BM28" i="5"/>
  <c r="AE40" i="5"/>
  <c r="AF74" i="1"/>
  <c r="T79" i="1"/>
  <c r="W87" i="1"/>
  <c r="J13" i="2"/>
  <c r="P13" i="2"/>
  <c r="D13" i="2"/>
  <c r="M13" i="2"/>
  <c r="AC16" i="2"/>
  <c r="S13" i="2"/>
  <c r="T19" i="2"/>
  <c r="H20" i="2"/>
  <c r="F20" i="2" s="1"/>
  <c r="G20" i="2" s="1"/>
  <c r="C21" i="2"/>
  <c r="AA23" i="2"/>
  <c r="AA24" i="2"/>
  <c r="T30" i="2"/>
  <c r="J31" i="2"/>
  <c r="T37" i="2"/>
  <c r="H38" i="2"/>
  <c r="F38" i="2" s="1"/>
  <c r="G38" i="2" s="1"/>
  <c r="W39" i="2"/>
  <c r="W41" i="2"/>
  <c r="W47" i="2"/>
  <c r="C48" i="2"/>
  <c r="AC50" i="2"/>
  <c r="AC66" i="2"/>
  <c r="AA73" i="2"/>
  <c r="AA77" i="2"/>
  <c r="H78" i="2"/>
  <c r="F78" i="2" s="1"/>
  <c r="T83" i="2"/>
  <c r="W16" i="3"/>
  <c r="AE13" i="3"/>
  <c r="W17" i="3"/>
  <c r="W18" i="3"/>
  <c r="AO24" i="3"/>
  <c r="AD26" i="3"/>
  <c r="AL26" i="3"/>
  <c r="AA27" i="3"/>
  <c r="H28" i="3"/>
  <c r="F28" i="3" s="1"/>
  <c r="G28" i="3" s="1"/>
  <c r="N29" i="3"/>
  <c r="W29" i="3"/>
  <c r="AO33" i="3"/>
  <c r="AA39" i="3"/>
  <c r="C40" i="3"/>
  <c r="AL42" i="3"/>
  <c r="AS43" i="3"/>
  <c r="R44" i="3"/>
  <c r="AH45" i="3"/>
  <c r="AS47" i="3"/>
  <c r="H48" i="3"/>
  <c r="F48" i="3" s="1"/>
  <c r="G48" i="3" s="1"/>
  <c r="AO58" i="3"/>
  <c r="T62" i="3"/>
  <c r="AS67" i="3"/>
  <c r="AD72" i="3"/>
  <c r="AA77" i="3"/>
  <c r="H78" i="3"/>
  <c r="F78" i="3" s="1"/>
  <c r="G78" i="3" s="1"/>
  <c r="AH79" i="3"/>
  <c r="C81" i="3"/>
  <c r="AA82" i="3"/>
  <c r="H83" i="3"/>
  <c r="F83" i="3" s="1"/>
  <c r="G83" i="3" s="1"/>
  <c r="AH83" i="3"/>
  <c r="AO84" i="3"/>
  <c r="AD87" i="3"/>
  <c r="AL87" i="3"/>
  <c r="H32" i="4"/>
  <c r="F32" i="4" s="1"/>
  <c r="G32" i="4" s="1"/>
  <c r="AC32" i="4"/>
  <c r="H44" i="4"/>
  <c r="F44" i="4" s="1"/>
  <c r="C59" i="4"/>
  <c r="BO13" i="5"/>
  <c r="BU13" i="5"/>
  <c r="CA13" i="5"/>
  <c r="L31" i="5"/>
  <c r="T31" i="5"/>
  <c r="H43" i="4"/>
  <c r="F43" i="4" s="1"/>
  <c r="E52" i="4"/>
  <c r="N52" i="4" s="1"/>
  <c r="C54" i="4"/>
  <c r="R52" i="4"/>
  <c r="C57" i="4"/>
  <c r="G59" i="4"/>
  <c r="Q69" i="4"/>
  <c r="AF69" i="4"/>
  <c r="C73" i="4"/>
  <c r="V74" i="4"/>
  <c r="H77" i="4"/>
  <c r="F77" i="4" s="1"/>
  <c r="P74" i="4"/>
  <c r="C78" i="4"/>
  <c r="H85" i="4"/>
  <c r="F85" i="4" s="1"/>
  <c r="CR13" i="5"/>
  <c r="S16" i="5"/>
  <c r="AQ16" i="5"/>
  <c r="AS18" i="5"/>
  <c r="BM18" i="5"/>
  <c r="BK19" i="5"/>
  <c r="AQ20" i="5"/>
  <c r="C22" i="5"/>
  <c r="AG23" i="5"/>
  <c r="BK24" i="5"/>
  <c r="C26" i="5"/>
  <c r="CQ26" i="5"/>
  <c r="AQ27" i="5"/>
  <c r="BK27" i="5"/>
  <c r="CQ27" i="5"/>
  <c r="H28" i="5"/>
  <c r="F28" i="5" s="1"/>
  <c r="G28" i="5" s="1"/>
  <c r="S28" i="5"/>
  <c r="CI28" i="5"/>
  <c r="C29" i="5"/>
  <c r="U29" i="5"/>
  <c r="U30" i="5"/>
  <c r="CS34" i="5"/>
  <c r="U35" i="5"/>
  <c r="CI35" i="5"/>
  <c r="AG37" i="5"/>
  <c r="AE39" i="5"/>
  <c r="CI40" i="5"/>
  <c r="AG42" i="5"/>
  <c r="CQ42" i="5"/>
  <c r="CQ44" i="5"/>
  <c r="U46" i="5"/>
  <c r="CQ46" i="5"/>
  <c r="CI49" i="5"/>
  <c r="S51" i="5"/>
  <c r="CI54" i="5"/>
  <c r="O56" i="5"/>
  <c r="C56" i="5"/>
  <c r="BA52" i="5"/>
  <c r="C85" i="5"/>
  <c r="C25" i="6"/>
  <c r="G25" i="6"/>
  <c r="C34" i="6"/>
  <c r="AB52" i="4"/>
  <c r="K52" i="4"/>
  <c r="E74" i="4"/>
  <c r="N74" i="4" s="1"/>
  <c r="CS29" i="5"/>
  <c r="BM39" i="5"/>
  <c r="AG43" i="5"/>
  <c r="S46" i="5"/>
  <c r="AG47" i="5"/>
  <c r="CI47" i="5"/>
  <c r="H63" i="4"/>
  <c r="F63" i="4" s="1"/>
  <c r="H75" i="4"/>
  <c r="F75" i="4" s="1"/>
  <c r="G75" i="4" s="1"/>
  <c r="C76" i="4"/>
  <c r="C87" i="4"/>
  <c r="BK17" i="5"/>
  <c r="AG18" i="5"/>
  <c r="CS22" i="5"/>
  <c r="C30" i="5"/>
  <c r="AS30" i="5"/>
  <c r="AR31" i="5"/>
  <c r="BM33" i="5"/>
  <c r="H34" i="5"/>
  <c r="F34" i="5" s="1"/>
  <c r="G34" i="5" s="1"/>
  <c r="CQ38" i="5"/>
  <c r="U42" i="5"/>
  <c r="CS45" i="5"/>
  <c r="L52" i="5"/>
  <c r="H58" i="4"/>
  <c r="F58" i="4" s="1"/>
  <c r="H61" i="4"/>
  <c r="F61" i="4" s="1"/>
  <c r="C64" i="4"/>
  <c r="G70" i="4"/>
  <c r="C72" i="4"/>
  <c r="T75" i="4"/>
  <c r="H86" i="4"/>
  <c r="F86" i="4" s="1"/>
  <c r="G86" i="4" s="1"/>
  <c r="U15" i="5"/>
  <c r="M13" i="5"/>
  <c r="AS17" i="5"/>
  <c r="AE18" i="5"/>
  <c r="AG19" i="5"/>
  <c r="AQ21" i="5"/>
  <c r="BK21" i="5"/>
  <c r="U22" i="5"/>
  <c r="CI22" i="5"/>
  <c r="C23" i="5"/>
  <c r="AQ23" i="5"/>
  <c r="C24" i="5"/>
  <c r="CI25" i="5"/>
  <c r="U26" i="5"/>
  <c r="AG26" i="5"/>
  <c r="CI26" i="5"/>
  <c r="AE29" i="5"/>
  <c r="AS32" i="5"/>
  <c r="BK34" i="5"/>
  <c r="CQ34" i="5"/>
  <c r="H37" i="5"/>
  <c r="F37" i="5" s="1"/>
  <c r="G37" i="5" s="1"/>
  <c r="BK37" i="5"/>
  <c r="AQ38" i="5"/>
  <c r="BK38" i="5"/>
  <c r="AE42" i="5"/>
  <c r="U43" i="5"/>
  <c r="U44" i="5"/>
  <c r="CI44" i="5"/>
  <c r="U47" i="5"/>
  <c r="BM47" i="5"/>
  <c r="CS47" i="5"/>
  <c r="AQ48" i="5"/>
  <c r="CS48" i="5"/>
  <c r="S49" i="5"/>
  <c r="AS50" i="5"/>
  <c r="H54" i="4"/>
  <c r="F54" i="4" s="1"/>
  <c r="C55" i="4"/>
  <c r="L52" i="4"/>
  <c r="Q56" i="4"/>
  <c r="H65" i="4"/>
  <c r="F65" i="4" s="1"/>
  <c r="H73" i="4"/>
  <c r="F73" i="4" s="1"/>
  <c r="Q76" i="4"/>
  <c r="H78" i="4"/>
  <c r="F78" i="4" s="1"/>
  <c r="T88" i="4"/>
  <c r="AS23" i="5"/>
  <c r="CI30" i="5"/>
  <c r="AT31" i="5"/>
  <c r="AZ31" i="5"/>
  <c r="BF31" i="5"/>
  <c r="AS36" i="5"/>
  <c r="CI36" i="5"/>
  <c r="C43" i="5"/>
  <c r="AX31" i="5"/>
  <c r="C47" i="5"/>
  <c r="C48" i="5"/>
  <c r="U48" i="5"/>
  <c r="CS51" i="5"/>
  <c r="S53" i="5"/>
  <c r="CI63" i="5"/>
  <c r="S72" i="5"/>
  <c r="H82" i="5"/>
  <c r="F82" i="5" s="1"/>
  <c r="G82" i="5" s="1"/>
  <c r="BK82" i="5"/>
  <c r="S84" i="5"/>
  <c r="C86" i="5"/>
  <c r="AH14" i="6"/>
  <c r="C16" i="6"/>
  <c r="T19" i="6"/>
  <c r="AD20" i="6"/>
  <c r="AH21" i="6"/>
  <c r="AD23" i="6"/>
  <c r="Z29" i="6"/>
  <c r="AH29" i="6"/>
  <c r="Z33" i="6"/>
  <c r="AH33" i="6"/>
  <c r="AH42" i="6"/>
  <c r="Z48" i="6"/>
  <c r="AH48" i="6"/>
  <c r="AD51" i="6"/>
  <c r="C55" i="6"/>
  <c r="C61" i="6"/>
  <c r="AD62" i="6"/>
  <c r="C63" i="6"/>
  <c r="C64" i="6"/>
  <c r="AH68" i="6"/>
  <c r="Z75" i="6"/>
  <c r="AH75" i="6"/>
  <c r="C79" i="6"/>
  <c r="C15" i="7"/>
  <c r="C22" i="7"/>
  <c r="N22" i="7"/>
  <c r="Q23" i="7"/>
  <c r="AE23" i="7" s="1"/>
  <c r="W45" i="8"/>
  <c r="P46" i="9"/>
  <c r="Q46" i="9" s="1"/>
  <c r="H71" i="9"/>
  <c r="F71" i="9" s="1"/>
  <c r="U72" i="5"/>
  <c r="U79" i="5"/>
  <c r="J74" i="5"/>
  <c r="AD19" i="6"/>
  <c r="AD22" i="6"/>
  <c r="H29" i="6"/>
  <c r="F29" i="6" s="1"/>
  <c r="G29" i="6" s="1"/>
  <c r="AH39" i="6"/>
  <c r="H14" i="7"/>
  <c r="F14" i="7" s="1"/>
  <c r="AA25" i="7"/>
  <c r="Y25" i="7"/>
  <c r="J74" i="7"/>
  <c r="BF13" i="8"/>
  <c r="BM56" i="5"/>
  <c r="CI60" i="5"/>
  <c r="BM69" i="5"/>
  <c r="AQ76" i="5"/>
  <c r="S77" i="5"/>
  <c r="AS78" i="5"/>
  <c r="CI78" i="5"/>
  <c r="AF31" i="6"/>
  <c r="T40" i="6"/>
  <c r="H45" i="6"/>
  <c r="F45" i="6" s="1"/>
  <c r="G45" i="6" s="1"/>
  <c r="H47" i="6"/>
  <c r="F47" i="6" s="1"/>
  <c r="G47" i="6" s="1"/>
  <c r="AD56" i="6"/>
  <c r="Z67" i="6"/>
  <c r="H68" i="6"/>
  <c r="F68" i="6" s="1"/>
  <c r="G68" i="6" s="1"/>
  <c r="X74" i="6"/>
  <c r="H88" i="6"/>
  <c r="F88" i="6" s="1"/>
  <c r="T16" i="7"/>
  <c r="H17" i="7"/>
  <c r="F17" i="7" s="1"/>
  <c r="H20" i="7"/>
  <c r="F20" i="7" s="1"/>
  <c r="G20" i="7" s="1"/>
  <c r="V52" i="8"/>
  <c r="C58" i="5"/>
  <c r="BM58" i="5"/>
  <c r="BM60" i="5"/>
  <c r="BK66" i="5"/>
  <c r="AS72" i="5"/>
  <c r="BM73" i="5"/>
  <c r="BM75" i="5"/>
  <c r="CI76" i="5"/>
  <c r="CU74" i="5"/>
  <c r="BK80" i="5"/>
  <c r="U86" i="5"/>
  <c r="AG88" i="5"/>
  <c r="AD18" i="6"/>
  <c r="C22" i="6"/>
  <c r="Q38" i="6"/>
  <c r="AH38" i="6"/>
  <c r="H40" i="6"/>
  <c r="F40" i="6" s="1"/>
  <c r="G40" i="6" s="1"/>
  <c r="AD40" i="6"/>
  <c r="C43" i="6"/>
  <c r="N43" i="6"/>
  <c r="AH44" i="6"/>
  <c r="Q50" i="6"/>
  <c r="Z50" i="6"/>
  <c r="AH50" i="6"/>
  <c r="Z51" i="6"/>
  <c r="C56" i="6"/>
  <c r="Z57" i="6"/>
  <c r="AH57" i="6"/>
  <c r="Z58" i="6"/>
  <c r="H59" i="6"/>
  <c r="F59" i="6" s="1"/>
  <c r="H64" i="6"/>
  <c r="F64" i="6" s="1"/>
  <c r="H67" i="6"/>
  <c r="F67" i="6" s="1"/>
  <c r="G67" i="6" s="1"/>
  <c r="T67" i="6"/>
  <c r="AD68" i="6"/>
  <c r="C69" i="6"/>
  <c r="Z72" i="6"/>
  <c r="AH72" i="6"/>
  <c r="H73" i="6"/>
  <c r="F73" i="6" s="1"/>
  <c r="C76" i="6"/>
  <c r="H78" i="6"/>
  <c r="F78" i="6" s="1"/>
  <c r="G78" i="6" s="1"/>
  <c r="Q84" i="6"/>
  <c r="Z84" i="6"/>
  <c r="AH84" i="6"/>
  <c r="W16" i="7"/>
  <c r="Y19" i="7"/>
  <c r="T20" i="7"/>
  <c r="C24" i="7"/>
  <c r="W27" i="7"/>
  <c r="H79" i="7"/>
  <c r="F79" i="7" s="1"/>
  <c r="G79" i="7" s="1"/>
  <c r="BP52" i="8"/>
  <c r="AZ52" i="8"/>
  <c r="N67" i="8"/>
  <c r="C67" i="8"/>
  <c r="C32" i="9"/>
  <c r="G32" i="9"/>
  <c r="G61" i="9"/>
  <c r="C61" i="9"/>
  <c r="CI61" i="5"/>
  <c r="H66" i="5"/>
  <c r="F66" i="5" s="1"/>
  <c r="G66" i="5" s="1"/>
  <c r="O66" i="5"/>
  <c r="S76" i="5"/>
  <c r="AE76" i="5"/>
  <c r="C77" i="5"/>
  <c r="AG78" i="5"/>
  <c r="CQ78" i="5"/>
  <c r="AS80" i="5"/>
  <c r="AE82" i="5"/>
  <c r="AQ84" i="5"/>
  <c r="H15" i="6"/>
  <c r="F15" i="6" s="1"/>
  <c r="G15" i="6" s="1"/>
  <c r="AD16" i="6"/>
  <c r="AH22" i="6"/>
  <c r="Z30" i="6"/>
  <c r="AH30" i="6"/>
  <c r="AD34" i="6"/>
  <c r="Z37" i="6"/>
  <c r="AH37" i="6"/>
  <c r="H43" i="6"/>
  <c r="F43" i="6" s="1"/>
  <c r="G43" i="6" s="1"/>
  <c r="U52" i="6"/>
  <c r="AH56" i="6"/>
  <c r="H58" i="6"/>
  <c r="F58" i="6" s="1"/>
  <c r="G58" i="6" s="1"/>
  <c r="AD67" i="6"/>
  <c r="C68" i="6"/>
  <c r="T78" i="6"/>
  <c r="H84" i="6"/>
  <c r="F84" i="6" s="1"/>
  <c r="G84" i="6" s="1"/>
  <c r="C87" i="6"/>
  <c r="C16" i="7"/>
  <c r="AB52" i="8"/>
  <c r="N30" i="9"/>
  <c r="C30" i="9"/>
  <c r="N70" i="9"/>
  <c r="C70" i="9"/>
  <c r="T26" i="7"/>
  <c r="AC27" i="7"/>
  <c r="Y29" i="7"/>
  <c r="AD31" i="7"/>
  <c r="AA49" i="7"/>
  <c r="W82" i="7"/>
  <c r="AL13" i="8"/>
  <c r="AR13" i="8"/>
  <c r="Q30" i="8"/>
  <c r="BL48" i="8"/>
  <c r="AV52" i="8"/>
  <c r="BD52" i="8"/>
  <c r="T54" i="8"/>
  <c r="AF59" i="8"/>
  <c r="BF52" i="8"/>
  <c r="BR52" i="8"/>
  <c r="H76" i="8"/>
  <c r="F76" i="8" s="1"/>
  <c r="C81" i="8"/>
  <c r="H16" i="9"/>
  <c r="F16" i="9" s="1"/>
  <c r="G16" i="9" s="1"/>
  <c r="H19" i="9"/>
  <c r="F19" i="9" s="1"/>
  <c r="P24" i="9"/>
  <c r="P34" i="9"/>
  <c r="H41" i="9"/>
  <c r="F41" i="9" s="1"/>
  <c r="P47" i="9"/>
  <c r="P50" i="9"/>
  <c r="P81" i="9"/>
  <c r="H38" i="7"/>
  <c r="F38" i="7" s="1"/>
  <c r="G38" i="7" s="1"/>
  <c r="W46" i="7"/>
  <c r="C53" i="7"/>
  <c r="Q54" i="7"/>
  <c r="AE54" i="7" s="1"/>
  <c r="T55" i="7"/>
  <c r="H57" i="7"/>
  <c r="F57" i="7" s="1"/>
  <c r="G57" i="7" s="1"/>
  <c r="C58" i="7"/>
  <c r="T65" i="7"/>
  <c r="AA73" i="7"/>
  <c r="H77" i="7"/>
  <c r="F77" i="7" s="1"/>
  <c r="H83" i="7"/>
  <c r="F83" i="7" s="1"/>
  <c r="BD13" i="8"/>
  <c r="J13" i="8"/>
  <c r="C24" i="8"/>
  <c r="Z13" i="8"/>
  <c r="K31" i="8"/>
  <c r="H39" i="8"/>
  <c r="F39" i="8" s="1"/>
  <c r="AY50" i="8"/>
  <c r="AM52" i="8"/>
  <c r="N71" i="8"/>
  <c r="H83" i="8"/>
  <c r="F83" i="8" s="1"/>
  <c r="C15" i="9"/>
  <c r="C27" i="9"/>
  <c r="C39" i="9"/>
  <c r="H49" i="9"/>
  <c r="F49" i="9" s="1"/>
  <c r="C54" i="9"/>
  <c r="P59" i="9"/>
  <c r="H60" i="9"/>
  <c r="F60" i="9" s="1"/>
  <c r="P61" i="9"/>
  <c r="P83" i="9"/>
  <c r="P84" i="9"/>
  <c r="AC29" i="7"/>
  <c r="C39" i="7"/>
  <c r="Q66" i="7"/>
  <c r="AE66" i="7" s="1"/>
  <c r="H76" i="7"/>
  <c r="F76" i="7" s="1"/>
  <c r="W18" i="8"/>
  <c r="AS18" i="8"/>
  <c r="C20" i="8"/>
  <c r="Q21" i="8"/>
  <c r="C23" i="8"/>
  <c r="H25" i="8"/>
  <c r="F25" i="8" s="1"/>
  <c r="P31" i="8"/>
  <c r="AY32" i="8"/>
  <c r="AS38" i="8"/>
  <c r="C51" i="8"/>
  <c r="C59" i="8"/>
  <c r="H60" i="8"/>
  <c r="F60" i="8" s="1"/>
  <c r="G60" i="8" s="1"/>
  <c r="AS61" i="8"/>
  <c r="H46" i="9"/>
  <c r="F46" i="9" s="1"/>
  <c r="G46" i="9" s="1"/>
  <c r="C48" i="9"/>
  <c r="H56" i="9"/>
  <c r="F56" i="9" s="1"/>
  <c r="C59" i="9"/>
  <c r="C28" i="7"/>
  <c r="AA32" i="7"/>
  <c r="Y37" i="7"/>
  <c r="C45" i="7"/>
  <c r="C47" i="7"/>
  <c r="Q50" i="7"/>
  <c r="AE50" i="7" s="1"/>
  <c r="Y50" i="7"/>
  <c r="Q56" i="7"/>
  <c r="AE56" i="7" s="1"/>
  <c r="Y56" i="7"/>
  <c r="C69" i="7"/>
  <c r="Y81" i="7"/>
  <c r="AA82" i="7"/>
  <c r="AD74" i="7"/>
  <c r="BP13" i="8"/>
  <c r="AY30" i="8"/>
  <c r="BH31" i="8"/>
  <c r="BL38" i="8"/>
  <c r="AW43" i="8"/>
  <c r="BL54" i="8"/>
  <c r="AS57" i="8"/>
  <c r="AW59" i="8"/>
  <c r="AY61" i="8"/>
  <c r="H71" i="8"/>
  <c r="F71" i="8" s="1"/>
  <c r="G71" i="8" s="1"/>
  <c r="AZ74" i="8"/>
  <c r="BF74" i="8"/>
  <c r="AY80" i="8"/>
  <c r="L74" i="8"/>
  <c r="H20" i="9"/>
  <c r="F20" i="9" s="1"/>
  <c r="P26" i="9"/>
  <c r="Q26" i="9" s="1"/>
  <c r="H34" i="9"/>
  <c r="F34" i="9" s="1"/>
  <c r="H63" i="9"/>
  <c r="F63" i="9" s="1"/>
  <c r="P65" i="9"/>
  <c r="H66" i="9"/>
  <c r="F66" i="9" s="1"/>
  <c r="H26" i="7"/>
  <c r="F26" i="7" s="1"/>
  <c r="G26" i="7" s="1"/>
  <c r="AA26" i="7"/>
  <c r="H28" i="7"/>
  <c r="F28" i="7" s="1"/>
  <c r="G28" i="7" s="1"/>
  <c r="C29" i="7"/>
  <c r="W29" i="7"/>
  <c r="W34" i="7"/>
  <c r="H40" i="7"/>
  <c r="F40" i="7" s="1"/>
  <c r="T48" i="7"/>
  <c r="C51" i="7"/>
  <c r="W54" i="7"/>
  <c r="Q58" i="7"/>
  <c r="AE58" i="7" s="1"/>
  <c r="AA63" i="7"/>
  <c r="H65" i="7"/>
  <c r="F65" i="7" s="1"/>
  <c r="G65" i="7" s="1"/>
  <c r="AA65" i="7"/>
  <c r="C71" i="7"/>
  <c r="T72" i="7"/>
  <c r="C73" i="7"/>
  <c r="W73" i="7"/>
  <c r="Y79" i="7"/>
  <c r="K74" i="7"/>
  <c r="T82" i="7"/>
  <c r="T86" i="7"/>
  <c r="H23" i="8"/>
  <c r="F23" i="8" s="1"/>
  <c r="G23" i="8" s="1"/>
  <c r="W30" i="8"/>
  <c r="AS30" i="8"/>
  <c r="C33" i="8"/>
  <c r="BB31" i="8"/>
  <c r="AF42" i="8"/>
  <c r="AW50" i="8"/>
  <c r="AS55" i="8"/>
  <c r="C56" i="8"/>
  <c r="AY60" i="8"/>
  <c r="C64" i="8"/>
  <c r="AW70" i="8"/>
  <c r="W72" i="8"/>
  <c r="C83" i="8"/>
  <c r="BM74" i="8"/>
  <c r="G41" i="9"/>
  <c r="C42" i="9"/>
  <c r="AB13" i="1"/>
  <c r="I31" i="1"/>
  <c r="AB52" i="1"/>
  <c r="D52" i="2"/>
  <c r="BK18" i="5"/>
  <c r="BH13" i="5"/>
  <c r="Z31" i="5"/>
  <c r="D13" i="1"/>
  <c r="AD13" i="1"/>
  <c r="AA14" i="1"/>
  <c r="AI30" i="1"/>
  <c r="AI32" i="1"/>
  <c r="H33" i="1"/>
  <c r="F33" i="1" s="1"/>
  <c r="G33" i="1" s="1"/>
  <c r="AI34" i="1"/>
  <c r="H35" i="1"/>
  <c r="F35" i="1" s="1"/>
  <c r="G35" i="1" s="1"/>
  <c r="AC36" i="1"/>
  <c r="H40" i="1"/>
  <c r="F40" i="1" s="1"/>
  <c r="G40" i="1" s="1"/>
  <c r="Z31" i="1"/>
  <c r="H47" i="1"/>
  <c r="F47" i="1" s="1"/>
  <c r="G47" i="1" s="1"/>
  <c r="T47" i="1"/>
  <c r="M52" i="1"/>
  <c r="S52" i="1"/>
  <c r="T62" i="1"/>
  <c r="R65" i="1"/>
  <c r="H66" i="1"/>
  <c r="F66" i="1" s="1"/>
  <c r="G66" i="1" s="1"/>
  <c r="W68" i="1"/>
  <c r="E74" i="1"/>
  <c r="N74" i="1" s="1"/>
  <c r="AA76" i="1"/>
  <c r="X74" i="1"/>
  <c r="AG77" i="1"/>
  <c r="AD74" i="1"/>
  <c r="N21" i="2"/>
  <c r="U31" i="2"/>
  <c r="Y52" i="2"/>
  <c r="K52" i="2"/>
  <c r="J52" i="2"/>
  <c r="X74" i="2"/>
  <c r="S13" i="3"/>
  <c r="L13" i="3"/>
  <c r="AL22" i="3"/>
  <c r="AI31" i="3"/>
  <c r="AE52" i="3"/>
  <c r="Y52" i="3"/>
  <c r="H69" i="3"/>
  <c r="F69" i="3" s="1"/>
  <c r="G69" i="3" s="1"/>
  <c r="G65" i="4"/>
  <c r="C65" i="4"/>
  <c r="C68" i="4"/>
  <c r="G68" i="4"/>
  <c r="AF31" i="1"/>
  <c r="O52" i="2"/>
  <c r="Q52" i="2" s="1"/>
  <c r="Q53" i="2"/>
  <c r="CS36" i="5"/>
  <c r="CO31" i="5"/>
  <c r="AJ13" i="1"/>
  <c r="Z52" i="1"/>
  <c r="H58" i="1"/>
  <c r="F58" i="1" s="1"/>
  <c r="G58" i="1" s="1"/>
  <c r="C79" i="2"/>
  <c r="N79" i="2"/>
  <c r="E13" i="1"/>
  <c r="O13" i="1"/>
  <c r="X13" i="1"/>
  <c r="AC14" i="1"/>
  <c r="R16" i="1"/>
  <c r="R18" i="1"/>
  <c r="C19" i="1"/>
  <c r="AI19" i="1"/>
  <c r="H20" i="1"/>
  <c r="F20" i="1" s="1"/>
  <c r="G20" i="1" s="1"/>
  <c r="T20" i="1"/>
  <c r="R27" i="1"/>
  <c r="W28" i="1"/>
  <c r="AC28" i="1"/>
  <c r="R38" i="1"/>
  <c r="V31" i="1"/>
  <c r="AI41" i="1"/>
  <c r="C42" i="1"/>
  <c r="M31" i="1"/>
  <c r="S31" i="1"/>
  <c r="T44" i="1"/>
  <c r="AI45" i="1"/>
  <c r="C46" i="1"/>
  <c r="C49" i="1"/>
  <c r="C51" i="1"/>
  <c r="C56" i="1"/>
  <c r="W57" i="1"/>
  <c r="AG57" i="1"/>
  <c r="H59" i="1"/>
  <c r="F59" i="1" s="1"/>
  <c r="G59" i="1" s="1"/>
  <c r="T59" i="1"/>
  <c r="AA59" i="1"/>
  <c r="W62" i="1"/>
  <c r="AG62" i="1"/>
  <c r="W64" i="1"/>
  <c r="AG64" i="1"/>
  <c r="H67" i="1"/>
  <c r="F67" i="1" s="1"/>
  <c r="G67" i="1" s="1"/>
  <c r="AA68" i="1"/>
  <c r="W69" i="1"/>
  <c r="AI69" i="1"/>
  <c r="C70" i="1"/>
  <c r="AH74" i="1"/>
  <c r="R79" i="1"/>
  <c r="O74" i="1"/>
  <c r="R80" i="1"/>
  <c r="R82" i="1"/>
  <c r="R85" i="1"/>
  <c r="C88" i="1"/>
  <c r="C18" i="2"/>
  <c r="T20" i="2"/>
  <c r="AC28" i="2"/>
  <c r="K31" i="2"/>
  <c r="O31" i="2"/>
  <c r="Q31" i="2" s="1"/>
  <c r="V31" i="2"/>
  <c r="T33" i="2"/>
  <c r="H44" i="2"/>
  <c r="F44" i="2" s="1"/>
  <c r="G44" i="2" s="1"/>
  <c r="N45" i="2"/>
  <c r="S52" i="2"/>
  <c r="H54" i="2"/>
  <c r="F54" i="2" s="1"/>
  <c r="L74" i="2"/>
  <c r="S74" i="2"/>
  <c r="Y74" i="2"/>
  <c r="AC75" i="2"/>
  <c r="H77" i="2"/>
  <c r="F77" i="2" s="1"/>
  <c r="G77" i="2" s="1"/>
  <c r="H79" i="2"/>
  <c r="F79" i="2" s="1"/>
  <c r="C86" i="2"/>
  <c r="N86" i="2"/>
  <c r="T88" i="2"/>
  <c r="AH16" i="3"/>
  <c r="AO16" i="3"/>
  <c r="C17" i="3"/>
  <c r="N17" i="3"/>
  <c r="AD29" i="3"/>
  <c r="E52" i="3"/>
  <c r="N52" i="3" s="1"/>
  <c r="X52" i="3"/>
  <c r="D52" i="4"/>
  <c r="C56" i="4"/>
  <c r="P52" i="4"/>
  <c r="Z58" i="4"/>
  <c r="X52" i="4"/>
  <c r="Z52" i="4" s="1"/>
  <c r="N81" i="2"/>
  <c r="C88" i="2"/>
  <c r="N88" i="2"/>
  <c r="C47" i="3"/>
  <c r="U13" i="1"/>
  <c r="AG14" i="1"/>
  <c r="AJ31" i="1"/>
  <c r="AL31" i="1" s="1"/>
  <c r="H54" i="1"/>
  <c r="F54" i="1" s="1"/>
  <c r="G54" i="1" s="1"/>
  <c r="AK52" i="1"/>
  <c r="H65" i="1"/>
  <c r="F65" i="1" s="1"/>
  <c r="G65" i="1" s="1"/>
  <c r="W67" i="1"/>
  <c r="AB13" i="2"/>
  <c r="I31" i="2"/>
  <c r="C39" i="2"/>
  <c r="H46" i="2"/>
  <c r="F46" i="2" s="1"/>
  <c r="G46" i="2" s="1"/>
  <c r="AI13" i="3"/>
  <c r="Z77" i="4"/>
  <c r="X74" i="4"/>
  <c r="BL21" i="8"/>
  <c r="BJ13" i="8"/>
  <c r="AW53" i="8"/>
  <c r="I13" i="1"/>
  <c r="P13" i="1"/>
  <c r="AI15" i="1"/>
  <c r="H16" i="1"/>
  <c r="F16" i="1" s="1"/>
  <c r="G16" i="1" s="1"/>
  <c r="T16" i="1"/>
  <c r="W17" i="1"/>
  <c r="AI17" i="1"/>
  <c r="H18" i="1"/>
  <c r="F18" i="1" s="1"/>
  <c r="G18" i="1" s="1"/>
  <c r="T18" i="1"/>
  <c r="R21" i="1"/>
  <c r="R23" i="1"/>
  <c r="R25" i="1"/>
  <c r="AI26" i="1"/>
  <c r="H27" i="1"/>
  <c r="F27" i="1" s="1"/>
  <c r="G27" i="1" s="1"/>
  <c r="T27" i="1"/>
  <c r="R30" i="1"/>
  <c r="O31" i="1"/>
  <c r="R32" i="1"/>
  <c r="R34" i="1"/>
  <c r="R36" i="1"/>
  <c r="W37" i="1"/>
  <c r="AI37" i="1"/>
  <c r="H38" i="1"/>
  <c r="F38" i="1" s="1"/>
  <c r="G38" i="1" s="1"/>
  <c r="T38" i="1"/>
  <c r="W39" i="1"/>
  <c r="AG39" i="1"/>
  <c r="H41" i="1"/>
  <c r="F41" i="1" s="1"/>
  <c r="G41" i="1" s="1"/>
  <c r="T41" i="1"/>
  <c r="AH31" i="1"/>
  <c r="W44" i="1"/>
  <c r="AG44" i="1"/>
  <c r="W46" i="1"/>
  <c r="AG46" i="1"/>
  <c r="H48" i="1"/>
  <c r="F48" i="1" s="1"/>
  <c r="G48" i="1" s="1"/>
  <c r="T48" i="1"/>
  <c r="T49" i="1"/>
  <c r="X52" i="1"/>
  <c r="V52" i="1"/>
  <c r="AI53" i="1"/>
  <c r="C54" i="1"/>
  <c r="T56" i="1"/>
  <c r="AI57" i="1"/>
  <c r="C58" i="1"/>
  <c r="AC59" i="1"/>
  <c r="C61" i="1"/>
  <c r="C63" i="1"/>
  <c r="AI64" i="1"/>
  <c r="C65" i="1"/>
  <c r="AG65" i="1"/>
  <c r="H68" i="1"/>
  <c r="F68" i="1" s="1"/>
  <c r="G68" i="1" s="1"/>
  <c r="T68" i="1"/>
  <c r="AC68" i="1"/>
  <c r="R69" i="1"/>
  <c r="Q74" i="1"/>
  <c r="H76" i="1"/>
  <c r="F76" i="1" s="1"/>
  <c r="G76" i="1" s="1"/>
  <c r="U13" i="2"/>
  <c r="T15" i="2"/>
  <c r="Y13" i="2"/>
  <c r="AC15" i="2"/>
  <c r="H24" i="2"/>
  <c r="F24" i="2" s="1"/>
  <c r="G24" i="2" s="1"/>
  <c r="T24" i="2"/>
  <c r="H26" i="2"/>
  <c r="F26" i="2" s="1"/>
  <c r="G26" i="2" s="1"/>
  <c r="P31" i="2"/>
  <c r="D31" i="2"/>
  <c r="M31" i="2"/>
  <c r="H35" i="2"/>
  <c r="F35" i="2" s="1"/>
  <c r="G35" i="2" s="1"/>
  <c r="T35" i="2"/>
  <c r="H37" i="2"/>
  <c r="F37" i="2" s="1"/>
  <c r="G37" i="2" s="1"/>
  <c r="W42" i="2"/>
  <c r="H49" i="2"/>
  <c r="F49" i="2" s="1"/>
  <c r="G49" i="2" s="1"/>
  <c r="W51" i="2"/>
  <c r="AB52" i="2"/>
  <c r="H62" i="2"/>
  <c r="F62" i="2" s="1"/>
  <c r="T63" i="2"/>
  <c r="M74" i="2"/>
  <c r="AC76" i="2"/>
  <c r="H86" i="2"/>
  <c r="F86" i="2" s="1"/>
  <c r="G86" i="2" s="1"/>
  <c r="C87" i="2"/>
  <c r="N87" i="2"/>
  <c r="C14" i="3"/>
  <c r="N14" i="3"/>
  <c r="H17" i="3"/>
  <c r="F17" i="3" s="1"/>
  <c r="G17" i="3" s="1"/>
  <c r="C18" i="3"/>
  <c r="AT31" i="3"/>
  <c r="O13" i="4"/>
  <c r="Q14" i="4"/>
  <c r="C15" i="4"/>
  <c r="D13" i="4"/>
  <c r="G15" i="4"/>
  <c r="C17" i="4"/>
  <c r="G17" i="4"/>
  <c r="H24" i="4"/>
  <c r="F24" i="4" s="1"/>
  <c r="H33" i="4"/>
  <c r="F33" i="4" s="1"/>
  <c r="I31" i="4"/>
  <c r="Q33" i="4"/>
  <c r="O31" i="4"/>
  <c r="AD31" i="4"/>
  <c r="AF37" i="4"/>
  <c r="AD52" i="4"/>
  <c r="AF53" i="4"/>
  <c r="J52" i="4"/>
  <c r="C60" i="4"/>
  <c r="G60" i="4"/>
  <c r="AK31" i="1"/>
  <c r="AD75" i="3"/>
  <c r="AB74" i="3"/>
  <c r="AB31" i="1"/>
  <c r="Q52" i="1"/>
  <c r="Y31" i="2"/>
  <c r="AC33" i="2"/>
  <c r="R74" i="2"/>
  <c r="C33" i="3"/>
  <c r="D31" i="3"/>
  <c r="N75" i="4"/>
  <c r="R14" i="1"/>
  <c r="W15" i="1"/>
  <c r="AC15" i="1"/>
  <c r="R19" i="1"/>
  <c r="AI20" i="1"/>
  <c r="H21" i="1"/>
  <c r="F21" i="1" s="1"/>
  <c r="G21" i="1" s="1"/>
  <c r="T21" i="1"/>
  <c r="W22" i="1"/>
  <c r="AI22" i="1"/>
  <c r="H23" i="1"/>
  <c r="F23" i="1" s="1"/>
  <c r="G23" i="1" s="1"/>
  <c r="T23" i="1"/>
  <c r="W24" i="1"/>
  <c r="AI24" i="1"/>
  <c r="H25" i="1"/>
  <c r="F25" i="1" s="1"/>
  <c r="G25" i="1" s="1"/>
  <c r="T25" i="1"/>
  <c r="W26" i="1"/>
  <c r="AC26" i="1"/>
  <c r="R28" i="1"/>
  <c r="W29" i="1"/>
  <c r="H30" i="1"/>
  <c r="F30" i="1" s="1"/>
  <c r="G30" i="1" s="1"/>
  <c r="T30" i="1"/>
  <c r="H32" i="1"/>
  <c r="F32" i="1" s="1"/>
  <c r="G32" i="1" s="1"/>
  <c r="T32" i="1"/>
  <c r="W33" i="1"/>
  <c r="H34" i="1"/>
  <c r="F34" i="1" s="1"/>
  <c r="G34" i="1" s="1"/>
  <c r="T34" i="1"/>
  <c r="W35" i="1"/>
  <c r="H36" i="1"/>
  <c r="F36" i="1" s="1"/>
  <c r="G36" i="1" s="1"/>
  <c r="T36" i="1"/>
  <c r="AI39" i="1"/>
  <c r="C40" i="1"/>
  <c r="C43" i="1"/>
  <c r="C45" i="1"/>
  <c r="AI46" i="1"/>
  <c r="C47" i="1"/>
  <c r="W49" i="1"/>
  <c r="H53" i="1"/>
  <c r="F53" i="1" s="1"/>
  <c r="G53" i="1" s="1"/>
  <c r="AF52" i="1"/>
  <c r="AC55" i="1"/>
  <c r="W56" i="1"/>
  <c r="AG56" i="1"/>
  <c r="W58" i="1"/>
  <c r="AG58" i="1"/>
  <c r="H60" i="1"/>
  <c r="F60" i="1" s="1"/>
  <c r="G60" i="1" s="1"/>
  <c r="H64" i="1"/>
  <c r="F64" i="1" s="1"/>
  <c r="G64" i="1" s="1"/>
  <c r="AA64" i="1"/>
  <c r="C66" i="1"/>
  <c r="AG66" i="1"/>
  <c r="H69" i="1"/>
  <c r="F69" i="1" s="1"/>
  <c r="G69" i="1" s="1"/>
  <c r="U74" i="1"/>
  <c r="Z74" i="1"/>
  <c r="H79" i="1"/>
  <c r="F79" i="1" s="1"/>
  <c r="G79" i="1" s="1"/>
  <c r="H82" i="1"/>
  <c r="F82" i="1" s="1"/>
  <c r="G82" i="1" s="1"/>
  <c r="H85" i="1"/>
  <c r="F85" i="1" s="1"/>
  <c r="G85" i="1" s="1"/>
  <c r="H14" i="2"/>
  <c r="F14" i="2" s="1"/>
  <c r="O13" i="2"/>
  <c r="Q13" i="2" s="1"/>
  <c r="V13" i="2"/>
  <c r="H19" i="2"/>
  <c r="F19" i="2" s="1"/>
  <c r="G19" i="2" s="1"/>
  <c r="W23" i="2"/>
  <c r="AC36" i="2"/>
  <c r="T44" i="2"/>
  <c r="T49" i="2"/>
  <c r="H53" i="2"/>
  <c r="F53" i="2" s="1"/>
  <c r="G53" i="2" s="1"/>
  <c r="U52" i="2"/>
  <c r="W53" i="2"/>
  <c r="R52" i="2"/>
  <c r="C58" i="2"/>
  <c r="W70" i="2"/>
  <c r="AB74" i="2"/>
  <c r="H80" i="2"/>
  <c r="F80" i="2" s="1"/>
  <c r="G80" i="2" s="1"/>
  <c r="AQ13" i="3"/>
  <c r="AS15" i="3"/>
  <c r="AD47" i="3"/>
  <c r="AH82" i="3"/>
  <c r="C84" i="3"/>
  <c r="AD84" i="3"/>
  <c r="R72" i="1"/>
  <c r="H73" i="1"/>
  <c r="F73" i="1" s="1"/>
  <c r="G73" i="1" s="1"/>
  <c r="C75" i="1"/>
  <c r="M74" i="1"/>
  <c r="C78" i="1"/>
  <c r="W78" i="1"/>
  <c r="H80" i="1"/>
  <c r="F80" i="1" s="1"/>
  <c r="G80" i="1" s="1"/>
  <c r="H83" i="1"/>
  <c r="F83" i="1" s="1"/>
  <c r="G83" i="1" s="1"/>
  <c r="T83" i="1"/>
  <c r="W84" i="1"/>
  <c r="H86" i="1"/>
  <c r="F86" i="1" s="1"/>
  <c r="G86" i="1" s="1"/>
  <c r="AG87" i="1"/>
  <c r="L13" i="2"/>
  <c r="R13" i="2"/>
  <c r="C15" i="2"/>
  <c r="N15" i="2"/>
  <c r="AA15" i="2"/>
  <c r="H23" i="2"/>
  <c r="F23" i="2" s="1"/>
  <c r="G23" i="2" s="1"/>
  <c r="L31" i="2"/>
  <c r="R31" i="2"/>
  <c r="C33" i="2"/>
  <c r="AA35" i="2"/>
  <c r="H40" i="2"/>
  <c r="F40" i="2" s="1"/>
  <c r="G40" i="2" s="1"/>
  <c r="C41" i="2"/>
  <c r="C49" i="2"/>
  <c r="AA49" i="2"/>
  <c r="H51" i="2"/>
  <c r="F51" i="2" s="1"/>
  <c r="G51" i="2" s="1"/>
  <c r="C55" i="2"/>
  <c r="H56" i="2"/>
  <c r="F56" i="2" s="1"/>
  <c r="G56" i="2" s="1"/>
  <c r="AA56" i="2"/>
  <c r="C57" i="2"/>
  <c r="C62" i="2"/>
  <c r="C63" i="2"/>
  <c r="N63" i="2"/>
  <c r="AA63" i="2"/>
  <c r="H73" i="2"/>
  <c r="F73" i="2" s="1"/>
  <c r="G73" i="2" s="1"/>
  <c r="O74" i="2"/>
  <c r="Q74" i="2" s="1"/>
  <c r="U74" i="2"/>
  <c r="AA75" i="2"/>
  <c r="H82" i="2"/>
  <c r="F82" i="2" s="1"/>
  <c r="G82" i="2" s="1"/>
  <c r="AA82" i="2"/>
  <c r="C83" i="2"/>
  <c r="U13" i="3"/>
  <c r="AL15" i="3"/>
  <c r="AO18" i="3"/>
  <c r="AL19" i="3"/>
  <c r="AO21" i="3"/>
  <c r="W22" i="3"/>
  <c r="H24" i="3"/>
  <c r="F24" i="3" s="1"/>
  <c r="G24" i="3" s="1"/>
  <c r="T24" i="3"/>
  <c r="R29" i="3"/>
  <c r="C30" i="3"/>
  <c r="AL30" i="3"/>
  <c r="H33" i="3"/>
  <c r="F33" i="3" s="1"/>
  <c r="G33" i="3" s="1"/>
  <c r="T33" i="3"/>
  <c r="R36" i="3"/>
  <c r="AD37" i="3"/>
  <c r="AH39" i="3"/>
  <c r="C46" i="3"/>
  <c r="C55" i="3"/>
  <c r="W58" i="3"/>
  <c r="AL58" i="3"/>
  <c r="AL63" i="3"/>
  <c r="AS63" i="3"/>
  <c r="AO67" i="3"/>
  <c r="AA70" i="3"/>
  <c r="L74" i="3"/>
  <c r="S74" i="3"/>
  <c r="AL86" i="3"/>
  <c r="AS86" i="3"/>
  <c r="AA13" i="4"/>
  <c r="AF15" i="4"/>
  <c r="AD13" i="4"/>
  <c r="C24" i="4"/>
  <c r="G24" i="4"/>
  <c r="N53" i="4"/>
  <c r="V52" i="4"/>
  <c r="K74" i="4"/>
  <c r="AW13" i="5"/>
  <c r="G18" i="7"/>
  <c r="C18" i="7"/>
  <c r="D13" i="7"/>
  <c r="AG71" i="1"/>
  <c r="AI75" i="1"/>
  <c r="H77" i="1"/>
  <c r="F77" i="1" s="1"/>
  <c r="G77" i="1" s="1"/>
  <c r="T77" i="1"/>
  <c r="AI81" i="1"/>
  <c r="H87" i="1"/>
  <c r="F87" i="1" s="1"/>
  <c r="G87" i="1" s="1"/>
  <c r="T87" i="1"/>
  <c r="AI88" i="1"/>
  <c r="E13" i="2"/>
  <c r="N13" i="2" s="1"/>
  <c r="H16" i="2"/>
  <c r="F16" i="2" s="1"/>
  <c r="G16" i="2" s="1"/>
  <c r="AA16" i="2"/>
  <c r="C17" i="2"/>
  <c r="H25" i="2"/>
  <c r="F25" i="2" s="1"/>
  <c r="G25" i="2" s="1"/>
  <c r="C32" i="2"/>
  <c r="H34" i="2"/>
  <c r="F34" i="2" s="1"/>
  <c r="C35" i="2"/>
  <c r="AA42" i="2"/>
  <c r="AA43" i="2"/>
  <c r="H45" i="2"/>
  <c r="F45" i="2" s="1"/>
  <c r="G45" i="2" s="1"/>
  <c r="H67" i="2"/>
  <c r="F67" i="2" s="1"/>
  <c r="H70" i="2"/>
  <c r="F70" i="2" s="1"/>
  <c r="G70" i="2" s="1"/>
  <c r="AA70" i="2"/>
  <c r="I74" i="2"/>
  <c r="AA85" i="2"/>
  <c r="I13" i="3"/>
  <c r="O13" i="3"/>
  <c r="T15" i="3"/>
  <c r="R17" i="3"/>
  <c r="C23" i="3"/>
  <c r="N23" i="3"/>
  <c r="H27" i="3"/>
  <c r="F27" i="3" s="1"/>
  <c r="G27" i="3" s="1"/>
  <c r="C32" i="3"/>
  <c r="N32" i="3"/>
  <c r="T36" i="3"/>
  <c r="T39" i="3"/>
  <c r="H42" i="3"/>
  <c r="F42" i="3" s="1"/>
  <c r="G42" i="3" s="1"/>
  <c r="H67" i="3"/>
  <c r="F67" i="3" s="1"/>
  <c r="G67" i="3" s="1"/>
  <c r="T67" i="3"/>
  <c r="M74" i="3"/>
  <c r="C19" i="4"/>
  <c r="G19" i="4"/>
  <c r="R70" i="1"/>
  <c r="W71" i="1"/>
  <c r="C72" i="1"/>
  <c r="AG72" i="1"/>
  <c r="AG76" i="1"/>
  <c r="R78" i="1"/>
  <c r="AG79" i="1"/>
  <c r="H81" i="1"/>
  <c r="F81" i="1" s="1"/>
  <c r="G81" i="1" s="1"/>
  <c r="T81" i="1"/>
  <c r="W82" i="1"/>
  <c r="AG82" i="1"/>
  <c r="H84" i="1"/>
  <c r="F84" i="1" s="1"/>
  <c r="G84" i="1" s="1"/>
  <c r="AG85" i="1"/>
  <c r="R88" i="1"/>
  <c r="T14" i="2"/>
  <c r="Z13" i="2"/>
  <c r="H18" i="2"/>
  <c r="F18" i="2" s="1"/>
  <c r="G18" i="2" s="1"/>
  <c r="AA18" i="2"/>
  <c r="AA19" i="2"/>
  <c r="C22" i="2"/>
  <c r="N29" i="2"/>
  <c r="AA29" i="2"/>
  <c r="T32" i="2"/>
  <c r="C34" i="2"/>
  <c r="AA36" i="2"/>
  <c r="AA37" i="2"/>
  <c r="H39" i="2"/>
  <c r="F39" i="2" s="1"/>
  <c r="G39" i="2" s="1"/>
  <c r="C40" i="2"/>
  <c r="C42" i="2"/>
  <c r="H47" i="2"/>
  <c r="F47" i="2" s="1"/>
  <c r="G47" i="2" s="1"/>
  <c r="C56" i="2"/>
  <c r="N61" i="2"/>
  <c r="H64" i="2"/>
  <c r="F64" i="2" s="1"/>
  <c r="C65" i="2"/>
  <c r="AA76" i="2"/>
  <c r="C77" i="2"/>
  <c r="H81" i="2"/>
  <c r="F81" i="2" s="1"/>
  <c r="G81" i="2" s="1"/>
  <c r="C82" i="2"/>
  <c r="C84" i="2"/>
  <c r="AK13" i="3"/>
  <c r="AO15" i="3"/>
  <c r="AS17" i="3"/>
  <c r="C20" i="3"/>
  <c r="N20" i="3"/>
  <c r="AA21" i="3"/>
  <c r="H23" i="3"/>
  <c r="F23" i="3" s="1"/>
  <c r="G23" i="3" s="1"/>
  <c r="H32" i="3"/>
  <c r="F32" i="3" s="1"/>
  <c r="G32" i="3" s="1"/>
  <c r="S31" i="3"/>
  <c r="AS35" i="3"/>
  <c r="AL40" i="3"/>
  <c r="AH48" i="3"/>
  <c r="AA50" i="3"/>
  <c r="H54" i="3"/>
  <c r="F54" i="3" s="1"/>
  <c r="G54" i="3" s="1"/>
  <c r="AD56" i="3"/>
  <c r="AS56" i="3"/>
  <c r="AQ52" i="3"/>
  <c r="H57" i="3"/>
  <c r="F57" i="3" s="1"/>
  <c r="G57" i="3" s="1"/>
  <c r="H58" i="3"/>
  <c r="F58" i="3" s="1"/>
  <c r="G58" i="3" s="1"/>
  <c r="AH62" i="3"/>
  <c r="AO62" i="3"/>
  <c r="AL65" i="3"/>
  <c r="AO69" i="3"/>
  <c r="AO76" i="3"/>
  <c r="W77" i="3"/>
  <c r="AD78" i="3"/>
  <c r="W87" i="3"/>
  <c r="L13" i="4"/>
  <c r="H15" i="4"/>
  <c r="F15" i="4" s="1"/>
  <c r="H18" i="4"/>
  <c r="F18" i="4" s="1"/>
  <c r="H27" i="4"/>
  <c r="F27" i="4" s="1"/>
  <c r="C71" i="4"/>
  <c r="G80" i="4"/>
  <c r="C80" i="4"/>
  <c r="CK13" i="5"/>
  <c r="H25" i="5"/>
  <c r="F25" i="5" s="1"/>
  <c r="G25" i="5" s="1"/>
  <c r="AI72" i="1"/>
  <c r="C73" i="1"/>
  <c r="AG73" i="1"/>
  <c r="H75" i="1"/>
  <c r="F75" i="1" s="1"/>
  <c r="G75" i="1" s="1"/>
  <c r="C77" i="1"/>
  <c r="H78" i="1"/>
  <c r="F78" i="1" s="1"/>
  <c r="G78" i="1" s="1"/>
  <c r="AI79" i="1"/>
  <c r="C80" i="1"/>
  <c r="C83" i="1"/>
  <c r="AI85" i="1"/>
  <c r="C86" i="1"/>
  <c r="W86" i="1"/>
  <c r="AG86" i="1"/>
  <c r="H88" i="1"/>
  <c r="F88" i="1" s="1"/>
  <c r="G88" i="1" s="1"/>
  <c r="T88" i="1"/>
  <c r="AC88" i="1"/>
  <c r="H15" i="2"/>
  <c r="F15" i="2" s="1"/>
  <c r="G15" i="2" s="1"/>
  <c r="C16" i="2"/>
  <c r="N23" i="2"/>
  <c r="H30" i="2"/>
  <c r="F30" i="2" s="1"/>
  <c r="G30" i="2" s="1"/>
  <c r="AA30" i="2"/>
  <c r="H33" i="2"/>
  <c r="F33" i="2" s="1"/>
  <c r="G33" i="2" s="1"/>
  <c r="C36" i="2"/>
  <c r="H41" i="2"/>
  <c r="F41" i="2" s="1"/>
  <c r="G41" i="2" s="1"/>
  <c r="N51" i="2"/>
  <c r="H55" i="2"/>
  <c r="F55" i="2" s="1"/>
  <c r="G55" i="2" s="1"/>
  <c r="H63" i="2"/>
  <c r="F63" i="2" s="1"/>
  <c r="G63" i="2" s="1"/>
  <c r="H66" i="2"/>
  <c r="F66" i="2" s="1"/>
  <c r="G66" i="2" s="1"/>
  <c r="AA66" i="2"/>
  <c r="H69" i="2"/>
  <c r="F69" i="2" s="1"/>
  <c r="C70" i="2"/>
  <c r="H72" i="2"/>
  <c r="F72" i="2" s="1"/>
  <c r="G72" i="2" s="1"/>
  <c r="AA72" i="2"/>
  <c r="K74" i="2"/>
  <c r="C76" i="2"/>
  <c r="H83" i="2"/>
  <c r="F83" i="2" s="1"/>
  <c r="G83" i="2" s="1"/>
  <c r="K13" i="3"/>
  <c r="Q13" i="3"/>
  <c r="AM13" i="3"/>
  <c r="AT13" i="3"/>
  <c r="AH17" i="3"/>
  <c r="H20" i="3"/>
  <c r="F20" i="3" s="1"/>
  <c r="G20" i="3" s="1"/>
  <c r="H26" i="3"/>
  <c r="F26" i="3" s="1"/>
  <c r="G26" i="3" s="1"/>
  <c r="T26" i="3"/>
  <c r="J31" i="3"/>
  <c r="Q31" i="3"/>
  <c r="AM31" i="3"/>
  <c r="H35" i="3"/>
  <c r="F35" i="3" s="1"/>
  <c r="G35" i="3" s="1"/>
  <c r="AH38" i="3"/>
  <c r="H40" i="3"/>
  <c r="F40" i="3" s="1"/>
  <c r="G40" i="3" s="1"/>
  <c r="L52" i="3"/>
  <c r="AK52" i="3"/>
  <c r="AT52" i="3"/>
  <c r="S52" i="3"/>
  <c r="M52" i="3"/>
  <c r="AA62" i="3"/>
  <c r="AH69" i="3"/>
  <c r="X74" i="3"/>
  <c r="AH76" i="3"/>
  <c r="W78" i="3"/>
  <c r="AD80" i="3"/>
  <c r="AS84" i="3"/>
  <c r="V13" i="4"/>
  <c r="H51" i="4"/>
  <c r="F51" i="4" s="1"/>
  <c r="H66" i="4"/>
  <c r="F66" i="4" s="1"/>
  <c r="C79" i="4"/>
  <c r="CR52" i="5"/>
  <c r="AH18" i="3"/>
  <c r="R19" i="3"/>
  <c r="AH21" i="3"/>
  <c r="R22" i="3"/>
  <c r="W25" i="3"/>
  <c r="AL25" i="3"/>
  <c r="AH26" i="3"/>
  <c r="AO27" i="3"/>
  <c r="AS29" i="3"/>
  <c r="AO30" i="3"/>
  <c r="W34" i="3"/>
  <c r="AL34" i="3"/>
  <c r="AH35" i="3"/>
  <c r="W37" i="3"/>
  <c r="AL37" i="3"/>
  <c r="AO39" i="3"/>
  <c r="AO40" i="3"/>
  <c r="AD41" i="3"/>
  <c r="AA42" i="3"/>
  <c r="W43" i="3"/>
  <c r="AL43" i="3"/>
  <c r="AD44" i="3"/>
  <c r="AS44" i="3"/>
  <c r="W45" i="3"/>
  <c r="AS45" i="3"/>
  <c r="W46" i="3"/>
  <c r="W47" i="3"/>
  <c r="AL47" i="3"/>
  <c r="AA48" i="3"/>
  <c r="AH49" i="3"/>
  <c r="AO49" i="3"/>
  <c r="R51" i="3"/>
  <c r="AH51" i="3"/>
  <c r="AO51" i="3"/>
  <c r="Q52" i="3"/>
  <c r="AA53" i="3"/>
  <c r="W54" i="3"/>
  <c r="W56" i="3"/>
  <c r="AL56" i="3"/>
  <c r="R63" i="3"/>
  <c r="AA65" i="3"/>
  <c r="AP52" i="3"/>
  <c r="W68" i="3"/>
  <c r="AA69" i="3"/>
  <c r="AS70" i="3"/>
  <c r="AA72" i="3"/>
  <c r="U74" i="3"/>
  <c r="AP74" i="3"/>
  <c r="T77" i="3"/>
  <c r="AH77" i="3"/>
  <c r="AA79" i="3"/>
  <c r="AO79" i="3"/>
  <c r="W80" i="3"/>
  <c r="AS80" i="3"/>
  <c r="R81" i="3"/>
  <c r="AL81" i="3"/>
  <c r="AS81" i="3"/>
  <c r="R83" i="3"/>
  <c r="W83" i="3"/>
  <c r="AS83" i="3"/>
  <c r="AA85" i="3"/>
  <c r="W86" i="3"/>
  <c r="AA88" i="3"/>
  <c r="C18" i="4"/>
  <c r="C20" i="4"/>
  <c r="C22" i="4"/>
  <c r="L31" i="4"/>
  <c r="AE31" i="4"/>
  <c r="Z37" i="4"/>
  <c r="X31" i="4"/>
  <c r="Z31" i="4" s="1"/>
  <c r="H41" i="4"/>
  <c r="F41" i="4" s="1"/>
  <c r="H56" i="4"/>
  <c r="F56" i="4" s="1"/>
  <c r="G56" i="4" s="1"/>
  <c r="H80" i="4"/>
  <c r="F80" i="4" s="1"/>
  <c r="C84" i="4"/>
  <c r="H87" i="4"/>
  <c r="F87" i="4" s="1"/>
  <c r="CY13" i="5"/>
  <c r="BK25" i="5"/>
  <c r="AE30" i="5"/>
  <c r="H35" i="5"/>
  <c r="F35" i="5" s="1"/>
  <c r="G35" i="5" s="1"/>
  <c r="U36" i="5"/>
  <c r="CF52" i="5"/>
  <c r="CK52" i="5"/>
  <c r="AV52" i="5"/>
  <c r="BK57" i="5"/>
  <c r="BH52" i="5"/>
  <c r="BB52" i="5"/>
  <c r="N28" i="7"/>
  <c r="H47" i="3"/>
  <c r="F47" i="3" s="1"/>
  <c r="G47" i="3" s="1"/>
  <c r="T47" i="3"/>
  <c r="K52" i="3"/>
  <c r="T56" i="3"/>
  <c r="H68" i="3"/>
  <c r="F68" i="3" s="1"/>
  <c r="G68" i="3" s="1"/>
  <c r="T68" i="3"/>
  <c r="AJ74" i="3"/>
  <c r="H87" i="3"/>
  <c r="F87" i="3" s="1"/>
  <c r="G87" i="3" s="1"/>
  <c r="H16" i="4"/>
  <c r="F16" i="4" s="1"/>
  <c r="H23" i="4"/>
  <c r="F23" i="4" s="1"/>
  <c r="H25" i="4"/>
  <c r="F25" i="4" s="1"/>
  <c r="R31" i="4"/>
  <c r="Y31" i="4"/>
  <c r="H37" i="4"/>
  <c r="F37" i="4" s="1"/>
  <c r="K31" i="4"/>
  <c r="H55" i="4"/>
  <c r="F55" i="4" s="1"/>
  <c r="H79" i="4"/>
  <c r="F79" i="4" s="1"/>
  <c r="R74" i="4"/>
  <c r="T80" i="4"/>
  <c r="CM13" i="5"/>
  <c r="AP13" i="5"/>
  <c r="AQ18" i="5"/>
  <c r="BC13" i="5"/>
  <c r="BI13" i="5"/>
  <c r="H24" i="5"/>
  <c r="F24" i="5" s="1"/>
  <c r="G24" i="5" s="1"/>
  <c r="BD31" i="5"/>
  <c r="CC31" i="5"/>
  <c r="AL18" i="3"/>
  <c r="AL21" i="3"/>
  <c r="T25" i="3"/>
  <c r="AO25" i="3"/>
  <c r="C26" i="3"/>
  <c r="AA26" i="3"/>
  <c r="AH27" i="3"/>
  <c r="R28" i="3"/>
  <c r="AH30" i="3"/>
  <c r="U31" i="3"/>
  <c r="AJ31" i="3"/>
  <c r="AP31" i="3"/>
  <c r="W33" i="3"/>
  <c r="H34" i="3"/>
  <c r="F34" i="3" s="1"/>
  <c r="G34" i="3" s="1"/>
  <c r="T34" i="3"/>
  <c r="AA34" i="3"/>
  <c r="AO34" i="3"/>
  <c r="C35" i="3"/>
  <c r="AA35" i="3"/>
  <c r="W36" i="3"/>
  <c r="H37" i="3"/>
  <c r="F37" i="3" s="1"/>
  <c r="G37" i="3" s="1"/>
  <c r="T37" i="3"/>
  <c r="AA37" i="3"/>
  <c r="AO37" i="3"/>
  <c r="R38" i="3"/>
  <c r="AL38" i="3"/>
  <c r="H43" i="3"/>
  <c r="F43" i="3" s="1"/>
  <c r="G43" i="3" s="1"/>
  <c r="R43" i="3"/>
  <c r="AO43" i="3"/>
  <c r="M31" i="3"/>
  <c r="W44" i="3"/>
  <c r="AS46" i="3"/>
  <c r="AA47" i="3"/>
  <c r="W50" i="3"/>
  <c r="AL50" i="3"/>
  <c r="AA51" i="3"/>
  <c r="AB52" i="3"/>
  <c r="AI52" i="3"/>
  <c r="AS53" i="3"/>
  <c r="I52" i="3"/>
  <c r="R54" i="3"/>
  <c r="W55" i="3"/>
  <c r="AA56" i="3"/>
  <c r="AD57" i="3"/>
  <c r="W62" i="3"/>
  <c r="AL62" i="3"/>
  <c r="AA63" i="3"/>
  <c r="R66" i="3"/>
  <c r="AA68" i="3"/>
  <c r="AS69" i="3"/>
  <c r="I74" i="3"/>
  <c r="O74" i="3"/>
  <c r="AF74" i="3"/>
  <c r="AO78" i="3"/>
  <c r="AD79" i="3"/>
  <c r="AS79" i="3"/>
  <c r="Q74" i="3"/>
  <c r="AO81" i="3"/>
  <c r="AL82" i="3"/>
  <c r="H84" i="3"/>
  <c r="F84" i="3" s="1"/>
  <c r="G84" i="3" s="1"/>
  <c r="AH84" i="3"/>
  <c r="C85" i="3"/>
  <c r="T86" i="3"/>
  <c r="AO86" i="3"/>
  <c r="AO87" i="3"/>
  <c r="AD88" i="3"/>
  <c r="AS88" i="3"/>
  <c r="X13" i="4"/>
  <c r="C14" i="4"/>
  <c r="S13" i="4"/>
  <c r="Y13" i="4"/>
  <c r="AE13" i="4"/>
  <c r="C16" i="4"/>
  <c r="C21" i="4"/>
  <c r="C23" i="4"/>
  <c r="C25" i="4"/>
  <c r="S31" i="4"/>
  <c r="H49" i="4"/>
  <c r="F49" i="4" s="1"/>
  <c r="T56" i="4"/>
  <c r="C61" i="4"/>
  <c r="H64" i="4"/>
  <c r="F64" i="4" s="1"/>
  <c r="H70" i="4"/>
  <c r="F70" i="4" s="1"/>
  <c r="AB74" i="4"/>
  <c r="C83" i="4"/>
  <c r="G83" i="4"/>
  <c r="CW13" i="5"/>
  <c r="Y13" i="5"/>
  <c r="BN13" i="5"/>
  <c r="BT13" i="5"/>
  <c r="BZ13" i="5"/>
  <c r="CF13" i="5"/>
  <c r="C17" i="5"/>
  <c r="AA13" i="5"/>
  <c r="CI18" i="5"/>
  <c r="S24" i="5"/>
  <c r="S30" i="5"/>
  <c r="U32" i="5"/>
  <c r="AF31" i="5"/>
  <c r="AD19" i="3"/>
  <c r="AS19" i="3"/>
  <c r="R20" i="3"/>
  <c r="H21" i="3"/>
  <c r="F21" i="3" s="1"/>
  <c r="G21" i="3" s="1"/>
  <c r="AD22" i="3"/>
  <c r="AS22" i="3"/>
  <c r="R23" i="3"/>
  <c r="AD23" i="3"/>
  <c r="AL24" i="3"/>
  <c r="J13" i="3"/>
  <c r="N26" i="3"/>
  <c r="W27" i="3"/>
  <c r="T28" i="3"/>
  <c r="AA28" i="3"/>
  <c r="W30" i="3"/>
  <c r="I31" i="3"/>
  <c r="O31" i="3"/>
  <c r="AL33" i="3"/>
  <c r="AL36" i="3"/>
  <c r="H38" i="3"/>
  <c r="F38" i="3" s="1"/>
  <c r="G38" i="3" s="1"/>
  <c r="T38" i="3"/>
  <c r="W40" i="3"/>
  <c r="AH43" i="3"/>
  <c r="W49" i="3"/>
  <c r="AS49" i="3"/>
  <c r="H50" i="3"/>
  <c r="F50" i="3" s="1"/>
  <c r="G50" i="3" s="1"/>
  <c r="AD51" i="3"/>
  <c r="AC52" i="3"/>
  <c r="AL53" i="3"/>
  <c r="T54" i="3"/>
  <c r="AG52" i="3"/>
  <c r="AO54" i="3"/>
  <c r="AD63" i="3"/>
  <c r="AS65" i="3"/>
  <c r="H66" i="3"/>
  <c r="F66" i="3" s="1"/>
  <c r="G66" i="3" s="1"/>
  <c r="T66" i="3"/>
  <c r="AO70" i="3"/>
  <c r="H75" i="3"/>
  <c r="F75" i="3" s="1"/>
  <c r="G75" i="3" s="1"/>
  <c r="T75" i="3"/>
  <c r="AM74" i="3"/>
  <c r="AL76" i="3"/>
  <c r="AS85" i="3"/>
  <c r="H86" i="3"/>
  <c r="F86" i="3" s="1"/>
  <c r="G86" i="3" s="1"/>
  <c r="C88" i="3"/>
  <c r="W88" i="3"/>
  <c r="H17" i="4"/>
  <c r="F17" i="4" s="1"/>
  <c r="H19" i="4"/>
  <c r="F19" i="4" s="1"/>
  <c r="H26" i="4"/>
  <c r="F26" i="4" s="1"/>
  <c r="C27" i="4"/>
  <c r="U31" i="4"/>
  <c r="W31" i="4" s="1"/>
  <c r="W33" i="4"/>
  <c r="AB31" i="4"/>
  <c r="H39" i="4"/>
  <c r="F39" i="4" s="1"/>
  <c r="H45" i="4"/>
  <c r="F45" i="4" s="1"/>
  <c r="H47" i="4"/>
  <c r="F47" i="4" s="1"/>
  <c r="C75" i="4"/>
  <c r="W75" i="4"/>
  <c r="AD74" i="4"/>
  <c r="H81" i="4"/>
  <c r="F81" i="4" s="1"/>
  <c r="Z86" i="4"/>
  <c r="AM31" i="5"/>
  <c r="C36" i="5"/>
  <c r="V31" i="5"/>
  <c r="H41" i="5"/>
  <c r="F41" i="5" s="1"/>
  <c r="G41" i="5" s="1"/>
  <c r="BQ31" i="5"/>
  <c r="H49" i="5"/>
  <c r="F49" i="5" s="1"/>
  <c r="G49" i="5" s="1"/>
  <c r="AG76" i="5"/>
  <c r="AC74" i="5"/>
  <c r="O79" i="5"/>
  <c r="E74" i="5"/>
  <c r="O74" i="5" s="1"/>
  <c r="H28" i="4"/>
  <c r="F28" i="4" s="1"/>
  <c r="T30" i="4"/>
  <c r="C62" i="4"/>
  <c r="C66" i="4"/>
  <c r="Z76" i="4"/>
  <c r="C77" i="4"/>
  <c r="C81" i="4"/>
  <c r="BM14" i="5"/>
  <c r="BK15" i="5"/>
  <c r="C16" i="5"/>
  <c r="BP13" i="5"/>
  <c r="BV13" i="5"/>
  <c r="CB13" i="5"/>
  <c r="S19" i="5"/>
  <c r="H22" i="5"/>
  <c r="F22" i="5" s="1"/>
  <c r="G22" i="5" s="1"/>
  <c r="S22" i="5"/>
  <c r="H23" i="5"/>
  <c r="F23" i="5" s="1"/>
  <c r="G23" i="5" s="1"/>
  <c r="S23" i="5"/>
  <c r="CQ23" i="5"/>
  <c r="AG24" i="5"/>
  <c r="CS27" i="5"/>
  <c r="AG29" i="5"/>
  <c r="BM30" i="5"/>
  <c r="H36" i="5"/>
  <c r="F36" i="5" s="1"/>
  <c r="G36" i="5" s="1"/>
  <c r="BE31" i="5"/>
  <c r="S37" i="5"/>
  <c r="AS37" i="5"/>
  <c r="BM37" i="5"/>
  <c r="AE38" i="5"/>
  <c r="AS38" i="5"/>
  <c r="CS38" i="5"/>
  <c r="BK40" i="5"/>
  <c r="AQ41" i="5"/>
  <c r="BM42" i="5"/>
  <c r="AS43" i="5"/>
  <c r="BM43" i="5"/>
  <c r="AQ44" i="5"/>
  <c r="AG45" i="5"/>
  <c r="BM45" i="5"/>
  <c r="CI45" i="5"/>
  <c r="AS46" i="5"/>
  <c r="BM46" i="5"/>
  <c r="AS47" i="5"/>
  <c r="BK48" i="5"/>
  <c r="AG49" i="5"/>
  <c r="BM49" i="5"/>
  <c r="BM64" i="5"/>
  <c r="H67" i="5"/>
  <c r="F67" i="5" s="1"/>
  <c r="G67" i="5" s="1"/>
  <c r="C71" i="5"/>
  <c r="AM74" i="5"/>
  <c r="C83" i="5"/>
  <c r="AH23" i="6"/>
  <c r="C81" i="6"/>
  <c r="G81" i="6"/>
  <c r="S13" i="7"/>
  <c r="H21" i="8"/>
  <c r="F21" i="8" s="1"/>
  <c r="G21" i="8" s="1"/>
  <c r="I13" i="8"/>
  <c r="C26" i="4"/>
  <c r="C28" i="4"/>
  <c r="H60" i="4"/>
  <c r="F60" i="4" s="1"/>
  <c r="H68" i="4"/>
  <c r="F68" i="4" s="1"/>
  <c r="H69" i="4"/>
  <c r="F69" i="4" s="1"/>
  <c r="G69" i="4" s="1"/>
  <c r="Y74" i="4"/>
  <c r="H83" i="4"/>
  <c r="F83" i="4" s="1"/>
  <c r="T86" i="4"/>
  <c r="L13" i="5"/>
  <c r="R13" i="5"/>
  <c r="AQ17" i="5"/>
  <c r="BM17" i="5"/>
  <c r="CI17" i="5"/>
  <c r="AF13" i="5"/>
  <c r="CT13" i="5"/>
  <c r="AE20" i="5"/>
  <c r="AG21" i="5"/>
  <c r="BM21" i="5"/>
  <c r="CI21" i="5"/>
  <c r="U23" i="5"/>
  <c r="CI23" i="5"/>
  <c r="U24" i="5"/>
  <c r="BM25" i="5"/>
  <c r="AE26" i="5"/>
  <c r="AG27" i="5"/>
  <c r="AS28" i="5"/>
  <c r="BK28" i="5"/>
  <c r="H29" i="5"/>
  <c r="F29" i="5" s="1"/>
  <c r="G29" i="5" s="1"/>
  <c r="S29" i="5"/>
  <c r="CQ29" i="5"/>
  <c r="AE32" i="5"/>
  <c r="CS32" i="5"/>
  <c r="CW31" i="5"/>
  <c r="J31" i="5"/>
  <c r="U33" i="5"/>
  <c r="Y31" i="5"/>
  <c r="AG34" i="5"/>
  <c r="AQ34" i="5"/>
  <c r="AQ35" i="5"/>
  <c r="CQ37" i="5"/>
  <c r="H38" i="5"/>
  <c r="F38" i="5" s="1"/>
  <c r="G38" i="5" s="1"/>
  <c r="S38" i="5"/>
  <c r="U39" i="5"/>
  <c r="AS40" i="5"/>
  <c r="AG41" i="5"/>
  <c r="BK42" i="5"/>
  <c r="H43" i="5"/>
  <c r="F43" i="5" s="1"/>
  <c r="G43" i="5" s="1"/>
  <c r="S43" i="5"/>
  <c r="AS44" i="5"/>
  <c r="S45" i="5"/>
  <c r="AQ46" i="5"/>
  <c r="AE47" i="5"/>
  <c r="AS48" i="5"/>
  <c r="AQ49" i="5"/>
  <c r="AG50" i="5"/>
  <c r="CQ50" i="5"/>
  <c r="H51" i="5"/>
  <c r="F51" i="5" s="1"/>
  <c r="G51" i="5" s="1"/>
  <c r="U51" i="5"/>
  <c r="AJ52" i="5"/>
  <c r="BM53" i="5"/>
  <c r="CW74" i="5"/>
  <c r="C78" i="5"/>
  <c r="F78" i="5"/>
  <c r="G78" i="5" s="1"/>
  <c r="AA74" i="5"/>
  <c r="AB13" i="7"/>
  <c r="H29" i="4"/>
  <c r="F29" i="4" s="1"/>
  <c r="G33" i="4"/>
  <c r="H40" i="4"/>
  <c r="F40" i="4" s="1"/>
  <c r="H46" i="4"/>
  <c r="F46" i="4" s="1"/>
  <c r="H57" i="4"/>
  <c r="F57" i="4" s="1"/>
  <c r="H71" i="4"/>
  <c r="F71" i="4" s="1"/>
  <c r="D74" i="4"/>
  <c r="T76" i="4"/>
  <c r="H84" i="4"/>
  <c r="F84" i="4" s="1"/>
  <c r="W86" i="4"/>
  <c r="V13" i="5"/>
  <c r="N13" i="5"/>
  <c r="AG16" i="5"/>
  <c r="AE17" i="5"/>
  <c r="Z13" i="5"/>
  <c r="S21" i="5"/>
  <c r="AS22" i="5"/>
  <c r="BK22" i="5"/>
  <c r="AJ13" i="5"/>
  <c r="BM23" i="5"/>
  <c r="CH13" i="5"/>
  <c r="CQ24" i="5"/>
  <c r="CS26" i="5"/>
  <c r="S27" i="5"/>
  <c r="CI27" i="5"/>
  <c r="AG28" i="5"/>
  <c r="CI29" i="5"/>
  <c r="H30" i="5"/>
  <c r="F30" i="5" s="1"/>
  <c r="G30" i="5" s="1"/>
  <c r="S32" i="5"/>
  <c r="CJ31" i="5"/>
  <c r="AQ33" i="5"/>
  <c r="BK33" i="5"/>
  <c r="AS35" i="5"/>
  <c r="CS37" i="5"/>
  <c r="AQ39" i="5"/>
  <c r="BK39" i="5"/>
  <c r="AG40" i="5"/>
  <c r="AS42" i="5"/>
  <c r="AE44" i="5"/>
  <c r="CS44" i="5"/>
  <c r="U45" i="5"/>
  <c r="AG46" i="5"/>
  <c r="CI46" i="5"/>
  <c r="CS46" i="5"/>
  <c r="CQ47" i="5"/>
  <c r="H48" i="5"/>
  <c r="F48" i="5" s="1"/>
  <c r="G48" i="5" s="1"/>
  <c r="AG48" i="5"/>
  <c r="U49" i="5"/>
  <c r="S50" i="5"/>
  <c r="BK51" i="5"/>
  <c r="AX52" i="5"/>
  <c r="BD52" i="5"/>
  <c r="BJ52" i="5"/>
  <c r="C60" i="5"/>
  <c r="C65" i="5"/>
  <c r="H77" i="5"/>
  <c r="F77" i="5" s="1"/>
  <c r="G77" i="5" s="1"/>
  <c r="H79" i="5"/>
  <c r="F79" i="5" s="1"/>
  <c r="G79" i="5" s="1"/>
  <c r="AT74" i="5"/>
  <c r="AZ74" i="5"/>
  <c r="BF74" i="5"/>
  <c r="BM81" i="5"/>
  <c r="BQ74" i="5"/>
  <c r="H84" i="5"/>
  <c r="F84" i="5" s="1"/>
  <c r="G84" i="5" s="1"/>
  <c r="C29" i="4"/>
  <c r="H34" i="4"/>
  <c r="F34" i="4" s="1"/>
  <c r="M52" i="4"/>
  <c r="Y52" i="4"/>
  <c r="H72" i="4"/>
  <c r="F72" i="4" s="1"/>
  <c r="M74" i="4"/>
  <c r="W76" i="4"/>
  <c r="AG15" i="5"/>
  <c r="AE16" i="5"/>
  <c r="S17" i="5"/>
  <c r="AQ19" i="5"/>
  <c r="S20" i="5"/>
  <c r="U21" i="5"/>
  <c r="BM22" i="5"/>
  <c r="AK13" i="5"/>
  <c r="BM24" i="5"/>
  <c r="CS24" i="5"/>
  <c r="S26" i="5"/>
  <c r="H27" i="5"/>
  <c r="F27" i="5" s="1"/>
  <c r="G27" i="5" s="1"/>
  <c r="U27" i="5"/>
  <c r="BM29" i="5"/>
  <c r="AS33" i="5"/>
  <c r="U34" i="5"/>
  <c r="AL31" i="5"/>
  <c r="CT31" i="5"/>
  <c r="AQ37" i="5"/>
  <c r="AS39" i="5"/>
  <c r="H42" i="5"/>
  <c r="F42" i="5" s="1"/>
  <c r="G42" i="5" s="1"/>
  <c r="AQ43" i="5"/>
  <c r="CS43" i="5"/>
  <c r="AG44" i="5"/>
  <c r="BK45" i="5"/>
  <c r="H47" i="5"/>
  <c r="F47" i="5" s="1"/>
  <c r="G47" i="5" s="1"/>
  <c r="BK47" i="5"/>
  <c r="BP31" i="5"/>
  <c r="CQ48" i="5"/>
  <c r="AE49" i="5"/>
  <c r="U50" i="5"/>
  <c r="AS51" i="5"/>
  <c r="C54" i="5"/>
  <c r="H55" i="5"/>
  <c r="F55" i="5" s="1"/>
  <c r="G55" i="5" s="1"/>
  <c r="H57" i="5"/>
  <c r="F57" i="5" s="1"/>
  <c r="G57" i="5" s="1"/>
  <c r="H59" i="5"/>
  <c r="F59" i="5" s="1"/>
  <c r="G59" i="5" s="1"/>
  <c r="CK74" i="5"/>
  <c r="C39" i="6"/>
  <c r="C50" i="7"/>
  <c r="G50" i="7"/>
  <c r="BK61" i="5"/>
  <c r="AQ62" i="5"/>
  <c r="BM63" i="5"/>
  <c r="CI64" i="5"/>
  <c r="BM67" i="5"/>
  <c r="H70" i="5"/>
  <c r="F70" i="5" s="1"/>
  <c r="G70" i="5" s="1"/>
  <c r="CI70" i="5"/>
  <c r="BA74" i="5"/>
  <c r="CI79" i="5"/>
  <c r="BY74" i="5"/>
  <c r="BM85" i="5"/>
  <c r="L74" i="6"/>
  <c r="G14" i="7"/>
  <c r="C14" i="7"/>
  <c r="M13" i="7"/>
  <c r="G61" i="7"/>
  <c r="C61" i="7"/>
  <c r="AA68" i="7"/>
  <c r="AC68" i="7"/>
  <c r="Q68" i="7"/>
  <c r="AE68" i="7" s="1"/>
  <c r="BH13" i="8"/>
  <c r="AD13" i="8"/>
  <c r="AX13" i="8"/>
  <c r="BR13" i="8"/>
  <c r="AB13" i="8"/>
  <c r="AI13" i="8"/>
  <c r="X13" i="8"/>
  <c r="CS53" i="5"/>
  <c r="BM55" i="5"/>
  <c r="BM61" i="5"/>
  <c r="BT52" i="5"/>
  <c r="CS68" i="5"/>
  <c r="S69" i="5"/>
  <c r="CI69" i="5"/>
  <c r="BM72" i="5"/>
  <c r="CI72" i="5"/>
  <c r="CI73" i="5"/>
  <c r="L74" i="5"/>
  <c r="AS75" i="5"/>
  <c r="BK76" i="5"/>
  <c r="BM77" i="5"/>
  <c r="BM78" i="5"/>
  <c r="BW74" i="5"/>
  <c r="CC74" i="5"/>
  <c r="U80" i="5"/>
  <c r="BE74" i="5"/>
  <c r="H81" i="5"/>
  <c r="F81" i="5" s="1"/>
  <c r="G81" i="5" s="1"/>
  <c r="U81" i="5"/>
  <c r="AQ82" i="5"/>
  <c r="AE86" i="5"/>
  <c r="U87" i="5"/>
  <c r="S88" i="5"/>
  <c r="N19" i="6"/>
  <c r="H22" i="6"/>
  <c r="F22" i="6" s="1"/>
  <c r="G22" i="6" s="1"/>
  <c r="C73" i="6"/>
  <c r="G73" i="6"/>
  <c r="AA17" i="7"/>
  <c r="Y17" i="7"/>
  <c r="AC17" i="7"/>
  <c r="Q17" i="7"/>
  <c r="AE17" i="7" s="1"/>
  <c r="H24" i="7"/>
  <c r="F24" i="7" s="1"/>
  <c r="J13" i="7"/>
  <c r="AA43" i="7"/>
  <c r="Q43" i="7"/>
  <c r="AE43" i="7" s="1"/>
  <c r="AC43" i="7"/>
  <c r="S74" i="7"/>
  <c r="Q78" i="7"/>
  <c r="AE78" i="7" s="1"/>
  <c r="AC78" i="7"/>
  <c r="AH13" i="8"/>
  <c r="CL52" i="5"/>
  <c r="H58" i="5"/>
  <c r="F58" i="5" s="1"/>
  <c r="G58" i="5" s="1"/>
  <c r="CI58" i="5"/>
  <c r="H62" i="5"/>
  <c r="F62" i="5" s="1"/>
  <c r="G62" i="5" s="1"/>
  <c r="AE62" i="5"/>
  <c r="BK64" i="5"/>
  <c r="CI66" i="5"/>
  <c r="CI67" i="5"/>
  <c r="S68" i="5"/>
  <c r="CQ68" i="5"/>
  <c r="H69" i="5"/>
  <c r="F69" i="5" s="1"/>
  <c r="G69" i="5" s="1"/>
  <c r="U69" i="5"/>
  <c r="C70" i="5"/>
  <c r="H71" i="5"/>
  <c r="F71" i="5" s="1"/>
  <c r="G71" i="5" s="1"/>
  <c r="BK71" i="5"/>
  <c r="CI71" i="5"/>
  <c r="H73" i="5"/>
  <c r="F73" i="5" s="1"/>
  <c r="G73" i="5" s="1"/>
  <c r="AE75" i="5"/>
  <c r="T74" i="5"/>
  <c r="AS76" i="5"/>
  <c r="BM76" i="5"/>
  <c r="AG77" i="5"/>
  <c r="BD74" i="5"/>
  <c r="BJ74" i="5"/>
  <c r="CS77" i="5"/>
  <c r="BK78" i="5"/>
  <c r="S79" i="5"/>
  <c r="BM80" i="5"/>
  <c r="BK81" i="5"/>
  <c r="AG82" i="5"/>
  <c r="CI82" i="5"/>
  <c r="CS82" i="5"/>
  <c r="BM84" i="5"/>
  <c r="CI84" i="5"/>
  <c r="H86" i="5"/>
  <c r="F86" i="5" s="1"/>
  <c r="G86" i="5" s="1"/>
  <c r="S86" i="5"/>
  <c r="AG86" i="5"/>
  <c r="AQ87" i="5"/>
  <c r="BK87" i="5"/>
  <c r="U88" i="5"/>
  <c r="R13" i="6"/>
  <c r="Q16" i="6"/>
  <c r="Z16" i="6"/>
  <c r="Q19" i="6"/>
  <c r="Z19" i="6"/>
  <c r="AD32" i="6"/>
  <c r="C40" i="6"/>
  <c r="AD43" i="6"/>
  <c r="Z46" i="6"/>
  <c r="H76" i="6"/>
  <c r="F76" i="6" s="1"/>
  <c r="K74" i="6"/>
  <c r="AJ25" i="7"/>
  <c r="AH13" i="7"/>
  <c r="AJ13" i="7" s="1"/>
  <c r="Y52" i="5"/>
  <c r="AW52" i="5"/>
  <c r="CW52" i="5"/>
  <c r="BS52" i="5"/>
  <c r="BY52" i="5"/>
  <c r="BO52" i="5"/>
  <c r="BU52" i="5"/>
  <c r="CA52" i="5"/>
  <c r="H60" i="5"/>
  <c r="F60" i="5" s="1"/>
  <c r="G60" i="5" s="1"/>
  <c r="S62" i="5"/>
  <c r="AG62" i="5"/>
  <c r="BK63" i="5"/>
  <c r="BM66" i="5"/>
  <c r="U68" i="5"/>
  <c r="AQ69" i="5"/>
  <c r="BK69" i="5"/>
  <c r="BK70" i="5"/>
  <c r="BM71" i="5"/>
  <c r="H72" i="5"/>
  <c r="F72" i="5" s="1"/>
  <c r="G72" i="5" s="1"/>
  <c r="AG75" i="5"/>
  <c r="CI75" i="5"/>
  <c r="N74" i="5"/>
  <c r="AQ80" i="5"/>
  <c r="AS81" i="5"/>
  <c r="H83" i="5"/>
  <c r="F83" i="5" s="1"/>
  <c r="G83" i="5" s="1"/>
  <c r="BK83" i="5"/>
  <c r="V74" i="5"/>
  <c r="AS87" i="5"/>
  <c r="BK88" i="5"/>
  <c r="Z15" i="6"/>
  <c r="H18" i="6"/>
  <c r="F18" i="6" s="1"/>
  <c r="G18" i="6" s="1"/>
  <c r="Z24" i="6"/>
  <c r="AH24" i="6"/>
  <c r="H28" i="6"/>
  <c r="F28" i="6" s="1"/>
  <c r="G28" i="6" s="1"/>
  <c r="H46" i="6"/>
  <c r="F46" i="6" s="1"/>
  <c r="G46" i="6" s="1"/>
  <c r="C49" i="6"/>
  <c r="AD49" i="6"/>
  <c r="H60" i="6"/>
  <c r="F60" i="6" s="1"/>
  <c r="C72" i="6"/>
  <c r="C78" i="6"/>
  <c r="Z85" i="6"/>
  <c r="H86" i="6"/>
  <c r="F86" i="6" s="1"/>
  <c r="G86" i="6" s="1"/>
  <c r="Z86" i="6"/>
  <c r="AH86" i="6"/>
  <c r="W15" i="7"/>
  <c r="H47" i="7"/>
  <c r="F47" i="7" s="1"/>
  <c r="G47" i="7" s="1"/>
  <c r="H53" i="7"/>
  <c r="F53" i="7" s="1"/>
  <c r="G53" i="7" s="1"/>
  <c r="T53" i="7"/>
  <c r="C57" i="7"/>
  <c r="AA60" i="7"/>
  <c r="Y60" i="7"/>
  <c r="Q60" i="7"/>
  <c r="AE60" i="7" s="1"/>
  <c r="AC60" i="7"/>
  <c r="Y86" i="7"/>
  <c r="AA86" i="7"/>
  <c r="Y31" i="6"/>
  <c r="AB52" i="6"/>
  <c r="S74" i="6"/>
  <c r="Y74" i="6"/>
  <c r="AF74" i="6"/>
  <c r="AK13" i="7"/>
  <c r="AA15" i="7"/>
  <c r="Q15" i="7"/>
  <c r="AE15" i="7" s="1"/>
  <c r="X13" i="7"/>
  <c r="H21" i="7"/>
  <c r="F21" i="7" s="1"/>
  <c r="G21" i="7" s="1"/>
  <c r="H34" i="7"/>
  <c r="F34" i="7" s="1"/>
  <c r="G34" i="7" s="1"/>
  <c r="K31" i="7"/>
  <c r="AN31" i="7"/>
  <c r="T49" i="7"/>
  <c r="G67" i="7"/>
  <c r="C67" i="7"/>
  <c r="AI74" i="7"/>
  <c r="C77" i="7"/>
  <c r="G77" i="7"/>
  <c r="M74" i="7"/>
  <c r="AC80" i="7"/>
  <c r="AA80" i="7"/>
  <c r="H81" i="7"/>
  <c r="F81" i="7" s="1"/>
  <c r="AN13" i="8"/>
  <c r="AY14" i="8"/>
  <c r="AU13" i="8"/>
  <c r="AY13" i="8" s="1"/>
  <c r="V13" i="8"/>
  <c r="BB13" i="8"/>
  <c r="C18" i="8"/>
  <c r="CI88" i="5"/>
  <c r="P13" i="6"/>
  <c r="AG13" i="6"/>
  <c r="Y13" i="6"/>
  <c r="H17" i="6"/>
  <c r="F17" i="6" s="1"/>
  <c r="G17" i="6" s="1"/>
  <c r="H19" i="6"/>
  <c r="F19" i="6" s="1"/>
  <c r="G19" i="6" s="1"/>
  <c r="C24" i="6"/>
  <c r="H32" i="6"/>
  <c r="F32" i="6" s="1"/>
  <c r="G32" i="6" s="1"/>
  <c r="H33" i="6"/>
  <c r="F33" i="6" s="1"/>
  <c r="G33" i="6" s="1"/>
  <c r="H34" i="6"/>
  <c r="F34" i="6" s="1"/>
  <c r="G34" i="6" s="1"/>
  <c r="S31" i="6"/>
  <c r="E74" i="6"/>
  <c r="N74" i="6" s="1"/>
  <c r="P74" i="6"/>
  <c r="M74" i="6"/>
  <c r="H81" i="6"/>
  <c r="F81" i="6" s="1"/>
  <c r="C84" i="6"/>
  <c r="P13" i="7"/>
  <c r="H18" i="7"/>
  <c r="F18" i="7" s="1"/>
  <c r="AA23" i="7"/>
  <c r="Y23" i="7"/>
  <c r="C34" i="7"/>
  <c r="AA35" i="7"/>
  <c r="Q35" i="7"/>
  <c r="AE35" i="7" s="1"/>
  <c r="H36" i="7"/>
  <c r="F36" i="7" s="1"/>
  <c r="G36" i="7" s="1"/>
  <c r="Q46" i="7"/>
  <c r="AE46" i="7" s="1"/>
  <c r="Y46" i="7"/>
  <c r="AH31" i="7"/>
  <c r="AJ31" i="7" s="1"/>
  <c r="AA70" i="7"/>
  <c r="Q70" i="7"/>
  <c r="AE70" i="7" s="1"/>
  <c r="V74" i="7"/>
  <c r="AG74" i="7"/>
  <c r="AN74" i="7"/>
  <c r="AS14" i="8"/>
  <c r="AO13" i="8"/>
  <c r="AV13" i="8"/>
  <c r="C41" i="8"/>
  <c r="G41" i="8"/>
  <c r="AC31" i="8"/>
  <c r="AX31" i="8"/>
  <c r="Z31" i="8"/>
  <c r="AL31" i="8"/>
  <c r="Q18" i="6"/>
  <c r="H20" i="6"/>
  <c r="F20" i="6" s="1"/>
  <c r="G20" i="6" s="1"/>
  <c r="AH32" i="6"/>
  <c r="Z36" i="6"/>
  <c r="AD37" i="6"/>
  <c r="AD39" i="6"/>
  <c r="AD46" i="6"/>
  <c r="C47" i="6"/>
  <c r="AH53" i="6"/>
  <c r="AH62" i="6"/>
  <c r="T66" i="6"/>
  <c r="Q67" i="6"/>
  <c r="Z69" i="6"/>
  <c r="AD72" i="6"/>
  <c r="J74" i="6"/>
  <c r="T75" i="6"/>
  <c r="AG74" i="6"/>
  <c r="V13" i="7"/>
  <c r="W26" i="7"/>
  <c r="C32" i="7"/>
  <c r="AK31" i="7"/>
  <c r="AA33" i="7"/>
  <c r="Y33" i="7"/>
  <c r="T36" i="7"/>
  <c r="AA41" i="7"/>
  <c r="Y41" i="7"/>
  <c r="Q41" i="7"/>
  <c r="AE41" i="7" s="1"/>
  <c r="W44" i="7"/>
  <c r="C62" i="7"/>
  <c r="G62" i="7"/>
  <c r="H63" i="7"/>
  <c r="F63" i="7" s="1"/>
  <c r="G63" i="7" s="1"/>
  <c r="H67" i="7"/>
  <c r="F67" i="7" s="1"/>
  <c r="P74" i="7"/>
  <c r="AO74" i="7"/>
  <c r="BN13" i="8"/>
  <c r="AJ13" i="8"/>
  <c r="AD21" i="6"/>
  <c r="AH26" i="6"/>
  <c r="AD28" i="6"/>
  <c r="AE31" i="6"/>
  <c r="AH34" i="6"/>
  <c r="H37" i="6"/>
  <c r="F37" i="6" s="1"/>
  <c r="G37" i="6" s="1"/>
  <c r="AH40" i="6"/>
  <c r="AH41" i="6"/>
  <c r="Z42" i="6"/>
  <c r="M52" i="6"/>
  <c r="AD57" i="6"/>
  <c r="H62" i="6"/>
  <c r="F62" i="6" s="1"/>
  <c r="G62" i="6" s="1"/>
  <c r="C65" i="6"/>
  <c r="AD70" i="6"/>
  <c r="C71" i="6"/>
  <c r="W74" i="6"/>
  <c r="AD78" i="6"/>
  <c r="AD84" i="6"/>
  <c r="AC74" i="6"/>
  <c r="W22" i="7"/>
  <c r="W28" i="7"/>
  <c r="H29" i="7"/>
  <c r="F29" i="7" s="1"/>
  <c r="G29" i="7" s="1"/>
  <c r="M31" i="7"/>
  <c r="C40" i="7"/>
  <c r="W43" i="7"/>
  <c r="H55" i="7"/>
  <c r="F55" i="7" s="1"/>
  <c r="G55" i="7" s="1"/>
  <c r="H58" i="7"/>
  <c r="F58" i="7" s="1"/>
  <c r="AA72" i="7"/>
  <c r="AC72" i="7"/>
  <c r="Q72" i="7"/>
  <c r="AE72" i="7" s="1"/>
  <c r="C86" i="7"/>
  <c r="H26" i="8"/>
  <c r="F26" i="8" s="1"/>
  <c r="H41" i="7"/>
  <c r="F41" i="7" s="1"/>
  <c r="AA44" i="7"/>
  <c r="AC48" i="7"/>
  <c r="W49" i="7"/>
  <c r="AC50" i="7"/>
  <c r="T51" i="7"/>
  <c r="AB52" i="7"/>
  <c r="AA54" i="7"/>
  <c r="AC54" i="7"/>
  <c r="Y58" i="7"/>
  <c r="H59" i="7"/>
  <c r="F59" i="7" s="1"/>
  <c r="G59" i="7" s="1"/>
  <c r="AA59" i="7"/>
  <c r="AC62" i="7"/>
  <c r="C64" i="7"/>
  <c r="Y66" i="7"/>
  <c r="Y68" i="7"/>
  <c r="H69" i="7"/>
  <c r="F69" i="7" s="1"/>
  <c r="G69" i="7" s="1"/>
  <c r="Y72" i="7"/>
  <c r="H78" i="7"/>
  <c r="F78" i="7" s="1"/>
  <c r="AC79" i="7"/>
  <c r="T80" i="7"/>
  <c r="R13" i="8"/>
  <c r="M13" i="8"/>
  <c r="AP13" i="8"/>
  <c r="C17" i="8"/>
  <c r="H20" i="8"/>
  <c r="F20" i="8" s="1"/>
  <c r="G20" i="8" s="1"/>
  <c r="C30" i="8"/>
  <c r="AU31" i="8"/>
  <c r="J31" i="8"/>
  <c r="AF49" i="8"/>
  <c r="H53" i="8"/>
  <c r="F53" i="8" s="1"/>
  <c r="G53" i="8" s="1"/>
  <c r="X52" i="8"/>
  <c r="AD52" i="8"/>
  <c r="AF53" i="8"/>
  <c r="H87" i="6"/>
  <c r="F87" i="6" s="1"/>
  <c r="C88" i="6"/>
  <c r="Y15" i="7"/>
  <c r="H16" i="7"/>
  <c r="F16" i="7" s="1"/>
  <c r="G16" i="7" s="1"/>
  <c r="AC19" i="7"/>
  <c r="AC25" i="7"/>
  <c r="AC37" i="7"/>
  <c r="Y43" i="7"/>
  <c r="H44" i="7"/>
  <c r="F44" i="7" s="1"/>
  <c r="G44" i="7" s="1"/>
  <c r="H45" i="7"/>
  <c r="F45" i="7" s="1"/>
  <c r="V31" i="7"/>
  <c r="AB31" i="7"/>
  <c r="H50" i="7"/>
  <c r="F50" i="7" s="1"/>
  <c r="AD52" i="7"/>
  <c r="AO52" i="7"/>
  <c r="AA64" i="7"/>
  <c r="AC64" i="7"/>
  <c r="Y70" i="7"/>
  <c r="H71" i="7"/>
  <c r="F71" i="7" s="1"/>
  <c r="G71" i="7" s="1"/>
  <c r="H72" i="7"/>
  <c r="F72" i="7" s="1"/>
  <c r="G72" i="7" s="1"/>
  <c r="X74" i="7"/>
  <c r="H84" i="7"/>
  <c r="F84" i="7" s="1"/>
  <c r="G84" i="7" s="1"/>
  <c r="AZ13" i="8"/>
  <c r="BM13" i="8"/>
  <c r="K13" i="7"/>
  <c r="L13" i="7"/>
  <c r="AA29" i="7"/>
  <c r="Z31" i="7"/>
  <c r="L31" i="7"/>
  <c r="H35" i="7"/>
  <c r="F35" i="7" s="1"/>
  <c r="G35" i="7" s="1"/>
  <c r="Y35" i="7"/>
  <c r="W36" i="7"/>
  <c r="AC39" i="7"/>
  <c r="Y42" i="7"/>
  <c r="T43" i="7"/>
  <c r="T44" i="7"/>
  <c r="AA48" i="7"/>
  <c r="AC56" i="7"/>
  <c r="AI52" i="7"/>
  <c r="C60" i="7"/>
  <c r="H61" i="7"/>
  <c r="F61" i="7" s="1"/>
  <c r="X52" i="7"/>
  <c r="W63" i="7"/>
  <c r="H70" i="7"/>
  <c r="F70" i="7" s="1"/>
  <c r="G70" i="7" s="1"/>
  <c r="T70" i="7"/>
  <c r="E74" i="7"/>
  <c r="N74" i="7" s="1"/>
  <c r="AL74" i="7"/>
  <c r="Y77" i="7"/>
  <c r="W80" i="7"/>
  <c r="H88" i="7"/>
  <c r="F88" i="7" s="1"/>
  <c r="D13" i="8"/>
  <c r="H14" i="8"/>
  <c r="F14" i="8" s="1"/>
  <c r="G14" i="8" s="1"/>
  <c r="P13" i="8"/>
  <c r="C15" i="8"/>
  <c r="AW18" i="8"/>
  <c r="T23" i="8"/>
  <c r="AG13" i="8"/>
  <c r="H24" i="8"/>
  <c r="F24" i="8" s="1"/>
  <c r="C29" i="8"/>
  <c r="AW30" i="8"/>
  <c r="BN31" i="8"/>
  <c r="AF34" i="8"/>
  <c r="C42" i="8"/>
  <c r="C17" i="7"/>
  <c r="Q19" i="7"/>
  <c r="AE19" i="7" s="1"/>
  <c r="AA21" i="7"/>
  <c r="H25" i="7"/>
  <c r="F25" i="7" s="1"/>
  <c r="Q25" i="7"/>
  <c r="AE25" i="7" s="1"/>
  <c r="AA27" i="7"/>
  <c r="S31" i="7"/>
  <c r="C33" i="7"/>
  <c r="AI31" i="7"/>
  <c r="AO31" i="7"/>
  <c r="T35" i="7"/>
  <c r="Q37" i="7"/>
  <c r="AE37" i="7" s="1"/>
  <c r="W47" i="7"/>
  <c r="H49" i="7"/>
  <c r="F49" i="7" s="1"/>
  <c r="G49" i="7" s="1"/>
  <c r="H51" i="7"/>
  <c r="F51" i="7" s="1"/>
  <c r="G51" i="7" s="1"/>
  <c r="R52" i="7"/>
  <c r="W55" i="7"/>
  <c r="G58" i="7"/>
  <c r="AC58" i="7"/>
  <c r="Q64" i="7"/>
  <c r="AE64" i="7" s="1"/>
  <c r="W65" i="7"/>
  <c r="AC66" i="7"/>
  <c r="AF74" i="7"/>
  <c r="AM74" i="7"/>
  <c r="Q82" i="7"/>
  <c r="AE82" i="7" s="1"/>
  <c r="H85" i="7"/>
  <c r="F85" i="7" s="1"/>
  <c r="W86" i="7"/>
  <c r="G87" i="7"/>
  <c r="Q88" i="7"/>
  <c r="AE88" i="7" s="1"/>
  <c r="AW14" i="8"/>
  <c r="BO13" i="8"/>
  <c r="H22" i="8"/>
  <c r="F22" i="8" s="1"/>
  <c r="BL27" i="8"/>
  <c r="K13" i="8"/>
  <c r="BA13" i="8"/>
  <c r="C32" i="8"/>
  <c r="H33" i="8"/>
  <c r="F33" i="8" s="1"/>
  <c r="G33" i="8" s="1"/>
  <c r="BM31" i="8"/>
  <c r="H44" i="8"/>
  <c r="F44" i="8" s="1"/>
  <c r="C47" i="8"/>
  <c r="L31" i="8"/>
  <c r="H50" i="8"/>
  <c r="F50" i="8" s="1"/>
  <c r="G50" i="8" s="1"/>
  <c r="T50" i="8"/>
  <c r="L52" i="8"/>
  <c r="S52" i="8"/>
  <c r="Z52" i="8"/>
  <c r="AL52" i="8"/>
  <c r="AR52" i="8"/>
  <c r="AG52" i="8"/>
  <c r="BL61" i="8"/>
  <c r="N84" i="8"/>
  <c r="N40" i="9"/>
  <c r="C40" i="9"/>
  <c r="C60" i="9"/>
  <c r="G60" i="9"/>
  <c r="C67" i="9"/>
  <c r="G67" i="9"/>
  <c r="S74" i="9"/>
  <c r="AK13" i="8"/>
  <c r="AQ13" i="8"/>
  <c r="H16" i="8"/>
  <c r="F16" i="8" s="1"/>
  <c r="G16" i="8" s="1"/>
  <c r="H17" i="8"/>
  <c r="F17" i="8" s="1"/>
  <c r="H18" i="8"/>
  <c r="F18" i="8" s="1"/>
  <c r="G18" i="8" s="1"/>
  <c r="BL18" i="8"/>
  <c r="W23" i="8"/>
  <c r="H27" i="8"/>
  <c r="F27" i="8" s="1"/>
  <c r="G27" i="8" s="1"/>
  <c r="AF27" i="8"/>
  <c r="AY28" i="8"/>
  <c r="BL30" i="8"/>
  <c r="S31" i="8"/>
  <c r="AA31" i="8"/>
  <c r="AH31" i="8"/>
  <c r="AN31" i="8"/>
  <c r="AT31" i="8"/>
  <c r="AZ31" i="8"/>
  <c r="BF31" i="8"/>
  <c r="BR31" i="8"/>
  <c r="BA31" i="8"/>
  <c r="BG31" i="8"/>
  <c r="C36" i="8"/>
  <c r="H38" i="8"/>
  <c r="F38" i="8" s="1"/>
  <c r="G38" i="8" s="1"/>
  <c r="H40" i="8"/>
  <c r="F40" i="8" s="1"/>
  <c r="H41" i="8"/>
  <c r="F41" i="8" s="1"/>
  <c r="AJ31" i="8"/>
  <c r="AP31" i="8"/>
  <c r="AY47" i="8"/>
  <c r="W50" i="8"/>
  <c r="W55" i="8"/>
  <c r="AN52" i="8"/>
  <c r="AW55" i="8"/>
  <c r="T57" i="8"/>
  <c r="C58" i="8"/>
  <c r="BE52" i="8"/>
  <c r="AY59" i="8"/>
  <c r="AW60" i="8"/>
  <c r="C62" i="8"/>
  <c r="AY64" i="8"/>
  <c r="L31" i="9"/>
  <c r="S31" i="9"/>
  <c r="K52" i="9"/>
  <c r="AS28" i="8"/>
  <c r="AW28" i="8"/>
  <c r="H29" i="8"/>
  <c r="F29" i="8" s="1"/>
  <c r="AB31" i="8"/>
  <c r="AY34" i="8"/>
  <c r="Q35" i="8"/>
  <c r="H36" i="8"/>
  <c r="F36" i="8" s="1"/>
  <c r="G36" i="8" s="1"/>
  <c r="H42" i="8"/>
  <c r="F42" i="8" s="1"/>
  <c r="G42" i="8" s="1"/>
  <c r="AS47" i="8"/>
  <c r="H51" i="8"/>
  <c r="F51" i="8" s="1"/>
  <c r="G51" i="8" s="1"/>
  <c r="AT52" i="8"/>
  <c r="BN52" i="8"/>
  <c r="G56" i="8"/>
  <c r="AA52" i="8"/>
  <c r="AS59" i="8"/>
  <c r="W61" i="8"/>
  <c r="AC74" i="8"/>
  <c r="C37" i="9"/>
  <c r="C73" i="9"/>
  <c r="N73" i="9"/>
  <c r="H15" i="8"/>
  <c r="F15" i="8" s="1"/>
  <c r="T16" i="8"/>
  <c r="BG13" i="8"/>
  <c r="Q23" i="8"/>
  <c r="AY27" i="8"/>
  <c r="H30" i="8"/>
  <c r="F30" i="8" s="1"/>
  <c r="G30" i="8" s="1"/>
  <c r="D31" i="8"/>
  <c r="AI31" i="8"/>
  <c r="H35" i="8"/>
  <c r="F35" i="8" s="1"/>
  <c r="G35" i="8" s="1"/>
  <c r="AY43" i="8"/>
  <c r="H45" i="8"/>
  <c r="F45" i="8" s="1"/>
  <c r="G45" i="8" s="1"/>
  <c r="AS46" i="8"/>
  <c r="BD31" i="8"/>
  <c r="Q50" i="8"/>
  <c r="BL50" i="8"/>
  <c r="T51" i="8"/>
  <c r="D52" i="8"/>
  <c r="AC52" i="8"/>
  <c r="J52" i="8"/>
  <c r="AY57" i="8"/>
  <c r="AS60" i="8"/>
  <c r="AS67" i="8"/>
  <c r="AS72" i="8"/>
  <c r="N75" i="8"/>
  <c r="C75" i="8"/>
  <c r="G78" i="8"/>
  <c r="C78" i="8"/>
  <c r="BP74" i="8"/>
  <c r="U13" i="9"/>
  <c r="H42" i="9"/>
  <c r="F42" i="9" s="1"/>
  <c r="G42" i="9" s="1"/>
  <c r="H73" i="9"/>
  <c r="F73" i="9" s="1"/>
  <c r="AF64" i="8"/>
  <c r="P52" i="8"/>
  <c r="BL72" i="8"/>
  <c r="BA74" i="8"/>
  <c r="BG74" i="8"/>
  <c r="O13" i="9"/>
  <c r="C47" i="9"/>
  <c r="G47" i="9"/>
  <c r="T63" i="8"/>
  <c r="BL64" i="8"/>
  <c r="AY65" i="8"/>
  <c r="C68" i="8"/>
  <c r="AS70" i="8"/>
  <c r="AW71" i="8"/>
  <c r="T73" i="8"/>
  <c r="BE74" i="8"/>
  <c r="BK74" i="8"/>
  <c r="BQ74" i="8"/>
  <c r="H79" i="8"/>
  <c r="F79" i="8" s="1"/>
  <c r="G79" i="8" s="1"/>
  <c r="Q79" i="8"/>
  <c r="AI74" i="8"/>
  <c r="H81" i="8"/>
  <c r="F81" i="8" s="1"/>
  <c r="G81" i="8" s="1"/>
  <c r="H82" i="8"/>
  <c r="F82" i="8" s="1"/>
  <c r="H84" i="8"/>
  <c r="F84" i="8" s="1"/>
  <c r="C87" i="8"/>
  <c r="T13" i="9"/>
  <c r="H15" i="9"/>
  <c r="F15" i="9" s="1"/>
  <c r="C18" i="9"/>
  <c r="C22" i="9"/>
  <c r="C26" i="9"/>
  <c r="C28" i="9"/>
  <c r="N28" i="9"/>
  <c r="K31" i="9"/>
  <c r="P35" i="9"/>
  <c r="H53" i="9"/>
  <c r="F53" i="9" s="1"/>
  <c r="L52" i="9"/>
  <c r="H59" i="9"/>
  <c r="F59" i="9" s="1"/>
  <c r="P60" i="9"/>
  <c r="H65" i="9"/>
  <c r="F65" i="9" s="1"/>
  <c r="C66" i="9"/>
  <c r="P68" i="9"/>
  <c r="C72" i="9"/>
  <c r="C78" i="9"/>
  <c r="P80" i="9"/>
  <c r="G84" i="9"/>
  <c r="C85" i="9"/>
  <c r="C87" i="9"/>
  <c r="AW63" i="8"/>
  <c r="C65" i="8"/>
  <c r="C66" i="8"/>
  <c r="W67" i="8"/>
  <c r="AW67" i="8"/>
  <c r="AS68" i="8"/>
  <c r="AW68" i="8"/>
  <c r="BL68" i="8"/>
  <c r="C70" i="8"/>
  <c r="AW72" i="8"/>
  <c r="W73" i="8"/>
  <c r="BR74" i="8"/>
  <c r="H78" i="8"/>
  <c r="F78" i="8" s="1"/>
  <c r="K74" i="8"/>
  <c r="H17" i="9"/>
  <c r="F17" i="9" s="1"/>
  <c r="C20" i="9"/>
  <c r="C25" i="9"/>
  <c r="H27" i="9"/>
  <c r="F27" i="9" s="1"/>
  <c r="C29" i="9"/>
  <c r="H40" i="9"/>
  <c r="F40" i="9" s="1"/>
  <c r="C43" i="9"/>
  <c r="C44" i="9"/>
  <c r="P49" i="9"/>
  <c r="P55" i="9"/>
  <c r="H68" i="9"/>
  <c r="F68" i="9" s="1"/>
  <c r="P72" i="9"/>
  <c r="H77" i="9"/>
  <c r="F77" i="9" s="1"/>
  <c r="H84" i="9"/>
  <c r="F84" i="9" s="1"/>
  <c r="H85" i="9"/>
  <c r="F85" i="9" s="1"/>
  <c r="H67" i="8"/>
  <c r="F67" i="8" s="1"/>
  <c r="G67" i="8" s="1"/>
  <c r="BD74" i="8"/>
  <c r="T79" i="8"/>
  <c r="C82" i="8"/>
  <c r="H86" i="8"/>
  <c r="F86" i="8" s="1"/>
  <c r="H47" i="9"/>
  <c r="F47" i="9" s="1"/>
  <c r="H51" i="9"/>
  <c r="F51" i="9" s="1"/>
  <c r="G51" i="9" s="1"/>
  <c r="H70" i="9"/>
  <c r="F70" i="9" s="1"/>
  <c r="U52" i="9"/>
  <c r="H64" i="8"/>
  <c r="F64" i="8" s="1"/>
  <c r="G64" i="8" s="1"/>
  <c r="BB74" i="8"/>
  <c r="BH74" i="8"/>
  <c r="H26" i="9"/>
  <c r="F26" i="9" s="1"/>
  <c r="G26" i="9" s="1"/>
  <c r="H28" i="9"/>
  <c r="F28" i="9" s="1"/>
  <c r="P28" i="9"/>
  <c r="H35" i="9"/>
  <c r="F35" i="9" s="1"/>
  <c r="P42" i="9"/>
  <c r="Q42" i="9" s="1"/>
  <c r="H54" i="9"/>
  <c r="F54" i="9" s="1"/>
  <c r="P57" i="9"/>
  <c r="P73" i="9"/>
  <c r="H83" i="9"/>
  <c r="F83" i="9" s="1"/>
  <c r="P87" i="9"/>
  <c r="AY67" i="8"/>
  <c r="H68" i="8"/>
  <c r="F68" i="8" s="1"/>
  <c r="G68" i="8" s="1"/>
  <c r="T68" i="8"/>
  <c r="H70" i="8"/>
  <c r="F70" i="8" s="1"/>
  <c r="G70" i="8" s="1"/>
  <c r="AF72" i="8"/>
  <c r="H73" i="8"/>
  <c r="F73" i="8" s="1"/>
  <c r="G73" i="8" s="1"/>
  <c r="AF73" i="8"/>
  <c r="Z74" i="8"/>
  <c r="AL74" i="8"/>
  <c r="AR74" i="8"/>
  <c r="C80" i="8"/>
  <c r="G82" i="8"/>
  <c r="H33" i="9"/>
  <c r="F33" i="9" s="1"/>
  <c r="H37" i="9"/>
  <c r="F37" i="9" s="1"/>
  <c r="G37" i="9" s="1"/>
  <c r="E31" i="9"/>
  <c r="N31" i="9" s="1"/>
  <c r="H48" i="9"/>
  <c r="F48" i="9" s="1"/>
  <c r="G48" i="9" s="1"/>
  <c r="H61" i="9"/>
  <c r="F61" i="9" s="1"/>
  <c r="H72" i="9"/>
  <c r="F72" i="9" s="1"/>
  <c r="C79" i="9"/>
  <c r="C86" i="9"/>
  <c r="F32" i="2"/>
  <c r="G32" i="2" s="1"/>
  <c r="C16" i="3"/>
  <c r="AS38" i="3"/>
  <c r="AQ31" i="3"/>
  <c r="D31" i="1"/>
  <c r="J31" i="1"/>
  <c r="P31" i="1"/>
  <c r="J52" i="1"/>
  <c r="P52" i="1"/>
  <c r="AE52" i="1"/>
  <c r="J74" i="1"/>
  <c r="P74" i="1"/>
  <c r="Y74" i="1"/>
  <c r="AC74" i="1" s="1"/>
  <c r="K13" i="2"/>
  <c r="N27" i="2"/>
  <c r="N37" i="2"/>
  <c r="N43" i="2"/>
  <c r="N49" i="2"/>
  <c r="Z52" i="2"/>
  <c r="N59" i="2"/>
  <c r="E74" i="2"/>
  <c r="N74" i="2" s="1"/>
  <c r="N77" i="2"/>
  <c r="N85" i="2"/>
  <c r="H89" i="2"/>
  <c r="F89" i="2" s="1"/>
  <c r="F90" i="2"/>
  <c r="P13" i="3"/>
  <c r="Z13" i="3"/>
  <c r="AA14" i="3"/>
  <c r="C19" i="3"/>
  <c r="P31" i="3"/>
  <c r="T53" i="3"/>
  <c r="P52" i="3"/>
  <c r="C79" i="5"/>
  <c r="BM79" i="5"/>
  <c r="BL74" i="5"/>
  <c r="U82" i="5"/>
  <c r="Q74" i="5"/>
  <c r="D52" i="1"/>
  <c r="C104" i="1"/>
  <c r="C11" i="1" s="1"/>
  <c r="N19" i="2"/>
  <c r="E31" i="2"/>
  <c r="N31" i="2" s="1"/>
  <c r="N57" i="2"/>
  <c r="Z74" i="2"/>
  <c r="N75" i="2"/>
  <c r="AJ13" i="3"/>
  <c r="AP13" i="3"/>
  <c r="C22" i="3"/>
  <c r="AN31" i="3"/>
  <c r="AR31" i="3"/>
  <c r="AS32" i="3"/>
  <c r="AA41" i="3"/>
  <c r="Y31" i="3"/>
  <c r="AL68" i="3"/>
  <c r="AJ52" i="3"/>
  <c r="X31" i="1"/>
  <c r="AD31" i="1"/>
  <c r="AG43" i="1"/>
  <c r="AI44" i="1"/>
  <c r="AC46" i="1"/>
  <c r="AG49" i="1"/>
  <c r="AI50" i="1"/>
  <c r="Y52" i="1"/>
  <c r="AG55" i="1"/>
  <c r="AI56" i="1"/>
  <c r="AG61" i="1"/>
  <c r="AI62" i="1"/>
  <c r="AC64" i="1"/>
  <c r="T66" i="1"/>
  <c r="AI67" i="1"/>
  <c r="T69" i="1"/>
  <c r="AI70" i="1"/>
  <c r="T72" i="1"/>
  <c r="AC72" i="1"/>
  <c r="AI73" i="1"/>
  <c r="D74" i="1"/>
  <c r="T75" i="1"/>
  <c r="W76" i="1"/>
  <c r="AI78" i="1"/>
  <c r="AI80" i="1"/>
  <c r="AI82" i="1"/>
  <c r="AI84" i="1"/>
  <c r="C89" i="1"/>
  <c r="C10" i="1" s="1"/>
  <c r="N17" i="2"/>
  <c r="N25" i="2"/>
  <c r="AA32" i="2"/>
  <c r="N35" i="2"/>
  <c r="N41" i="2"/>
  <c r="N47" i="2"/>
  <c r="E52" i="2"/>
  <c r="N52" i="2" s="1"/>
  <c r="N73" i="2"/>
  <c r="N83" i="2"/>
  <c r="H104" i="2"/>
  <c r="F104" i="2" s="1"/>
  <c r="V13" i="3"/>
  <c r="AN13" i="3"/>
  <c r="C25" i="3"/>
  <c r="H30" i="3"/>
  <c r="F30" i="3" s="1"/>
  <c r="G30" i="3" s="1"/>
  <c r="V31" i="3"/>
  <c r="X31" i="3"/>
  <c r="AF31" i="3"/>
  <c r="AH32" i="3"/>
  <c r="H36" i="3"/>
  <c r="F36" i="3" s="1"/>
  <c r="G36" i="3" s="1"/>
  <c r="T79" i="3"/>
  <c r="P74" i="3"/>
  <c r="Y31" i="1"/>
  <c r="AE31" i="1"/>
  <c r="W42" i="1"/>
  <c r="AG42" i="1"/>
  <c r="AI43" i="1"/>
  <c r="W48" i="1"/>
  <c r="AG48" i="1"/>
  <c r="AI49" i="1"/>
  <c r="W54" i="1"/>
  <c r="AG54" i="1"/>
  <c r="AI55" i="1"/>
  <c r="W60" i="1"/>
  <c r="AG60" i="1"/>
  <c r="AI61" i="1"/>
  <c r="AI76" i="1"/>
  <c r="T80" i="1"/>
  <c r="T82" i="1"/>
  <c r="T84" i="1"/>
  <c r="T86" i="1"/>
  <c r="AI87" i="1"/>
  <c r="F105" i="1"/>
  <c r="H104" i="1"/>
  <c r="F104" i="1" s="1"/>
  <c r="C14" i="2"/>
  <c r="C28" i="2"/>
  <c r="AA28" i="2"/>
  <c r="N33" i="2"/>
  <c r="C38" i="2"/>
  <c r="AA38" i="2"/>
  <c r="C44" i="2"/>
  <c r="AA44" i="2"/>
  <c r="C50" i="2"/>
  <c r="AA50" i="2"/>
  <c r="N55" i="2"/>
  <c r="C60" i="2"/>
  <c r="N65" i="2"/>
  <c r="N67" i="2"/>
  <c r="N69" i="2"/>
  <c r="N71" i="2"/>
  <c r="C78" i="2"/>
  <c r="C80" i="2"/>
  <c r="AA80" i="2"/>
  <c r="AA86" i="2"/>
  <c r="AA88" i="2"/>
  <c r="D13" i="3"/>
  <c r="AR13" i="3"/>
  <c r="AS14" i="3"/>
  <c r="H15" i="3"/>
  <c r="F15" i="3" s="1"/>
  <c r="G15" i="3" s="1"/>
  <c r="H22" i="3"/>
  <c r="F22" i="3" s="1"/>
  <c r="G22" i="3" s="1"/>
  <c r="C28" i="3"/>
  <c r="AB31" i="3"/>
  <c r="L31" i="3"/>
  <c r="AG31" i="3"/>
  <c r="C34" i="3"/>
  <c r="AF52" i="3"/>
  <c r="C57" i="3"/>
  <c r="V74" i="3"/>
  <c r="AR74" i="3"/>
  <c r="AS75" i="3"/>
  <c r="W41" i="1"/>
  <c r="AG41" i="1"/>
  <c r="AI42" i="1"/>
  <c r="W47" i="1"/>
  <c r="AG47" i="1"/>
  <c r="AI48" i="1"/>
  <c r="W53" i="1"/>
  <c r="AG53" i="1"/>
  <c r="AI54" i="1"/>
  <c r="AA55" i="1"/>
  <c r="W59" i="1"/>
  <c r="AG59" i="1"/>
  <c r="AI60" i="1"/>
  <c r="AI65" i="1"/>
  <c r="T67" i="1"/>
  <c r="AI68" i="1"/>
  <c r="T70" i="1"/>
  <c r="AI71" i="1"/>
  <c r="T73" i="1"/>
  <c r="V74" i="1"/>
  <c r="AE74" i="1"/>
  <c r="T76" i="1"/>
  <c r="T78" i="1"/>
  <c r="W79" i="1"/>
  <c r="W81" i="1"/>
  <c r="W83" i="1"/>
  <c r="W85" i="1"/>
  <c r="W88" i="1"/>
  <c r="C20" i="2"/>
  <c r="AA20" i="2"/>
  <c r="N64" i="2"/>
  <c r="AB13" i="3"/>
  <c r="X13" i="3"/>
  <c r="AF13" i="3"/>
  <c r="AH14" i="3"/>
  <c r="H18" i="3"/>
  <c r="F18" i="3" s="1"/>
  <c r="G18" i="3" s="1"/>
  <c r="H25" i="3"/>
  <c r="F25" i="3" s="1"/>
  <c r="G25" i="3" s="1"/>
  <c r="Z31" i="3"/>
  <c r="AA32" i="3"/>
  <c r="C37" i="3"/>
  <c r="C41" i="3"/>
  <c r="AT74" i="3"/>
  <c r="H69" i="8"/>
  <c r="F69" i="8" s="1"/>
  <c r="I52" i="8"/>
  <c r="R74" i="9"/>
  <c r="P75" i="9"/>
  <c r="G82" i="9"/>
  <c r="C82" i="9"/>
  <c r="E13" i="3"/>
  <c r="AC13" i="3"/>
  <c r="E31" i="3"/>
  <c r="N31" i="3" s="1"/>
  <c r="AC31" i="3"/>
  <c r="C38" i="3"/>
  <c r="R39" i="3"/>
  <c r="C42" i="3"/>
  <c r="R45" i="3"/>
  <c r="J52" i="3"/>
  <c r="C54" i="3"/>
  <c r="C59" i="3"/>
  <c r="G59" i="3"/>
  <c r="G60" i="3"/>
  <c r="C60" i="3"/>
  <c r="H71" i="3"/>
  <c r="F71" i="3" s="1"/>
  <c r="N80" i="3"/>
  <c r="E74" i="3"/>
  <c r="N74" i="3" s="1"/>
  <c r="AC51" i="4"/>
  <c r="AA31" i="4"/>
  <c r="W13" i="6"/>
  <c r="Z14" i="6"/>
  <c r="AH16" i="6"/>
  <c r="AE13" i="6"/>
  <c r="F90" i="1"/>
  <c r="G14" i="2"/>
  <c r="G54" i="2"/>
  <c r="G58" i="2"/>
  <c r="G78" i="2"/>
  <c r="G84" i="2"/>
  <c r="H44" i="3"/>
  <c r="F44" i="3" s="1"/>
  <c r="G44" i="3" s="1"/>
  <c r="T44" i="3"/>
  <c r="AL44" i="3"/>
  <c r="AH46" i="3"/>
  <c r="C48" i="3"/>
  <c r="AO48" i="3"/>
  <c r="C51" i="3"/>
  <c r="AR52" i="3"/>
  <c r="AN52" i="3"/>
  <c r="AO53" i="3"/>
  <c r="AA55" i="3"/>
  <c r="C56" i="3"/>
  <c r="W57" i="3"/>
  <c r="H62" i="3"/>
  <c r="F62" i="3" s="1"/>
  <c r="G62" i="3" s="1"/>
  <c r="AO63" i="3"/>
  <c r="H65" i="3"/>
  <c r="F65" i="3" s="1"/>
  <c r="G65" i="3" s="1"/>
  <c r="AO66" i="3"/>
  <c r="C69" i="3"/>
  <c r="AO72" i="3"/>
  <c r="AG74" i="3"/>
  <c r="AK74" i="3"/>
  <c r="H77" i="3"/>
  <c r="F77" i="3" s="1"/>
  <c r="G77" i="3" s="1"/>
  <c r="H14" i="4"/>
  <c r="K13" i="4"/>
  <c r="AE52" i="4"/>
  <c r="C53" i="3"/>
  <c r="D52" i="3"/>
  <c r="C63" i="3"/>
  <c r="C66" i="3"/>
  <c r="C71" i="3"/>
  <c r="G71" i="3"/>
  <c r="C72" i="3"/>
  <c r="C75" i="3"/>
  <c r="Z74" i="3"/>
  <c r="AA75" i="3"/>
  <c r="AE74" i="3"/>
  <c r="C82" i="3"/>
  <c r="S74" i="4"/>
  <c r="X13" i="2"/>
  <c r="X31" i="2"/>
  <c r="R14" i="3"/>
  <c r="R32" i="3"/>
  <c r="G39" i="3"/>
  <c r="H41" i="3"/>
  <c r="F41" i="3" s="1"/>
  <c r="G41" i="3" s="1"/>
  <c r="T41" i="3"/>
  <c r="AL41" i="3"/>
  <c r="C44" i="3"/>
  <c r="C45" i="3"/>
  <c r="AD48" i="3"/>
  <c r="AA49" i="3"/>
  <c r="C50" i="3"/>
  <c r="W51" i="3"/>
  <c r="AS58" i="3"/>
  <c r="H59" i="3"/>
  <c r="F59" i="3" s="1"/>
  <c r="AA67" i="3"/>
  <c r="C68" i="3"/>
  <c r="W69" i="3"/>
  <c r="AA76" i="3"/>
  <c r="C77" i="3"/>
  <c r="C79" i="3"/>
  <c r="H80" i="3"/>
  <c r="F80" i="3" s="1"/>
  <c r="G80" i="3" s="1"/>
  <c r="K74" i="3"/>
  <c r="F110" i="3"/>
  <c r="H104" i="3"/>
  <c r="F104" i="3" s="1"/>
  <c r="M13" i="4"/>
  <c r="E31" i="4"/>
  <c r="N31" i="4" s="1"/>
  <c r="N32" i="4"/>
  <c r="U74" i="4"/>
  <c r="C19" i="5"/>
  <c r="U19" i="5"/>
  <c r="T13" i="5"/>
  <c r="AH40" i="3"/>
  <c r="R42" i="3"/>
  <c r="AD42" i="3"/>
  <c r="R48" i="3"/>
  <c r="Z52" i="3"/>
  <c r="V52" i="3"/>
  <c r="W53" i="3"/>
  <c r="AD53" i="3"/>
  <c r="AS55" i="3"/>
  <c r="H56" i="3"/>
  <c r="F56" i="3" s="1"/>
  <c r="G56" i="3" s="1"/>
  <c r="AO57" i="3"/>
  <c r="C62" i="3"/>
  <c r="W63" i="3"/>
  <c r="C65" i="3"/>
  <c r="W66" i="3"/>
  <c r="W72" i="3"/>
  <c r="D74" i="3"/>
  <c r="AC74" i="3"/>
  <c r="H89" i="3"/>
  <c r="F89" i="3" s="1"/>
  <c r="F90" i="3"/>
  <c r="Q86" i="4"/>
  <c r="O74" i="4"/>
  <c r="H54" i="5"/>
  <c r="F54" i="5" s="1"/>
  <c r="G54" i="5" s="1"/>
  <c r="M52" i="5"/>
  <c r="BM54" i="5"/>
  <c r="BI52" i="5"/>
  <c r="CI57" i="5"/>
  <c r="CE52" i="5"/>
  <c r="AS77" i="3"/>
  <c r="AH78" i="3"/>
  <c r="C80" i="3"/>
  <c r="AD83" i="3"/>
  <c r="AL85" i="3"/>
  <c r="AH87" i="3"/>
  <c r="AO88" i="3"/>
  <c r="C34" i="4"/>
  <c r="C37" i="4"/>
  <c r="C40" i="4"/>
  <c r="C43" i="4"/>
  <c r="C46" i="4"/>
  <c r="C49" i="4"/>
  <c r="S52" i="4"/>
  <c r="T53" i="4"/>
  <c r="AU13" i="5"/>
  <c r="BA13" i="5"/>
  <c r="BG13" i="5"/>
  <c r="CQ16" i="5"/>
  <c r="CN13" i="5"/>
  <c r="X13" i="5"/>
  <c r="AE23" i="5"/>
  <c r="AD13" i="5"/>
  <c r="CP31" i="5"/>
  <c r="CQ32" i="5"/>
  <c r="CH31" i="5"/>
  <c r="CI37" i="5"/>
  <c r="L13" i="6"/>
  <c r="H16" i="6"/>
  <c r="F16" i="6" s="1"/>
  <c r="G16" i="6" s="1"/>
  <c r="T16" i="6"/>
  <c r="S13" i="6"/>
  <c r="C36" i="6"/>
  <c r="T15" i="7"/>
  <c r="R13" i="7"/>
  <c r="AC75" i="4"/>
  <c r="AA74" i="4"/>
  <c r="AS24" i="5"/>
  <c r="AR13" i="5"/>
  <c r="C63" i="5"/>
  <c r="C75" i="5"/>
  <c r="D74" i="5"/>
  <c r="O52" i="3"/>
  <c r="U52" i="3"/>
  <c r="AM52" i="3"/>
  <c r="Y74" i="3"/>
  <c r="AQ74" i="3"/>
  <c r="W75" i="3"/>
  <c r="AO75" i="3"/>
  <c r="C86" i="3"/>
  <c r="E13" i="4"/>
  <c r="C36" i="4"/>
  <c r="C39" i="4"/>
  <c r="C42" i="4"/>
  <c r="C45" i="4"/>
  <c r="C48" i="4"/>
  <c r="C51" i="4"/>
  <c r="U52" i="4"/>
  <c r="I74" i="4"/>
  <c r="C25" i="5"/>
  <c r="CB31" i="5"/>
  <c r="AK52" i="5"/>
  <c r="C55" i="5"/>
  <c r="CS78" i="5"/>
  <c r="CO74" i="5"/>
  <c r="N53" i="3"/>
  <c r="R75" i="3"/>
  <c r="R80" i="3"/>
  <c r="H82" i="3"/>
  <c r="F82" i="3" s="1"/>
  <c r="G82" i="3" s="1"/>
  <c r="T82" i="3"/>
  <c r="C30" i="4"/>
  <c r="I52" i="4"/>
  <c r="Q53" i="4"/>
  <c r="O52" i="4"/>
  <c r="AE15" i="5"/>
  <c r="AB13" i="5"/>
  <c r="AX13" i="5"/>
  <c r="BD13" i="5"/>
  <c r="BJ13" i="5"/>
  <c r="AL13" i="5"/>
  <c r="C20" i="5"/>
  <c r="BL31" i="5"/>
  <c r="BM32" i="5"/>
  <c r="AE37" i="5"/>
  <c r="AB31" i="5"/>
  <c r="C38" i="5"/>
  <c r="X52" i="5"/>
  <c r="AD52" i="5"/>
  <c r="AE53" i="5"/>
  <c r="AD77" i="3"/>
  <c r="AL79" i="3"/>
  <c r="AH81" i="3"/>
  <c r="C83" i="3"/>
  <c r="AD86" i="3"/>
  <c r="AL88" i="3"/>
  <c r="C32" i="4"/>
  <c r="C35" i="4"/>
  <c r="C38" i="4"/>
  <c r="C41" i="4"/>
  <c r="C44" i="4"/>
  <c r="C47" i="4"/>
  <c r="C50" i="4"/>
  <c r="AE74" i="4"/>
  <c r="AF75" i="4"/>
  <c r="W13" i="5"/>
  <c r="AC13" i="5"/>
  <c r="AG14" i="5"/>
  <c r="BQ13" i="5"/>
  <c r="BW13" i="5"/>
  <c r="CC13" i="5"/>
  <c r="CJ13" i="5"/>
  <c r="CP13" i="5"/>
  <c r="H18" i="5"/>
  <c r="F18" i="5" s="1"/>
  <c r="G18" i="5" s="1"/>
  <c r="BM19" i="5"/>
  <c r="BL13" i="5"/>
  <c r="AU74" i="5"/>
  <c r="BG74" i="5"/>
  <c r="BO74" i="5"/>
  <c r="BU74" i="5"/>
  <c r="CA74" i="5"/>
  <c r="H85" i="5"/>
  <c r="F85" i="5" s="1"/>
  <c r="G85" i="5" s="1"/>
  <c r="I74" i="5"/>
  <c r="H104" i="4"/>
  <c r="F104" i="4" s="1"/>
  <c r="C104" i="4"/>
  <c r="C11" i="4" s="1"/>
  <c r="C9" i="4" s="1"/>
  <c r="J13" i="5"/>
  <c r="S14" i="5"/>
  <c r="P13" i="5"/>
  <c r="AY13" i="5"/>
  <c r="BE13" i="5"/>
  <c r="CN31" i="5"/>
  <c r="BW31" i="5"/>
  <c r="CK31" i="5"/>
  <c r="CX31" i="5"/>
  <c r="CV31" i="5"/>
  <c r="AH31" i="5"/>
  <c r="BV31" i="5"/>
  <c r="C49" i="5"/>
  <c r="AP52" i="5"/>
  <c r="BC52" i="5"/>
  <c r="BQ52" i="5"/>
  <c r="BW52" i="5"/>
  <c r="CC52" i="5"/>
  <c r="CX52" i="5"/>
  <c r="U56" i="5"/>
  <c r="Q52" i="5"/>
  <c r="AU52" i="5"/>
  <c r="BG52" i="5"/>
  <c r="BN52" i="5"/>
  <c r="BZ52" i="5"/>
  <c r="H61" i="5"/>
  <c r="F61" i="5" s="1"/>
  <c r="G61" i="5" s="1"/>
  <c r="C67" i="5"/>
  <c r="AO74" i="5"/>
  <c r="H14" i="6"/>
  <c r="J13" i="6"/>
  <c r="X13" i="6"/>
  <c r="C18" i="6"/>
  <c r="L52" i="6"/>
  <c r="S52" i="6"/>
  <c r="AG52" i="6"/>
  <c r="AD55" i="6"/>
  <c r="AA52" i="6"/>
  <c r="K13" i="5"/>
  <c r="Q13" i="5"/>
  <c r="U14" i="5"/>
  <c r="AT13" i="5"/>
  <c r="AZ13" i="5"/>
  <c r="BF13" i="5"/>
  <c r="BS13" i="5"/>
  <c r="BY13" i="5"/>
  <c r="CI15" i="5"/>
  <c r="CE13" i="5"/>
  <c r="AM13" i="5"/>
  <c r="BR13" i="5"/>
  <c r="BX13" i="5"/>
  <c r="CG18" i="5"/>
  <c r="CD13" i="5"/>
  <c r="C28" i="5"/>
  <c r="R31" i="5"/>
  <c r="AY31" i="5"/>
  <c r="BR31" i="5"/>
  <c r="BX31" i="5"/>
  <c r="CG32" i="5"/>
  <c r="CD31" i="5"/>
  <c r="CG31" i="5" s="1"/>
  <c r="N31" i="5"/>
  <c r="H40" i="5"/>
  <c r="F40" i="5" s="1"/>
  <c r="G40" i="5" s="1"/>
  <c r="H44" i="5"/>
  <c r="F44" i="5" s="1"/>
  <c r="G44" i="5" s="1"/>
  <c r="CY52" i="5"/>
  <c r="K52" i="5"/>
  <c r="CV74" i="5"/>
  <c r="S81" i="5"/>
  <c r="P74" i="5"/>
  <c r="C87" i="5"/>
  <c r="Z17" i="6"/>
  <c r="C21" i="6"/>
  <c r="H24" i="6"/>
  <c r="F24" i="6" s="1"/>
  <c r="G24" i="6" s="1"/>
  <c r="C30" i="6"/>
  <c r="Y52" i="6"/>
  <c r="D13" i="5"/>
  <c r="CU13" i="5"/>
  <c r="O15" i="5"/>
  <c r="E13" i="5"/>
  <c r="AH13" i="5"/>
  <c r="AQ15" i="5"/>
  <c r="AN13" i="5"/>
  <c r="BK16" i="5"/>
  <c r="H17" i="5"/>
  <c r="F17" i="5" s="1"/>
  <c r="G17" i="5" s="1"/>
  <c r="I13" i="5"/>
  <c r="D31" i="5"/>
  <c r="AA31" i="5"/>
  <c r="CU31" i="5"/>
  <c r="BJ31" i="5"/>
  <c r="BK43" i="5"/>
  <c r="C45" i="5"/>
  <c r="C62" i="5"/>
  <c r="K74" i="5"/>
  <c r="R74" i="5"/>
  <c r="AH74" i="5"/>
  <c r="AQ75" i="5"/>
  <c r="AN74" i="5"/>
  <c r="AV74" i="5"/>
  <c r="BB74" i="5"/>
  <c r="BK75" i="5"/>
  <c r="BH74" i="5"/>
  <c r="CJ74" i="5"/>
  <c r="CQ75" i="5"/>
  <c r="CP74" i="5"/>
  <c r="W74" i="5"/>
  <c r="BS74" i="5"/>
  <c r="M13" i="6"/>
  <c r="AA52" i="4"/>
  <c r="CS14" i="5"/>
  <c r="CO13" i="5"/>
  <c r="CV13" i="5"/>
  <c r="AI13" i="5"/>
  <c r="AS15" i="5"/>
  <c r="AO13" i="5"/>
  <c r="H21" i="5"/>
  <c r="F21" i="5" s="1"/>
  <c r="G21" i="5" s="1"/>
  <c r="H33" i="5"/>
  <c r="F33" i="5" s="1"/>
  <c r="G33" i="5" s="1"/>
  <c r="S33" i="5"/>
  <c r="P31" i="5"/>
  <c r="CM31" i="5"/>
  <c r="C34" i="5"/>
  <c r="H39" i="5"/>
  <c r="F39" i="5" s="1"/>
  <c r="G39" i="5" s="1"/>
  <c r="O40" i="5"/>
  <c r="C40" i="5"/>
  <c r="CV52" i="5"/>
  <c r="W52" i="5"/>
  <c r="AG57" i="5"/>
  <c r="AC52" i="5"/>
  <c r="CM52" i="5"/>
  <c r="E52" i="5"/>
  <c r="O52" i="5" s="1"/>
  <c r="AI52" i="5"/>
  <c r="AS62" i="5"/>
  <c r="AO52" i="5"/>
  <c r="AI74" i="5"/>
  <c r="AW74" i="5"/>
  <c r="BC74" i="5"/>
  <c r="BI74" i="5"/>
  <c r="AY74" i="5"/>
  <c r="BR74" i="5"/>
  <c r="BX74" i="5"/>
  <c r="CG79" i="5"/>
  <c r="CD74" i="5"/>
  <c r="CG74" i="5" s="1"/>
  <c r="O88" i="5"/>
  <c r="C88" i="5"/>
  <c r="C15" i="6"/>
  <c r="AH15" i="6"/>
  <c r="AF13" i="6"/>
  <c r="AH19" i="6"/>
  <c r="H71" i="6"/>
  <c r="F71" i="6" s="1"/>
  <c r="H75" i="6"/>
  <c r="I74" i="6"/>
  <c r="Y16" i="7"/>
  <c r="AC16" i="7"/>
  <c r="Q16" i="7"/>
  <c r="AE16" i="7" s="1"/>
  <c r="AA16" i="7"/>
  <c r="E31" i="5"/>
  <c r="O31" i="5" s="1"/>
  <c r="AU31" i="5"/>
  <c r="BA31" i="5"/>
  <c r="BG31" i="5"/>
  <c r="BS31" i="5"/>
  <c r="BY31" i="5"/>
  <c r="CE31" i="5"/>
  <c r="CL31" i="5"/>
  <c r="CR31" i="5"/>
  <c r="BO31" i="5"/>
  <c r="BU31" i="5"/>
  <c r="CA31" i="5"/>
  <c r="C39" i="5"/>
  <c r="AL52" i="5"/>
  <c r="AS53" i="5"/>
  <c r="AR52" i="5"/>
  <c r="AY52" i="5"/>
  <c r="BE52" i="5"/>
  <c r="BR52" i="5"/>
  <c r="BX52" i="5"/>
  <c r="CD52" i="5"/>
  <c r="CG52" i="5" s="1"/>
  <c r="CJ52" i="5"/>
  <c r="CP52" i="5"/>
  <c r="M74" i="5"/>
  <c r="AJ74" i="5"/>
  <c r="AP74" i="5"/>
  <c r="CX74" i="5"/>
  <c r="C104" i="5"/>
  <c r="C11" i="5" s="1"/>
  <c r="K13" i="6"/>
  <c r="U13" i="6"/>
  <c r="AD15" i="6"/>
  <c r="AA13" i="6"/>
  <c r="U31" i="6"/>
  <c r="AB31" i="6"/>
  <c r="C41" i="6"/>
  <c r="N41" i="6"/>
  <c r="E52" i="6"/>
  <c r="N52" i="6" s="1"/>
  <c r="N53" i="6"/>
  <c r="H57" i="6"/>
  <c r="F57" i="6" s="1"/>
  <c r="G57" i="6" s="1"/>
  <c r="I52" i="6"/>
  <c r="AI13" i="7"/>
  <c r="CX13" i="5"/>
  <c r="H32" i="5"/>
  <c r="O32" i="5"/>
  <c r="AI31" i="5"/>
  <c r="AO31" i="5"/>
  <c r="AV31" i="5"/>
  <c r="BB31" i="5"/>
  <c r="BH31" i="5"/>
  <c r="BN31" i="5"/>
  <c r="BT31" i="5"/>
  <c r="BZ31" i="5"/>
  <c r="CF31" i="5"/>
  <c r="C33" i="5"/>
  <c r="AW31" i="5"/>
  <c r="BC31" i="5"/>
  <c r="BI31" i="5"/>
  <c r="BK35" i="5"/>
  <c r="U41" i="5"/>
  <c r="H45" i="5"/>
  <c r="F45" i="5" s="1"/>
  <c r="G45" i="5" s="1"/>
  <c r="C46" i="5"/>
  <c r="H46" i="5"/>
  <c r="F46" i="5" s="1"/>
  <c r="G46" i="5" s="1"/>
  <c r="R52" i="5"/>
  <c r="Z52" i="5"/>
  <c r="AG53" i="5"/>
  <c r="AF52" i="5"/>
  <c r="AM52" i="5"/>
  <c r="CT52" i="5"/>
  <c r="J52" i="5"/>
  <c r="P52" i="5"/>
  <c r="V52" i="5"/>
  <c r="AB52" i="5"/>
  <c r="AH52" i="5"/>
  <c r="AN52" i="5"/>
  <c r="AT52" i="5"/>
  <c r="AZ52" i="5"/>
  <c r="BF52" i="5"/>
  <c r="BL52" i="5"/>
  <c r="CE74" i="5"/>
  <c r="AK74" i="5"/>
  <c r="CL74" i="5"/>
  <c r="CS75" i="5"/>
  <c r="CR74" i="5"/>
  <c r="CY74" i="5"/>
  <c r="AX74" i="5"/>
  <c r="CT74" i="5"/>
  <c r="AQ81" i="5"/>
  <c r="O82" i="5"/>
  <c r="C82" i="5"/>
  <c r="C14" i="6"/>
  <c r="D13" i="6"/>
  <c r="I13" i="6"/>
  <c r="Q15" i="6"/>
  <c r="O13" i="6"/>
  <c r="C17" i="6"/>
  <c r="C20" i="6"/>
  <c r="N27" i="6"/>
  <c r="C27" i="6"/>
  <c r="O31" i="6"/>
  <c r="M31" i="6"/>
  <c r="D31" i="6"/>
  <c r="C33" i="6"/>
  <c r="V31" i="6"/>
  <c r="C38" i="6"/>
  <c r="N38" i="6"/>
  <c r="AQ14" i="5"/>
  <c r="H15" i="5"/>
  <c r="F15" i="5" s="1"/>
  <c r="G15" i="5" s="1"/>
  <c r="CI16" i="5"/>
  <c r="H20" i="5"/>
  <c r="F20" i="5" s="1"/>
  <c r="G20" i="5" s="1"/>
  <c r="C21" i="5"/>
  <c r="H26" i="5"/>
  <c r="F26" i="5" s="1"/>
  <c r="G26" i="5" s="1"/>
  <c r="C27" i="5"/>
  <c r="BK29" i="5"/>
  <c r="W31" i="5"/>
  <c r="AC31" i="5"/>
  <c r="AJ31" i="5"/>
  <c r="AP31" i="5"/>
  <c r="M31" i="5"/>
  <c r="AE33" i="5"/>
  <c r="CI41" i="5"/>
  <c r="AQ51" i="5"/>
  <c r="N52" i="5"/>
  <c r="U53" i="5"/>
  <c r="T52" i="5"/>
  <c r="AA52" i="5"/>
  <c r="CQ53" i="5"/>
  <c r="CN52" i="5"/>
  <c r="CU52" i="5"/>
  <c r="D52" i="5"/>
  <c r="H56" i="5"/>
  <c r="F56" i="5" s="1"/>
  <c r="G56" i="5" s="1"/>
  <c r="C57" i="5"/>
  <c r="H68" i="5"/>
  <c r="F68" i="5" s="1"/>
  <c r="G68" i="5" s="1"/>
  <c r="C69" i="5"/>
  <c r="S75" i="5"/>
  <c r="X74" i="5"/>
  <c r="AD74" i="5"/>
  <c r="CM74" i="5"/>
  <c r="C76" i="5"/>
  <c r="H76" i="5"/>
  <c r="F76" i="5" s="1"/>
  <c r="G76" i="5" s="1"/>
  <c r="AL74" i="5"/>
  <c r="AR74" i="5"/>
  <c r="CQ77" i="5"/>
  <c r="CN74" i="5"/>
  <c r="H80" i="5"/>
  <c r="F80" i="5" s="1"/>
  <c r="G80" i="5" s="1"/>
  <c r="C81" i="5"/>
  <c r="S87" i="5"/>
  <c r="E13" i="6"/>
  <c r="N14" i="6"/>
  <c r="AB13" i="6"/>
  <c r="C23" i="6"/>
  <c r="N23" i="6"/>
  <c r="H26" i="6"/>
  <c r="F26" i="6" s="1"/>
  <c r="G26" i="6" s="1"/>
  <c r="Z26" i="6"/>
  <c r="H27" i="6"/>
  <c r="F27" i="6" s="1"/>
  <c r="AC31" i="6"/>
  <c r="AG31" i="6"/>
  <c r="AF52" i="6"/>
  <c r="H65" i="6"/>
  <c r="F65" i="6" s="1"/>
  <c r="H66" i="6"/>
  <c r="F66" i="6" s="1"/>
  <c r="G66" i="6" s="1"/>
  <c r="T82" i="6"/>
  <c r="R74" i="6"/>
  <c r="Y48" i="7"/>
  <c r="X31" i="7"/>
  <c r="H14" i="5"/>
  <c r="AE14" i="5"/>
  <c r="C15" i="5"/>
  <c r="AE21" i="5"/>
  <c r="BK23" i="5"/>
  <c r="AE27" i="5"/>
  <c r="AN31" i="5"/>
  <c r="K31" i="5"/>
  <c r="Q31" i="5"/>
  <c r="X31" i="5"/>
  <c r="AD31" i="5"/>
  <c r="CI32" i="5"/>
  <c r="AK31" i="5"/>
  <c r="CY31" i="5"/>
  <c r="S39" i="5"/>
  <c r="CQ43" i="5"/>
  <c r="AQ45" i="5"/>
  <c r="H50" i="5"/>
  <c r="F50" i="5" s="1"/>
  <c r="G50" i="5" s="1"/>
  <c r="C51" i="5"/>
  <c r="I52" i="5"/>
  <c r="BK53" i="5"/>
  <c r="BP52" i="5"/>
  <c r="BV52" i="5"/>
  <c r="CB52" i="5"/>
  <c r="CI53" i="5"/>
  <c r="CH52" i="5"/>
  <c r="CO52" i="5"/>
  <c r="H63" i="5"/>
  <c r="F63" i="5" s="1"/>
  <c r="G63" i="5" s="1"/>
  <c r="C64" i="5"/>
  <c r="H64" i="5"/>
  <c r="F64" i="5" s="1"/>
  <c r="G64" i="5" s="1"/>
  <c r="BK65" i="5"/>
  <c r="AE69" i="5"/>
  <c r="AB74" i="5"/>
  <c r="H75" i="5"/>
  <c r="Y74" i="5"/>
  <c r="BN74" i="5"/>
  <c r="BT74" i="5"/>
  <c r="BZ74" i="5"/>
  <c r="CF74" i="5"/>
  <c r="Z74" i="5"/>
  <c r="AF74" i="5"/>
  <c r="AS77" i="5"/>
  <c r="BK77" i="5"/>
  <c r="BP74" i="5"/>
  <c r="BV74" i="5"/>
  <c r="CB74" i="5"/>
  <c r="CH74" i="5"/>
  <c r="AE81" i="5"/>
  <c r="H87" i="5"/>
  <c r="F87" i="5" s="1"/>
  <c r="G87" i="5" s="1"/>
  <c r="H88" i="5"/>
  <c r="F88" i="5" s="1"/>
  <c r="G88" i="5" s="1"/>
  <c r="C89" i="5"/>
  <c r="C10" i="5" s="1"/>
  <c r="C9" i="5" s="1"/>
  <c r="V13" i="6"/>
  <c r="AC13" i="6"/>
  <c r="W31" i="6"/>
  <c r="Z32" i="6"/>
  <c r="AD36" i="6"/>
  <c r="AA31" i="6"/>
  <c r="C48" i="6"/>
  <c r="K52" i="6"/>
  <c r="R52" i="6"/>
  <c r="T53" i="6"/>
  <c r="J52" i="6"/>
  <c r="H63" i="6"/>
  <c r="F63" i="6" s="1"/>
  <c r="O74" i="6"/>
  <c r="Q75" i="6"/>
  <c r="C41" i="5"/>
  <c r="C26" i="6"/>
  <c r="N26" i="6"/>
  <c r="I31" i="6"/>
  <c r="X31" i="6"/>
  <c r="P31" i="6"/>
  <c r="H35" i="6"/>
  <c r="C44" i="6"/>
  <c r="N44" i="6"/>
  <c r="H50" i="6"/>
  <c r="F50" i="6" s="1"/>
  <c r="G50" i="6" s="1"/>
  <c r="O52" i="6"/>
  <c r="C59" i="6"/>
  <c r="C62" i="6"/>
  <c r="AD66" i="6"/>
  <c r="C77" i="6"/>
  <c r="Z13" i="7"/>
  <c r="AO13" i="7"/>
  <c r="C23" i="7"/>
  <c r="Y24" i="7"/>
  <c r="AC24" i="7"/>
  <c r="Q24" i="7"/>
  <c r="AE24" i="7" s="1"/>
  <c r="AA24" i="7"/>
  <c r="C37" i="7"/>
  <c r="C29" i="6"/>
  <c r="N29" i="6"/>
  <c r="K31" i="6"/>
  <c r="R31" i="6"/>
  <c r="T32" i="6"/>
  <c r="J31" i="6"/>
  <c r="H36" i="6"/>
  <c r="F36" i="6" s="1"/>
  <c r="G36" i="6" s="1"/>
  <c r="H38" i="6"/>
  <c r="F38" i="6" s="1"/>
  <c r="G38" i="6" s="1"/>
  <c r="C45" i="6"/>
  <c r="H51" i="6"/>
  <c r="F51" i="6" s="1"/>
  <c r="G51" i="6" s="1"/>
  <c r="AE52" i="6"/>
  <c r="AC52" i="6"/>
  <c r="G54" i="6"/>
  <c r="D52" i="6"/>
  <c r="C57" i="6"/>
  <c r="AA74" i="6"/>
  <c r="AD75" i="6"/>
  <c r="N23" i="7"/>
  <c r="E13" i="7"/>
  <c r="T33" i="7"/>
  <c r="R31" i="7"/>
  <c r="C63" i="7"/>
  <c r="I74" i="7"/>
  <c r="H75" i="7"/>
  <c r="Y75" i="7"/>
  <c r="O74" i="7"/>
  <c r="AC75" i="7"/>
  <c r="Q75" i="7"/>
  <c r="AE75" i="7" s="1"/>
  <c r="AA75" i="7"/>
  <c r="T81" i="7"/>
  <c r="R74" i="7"/>
  <c r="H21" i="6"/>
  <c r="F21" i="6" s="1"/>
  <c r="G21" i="6" s="1"/>
  <c r="Z21" i="6"/>
  <c r="H23" i="6"/>
  <c r="F23" i="6" s="1"/>
  <c r="G23" i="6" s="1"/>
  <c r="Z23" i="6"/>
  <c r="AD30" i="6"/>
  <c r="C32" i="6"/>
  <c r="E31" i="6"/>
  <c r="N31" i="6" s="1"/>
  <c r="N32" i="6"/>
  <c r="L31" i="6"/>
  <c r="H39" i="6"/>
  <c r="F39" i="6" s="1"/>
  <c r="G39" i="6" s="1"/>
  <c r="H41" i="6"/>
  <c r="F41" i="6" s="1"/>
  <c r="G41" i="6" s="1"/>
  <c r="Z41" i="6"/>
  <c r="AH43" i="6"/>
  <c r="AD45" i="6"/>
  <c r="T50" i="6"/>
  <c r="H53" i="6"/>
  <c r="W52" i="6"/>
  <c r="Z53" i="6"/>
  <c r="V52" i="6"/>
  <c r="C60" i="6"/>
  <c r="AH67" i="6"/>
  <c r="Z68" i="6"/>
  <c r="U74" i="6"/>
  <c r="AB74" i="6"/>
  <c r="F90" i="6"/>
  <c r="H89" i="6"/>
  <c r="F89" i="6" s="1"/>
  <c r="AD13" i="7"/>
  <c r="Y20" i="7"/>
  <c r="AC20" i="7"/>
  <c r="Q20" i="7"/>
  <c r="AE20" i="7" s="1"/>
  <c r="AA20" i="7"/>
  <c r="Y28" i="7"/>
  <c r="AC28" i="7"/>
  <c r="Q28" i="7"/>
  <c r="AE28" i="7" s="1"/>
  <c r="AA28" i="7"/>
  <c r="Y34" i="7"/>
  <c r="AC34" i="7"/>
  <c r="Q34" i="7"/>
  <c r="AE34" i="7" s="1"/>
  <c r="AA34" i="7"/>
  <c r="AD33" i="6"/>
  <c r="C35" i="6"/>
  <c r="N35" i="6"/>
  <c r="T38" i="6"/>
  <c r="H42" i="6"/>
  <c r="F42" i="6" s="1"/>
  <c r="G42" i="6" s="1"/>
  <c r="H44" i="6"/>
  <c r="F44" i="6" s="1"/>
  <c r="G44" i="6" s="1"/>
  <c r="Z44" i="6"/>
  <c r="AD48" i="6"/>
  <c r="C50" i="6"/>
  <c r="N50" i="6"/>
  <c r="X52" i="6"/>
  <c r="H54" i="6"/>
  <c r="F54" i="6" s="1"/>
  <c r="P52" i="6"/>
  <c r="H56" i="6"/>
  <c r="F56" i="6" s="1"/>
  <c r="G56" i="6" s="1"/>
  <c r="Z56" i="6"/>
  <c r="AH58" i="6"/>
  <c r="Z62" i="6"/>
  <c r="Q66" i="6"/>
  <c r="H69" i="6"/>
  <c r="F69" i="6" s="1"/>
  <c r="G69" i="6" s="1"/>
  <c r="H72" i="6"/>
  <c r="F72" i="6" s="1"/>
  <c r="G72" i="6" s="1"/>
  <c r="D74" i="6"/>
  <c r="V74" i="6"/>
  <c r="AH76" i="6"/>
  <c r="AE74" i="6"/>
  <c r="C86" i="6"/>
  <c r="Y51" i="7"/>
  <c r="AC51" i="7"/>
  <c r="Q51" i="7"/>
  <c r="AE51" i="7" s="1"/>
  <c r="AA51" i="7"/>
  <c r="C80" i="6"/>
  <c r="G80" i="6"/>
  <c r="C83" i="6"/>
  <c r="G83" i="6"/>
  <c r="Y30" i="7"/>
  <c r="AC30" i="7"/>
  <c r="Q30" i="7"/>
  <c r="AE30" i="7" s="1"/>
  <c r="P31" i="7"/>
  <c r="Q44" i="7"/>
  <c r="AE44" i="7" s="1"/>
  <c r="AC45" i="7"/>
  <c r="Q45" i="7"/>
  <c r="AE45" i="7" s="1"/>
  <c r="AA45" i="7"/>
  <c r="Y45" i="7"/>
  <c r="Y69" i="7"/>
  <c r="AC69" i="7"/>
  <c r="Q69" i="7"/>
  <c r="AE69" i="7" s="1"/>
  <c r="AA69" i="7"/>
  <c r="H77" i="6"/>
  <c r="F77" i="6" s="1"/>
  <c r="H85" i="6"/>
  <c r="F85" i="6" s="1"/>
  <c r="G85" i="6" s="1"/>
  <c r="U13" i="7"/>
  <c r="W14" i="7"/>
  <c r="AL13" i="7"/>
  <c r="Y22" i="7"/>
  <c r="AC22" i="7"/>
  <c r="Q22" i="7"/>
  <c r="AE22" i="7" s="1"/>
  <c r="U31" i="7"/>
  <c r="W32" i="7"/>
  <c r="AL31" i="7"/>
  <c r="Y36" i="7"/>
  <c r="AC36" i="7"/>
  <c r="Q36" i="7"/>
  <c r="AE36" i="7" s="1"/>
  <c r="J31" i="7"/>
  <c r="C49" i="7"/>
  <c r="L52" i="7"/>
  <c r="S52" i="7"/>
  <c r="H79" i="6"/>
  <c r="F79" i="6" s="1"/>
  <c r="G79" i="6" s="1"/>
  <c r="Z79" i="6"/>
  <c r="H80" i="6"/>
  <c r="F80" i="6" s="1"/>
  <c r="H83" i="6"/>
  <c r="F83" i="6" s="1"/>
  <c r="H104" i="6"/>
  <c r="F104" i="6" s="1"/>
  <c r="I13" i="7"/>
  <c r="Y14" i="7"/>
  <c r="O13" i="7"/>
  <c r="AC14" i="7"/>
  <c r="Q14" i="7"/>
  <c r="AE14" i="7" s="1"/>
  <c r="AF13" i="7"/>
  <c r="AM13" i="7"/>
  <c r="H15" i="7"/>
  <c r="F15" i="7" s="1"/>
  <c r="G15" i="7" s="1"/>
  <c r="Y18" i="7"/>
  <c r="AC18" i="7"/>
  <c r="Q18" i="7"/>
  <c r="AE18" i="7" s="1"/>
  <c r="H19" i="7"/>
  <c r="F19" i="7" s="1"/>
  <c r="C21" i="7"/>
  <c r="H23" i="7"/>
  <c r="F23" i="7" s="1"/>
  <c r="C25" i="7"/>
  <c r="Y26" i="7"/>
  <c r="AC26" i="7"/>
  <c r="Q26" i="7"/>
  <c r="AE26" i="7" s="1"/>
  <c r="I31" i="7"/>
  <c r="Y32" i="7"/>
  <c r="O31" i="7"/>
  <c r="AC32" i="7"/>
  <c r="Q32" i="7"/>
  <c r="AE32" i="7" s="1"/>
  <c r="AF31" i="7"/>
  <c r="AM31" i="7"/>
  <c r="C35" i="7"/>
  <c r="H37" i="7"/>
  <c r="F37" i="7" s="1"/>
  <c r="C41" i="7"/>
  <c r="M52" i="7"/>
  <c r="H82" i="6"/>
  <c r="F82" i="6" s="1"/>
  <c r="AD86" i="6"/>
  <c r="AG13" i="7"/>
  <c r="H27" i="7"/>
  <c r="F27" i="7" s="1"/>
  <c r="G27" i="7" s="1"/>
  <c r="AA30" i="7"/>
  <c r="E31" i="7"/>
  <c r="N31" i="7" s="1"/>
  <c r="AG31" i="7"/>
  <c r="H33" i="7"/>
  <c r="F33" i="7" s="1"/>
  <c r="H39" i="7"/>
  <c r="F39" i="7" s="1"/>
  <c r="C43" i="7"/>
  <c r="N54" i="7"/>
  <c r="E52" i="7"/>
  <c r="N52" i="7" s="1"/>
  <c r="Y57" i="7"/>
  <c r="AC57" i="7"/>
  <c r="Q57" i="7"/>
  <c r="AE57" i="7" s="1"/>
  <c r="AA57" i="7"/>
  <c r="AK52" i="7"/>
  <c r="Y76" i="7"/>
  <c r="Q76" i="7"/>
  <c r="AE76" i="7" s="1"/>
  <c r="AC76" i="7"/>
  <c r="AA76" i="7"/>
  <c r="AA38" i="7"/>
  <c r="AA40" i="7"/>
  <c r="AA42" i="7"/>
  <c r="U52" i="7"/>
  <c r="W53" i="7"/>
  <c r="AL52" i="7"/>
  <c r="Y55" i="7"/>
  <c r="AC55" i="7"/>
  <c r="Q55" i="7"/>
  <c r="AE55" i="7" s="1"/>
  <c r="Y67" i="7"/>
  <c r="AC67" i="7"/>
  <c r="Q67" i="7"/>
  <c r="AE67" i="7" s="1"/>
  <c r="U31" i="8"/>
  <c r="W32" i="8"/>
  <c r="N79" i="6"/>
  <c r="N85" i="6"/>
  <c r="N88" i="6"/>
  <c r="G17" i="7"/>
  <c r="G19" i="7"/>
  <c r="G23" i="7"/>
  <c r="G25" i="7"/>
  <c r="G33" i="7"/>
  <c r="G37" i="7"/>
  <c r="G39" i="7"/>
  <c r="G41" i="7"/>
  <c r="Y44" i="7"/>
  <c r="AC46" i="7"/>
  <c r="AC47" i="7"/>
  <c r="Q47" i="7"/>
  <c r="AE47" i="7" s="1"/>
  <c r="I52" i="7"/>
  <c r="Y53" i="7"/>
  <c r="O52" i="7"/>
  <c r="AC53" i="7"/>
  <c r="Q53" i="7"/>
  <c r="AE53" i="7" s="1"/>
  <c r="V52" i="7"/>
  <c r="AF52" i="7"/>
  <c r="AM52" i="7"/>
  <c r="H56" i="7"/>
  <c r="F56" i="7" s="1"/>
  <c r="Y65" i="7"/>
  <c r="AC65" i="7"/>
  <c r="Q65" i="7"/>
  <c r="AE65" i="7" s="1"/>
  <c r="Z74" i="7"/>
  <c r="AH74" i="7"/>
  <c r="AJ74" i="7" s="1"/>
  <c r="AJ75" i="7"/>
  <c r="N84" i="7"/>
  <c r="C84" i="7"/>
  <c r="Y84" i="7"/>
  <c r="AA84" i="7"/>
  <c r="Q84" i="7"/>
  <c r="AE84" i="7" s="1"/>
  <c r="Q38" i="7"/>
  <c r="AE38" i="7" s="1"/>
  <c r="AC38" i="7"/>
  <c r="Q40" i="7"/>
  <c r="AE40" i="7" s="1"/>
  <c r="AC40" i="7"/>
  <c r="Q42" i="7"/>
  <c r="AE42" i="7" s="1"/>
  <c r="AC42" i="7"/>
  <c r="H46" i="7"/>
  <c r="F46" i="7" s="1"/>
  <c r="G46" i="7" s="1"/>
  <c r="AJ46" i="7"/>
  <c r="J52" i="7"/>
  <c r="P52" i="7"/>
  <c r="AG52" i="7"/>
  <c r="AN52" i="7"/>
  <c r="H54" i="7"/>
  <c r="F54" i="7" s="1"/>
  <c r="G54" i="7" s="1"/>
  <c r="Y63" i="7"/>
  <c r="AC63" i="7"/>
  <c r="Q63" i="7"/>
  <c r="AE63" i="7" s="1"/>
  <c r="C72" i="7"/>
  <c r="N72" i="7"/>
  <c r="G75" i="7"/>
  <c r="D74" i="7"/>
  <c r="C80" i="7"/>
  <c r="H104" i="7"/>
  <c r="F104" i="7" s="1"/>
  <c r="C16" i="8"/>
  <c r="N16" i="8"/>
  <c r="AM13" i="8"/>
  <c r="BE13" i="8"/>
  <c r="C43" i="8"/>
  <c r="N43" i="8"/>
  <c r="Y47" i="7"/>
  <c r="AC49" i="7"/>
  <c r="Q49" i="7"/>
  <c r="AE49" i="7" s="1"/>
  <c r="Z52" i="7"/>
  <c r="AH52" i="7"/>
  <c r="AJ52" i="7" s="1"/>
  <c r="AJ53" i="7"/>
  <c r="AA55" i="7"/>
  <c r="C56" i="7"/>
  <c r="W59" i="7"/>
  <c r="Y61" i="7"/>
  <c r="AC61" i="7"/>
  <c r="Q61" i="7"/>
  <c r="AE61" i="7" s="1"/>
  <c r="AA67" i="7"/>
  <c r="H68" i="7"/>
  <c r="F68" i="7" s="1"/>
  <c r="G68" i="7" s="1"/>
  <c r="T68" i="7"/>
  <c r="C70" i="7"/>
  <c r="N70" i="7"/>
  <c r="W71" i="7"/>
  <c r="Y73" i="7"/>
  <c r="AC73" i="7"/>
  <c r="Q73" i="7"/>
  <c r="AE73" i="7" s="1"/>
  <c r="AB74" i="7"/>
  <c r="N76" i="7"/>
  <c r="C76" i="7"/>
  <c r="N78" i="7"/>
  <c r="C78" i="7"/>
  <c r="Y78" i="7"/>
  <c r="AA78" i="7"/>
  <c r="E13" i="8"/>
  <c r="Q14" i="8"/>
  <c r="O13" i="8"/>
  <c r="BC13" i="8"/>
  <c r="BI13" i="8"/>
  <c r="AC13" i="8"/>
  <c r="AA13" i="8"/>
  <c r="C40" i="8"/>
  <c r="N40" i="8"/>
  <c r="D31" i="7"/>
  <c r="C46" i="7"/>
  <c r="T46" i="7"/>
  <c r="H48" i="7"/>
  <c r="F48" i="7" s="1"/>
  <c r="G48" i="7" s="1"/>
  <c r="W51" i="7"/>
  <c r="D52" i="7"/>
  <c r="C54" i="7"/>
  <c r="T54" i="7"/>
  <c r="W57" i="7"/>
  <c r="Y59" i="7"/>
  <c r="AC59" i="7"/>
  <c r="Q59" i="7"/>
  <c r="AE59" i="7" s="1"/>
  <c r="H62" i="7"/>
  <c r="F62" i="7" s="1"/>
  <c r="H64" i="7"/>
  <c r="F64" i="7" s="1"/>
  <c r="G64" i="7" s="1"/>
  <c r="C66" i="7"/>
  <c r="H66" i="7"/>
  <c r="F66" i="7" s="1"/>
  <c r="C68" i="7"/>
  <c r="N68" i="7"/>
  <c r="W69" i="7"/>
  <c r="Y71" i="7"/>
  <c r="AC71" i="7"/>
  <c r="Q71" i="7"/>
  <c r="AE71" i="7" s="1"/>
  <c r="L74" i="7"/>
  <c r="U74" i="7"/>
  <c r="W75" i="7"/>
  <c r="Y80" i="7"/>
  <c r="Q80" i="7"/>
  <c r="AE80" i="7" s="1"/>
  <c r="C37" i="8"/>
  <c r="N37" i="8"/>
  <c r="T46" i="8"/>
  <c r="R31" i="8"/>
  <c r="BJ31" i="8"/>
  <c r="BL49" i="8"/>
  <c r="AC86" i="7"/>
  <c r="Y13" i="8"/>
  <c r="BQ13" i="8"/>
  <c r="M31" i="8"/>
  <c r="V31" i="8"/>
  <c r="BP31" i="8"/>
  <c r="H86" i="7"/>
  <c r="F86" i="7" s="1"/>
  <c r="G86" i="7" s="1"/>
  <c r="C88" i="7"/>
  <c r="AA88" i="7"/>
  <c r="U13" i="8"/>
  <c r="BK13" i="8"/>
  <c r="C28" i="8"/>
  <c r="N28" i="8"/>
  <c r="O31" i="8"/>
  <c r="Q32" i="8"/>
  <c r="AK31" i="8"/>
  <c r="AQ31" i="8"/>
  <c r="BC31" i="8"/>
  <c r="BI31" i="8"/>
  <c r="BO31" i="8"/>
  <c r="C34" i="8"/>
  <c r="N34" i="8"/>
  <c r="H37" i="8"/>
  <c r="F37" i="8" s="1"/>
  <c r="AV31" i="8"/>
  <c r="AR31" i="8"/>
  <c r="AS50" i="8"/>
  <c r="AJ52" i="8"/>
  <c r="AP52" i="8"/>
  <c r="BQ52" i="8"/>
  <c r="AC82" i="7"/>
  <c r="Q86" i="7"/>
  <c r="AE86" i="7" s="1"/>
  <c r="S13" i="8"/>
  <c r="C19" i="8"/>
  <c r="N19" i="8"/>
  <c r="C22" i="8"/>
  <c r="N22" i="8"/>
  <c r="C25" i="8"/>
  <c r="N25" i="8"/>
  <c r="H28" i="8"/>
  <c r="F28" i="8" s="1"/>
  <c r="G28" i="8" s="1"/>
  <c r="H32" i="8"/>
  <c r="I31" i="8"/>
  <c r="Y31" i="8"/>
  <c r="AE31" i="8"/>
  <c r="H34" i="8"/>
  <c r="F34" i="8" s="1"/>
  <c r="G34" i="8" s="1"/>
  <c r="H82" i="7"/>
  <c r="F82" i="7" s="1"/>
  <c r="G82" i="7" s="1"/>
  <c r="AC88" i="7"/>
  <c r="E31" i="8"/>
  <c r="N31" i="8" s="1"/>
  <c r="AO31" i="8"/>
  <c r="AG31" i="8"/>
  <c r="AM31" i="8"/>
  <c r="BE31" i="8"/>
  <c r="BK31" i="8"/>
  <c r="BQ31" i="8"/>
  <c r="C46" i="8"/>
  <c r="N46" i="8"/>
  <c r="X31" i="8"/>
  <c r="AF46" i="8"/>
  <c r="AD31" i="8"/>
  <c r="C49" i="8"/>
  <c r="N49" i="8"/>
  <c r="C77" i="8"/>
  <c r="E74" i="8"/>
  <c r="N74" i="8" s="1"/>
  <c r="N77" i="8"/>
  <c r="AA77" i="7"/>
  <c r="C79" i="7"/>
  <c r="AA79" i="7"/>
  <c r="C81" i="7"/>
  <c r="AA81" i="7"/>
  <c r="C83" i="7"/>
  <c r="AA83" i="7"/>
  <c r="C85" i="7"/>
  <c r="AA85" i="7"/>
  <c r="AA87" i="7"/>
  <c r="N15" i="8"/>
  <c r="N18" i="8"/>
  <c r="N21" i="8"/>
  <c r="N24" i="8"/>
  <c r="N27" i="8"/>
  <c r="N30" i="8"/>
  <c r="N33" i="8"/>
  <c r="N36" i="8"/>
  <c r="N39" i="8"/>
  <c r="N42" i="8"/>
  <c r="N45" i="8"/>
  <c r="U52" i="8"/>
  <c r="R52" i="8"/>
  <c r="Y52" i="8"/>
  <c r="AE52" i="8"/>
  <c r="AK52" i="8"/>
  <c r="AQ52" i="8"/>
  <c r="BJ52" i="8"/>
  <c r="BL53" i="8"/>
  <c r="AE13" i="8"/>
  <c r="H48" i="8"/>
  <c r="F48" i="8" s="1"/>
  <c r="G48" i="8" s="1"/>
  <c r="AX52" i="8"/>
  <c r="AY53" i="8"/>
  <c r="K52" i="8"/>
  <c r="BA52" i="8"/>
  <c r="BG52" i="8"/>
  <c r="BM52" i="8"/>
  <c r="C73" i="8"/>
  <c r="AU74" i="8"/>
  <c r="H75" i="8"/>
  <c r="I74" i="8"/>
  <c r="P74" i="8"/>
  <c r="C55" i="9"/>
  <c r="E52" i="9"/>
  <c r="N52" i="9" s="1"/>
  <c r="N55" i="9"/>
  <c r="Q77" i="7"/>
  <c r="AE77" i="7" s="1"/>
  <c r="Q79" i="7"/>
  <c r="AE79" i="7" s="1"/>
  <c r="Q81" i="7"/>
  <c r="AE81" i="7" s="1"/>
  <c r="Q83" i="7"/>
  <c r="AE83" i="7" s="1"/>
  <c r="AC83" i="7"/>
  <c r="Q85" i="7"/>
  <c r="AE85" i="7" s="1"/>
  <c r="AC85" i="7"/>
  <c r="Q87" i="7"/>
  <c r="AE87" i="7" s="1"/>
  <c r="AC87" i="7"/>
  <c r="W47" i="8"/>
  <c r="C48" i="8"/>
  <c r="T48" i="8"/>
  <c r="BK52" i="8"/>
  <c r="M52" i="8"/>
  <c r="C54" i="8"/>
  <c r="H58" i="8"/>
  <c r="F58" i="8" s="1"/>
  <c r="C60" i="8"/>
  <c r="N54" i="8"/>
  <c r="E52" i="8"/>
  <c r="N52" i="8" s="1"/>
  <c r="AY54" i="8"/>
  <c r="AU52" i="8"/>
  <c r="G24" i="9"/>
  <c r="C24" i="9"/>
  <c r="C50" i="9"/>
  <c r="G50" i="9"/>
  <c r="O52" i="8"/>
  <c r="BB52" i="8"/>
  <c r="BH52" i="8"/>
  <c r="BO52" i="8"/>
  <c r="AI52" i="8"/>
  <c r="AS54" i="8"/>
  <c r="AO52" i="8"/>
  <c r="H55" i="8"/>
  <c r="F55" i="8" s="1"/>
  <c r="G55" i="8" s="1"/>
  <c r="H57" i="8"/>
  <c r="F57" i="8" s="1"/>
  <c r="G57" i="8" s="1"/>
  <c r="H61" i="8"/>
  <c r="F61" i="8" s="1"/>
  <c r="G61" i="8" s="1"/>
  <c r="H63" i="8"/>
  <c r="F63" i="8" s="1"/>
  <c r="G63" i="8" s="1"/>
  <c r="H66" i="8"/>
  <c r="F66" i="8" s="1"/>
  <c r="AX74" i="8"/>
  <c r="J74" i="8"/>
  <c r="T75" i="8"/>
  <c r="R74" i="8"/>
  <c r="AG74" i="8"/>
  <c r="AM74" i="8"/>
  <c r="BC74" i="8"/>
  <c r="BI74" i="8"/>
  <c r="BO74" i="8"/>
  <c r="M52" i="9"/>
  <c r="K74" i="9"/>
  <c r="M74" i="9"/>
  <c r="G66" i="8"/>
  <c r="C69" i="8"/>
  <c r="AA74" i="8"/>
  <c r="AH74" i="8"/>
  <c r="AN74" i="8"/>
  <c r="AT74" i="8"/>
  <c r="N83" i="8"/>
  <c r="J13" i="9"/>
  <c r="H14" i="9"/>
  <c r="P14" i="9"/>
  <c r="H21" i="9"/>
  <c r="F21" i="9" s="1"/>
  <c r="G21" i="9" s="1"/>
  <c r="K13" i="9"/>
  <c r="H24" i="9"/>
  <c r="F24" i="9" s="1"/>
  <c r="T31" i="9"/>
  <c r="R31" i="9"/>
  <c r="H38" i="9"/>
  <c r="F38" i="9" s="1"/>
  <c r="C56" i="9"/>
  <c r="G56" i="9"/>
  <c r="D52" i="9"/>
  <c r="AY71" i="8"/>
  <c r="AY73" i="8"/>
  <c r="D74" i="8"/>
  <c r="U74" i="8"/>
  <c r="W75" i="8"/>
  <c r="AB74" i="8"/>
  <c r="BN74" i="8"/>
  <c r="M74" i="8"/>
  <c r="S74" i="8"/>
  <c r="Y74" i="8"/>
  <c r="AE74" i="8"/>
  <c r="AK74" i="8"/>
  <c r="AQ74" i="8"/>
  <c r="H87" i="8"/>
  <c r="F87" i="8" s="1"/>
  <c r="C17" i="9"/>
  <c r="G17" i="9"/>
  <c r="L74" i="9"/>
  <c r="H87" i="9"/>
  <c r="F87" i="9" s="1"/>
  <c r="H72" i="8"/>
  <c r="F72" i="8" s="1"/>
  <c r="G72" i="8" s="1"/>
  <c r="Q73" i="8"/>
  <c r="AO74" i="8"/>
  <c r="AS74" i="8" s="1"/>
  <c r="V74" i="8"/>
  <c r="AJ74" i="8"/>
  <c r="AP74" i="8"/>
  <c r="AV74" i="8"/>
  <c r="G76" i="8"/>
  <c r="H80" i="8"/>
  <c r="F80" i="8" s="1"/>
  <c r="G80" i="8" s="1"/>
  <c r="N80" i="8"/>
  <c r="C16" i="9"/>
  <c r="N16" i="9"/>
  <c r="E13" i="9"/>
  <c r="D31" i="9"/>
  <c r="C46" i="9"/>
  <c r="J52" i="9"/>
  <c r="AY68" i="8"/>
  <c r="W70" i="8"/>
  <c r="BJ74" i="8"/>
  <c r="BL74" i="8" s="1"/>
  <c r="O74" i="8"/>
  <c r="Q75" i="8"/>
  <c r="X74" i="8"/>
  <c r="AF75" i="8"/>
  <c r="AD74" i="8"/>
  <c r="AF74" i="8" s="1"/>
  <c r="C86" i="8"/>
  <c r="N86" i="8"/>
  <c r="C104" i="8"/>
  <c r="C11" i="8" s="1"/>
  <c r="C9" i="8" s="1"/>
  <c r="M13" i="9"/>
  <c r="N45" i="9"/>
  <c r="C45" i="9"/>
  <c r="C49" i="9"/>
  <c r="N49" i="9"/>
  <c r="N76" i="9"/>
  <c r="E74" i="9"/>
  <c r="N74" i="9" s="1"/>
  <c r="C76" i="9"/>
  <c r="O74" i="9"/>
  <c r="Q74" i="9" s="1"/>
  <c r="Q76" i="9"/>
  <c r="P15" i="9"/>
  <c r="R13" i="9"/>
  <c r="M31" i="9"/>
  <c r="U31" i="9"/>
  <c r="P33" i="9"/>
  <c r="H44" i="9"/>
  <c r="F44" i="9" s="1"/>
  <c r="S52" i="9"/>
  <c r="G65" i="9"/>
  <c r="C65" i="9"/>
  <c r="C85" i="8"/>
  <c r="H88" i="8"/>
  <c r="F88" i="8" s="1"/>
  <c r="C23" i="9"/>
  <c r="H30" i="9"/>
  <c r="F30" i="9" s="1"/>
  <c r="O31" i="9"/>
  <c r="G33" i="9"/>
  <c r="C33" i="9"/>
  <c r="G35" i="9"/>
  <c r="C35" i="9"/>
  <c r="H43" i="9"/>
  <c r="F43" i="9" s="1"/>
  <c r="G43" i="9" s="1"/>
  <c r="I52" i="9"/>
  <c r="P53" i="9"/>
  <c r="T52" i="9"/>
  <c r="C62" i="9"/>
  <c r="N62" i="9"/>
  <c r="C69" i="9"/>
  <c r="U74" i="9"/>
  <c r="G83" i="9"/>
  <c r="C83" i="9"/>
  <c r="H86" i="9"/>
  <c r="F86" i="9" s="1"/>
  <c r="G75" i="8"/>
  <c r="AW75" i="8"/>
  <c r="C14" i="9"/>
  <c r="D13" i="9"/>
  <c r="L13" i="9"/>
  <c r="H18" i="9"/>
  <c r="F18" i="9" s="1"/>
  <c r="P19" i="9"/>
  <c r="P22" i="9"/>
  <c r="Q22" i="9" s="1"/>
  <c r="P25" i="9"/>
  <c r="J31" i="9"/>
  <c r="H39" i="9"/>
  <c r="F39" i="9" s="1"/>
  <c r="T74" i="9"/>
  <c r="P79" i="9"/>
  <c r="H85" i="8"/>
  <c r="F85" i="8" s="1"/>
  <c r="C88" i="8"/>
  <c r="H89" i="8"/>
  <c r="F89" i="8" s="1"/>
  <c r="S13" i="9"/>
  <c r="P16" i="9"/>
  <c r="Q16" i="9" s="1"/>
  <c r="H23" i="9"/>
  <c r="F23" i="9" s="1"/>
  <c r="G23" i="9" s="1"/>
  <c r="H29" i="9"/>
  <c r="F29" i="9" s="1"/>
  <c r="G29" i="9" s="1"/>
  <c r="G34" i="9"/>
  <c r="C34" i="9"/>
  <c r="P37" i="9"/>
  <c r="Q37" i="9" s="1"/>
  <c r="C51" i="9"/>
  <c r="Q53" i="9"/>
  <c r="O52" i="9"/>
  <c r="H57" i="9"/>
  <c r="F57" i="9" s="1"/>
  <c r="C58" i="9"/>
  <c r="G64" i="9"/>
  <c r="C64" i="9"/>
  <c r="P30" i="9"/>
  <c r="H32" i="9"/>
  <c r="I31" i="9"/>
  <c r="P36" i="9"/>
  <c r="Q36" i="9" s="1"/>
  <c r="C63" i="9"/>
  <c r="G63" i="9"/>
  <c r="H64" i="9"/>
  <c r="F64" i="9" s="1"/>
  <c r="J74" i="9"/>
  <c r="H75" i="9"/>
  <c r="P78" i="9"/>
  <c r="C81" i="9"/>
  <c r="G81" i="9"/>
  <c r="H82" i="9"/>
  <c r="F82" i="9" s="1"/>
  <c r="C88" i="9"/>
  <c r="G88" i="9"/>
  <c r="P48" i="9"/>
  <c r="Q48" i="9" s="1"/>
  <c r="P54" i="9"/>
  <c r="R52" i="9"/>
  <c r="C57" i="9"/>
  <c r="G57" i="9"/>
  <c r="H58" i="9"/>
  <c r="F58" i="9" s="1"/>
  <c r="C68" i="9"/>
  <c r="N68" i="9"/>
  <c r="H69" i="9"/>
  <c r="F69" i="9" s="1"/>
  <c r="G69" i="9" s="1"/>
  <c r="C75" i="9"/>
  <c r="D74" i="9"/>
  <c r="G74" i="9" s="1"/>
  <c r="G75" i="9"/>
  <c r="H76" i="9"/>
  <c r="F76" i="9" s="1"/>
  <c r="I74" i="9"/>
  <c r="C77" i="9"/>
  <c r="F108" i="9"/>
  <c r="H104" i="9"/>
  <c r="F104" i="9" s="1"/>
  <c r="C38" i="9"/>
  <c r="P43" i="9"/>
  <c r="Q43" i="9" s="1"/>
  <c r="H45" i="9"/>
  <c r="F45" i="9" s="1"/>
  <c r="G45" i="9" s="1"/>
  <c r="H50" i="9"/>
  <c r="F50" i="9" s="1"/>
  <c r="H62" i="9"/>
  <c r="F62" i="9" s="1"/>
  <c r="P67" i="9"/>
  <c r="C80" i="9"/>
  <c r="H81" i="9"/>
  <c r="F81" i="9" s="1"/>
  <c r="P85" i="9"/>
  <c r="H88" i="9"/>
  <c r="F88" i="9" s="1"/>
  <c r="G87" i="9"/>
  <c r="P52" i="9" l="1"/>
  <c r="Q52" i="9" s="1"/>
  <c r="P74" i="9"/>
  <c r="R52" i="1"/>
  <c r="Z74" i="6"/>
  <c r="P31" i="9"/>
  <c r="Q31" i="9" s="1"/>
  <c r="AH31" i="6"/>
  <c r="W52" i="8"/>
  <c r="Q31" i="8"/>
  <c r="AO31" i="3"/>
  <c r="T31" i="7"/>
  <c r="AA31" i="2"/>
  <c r="T13" i="1"/>
  <c r="Q13" i="4"/>
  <c r="AG74" i="1"/>
  <c r="AF52" i="8"/>
  <c r="T31" i="6"/>
  <c r="AS31" i="5"/>
  <c r="W74" i="4"/>
  <c r="AH74" i="6"/>
  <c r="T52" i="4"/>
  <c r="AO74" i="3"/>
  <c r="AL74" i="3"/>
  <c r="AS52" i="8"/>
  <c r="AI52" i="1"/>
  <c r="AW52" i="8"/>
  <c r="AS13" i="3"/>
  <c r="AW13" i="8"/>
  <c r="Q74" i="6"/>
  <c r="AS13" i="8"/>
  <c r="W74" i="3"/>
  <c r="AD74" i="3"/>
  <c r="AB8" i="7"/>
  <c r="AB7" i="7" s="1"/>
  <c r="BM13" i="5"/>
  <c r="AG13" i="1"/>
  <c r="CS52" i="5"/>
  <c r="R13" i="1"/>
  <c r="K8" i="1"/>
  <c r="K7" i="1" s="1"/>
  <c r="W13" i="1"/>
  <c r="AI74" i="1"/>
  <c r="U74" i="5"/>
  <c r="AC31" i="2"/>
  <c r="AA52" i="1"/>
  <c r="BA8" i="8"/>
  <c r="BA7" i="8" s="1"/>
  <c r="BM74" i="5"/>
  <c r="W31" i="3"/>
  <c r="W74" i="2"/>
  <c r="W52" i="1"/>
  <c r="Q52" i="8"/>
  <c r="T74" i="7"/>
  <c r="AC74" i="4"/>
  <c r="K8" i="4"/>
  <c r="K7" i="4" s="1"/>
  <c r="W74" i="1"/>
  <c r="L8" i="3"/>
  <c r="L7" i="3" s="1"/>
  <c r="AO13" i="3"/>
  <c r="AP8" i="3"/>
  <c r="AP7" i="3" s="1"/>
  <c r="I8" i="3"/>
  <c r="I7" i="3" s="1"/>
  <c r="P8" i="8"/>
  <c r="P7" i="8" s="1"/>
  <c r="J8" i="3"/>
  <c r="J7" i="3" s="1"/>
  <c r="AC52" i="1"/>
  <c r="AA52" i="2"/>
  <c r="AA13" i="1"/>
  <c r="AB8" i="8"/>
  <c r="AB7" i="8" s="1"/>
  <c r="AD8" i="7"/>
  <c r="AD7" i="7" s="1"/>
  <c r="CS31" i="5"/>
  <c r="O8" i="2"/>
  <c r="O7" i="2" s="1"/>
  <c r="Q7" i="2" s="1"/>
  <c r="T31" i="3"/>
  <c r="AC13" i="4"/>
  <c r="J8" i="2"/>
  <c r="J7" i="2" s="1"/>
  <c r="CA8" i="5"/>
  <c r="CA7" i="5" s="1"/>
  <c r="AJ8" i="8"/>
  <c r="AJ7" i="8" s="1"/>
  <c r="BK13" i="5"/>
  <c r="AQ52" i="5"/>
  <c r="X8" i="7"/>
  <c r="X7" i="7" s="1"/>
  <c r="AG52" i="1"/>
  <c r="P8" i="4"/>
  <c r="P7" i="4" s="1"/>
  <c r="C9" i="7"/>
  <c r="AH52" i="6"/>
  <c r="T74" i="6"/>
  <c r="AP8" i="5"/>
  <c r="AP7" i="5" s="1"/>
  <c r="AE52" i="5"/>
  <c r="BB8" i="5"/>
  <c r="BB7" i="5" s="1"/>
  <c r="R52" i="3"/>
  <c r="AE8" i="3"/>
  <c r="AE7" i="3" s="1"/>
  <c r="Q31" i="4"/>
  <c r="V8" i="5"/>
  <c r="V7" i="5" s="1"/>
  <c r="AV8" i="5"/>
  <c r="AV7" i="5" s="1"/>
  <c r="CI31" i="5"/>
  <c r="J8" i="4"/>
  <c r="J7" i="4" s="1"/>
  <c r="AG31" i="5"/>
  <c r="AC52" i="4"/>
  <c r="V8" i="4"/>
  <c r="V7" i="4" s="1"/>
  <c r="W52" i="2"/>
  <c r="W31" i="1"/>
  <c r="BH8" i="8"/>
  <c r="BH7" i="8" s="1"/>
  <c r="BB8" i="8"/>
  <c r="BB7" i="8" s="1"/>
  <c r="AN8" i="7"/>
  <c r="AN7" i="7" s="1"/>
  <c r="BK74" i="5"/>
  <c r="T74" i="1"/>
  <c r="T31" i="4"/>
  <c r="AH8" i="8"/>
  <c r="AH7" i="8" s="1"/>
  <c r="AC8" i="8"/>
  <c r="AC7" i="8" s="1"/>
  <c r="T74" i="4"/>
  <c r="R74" i="3"/>
  <c r="AC13" i="1"/>
  <c r="S8" i="9"/>
  <c r="S7" i="9" s="1"/>
  <c r="C74" i="1"/>
  <c r="C31" i="1"/>
  <c r="AA74" i="3"/>
  <c r="AG8" i="6"/>
  <c r="AG7" i="6" s="1"/>
  <c r="U31" i="5"/>
  <c r="CQ74" i="5"/>
  <c r="BK31" i="5"/>
  <c r="AO52" i="3"/>
  <c r="BF8" i="8"/>
  <c r="BF7" i="8" s="1"/>
  <c r="T52" i="2"/>
  <c r="L8" i="1"/>
  <c r="L7" i="1" s="1"/>
  <c r="T13" i="4"/>
  <c r="AI13" i="1"/>
  <c r="I8" i="8"/>
  <c r="I7" i="8" s="1"/>
  <c r="AF74" i="4"/>
  <c r="Q74" i="4"/>
  <c r="CW8" i="5"/>
  <c r="CW7" i="5" s="1"/>
  <c r="R13" i="3"/>
  <c r="L8" i="8"/>
  <c r="L7" i="8" s="1"/>
  <c r="AI8" i="8"/>
  <c r="AI7" i="8" s="1"/>
  <c r="BP8" i="8"/>
  <c r="BP7" i="8" s="1"/>
  <c r="AK8" i="5"/>
  <c r="AK7" i="5" s="1"/>
  <c r="M8" i="4"/>
  <c r="M7" i="4" s="1"/>
  <c r="BD8" i="8"/>
  <c r="BD7" i="8" s="1"/>
  <c r="T52" i="7"/>
  <c r="K8" i="7"/>
  <c r="K7" i="7" s="1"/>
  <c r="Y8" i="4"/>
  <c r="Y7" i="4" s="1"/>
  <c r="AL31" i="3"/>
  <c r="D8" i="2"/>
  <c r="D7" i="2" s="1"/>
  <c r="AX8" i="8"/>
  <c r="AX7" i="8" s="1"/>
  <c r="AA13" i="3"/>
  <c r="J8" i="8"/>
  <c r="J7" i="8" s="1"/>
  <c r="M8" i="5"/>
  <c r="M7" i="5" s="1"/>
  <c r="S31" i="5"/>
  <c r="CQ31" i="5"/>
  <c r="AA74" i="2"/>
  <c r="C13" i="1"/>
  <c r="AF8" i="1"/>
  <c r="AF7" i="1" s="1"/>
  <c r="AA52" i="3"/>
  <c r="I8" i="9"/>
  <c r="I7" i="9" s="1"/>
  <c r="T8" i="9"/>
  <c r="T7" i="9" s="1"/>
  <c r="Q74" i="8"/>
  <c r="K8" i="9"/>
  <c r="K7" i="9" s="1"/>
  <c r="BO8" i="8"/>
  <c r="BO7" i="8" s="1"/>
  <c r="W74" i="7"/>
  <c r="CH8" i="5"/>
  <c r="CH7" i="5" s="1"/>
  <c r="C13" i="5"/>
  <c r="BU8" i="5"/>
  <c r="BU7" i="5" s="1"/>
  <c r="J8" i="1"/>
  <c r="J7" i="1" s="1"/>
  <c r="H13" i="1"/>
  <c r="F13" i="1" s="1"/>
  <c r="G13" i="1" s="1"/>
  <c r="AH8" i="1"/>
  <c r="AH7" i="1" s="1"/>
  <c r="M8" i="3"/>
  <c r="M7" i="3" s="1"/>
  <c r="AD8" i="4"/>
  <c r="AD7" i="4" s="1"/>
  <c r="T31" i="2"/>
  <c r="Q8" i="1"/>
  <c r="Q7" i="1" s="1"/>
  <c r="M8" i="1"/>
  <c r="M7" i="1" s="1"/>
  <c r="AG8" i="8"/>
  <c r="AG7" i="8" s="1"/>
  <c r="C13" i="7"/>
  <c r="S8" i="7"/>
  <c r="S7" i="7" s="1"/>
  <c r="BC8" i="5"/>
  <c r="BC7" i="5" s="1"/>
  <c r="AS74" i="3"/>
  <c r="H52" i="2"/>
  <c r="F52" i="2" s="1"/>
  <c r="G52" i="2" s="1"/>
  <c r="C31" i="2"/>
  <c r="H13" i="2"/>
  <c r="F13" i="2" s="1"/>
  <c r="G13" i="2" s="1"/>
  <c r="T52" i="3"/>
  <c r="AF31" i="4"/>
  <c r="H74" i="1"/>
  <c r="F74" i="1" s="1"/>
  <c r="G74" i="1" s="1"/>
  <c r="C74" i="4"/>
  <c r="L8" i="4"/>
  <c r="L7" i="4" s="1"/>
  <c r="R31" i="1"/>
  <c r="C52" i="4"/>
  <c r="C52" i="2"/>
  <c r="AG74" i="5"/>
  <c r="C52" i="5"/>
  <c r="BV8" i="5"/>
  <c r="BV7" i="5" s="1"/>
  <c r="H74" i="4"/>
  <c r="F74" i="4" s="1"/>
  <c r="G74" i="4" s="1"/>
  <c r="S8" i="4"/>
  <c r="S7" i="4" s="1"/>
  <c r="H74" i="2"/>
  <c r="F74" i="2" s="1"/>
  <c r="G74" i="2" s="1"/>
  <c r="I8" i="2"/>
  <c r="I7" i="2" s="1"/>
  <c r="S8" i="1"/>
  <c r="S7" i="1" s="1"/>
  <c r="AN8" i="8"/>
  <c r="AN7" i="8" s="1"/>
  <c r="BM8" i="8"/>
  <c r="BM7" i="8" s="1"/>
  <c r="AP8" i="8"/>
  <c r="AP7" i="8" s="1"/>
  <c r="BG8" i="8"/>
  <c r="BG7" i="8" s="1"/>
  <c r="AK8" i="7"/>
  <c r="AK7" i="7" s="1"/>
  <c r="P8" i="7"/>
  <c r="P7" i="7" s="1"/>
  <c r="AO8" i="7"/>
  <c r="AO7" i="7" s="1"/>
  <c r="AD31" i="6"/>
  <c r="C31" i="5"/>
  <c r="CX8" i="5"/>
  <c r="CX7" i="5" s="1"/>
  <c r="AG52" i="5"/>
  <c r="AA8" i="5"/>
  <c r="AA7" i="5" s="1"/>
  <c r="AZ8" i="8"/>
  <c r="AZ7" i="8" s="1"/>
  <c r="AY31" i="8"/>
  <c r="T13" i="6"/>
  <c r="AB8" i="4"/>
  <c r="AB7" i="4" s="1"/>
  <c r="R8" i="4"/>
  <c r="R7" i="4" s="1"/>
  <c r="V8" i="2"/>
  <c r="V7" i="2" s="1"/>
  <c r="M8" i="2"/>
  <c r="M7" i="2" s="1"/>
  <c r="P8" i="2"/>
  <c r="P7" i="2" s="1"/>
  <c r="C52" i="1"/>
  <c r="AB8" i="2"/>
  <c r="AB7" i="2" s="1"/>
  <c r="S8" i="2"/>
  <c r="S7" i="2" s="1"/>
  <c r="L8" i="9"/>
  <c r="L7" i="9" s="1"/>
  <c r="BN8" i="8"/>
  <c r="BN7" i="8" s="1"/>
  <c r="AE74" i="5"/>
  <c r="Y8" i="6"/>
  <c r="Y7" i="6" s="1"/>
  <c r="T74" i="3"/>
  <c r="AK8" i="1"/>
  <c r="AK7" i="1" s="1"/>
  <c r="CL8" i="5"/>
  <c r="CL7" i="5" s="1"/>
  <c r="R8" i="2"/>
  <c r="T13" i="2"/>
  <c r="N13" i="1"/>
  <c r="E8" i="1"/>
  <c r="M8" i="8"/>
  <c r="M7" i="8" s="1"/>
  <c r="C52" i="7"/>
  <c r="W31" i="7"/>
  <c r="CY8" i="5"/>
  <c r="CY7" i="5" s="1"/>
  <c r="AJ8" i="5"/>
  <c r="AJ7" i="5" s="1"/>
  <c r="Z8" i="5"/>
  <c r="Z7" i="5" s="1"/>
  <c r="CF8" i="5"/>
  <c r="CF7" i="5" s="1"/>
  <c r="AI8" i="7"/>
  <c r="AI7" i="7" s="1"/>
  <c r="H31" i="4"/>
  <c r="F31" i="4" s="1"/>
  <c r="G31" i="4" s="1"/>
  <c r="AH74" i="3"/>
  <c r="AH52" i="3"/>
  <c r="C13" i="3"/>
  <c r="H13" i="3"/>
  <c r="F13" i="3" s="1"/>
  <c r="G13" i="3" s="1"/>
  <c r="T52" i="1"/>
  <c r="H31" i="1"/>
  <c r="F31" i="1" s="1"/>
  <c r="G31" i="1" s="1"/>
  <c r="L8" i="2"/>
  <c r="L7" i="2" s="1"/>
  <c r="W13" i="2"/>
  <c r="U8" i="2"/>
  <c r="U8" i="1"/>
  <c r="U7" i="1" s="1"/>
  <c r="AL13" i="1"/>
  <c r="AJ8" i="1"/>
  <c r="C13" i="9"/>
  <c r="C31" i="7"/>
  <c r="H31" i="7"/>
  <c r="F31" i="7" s="1"/>
  <c r="G31" i="7" s="1"/>
  <c r="AL8" i="7"/>
  <c r="AL7" i="7" s="1"/>
  <c r="C52" i="6"/>
  <c r="Y8" i="5"/>
  <c r="Y7" i="5" s="1"/>
  <c r="CB8" i="5"/>
  <c r="CB7" i="5" s="1"/>
  <c r="AQ31" i="5"/>
  <c r="Q31" i="6"/>
  <c r="BM31" i="5"/>
  <c r="BZ8" i="5"/>
  <c r="BZ7" i="5" s="1"/>
  <c r="I8" i="4"/>
  <c r="I7" i="4" s="1"/>
  <c r="K8" i="3"/>
  <c r="K7" i="3" s="1"/>
  <c r="AH31" i="3"/>
  <c r="AB8" i="1"/>
  <c r="AB7" i="1" s="1"/>
  <c r="H52" i="1"/>
  <c r="F52" i="1" s="1"/>
  <c r="G52" i="1" s="1"/>
  <c r="L8" i="5"/>
  <c r="L7" i="5" s="1"/>
  <c r="R31" i="3"/>
  <c r="Q8" i="3"/>
  <c r="Q7" i="3" s="1"/>
  <c r="I8" i="1"/>
  <c r="I7" i="1" s="1"/>
  <c r="AI8" i="3"/>
  <c r="AI7" i="3" s="1"/>
  <c r="AT8" i="8"/>
  <c r="AT7" i="8" s="1"/>
  <c r="AY52" i="8"/>
  <c r="AQ8" i="8"/>
  <c r="AQ7" i="8" s="1"/>
  <c r="J8" i="7"/>
  <c r="J7" i="7" s="1"/>
  <c r="M8" i="7"/>
  <c r="M7" i="7" s="1"/>
  <c r="CT8" i="5"/>
  <c r="CT7" i="5" s="1"/>
  <c r="BT8" i="5"/>
  <c r="BT7" i="5" s="1"/>
  <c r="CM8" i="5"/>
  <c r="CM7" i="5" s="1"/>
  <c r="N8" i="5"/>
  <c r="N7" i="5" s="1"/>
  <c r="R8" i="5"/>
  <c r="R7" i="5" s="1"/>
  <c r="AD52" i="6"/>
  <c r="C13" i="4"/>
  <c r="H52" i="4"/>
  <c r="F52" i="4" s="1"/>
  <c r="G52" i="4" s="1"/>
  <c r="AS52" i="3"/>
  <c r="C74" i="2"/>
  <c r="AL52" i="3"/>
  <c r="Z8" i="2"/>
  <c r="Z7" i="2" s="1"/>
  <c r="H31" i="2"/>
  <c r="F31" i="2" s="1"/>
  <c r="G31" i="2" s="1"/>
  <c r="AL8" i="8"/>
  <c r="AL7" i="8" s="1"/>
  <c r="Z13" i="4"/>
  <c r="X8" i="4"/>
  <c r="R74" i="1"/>
  <c r="C74" i="8"/>
  <c r="K8" i="8"/>
  <c r="K7" i="8" s="1"/>
  <c r="AK8" i="8"/>
  <c r="AK7" i="8" s="1"/>
  <c r="C74" i="7"/>
  <c r="C13" i="8"/>
  <c r="V8" i="7"/>
  <c r="V7" i="7" s="1"/>
  <c r="L8" i="7"/>
  <c r="L7" i="7" s="1"/>
  <c r="C74" i="6"/>
  <c r="BP8" i="5"/>
  <c r="BP7" i="5" s="1"/>
  <c r="AW8" i="5"/>
  <c r="AW7" i="5" s="1"/>
  <c r="BN8" i="5"/>
  <c r="BN7" i="5" s="1"/>
  <c r="BO8" i="5"/>
  <c r="BO7" i="5" s="1"/>
  <c r="CK8" i="5"/>
  <c r="CK7" i="5" s="1"/>
  <c r="BW8" i="5"/>
  <c r="BW7" i="5" s="1"/>
  <c r="BD8" i="5"/>
  <c r="BD7" i="5" s="1"/>
  <c r="X8" i="3"/>
  <c r="X7" i="3" s="1"/>
  <c r="AG8" i="3"/>
  <c r="AG7" i="3" s="1"/>
  <c r="BR8" i="8"/>
  <c r="BR7" i="8" s="1"/>
  <c r="Z8" i="8"/>
  <c r="Z7" i="8" s="1"/>
  <c r="AD52" i="3"/>
  <c r="AC74" i="2"/>
  <c r="AC52" i="2"/>
  <c r="Z8" i="1"/>
  <c r="Z7" i="1" s="1"/>
  <c r="C31" i="3"/>
  <c r="BK52" i="5"/>
  <c r="C31" i="9"/>
  <c r="U8" i="9"/>
  <c r="U7" i="9" s="1"/>
  <c r="D8" i="8"/>
  <c r="D7" i="8" s="1"/>
  <c r="T52" i="8"/>
  <c r="AR8" i="8"/>
  <c r="AR7" i="8" s="1"/>
  <c r="C31" i="8"/>
  <c r="P8" i="6"/>
  <c r="P7" i="6" s="1"/>
  <c r="T52" i="6"/>
  <c r="AF8" i="5"/>
  <c r="AF7" i="5" s="1"/>
  <c r="CR8" i="5"/>
  <c r="CR7" i="5" s="1"/>
  <c r="CV8" i="5"/>
  <c r="CV7" i="5" s="1"/>
  <c r="AK8" i="3"/>
  <c r="AK7" i="3" s="1"/>
  <c r="AT8" i="3"/>
  <c r="AT7" i="3" s="1"/>
  <c r="K8" i="2"/>
  <c r="K7" i="2" s="1"/>
  <c r="Z74" i="4"/>
  <c r="AF13" i="4"/>
  <c r="D8" i="4"/>
  <c r="D7" i="4" s="1"/>
  <c r="Y8" i="2"/>
  <c r="AC13" i="2"/>
  <c r="T74" i="2"/>
  <c r="O8" i="1"/>
  <c r="S8" i="3"/>
  <c r="S7" i="3" s="1"/>
  <c r="W31" i="2"/>
  <c r="AA74" i="1"/>
  <c r="J8" i="9"/>
  <c r="J7" i="9" s="1"/>
  <c r="F75" i="8"/>
  <c r="H74" i="8"/>
  <c r="F74" i="8" s="1"/>
  <c r="G74" i="8" s="1"/>
  <c r="AE8" i="8"/>
  <c r="AE7" i="8" s="1"/>
  <c r="AS31" i="8"/>
  <c r="AM8" i="8"/>
  <c r="AM7" i="8" s="1"/>
  <c r="AO8" i="8"/>
  <c r="AA52" i="7"/>
  <c r="AC52" i="7"/>
  <c r="Q52" i="7"/>
  <c r="AE52" i="7" s="1"/>
  <c r="Y52" i="7"/>
  <c r="AA31" i="7"/>
  <c r="Y31" i="7"/>
  <c r="Q31" i="7"/>
  <c r="AE31" i="7" s="1"/>
  <c r="AC31" i="7"/>
  <c r="AA13" i="7"/>
  <c r="O8" i="7"/>
  <c r="Y13" i="7"/>
  <c r="AC13" i="7"/>
  <c r="Q13" i="7"/>
  <c r="AE13" i="7" s="1"/>
  <c r="U8" i="7"/>
  <c r="W13" i="7"/>
  <c r="H52" i="6"/>
  <c r="F52" i="6" s="1"/>
  <c r="G52" i="6" s="1"/>
  <c r="F53" i="6"/>
  <c r="G53" i="6" s="1"/>
  <c r="Q52" i="6"/>
  <c r="N13" i="6"/>
  <c r="E8" i="6"/>
  <c r="K8" i="6"/>
  <c r="K7" i="6" s="1"/>
  <c r="AF8" i="6"/>
  <c r="AF7" i="6" s="1"/>
  <c r="BH8" i="5"/>
  <c r="AN8" i="5"/>
  <c r="AQ13" i="5"/>
  <c r="D8" i="5"/>
  <c r="S74" i="5"/>
  <c r="BX8" i="5"/>
  <c r="BX7" i="5" s="1"/>
  <c r="BS8" i="5"/>
  <c r="BS7" i="5" s="1"/>
  <c r="K8" i="5"/>
  <c r="K7" i="5" s="1"/>
  <c r="X8" i="6"/>
  <c r="X7" i="6" s="1"/>
  <c r="P8" i="5"/>
  <c r="S13" i="5"/>
  <c r="C31" i="4"/>
  <c r="AL8" i="5"/>
  <c r="AL7" i="5" s="1"/>
  <c r="AB8" i="5"/>
  <c r="AE13" i="5"/>
  <c r="CS74" i="5"/>
  <c r="W52" i="3"/>
  <c r="C74" i="5"/>
  <c r="T8" i="5"/>
  <c r="T7" i="5" s="1"/>
  <c r="C74" i="3"/>
  <c r="C52" i="3"/>
  <c r="Z13" i="6"/>
  <c r="W8" i="6"/>
  <c r="AC8" i="3"/>
  <c r="AC7" i="3" s="1"/>
  <c r="AB8" i="3"/>
  <c r="AD13" i="3"/>
  <c r="AD8" i="1"/>
  <c r="AG31" i="1"/>
  <c r="AA31" i="3"/>
  <c r="AS31" i="3"/>
  <c r="O8" i="9"/>
  <c r="H52" i="8"/>
  <c r="F52" i="8" s="1"/>
  <c r="G52" i="8" s="1"/>
  <c r="C52" i="9"/>
  <c r="AY74" i="8"/>
  <c r="AF31" i="8"/>
  <c r="AD8" i="8"/>
  <c r="S8" i="8"/>
  <c r="S7" i="8" s="1"/>
  <c r="T13" i="8"/>
  <c r="BI8" i="8"/>
  <c r="BI7" i="8" s="1"/>
  <c r="W31" i="8"/>
  <c r="H13" i="7"/>
  <c r="F75" i="7"/>
  <c r="H74" i="7"/>
  <c r="F74" i="7" s="1"/>
  <c r="G74" i="7" s="1"/>
  <c r="E8" i="7"/>
  <c r="N13" i="7"/>
  <c r="Z31" i="6"/>
  <c r="I8" i="6"/>
  <c r="I7" i="6" s="1"/>
  <c r="H52" i="5"/>
  <c r="F52" i="5" s="1"/>
  <c r="G52" i="5" s="1"/>
  <c r="AI8" i="5"/>
  <c r="AI7" i="5" s="1"/>
  <c r="AQ74" i="5"/>
  <c r="BR8" i="5"/>
  <c r="BR7" i="5" s="1"/>
  <c r="BF8" i="5"/>
  <c r="BF7" i="5" s="1"/>
  <c r="J8" i="6"/>
  <c r="J7" i="6" s="1"/>
  <c r="CP8" i="5"/>
  <c r="CP7" i="5" s="1"/>
  <c r="AC8" i="5"/>
  <c r="AG13" i="5"/>
  <c r="S8" i="6"/>
  <c r="S7" i="6" s="1"/>
  <c r="CQ13" i="5"/>
  <c r="CN8" i="5"/>
  <c r="BM52" i="5"/>
  <c r="AF52" i="4"/>
  <c r="AE8" i="4"/>
  <c r="AH13" i="6"/>
  <c r="AE8" i="6"/>
  <c r="N13" i="3"/>
  <c r="E8" i="3"/>
  <c r="C13" i="2"/>
  <c r="AN8" i="3"/>
  <c r="AN7" i="3" s="1"/>
  <c r="C9" i="1"/>
  <c r="X8" i="1"/>
  <c r="AA31" i="1"/>
  <c r="H52" i="3"/>
  <c r="F52" i="3" s="1"/>
  <c r="G52" i="3" s="1"/>
  <c r="Z8" i="3"/>
  <c r="Z7" i="3" s="1"/>
  <c r="T31" i="1"/>
  <c r="P8" i="1"/>
  <c r="E8" i="2"/>
  <c r="H74" i="9"/>
  <c r="F74" i="9" s="1"/>
  <c r="F75" i="9"/>
  <c r="C74" i="9"/>
  <c r="D8" i="9"/>
  <c r="T74" i="8"/>
  <c r="C52" i="8"/>
  <c r="H52" i="9"/>
  <c r="F52" i="9" s="1"/>
  <c r="G52" i="9" s="1"/>
  <c r="BC8" i="8"/>
  <c r="BC7" i="8" s="1"/>
  <c r="N13" i="8"/>
  <c r="E8" i="8"/>
  <c r="W52" i="7"/>
  <c r="AM8" i="7"/>
  <c r="AM7" i="7" s="1"/>
  <c r="I8" i="7"/>
  <c r="I7" i="7" s="1"/>
  <c r="F32" i="5"/>
  <c r="G32" i="5" s="1"/>
  <c r="H31" i="5"/>
  <c r="F31" i="5" s="1"/>
  <c r="G31" i="5" s="1"/>
  <c r="AH8" i="5"/>
  <c r="AH7" i="5" s="1"/>
  <c r="AM8" i="5"/>
  <c r="AM7" i="5" s="1"/>
  <c r="AZ8" i="5"/>
  <c r="AZ7" i="5" s="1"/>
  <c r="F14" i="6"/>
  <c r="G14" i="6" s="1"/>
  <c r="H13" i="6"/>
  <c r="J8" i="5"/>
  <c r="J7" i="5" s="1"/>
  <c r="BL8" i="5"/>
  <c r="BL7" i="5" s="1"/>
  <c r="CJ8" i="5"/>
  <c r="CJ7" i="5" s="1"/>
  <c r="W8" i="5"/>
  <c r="W7" i="5" s="1"/>
  <c r="BJ8" i="5"/>
  <c r="BJ7" i="5" s="1"/>
  <c r="Q52" i="4"/>
  <c r="O8" i="4"/>
  <c r="W52" i="4"/>
  <c r="U8" i="4"/>
  <c r="T13" i="7"/>
  <c r="R8" i="7"/>
  <c r="BG8" i="5"/>
  <c r="BG7" i="5" s="1"/>
  <c r="AM8" i="3"/>
  <c r="AD31" i="3"/>
  <c r="AR8" i="3"/>
  <c r="AR7" i="3" s="1"/>
  <c r="V8" i="3"/>
  <c r="V7" i="3" s="1"/>
  <c r="AL13" i="3"/>
  <c r="AJ8" i="3"/>
  <c r="H31" i="9"/>
  <c r="F31" i="9" s="1"/>
  <c r="G31" i="9" s="1"/>
  <c r="F32" i="9"/>
  <c r="E8" i="9"/>
  <c r="N13" i="9"/>
  <c r="W74" i="8"/>
  <c r="X8" i="8"/>
  <c r="X7" i="8" s="1"/>
  <c r="AF13" i="8"/>
  <c r="BK8" i="8"/>
  <c r="BK7" i="8" s="1"/>
  <c r="BQ8" i="8"/>
  <c r="BQ7" i="8" s="1"/>
  <c r="H52" i="7"/>
  <c r="F52" i="7" s="1"/>
  <c r="G52" i="7" s="1"/>
  <c r="AF8" i="7"/>
  <c r="AF7" i="7" s="1"/>
  <c r="AH8" i="7"/>
  <c r="Z8" i="7"/>
  <c r="Z7" i="7" s="1"/>
  <c r="AC8" i="6"/>
  <c r="AC7" i="6" s="1"/>
  <c r="D8" i="6"/>
  <c r="S52" i="5"/>
  <c r="AD13" i="6"/>
  <c r="AA8" i="6"/>
  <c r="F75" i="6"/>
  <c r="G75" i="6" s="1"/>
  <c r="H74" i="6"/>
  <c r="F74" i="6" s="1"/>
  <c r="G74" i="6" s="1"/>
  <c r="AS52" i="5"/>
  <c r="CO8" i="5"/>
  <c r="CS13" i="5"/>
  <c r="M8" i="6"/>
  <c r="M7" i="6" s="1"/>
  <c r="I8" i="5"/>
  <c r="I7" i="5" s="1"/>
  <c r="E8" i="5"/>
  <c r="O13" i="5"/>
  <c r="CE8" i="5"/>
  <c r="CI13" i="5"/>
  <c r="AT8" i="5"/>
  <c r="AT7" i="5" s="1"/>
  <c r="AS74" i="5"/>
  <c r="CC8" i="5"/>
  <c r="CC7" i="5" s="1"/>
  <c r="E8" i="4"/>
  <c r="N13" i="4"/>
  <c r="R8" i="6"/>
  <c r="AR8" i="5"/>
  <c r="AR7" i="5" s="1"/>
  <c r="AD8" i="5"/>
  <c r="AD7" i="5" s="1"/>
  <c r="BA8" i="5"/>
  <c r="BA7" i="5" s="1"/>
  <c r="AA13" i="2"/>
  <c r="X8" i="2"/>
  <c r="F14" i="4"/>
  <c r="H13" i="4"/>
  <c r="AQ8" i="3"/>
  <c r="AE8" i="1"/>
  <c r="AI31" i="1"/>
  <c r="W13" i="3"/>
  <c r="P8" i="3"/>
  <c r="T13" i="3"/>
  <c r="D8" i="1"/>
  <c r="H74" i="3"/>
  <c r="F74" i="3" s="1"/>
  <c r="G74" i="3" s="1"/>
  <c r="H31" i="3"/>
  <c r="F31" i="3" s="1"/>
  <c r="G31" i="3" s="1"/>
  <c r="V8" i="1"/>
  <c r="R8" i="9"/>
  <c r="R7" i="9" s="1"/>
  <c r="Q14" i="9"/>
  <c r="P13" i="9"/>
  <c r="BL52" i="8"/>
  <c r="W13" i="8"/>
  <c r="U8" i="8"/>
  <c r="Y8" i="8"/>
  <c r="Y7" i="8" s="1"/>
  <c r="BL31" i="8"/>
  <c r="BJ8" i="8"/>
  <c r="AU8" i="8"/>
  <c r="AG8" i="7"/>
  <c r="AG7" i="7" s="1"/>
  <c r="V8" i="6"/>
  <c r="V7" i="6" s="1"/>
  <c r="AB8" i="6"/>
  <c r="AB7" i="6" s="1"/>
  <c r="C13" i="6"/>
  <c r="CI74" i="5"/>
  <c r="CD8" i="5"/>
  <c r="CG13" i="5"/>
  <c r="BE8" i="5"/>
  <c r="BE7" i="5" s="1"/>
  <c r="AE31" i="5"/>
  <c r="AX8" i="5"/>
  <c r="AX7" i="5" s="1"/>
  <c r="L8" i="6"/>
  <c r="L7" i="6" s="1"/>
  <c r="AU8" i="5"/>
  <c r="AU7" i="5" s="1"/>
  <c r="Y8" i="3"/>
  <c r="AA8" i="4"/>
  <c r="AC31" i="4"/>
  <c r="AF8" i="3"/>
  <c r="AH13" i="3"/>
  <c r="Y8" i="1"/>
  <c r="AC31" i="1"/>
  <c r="U8" i="3"/>
  <c r="M8" i="9"/>
  <c r="M7" i="9" s="1"/>
  <c r="F14" i="9"/>
  <c r="G14" i="9" s="1"/>
  <c r="H13" i="9"/>
  <c r="AW74" i="8"/>
  <c r="F32" i="8"/>
  <c r="G32" i="8" s="1"/>
  <c r="H31" i="8"/>
  <c r="F31" i="8" s="1"/>
  <c r="G31" i="8" s="1"/>
  <c r="AV8" i="8"/>
  <c r="AV7" i="8" s="1"/>
  <c r="V8" i="8"/>
  <c r="V7" i="8" s="1"/>
  <c r="H13" i="8"/>
  <c r="T31" i="8"/>
  <c r="R8" i="8"/>
  <c r="AA8" i="8"/>
  <c r="AA7" i="8" s="1"/>
  <c r="O8" i="8"/>
  <c r="Q13" i="8"/>
  <c r="BE8" i="8"/>
  <c r="BE7" i="8" s="1"/>
  <c r="BL13" i="8"/>
  <c r="Z52" i="6"/>
  <c r="C31" i="6"/>
  <c r="AA74" i="7"/>
  <c r="AC74" i="7"/>
  <c r="Q74" i="7"/>
  <c r="AE74" i="7" s="1"/>
  <c r="Y74" i="7"/>
  <c r="AD74" i="6"/>
  <c r="H31" i="6"/>
  <c r="F31" i="6" s="1"/>
  <c r="G31" i="6" s="1"/>
  <c r="F35" i="6"/>
  <c r="H74" i="5"/>
  <c r="F74" i="5" s="1"/>
  <c r="G74" i="5" s="1"/>
  <c r="F75" i="5"/>
  <c r="G75" i="5" s="1"/>
  <c r="F14" i="5"/>
  <c r="G14" i="5" s="1"/>
  <c r="H13" i="5"/>
  <c r="CQ52" i="5"/>
  <c r="Q13" i="6"/>
  <c r="O8" i="6"/>
  <c r="D8" i="7"/>
  <c r="U8" i="6"/>
  <c r="U7" i="6" s="1"/>
  <c r="AO8" i="5"/>
  <c r="AS13" i="5"/>
  <c r="CU8" i="5"/>
  <c r="CU7" i="5" s="1"/>
  <c r="BY8" i="5"/>
  <c r="BY7" i="5" s="1"/>
  <c r="Q8" i="5"/>
  <c r="U13" i="5"/>
  <c r="U52" i="5"/>
  <c r="AY8" i="5"/>
  <c r="AY7" i="5" s="1"/>
  <c r="BQ8" i="5"/>
  <c r="BQ7" i="5" s="1"/>
  <c r="X8" i="5"/>
  <c r="X7" i="5" s="1"/>
  <c r="CI52" i="5"/>
  <c r="BI8" i="5"/>
  <c r="D8" i="3"/>
  <c r="O8" i="3"/>
  <c r="AW31" i="8"/>
  <c r="Q8" i="2" l="1"/>
  <c r="C8" i="5"/>
  <c r="C7" i="5" s="1"/>
  <c r="H8" i="1"/>
  <c r="F8" i="1" s="1"/>
  <c r="G8" i="1" s="1"/>
  <c r="T7" i="4"/>
  <c r="C8" i="4"/>
  <c r="C7" i="4" s="1"/>
  <c r="C8" i="1"/>
  <c r="C7" i="1" s="1"/>
  <c r="C8" i="9"/>
  <c r="C7" i="9" s="1"/>
  <c r="H8" i="2"/>
  <c r="F8" i="2" s="1"/>
  <c r="G8" i="2" s="1"/>
  <c r="C8" i="8"/>
  <c r="C7" i="8" s="1"/>
  <c r="C8" i="2"/>
  <c r="C7" i="2" s="1"/>
  <c r="C8" i="3"/>
  <c r="C7" i="3" s="1"/>
  <c r="C8" i="7"/>
  <c r="C7" i="7" s="1"/>
  <c r="T8" i="4"/>
  <c r="AL8" i="1"/>
  <c r="AJ7" i="1"/>
  <c r="AL7" i="1" s="1"/>
  <c r="T8" i="2"/>
  <c r="R7" i="2"/>
  <c r="T7" i="2" s="1"/>
  <c r="R8" i="1"/>
  <c r="O7" i="1"/>
  <c r="R7" i="1" s="1"/>
  <c r="X7" i="4"/>
  <c r="Z7" i="4" s="1"/>
  <c r="Z8" i="4"/>
  <c r="W8" i="2"/>
  <c r="U7" i="2"/>
  <c r="W7" i="2" s="1"/>
  <c r="N8" i="1"/>
  <c r="E7" i="1"/>
  <c r="N7" i="1" s="1"/>
  <c r="AC8" i="2"/>
  <c r="Y7" i="2"/>
  <c r="AC7" i="2" s="1"/>
  <c r="AY8" i="8"/>
  <c r="AU7" i="8"/>
  <c r="AY7" i="8" s="1"/>
  <c r="D7" i="3"/>
  <c r="AC8" i="4"/>
  <c r="AA7" i="4"/>
  <c r="AC7" i="4" s="1"/>
  <c r="AA7" i="6"/>
  <c r="AD7" i="6" s="1"/>
  <c r="AD8" i="6"/>
  <c r="E7" i="9"/>
  <c r="N7" i="9" s="1"/>
  <c r="N8" i="9"/>
  <c r="D7" i="9"/>
  <c r="AO7" i="5"/>
  <c r="AS7" i="5" s="1"/>
  <c r="AS8" i="5"/>
  <c r="F13" i="5"/>
  <c r="G13" i="5" s="1"/>
  <c r="H8" i="5"/>
  <c r="R7" i="8"/>
  <c r="T7" i="8" s="1"/>
  <c r="T8" i="8"/>
  <c r="AA8" i="3"/>
  <c r="Y7" i="3"/>
  <c r="AA7" i="3" s="1"/>
  <c r="C8" i="6"/>
  <c r="C7" i="6" s="1"/>
  <c r="BL8" i="8"/>
  <c r="BJ7" i="8"/>
  <c r="BL7" i="8" s="1"/>
  <c r="BM8" i="5"/>
  <c r="BI7" i="5"/>
  <c r="BM7" i="5" s="1"/>
  <c r="Y7" i="1"/>
  <c r="AC7" i="1" s="1"/>
  <c r="AC8" i="1"/>
  <c r="D7" i="1"/>
  <c r="AE7" i="1"/>
  <c r="AI7" i="1" s="1"/>
  <c r="AI8" i="1"/>
  <c r="AA8" i="2"/>
  <c r="X7" i="2"/>
  <c r="AA7" i="2" s="1"/>
  <c r="CE7" i="5"/>
  <c r="CI7" i="5" s="1"/>
  <c r="CI8" i="5"/>
  <c r="CO7" i="5"/>
  <c r="CS7" i="5" s="1"/>
  <c r="CS8" i="5"/>
  <c r="AC7" i="5"/>
  <c r="AG7" i="5" s="1"/>
  <c r="AG8" i="5"/>
  <c r="N8" i="7"/>
  <c r="E7" i="7"/>
  <c r="N7" i="7" s="1"/>
  <c r="AB7" i="5"/>
  <c r="AE7" i="5" s="1"/>
  <c r="AE8" i="5"/>
  <c r="N8" i="6"/>
  <c r="E7" i="6"/>
  <c r="N7" i="6" s="1"/>
  <c r="W8" i="7"/>
  <c r="U7" i="7"/>
  <c r="W7" i="7" s="1"/>
  <c r="H8" i="3"/>
  <c r="Q7" i="5"/>
  <c r="U7" i="5" s="1"/>
  <c r="U8" i="5"/>
  <c r="D7" i="7"/>
  <c r="H8" i="8"/>
  <c r="F13" i="8"/>
  <c r="G13" i="8" s="1"/>
  <c r="F13" i="9"/>
  <c r="G13" i="9" s="1"/>
  <c r="H8" i="9"/>
  <c r="E7" i="4"/>
  <c r="N7" i="4" s="1"/>
  <c r="N8" i="4"/>
  <c r="AJ8" i="7"/>
  <c r="AH7" i="7"/>
  <c r="AJ7" i="7" s="1"/>
  <c r="W8" i="4"/>
  <c r="U7" i="4"/>
  <c r="W7" i="4" s="1"/>
  <c r="E7" i="3"/>
  <c r="N7" i="3" s="1"/>
  <c r="N8" i="3"/>
  <c r="AB7" i="3"/>
  <c r="AD7" i="3" s="1"/>
  <c r="AD8" i="3"/>
  <c r="AN7" i="5"/>
  <c r="AQ7" i="5" s="1"/>
  <c r="AQ8" i="5"/>
  <c r="AW8" i="8"/>
  <c r="O7" i="3"/>
  <c r="R7" i="3" s="1"/>
  <c r="R8" i="3"/>
  <c r="U7" i="8"/>
  <c r="W7" i="8" s="1"/>
  <c r="W8" i="8"/>
  <c r="E7" i="5"/>
  <c r="O7" i="5" s="1"/>
  <c r="O8" i="5"/>
  <c r="D7" i="6"/>
  <c r="AJ7" i="3"/>
  <c r="AL7" i="3" s="1"/>
  <c r="AL8" i="3"/>
  <c r="N8" i="8"/>
  <c r="E7" i="8"/>
  <c r="N7" i="8" s="1"/>
  <c r="CQ8" i="5"/>
  <c r="CN7" i="5"/>
  <c r="CQ7" i="5" s="1"/>
  <c r="O7" i="9"/>
  <c r="BH7" i="5"/>
  <c r="BK7" i="5" s="1"/>
  <c r="BK8" i="5"/>
  <c r="AS8" i="8"/>
  <c r="AO7" i="8"/>
  <c r="AS7" i="8" s="1"/>
  <c r="AW7" i="8"/>
  <c r="O7" i="6"/>
  <c r="Q7" i="6" s="1"/>
  <c r="Q8" i="6"/>
  <c r="AS8" i="3"/>
  <c r="AQ7" i="3"/>
  <c r="AS7" i="3" s="1"/>
  <c r="AM7" i="3"/>
  <c r="AO7" i="3" s="1"/>
  <c r="AO8" i="3"/>
  <c r="Q8" i="4"/>
  <c r="O7" i="4"/>
  <c r="Q7" i="4" s="1"/>
  <c r="N8" i="2"/>
  <c r="E7" i="2"/>
  <c r="N7" i="2" s="1"/>
  <c r="AA8" i="1"/>
  <c r="X7" i="1"/>
  <c r="AA7" i="1" s="1"/>
  <c r="AH8" i="6"/>
  <c r="AE7" i="6"/>
  <c r="AH7" i="6" s="1"/>
  <c r="AD7" i="8"/>
  <c r="AF7" i="8" s="1"/>
  <c r="AF8" i="8"/>
  <c r="Z8" i="6"/>
  <c r="W7" i="6"/>
  <c r="Z7" i="6" s="1"/>
  <c r="CD7" i="5"/>
  <c r="CG7" i="5" s="1"/>
  <c r="CG8" i="5"/>
  <c r="T8" i="3"/>
  <c r="P7" i="3"/>
  <c r="T7" i="3" s="1"/>
  <c r="F13" i="4"/>
  <c r="G13" i="4" s="1"/>
  <c r="H8" i="4"/>
  <c r="H8" i="6"/>
  <c r="F13" i="6"/>
  <c r="G13" i="6" s="1"/>
  <c r="T8" i="1"/>
  <c r="P7" i="1"/>
  <c r="T7" i="1" s="1"/>
  <c r="H8" i="7"/>
  <c r="F13" i="7"/>
  <c r="G13" i="7" s="1"/>
  <c r="AG8" i="1"/>
  <c r="AD7" i="1"/>
  <c r="AG7" i="1" s="1"/>
  <c r="P7" i="5"/>
  <c r="S7" i="5" s="1"/>
  <c r="S8" i="5"/>
  <c r="AC8" i="7"/>
  <c r="Q8" i="7"/>
  <c r="AE8" i="7" s="1"/>
  <c r="AA8" i="7"/>
  <c r="Y8" i="7"/>
  <c r="O7" i="7"/>
  <c r="AH8" i="3"/>
  <c r="AF7" i="3"/>
  <c r="AH7" i="3" s="1"/>
  <c r="O7" i="8"/>
  <c r="Q7" i="8" s="1"/>
  <c r="Q8" i="8"/>
  <c r="V7" i="1"/>
  <c r="W7" i="1" s="1"/>
  <c r="W8" i="1"/>
  <c r="U7" i="3"/>
  <c r="W7" i="3" s="1"/>
  <c r="W8" i="3"/>
  <c r="P8" i="9"/>
  <c r="P7" i="9" s="1"/>
  <c r="Q13" i="9"/>
  <c r="T8" i="6"/>
  <c r="R7" i="6"/>
  <c r="T7" i="6" s="1"/>
  <c r="R7" i="7"/>
  <c r="T7" i="7" s="1"/>
  <c r="T8" i="7"/>
  <c r="AE7" i="4"/>
  <c r="AF7" i="4" s="1"/>
  <c r="AF8" i="4"/>
  <c r="D7" i="5"/>
  <c r="H7" i="1" l="1"/>
  <c r="F7" i="1" s="1"/>
  <c r="G7" i="1" s="1"/>
  <c r="Q7" i="9"/>
  <c r="H7" i="2"/>
  <c r="F7" i="2" s="1"/>
  <c r="G7" i="2" s="1"/>
  <c r="F8" i="6"/>
  <c r="G8" i="6" s="1"/>
  <c r="H7" i="6"/>
  <c r="F7" i="6" s="1"/>
  <c r="G7" i="6" s="1"/>
  <c r="F8" i="4"/>
  <c r="G8" i="4" s="1"/>
  <c r="H7" i="4"/>
  <c r="F7" i="4" s="1"/>
  <c r="G7" i="4" s="1"/>
  <c r="F8" i="8"/>
  <c r="G8" i="8" s="1"/>
  <c r="H7" i="8"/>
  <c r="F7" i="8" s="1"/>
  <c r="G7" i="8" s="1"/>
  <c r="AE7" i="7"/>
  <c r="Y7" i="7"/>
  <c r="AC7" i="7"/>
  <c r="Q7" i="7"/>
  <c r="AA7" i="7"/>
  <c r="F8" i="9"/>
  <c r="G8" i="9" s="1"/>
  <c r="H7" i="9"/>
  <c r="F7" i="9" s="1"/>
  <c r="G7" i="9" s="1"/>
  <c r="F8" i="5"/>
  <c r="G8" i="5" s="1"/>
  <c r="H7" i="5"/>
  <c r="F7" i="5" s="1"/>
  <c r="G7" i="5" s="1"/>
  <c r="F8" i="3"/>
  <c r="G8" i="3" s="1"/>
  <c r="H7" i="3"/>
  <c r="F7" i="3" s="1"/>
  <c r="G7" i="3" s="1"/>
  <c r="Q8" i="9"/>
  <c r="H7" i="7"/>
  <c r="F7" i="7" s="1"/>
  <c r="G7" i="7" s="1"/>
  <c r="F8" i="7"/>
  <c r="G8" i="7" s="1"/>
</calcChain>
</file>

<file path=xl/sharedStrings.xml><?xml version="1.0" encoding="utf-8"?>
<sst xmlns="http://schemas.openxmlformats.org/spreadsheetml/2006/main" count="1768" uniqueCount="250">
  <si>
    <t>งบประมาณ - ผลการเบิกจ่าย และ แผนงาน - ผลการดำเนินงาน กิจกรรมที่ใช้งบประมาณกองทุน ประจำปีงบประมาณ 2566</t>
  </si>
  <si>
    <t>จังหวัด</t>
  </si>
  <si>
    <t>โครงการพัฒนาธุรกิจชุมชนในเขตปฏิรูปที่ดิน</t>
  </si>
  <si>
    <t>งบประมาณ (งบดำเนินงาน)</t>
  </si>
  <si>
    <t>อบรมเกษตรกร กลุ่มเกษตรกร วิสาหกิจชุมชน และสหกรณ์การเกษตรในเขตปฏิรูปที่ดิน</t>
  </si>
  <si>
    <t>หลักสูตรที่ 1 การมีส่วนร่วมและการเสริมสร้างความเข็มแข็งของชุมชน</t>
  </si>
  <si>
    <t>หลักสูตรที่ 2 การจัดทำแผนธุรกิจและการบริหารจัดการกลุ่ม</t>
  </si>
  <si>
    <t>หลักสูตรที่ 3 การเพิ่มมูลค่าสินค้า</t>
  </si>
  <si>
    <t>แผนงบประมาณ (บาท)</t>
  </si>
  <si>
    <t>ผลการเบิกจ่าย</t>
  </si>
  <si>
    <t>รวมงบประมาณ
(1)+(2)</t>
  </si>
  <si>
    <t>งบดำเนินงาน
(1)</t>
  </si>
  <si>
    <t>งบลงทุน
(2)</t>
  </si>
  <si>
    <t>งบดำเนินงาน+งบลงทุน</t>
  </si>
  <si>
    <t>รวมงบดำเนินงาน
(3)+(4)+(5)+(6)</t>
  </si>
  <si>
    <t>ฝึกอบรม
(3)</t>
  </si>
  <si>
    <t>วัสดุการเกษตร 
(4)</t>
  </si>
  <si>
    <t>จ้างเหมาบริการ
(5)</t>
  </si>
  <si>
    <t>ดำเนินงาน
(6)</t>
  </si>
  <si>
    <t>งบลงทุน</t>
  </si>
  <si>
    <t>แผนงาน</t>
  </si>
  <si>
    <t>ผลงาน</t>
  </si>
  <si>
    <t>บาท</t>
  </si>
  <si>
    <t>ร้อยละ</t>
  </si>
  <si>
    <t>ราย</t>
  </si>
  <si>
    <t>กลุ่ม</t>
  </si>
  <si>
    <t>1. รวม ส.ป.ก.จังหวัด</t>
  </si>
  <si>
    <t xml:space="preserve">   2.1 สำนัก/กอง/ศูนย์</t>
  </si>
  <si>
    <t xml:space="preserve">   2.2 สำรองนโยบาย</t>
  </si>
  <si>
    <t xml:space="preserve">   2.3. ค่าใช้จ่ายบุคลากรภาครัฐ</t>
  </si>
  <si>
    <t>ภาคเหนือ</t>
  </si>
  <si>
    <t>กำแพงเพชร</t>
  </si>
  <si>
    <t>เชียงราย</t>
  </si>
  <si>
    <t>เชียงใหม่</t>
  </si>
  <si>
    <t>ตาก</t>
  </si>
  <si>
    <t>นครสวรรค์</t>
  </si>
  <si>
    <t>น่าน</t>
  </si>
  <si>
    <t>พะเยา</t>
  </si>
  <si>
    <t>พิจิตร</t>
  </si>
  <si>
    <t>พิษณุโลก</t>
  </si>
  <si>
    <t>เพชรบูรณ์</t>
  </si>
  <si>
    <t>แพร่</t>
  </si>
  <si>
    <t>แม่ฮ่องสอน</t>
  </si>
  <si>
    <t>ลำปาง</t>
  </si>
  <si>
    <t>ลำพูน</t>
  </si>
  <si>
    <t>สุโขทัย</t>
  </si>
  <si>
    <t>อุตรดิตถ์</t>
  </si>
  <si>
    <t>อุทัยธานี</t>
  </si>
  <si>
    <t>ภาคตะวันออกเฉียงเหนือ</t>
  </si>
  <si>
    <t>กาฬสินธุ์</t>
  </si>
  <si>
    <t>ขอนแก่น</t>
  </si>
  <si>
    <t>ชัยภูมิ</t>
  </si>
  <si>
    <t>นครพนม</t>
  </si>
  <si>
    <t>นครราชสีมา</t>
  </si>
  <si>
    <t>บึงกาฬ</t>
  </si>
  <si>
    <t>บุรีรัมย์</t>
  </si>
  <si>
    <t>มหาสารคาม</t>
  </si>
  <si>
    <t>มุกดาหาร</t>
  </si>
  <si>
    <t>ยโสธร</t>
  </si>
  <si>
    <t>ร้อยเอ็ด</t>
  </si>
  <si>
    <t>เลย</t>
  </si>
  <si>
    <t>ศรีสะเกษ</t>
  </si>
  <si>
    <t>สกลนคร</t>
  </si>
  <si>
    <t>สุรินทร์</t>
  </si>
  <si>
    <t>หนองคาย</t>
  </si>
  <si>
    <t>หนองบัวลำภู</t>
  </si>
  <si>
    <t>อำนาจเจริญ</t>
  </si>
  <si>
    <t>อุดรธานี</t>
  </si>
  <si>
    <t>อุบลราชธานี</t>
  </si>
  <si>
    <t>ภาคกลาง</t>
  </si>
  <si>
    <t>กาญจนบุรี</t>
  </si>
  <si>
    <t>จันทบุรี</t>
  </si>
  <si>
    <t>ฉะเชิงเทรา</t>
  </si>
  <si>
    <t>ชลบุรี</t>
  </si>
  <si>
    <t>ชัยนาท</t>
  </si>
  <si>
    <t>ตราด</t>
  </si>
  <si>
    <t>นครนายก</t>
  </si>
  <si>
    <t>นครปฐม</t>
  </si>
  <si>
    <t>ปทุมธานี</t>
  </si>
  <si>
    <t>ประจวบคีรีขันธ์</t>
  </si>
  <si>
    <t>ปราจีนบุรี</t>
  </si>
  <si>
    <t>พระนครศรีอยุธยา</t>
  </si>
  <si>
    <t>เพชรบุรี</t>
  </si>
  <si>
    <t>ระยอง</t>
  </si>
  <si>
    <t>ราชบุรี</t>
  </si>
  <si>
    <t>ลพบุรี</t>
  </si>
  <si>
    <t>สระแก้ว</t>
  </si>
  <si>
    <t>สระบุรี</t>
  </si>
  <si>
    <t>สิงห์บุรี</t>
  </si>
  <si>
    <t>สุพรรณบุรี</t>
  </si>
  <si>
    <t>อ่างทอง</t>
  </si>
  <si>
    <t>ภาคใต้</t>
  </si>
  <si>
    <t>กระบี่</t>
  </si>
  <si>
    <t>ชุมพร</t>
  </si>
  <si>
    <t>ตรัง</t>
  </si>
  <si>
    <t>นครศรีธรรมราช</t>
  </si>
  <si>
    <t>นราธิวาส</t>
  </si>
  <si>
    <t>ปัตตานี</t>
  </si>
  <si>
    <t>พังงา</t>
  </si>
  <si>
    <t>พัทลุง</t>
  </si>
  <si>
    <t>ภูเก็ต</t>
  </si>
  <si>
    <t>ยะลา</t>
  </si>
  <si>
    <t>ระนอง</t>
  </si>
  <si>
    <t>สงขลา</t>
  </si>
  <si>
    <t>สตูล</t>
  </si>
  <si>
    <t>สุราษฎร์ธานี</t>
  </si>
  <si>
    <t>2.1 สำนัก/กอง/ศูนย์</t>
  </si>
  <si>
    <t>กลุ่มพัฒนาระบบบริหาร</t>
  </si>
  <si>
    <t>กลุ่มตรวจสอบภายใน</t>
  </si>
  <si>
    <t>สำนักบริหารกลาง</t>
  </si>
  <si>
    <t>สำนักวิชาการและแผนงาน</t>
  </si>
  <si>
    <t>กองการเจ้าหน้าที่</t>
  </si>
  <si>
    <t>สำนักจัดการปฏิรูปที่ดิน</t>
  </si>
  <si>
    <t>สำนักพัฒนาและถ่ายทอดเทคโนโลยี</t>
  </si>
  <si>
    <t>สำนักพัฒนาพื้นที่ปฏิรูปที่ดิน</t>
  </si>
  <si>
    <t>ศูนย์เทคโนโลยีสารสนเทศและการสื่อสาร</t>
  </si>
  <si>
    <t>สำนักจัดการแผนที่และสารบบที่ดิน</t>
  </si>
  <si>
    <t>สำนักบริหารกองทุน</t>
  </si>
  <si>
    <t>สำนักกฎหมาย</t>
  </si>
  <si>
    <t>กองประสานงานโครงการพระราชดำริและโครงการพิเศษ</t>
  </si>
  <si>
    <t>ศูนย์พัฒนาและส่งเสริมศิลปาชีพ</t>
  </si>
  <si>
    <t>2.2 สำรองนโยบาย</t>
  </si>
  <si>
    <t>สำรองตามนโยบาย</t>
  </si>
  <si>
    <t>สำรองการจัดการภารกิจเพื่อพัฒนาองค์กร</t>
  </si>
  <si>
    <t>สำรองกระทรวง</t>
  </si>
  <si>
    <t>ประชุมสัมมนา (ไตรมาส)</t>
  </si>
  <si>
    <t>วันสถาปนา ส.ป.ก.</t>
  </si>
  <si>
    <t>ผู้บริหาร</t>
  </si>
  <si>
    <t>ผู้ตรวจราชการกรม</t>
  </si>
  <si>
    <t>อบรม นบต. นบก. นบส. พระปกเกล้า และอื่นๆ</t>
  </si>
  <si>
    <t>งบรายจ่ายอื่น</t>
  </si>
  <si>
    <t>เงินสำรองการบริหารอยู่ที่ส่วนกลาง (สวผ.)</t>
  </si>
  <si>
    <t>ค่าใช้จ่ายบุคลากรภาครัฐ (เช่าบ้าน+ประกันสังคม)</t>
  </si>
  <si>
    <t>เบิกแทนกัน</t>
  </si>
  <si>
    <t>โครงการส่งเสริมเกษตรอินทรีย์ในเขตปฏิรูปที่ดิน</t>
  </si>
  <si>
    <t>อบรม หลักสูตรสำหรับพัฒนากลไกผู้นำเกษตรกรและเจ้าหน้าที่ด้านส่งเสริมเกษตรอินทรีย์ (โดย สพท.)</t>
  </si>
  <si>
    <t>อบรม หลักสูตรสำหรับส่งเสริมเกษตรอินทรีย์โดยใช้กระบวนการโรงเรียนเกษตรกร (โดย ส.ป.ก.จังหวัด)</t>
  </si>
  <si>
    <t>พื้นที่ในเขตปฏิรูปที่ดินได้รับการส่งเสริมเกษตรอินทรีย์</t>
  </si>
  <si>
    <t>สนับสนุนปัจจัยการผลิต</t>
  </si>
  <si>
    <t>ไร่</t>
  </si>
  <si>
    <t>โครงการส่งเสริมระบบวนเกษตรในเขตปฏิรูปที่ดิน</t>
  </si>
  <si>
    <t>รวมผลงาน</t>
  </si>
  <si>
    <t>อบรมเกษตรกร ขั้นที่ 1</t>
  </si>
  <si>
    <t>อบรมเกษตรกร ขั้นที่ 2</t>
  </si>
  <si>
    <t>อบรมเกษตรกร ขั้นที่ 3</t>
  </si>
  <si>
    <t>สนับสนุนปัจจัยการผลิต ขั้นที่ 1</t>
  </si>
  <si>
    <t>สนับสนุนปัจจัยการผลิต ขั้นที่ 2</t>
  </si>
  <si>
    <t>พื้นที่ที่ได้รับการส่งเสริม
เป็นวนเกษตร</t>
  </si>
  <si>
    <r>
      <rPr>
        <b/>
        <sz val="14"/>
        <color theme="1"/>
        <rFont val="Arial"/>
      </rPr>
      <t>เกษตรกรที่เข้าร่วมโครงการขั้นที่ 1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</si>
  <si>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1</t>
    </r>
  </si>
  <si>
    <r>
      <rPr>
        <b/>
        <sz val="14"/>
        <color theme="1"/>
        <rFont val="Arial"/>
      </rPr>
      <t>เกษตรกรที่เข้าร่วมโครงการขั้นที่ 2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</si>
  <si>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2</t>
    </r>
  </si>
  <si>
    <r>
      <rPr>
        <b/>
        <sz val="14"/>
        <color theme="1"/>
        <rFont val="Arial"/>
      </rPr>
      <t>เกษตรกรที่เข้าร่วมโครงการขั้นที่ 3</t>
    </r>
    <r>
      <rPr>
        <b/>
        <sz val="14"/>
        <color rgb="FFFF0000"/>
        <rFont val="Arial"/>
      </rPr>
      <t xml:space="preserve"> ทั้งหมด</t>
    </r>
  </si>
  <si>
    <r>
      <rPr>
        <b/>
        <sz val="15"/>
        <color theme="1"/>
        <rFont val="Arial"/>
      </rPr>
      <t>เกษตรก</t>
    </r>
    <r>
      <rPr>
        <b/>
        <sz val="15"/>
        <color rgb="FFFF0000"/>
        <rFont val="Arial"/>
      </rPr>
      <t>รเฉพา</t>
    </r>
    <r>
      <rPr>
        <b/>
        <sz val="15"/>
        <color theme="1"/>
        <rFont val="Arial"/>
      </rPr>
      <t>ะที่ได้รับการอบรม 
ขั้นที่ 3</t>
    </r>
  </si>
  <si>
    <r>
      <rPr>
        <b/>
        <sz val="15"/>
        <color theme="1"/>
        <rFont val="Arial"/>
      </rPr>
      <t xml:space="preserve">เกษตรกรขั้นที่ 1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</si>
  <si>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1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</si>
  <si>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r>
      <rPr>
        <b/>
        <sz val="15"/>
        <color theme="1"/>
        <rFont val="Arial"/>
      </rPr>
      <t xml:space="preserve">เกษตรกรขั้นที่ 2 </t>
    </r>
    <r>
      <rPr>
        <b/>
        <sz val="15"/>
        <color rgb="FFFF0000"/>
        <rFont val="Arial"/>
      </rPr>
      <t>(เฉพา</t>
    </r>
    <r>
      <rPr>
        <b/>
        <sz val="15"/>
        <color theme="1"/>
        <rFont val="Arial"/>
      </rPr>
      <t>ะ)
ที่ได้รับการอบรม</t>
    </r>
  </si>
  <si>
    <r>
      <rPr>
        <b/>
        <sz val="14"/>
        <color theme="1"/>
        <rFont val="Arial"/>
      </rPr>
      <t>เกษตรกรขั้นที่ 2
(เกษตรกรที่เข้าร่วมโครงกา</t>
    </r>
    <r>
      <rPr>
        <b/>
        <sz val="14"/>
        <color rgb="FFFF0000"/>
        <rFont val="Arial"/>
      </rPr>
      <t>รทั้งหม</t>
    </r>
    <r>
      <rPr>
        <b/>
        <sz val="14"/>
        <color theme="1"/>
        <rFont val="Arial"/>
      </rPr>
      <t>ด)</t>
    </r>
  </si>
  <si>
    <t>โครงการส่งเสริมและพัฒนาอาชีพเพื่อแก้ไขปัญหาที่ดินทำกินของเกษตรกร  กิจกรรมยกระดับรายได้เกษตรกรในเขตปฏิรูปที่ดินเพื่อลดความเหลื่อมล้ำ</t>
  </si>
  <si>
    <t>จัดฝึกอบรมเกษตรกรตามหลักสูตร</t>
  </si>
  <si>
    <t>รวม</t>
  </si>
  <si>
    <t>หลักสูตร 1 จัดทำ พัฒนา สรุปและถอดบทเรียนแผนชุมชน</t>
  </si>
  <si>
    <t>หลักสูตร 2 การพัฒนาอาชีพ ส่งเสริมและสนับสนุนองค์ความรู้ฯ</t>
  </si>
  <si>
    <t>หลักสูตร 3 การพัฒนาสถาบันเกษตรกรในพื้นที่ คทช.</t>
  </si>
  <si>
    <t>หลักสูตร 4 การพัฒนาหรือศึกษาดูงานการเพิ่มประสิทธิภาพการผลิต</t>
  </si>
  <si>
    <t>โครงการตรวจสอบที่ดินในเขตปฏิรูปที่ดิน</t>
  </si>
  <si>
    <t>ตรวจสอบการถือครอง (กรณีแผนงานปกติ)</t>
  </si>
  <si>
    <t>ตรวจสอบการถือครอง (กรณีแผนงานผิดปกติ)</t>
  </si>
  <si>
    <t>ตรวจสอบการใช้ที่ดินผิดวัตถุประสงค์ โดยแผนที่ภาพถ่ายทางอากาศ/ดาวเทียม</t>
  </si>
  <si>
    <t>1. ผลการลงพื้นที่หาข้อมูลเบื้องต้นจากผู้ที่น่าเชื่อถือได้</t>
  </si>
  <si>
    <t>1.1 ใช้ประโยชน์ด้วยตนเอง</t>
  </si>
  <si>
    <t>1.2 ไม่ใช้ประโยชน์ในที่ดิน (รวมไม่ทราบข้อมูล)</t>
  </si>
  <si>
    <t>1.3 เสียชีวิต</t>
  </si>
  <si>
    <t>2. ผลการพิจารณาของคณะอนุกรรมการ</t>
  </si>
  <si>
    <t>2.1 ใช้ประโยชน์ด้วยตนเอง</t>
  </si>
  <si>
    <t>2.2 ไม่ใช้ประโยชน์ในที่ดิน (รวมไม่ทราบข้อมูล)</t>
  </si>
  <si>
    <t>2.3 เสียชีวิต</t>
  </si>
  <si>
    <t>3. สรุปผลการตรวจสอบการถือครอง</t>
  </si>
  <si>
    <t>3.1 ใช้ประโยชน์ด้วยตนเอง</t>
  </si>
  <si>
    <t>3.2 ไม่ใช้ประโยชน์ในที่ดิน (รวมไม่ทราบข้อมูล)</t>
  </si>
  <si>
    <t>3.3 เสียชีวิต</t>
  </si>
  <si>
    <t>- เสียชีวิต ทายาททำประโยชน์</t>
  </si>
  <si>
    <t>- เสียชีวิต บุคคลอื่นทำประโยชน์</t>
  </si>
  <si>
    <t>3.4 ไม่มาให้ข้อเท็จจริง</t>
  </si>
  <si>
    <t>3.5 บอกเลิกสัญญาเช่า/เช่าซื้อ</t>
  </si>
  <si>
    <t>สรุป</t>
  </si>
  <si>
    <t>1. เกษตรกรมีชีวิตอยู่</t>
  </si>
  <si>
    <t>1.1 ปฏิบัติตามระเบียบ (ผลจากการลงพื้นที่/ยุติเรื่อง)</t>
  </si>
  <si>
    <t>1.2 ไม่ปฏิบัติตามระเบียบ (หลังจากทำหนังสือแจ้งเตือน/แจ้งสิทธิ)</t>
  </si>
  <si>
    <t>1.3 คปจ.สั่งให้สิ้นสิทธิ</t>
  </si>
  <si>
    <t>2. เกษตรกรเสียชีวิต</t>
  </si>
  <si>
    <t>2.1 เสียชีวิต ทายาททำประโยชน์</t>
  </si>
  <si>
    <t>2.2  เสียชีวิต บุคคลอื่นทำประโยชน์</t>
  </si>
  <si>
    <t>3. กรณีอื่นๆ ( เช่น พื้นที่นอกเขตฯ ฐานข้อมูลคลาดเคลื่อน)</t>
  </si>
  <si>
    <t xml:space="preserve"> สผส. ตรวจสอบ ติดตาม
การใช้ประโยชน์ที่ดินรายแปลงด้วยภาพถ่ายทางอากาศและ/หรือภาพดาวเทียมรายละเอียดสูง</t>
  </si>
  <si>
    <t>ใช้ที่ดินตามวัตถุประสงค์</t>
  </si>
  <si>
    <t>ใช้ที่ผิดวัตถุประสงค์</t>
  </si>
  <si>
    <t xml:space="preserve"> ส.ป.ก.จังหวัด ตรวจสอบ ติดตามการใช้ประโยชน์ที่ดินรายแปลง  แปลงที่ใช้ที่ดินผิดวัตถุประสงค์ จากการตรวจพบของ สผส.</t>
  </si>
  <si>
    <t>อื่น ๆ</t>
  </si>
  <si>
    <t>รวมงบดำเนินงาน
(3)+(4)+(5)+(6)+(7)</t>
  </si>
  <si>
    <t>ค่าธรรมเนียมศาล
(7)</t>
  </si>
  <si>
    <t>แปลง</t>
  </si>
  <si>
    <t>โครงการจัดที่ดินชุมชนในเขตปฏิรูปที่ดิน</t>
  </si>
  <si>
    <t>จัดทำประชาคม</t>
  </si>
  <si>
    <t>จัดทำวงรอบ</t>
  </si>
  <si>
    <t>จัดที่ดินชุมชน</t>
  </si>
  <si>
    <t>สำรวจรังวัด</t>
  </si>
  <si>
    <t>สอบสวนสิทธิ</t>
  </si>
  <si>
    <t>คปจ.</t>
  </si>
  <si>
    <t>จัดทำสัญญาเข้าทำประโยชน์ (ส.ป.ก. 4-118)</t>
  </si>
  <si>
    <t>ชุมชน</t>
  </si>
  <si>
    <t>โครงการบริหารจัดการที่ดินเอกชน กิจกรรมการจัดหาที่ดินเอกชน</t>
  </si>
  <si>
    <t>1. การจัดหาที่ดินเพื่อการจัดซื้อที่ดินเอกชน ปี 2566</t>
  </si>
  <si>
    <t>จัดทำป้ายประชาสัมพันธ์เพื่อประกาศพื้นที่</t>
  </si>
  <si>
    <t>ปิดป้ายประชาสัมพันธ์เพื่อประกาศพื้นที่</t>
  </si>
  <si>
    <t>รับคำเสนอขาย/ตรวจสอบความถูกต้องหนังสือแสดงสิทธิในที่ดิน</t>
  </si>
  <si>
    <t>ตรวจสอบสภาพพื้นที่ แปลงที่ดิน การทำประโยชน์/ต่อรองราคา</t>
  </si>
  <si>
    <t>คณะอนุกรรมการจัดซื้อที่ดินพิจารณาความเหมาะสมของที่ดิน</t>
  </si>
  <si>
    <t>นำเสนอ คปจ./อกก.คง.</t>
  </si>
  <si>
    <t>อำนาจ คปจ. เห็นชอบและอนุมัติ กรณีราคาไม่เกิน 1.5 เท่า</t>
  </si>
  <si>
    <t>อำนาจ อกก.คง. เห็นชอบและอนุมัติ กรณีราคาเกิน 1.5 เท่า</t>
  </si>
  <si>
    <t>2. จัดซื้อที่ดินงานต่อเนื่อง</t>
  </si>
  <si>
    <t>นำเสนอ คปจ.</t>
  </si>
  <si>
    <t>ประกาศเขตปฏิรูปที่ดิน</t>
  </si>
  <si>
    <t>จดทะเบียนสิทธิและนิติกรรม และชำระมูลค่าที่ดิน</t>
  </si>
  <si>
    <t>แห่ง</t>
  </si>
  <si>
    <t>โครงการบริหารจัดการที่ดินเอกชน กิจกรรมการจัดที่ดินเอกชน 7 กิจกรรม</t>
  </si>
  <si>
    <t>1. สำรวจรังวัดปูผังแบ่งแปลงที่ดิน 
(แปลงว่าง) *</t>
  </si>
  <si>
    <t>2. จัดทำสัญญาเช่า/เช่าซื้อ
(แปลงว่าง) *</t>
  </si>
  <si>
    <t>3. ปรับปรุงสิทธิ</t>
  </si>
  <si>
    <t>4. การสำรวจรังวัดแบ่งแยกในนามเดิมยื่นคำขอออกโฉนดที่ดินกับ สนง.ที่ดิน</t>
  </si>
  <si>
    <t>5. จดทะเบียนสิทธิและนิติกรรม (ตามสัญญาเช่าซื้อ) *</t>
  </si>
  <si>
    <t>6. โอนสิทธิและมรดกสิทธิการเช่า/เช่าซื้อ เต็มแปลง/แบ่งแปลง *</t>
  </si>
  <si>
    <t>7. การเจรจาไกล่เกลี่ยข้อพิพาท</t>
  </si>
  <si>
    <t>การเช่าไปสู่การเช่าซื้อ</t>
  </si>
  <si>
    <t>การเช่าซื้อไปสู่การเช่า</t>
  </si>
  <si>
    <t>แปลงต้นขั้ว</t>
  </si>
  <si>
    <t>แปลงยื่นสำรวจรังวัดแบ่งแยก
(อยู่ระหว่างดำเนินการ)</t>
  </si>
  <si>
    <t>แปลงยื่นสำรวจรังวัดแบ่งแยก
(ดำเนินการเรียบร้อยแล้ว)</t>
  </si>
  <si>
    <t>เต็มแปลง</t>
  </si>
  <si>
    <t>แบ่งแปลง</t>
  </si>
  <si>
    <t>อยู่ระหว่างแก้ไขปัญหา</t>
  </si>
  <si>
    <t>ยุติเรื่อง</t>
  </si>
  <si>
    <t>ร้อยละ (ไร่)</t>
  </si>
  <si>
    <t>โครงการสำรวจรังวัดปรับปรุงแผนที่แปลงที่ดินมาตรฐาน RTK GNSS Network</t>
  </si>
  <si>
    <t>ผลการดำเนินงาน</t>
  </si>
  <si>
    <t>ดำเนินการโดย ส.ป.ก. จังหวัด (ข้อมูลจาก สผส.)</t>
  </si>
  <si>
    <t>ดำเนินการโดย สผส.</t>
  </si>
  <si>
    <t>รวมทั้งสิ้น</t>
  </si>
  <si>
    <t>2. รวมส่วนกลาง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</si>
</sst>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_-;\-* #,##0_-;_-* &quot;-&quot;_-;_-@"/>
    <numFmt numFmtId="188" formatCode="_-* #,##0_-;\-* #,##0_-;_-* &quot;-&quot;??_-;_-@"/>
    <numFmt numFmtId="189" formatCode="_-* #,##0.00_-;\-* #,##0.00_-;_-* &quot;-&quot;??_-;_-@"/>
    <numFmt numFmtId="190" formatCode="_-* #,##0.00_-;\-* #,##0.00_-;_-* &quot;-&quot;_-;_-@"/>
  </numFmts>
  <fonts count="18" x14ac:knownFonts="1">
    <font>
      <sz val="10"/>
      <color rgb="FF000000"/>
      <name val="Arial"/>
      <scheme val="minor"/>
    </font>
    <font>
      <b/>
      <sz val="15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13"/>
      <color rgb="FF000000"/>
      <name val="Arial"/>
      <scheme val="minor"/>
    </font>
    <font>
      <b/>
      <sz val="14"/>
      <color rgb="FF000000"/>
      <name val="Arial"/>
      <scheme val="minor"/>
    </font>
    <font>
      <sz val="15"/>
      <color rgb="FF000000"/>
      <name val="Arial"/>
      <scheme val="minor"/>
    </font>
    <font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sz val="13"/>
      <color theme="1"/>
      <name val="Arial"/>
    </font>
    <font>
      <b/>
      <sz val="15"/>
      <color rgb="FFFFFFFF"/>
      <name val="Arial"/>
    </font>
    <font>
      <sz val="15"/>
      <color theme="1"/>
      <name val="Arial"/>
    </font>
    <font>
      <b/>
      <sz val="14"/>
      <color rgb="FFFFFFFF"/>
      <name val="Arial"/>
    </font>
    <font>
      <b/>
      <sz val="14"/>
      <color rgb="FFFF0000"/>
      <name val="Arial"/>
    </font>
    <font>
      <b/>
      <sz val="15"/>
      <color rgb="FFFF0000"/>
      <name val="Arial"/>
    </font>
    <font>
      <sz val="15"/>
      <color theme="1"/>
      <name val="Arial"/>
      <family val="2"/>
    </font>
    <font>
      <b/>
      <sz val="15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FCBCEB"/>
        <bgColor rgb="FFFCBCEB"/>
      </patternFill>
    </fill>
    <fill>
      <patternFill patternType="solid">
        <fgColor rgb="FFF7CAAC"/>
        <bgColor rgb="FFF7CAAC"/>
      </patternFill>
    </fill>
    <fill>
      <patternFill patternType="solid">
        <fgColor rgb="FFFFC9DB"/>
        <bgColor rgb="FFFFC9DB"/>
      </patternFill>
    </fill>
    <fill>
      <patternFill patternType="solid">
        <fgColor rgb="FFA8D08D"/>
        <bgColor rgb="FFA8D08D"/>
      </patternFill>
    </fill>
    <fill>
      <patternFill patternType="solid">
        <fgColor rgb="FFB4A7D6"/>
        <bgColor rgb="FFB4A7D6"/>
      </patternFill>
    </fill>
    <fill>
      <patternFill patternType="solid">
        <fgColor rgb="FFA4C2F4"/>
        <bgColor rgb="FFA4C2F4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  <fill>
      <patternFill patternType="solid">
        <fgColor rgb="FF9FC5E8"/>
        <bgColor rgb="FF9FC5E8"/>
      </patternFill>
    </fill>
    <fill>
      <patternFill patternType="solid">
        <fgColor rgb="FFC5E0B3"/>
        <bgColor rgb="FFC5E0B3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FFD966"/>
        <bgColor rgb="FFFFD966"/>
      </patternFill>
    </fill>
    <fill>
      <patternFill patternType="solid">
        <fgColor rgb="FFF6B26B"/>
        <bgColor rgb="FFF6B26B"/>
      </patternFill>
    </fill>
    <fill>
      <patternFill patternType="solid">
        <fgColor rgb="FFF9CB9C"/>
        <bgColor rgb="FFF9CB9C"/>
      </patternFill>
    </fill>
    <fill>
      <patternFill patternType="solid">
        <fgColor rgb="FF3D85C6"/>
        <bgColor rgb="FF3D85C6"/>
      </patternFill>
    </fill>
    <fill>
      <patternFill patternType="solid">
        <fgColor rgb="FFA61C00"/>
        <bgColor rgb="FFA61C00"/>
      </patternFill>
    </fill>
    <fill>
      <patternFill patternType="solid">
        <fgColor rgb="FF741B47"/>
        <bgColor rgb="FF741B47"/>
      </patternFill>
    </fill>
    <fill>
      <patternFill patternType="solid">
        <fgColor rgb="FFFFE599"/>
        <bgColor rgb="FFFFE599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F4CCCC"/>
        <bgColor rgb="FFF4CCCC"/>
      </patternFill>
    </fill>
    <fill>
      <patternFill patternType="solid">
        <fgColor rgb="FFCC4125"/>
        <bgColor rgb="FFCC4125"/>
      </patternFill>
    </fill>
    <fill>
      <patternFill patternType="solid">
        <fgColor rgb="FFDD7E6B"/>
        <bgColor rgb="FFDD7E6B"/>
      </patternFill>
    </fill>
    <fill>
      <patternFill patternType="solid">
        <fgColor rgb="FFE6B8AF"/>
        <bgColor rgb="FFE6B8AF"/>
      </patternFill>
    </fill>
    <fill>
      <patternFill patternType="solid">
        <fgColor rgb="FFA64D79"/>
        <bgColor rgb="FFA64D79"/>
      </patternFill>
    </fill>
    <fill>
      <patternFill patternType="solid">
        <fgColor rgb="FFC27BA0"/>
        <bgColor rgb="FFC27BA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1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187" fontId="1" fillId="0" borderId="0" xfId="0" applyNumberFormat="1" applyFont="1"/>
    <xf numFmtId="188" fontId="1" fillId="0" borderId="0" xfId="0" applyNumberFormat="1" applyFont="1" applyAlignment="1">
      <alignment horizontal="right" vertical="center"/>
    </xf>
    <xf numFmtId="189" fontId="1" fillId="0" borderId="0" xfId="0" applyNumberFormat="1" applyFont="1" applyAlignment="1">
      <alignment horizontal="right" vertical="center"/>
    </xf>
    <xf numFmtId="0" fontId="2" fillId="0" borderId="0" xfId="0" applyFont="1"/>
    <xf numFmtId="188" fontId="1" fillId="3" borderId="3" xfId="0" applyNumberFormat="1" applyFont="1" applyFill="1" applyBorder="1" applyAlignment="1">
      <alignment horizontal="center" vertical="top" shrinkToFit="1"/>
    </xf>
    <xf numFmtId="188" fontId="1" fillId="3" borderId="0" xfId="0" applyNumberFormat="1" applyFont="1" applyFill="1" applyAlignment="1">
      <alignment horizontal="center" vertical="top" shrinkToFit="1"/>
    </xf>
    <xf numFmtId="188" fontId="1" fillId="4" borderId="7" xfId="0" applyNumberFormat="1" applyFont="1" applyFill="1" applyBorder="1" applyAlignment="1">
      <alignment horizontal="center" vertical="top" shrinkToFit="1"/>
    </xf>
    <xf numFmtId="187" fontId="1" fillId="13" borderId="19" xfId="0" applyNumberFormat="1" applyFont="1" applyFill="1" applyBorder="1" applyAlignment="1">
      <alignment horizontal="center" vertical="center" wrapText="1"/>
    </xf>
    <xf numFmtId="187" fontId="1" fillId="10" borderId="20" xfId="0" applyNumberFormat="1" applyFont="1" applyFill="1" applyBorder="1" applyAlignment="1">
      <alignment horizontal="center" vertical="center" shrinkToFit="1"/>
    </xf>
    <xf numFmtId="189" fontId="1" fillId="10" borderId="20" xfId="0" applyNumberFormat="1" applyFont="1" applyFill="1" applyBorder="1" applyAlignment="1">
      <alignment horizontal="center" vertical="center" shrinkToFit="1"/>
    </xf>
    <xf numFmtId="187" fontId="1" fillId="11" borderId="20" xfId="0" applyNumberFormat="1" applyFont="1" applyFill="1" applyBorder="1" applyAlignment="1">
      <alignment horizontal="center" vertical="center" shrinkToFit="1"/>
    </xf>
    <xf numFmtId="187" fontId="1" fillId="12" borderId="21" xfId="0" applyNumberFormat="1" applyFont="1" applyFill="1" applyBorder="1" applyAlignment="1">
      <alignment horizontal="center" vertical="center" shrinkToFit="1"/>
    </xf>
    <xf numFmtId="188" fontId="1" fillId="12" borderId="21" xfId="0" applyNumberFormat="1" applyFont="1" applyFill="1" applyBorder="1" applyAlignment="1">
      <alignment horizontal="center" vertical="center" shrinkToFit="1"/>
    </xf>
    <xf numFmtId="189" fontId="1" fillId="12" borderId="20" xfId="0" applyNumberFormat="1" applyFont="1" applyFill="1" applyBorder="1" applyAlignment="1">
      <alignment horizontal="center" vertical="center" shrinkToFit="1"/>
    </xf>
    <xf numFmtId="187" fontId="1" fillId="13" borderId="22" xfId="0" applyNumberFormat="1" applyFont="1" applyFill="1" applyBorder="1" applyAlignment="1">
      <alignment horizontal="center" vertical="center" wrapText="1"/>
    </xf>
    <xf numFmtId="187" fontId="1" fillId="13" borderId="21" xfId="0" applyNumberFormat="1" applyFont="1" applyFill="1" applyBorder="1" applyAlignment="1">
      <alignment horizontal="center" vertical="center" wrapText="1"/>
    </xf>
    <xf numFmtId="187" fontId="1" fillId="2" borderId="20" xfId="0" applyNumberFormat="1" applyFont="1" applyFill="1" applyBorder="1" applyAlignment="1">
      <alignment horizontal="center" vertical="center" wrapText="1"/>
    </xf>
    <xf numFmtId="189" fontId="5" fillId="2" borderId="20" xfId="0" applyNumberFormat="1" applyFont="1" applyFill="1" applyBorder="1" applyAlignment="1">
      <alignment horizontal="center" vertical="center" wrapText="1"/>
    </xf>
    <xf numFmtId="187" fontId="1" fillId="2" borderId="20" xfId="0" applyNumberFormat="1" applyFont="1" applyFill="1" applyBorder="1" applyAlignment="1">
      <alignment horizontal="center" vertical="center" wrapText="1"/>
    </xf>
    <xf numFmtId="187" fontId="1" fillId="13" borderId="22" xfId="0" applyNumberFormat="1" applyFont="1" applyFill="1" applyBorder="1" applyAlignment="1">
      <alignment horizontal="center" vertical="center" wrapText="1"/>
    </xf>
    <xf numFmtId="187" fontId="1" fillId="8" borderId="24" xfId="0" applyNumberFormat="1" applyFont="1" applyFill="1" applyBorder="1" applyAlignment="1">
      <alignment horizontal="center" vertical="center" shrinkToFit="1"/>
    </xf>
    <xf numFmtId="187" fontId="1" fillId="6" borderId="24" xfId="0" applyNumberFormat="1" applyFont="1" applyFill="1" applyBorder="1" applyAlignment="1">
      <alignment horizontal="center" vertical="center" shrinkToFit="1"/>
    </xf>
    <xf numFmtId="187" fontId="1" fillId="14" borderId="21" xfId="0" applyNumberFormat="1" applyFont="1" applyFill="1" applyBorder="1" applyAlignment="1">
      <alignment horizontal="center" vertical="center" shrinkToFit="1"/>
    </xf>
    <xf numFmtId="187" fontId="1" fillId="15" borderId="25" xfId="0" applyNumberFormat="1" applyFont="1" applyFill="1" applyBorder="1" applyAlignment="1">
      <alignment horizontal="center" vertical="center" shrinkToFit="1"/>
    </xf>
    <xf numFmtId="190" fontId="1" fillId="15" borderId="25" xfId="0" applyNumberFormat="1" applyFont="1" applyFill="1" applyBorder="1" applyAlignment="1">
      <alignment horizontal="center" vertical="center" shrinkToFit="1"/>
    </xf>
    <xf numFmtId="188" fontId="1" fillId="15" borderId="25" xfId="0" applyNumberFormat="1" applyFont="1" applyFill="1" applyBorder="1" applyAlignment="1">
      <alignment horizontal="right" vertical="center" shrinkToFit="1"/>
    </xf>
    <xf numFmtId="187" fontId="1" fillId="13" borderId="25" xfId="0" applyNumberFormat="1" applyFont="1" applyFill="1" applyBorder="1" applyAlignment="1">
      <alignment horizontal="center" vertical="center" shrinkToFit="1"/>
    </xf>
    <xf numFmtId="187" fontId="1" fillId="2" borderId="25" xfId="0" applyNumberFormat="1" applyFont="1" applyFill="1" applyBorder="1" applyAlignment="1">
      <alignment horizontal="center" vertical="center" shrinkToFit="1"/>
    </xf>
    <xf numFmtId="189" fontId="1" fillId="2" borderId="25" xfId="0" applyNumberFormat="1" applyFont="1" applyFill="1" applyBorder="1" applyAlignment="1">
      <alignment horizontal="right" vertical="center" shrinkToFit="1"/>
    </xf>
    <xf numFmtId="0" fontId="1" fillId="7" borderId="26" xfId="0" applyFont="1" applyFill="1" applyBorder="1" applyAlignment="1">
      <alignment horizontal="left" vertical="center"/>
    </xf>
    <xf numFmtId="0" fontId="1" fillId="7" borderId="27" xfId="0" applyFont="1" applyFill="1" applyBorder="1" applyAlignment="1">
      <alignment horizontal="left" vertical="center"/>
    </xf>
    <xf numFmtId="187" fontId="1" fillId="7" borderId="14" xfId="0" applyNumberFormat="1" applyFont="1" applyFill="1" applyBorder="1" applyAlignment="1">
      <alignment vertical="center" shrinkToFit="1"/>
    </xf>
    <xf numFmtId="187" fontId="1" fillId="7" borderId="17" xfId="0" applyNumberFormat="1" applyFont="1" applyFill="1" applyBorder="1" applyAlignment="1">
      <alignment vertical="center" shrinkToFit="1"/>
    </xf>
    <xf numFmtId="187" fontId="1" fillId="7" borderId="28" xfId="0" applyNumberFormat="1" applyFont="1" applyFill="1" applyBorder="1" applyAlignment="1">
      <alignment vertical="center" shrinkToFit="1"/>
    </xf>
    <xf numFmtId="190" fontId="1" fillId="7" borderId="28" xfId="0" applyNumberFormat="1" applyFont="1" applyFill="1" applyBorder="1" applyAlignment="1">
      <alignment vertical="center" shrinkToFit="1"/>
    </xf>
    <xf numFmtId="188" fontId="1" fillId="7" borderId="28" xfId="0" applyNumberFormat="1" applyFont="1" applyFill="1" applyBorder="1" applyAlignment="1">
      <alignment horizontal="right" vertical="center" shrinkToFit="1"/>
    </xf>
    <xf numFmtId="189" fontId="1" fillId="7" borderId="28" xfId="0" applyNumberFormat="1" applyFont="1" applyFill="1" applyBorder="1" applyAlignment="1">
      <alignment horizontal="right" vertical="center" shrinkToFit="1"/>
    </xf>
    <xf numFmtId="0" fontId="1" fillId="16" borderId="29" xfId="0" applyFont="1" applyFill="1" applyBorder="1" applyAlignment="1">
      <alignment horizontal="left" vertical="center"/>
    </xf>
    <xf numFmtId="0" fontId="1" fillId="16" borderId="18" xfId="0" applyFont="1" applyFill="1" applyBorder="1" applyAlignment="1">
      <alignment horizontal="left" vertical="center"/>
    </xf>
    <xf numFmtId="187" fontId="1" fillId="16" borderId="8" xfId="0" applyNumberFormat="1" applyFont="1" applyFill="1" applyBorder="1" applyAlignment="1">
      <alignment vertical="center" shrinkToFit="1"/>
    </xf>
    <xf numFmtId="187" fontId="1" fillId="16" borderId="19" xfId="0" applyNumberFormat="1" applyFont="1" applyFill="1" applyBorder="1" applyAlignment="1">
      <alignment vertical="center" shrinkToFit="1"/>
    </xf>
    <xf numFmtId="190" fontId="1" fillId="16" borderId="19" xfId="0" applyNumberFormat="1" applyFont="1" applyFill="1" applyBorder="1" applyAlignment="1">
      <alignment vertical="center" shrinkToFit="1"/>
    </xf>
    <xf numFmtId="188" fontId="1" fillId="16" borderId="19" xfId="0" applyNumberFormat="1" applyFont="1" applyFill="1" applyBorder="1" applyAlignment="1">
      <alignment horizontal="right" vertical="center" shrinkToFit="1"/>
    </xf>
    <xf numFmtId="189" fontId="1" fillId="16" borderId="19" xfId="0" applyNumberFormat="1" applyFont="1" applyFill="1" applyBorder="1" applyAlignment="1">
      <alignment horizontal="right" vertical="center" shrinkToFit="1"/>
    </xf>
    <xf numFmtId="0" fontId="1" fillId="16" borderId="29" xfId="0" applyFont="1" applyFill="1" applyBorder="1" applyAlignment="1">
      <alignment horizontal="left" vertical="center"/>
    </xf>
    <xf numFmtId="0" fontId="1" fillId="17" borderId="29" xfId="0" applyFont="1" applyFill="1" applyBorder="1" applyAlignment="1">
      <alignment horizontal="left" vertical="center"/>
    </xf>
    <xf numFmtId="0" fontId="1" fillId="17" borderId="18" xfId="0" applyFont="1" applyFill="1" applyBorder="1" applyAlignment="1">
      <alignment horizontal="left" vertical="center"/>
    </xf>
    <xf numFmtId="187" fontId="1" fillId="17" borderId="8" xfId="0" applyNumberFormat="1" applyFont="1" applyFill="1" applyBorder="1" applyAlignment="1">
      <alignment vertical="center" shrinkToFit="1"/>
    </xf>
    <xf numFmtId="187" fontId="1" fillId="17" borderId="19" xfId="0" applyNumberFormat="1" applyFont="1" applyFill="1" applyBorder="1" applyAlignment="1">
      <alignment vertical="center" shrinkToFit="1"/>
    </xf>
    <xf numFmtId="187" fontId="1" fillId="17" borderId="30" xfId="0" applyNumberFormat="1" applyFont="1" applyFill="1" applyBorder="1" applyAlignment="1">
      <alignment vertical="center" shrinkToFit="1"/>
    </xf>
    <xf numFmtId="190" fontId="1" fillId="17" borderId="30" xfId="0" applyNumberFormat="1" applyFont="1" applyFill="1" applyBorder="1" applyAlignment="1">
      <alignment vertical="center" shrinkToFit="1"/>
    </xf>
    <xf numFmtId="188" fontId="1" fillId="17" borderId="30" xfId="0" applyNumberFormat="1" applyFont="1" applyFill="1" applyBorder="1" applyAlignment="1">
      <alignment horizontal="right" vertical="center" shrinkToFit="1"/>
    </xf>
    <xf numFmtId="189" fontId="1" fillId="17" borderId="30" xfId="0" applyNumberFormat="1" applyFont="1" applyFill="1" applyBorder="1" applyAlignment="1">
      <alignment horizontal="right" vertical="center" shrinkToFit="1"/>
    </xf>
    <xf numFmtId="187" fontId="1" fillId="7" borderId="12" xfId="0" applyNumberFormat="1" applyFont="1" applyFill="1" applyBorder="1" applyAlignment="1">
      <alignment vertical="center" shrinkToFit="1"/>
    </xf>
    <xf numFmtId="187" fontId="1" fillId="7" borderId="19" xfId="0" applyNumberFormat="1" applyFont="1" applyFill="1" applyBorder="1" applyAlignment="1">
      <alignment vertical="center" shrinkToFit="1"/>
    </xf>
    <xf numFmtId="187" fontId="1" fillId="7" borderId="32" xfId="0" applyNumberFormat="1" applyFont="1" applyFill="1" applyBorder="1" applyAlignment="1">
      <alignment vertical="center" shrinkToFit="1"/>
    </xf>
    <xf numFmtId="190" fontId="1" fillId="7" borderId="32" xfId="0" applyNumberFormat="1" applyFont="1" applyFill="1" applyBorder="1" applyAlignment="1">
      <alignment vertical="center" shrinkToFit="1"/>
    </xf>
    <xf numFmtId="188" fontId="1" fillId="7" borderId="32" xfId="0" applyNumberFormat="1" applyFont="1" applyFill="1" applyBorder="1" applyAlignment="1">
      <alignment horizontal="right" vertical="center" shrinkToFit="1"/>
    </xf>
    <xf numFmtId="189" fontId="1" fillId="7" borderId="32" xfId="0" applyNumberFormat="1" applyFont="1" applyFill="1" applyBorder="1" applyAlignment="1">
      <alignment horizontal="right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left" vertical="center" shrinkToFit="1"/>
    </xf>
    <xf numFmtId="187" fontId="1" fillId="8" borderId="35" xfId="0" applyNumberFormat="1" applyFont="1" applyFill="1" applyBorder="1" applyAlignment="1">
      <alignment vertical="center" shrinkToFit="1"/>
    </xf>
    <xf numFmtId="187" fontId="1" fillId="18" borderId="35" xfId="0" applyNumberFormat="1" applyFont="1" applyFill="1" applyBorder="1" applyAlignment="1">
      <alignment vertical="center" shrinkToFit="1"/>
    </xf>
    <xf numFmtId="187" fontId="1" fillId="12" borderId="36" xfId="0" applyNumberFormat="1" applyFont="1" applyFill="1" applyBorder="1" applyAlignment="1">
      <alignment vertical="center" shrinkToFit="1"/>
    </xf>
    <xf numFmtId="187" fontId="1" fillId="10" borderId="36" xfId="0" applyNumberFormat="1" applyFont="1" applyFill="1" applyBorder="1" applyAlignment="1">
      <alignment vertical="center" shrinkToFit="1"/>
    </xf>
    <xf numFmtId="190" fontId="1" fillId="10" borderId="36" xfId="0" applyNumberFormat="1" applyFont="1" applyFill="1" applyBorder="1" applyAlignment="1">
      <alignment vertical="center" shrinkToFit="1"/>
    </xf>
    <xf numFmtId="187" fontId="1" fillId="11" borderId="36" xfId="0" applyNumberFormat="1" applyFont="1" applyFill="1" applyBorder="1" applyAlignment="1">
      <alignment vertical="center" shrinkToFit="1"/>
    </xf>
    <xf numFmtId="188" fontId="1" fillId="0" borderId="36" xfId="0" applyNumberFormat="1" applyFont="1" applyBorder="1" applyAlignment="1">
      <alignment horizontal="right" vertical="center" shrinkToFit="1"/>
    </xf>
    <xf numFmtId="189" fontId="1" fillId="12" borderId="36" xfId="0" applyNumberFormat="1" applyFont="1" applyFill="1" applyBorder="1" applyAlignment="1">
      <alignment horizontal="right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left" vertical="center" shrinkToFit="1"/>
    </xf>
    <xf numFmtId="187" fontId="1" fillId="8" borderId="38" xfId="0" applyNumberFormat="1" applyFont="1" applyFill="1" applyBorder="1" applyAlignment="1">
      <alignment vertical="center" shrinkToFit="1"/>
    </xf>
    <xf numFmtId="187" fontId="1" fillId="18" borderId="38" xfId="0" applyNumberFormat="1" applyFont="1" applyFill="1" applyBorder="1" applyAlignment="1">
      <alignment vertical="center" shrinkToFit="1"/>
    </xf>
    <xf numFmtId="187" fontId="1" fillId="0" borderId="39" xfId="0" applyNumberFormat="1" applyFont="1" applyBorder="1" applyAlignment="1">
      <alignment vertical="center" shrinkToFit="1"/>
    </xf>
    <xf numFmtId="187" fontId="1" fillId="10" borderId="39" xfId="0" applyNumberFormat="1" applyFont="1" applyFill="1" applyBorder="1" applyAlignment="1">
      <alignment vertical="center" shrinkToFit="1"/>
    </xf>
    <xf numFmtId="190" fontId="1" fillId="10" borderId="39" xfId="0" applyNumberFormat="1" applyFont="1" applyFill="1" applyBorder="1" applyAlignment="1">
      <alignment vertical="center" shrinkToFit="1"/>
    </xf>
    <xf numFmtId="187" fontId="1" fillId="11" borderId="39" xfId="0" applyNumberFormat="1" applyFont="1" applyFill="1" applyBorder="1" applyAlignment="1">
      <alignment vertical="center" shrinkToFit="1"/>
    </xf>
    <xf numFmtId="188" fontId="1" fillId="0" borderId="39" xfId="0" applyNumberFormat="1" applyFont="1" applyBorder="1" applyAlignment="1">
      <alignment horizontal="right" vertical="center" shrinkToFit="1"/>
    </xf>
    <xf numFmtId="187" fontId="1" fillId="12" borderId="39" xfId="0" applyNumberFormat="1" applyFont="1" applyFill="1" applyBorder="1" applyAlignment="1">
      <alignment vertical="center" shrinkToFit="1"/>
    </xf>
    <xf numFmtId="189" fontId="1" fillId="12" borderId="39" xfId="0" applyNumberFormat="1" applyFont="1" applyFill="1" applyBorder="1" applyAlignment="1">
      <alignment horizontal="right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left" vertical="center" shrinkToFit="1"/>
    </xf>
    <xf numFmtId="187" fontId="1" fillId="8" borderId="41" xfId="0" applyNumberFormat="1" applyFont="1" applyFill="1" applyBorder="1" applyAlignment="1">
      <alignment vertical="center" shrinkToFit="1"/>
    </xf>
    <xf numFmtId="187" fontId="1" fillId="18" borderId="41" xfId="0" applyNumberFormat="1" applyFont="1" applyFill="1" applyBorder="1" applyAlignment="1">
      <alignment vertical="center" shrinkToFit="1"/>
    </xf>
    <xf numFmtId="187" fontId="1" fillId="0" borderId="42" xfId="0" applyNumberFormat="1" applyFont="1" applyBorder="1" applyAlignment="1">
      <alignment vertical="center" shrinkToFit="1"/>
    </xf>
    <xf numFmtId="187" fontId="1" fillId="10" borderId="42" xfId="0" applyNumberFormat="1" applyFont="1" applyFill="1" applyBorder="1" applyAlignment="1">
      <alignment vertical="center" shrinkToFit="1"/>
    </xf>
    <xf numFmtId="190" fontId="1" fillId="10" borderId="42" xfId="0" applyNumberFormat="1" applyFont="1" applyFill="1" applyBorder="1" applyAlignment="1">
      <alignment vertical="center" shrinkToFit="1"/>
    </xf>
    <xf numFmtId="187" fontId="1" fillId="11" borderId="42" xfId="0" applyNumberFormat="1" applyFont="1" applyFill="1" applyBorder="1" applyAlignment="1">
      <alignment vertical="center" shrinkToFit="1"/>
    </xf>
    <xf numFmtId="188" fontId="1" fillId="0" borderId="42" xfId="0" applyNumberFormat="1" applyFont="1" applyBorder="1" applyAlignment="1">
      <alignment horizontal="right" vertical="center" shrinkToFit="1"/>
    </xf>
    <xf numFmtId="187" fontId="1" fillId="12" borderId="42" xfId="0" applyNumberFormat="1" applyFont="1" applyFill="1" applyBorder="1" applyAlignment="1">
      <alignment vertical="center" shrinkToFit="1"/>
    </xf>
    <xf numFmtId="189" fontId="1" fillId="12" borderId="42" xfId="0" applyNumberFormat="1" applyFont="1" applyFill="1" applyBorder="1" applyAlignment="1">
      <alignment horizontal="right" vertical="center" shrinkToFit="1"/>
    </xf>
    <xf numFmtId="190" fontId="1" fillId="7" borderId="19" xfId="0" applyNumberFormat="1" applyFont="1" applyFill="1" applyBorder="1" applyAlignment="1">
      <alignment vertical="center" shrinkToFit="1"/>
    </xf>
    <xf numFmtId="188" fontId="1" fillId="7" borderId="19" xfId="0" applyNumberFormat="1" applyFont="1" applyFill="1" applyBorder="1" applyAlignment="1">
      <alignment horizontal="right" vertical="center" shrinkToFit="1"/>
    </xf>
    <xf numFmtId="189" fontId="1" fillId="7" borderId="19" xfId="0" applyNumberFormat="1" applyFont="1" applyFill="1" applyBorder="1" applyAlignment="1">
      <alignment horizontal="right" vertical="center" shrinkToFit="1"/>
    </xf>
    <xf numFmtId="187" fontId="1" fillId="8" borderId="34" xfId="0" applyNumberFormat="1" applyFont="1" applyFill="1" applyBorder="1" applyAlignment="1">
      <alignment vertical="center" shrinkToFit="1"/>
    </xf>
    <xf numFmtId="187" fontId="1" fillId="18" borderId="34" xfId="0" applyNumberFormat="1" applyFont="1" applyFill="1" applyBorder="1" applyAlignment="1">
      <alignment vertical="center" shrinkToFit="1"/>
    </xf>
    <xf numFmtId="187" fontId="1" fillId="7" borderId="8" xfId="0" applyNumberFormat="1" applyFont="1" applyFill="1" applyBorder="1" applyAlignment="1">
      <alignment vertical="center" shrinkToFit="1"/>
    </xf>
    <xf numFmtId="187" fontId="1" fillId="0" borderId="45" xfId="0" applyNumberFormat="1" applyFont="1" applyBorder="1" applyAlignment="1">
      <alignment vertical="center" shrinkToFit="1"/>
    </xf>
    <xf numFmtId="187" fontId="1" fillId="10" borderId="45" xfId="0" applyNumberFormat="1" applyFont="1" applyFill="1" applyBorder="1" applyAlignment="1">
      <alignment vertical="center" shrinkToFit="1"/>
    </xf>
    <xf numFmtId="190" fontId="1" fillId="10" borderId="45" xfId="0" applyNumberFormat="1" applyFont="1" applyFill="1" applyBorder="1" applyAlignment="1">
      <alignment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/>
    </xf>
    <xf numFmtId="187" fontId="1" fillId="18" borderId="34" xfId="0" applyNumberFormat="1" applyFont="1" applyFill="1" applyBorder="1" applyAlignment="1">
      <alignment vertical="center" shrinkToFit="1"/>
    </xf>
    <xf numFmtId="187" fontId="1" fillId="0" borderId="36" xfId="0" applyNumberFormat="1" applyFont="1" applyBorder="1" applyAlignment="1">
      <alignment vertical="center" shrinkToFit="1"/>
    </xf>
    <xf numFmtId="187" fontId="1" fillId="0" borderId="36" xfId="0" applyNumberFormat="1" applyFont="1" applyBorder="1" applyAlignment="1">
      <alignment vertical="center" shrinkToFit="1"/>
    </xf>
    <xf numFmtId="189" fontId="1" fillId="0" borderId="36" xfId="0" applyNumberFormat="1" applyFont="1" applyBorder="1" applyAlignment="1">
      <alignment horizontal="right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left" vertical="center"/>
    </xf>
    <xf numFmtId="187" fontId="1" fillId="18" borderId="38" xfId="0" applyNumberFormat="1" applyFont="1" applyFill="1" applyBorder="1" applyAlignment="1">
      <alignment vertical="center" shrinkToFit="1"/>
    </xf>
    <xf numFmtId="187" fontId="1" fillId="0" borderId="39" xfId="0" applyNumberFormat="1" applyFont="1" applyBorder="1" applyAlignment="1">
      <alignment vertical="center" shrinkToFit="1"/>
    </xf>
    <xf numFmtId="189" fontId="1" fillId="0" borderId="39" xfId="0" applyNumberFormat="1" applyFont="1" applyBorder="1" applyAlignment="1">
      <alignment horizontal="right" vertical="center" shrinkToFi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187" fontId="1" fillId="18" borderId="41" xfId="0" applyNumberFormat="1" applyFont="1" applyFill="1" applyBorder="1" applyAlignment="1">
      <alignment vertical="center" shrinkToFit="1"/>
    </xf>
    <xf numFmtId="187" fontId="1" fillId="0" borderId="42" xfId="0" applyNumberFormat="1" applyFont="1" applyBorder="1" applyAlignment="1">
      <alignment vertical="center" shrinkToFit="1"/>
    </xf>
    <xf numFmtId="189" fontId="1" fillId="0" borderId="42" xfId="0" applyNumberFormat="1" applyFont="1" applyBorder="1" applyAlignment="1">
      <alignment horizontal="right" vertical="center" shrinkToFit="1"/>
    </xf>
    <xf numFmtId="0" fontId="1" fillId="0" borderId="36" xfId="0" applyFont="1" applyBorder="1" applyAlignment="1">
      <alignment horizontal="left" vertical="center"/>
    </xf>
    <xf numFmtId="187" fontId="1" fillId="8" borderId="36" xfId="0" applyNumberFormat="1" applyFont="1" applyFill="1" applyBorder="1" applyAlignment="1">
      <alignment vertical="center" shrinkToFit="1"/>
    </xf>
    <xf numFmtId="187" fontId="1" fillId="18" borderId="36" xfId="0" applyNumberFormat="1" applyFont="1" applyFill="1" applyBorder="1" applyAlignment="1">
      <alignment vertical="center" shrinkToFit="1"/>
    </xf>
    <xf numFmtId="0" fontId="1" fillId="0" borderId="39" xfId="0" applyFont="1" applyBorder="1" applyAlignment="1">
      <alignment horizontal="left" vertical="center"/>
    </xf>
    <xf numFmtId="187" fontId="1" fillId="8" borderId="39" xfId="0" applyNumberFormat="1" applyFont="1" applyFill="1" applyBorder="1" applyAlignment="1">
      <alignment vertical="center" shrinkToFit="1"/>
    </xf>
    <xf numFmtId="187" fontId="1" fillId="18" borderId="39" xfId="0" applyNumberFormat="1" applyFont="1" applyFill="1" applyBorder="1" applyAlignment="1">
      <alignment vertical="center" shrinkToFit="1"/>
    </xf>
    <xf numFmtId="0" fontId="1" fillId="0" borderId="37" xfId="0" applyFont="1" applyBorder="1" applyAlignment="1">
      <alignment horizontal="center" vertical="center"/>
    </xf>
    <xf numFmtId="0" fontId="6" fillId="0" borderId="0" xfId="0" applyFont="1"/>
    <xf numFmtId="188" fontId="6" fillId="0" borderId="0" xfId="0" applyNumberFormat="1" applyFont="1" applyAlignment="1">
      <alignment horizontal="right" vertical="center"/>
    </xf>
    <xf numFmtId="189" fontId="6" fillId="0" borderId="0" xfId="0" applyNumberFormat="1" applyFont="1" applyAlignment="1">
      <alignment horizontal="right" vertical="center"/>
    </xf>
    <xf numFmtId="0" fontId="7" fillId="0" borderId="14" xfId="0" applyFont="1" applyBorder="1" applyAlignment="1"/>
    <xf numFmtId="187" fontId="7" fillId="0" borderId="14" xfId="0" applyNumberFormat="1" applyFont="1" applyBorder="1" applyAlignment="1"/>
    <xf numFmtId="188" fontId="7" fillId="0" borderId="14" xfId="0" applyNumberFormat="1" applyFont="1" applyBorder="1"/>
    <xf numFmtId="0" fontId="7" fillId="0" borderId="14" xfId="0" applyFont="1" applyBorder="1" applyAlignment="1"/>
    <xf numFmtId="187" fontId="8" fillId="7" borderId="14" xfId="0" applyNumberFormat="1" applyFont="1" applyFill="1" applyBorder="1" applyAlignment="1">
      <alignment horizontal="center"/>
    </xf>
    <xf numFmtId="188" fontId="9" fillId="5" borderId="15" xfId="0" applyNumberFormat="1" applyFont="1" applyFill="1" applyBorder="1" applyAlignment="1">
      <alignment horizontal="center" vertical="top" wrapText="1"/>
    </xf>
    <xf numFmtId="188" fontId="9" fillId="19" borderId="15" xfId="0" applyNumberFormat="1" applyFont="1" applyFill="1" applyBorder="1" applyAlignment="1">
      <alignment horizontal="center" vertical="top" wrapText="1"/>
    </xf>
    <xf numFmtId="187" fontId="8" fillId="13" borderId="15" xfId="0" applyNumberFormat="1" applyFont="1" applyFill="1" applyBorder="1" applyAlignment="1">
      <alignment horizontal="center" wrapText="1"/>
    </xf>
    <xf numFmtId="0" fontId="8" fillId="2" borderId="15" xfId="0" applyFont="1" applyFill="1" applyBorder="1" applyAlignment="1">
      <alignment horizontal="center"/>
    </xf>
    <xf numFmtId="187" fontId="8" fillId="10" borderId="24" xfId="0" applyNumberFormat="1" applyFont="1" applyFill="1" applyBorder="1" applyAlignment="1">
      <alignment horizontal="center"/>
    </xf>
    <xf numFmtId="189" fontId="8" fillId="10" borderId="24" xfId="0" applyNumberFormat="1" applyFont="1" applyFill="1" applyBorder="1" applyAlignment="1">
      <alignment horizontal="center"/>
    </xf>
    <xf numFmtId="187" fontId="8" fillId="11" borderId="24" xfId="0" applyNumberFormat="1" applyFont="1" applyFill="1" applyBorder="1" applyAlignment="1">
      <alignment horizontal="center"/>
    </xf>
    <xf numFmtId="187" fontId="8" fillId="18" borderId="24" xfId="0" applyNumberFormat="1" applyFont="1" applyFill="1" applyBorder="1" applyAlignment="1">
      <alignment horizontal="center"/>
    </xf>
    <xf numFmtId="188" fontId="8" fillId="18" borderId="24" xfId="0" applyNumberFormat="1" applyFont="1" applyFill="1" applyBorder="1" applyAlignment="1">
      <alignment horizontal="center"/>
    </xf>
    <xf numFmtId="189" fontId="8" fillId="18" borderId="24" xfId="0" applyNumberFormat="1" applyFont="1" applyFill="1" applyBorder="1" applyAlignment="1">
      <alignment horizontal="center"/>
    </xf>
    <xf numFmtId="187" fontId="8" fillId="13" borderId="24" xfId="0" applyNumberFormat="1" applyFont="1" applyFill="1" applyBorder="1" applyAlignment="1">
      <alignment horizontal="center" wrapText="1"/>
    </xf>
    <xf numFmtId="187" fontId="8" fillId="2" borderId="24" xfId="0" applyNumberFormat="1" applyFont="1" applyFill="1" applyBorder="1" applyAlignment="1">
      <alignment horizontal="center" wrapText="1"/>
    </xf>
    <xf numFmtId="189" fontId="9" fillId="2" borderId="24" xfId="0" applyNumberFormat="1" applyFont="1" applyFill="1" applyBorder="1" applyAlignment="1">
      <alignment horizontal="center" wrapText="1"/>
    </xf>
    <xf numFmtId="187" fontId="8" fillId="8" borderId="24" xfId="0" applyNumberFormat="1" applyFont="1" applyFill="1" applyBorder="1" applyAlignment="1">
      <alignment horizontal="center"/>
    </xf>
    <xf numFmtId="187" fontId="8" fillId="6" borderId="24" xfId="0" applyNumberFormat="1" applyFont="1" applyFill="1" applyBorder="1" applyAlignment="1">
      <alignment horizontal="center"/>
    </xf>
    <xf numFmtId="187" fontId="8" fillId="14" borderId="24" xfId="0" applyNumberFormat="1" applyFont="1" applyFill="1" applyBorder="1" applyAlignment="1">
      <alignment horizontal="center"/>
    </xf>
    <xf numFmtId="187" fontId="8" fillId="15" borderId="24" xfId="0" applyNumberFormat="1" applyFont="1" applyFill="1" applyBorder="1" applyAlignment="1">
      <alignment horizontal="center"/>
    </xf>
    <xf numFmtId="190" fontId="8" fillId="15" borderId="24" xfId="0" applyNumberFormat="1" applyFont="1" applyFill="1" applyBorder="1" applyAlignment="1">
      <alignment horizontal="center"/>
    </xf>
    <xf numFmtId="188" fontId="8" fillId="15" borderId="24" xfId="0" applyNumberFormat="1" applyFont="1" applyFill="1" applyBorder="1" applyAlignment="1">
      <alignment horizontal="right"/>
    </xf>
    <xf numFmtId="187" fontId="8" fillId="13" borderId="24" xfId="0" applyNumberFormat="1" applyFont="1" applyFill="1" applyBorder="1" applyAlignment="1">
      <alignment horizontal="center"/>
    </xf>
    <xf numFmtId="187" fontId="8" fillId="2" borderId="24" xfId="0" applyNumberFormat="1" applyFont="1" applyFill="1" applyBorder="1" applyAlignment="1">
      <alignment horizontal="center"/>
    </xf>
    <xf numFmtId="189" fontId="8" fillId="2" borderId="24" xfId="0" applyNumberFormat="1" applyFont="1" applyFill="1" applyBorder="1" applyAlignment="1">
      <alignment horizontal="right"/>
    </xf>
    <xf numFmtId="0" fontId="8" fillId="7" borderId="51" xfId="0" applyFont="1" applyFill="1" applyBorder="1" applyAlignment="1"/>
    <xf numFmtId="0" fontId="7" fillId="7" borderId="14" xfId="0" applyFont="1" applyFill="1" applyBorder="1"/>
    <xf numFmtId="187" fontId="8" fillId="7" borderId="15" xfId="0" applyNumberFormat="1" applyFont="1" applyFill="1" applyBorder="1" applyAlignment="1">
      <alignment horizontal="center"/>
    </xf>
    <xf numFmtId="187" fontId="8" fillId="7" borderId="15" xfId="0" applyNumberFormat="1" applyFont="1" applyFill="1" applyBorder="1" applyAlignment="1">
      <alignment horizontal="right"/>
    </xf>
    <xf numFmtId="190" fontId="8" fillId="7" borderId="15" xfId="0" applyNumberFormat="1" applyFont="1" applyFill="1" applyBorder="1" applyAlignment="1">
      <alignment horizontal="center"/>
    </xf>
    <xf numFmtId="188" fontId="8" fillId="7" borderId="15" xfId="0" applyNumberFormat="1" applyFont="1" applyFill="1" applyBorder="1" applyAlignment="1">
      <alignment horizontal="right"/>
    </xf>
    <xf numFmtId="189" fontId="8" fillId="7" borderId="15" xfId="0" applyNumberFormat="1" applyFont="1" applyFill="1" applyBorder="1" applyAlignment="1">
      <alignment horizontal="right"/>
    </xf>
    <xf numFmtId="0" fontId="8" fillId="16" borderId="51" xfId="0" applyFont="1" applyFill="1" applyBorder="1" applyAlignment="1"/>
    <xf numFmtId="0" fontId="7" fillId="16" borderId="14" xfId="0" applyFont="1" applyFill="1" applyBorder="1"/>
    <xf numFmtId="187" fontId="8" fillId="16" borderId="15" xfId="0" applyNumberFormat="1" applyFont="1" applyFill="1" applyBorder="1" applyAlignment="1">
      <alignment horizontal="right"/>
    </xf>
    <xf numFmtId="187" fontId="7" fillId="16" borderId="15" xfId="0" applyNumberFormat="1" applyFont="1" applyFill="1" applyBorder="1"/>
    <xf numFmtId="190" fontId="8" fillId="16" borderId="15" xfId="0" applyNumberFormat="1" applyFont="1" applyFill="1" applyBorder="1" applyAlignment="1">
      <alignment horizontal="right"/>
    </xf>
    <xf numFmtId="188" fontId="7" fillId="16" borderId="15" xfId="0" applyNumberFormat="1" applyFont="1" applyFill="1" applyBorder="1"/>
    <xf numFmtId="189" fontId="8" fillId="16" borderId="15" xfId="0" applyNumberFormat="1" applyFont="1" applyFill="1" applyBorder="1" applyAlignment="1">
      <alignment horizontal="right"/>
    </xf>
    <xf numFmtId="189" fontId="7" fillId="16" borderId="15" xfId="0" applyNumberFormat="1" applyFont="1" applyFill="1" applyBorder="1"/>
    <xf numFmtId="0" fontId="8" fillId="16" borderId="51" xfId="0" applyFont="1" applyFill="1" applyBorder="1" applyAlignment="1"/>
    <xf numFmtId="0" fontId="8" fillId="17" borderId="51" xfId="0" applyFont="1" applyFill="1" applyBorder="1" applyAlignment="1"/>
    <xf numFmtId="0" fontId="7" fillId="17" borderId="14" xfId="0" applyFont="1" applyFill="1" applyBorder="1"/>
    <xf numFmtId="187" fontId="8" fillId="17" borderId="15" xfId="0" applyNumberFormat="1" applyFont="1" applyFill="1" applyBorder="1" applyAlignment="1">
      <alignment horizontal="right"/>
    </xf>
    <xf numFmtId="190" fontId="8" fillId="17" borderId="15" xfId="0" applyNumberFormat="1" applyFont="1" applyFill="1" applyBorder="1" applyAlignment="1">
      <alignment horizontal="right"/>
    </xf>
    <xf numFmtId="188" fontId="8" fillId="17" borderId="15" xfId="0" applyNumberFormat="1" applyFont="1" applyFill="1" applyBorder="1" applyAlignment="1">
      <alignment horizontal="right"/>
    </xf>
    <xf numFmtId="189" fontId="8" fillId="17" borderId="15" xfId="0" applyNumberFormat="1" applyFont="1" applyFill="1" applyBorder="1" applyAlignment="1">
      <alignment horizontal="right"/>
    </xf>
    <xf numFmtId="0" fontId="8" fillId="0" borderId="53" xfId="0" applyFont="1" applyBorder="1" applyAlignment="1">
      <alignment horizontal="center"/>
    </xf>
    <xf numFmtId="0" fontId="8" fillId="0" borderId="54" xfId="0" applyFont="1" applyBorder="1"/>
    <xf numFmtId="187" fontId="8" fillId="8" borderId="54" xfId="0" applyNumberFormat="1" applyFont="1" applyFill="1" applyBorder="1" applyAlignment="1">
      <alignment horizontal="right"/>
    </xf>
    <xf numFmtId="187" fontId="8" fillId="18" borderId="54" xfId="0" applyNumberFormat="1" applyFont="1" applyFill="1" applyBorder="1" applyAlignment="1">
      <alignment horizontal="right"/>
    </xf>
    <xf numFmtId="187" fontId="8" fillId="10" borderId="54" xfId="0" applyNumberFormat="1" applyFont="1" applyFill="1" applyBorder="1" applyAlignment="1">
      <alignment horizontal="right"/>
    </xf>
    <xf numFmtId="190" fontId="8" fillId="10" borderId="54" xfId="0" applyNumberFormat="1" applyFont="1" applyFill="1" applyBorder="1" applyAlignment="1">
      <alignment horizontal="right"/>
    </xf>
    <xf numFmtId="187" fontId="8" fillId="11" borderId="54" xfId="0" applyNumberFormat="1" applyFont="1" applyFill="1" applyBorder="1" applyAlignment="1">
      <alignment horizontal="right"/>
    </xf>
    <xf numFmtId="188" fontId="8" fillId="0" borderId="54" xfId="0" applyNumberFormat="1" applyFont="1" applyBorder="1" applyAlignment="1">
      <alignment horizontal="right"/>
    </xf>
    <xf numFmtId="189" fontId="8" fillId="18" borderId="54" xfId="0" applyNumberFormat="1" applyFont="1" applyFill="1" applyBorder="1" applyAlignment="1">
      <alignment horizontal="right"/>
    </xf>
    <xf numFmtId="187" fontId="8" fillId="0" borderId="54" xfId="0" applyNumberFormat="1" applyFont="1" applyBorder="1" applyAlignment="1">
      <alignment horizontal="right"/>
    </xf>
    <xf numFmtId="187" fontId="8" fillId="8" borderId="54" xfId="0" applyNumberFormat="1" applyFont="1" applyFill="1" applyBorder="1" applyAlignment="1">
      <alignment horizontal="center"/>
    </xf>
    <xf numFmtId="187" fontId="8" fillId="18" borderId="54" xfId="0" applyNumberFormat="1" applyFont="1" applyFill="1" applyBorder="1" applyAlignment="1">
      <alignment horizontal="center"/>
    </xf>
    <xf numFmtId="187" fontId="8" fillId="0" borderId="54" xfId="0" applyNumberFormat="1" applyFont="1" applyBorder="1" applyAlignment="1">
      <alignment horizontal="center"/>
    </xf>
    <xf numFmtId="190" fontId="8" fillId="10" borderId="54" xfId="0" applyNumberFormat="1" applyFont="1" applyFill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8" fillId="0" borderId="15" xfId="0" applyFont="1" applyBorder="1"/>
    <xf numFmtId="187" fontId="8" fillId="8" borderId="15" xfId="0" applyNumberFormat="1" applyFont="1" applyFill="1" applyBorder="1" applyAlignment="1">
      <alignment horizontal="center"/>
    </xf>
    <xf numFmtId="187" fontId="8" fillId="18" borderId="15" xfId="0" applyNumberFormat="1" applyFont="1" applyFill="1" applyBorder="1" applyAlignment="1">
      <alignment horizontal="center"/>
    </xf>
    <xf numFmtId="187" fontId="8" fillId="0" borderId="15" xfId="0" applyNumberFormat="1" applyFont="1" applyBorder="1" applyAlignment="1">
      <alignment horizontal="center"/>
    </xf>
    <xf numFmtId="187" fontId="8" fillId="10" borderId="15" xfId="0" applyNumberFormat="1" applyFont="1" applyFill="1" applyBorder="1" applyAlignment="1">
      <alignment horizontal="right"/>
    </xf>
    <xf numFmtId="190" fontId="8" fillId="10" borderId="15" xfId="0" applyNumberFormat="1" applyFont="1" applyFill="1" applyBorder="1" applyAlignment="1">
      <alignment horizontal="center"/>
    </xf>
    <xf numFmtId="187" fontId="8" fillId="11" borderId="15" xfId="0" applyNumberFormat="1" applyFont="1" applyFill="1" applyBorder="1" applyAlignment="1">
      <alignment horizontal="right"/>
    </xf>
    <xf numFmtId="187" fontId="8" fillId="0" borderId="15" xfId="0" applyNumberFormat="1" applyFont="1" applyBorder="1" applyAlignment="1">
      <alignment horizontal="right"/>
    </xf>
    <xf numFmtId="188" fontId="8" fillId="0" borderId="15" xfId="0" applyNumberFormat="1" applyFont="1" applyBorder="1" applyAlignment="1">
      <alignment horizontal="right"/>
    </xf>
    <xf numFmtId="187" fontId="8" fillId="18" borderId="15" xfId="0" applyNumberFormat="1" applyFont="1" applyFill="1" applyBorder="1" applyAlignment="1">
      <alignment horizontal="right"/>
    </xf>
    <xf numFmtId="189" fontId="8" fillId="18" borderId="15" xfId="0" applyNumberFormat="1" applyFont="1" applyFill="1" applyBorder="1" applyAlignment="1">
      <alignment horizontal="right"/>
    </xf>
    <xf numFmtId="187" fontId="8" fillId="8" borderId="15" xfId="0" applyNumberFormat="1" applyFont="1" applyFill="1" applyBorder="1" applyAlignment="1">
      <alignment horizontal="right"/>
    </xf>
    <xf numFmtId="190" fontId="8" fillId="10" borderId="15" xfId="0" applyNumberFormat="1" applyFont="1" applyFill="1" applyBorder="1" applyAlignment="1">
      <alignment horizontal="right"/>
    </xf>
    <xf numFmtId="187" fontId="7" fillId="18" borderId="54" xfId="0" applyNumberFormat="1" applyFont="1" applyFill="1" applyBorder="1"/>
    <xf numFmtId="187" fontId="8" fillId="16" borderId="14" xfId="0" applyNumberFormat="1" applyFont="1" applyFill="1" applyBorder="1" applyAlignment="1">
      <alignment horizontal="right"/>
    </xf>
    <xf numFmtId="187" fontId="7" fillId="0" borderId="54" xfId="0" applyNumberFormat="1" applyFont="1" applyBorder="1"/>
    <xf numFmtId="189" fontId="7" fillId="0" borderId="54" xfId="0" applyNumberFormat="1" applyFont="1" applyBorder="1"/>
    <xf numFmtId="187" fontId="7" fillId="0" borderId="15" xfId="0" applyNumberFormat="1" applyFont="1" applyBorder="1"/>
    <xf numFmtId="189" fontId="7" fillId="0" borderId="15" xfId="0" applyNumberFormat="1" applyFont="1" applyBorder="1"/>
    <xf numFmtId="0" fontId="8" fillId="0" borderId="54" xfId="0" applyFont="1" applyBorder="1"/>
    <xf numFmtId="0" fontId="8" fillId="0" borderId="53" xfId="0" applyFont="1" applyBorder="1" applyAlignment="1">
      <alignment horizontal="center"/>
    </xf>
    <xf numFmtId="0" fontId="7" fillId="0" borderId="0" xfId="0" applyFont="1" applyAlignment="1"/>
    <xf numFmtId="188" fontId="7" fillId="0" borderId="0" xfId="0" applyNumberFormat="1" applyFont="1"/>
    <xf numFmtId="0" fontId="7" fillId="0" borderId="0" xfId="0" applyFont="1" applyAlignment="1"/>
    <xf numFmtId="187" fontId="1" fillId="22" borderId="19" xfId="0" applyNumberFormat="1" applyFont="1" applyFill="1" applyBorder="1" applyAlignment="1">
      <alignment horizontal="center" vertical="center" wrapText="1"/>
    </xf>
    <xf numFmtId="187" fontId="1" fillId="23" borderId="19" xfId="0" applyNumberFormat="1" applyFont="1" applyFill="1" applyBorder="1" applyAlignment="1">
      <alignment horizontal="center" vertical="center" wrapText="1"/>
    </xf>
    <xf numFmtId="187" fontId="8" fillId="23" borderId="17" xfId="0" applyNumberFormat="1" applyFont="1" applyFill="1" applyBorder="1" applyAlignment="1">
      <alignment horizontal="center" vertical="center" wrapText="1"/>
    </xf>
    <xf numFmtId="187" fontId="8" fillId="21" borderId="17" xfId="0" applyNumberFormat="1" applyFont="1" applyFill="1" applyBorder="1" applyAlignment="1">
      <alignment horizontal="center" vertical="center" wrapText="1"/>
    </xf>
    <xf numFmtId="187" fontId="1" fillId="22" borderId="22" xfId="0" applyNumberFormat="1" applyFont="1" applyFill="1" applyBorder="1" applyAlignment="1">
      <alignment horizontal="center" vertical="center" wrapText="1"/>
    </xf>
    <xf numFmtId="187" fontId="1" fillId="23" borderId="22" xfId="0" applyNumberFormat="1" applyFont="1" applyFill="1" applyBorder="1" applyAlignment="1">
      <alignment horizontal="center" vertical="center" wrapText="1"/>
    </xf>
    <xf numFmtId="187" fontId="8" fillId="23" borderId="21" xfId="0" applyNumberFormat="1" applyFont="1" applyFill="1" applyBorder="1" applyAlignment="1">
      <alignment horizontal="center" wrapText="1"/>
    </xf>
    <xf numFmtId="187" fontId="8" fillId="2" borderId="24" xfId="0" applyNumberFormat="1" applyFont="1" applyFill="1" applyBorder="1" applyAlignment="1">
      <alignment horizontal="center" wrapText="1"/>
    </xf>
    <xf numFmtId="187" fontId="8" fillId="21" borderId="21" xfId="0" applyNumberFormat="1" applyFont="1" applyFill="1" applyBorder="1" applyAlignment="1">
      <alignment horizontal="center" wrapText="1"/>
    </xf>
    <xf numFmtId="187" fontId="1" fillId="22" borderId="25" xfId="0" applyNumberFormat="1" applyFont="1" applyFill="1" applyBorder="1" applyAlignment="1">
      <alignment horizontal="center" vertical="center" shrinkToFit="1"/>
    </xf>
    <xf numFmtId="187" fontId="1" fillId="23" borderId="25" xfId="0" applyNumberFormat="1" applyFont="1" applyFill="1" applyBorder="1" applyAlignment="1">
      <alignment horizontal="center" vertical="center" shrinkToFit="1"/>
    </xf>
    <xf numFmtId="187" fontId="1" fillId="23" borderId="19" xfId="0" applyNumberFormat="1" applyFont="1" applyFill="1" applyBorder="1" applyAlignment="1">
      <alignment horizontal="center" vertical="center" shrinkToFit="1"/>
    </xf>
    <xf numFmtId="187" fontId="8" fillId="23" borderId="21" xfId="0" applyNumberFormat="1" applyFont="1" applyFill="1" applyBorder="1" applyAlignment="1">
      <alignment horizontal="center"/>
    </xf>
    <xf numFmtId="187" fontId="8" fillId="21" borderId="21" xfId="0" applyNumberFormat="1" applyFont="1" applyFill="1" applyBorder="1" applyAlignment="1">
      <alignment horizontal="center"/>
    </xf>
    <xf numFmtId="187" fontId="8" fillId="7" borderId="17" xfId="0" applyNumberFormat="1" applyFont="1" applyFill="1" applyBorder="1" applyAlignment="1">
      <alignment horizontal="right"/>
    </xf>
    <xf numFmtId="187" fontId="7" fillId="16" borderId="17" xfId="0" applyNumberFormat="1" applyFont="1" applyFill="1" applyBorder="1"/>
    <xf numFmtId="187" fontId="8" fillId="17" borderId="17" xfId="0" applyNumberFormat="1" applyFont="1" applyFill="1" applyBorder="1" applyAlignment="1">
      <alignment horizontal="right"/>
    </xf>
    <xf numFmtId="187" fontId="8" fillId="18" borderId="45" xfId="0" applyNumberFormat="1" applyFont="1" applyFill="1" applyBorder="1" applyAlignment="1">
      <alignment horizontal="right"/>
    </xf>
    <xf numFmtId="187" fontId="8" fillId="18" borderId="17" xfId="0" applyNumberFormat="1" applyFont="1" applyFill="1" applyBorder="1" applyAlignment="1">
      <alignment horizontal="right"/>
    </xf>
    <xf numFmtId="187" fontId="7" fillId="0" borderId="45" xfId="0" applyNumberFormat="1" applyFont="1" applyBorder="1"/>
    <xf numFmtId="187" fontId="7" fillId="0" borderId="17" xfId="0" applyNumberFormat="1" applyFont="1" applyBorder="1"/>
    <xf numFmtId="187" fontId="8" fillId="22" borderId="24" xfId="0" applyNumberFormat="1" applyFont="1" applyFill="1" applyBorder="1" applyAlignment="1">
      <alignment horizontal="center" wrapText="1"/>
    </xf>
    <xf numFmtId="187" fontId="8" fillId="21" borderId="24" xfId="0" applyNumberFormat="1" applyFont="1" applyFill="1" applyBorder="1" applyAlignment="1">
      <alignment horizontal="center" wrapText="1"/>
    </xf>
    <xf numFmtId="187" fontId="8" fillId="28" borderId="24" xfId="0" applyNumberFormat="1" applyFont="1" applyFill="1" applyBorder="1" applyAlignment="1">
      <alignment horizontal="center" wrapText="1"/>
    </xf>
    <xf numFmtId="187" fontId="8" fillId="2" borderId="24" xfId="0" applyNumberFormat="1" applyFont="1" applyFill="1" applyBorder="1" applyAlignment="1">
      <alignment horizontal="center" wrapText="1"/>
    </xf>
    <xf numFmtId="189" fontId="9" fillId="2" borderId="24" xfId="0" applyNumberFormat="1" applyFont="1" applyFill="1" applyBorder="1" applyAlignment="1">
      <alignment horizontal="center" wrapText="1"/>
    </xf>
    <xf numFmtId="187" fontId="11" fillId="31" borderId="24" xfId="0" applyNumberFormat="1" applyFont="1" applyFill="1" applyBorder="1" applyAlignment="1">
      <alignment horizontal="center" wrapText="1"/>
    </xf>
    <xf numFmtId="187" fontId="11" fillId="34" borderId="24" xfId="0" applyNumberFormat="1" applyFont="1" applyFill="1" applyBorder="1" applyAlignment="1">
      <alignment horizontal="center" wrapText="1"/>
    </xf>
    <xf numFmtId="189" fontId="13" fillId="34" borderId="24" xfId="0" applyNumberFormat="1" applyFont="1" applyFill="1" applyBorder="1" applyAlignment="1">
      <alignment horizontal="center" wrapText="1"/>
    </xf>
    <xf numFmtId="187" fontId="8" fillId="22" borderId="24" xfId="0" applyNumberFormat="1" applyFont="1" applyFill="1" applyBorder="1" applyAlignment="1">
      <alignment horizontal="center"/>
    </xf>
    <xf numFmtId="187" fontId="8" fillId="2" borderId="24" xfId="0" applyNumberFormat="1" applyFont="1" applyFill="1" applyBorder="1" applyAlignment="1">
      <alignment horizontal="center"/>
    </xf>
    <xf numFmtId="187" fontId="8" fillId="21" borderId="24" xfId="0" applyNumberFormat="1" applyFont="1" applyFill="1" applyBorder="1" applyAlignment="1">
      <alignment horizontal="center"/>
    </xf>
    <xf numFmtId="187" fontId="8" fillId="28" borderId="24" xfId="0" applyNumberFormat="1" applyFont="1" applyFill="1" applyBorder="1" applyAlignment="1">
      <alignment horizontal="center"/>
    </xf>
    <xf numFmtId="189" fontId="8" fillId="2" borderId="24" xfId="0" applyNumberFormat="1" applyFont="1" applyFill="1" applyBorder="1" applyAlignment="1">
      <alignment horizontal="right"/>
    </xf>
    <xf numFmtId="187" fontId="11" fillId="31" borderId="24" xfId="0" applyNumberFormat="1" applyFont="1" applyFill="1" applyBorder="1" applyAlignment="1">
      <alignment horizontal="center"/>
    </xf>
    <xf numFmtId="187" fontId="11" fillId="34" borderId="24" xfId="0" applyNumberFormat="1" applyFont="1" applyFill="1" applyBorder="1" applyAlignment="1">
      <alignment horizontal="center"/>
    </xf>
    <xf numFmtId="190" fontId="8" fillId="7" borderId="15" xfId="0" applyNumberFormat="1" applyFont="1" applyFill="1" applyBorder="1" applyAlignment="1">
      <alignment horizontal="right"/>
    </xf>
    <xf numFmtId="187" fontId="8" fillId="7" borderId="15" xfId="0" applyNumberFormat="1" applyFont="1" applyFill="1" applyBorder="1" applyAlignment="1">
      <alignment horizontal="right"/>
    </xf>
    <xf numFmtId="189" fontId="8" fillId="7" borderId="15" xfId="0" applyNumberFormat="1" applyFont="1" applyFill="1" applyBorder="1" applyAlignment="1">
      <alignment horizontal="right"/>
    </xf>
    <xf numFmtId="187" fontId="7" fillId="16" borderId="15" xfId="0" applyNumberFormat="1" applyFont="1" applyFill="1" applyBorder="1" applyAlignment="1"/>
    <xf numFmtId="189" fontId="7" fillId="16" borderId="15" xfId="0" applyNumberFormat="1" applyFont="1" applyFill="1" applyBorder="1" applyAlignment="1"/>
    <xf numFmtId="189" fontId="7" fillId="16" borderId="15" xfId="0" applyNumberFormat="1" applyFont="1" applyFill="1" applyBorder="1" applyAlignment="1">
      <alignment horizontal="right"/>
    </xf>
    <xf numFmtId="187" fontId="8" fillId="17" borderId="15" xfId="0" applyNumberFormat="1" applyFont="1" applyFill="1" applyBorder="1" applyAlignment="1">
      <alignment horizontal="right"/>
    </xf>
    <xf numFmtId="189" fontId="8" fillId="17" borderId="15" xfId="0" applyNumberFormat="1" applyFont="1" applyFill="1" applyBorder="1" applyAlignment="1">
      <alignment horizontal="right"/>
    </xf>
    <xf numFmtId="187" fontId="8" fillId="18" borderId="54" xfId="0" applyNumberFormat="1" applyFont="1" applyFill="1" applyBorder="1" applyAlignment="1">
      <alignment horizontal="right"/>
    </xf>
    <xf numFmtId="189" fontId="8" fillId="18" borderId="54" xfId="0" applyNumberFormat="1" applyFont="1" applyFill="1" applyBorder="1" applyAlignment="1">
      <alignment horizontal="right"/>
    </xf>
    <xf numFmtId="187" fontId="8" fillId="18" borderId="15" xfId="0" applyNumberFormat="1" applyFont="1" applyFill="1" applyBorder="1" applyAlignment="1">
      <alignment horizontal="right"/>
    </xf>
    <xf numFmtId="189" fontId="8" fillId="18" borderId="15" xfId="0" applyNumberFormat="1" applyFont="1" applyFill="1" applyBorder="1" applyAlignment="1">
      <alignment horizontal="right"/>
    </xf>
    <xf numFmtId="187" fontId="8" fillId="7" borderId="14" xfId="0" applyNumberFormat="1" applyFont="1" applyFill="1" applyBorder="1" applyAlignment="1">
      <alignment horizontal="right"/>
    </xf>
    <xf numFmtId="187" fontId="7" fillId="0" borderId="54" xfId="0" applyNumberFormat="1" applyFont="1" applyBorder="1" applyAlignment="1"/>
    <xf numFmtId="189" fontId="7" fillId="0" borderId="54" xfId="0" applyNumberFormat="1" applyFont="1" applyBorder="1" applyAlignment="1"/>
    <xf numFmtId="187" fontId="7" fillId="0" borderId="15" xfId="0" applyNumberFormat="1" applyFont="1" applyBorder="1" applyAlignment="1"/>
    <xf numFmtId="189" fontId="7" fillId="0" borderId="15" xfId="0" applyNumberFormat="1" applyFont="1" applyBorder="1" applyAlignment="1"/>
    <xf numFmtId="187" fontId="1" fillId="22" borderId="17" xfId="0" applyNumberFormat="1" applyFont="1" applyFill="1" applyBorder="1" applyAlignment="1">
      <alignment horizontal="center" vertical="center" wrapText="1"/>
    </xf>
    <xf numFmtId="189" fontId="1" fillId="7" borderId="28" xfId="0" applyNumberFormat="1" applyFont="1" applyFill="1" applyBorder="1" applyAlignment="1">
      <alignment vertical="center" shrinkToFit="1"/>
    </xf>
    <xf numFmtId="189" fontId="1" fillId="16" borderId="19" xfId="0" applyNumberFormat="1" applyFont="1" applyFill="1" applyBorder="1" applyAlignment="1">
      <alignment vertical="center" shrinkToFit="1"/>
    </xf>
    <xf numFmtId="189" fontId="1" fillId="17" borderId="30" xfId="0" applyNumberFormat="1" applyFont="1" applyFill="1" applyBorder="1" applyAlignment="1">
      <alignment vertical="center" shrinkToFit="1"/>
    </xf>
    <xf numFmtId="189" fontId="1" fillId="7" borderId="32" xfId="0" applyNumberFormat="1" applyFont="1" applyFill="1" applyBorder="1" applyAlignment="1">
      <alignment vertical="center" shrinkToFit="1"/>
    </xf>
    <xf numFmtId="189" fontId="1" fillId="12" borderId="36" xfId="0" applyNumberFormat="1" applyFont="1" applyFill="1" applyBorder="1" applyAlignment="1">
      <alignment vertical="center" shrinkToFit="1"/>
    </xf>
    <xf numFmtId="189" fontId="1" fillId="12" borderId="39" xfId="0" applyNumberFormat="1" applyFont="1" applyFill="1" applyBorder="1" applyAlignment="1">
      <alignment vertical="center" shrinkToFit="1"/>
    </xf>
    <xf numFmtId="189" fontId="1" fillId="12" borderId="42" xfId="0" applyNumberFormat="1" applyFont="1" applyFill="1" applyBorder="1" applyAlignment="1">
      <alignment vertical="center" shrinkToFit="1"/>
    </xf>
    <xf numFmtId="189" fontId="1" fillId="7" borderId="19" xfId="0" applyNumberFormat="1" applyFont="1" applyFill="1" applyBorder="1" applyAlignment="1">
      <alignment vertical="center" shrinkToFit="1"/>
    </xf>
    <xf numFmtId="187" fontId="1" fillId="23" borderId="17" xfId="0" applyNumberFormat="1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/>
    </xf>
    <xf numFmtId="187" fontId="1" fillId="21" borderId="17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187" fontId="1" fillId="21" borderId="22" xfId="0" applyNumberFormat="1" applyFont="1" applyFill="1" applyBorder="1" applyAlignment="1">
      <alignment horizontal="center" vertical="center" wrapText="1"/>
    </xf>
    <xf numFmtId="187" fontId="1" fillId="21" borderId="25" xfId="0" applyNumberFormat="1" applyFont="1" applyFill="1" applyBorder="1" applyAlignment="1">
      <alignment horizontal="center" vertical="center" shrinkToFit="1"/>
    </xf>
    <xf numFmtId="188" fontId="7" fillId="3" borderId="14" xfId="0" applyNumberFormat="1" applyFont="1" applyFill="1" applyBorder="1" applyAlignment="1">
      <alignment vertical="top"/>
    </xf>
    <xf numFmtId="187" fontId="8" fillId="23" borderId="15" xfId="0" applyNumberFormat="1" applyFont="1" applyFill="1" applyBorder="1" applyAlignment="1">
      <alignment horizontal="center" wrapText="1"/>
    </xf>
    <xf numFmtId="187" fontId="8" fillId="22" borderId="15" xfId="0" applyNumberFormat="1" applyFont="1" applyFill="1" applyBorder="1" applyAlignment="1">
      <alignment horizontal="center" wrapText="1"/>
    </xf>
    <xf numFmtId="0" fontId="8" fillId="22" borderId="15" xfId="0" applyFont="1" applyFill="1" applyBorder="1" applyAlignment="1">
      <alignment horizontal="center"/>
    </xf>
    <xf numFmtId="187" fontId="8" fillId="23" borderId="24" xfId="0" applyNumberFormat="1" applyFont="1" applyFill="1" applyBorder="1" applyAlignment="1">
      <alignment horizontal="center" wrapText="1"/>
    </xf>
    <xf numFmtId="187" fontId="8" fillId="13" borderId="24" xfId="0" applyNumberFormat="1" applyFont="1" applyFill="1" applyBorder="1" applyAlignment="1">
      <alignment horizontal="center" wrapText="1"/>
    </xf>
    <xf numFmtId="187" fontId="8" fillId="2" borderId="15" xfId="0" applyNumberFormat="1" applyFont="1" applyFill="1" applyBorder="1" applyAlignment="1">
      <alignment horizontal="center" wrapText="1"/>
    </xf>
    <xf numFmtId="187" fontId="8" fillId="23" borderId="24" xfId="0" applyNumberFormat="1" applyFont="1" applyFill="1" applyBorder="1" applyAlignment="1">
      <alignment horizontal="center"/>
    </xf>
    <xf numFmtId="189" fontId="8" fillId="2" borderId="50" xfId="0" applyNumberFormat="1" applyFont="1" applyFill="1" applyBorder="1" applyAlignment="1">
      <alignment horizontal="right"/>
    </xf>
    <xf numFmtId="187" fontId="8" fillId="22" borderId="50" xfId="0" applyNumberFormat="1" applyFont="1" applyFill="1" applyBorder="1" applyAlignment="1">
      <alignment horizontal="center"/>
    </xf>
    <xf numFmtId="187" fontId="8" fillId="2" borderId="50" xfId="0" applyNumberFormat="1" applyFont="1" applyFill="1" applyBorder="1" applyAlignment="1">
      <alignment horizontal="center"/>
    </xf>
    <xf numFmtId="187" fontId="8" fillId="36" borderId="24" xfId="0" applyNumberFormat="1" applyFont="1" applyFill="1" applyBorder="1" applyAlignment="1">
      <alignment horizontal="center" wrapText="1"/>
    </xf>
    <xf numFmtId="187" fontId="8" fillId="36" borderId="24" xfId="0" applyNumberFormat="1" applyFont="1" applyFill="1" applyBorder="1" applyAlignment="1">
      <alignment horizontal="center"/>
    </xf>
    <xf numFmtId="187" fontId="1" fillId="16" borderId="31" xfId="0" applyNumberFormat="1" applyFont="1" applyFill="1" applyBorder="1" applyAlignment="1">
      <alignment horizontal="left" vertical="center"/>
    </xf>
    <xf numFmtId="0" fontId="3" fillId="0" borderId="9" xfId="0" applyFont="1" applyBorder="1"/>
    <xf numFmtId="0" fontId="3" fillId="0" borderId="17" xfId="0" applyFont="1" applyBorder="1"/>
    <xf numFmtId="0" fontId="1" fillId="6" borderId="23" xfId="0" applyFont="1" applyFill="1" applyBorder="1" applyAlignment="1">
      <alignment horizontal="center" vertical="center"/>
    </xf>
    <xf numFmtId="0" fontId="3" fillId="0" borderId="24" xfId="0" applyFont="1" applyBorder="1"/>
    <xf numFmtId="0" fontId="1" fillId="7" borderId="31" xfId="0" applyFont="1" applyFill="1" applyBorder="1" applyAlignment="1">
      <alignment horizontal="left" vertical="center"/>
    </xf>
    <xf numFmtId="0" fontId="3" fillId="0" borderId="12" xfId="0" applyFont="1" applyBorder="1"/>
    <xf numFmtId="0" fontId="1" fillId="7" borderId="43" xfId="0" applyFont="1" applyFill="1" applyBorder="1" applyAlignment="1">
      <alignment horizontal="left" vertical="center"/>
    </xf>
    <xf numFmtId="0" fontId="3" fillId="0" borderId="44" xfId="0" applyFont="1" applyBorder="1"/>
    <xf numFmtId="49" fontId="1" fillId="7" borderId="43" xfId="0" applyNumberFormat="1" applyFont="1" applyFill="1" applyBorder="1" applyAlignment="1">
      <alignment horizontal="left" vertical="center"/>
    </xf>
    <xf numFmtId="188" fontId="1" fillId="4" borderId="8" xfId="0" applyNumberFormat="1" applyFont="1" applyFill="1" applyBorder="1" applyAlignment="1">
      <alignment horizontal="center" vertical="top" shrinkToFit="1"/>
    </xf>
    <xf numFmtId="0" fontId="3" fillId="0" borderId="8" xfId="0" applyFont="1" applyBorder="1"/>
    <xf numFmtId="187" fontId="1" fillId="6" borderId="11" xfId="0" applyNumberFormat="1" applyFont="1" applyFill="1" applyBorder="1" applyAlignment="1">
      <alignment horizontal="center" vertical="center" shrinkToFit="1"/>
    </xf>
    <xf numFmtId="187" fontId="1" fillId="7" borderId="11" xfId="0" applyNumberFormat="1" applyFont="1" applyFill="1" applyBorder="1" applyAlignment="1">
      <alignment horizontal="center" vertical="center" shrinkToFit="1"/>
    </xf>
    <xf numFmtId="0" fontId="3" fillId="0" borderId="6" xfId="0" applyFont="1" applyBorder="1"/>
    <xf numFmtId="0" fontId="3" fillId="0" borderId="15" xfId="0" applyFont="1" applyBorder="1"/>
    <xf numFmtId="187" fontId="1" fillId="13" borderId="11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187" fontId="1" fillId="2" borderId="1" xfId="0" applyNumberFormat="1" applyFont="1" applyFill="1" applyBorder="1" applyAlignment="1">
      <alignment horizontal="center" vertical="center" shrinkToFit="1"/>
    </xf>
    <xf numFmtId="0" fontId="3" fillId="0" borderId="2" xfId="0" applyFont="1" applyBorder="1"/>
    <xf numFmtId="0" fontId="3" fillId="0" borderId="5" xfId="0" applyFont="1" applyBorder="1"/>
    <xf numFmtId="0" fontId="3" fillId="0" borderId="13" xfId="0" applyFont="1" applyBorder="1"/>
    <xf numFmtId="188" fontId="1" fillId="3" borderId="3" xfId="0" applyNumberFormat="1" applyFont="1" applyFill="1" applyBorder="1" applyAlignment="1">
      <alignment horizontal="center" vertical="top" shrinkToFit="1"/>
    </xf>
    <xf numFmtId="0" fontId="3" fillId="0" borderId="3" xfId="0" applyFont="1" applyBorder="1"/>
    <xf numFmtId="0" fontId="3" fillId="0" borderId="4" xfId="0" applyFont="1" applyBorder="1"/>
    <xf numFmtId="188" fontId="1" fillId="5" borderId="1" xfId="0" applyNumberFormat="1" applyFont="1" applyFill="1" applyBorder="1" applyAlignment="1">
      <alignment horizontal="center" vertical="top" wrapText="1"/>
    </xf>
    <xf numFmtId="0" fontId="3" fillId="0" borderId="10" xfId="0" applyFont="1" applyBorder="1"/>
    <xf numFmtId="0" fontId="3" fillId="0" borderId="14" xfId="0" applyFont="1" applyBorder="1"/>
    <xf numFmtId="188" fontId="8" fillId="19" borderId="14" xfId="0" applyNumberFormat="1" applyFont="1" applyFill="1" applyBorder="1" applyAlignment="1">
      <alignment horizontal="center" vertical="top" wrapText="1"/>
    </xf>
    <xf numFmtId="187" fontId="8" fillId="6" borderId="14" xfId="0" applyNumberFormat="1" applyFont="1" applyFill="1" applyBorder="1" applyAlignment="1">
      <alignment horizontal="center"/>
    </xf>
    <xf numFmtId="187" fontId="8" fillId="7" borderId="14" xfId="0" applyNumberFormat="1" applyFont="1" applyFill="1" applyBorder="1" applyAlignment="1">
      <alignment horizontal="center"/>
    </xf>
    <xf numFmtId="187" fontId="8" fillId="13" borderId="14" xfId="0" applyNumberFormat="1" applyFont="1" applyFill="1" applyBorder="1" applyAlignment="1">
      <alignment horizontal="center" wrapText="1"/>
    </xf>
    <xf numFmtId="187" fontId="8" fillId="2" borderId="14" xfId="0" applyNumberFormat="1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/>
    </xf>
    <xf numFmtId="188" fontId="8" fillId="5" borderId="14" xfId="0" applyNumberFormat="1" applyFont="1" applyFill="1" applyBorder="1" applyAlignment="1">
      <alignment horizontal="center" vertical="top" wrapText="1"/>
    </xf>
    <xf numFmtId="187" fontId="8" fillId="2" borderId="14" xfId="0" applyNumberFormat="1" applyFont="1" applyFill="1" applyBorder="1" applyAlignment="1">
      <alignment horizontal="center"/>
    </xf>
    <xf numFmtId="188" fontId="8" fillId="3" borderId="14" xfId="0" applyNumberFormat="1" applyFont="1" applyFill="1" applyBorder="1" applyAlignment="1">
      <alignment horizontal="center" vertical="top"/>
    </xf>
    <xf numFmtId="188" fontId="8" fillId="4" borderId="14" xfId="0" applyNumberFormat="1" applyFont="1" applyFill="1" applyBorder="1" applyAlignment="1">
      <alignment horizontal="center" vertical="top"/>
    </xf>
    <xf numFmtId="188" fontId="8" fillId="5" borderId="0" xfId="0" applyNumberFormat="1" applyFont="1" applyFill="1" applyAlignment="1">
      <alignment horizontal="center" vertical="top" wrapText="1"/>
    </xf>
    <xf numFmtId="0" fontId="0" fillId="0" borderId="0" xfId="0" applyFont="1" applyAlignment="1"/>
    <xf numFmtId="0" fontId="8" fillId="7" borderId="51" xfId="0" applyFont="1" applyFill="1" applyBorder="1"/>
    <xf numFmtId="0" fontId="3" fillId="0" borderId="52" xfId="0" applyFont="1" applyBorder="1"/>
    <xf numFmtId="49" fontId="8" fillId="7" borderId="51" xfId="0" applyNumberFormat="1" applyFont="1" applyFill="1" applyBorder="1"/>
    <xf numFmtId="187" fontId="8" fillId="16" borderId="51" xfId="0" applyNumberFormat="1" applyFont="1" applyFill="1" applyBorder="1"/>
    <xf numFmtId="187" fontId="8" fillId="2" borderId="46" xfId="0" applyNumberFormat="1" applyFont="1" applyFill="1" applyBorder="1" applyAlignment="1">
      <alignment horizontal="center"/>
    </xf>
    <xf numFmtId="0" fontId="3" fillId="0" borderId="47" xfId="0" applyFont="1" applyBorder="1"/>
    <xf numFmtId="0" fontId="3" fillId="0" borderId="46" xfId="0" applyFont="1" applyBorder="1"/>
    <xf numFmtId="0" fontId="3" fillId="0" borderId="48" xfId="0" applyFont="1" applyBorder="1"/>
    <xf numFmtId="0" fontId="3" fillId="0" borderId="49" xfId="0" applyFont="1" applyBorder="1"/>
    <xf numFmtId="0" fontId="8" fillId="6" borderId="23" xfId="0" applyFont="1" applyFill="1" applyBorder="1" applyAlignment="1">
      <alignment horizontal="center"/>
    </xf>
    <xf numFmtId="0" fontId="3" fillId="0" borderId="50" xfId="0" applyFont="1" applyBorder="1"/>
    <xf numFmtId="188" fontId="1" fillId="22" borderId="13" xfId="0" applyNumberFormat="1" applyFont="1" applyFill="1" applyBorder="1" applyAlignment="1">
      <alignment horizontal="center" vertical="top" wrapText="1"/>
    </xf>
    <xf numFmtId="188" fontId="1" fillId="23" borderId="13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88" fontId="1" fillId="4" borderId="11" xfId="0" applyNumberFormat="1" applyFont="1" applyFill="1" applyBorder="1" applyAlignment="1">
      <alignment horizontal="center" vertical="top" shrinkToFit="1"/>
    </xf>
    <xf numFmtId="188" fontId="1" fillId="20" borderId="11" xfId="0" applyNumberFormat="1" applyFont="1" applyFill="1" applyBorder="1" applyAlignment="1">
      <alignment horizontal="center" vertical="top" wrapText="1"/>
    </xf>
    <xf numFmtId="188" fontId="1" fillId="21" borderId="1" xfId="0" applyNumberFormat="1" applyFont="1" applyFill="1" applyBorder="1" applyAlignment="1">
      <alignment horizontal="center" vertical="top" wrapText="1"/>
    </xf>
    <xf numFmtId="188" fontId="8" fillId="23" borderId="11" xfId="0" applyNumberFormat="1" applyFont="1" applyFill="1" applyBorder="1" applyAlignment="1">
      <alignment horizontal="center" vertical="top" wrapText="1"/>
    </xf>
    <xf numFmtId="187" fontId="1" fillId="2" borderId="56" xfId="0" applyNumberFormat="1" applyFont="1" applyFill="1" applyBorder="1" applyAlignment="1">
      <alignment horizontal="center" vertical="center" shrinkToFit="1"/>
    </xf>
    <xf numFmtId="0" fontId="3" fillId="0" borderId="7" xfId="0" applyFont="1" applyBorder="1"/>
    <xf numFmtId="0" fontId="1" fillId="6" borderId="57" xfId="0" applyFont="1" applyFill="1" applyBorder="1" applyAlignment="1">
      <alignment horizontal="center" vertical="center"/>
    </xf>
    <xf numFmtId="0" fontId="3" fillId="0" borderId="58" xfId="0" applyFont="1" applyBorder="1"/>
    <xf numFmtId="188" fontId="8" fillId="22" borderId="14" xfId="0" applyNumberFormat="1" applyFont="1" applyFill="1" applyBorder="1" applyAlignment="1">
      <alignment horizontal="center" vertical="top" wrapText="1"/>
    </xf>
    <xf numFmtId="188" fontId="8" fillId="23" borderId="14" xfId="0" applyNumberFormat="1" applyFont="1" applyFill="1" applyBorder="1" applyAlignment="1">
      <alignment horizontal="center" vertical="top" wrapText="1"/>
    </xf>
    <xf numFmtId="188" fontId="8" fillId="21" borderId="14" xfId="0" applyNumberFormat="1" applyFont="1" applyFill="1" applyBorder="1" applyAlignment="1">
      <alignment horizontal="center" vertical="top" wrapText="1"/>
    </xf>
    <xf numFmtId="188" fontId="8" fillId="27" borderId="14" xfId="0" applyNumberFormat="1" applyFont="1" applyFill="1" applyBorder="1" applyAlignment="1">
      <alignment horizontal="center" vertical="top" wrapText="1"/>
    </xf>
    <xf numFmtId="188" fontId="11" fillId="28" borderId="14" xfId="0" applyNumberFormat="1" applyFont="1" applyFill="1" applyBorder="1" applyAlignment="1">
      <alignment horizontal="center" vertical="top" wrapText="1"/>
    </xf>
    <xf numFmtId="188" fontId="8" fillId="29" borderId="14" xfId="0" applyNumberFormat="1" applyFont="1" applyFill="1" applyBorder="1" applyAlignment="1">
      <alignment horizontal="center" vertical="top" wrapText="1"/>
    </xf>
    <xf numFmtId="188" fontId="12" fillId="30" borderId="14" xfId="0" applyNumberFormat="1" applyFont="1" applyFill="1" applyBorder="1" applyAlignment="1">
      <alignment horizontal="center" vertical="top" wrapText="1"/>
    </xf>
    <xf numFmtId="188" fontId="11" fillId="31" borderId="14" xfId="0" applyNumberFormat="1" applyFont="1" applyFill="1" applyBorder="1" applyAlignment="1">
      <alignment horizontal="center" vertical="top" wrapText="1"/>
    </xf>
    <xf numFmtId="188" fontId="8" fillId="32" borderId="14" xfId="0" applyNumberFormat="1" applyFont="1" applyFill="1" applyBorder="1" applyAlignment="1">
      <alignment horizontal="center" vertical="top" wrapText="1"/>
    </xf>
    <xf numFmtId="0" fontId="8" fillId="33" borderId="14" xfId="0" quotePrefix="1" applyFont="1" applyFill="1" applyBorder="1" applyAlignment="1">
      <alignment horizontal="center" vertical="top" wrapText="1"/>
    </xf>
    <xf numFmtId="0" fontId="8" fillId="32" borderId="14" xfId="0" applyFont="1" applyFill="1" applyBorder="1" applyAlignment="1">
      <alignment horizontal="center" vertical="top" wrapText="1"/>
    </xf>
    <xf numFmtId="0" fontId="11" fillId="34" borderId="14" xfId="0" applyFont="1" applyFill="1" applyBorder="1" applyAlignment="1">
      <alignment horizontal="center" vertical="top" wrapText="1"/>
    </xf>
    <xf numFmtId="0" fontId="8" fillId="35" borderId="14" xfId="0" applyFont="1" applyFill="1" applyBorder="1" applyAlignment="1">
      <alignment horizontal="center" vertical="top" wrapText="1"/>
    </xf>
    <xf numFmtId="0" fontId="11" fillId="34" borderId="14" xfId="0" applyFont="1" applyFill="1" applyBorder="1" applyAlignment="1">
      <alignment horizontal="center"/>
    </xf>
    <xf numFmtId="188" fontId="11" fillId="24" borderId="14" xfId="0" applyNumberFormat="1" applyFont="1" applyFill="1" applyBorder="1" applyAlignment="1">
      <alignment horizontal="center" vertical="top" wrapText="1"/>
    </xf>
    <xf numFmtId="188" fontId="11" fillId="25" borderId="14" xfId="0" applyNumberFormat="1" applyFont="1" applyFill="1" applyBorder="1" applyAlignment="1">
      <alignment horizontal="center" vertical="top" wrapText="1"/>
    </xf>
    <xf numFmtId="188" fontId="11" fillId="26" borderId="14" xfId="0" applyNumberFormat="1" applyFont="1" applyFill="1" applyBorder="1" applyAlignment="1">
      <alignment horizontal="center" vertical="top" wrapText="1"/>
    </xf>
    <xf numFmtId="187" fontId="8" fillId="21" borderId="14" xfId="0" applyNumberFormat="1" applyFont="1" applyFill="1" applyBorder="1" applyAlignment="1">
      <alignment horizontal="center" wrapText="1"/>
    </xf>
    <xf numFmtId="187" fontId="8" fillId="28" borderId="14" xfId="0" applyNumberFormat="1" applyFont="1" applyFill="1" applyBorder="1" applyAlignment="1">
      <alignment horizontal="center" wrapText="1"/>
    </xf>
    <xf numFmtId="0" fontId="8" fillId="35" borderId="59" xfId="0" applyFont="1" applyFill="1" applyBorder="1" applyAlignment="1">
      <alignment horizontal="center" vertical="top" wrapText="1"/>
    </xf>
    <xf numFmtId="187" fontId="8" fillId="22" borderId="14" xfId="0" applyNumberFormat="1" applyFont="1" applyFill="1" applyBorder="1" applyAlignment="1">
      <alignment horizontal="center" wrapText="1"/>
    </xf>
    <xf numFmtId="187" fontId="11" fillId="31" borderId="14" xfId="0" applyNumberFormat="1" applyFont="1" applyFill="1" applyBorder="1" applyAlignment="1">
      <alignment horizontal="center" wrapText="1"/>
    </xf>
    <xf numFmtId="188" fontId="1" fillId="22" borderId="60" xfId="0" applyNumberFormat="1" applyFont="1" applyFill="1" applyBorder="1" applyAlignment="1">
      <alignment horizontal="center" vertical="top" wrapText="1"/>
    </xf>
    <xf numFmtId="0" fontId="3" fillId="0" borderId="61" xfId="0" applyFont="1" applyBorder="1"/>
    <xf numFmtId="0" fontId="3" fillId="0" borderId="62" xfId="0" applyFont="1" applyBorder="1"/>
    <xf numFmtId="0" fontId="3" fillId="0" borderId="23" xfId="0" applyFont="1" applyBorder="1"/>
    <xf numFmtId="0" fontId="3" fillId="0" borderId="59" xfId="0" applyFont="1" applyBorder="1"/>
    <xf numFmtId="188" fontId="1" fillId="23" borderId="14" xfId="0" applyNumberFormat="1" applyFont="1" applyFill="1" applyBorder="1" applyAlignment="1">
      <alignment horizontal="center" vertical="top" wrapText="1"/>
    </xf>
    <xf numFmtId="0" fontId="1" fillId="2" borderId="65" xfId="0" applyFont="1" applyFill="1" applyBorder="1" applyAlignment="1">
      <alignment horizontal="center" vertical="center"/>
    </xf>
    <xf numFmtId="188" fontId="8" fillId="23" borderId="13" xfId="0" applyNumberFormat="1" applyFont="1" applyFill="1" applyBorder="1" applyAlignment="1">
      <alignment horizontal="center" vertical="top" wrapText="1"/>
    </xf>
    <xf numFmtId="188" fontId="1" fillId="23" borderId="57" xfId="0" applyNumberFormat="1" applyFont="1" applyFill="1" applyBorder="1" applyAlignment="1">
      <alignment horizontal="center" vertical="top" wrapText="1"/>
    </xf>
    <xf numFmtId="0" fontId="3" fillId="0" borderId="63" xfId="0" applyFont="1" applyBorder="1"/>
    <xf numFmtId="0" fontId="3" fillId="0" borderId="64" xfId="0" applyFont="1" applyBorder="1"/>
    <xf numFmtId="188" fontId="1" fillId="22" borderId="1" xfId="0" applyNumberFormat="1" applyFont="1" applyFill="1" applyBorder="1" applyAlignment="1">
      <alignment horizontal="center" vertical="top" wrapText="1"/>
    </xf>
    <xf numFmtId="188" fontId="1" fillId="23" borderId="1" xfId="0" applyNumberFormat="1" applyFont="1" applyFill="1" applyBorder="1" applyAlignment="1">
      <alignment horizontal="center" vertical="top" wrapText="1"/>
    </xf>
    <xf numFmtId="188" fontId="6" fillId="37" borderId="16" xfId="0" applyNumberFormat="1" applyFont="1" applyFill="1" applyBorder="1" applyAlignment="1">
      <alignment horizontal="center" vertical="top" wrapText="1"/>
    </xf>
    <xf numFmtId="188" fontId="6" fillId="36" borderId="16" xfId="0" applyNumberFormat="1" applyFont="1" applyFill="1" applyBorder="1" applyAlignment="1">
      <alignment horizontal="center" vertical="top" wrapText="1"/>
    </xf>
    <xf numFmtId="188" fontId="1" fillId="27" borderId="16" xfId="0" applyNumberFormat="1" applyFont="1" applyFill="1" applyBorder="1" applyAlignment="1">
      <alignment horizontal="center" vertical="top" wrapText="1"/>
    </xf>
    <xf numFmtId="0" fontId="8" fillId="22" borderId="14" xfId="0" applyFont="1" applyFill="1" applyBorder="1" applyAlignment="1">
      <alignment horizontal="center"/>
    </xf>
    <xf numFmtId="188" fontId="8" fillId="23" borderId="0" xfId="0" applyNumberFormat="1" applyFont="1" applyFill="1" applyAlignment="1">
      <alignment horizontal="center" vertical="top" wrapText="1"/>
    </xf>
    <xf numFmtId="188" fontId="8" fillId="13" borderId="0" xfId="0" applyNumberFormat="1" applyFont="1" applyFill="1" applyAlignment="1">
      <alignment horizontal="center" vertical="top" wrapText="1"/>
    </xf>
    <xf numFmtId="188" fontId="8" fillId="22" borderId="0" xfId="0" applyNumberFormat="1" applyFont="1" applyFill="1" applyAlignment="1">
      <alignment horizontal="center" vertical="top" wrapText="1"/>
    </xf>
    <xf numFmtId="187" fontId="8" fillId="36" borderId="14" xfId="0" applyNumberFormat="1" applyFont="1" applyFill="1" applyBorder="1" applyAlignment="1">
      <alignment horizontal="center" wrapText="1"/>
    </xf>
    <xf numFmtId="188" fontId="8" fillId="20" borderId="14" xfId="0" applyNumberFormat="1" applyFont="1" applyFill="1" applyBorder="1" applyAlignment="1">
      <alignment horizontal="center" vertical="top" wrapText="1"/>
    </xf>
    <xf numFmtId="187" fontId="1" fillId="8" borderId="16" xfId="0" applyNumberFormat="1" applyFont="1" applyFill="1" applyBorder="1" applyAlignment="1">
      <alignment horizontal="center" vertical="top" wrapText="1" shrinkToFit="1"/>
    </xf>
    <xf numFmtId="187" fontId="1" fillId="6" borderId="16" xfId="0" applyNumberFormat="1" applyFont="1" applyFill="1" applyBorder="1" applyAlignment="1">
      <alignment horizontal="center" vertical="top" wrapText="1" shrinkToFit="1"/>
    </xf>
    <xf numFmtId="187" fontId="1" fillId="9" borderId="16" xfId="0" applyNumberFormat="1" applyFont="1" applyFill="1" applyBorder="1" applyAlignment="1">
      <alignment horizontal="center" vertical="top" wrapText="1" shrinkToFit="1"/>
    </xf>
    <xf numFmtId="0" fontId="3" fillId="0" borderId="17" xfId="0" applyFont="1" applyBorder="1" applyAlignment="1">
      <alignment wrapText="1"/>
    </xf>
    <xf numFmtId="187" fontId="8" fillId="8" borderId="6" xfId="0" applyNumberFormat="1" applyFont="1" applyFill="1" applyBorder="1" applyAlignment="1">
      <alignment horizontal="center" vertical="top" wrapText="1"/>
    </xf>
    <xf numFmtId="187" fontId="8" fillId="6" borderId="6" xfId="0" applyNumberFormat="1" applyFont="1" applyFill="1" applyBorder="1" applyAlignment="1">
      <alignment horizontal="center" vertical="top" wrapText="1"/>
    </xf>
    <xf numFmtId="187" fontId="8" fillId="9" borderId="6" xfId="0" applyNumberFormat="1" applyFont="1" applyFill="1" applyBorder="1" applyAlignment="1">
      <alignment horizontal="center" vertical="top" wrapText="1"/>
    </xf>
    <xf numFmtId="0" fontId="3" fillId="0" borderId="15" xfId="0" applyFont="1" applyBorder="1" applyAlignment="1">
      <alignment wrapText="1"/>
    </xf>
    <xf numFmtId="187" fontId="1" fillId="1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wrapText="1"/>
    </xf>
    <xf numFmtId="187" fontId="4" fillId="11" borderId="17" xfId="0" applyNumberFormat="1" applyFont="1" applyFill="1" applyBorder="1" applyAlignment="1">
      <alignment horizontal="center" vertical="center" wrapText="1" shrinkToFit="1"/>
    </xf>
    <xf numFmtId="187" fontId="4" fillId="12" borderId="17" xfId="0" applyNumberFormat="1" applyFont="1" applyFill="1" applyBorder="1" applyAlignment="1">
      <alignment horizontal="center" vertical="center" wrapText="1" shrinkToFit="1"/>
    </xf>
    <xf numFmtId="188" fontId="1" fillId="12" borderId="13" xfId="0" applyNumberFormat="1" applyFont="1" applyFill="1" applyBorder="1" applyAlignment="1">
      <alignment horizontal="center" vertical="center" wrapText="1" shrinkToFit="1"/>
    </xf>
    <xf numFmtId="187" fontId="8" fillId="10" borderId="14" xfId="0" applyNumberFormat="1" applyFont="1" applyFill="1" applyBorder="1" applyAlignment="1">
      <alignment horizontal="center" wrapText="1"/>
    </xf>
    <xf numFmtId="187" fontId="10" fillId="11" borderId="15" xfId="0" applyNumberFormat="1" applyFont="1" applyFill="1" applyBorder="1" applyAlignment="1">
      <alignment horizontal="center" wrapText="1"/>
    </xf>
    <xf numFmtId="187" fontId="10" fillId="18" borderId="15" xfId="0" applyNumberFormat="1" applyFont="1" applyFill="1" applyBorder="1" applyAlignment="1">
      <alignment horizontal="center" wrapText="1"/>
    </xf>
    <xf numFmtId="188" fontId="8" fillId="18" borderId="14" xfId="0" applyNumberFormat="1" applyFont="1" applyFill="1" applyBorder="1" applyAlignment="1">
      <alignment horizontal="center" wrapText="1"/>
    </xf>
    <xf numFmtId="187" fontId="8" fillId="10" borderId="14" xfId="0" applyNumberFormat="1" applyFont="1" applyFill="1" applyBorder="1" applyAlignment="1">
      <alignment horizontal="center" vertical="top" wrapText="1"/>
    </xf>
    <xf numFmtId="187" fontId="9" fillId="11" borderId="15" xfId="0" applyNumberFormat="1" applyFont="1" applyFill="1" applyBorder="1" applyAlignment="1">
      <alignment horizontal="center" wrapText="1"/>
    </xf>
    <xf numFmtId="187" fontId="9" fillId="18" borderId="15" xfId="0" applyNumberFormat="1" applyFont="1" applyFill="1" applyBorder="1" applyAlignment="1">
      <alignment horizontal="center" wrapText="1"/>
    </xf>
    <xf numFmtId="188" fontId="8" fillId="18" borderId="14" xfId="0" applyNumberFormat="1" applyFont="1" applyFill="1" applyBorder="1" applyAlignment="1">
      <alignment horizontal="center" vertical="top" wrapText="1"/>
    </xf>
    <xf numFmtId="188" fontId="1" fillId="3" borderId="18" xfId="0" applyNumberFormat="1" applyFont="1" applyFill="1" applyBorder="1" applyAlignment="1">
      <alignment horizontal="center" vertical="top" shrinkToFit="1"/>
    </xf>
    <xf numFmtId="188" fontId="1" fillId="3" borderId="12" xfId="0" applyNumberFormat="1" applyFont="1" applyFill="1" applyBorder="1" applyAlignment="1">
      <alignment horizontal="center" vertical="top" shrinkToFit="1"/>
    </xf>
    <xf numFmtId="187" fontId="16" fillId="18" borderId="54" xfId="0" applyNumberFormat="1" applyFont="1" applyFill="1" applyBorder="1"/>
    <xf numFmtId="187" fontId="17" fillId="18" borderId="54" xfId="0" applyNumberFormat="1" applyFont="1" applyFill="1" applyBorder="1" applyAlignment="1">
      <alignment horizontal="right"/>
    </xf>
    <xf numFmtId="187" fontId="16" fillId="18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L1000"/>
  <sheetViews>
    <sheetView tabSelected="1" view="pageBreakPreview" zoomScale="6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B6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7" width="12.5703125" customWidth="1"/>
    <col min="18" max="20" width="10.140625" customWidth="1"/>
    <col min="24" max="38" width="12.5703125" customWidth="1"/>
  </cols>
  <sheetData>
    <row r="1" spans="1:38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2"/>
      <c r="P1" s="2"/>
      <c r="Q1" s="2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24" customHeight="1" x14ac:dyDescent="0.2">
      <c r="A2" s="316" t="s">
        <v>1</v>
      </c>
      <c r="B2" s="317"/>
      <c r="C2" s="7"/>
      <c r="D2" s="426" t="s">
        <v>2</v>
      </c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426"/>
      <c r="W2" s="426"/>
      <c r="X2" s="426"/>
      <c r="Y2" s="427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</row>
    <row r="3" spans="1:38" ht="30" customHeight="1" x14ac:dyDescent="0.2">
      <c r="A3" s="318"/>
      <c r="B3" s="312"/>
      <c r="C3" s="9"/>
      <c r="D3" s="308" t="s">
        <v>3</v>
      </c>
      <c r="E3" s="309"/>
      <c r="F3" s="309"/>
      <c r="G3" s="309"/>
      <c r="H3" s="309"/>
      <c r="I3" s="309"/>
      <c r="J3" s="309"/>
      <c r="K3" s="309"/>
      <c r="L3" s="309"/>
      <c r="M3" s="309"/>
      <c r="N3" s="299"/>
      <c r="O3" s="323" t="s">
        <v>4</v>
      </c>
      <c r="P3" s="324"/>
      <c r="Q3" s="324"/>
      <c r="R3" s="324"/>
      <c r="S3" s="324"/>
      <c r="T3" s="317"/>
      <c r="U3" s="323" t="s">
        <v>5</v>
      </c>
      <c r="V3" s="324"/>
      <c r="W3" s="317"/>
      <c r="X3" s="323" t="s">
        <v>6</v>
      </c>
      <c r="Y3" s="324"/>
      <c r="Z3" s="324"/>
      <c r="AA3" s="324"/>
      <c r="AB3" s="324"/>
      <c r="AC3" s="317"/>
      <c r="AD3" s="323" t="s">
        <v>7</v>
      </c>
      <c r="AE3" s="324"/>
      <c r="AF3" s="324"/>
      <c r="AG3" s="324"/>
      <c r="AH3" s="324"/>
      <c r="AI3" s="317"/>
      <c r="AJ3" s="323" t="s">
        <v>5</v>
      </c>
      <c r="AK3" s="324"/>
      <c r="AL3" s="317"/>
    </row>
    <row r="4" spans="1:38" ht="30" customHeight="1" x14ac:dyDescent="0.2">
      <c r="A4" s="318"/>
      <c r="B4" s="312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19"/>
      <c r="P4" s="325"/>
      <c r="Q4" s="325"/>
      <c r="R4" s="325"/>
      <c r="S4" s="325"/>
      <c r="T4" s="313"/>
      <c r="U4" s="319"/>
      <c r="V4" s="325"/>
      <c r="W4" s="313"/>
      <c r="X4" s="319"/>
      <c r="Y4" s="325"/>
      <c r="Z4" s="325"/>
      <c r="AA4" s="325"/>
      <c r="AB4" s="325"/>
      <c r="AC4" s="313"/>
      <c r="AD4" s="319"/>
      <c r="AE4" s="325"/>
      <c r="AF4" s="325"/>
      <c r="AG4" s="325"/>
      <c r="AH4" s="325"/>
      <c r="AI4" s="313"/>
      <c r="AJ4" s="319"/>
      <c r="AK4" s="325"/>
      <c r="AL4" s="313"/>
    </row>
    <row r="5" spans="1:38" ht="58.5" customHeight="1" x14ac:dyDescent="0.2">
      <c r="A5" s="318"/>
      <c r="B5" s="312"/>
      <c r="C5" s="405" t="s">
        <v>10</v>
      </c>
      <c r="D5" s="406" t="s">
        <v>11</v>
      </c>
      <c r="E5" s="407" t="s">
        <v>12</v>
      </c>
      <c r="F5" s="413" t="s">
        <v>13</v>
      </c>
      <c r="G5" s="414"/>
      <c r="H5" s="415" t="s">
        <v>14</v>
      </c>
      <c r="I5" s="416" t="s">
        <v>15</v>
      </c>
      <c r="J5" s="416" t="s">
        <v>16</v>
      </c>
      <c r="K5" s="416" t="s">
        <v>17</v>
      </c>
      <c r="L5" s="416" t="s">
        <v>18</v>
      </c>
      <c r="M5" s="417" t="s">
        <v>19</v>
      </c>
      <c r="N5" s="412"/>
      <c r="O5" s="314" t="s">
        <v>20</v>
      </c>
      <c r="P5" s="304"/>
      <c r="Q5" s="315" t="s">
        <v>21</v>
      </c>
      <c r="R5" s="309"/>
      <c r="S5" s="309"/>
      <c r="T5" s="304"/>
      <c r="U5" s="10" t="s">
        <v>20</v>
      </c>
      <c r="V5" s="315" t="s">
        <v>21</v>
      </c>
      <c r="W5" s="304"/>
      <c r="X5" s="314" t="s">
        <v>20</v>
      </c>
      <c r="Y5" s="304"/>
      <c r="Z5" s="315" t="s">
        <v>21</v>
      </c>
      <c r="AA5" s="309"/>
      <c r="AB5" s="309"/>
      <c r="AC5" s="304"/>
      <c r="AD5" s="314" t="s">
        <v>20</v>
      </c>
      <c r="AE5" s="304"/>
      <c r="AF5" s="315" t="s">
        <v>21</v>
      </c>
      <c r="AG5" s="309"/>
      <c r="AH5" s="309"/>
      <c r="AI5" s="304"/>
      <c r="AJ5" s="10" t="s">
        <v>20</v>
      </c>
      <c r="AK5" s="315" t="s">
        <v>21</v>
      </c>
      <c r="AL5" s="304"/>
    </row>
    <row r="6" spans="1:38" ht="30" customHeight="1" x14ac:dyDescent="0.2">
      <c r="A6" s="319"/>
      <c r="B6" s="313"/>
      <c r="C6" s="408"/>
      <c r="D6" s="408"/>
      <c r="E6" s="408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17" t="s">
        <v>24</v>
      </c>
      <c r="P6" s="18" t="s">
        <v>25</v>
      </c>
      <c r="Q6" s="19" t="s">
        <v>24</v>
      </c>
      <c r="R6" s="20" t="s">
        <v>23</v>
      </c>
      <c r="S6" s="21" t="s">
        <v>25</v>
      </c>
      <c r="T6" s="20" t="s">
        <v>23</v>
      </c>
      <c r="U6" s="22" t="s">
        <v>24</v>
      </c>
      <c r="V6" s="21" t="s">
        <v>24</v>
      </c>
      <c r="W6" s="20" t="s">
        <v>23</v>
      </c>
      <c r="X6" s="17" t="s">
        <v>24</v>
      </c>
      <c r="Y6" s="18" t="s">
        <v>25</v>
      </c>
      <c r="Z6" s="19" t="s">
        <v>24</v>
      </c>
      <c r="AA6" s="20" t="s">
        <v>23</v>
      </c>
      <c r="AB6" s="21" t="s">
        <v>25</v>
      </c>
      <c r="AC6" s="20" t="s">
        <v>23</v>
      </c>
      <c r="AD6" s="17" t="s">
        <v>24</v>
      </c>
      <c r="AE6" s="18" t="s">
        <v>25</v>
      </c>
      <c r="AF6" s="19" t="s">
        <v>24</v>
      </c>
      <c r="AG6" s="20" t="s">
        <v>23</v>
      </c>
      <c r="AH6" s="21" t="s">
        <v>25</v>
      </c>
      <c r="AI6" s="20" t="s">
        <v>23</v>
      </c>
      <c r="AJ6" s="22" t="s">
        <v>24</v>
      </c>
      <c r="AK6" s="21" t="s">
        <v>24</v>
      </c>
      <c r="AL6" s="20" t="s">
        <v>23</v>
      </c>
    </row>
    <row r="7" spans="1:38" ht="24" customHeight="1" x14ac:dyDescent="0.2">
      <c r="A7" s="301" t="s">
        <v>248</v>
      </c>
      <c r="B7" s="302"/>
      <c r="C7" s="23">
        <f ca="1">C8+C9+C12</f>
        <v>7687220</v>
      </c>
      <c r="D7" s="24">
        <f t="shared" ref="D7:E7" ca="1" si="0">D8</f>
        <v>7687220</v>
      </c>
      <c r="E7" s="25">
        <f t="shared" ca="1" si="0"/>
        <v>0</v>
      </c>
      <c r="F7" s="26">
        <f t="shared" ref="F7:F116" ca="1" si="1">H7+M7</f>
        <v>3874443.87</v>
      </c>
      <c r="G7" s="27">
        <f t="shared" ref="G7:G116" ca="1" si="2">IF(D7&gt;0,F7*100/D7,0)</f>
        <v>50.401105601244666</v>
      </c>
      <c r="H7" s="26">
        <f t="shared" ref="H7:M7" ca="1" si="3">H8</f>
        <v>3874443.87</v>
      </c>
      <c r="I7" s="26">
        <f t="shared" ca="1" si="3"/>
        <v>2995804.4</v>
      </c>
      <c r="J7" s="26">
        <f t="shared" ca="1" si="3"/>
        <v>11220</v>
      </c>
      <c r="K7" s="26">
        <f t="shared" ca="1" si="3"/>
        <v>0</v>
      </c>
      <c r="L7" s="26">
        <f t="shared" ca="1" si="3"/>
        <v>867419.47</v>
      </c>
      <c r="M7" s="28">
        <f t="shared" ca="1" si="3"/>
        <v>0</v>
      </c>
      <c r="N7" s="28">
        <f t="shared" ref="N7:N11" ca="1" si="4">IF(E7&gt;0,M7*100/E7,0)</f>
        <v>0</v>
      </c>
      <c r="O7" s="29">
        <f t="shared" ref="O7:Q7" ca="1" si="5">O8</f>
        <v>2000</v>
      </c>
      <c r="P7" s="29">
        <f t="shared" ca="1" si="5"/>
        <v>88</v>
      </c>
      <c r="Q7" s="30">
        <f t="shared" ca="1" si="5"/>
        <v>1065</v>
      </c>
      <c r="R7" s="31">
        <f t="shared" ref="R7:R8" ca="1" si="6">IF(O7&gt;0,Q7*100/O7,0)</f>
        <v>53.25</v>
      </c>
      <c r="S7" s="30">
        <f ca="1">S8</f>
        <v>49</v>
      </c>
      <c r="T7" s="31">
        <f t="shared" ref="T7:T88" ca="1" si="7">IF(P7&gt;0,S7*100/P7,0)</f>
        <v>55.68181818181818</v>
      </c>
      <c r="U7" s="29">
        <f t="shared" ref="U7:V7" ca="1" si="8">U8</f>
        <v>2000</v>
      </c>
      <c r="V7" s="30">
        <f t="shared" ca="1" si="8"/>
        <v>1550</v>
      </c>
      <c r="W7" s="31">
        <f t="shared" ref="W7:W8" ca="1" si="9">IF(U7&gt;0,V7*100/U7,0)</f>
        <v>77.5</v>
      </c>
      <c r="X7" s="29">
        <f t="shared" ref="X7:Z7" ca="1" si="10">X8</f>
        <v>600</v>
      </c>
      <c r="Y7" s="29">
        <f t="shared" ca="1" si="10"/>
        <v>15</v>
      </c>
      <c r="Z7" s="30">
        <f t="shared" ca="1" si="10"/>
        <v>337</v>
      </c>
      <c r="AA7" s="31">
        <f t="shared" ref="AA7:AA8" ca="1" si="11">IF(X7&gt;0,Z7*100/X7,0)</f>
        <v>56.166666666666664</v>
      </c>
      <c r="AB7" s="30">
        <f ca="1">AB8</f>
        <v>8</v>
      </c>
      <c r="AC7" s="31">
        <f t="shared" ref="AC7:AC88" ca="1" si="12">IF(Y7&gt;0,AB7*100/Y7,0)</f>
        <v>53.333333333333336</v>
      </c>
      <c r="AD7" s="29">
        <f t="shared" ref="AD7:AF7" ca="1" si="13">AD8</f>
        <v>1400</v>
      </c>
      <c r="AE7" s="29">
        <f t="shared" ca="1" si="13"/>
        <v>73</v>
      </c>
      <c r="AF7" s="30">
        <f t="shared" ca="1" si="13"/>
        <v>850</v>
      </c>
      <c r="AG7" s="31">
        <f t="shared" ref="AG7:AG8" ca="1" si="14">IF(AD7&gt;0,AF7*100/AD7,0)</f>
        <v>60.714285714285715</v>
      </c>
      <c r="AH7" s="30">
        <f ca="1">AH8</f>
        <v>41</v>
      </c>
      <c r="AI7" s="31">
        <f t="shared" ref="AI7:AI88" ca="1" si="15">IF(AE7&gt;0,AH7*100/AE7,0)</f>
        <v>56.164383561643838</v>
      </c>
      <c r="AJ7" s="29">
        <f t="shared" ref="AJ7:AK7" ca="1" si="16">AJ8</f>
        <v>0</v>
      </c>
      <c r="AK7" s="30">
        <f t="shared" ca="1" si="16"/>
        <v>0</v>
      </c>
      <c r="AL7" s="31">
        <f t="shared" ref="AL7:AL8" ca="1" si="17">IF(AJ7&gt;0,AK7*100/AJ7,0)</f>
        <v>0</v>
      </c>
    </row>
    <row r="8" spans="1:38" ht="28.5" customHeight="1" x14ac:dyDescent="0.2">
      <c r="A8" s="32" t="s">
        <v>26</v>
      </c>
      <c r="B8" s="33"/>
      <c r="C8" s="34">
        <f t="shared" ref="C8:E8" ca="1" si="18">+C13+C31+C52+C74</f>
        <v>7687220</v>
      </c>
      <c r="D8" s="35">
        <f t="shared" ca="1" si="18"/>
        <v>7687220</v>
      </c>
      <c r="E8" s="36">
        <f t="shared" ca="1" si="18"/>
        <v>0</v>
      </c>
      <c r="F8" s="36">
        <f t="shared" ca="1" si="1"/>
        <v>3874443.87</v>
      </c>
      <c r="G8" s="37">
        <f t="shared" ca="1" si="2"/>
        <v>50.401105601244666</v>
      </c>
      <c r="H8" s="36">
        <f t="shared" ref="H8:M8" ca="1" si="19">+H13+H31+H52+H74</f>
        <v>3874443.87</v>
      </c>
      <c r="I8" s="36">
        <f t="shared" ca="1" si="19"/>
        <v>2995804.4</v>
      </c>
      <c r="J8" s="36">
        <f t="shared" ca="1" si="19"/>
        <v>11220</v>
      </c>
      <c r="K8" s="36">
        <f t="shared" ca="1" si="19"/>
        <v>0</v>
      </c>
      <c r="L8" s="36">
        <f t="shared" ca="1" si="19"/>
        <v>867419.47</v>
      </c>
      <c r="M8" s="38">
        <f t="shared" ca="1" si="19"/>
        <v>0</v>
      </c>
      <c r="N8" s="38">
        <f t="shared" ca="1" si="4"/>
        <v>0</v>
      </c>
      <c r="O8" s="36">
        <f t="shared" ref="O8:Q8" ca="1" si="20">+O13+O31+O52+O74</f>
        <v>2000</v>
      </c>
      <c r="P8" s="36">
        <f t="shared" ca="1" si="20"/>
        <v>88</v>
      </c>
      <c r="Q8" s="36">
        <f t="shared" ca="1" si="20"/>
        <v>1065</v>
      </c>
      <c r="R8" s="39">
        <f t="shared" ca="1" si="6"/>
        <v>53.25</v>
      </c>
      <c r="S8" s="36">
        <f ca="1">+S13+S31+S52+S74</f>
        <v>49</v>
      </c>
      <c r="T8" s="39">
        <f t="shared" ca="1" si="7"/>
        <v>55.68181818181818</v>
      </c>
      <c r="U8" s="36">
        <f t="shared" ref="U8:V8" ca="1" si="21">+U13+U31+U52+U74</f>
        <v>2000</v>
      </c>
      <c r="V8" s="36">
        <f t="shared" ca="1" si="21"/>
        <v>1550</v>
      </c>
      <c r="W8" s="39">
        <f t="shared" ca="1" si="9"/>
        <v>77.5</v>
      </c>
      <c r="X8" s="36">
        <f t="shared" ref="X8:Z8" ca="1" si="22">+X13+X31+X52+X74</f>
        <v>600</v>
      </c>
      <c r="Y8" s="36">
        <f t="shared" ca="1" si="22"/>
        <v>15</v>
      </c>
      <c r="Z8" s="36">
        <f t="shared" ca="1" si="22"/>
        <v>337</v>
      </c>
      <c r="AA8" s="39">
        <f t="shared" ca="1" si="11"/>
        <v>56.166666666666664</v>
      </c>
      <c r="AB8" s="36">
        <f ca="1">+AB13+AB31+AB52+AB74</f>
        <v>8</v>
      </c>
      <c r="AC8" s="39">
        <f t="shared" ca="1" si="12"/>
        <v>53.333333333333336</v>
      </c>
      <c r="AD8" s="36">
        <f t="shared" ref="AD8:AF8" ca="1" si="23">+AD13+AD31+AD52+AD74</f>
        <v>1400</v>
      </c>
      <c r="AE8" s="36">
        <f t="shared" ca="1" si="23"/>
        <v>73</v>
      </c>
      <c r="AF8" s="36">
        <f t="shared" ca="1" si="23"/>
        <v>850</v>
      </c>
      <c r="AG8" s="39">
        <f t="shared" ca="1" si="14"/>
        <v>60.714285714285715</v>
      </c>
      <c r="AH8" s="36">
        <f ca="1">+AH13+AH31+AH52+AH74</f>
        <v>41</v>
      </c>
      <c r="AI8" s="39">
        <f t="shared" ca="1" si="15"/>
        <v>56.164383561643838</v>
      </c>
      <c r="AJ8" s="36">
        <f t="shared" ref="AJ8:AK8" ca="1" si="24">+AJ13+AJ31+AJ52+AJ74</f>
        <v>0</v>
      </c>
      <c r="AK8" s="36">
        <f t="shared" ca="1" si="24"/>
        <v>0</v>
      </c>
      <c r="AL8" s="39">
        <f t="shared" ca="1" si="17"/>
        <v>0</v>
      </c>
    </row>
    <row r="9" spans="1:38" ht="28.5" customHeight="1" x14ac:dyDescent="0.2">
      <c r="A9" s="40" t="s">
        <v>249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3"/>
      <c r="R9" s="46"/>
      <c r="S9" s="43"/>
      <c r="T9" s="46">
        <f t="shared" si="7"/>
        <v>0</v>
      </c>
      <c r="U9" s="43"/>
      <c r="V9" s="43"/>
      <c r="W9" s="46"/>
      <c r="X9" s="43"/>
      <c r="Y9" s="43"/>
      <c r="Z9" s="43"/>
      <c r="AA9" s="46"/>
      <c r="AB9" s="43"/>
      <c r="AC9" s="46">
        <f t="shared" si="12"/>
        <v>0</v>
      </c>
      <c r="AD9" s="43"/>
      <c r="AE9" s="43"/>
      <c r="AF9" s="43"/>
      <c r="AG9" s="46"/>
      <c r="AH9" s="43"/>
      <c r="AI9" s="46">
        <f t="shared" si="15"/>
        <v>0</v>
      </c>
      <c r="AJ9" s="43"/>
      <c r="AK9" s="43"/>
      <c r="AL9" s="46"/>
    </row>
    <row r="10" spans="1:38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3"/>
      <c r="R10" s="46"/>
      <c r="S10" s="43"/>
      <c r="T10" s="46">
        <f t="shared" si="7"/>
        <v>0</v>
      </c>
      <c r="U10" s="43"/>
      <c r="V10" s="43"/>
      <c r="W10" s="46"/>
      <c r="X10" s="43"/>
      <c r="Y10" s="43"/>
      <c r="Z10" s="43"/>
      <c r="AA10" s="46"/>
      <c r="AB10" s="43"/>
      <c r="AC10" s="46">
        <f t="shared" si="12"/>
        <v>0</v>
      </c>
      <c r="AD10" s="43"/>
      <c r="AE10" s="43"/>
      <c r="AF10" s="43"/>
      <c r="AG10" s="46"/>
      <c r="AH10" s="43"/>
      <c r="AI10" s="46">
        <f t="shared" si="15"/>
        <v>0</v>
      </c>
      <c r="AJ10" s="43"/>
      <c r="AK10" s="43"/>
      <c r="AL10" s="46"/>
    </row>
    <row r="11" spans="1:38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3"/>
      <c r="R11" s="46"/>
      <c r="S11" s="43"/>
      <c r="T11" s="46">
        <f t="shared" si="7"/>
        <v>0</v>
      </c>
      <c r="U11" s="43"/>
      <c r="V11" s="43"/>
      <c r="W11" s="46"/>
      <c r="X11" s="43"/>
      <c r="Y11" s="43"/>
      <c r="Z11" s="43"/>
      <c r="AA11" s="46"/>
      <c r="AB11" s="43"/>
      <c r="AC11" s="46">
        <f t="shared" si="12"/>
        <v>0</v>
      </c>
      <c r="AD11" s="43"/>
      <c r="AE11" s="43"/>
      <c r="AF11" s="43"/>
      <c r="AG11" s="46"/>
      <c r="AH11" s="43"/>
      <c r="AI11" s="46">
        <f t="shared" si="15"/>
        <v>0</v>
      </c>
      <c r="AJ11" s="43"/>
      <c r="AK11" s="43"/>
      <c r="AL11" s="46"/>
    </row>
    <row r="12" spans="1:38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2">
        <v>0</v>
      </c>
      <c r="R12" s="55">
        <f t="shared" ref="R12:R88" si="25">IF(O12&gt;0,Q12*100/O12,0)</f>
        <v>0</v>
      </c>
      <c r="S12" s="52">
        <v>0</v>
      </c>
      <c r="T12" s="55">
        <f t="shared" si="7"/>
        <v>0</v>
      </c>
      <c r="U12" s="52">
        <v>0</v>
      </c>
      <c r="V12" s="52">
        <v>0</v>
      </c>
      <c r="W12" s="55">
        <f t="shared" ref="W12:W88" si="26">IF(U12&gt;0,V12*100/U12,0)</f>
        <v>0</v>
      </c>
      <c r="X12" s="52">
        <v>0</v>
      </c>
      <c r="Y12" s="52">
        <v>0</v>
      </c>
      <c r="Z12" s="52">
        <v>0</v>
      </c>
      <c r="AA12" s="55">
        <f t="shared" ref="AA12:AA88" si="27">IF(X12&gt;0,Z12*100/X12,0)</f>
        <v>0</v>
      </c>
      <c r="AB12" s="52">
        <v>0</v>
      </c>
      <c r="AC12" s="55">
        <f t="shared" si="12"/>
        <v>0</v>
      </c>
      <c r="AD12" s="52">
        <v>0</v>
      </c>
      <c r="AE12" s="52">
        <v>0</v>
      </c>
      <c r="AF12" s="52">
        <v>0</v>
      </c>
      <c r="AG12" s="55">
        <f t="shared" ref="AG12:AG88" si="28">IF(AD12&gt;0,AF12*100/AD12,0)</f>
        <v>0</v>
      </c>
      <c r="AH12" s="52">
        <v>0</v>
      </c>
      <c r="AI12" s="55">
        <f t="shared" si="15"/>
        <v>0</v>
      </c>
      <c r="AJ12" s="52">
        <v>0</v>
      </c>
      <c r="AK12" s="52">
        <v>0</v>
      </c>
      <c r="AL12" s="55">
        <f t="shared" ref="AL12:AL88" si="29">IF(AJ12&gt;0,AK12*100/AJ12,0)</f>
        <v>0</v>
      </c>
    </row>
    <row r="13" spans="1:38" ht="28.5" customHeight="1" x14ac:dyDescent="0.2">
      <c r="A13" s="303" t="s">
        <v>30</v>
      </c>
      <c r="B13" s="304"/>
      <c r="C13" s="56">
        <f t="shared" ref="C13:E13" ca="1" si="30">SUM(C14:C30)</f>
        <v>2277950</v>
      </c>
      <c r="D13" s="57">
        <f t="shared" ca="1" si="30"/>
        <v>2277950</v>
      </c>
      <c r="E13" s="58">
        <f t="shared" ca="1" si="30"/>
        <v>0</v>
      </c>
      <c r="F13" s="58">
        <f t="shared" ca="1" si="1"/>
        <v>1064475</v>
      </c>
      <c r="G13" s="59">
        <f t="shared" ca="1" si="2"/>
        <v>46.729515573212758</v>
      </c>
      <c r="H13" s="58">
        <f t="shared" ref="H13:M13" ca="1" si="31">SUM(H14:H30)</f>
        <v>1064475</v>
      </c>
      <c r="I13" s="58">
        <f t="shared" ca="1" si="31"/>
        <v>877238</v>
      </c>
      <c r="J13" s="58">
        <f t="shared" ca="1" si="31"/>
        <v>870</v>
      </c>
      <c r="K13" s="58">
        <f t="shared" ca="1" si="31"/>
        <v>0</v>
      </c>
      <c r="L13" s="58">
        <f t="shared" ca="1" si="31"/>
        <v>186367</v>
      </c>
      <c r="M13" s="60">
        <f t="shared" ca="1" si="31"/>
        <v>0</v>
      </c>
      <c r="N13" s="60">
        <f t="shared" ref="N13:N116" ca="1" si="32">IF(E13&gt;0,M13*100/E13,0)</f>
        <v>0</v>
      </c>
      <c r="O13" s="58">
        <f t="shared" ref="O13:Q13" ca="1" si="33">SUM(O14:O30)</f>
        <v>630</v>
      </c>
      <c r="P13" s="58">
        <f t="shared" ca="1" si="33"/>
        <v>24</v>
      </c>
      <c r="Q13" s="58">
        <f t="shared" ca="1" si="33"/>
        <v>270</v>
      </c>
      <c r="R13" s="61">
        <f t="shared" ca="1" si="25"/>
        <v>42.857142857142854</v>
      </c>
      <c r="S13" s="58">
        <f ca="1">SUM(S14:S30)</f>
        <v>12</v>
      </c>
      <c r="T13" s="61">
        <f t="shared" ca="1" si="7"/>
        <v>50</v>
      </c>
      <c r="U13" s="58">
        <f t="shared" ref="U13:V13" ca="1" si="34">SUM(U14:U30)</f>
        <v>630</v>
      </c>
      <c r="V13" s="58">
        <f t="shared" ca="1" si="34"/>
        <v>440</v>
      </c>
      <c r="W13" s="61">
        <f t="shared" ca="1" si="26"/>
        <v>69.841269841269835</v>
      </c>
      <c r="X13" s="58">
        <f t="shared" ref="X13:Z13" ca="1" si="35">SUM(X14:X30)</f>
        <v>280</v>
      </c>
      <c r="Y13" s="58">
        <f t="shared" ca="1" si="35"/>
        <v>7</v>
      </c>
      <c r="Z13" s="58">
        <f t="shared" ca="1" si="35"/>
        <v>112</v>
      </c>
      <c r="AA13" s="61">
        <f t="shared" ca="1" si="27"/>
        <v>40</v>
      </c>
      <c r="AB13" s="58">
        <f ca="1">SUM(AB14:AB30)</f>
        <v>3</v>
      </c>
      <c r="AC13" s="61">
        <f t="shared" ca="1" si="12"/>
        <v>42.857142857142854</v>
      </c>
      <c r="AD13" s="58">
        <f t="shared" ref="AD13:AF13" ca="1" si="36">SUM(AD14:AD30)</f>
        <v>350</v>
      </c>
      <c r="AE13" s="58">
        <f t="shared" ca="1" si="36"/>
        <v>17</v>
      </c>
      <c r="AF13" s="58">
        <f t="shared" ca="1" si="36"/>
        <v>195</v>
      </c>
      <c r="AG13" s="61">
        <f t="shared" ca="1" si="28"/>
        <v>55.714285714285715</v>
      </c>
      <c r="AH13" s="58">
        <f ca="1">SUM(AH14:AH30)</f>
        <v>9</v>
      </c>
      <c r="AI13" s="61">
        <f t="shared" ca="1" si="15"/>
        <v>52.941176470588232</v>
      </c>
      <c r="AJ13" s="58">
        <f t="shared" ref="AJ13:AK13" ca="1" si="37">SUM(AJ14:AJ30)</f>
        <v>0</v>
      </c>
      <c r="AK13" s="58">
        <f t="shared" ca="1" si="37"/>
        <v>0</v>
      </c>
      <c r="AL13" s="61">
        <f t="shared" ca="1" si="29"/>
        <v>0</v>
      </c>
    </row>
    <row r="14" spans="1:38" ht="24" customHeight="1" x14ac:dyDescent="0.2">
      <c r="A14" s="62">
        <v>1</v>
      </c>
      <c r="B14" s="63" t="s">
        <v>31</v>
      </c>
      <c r="C14" s="64">
        <f t="shared" ref="C14:C30" ca="1" si="38">D14+E14</f>
        <v>188600</v>
      </c>
      <c r="D14" s="65">
        <f ca="1">IFERROR(__xludf.DUMMYFUNCTION("IMPORTRANGE(""https://docs.google.com/spreadsheets/d/1KxicF4apzSqm0-jIpmueT4kyZtE-Cwn5zskl7GD4loQ/edit?usp=sharing"",""กำแพงเพชร!L424"")"),188600)</f>
        <v>188600</v>
      </c>
      <c r="E14" s="66">
        <f ca="1">IFERROR(__xludf.DUMMYFUNCTION("IMPORTRANGE(""https://docs.google.com/spreadsheets/d/1KxicF4apzSqm0-jIpmueT4kyZtE-Cwn5zskl7GD4loQ/edit?usp=sharing"",""กำแพงเพชร!L431"")"),0)</f>
        <v>0</v>
      </c>
      <c r="F14" s="67">
        <f t="shared" ca="1" si="1"/>
        <v>169620</v>
      </c>
      <c r="G14" s="68">
        <f t="shared" ca="1" si="2"/>
        <v>89.936373276776251</v>
      </c>
      <c r="H14" s="69">
        <f t="shared" ref="H14:H30" ca="1" si="39">I14+J14+K14+L14</f>
        <v>169620</v>
      </c>
      <c r="I14" s="66">
        <f ca="1">IFERROR(__xludf.DUMMYFUNCTION("IMPORTRANGE(""https://docs.google.com/spreadsheets/d/1KxicF4apzSqm0-jIpmueT4kyZtE-Cwn5zskl7GD4loQ/edit?usp=sharing"",""กำแพงเพชร!N425"")"),158340)</f>
        <v>158340</v>
      </c>
      <c r="J14" s="66">
        <f ca="1">IFERROR(__xludf.DUMMYFUNCTION("IMPORTRANGE(""https://docs.google.com/spreadsheets/d/1KxicF4apzSqm0-jIpmueT4kyZtE-Cwn5zskl7GD4loQ/edit?usp=sharing"",""กำแพงเพชร!N426"")"),0)</f>
        <v>0</v>
      </c>
      <c r="K14" s="66">
        <f ca="1">IFERROR(__xludf.DUMMYFUNCTION("IMPORTRANGE(""https://docs.google.com/spreadsheets/d/1KxicF4apzSqm0-jIpmueT4kyZtE-Cwn5zskl7GD4loQ/edit?usp=sharing"",""กำแพงเพชร!N427"")"),0)</f>
        <v>0</v>
      </c>
      <c r="L14" s="66">
        <f ca="1">IFERROR(__xludf.DUMMYFUNCTION("IMPORTRANGE(""https://docs.google.com/spreadsheets/d/1KxicF4apzSqm0-jIpmueT4kyZtE-Cwn5zskl7GD4loQ/edit?usp=sharing"",""กำแพงเพชร!N428"")"),11280)</f>
        <v>11280</v>
      </c>
      <c r="M14" s="70">
        <f ca="1">IFERROR(__xludf.DUMMYFUNCTION("IMPORTRANGE(""https://docs.google.com/spreadsheets/d/1KxicF4apzSqm0-jIpmueT4kyZtE-Cwn5zskl7GD4loQ/edit?usp=sharing"",""กำแพงเพชร!N431"")"),0)</f>
        <v>0</v>
      </c>
      <c r="N14" s="70">
        <f t="shared" ca="1" si="32"/>
        <v>0</v>
      </c>
      <c r="O14" s="66">
        <f ca="1">IFERROR(__xludf.DUMMYFUNCTION("IMPORTRANGE(""https://docs.google.com/spreadsheets/d/1KxicF4apzSqm0-jIpmueT4kyZtE-Cwn5zskl7GD4loQ/edit?usp=sharing"",""กำแพงเพชร!I433"")"),60)</f>
        <v>60</v>
      </c>
      <c r="P14" s="66">
        <f ca="1">IFERROR(__xludf.DUMMYFUNCTION("IMPORTRANGE(""https://docs.google.com/spreadsheets/d/1KxicF4apzSqm0-jIpmueT4kyZtE-Cwn5zskl7GD4loQ/edit?usp=sharing"",""กำแพงเพชร!I434"")"),2)</f>
        <v>2</v>
      </c>
      <c r="Q14" s="66">
        <f ca="1">IFERROR(__xludf.DUMMYFUNCTION("IMPORTRANGE(""https://docs.google.com/spreadsheets/d/1KxicF4apzSqm0-jIpmueT4kyZtE-Cwn5zskl7GD4loQ/edit?usp=sharing"",""กำแพงเพชร!J433"")"),60)</f>
        <v>60</v>
      </c>
      <c r="R14" s="71">
        <f t="shared" ca="1" si="25"/>
        <v>100</v>
      </c>
      <c r="S14" s="66">
        <f ca="1">IFERROR(__xludf.DUMMYFUNCTION("IMPORTRANGE(""https://docs.google.com/spreadsheets/d/1KxicF4apzSqm0-jIpmueT4kyZtE-Cwn5zskl7GD4loQ/edit?usp=sharing"",""กำแพงเพชร!J434"")"),2)</f>
        <v>2</v>
      </c>
      <c r="T14" s="71">
        <f t="shared" ca="1" si="7"/>
        <v>100</v>
      </c>
      <c r="U14" s="66">
        <f ca="1">IFERROR(__xludf.DUMMYFUNCTION("IMPORTRANGE(""https://docs.google.com/spreadsheets/d/1KxicF4apzSqm0-jIpmueT4kyZtE-Cwn5zskl7GD4loQ/edit?usp=sharing"",""กำแพงเพชร!I435"")"),60)</f>
        <v>60</v>
      </c>
      <c r="V14" s="66">
        <f ca="1">IFERROR(__xludf.DUMMYFUNCTION("IMPORTRANGE(""https://docs.google.com/spreadsheets/d/1KxicF4apzSqm0-jIpmueT4kyZtE-Cwn5zskl7GD4loQ/edit?usp=sharing"",""กำแพงเพชร!J435"")"),60)</f>
        <v>60</v>
      </c>
      <c r="W14" s="71">
        <f t="shared" ca="1" si="26"/>
        <v>100</v>
      </c>
      <c r="X14" s="66">
        <f ca="1">IFERROR(__xludf.DUMMYFUNCTION("IMPORTRANGE(""https://docs.google.com/spreadsheets/d/1KxicF4apzSqm0-jIpmueT4kyZtE-Cwn5zskl7GD4loQ/edit?usp=sharing"",""กำแพงเพชร!I437"")"),40)</f>
        <v>40</v>
      </c>
      <c r="Y14" s="66">
        <f ca="1">IFERROR(__xludf.DUMMYFUNCTION("IMPORTRANGE(""https://docs.google.com/spreadsheets/d/1KxicF4apzSqm0-jIpmueT4kyZtE-Cwn5zskl7GD4loQ/edit?usp=sharing"",""กำแพงเพชร!I438"")"),1)</f>
        <v>1</v>
      </c>
      <c r="Z14" s="66">
        <f ca="1">IFERROR(__xludf.DUMMYFUNCTION("IMPORTRANGE(""https://docs.google.com/spreadsheets/d/1KxicF4apzSqm0-jIpmueT4kyZtE-Cwn5zskl7GD4loQ/edit?usp=sharing"",""กำแพงเพชร!J437"")"),40)</f>
        <v>40</v>
      </c>
      <c r="AA14" s="71">
        <f t="shared" ca="1" si="27"/>
        <v>100</v>
      </c>
      <c r="AB14" s="66">
        <f ca="1">IFERROR(__xludf.DUMMYFUNCTION("IMPORTRANGE(""https://docs.google.com/spreadsheets/d/1KxicF4apzSqm0-jIpmueT4kyZtE-Cwn5zskl7GD4loQ/edit?usp=sharing"",""กำแพงเพชร!J438"")"),1)</f>
        <v>1</v>
      </c>
      <c r="AC14" s="71">
        <f t="shared" ca="1" si="12"/>
        <v>100</v>
      </c>
      <c r="AD14" s="66">
        <f ca="1">IFERROR(__xludf.DUMMYFUNCTION("IMPORTRANGE(""https://docs.google.com/spreadsheets/d/1KxicF4apzSqm0-jIpmueT4kyZtE-Cwn5zskl7GD4loQ/edit?usp=sharing"",""กำแพงเพชร!I439"")"),20)</f>
        <v>20</v>
      </c>
      <c r="AE14" s="66">
        <f ca="1">IFERROR(__xludf.DUMMYFUNCTION("IMPORTRANGE(""https://docs.google.com/spreadsheets/d/1KxicF4apzSqm0-jIpmueT4kyZtE-Cwn5zskl7GD4loQ/edit?usp=sharing"",""กำแพงเพชร!I440"")"),1)</f>
        <v>1</v>
      </c>
      <c r="AF14" s="66">
        <f ca="1">IFERROR(__xludf.DUMMYFUNCTION("IMPORTRANGE(""https://docs.google.com/spreadsheets/d/1KxicF4apzSqm0-jIpmueT4kyZtE-Cwn5zskl7GD4loQ/edit?usp=sharing"",""กำแพงเพชร!J439"")"),20)</f>
        <v>20</v>
      </c>
      <c r="AG14" s="71">
        <f t="shared" ca="1" si="28"/>
        <v>100</v>
      </c>
      <c r="AH14" s="66">
        <f ca="1">IFERROR(__xludf.DUMMYFUNCTION("IMPORTRANGE(""https://docs.google.com/spreadsheets/d/1KxicF4apzSqm0-jIpmueT4kyZtE-Cwn5zskl7GD4loQ/edit?usp=sharing"",""กำแพงเพชร!J440"")"),1)</f>
        <v>1</v>
      </c>
      <c r="AI14" s="71">
        <f t="shared" ca="1" si="15"/>
        <v>100</v>
      </c>
      <c r="AJ14" s="66">
        <f ca="1">IFERROR(__xludf.DUMMYFUNCTION("IMPORTRANGE(""https://docs.google.com/spreadsheets/d/1KxicF4apzSqm0-jIpmueT4kyZtE-Cwn5zskl7GD4loQ/edit?usp=sharing"",""กำแพงเพชร!I441"")"),0)</f>
        <v>0</v>
      </c>
      <c r="AK14" s="66">
        <f ca="1">IFERROR(__xludf.DUMMYFUNCTION("IMPORTRANGE(""https://docs.google.com/spreadsheets/d/1KxicF4apzSqm0-jIpmueT4kyZtE-Cwn5zskl7GD4loQ/edit?usp=sharing"",""กำแพงเพชร!J441"")"),0)</f>
        <v>0</v>
      </c>
      <c r="AL14" s="71">
        <f t="shared" ca="1" si="29"/>
        <v>0</v>
      </c>
    </row>
    <row r="15" spans="1:38" ht="24" customHeight="1" x14ac:dyDescent="0.2">
      <c r="A15" s="72">
        <v>2</v>
      </c>
      <c r="B15" s="73" t="s">
        <v>32</v>
      </c>
      <c r="C15" s="74">
        <f t="shared" ca="1" si="38"/>
        <v>188600</v>
      </c>
      <c r="D15" s="75">
        <f ca="1">IFERROR(__xludf.DUMMYFUNCTION("IMPORTRANGE(""https://docs.google.com/spreadsheets/d/1ZNYWeiFoFA1K1U4xKWqRX29MBvEyRHXORjo734Gnq_c/edit?usp=sharing"",""เชียงราย!L424"")"),188600)</f>
        <v>188600</v>
      </c>
      <c r="E15" s="76">
        <f ca="1">IFERROR(__xludf.DUMMYFUNCTION("IMPORTRANGE(""https://docs.google.com/spreadsheets/d/1ZNYWeiFoFA1K1U4xKWqRX29MBvEyRHXORjo734Gnq_c/edit?usp=sharing"",""เชียงราย!L431"")"),0)</f>
        <v>0</v>
      </c>
      <c r="F15" s="77">
        <f t="shared" ca="1" si="1"/>
        <v>17170</v>
      </c>
      <c r="G15" s="78">
        <f t="shared" ca="1" si="2"/>
        <v>9.103923647932131</v>
      </c>
      <c r="H15" s="79">
        <f t="shared" ca="1" si="39"/>
        <v>17170</v>
      </c>
      <c r="I15" s="76">
        <f ca="1">IFERROR(__xludf.DUMMYFUNCTION("IMPORTRANGE(""https://docs.google.com/spreadsheets/d/1ZNYWeiFoFA1K1U4xKWqRX29MBvEyRHXORjo734Gnq_c/edit?usp=sharing"",""เชียงราย!N425"")"),13810)</f>
        <v>13810</v>
      </c>
      <c r="J15" s="76">
        <f ca="1">IFERROR(__xludf.DUMMYFUNCTION("IMPORTRANGE(""https://docs.google.com/spreadsheets/d/1ZNYWeiFoFA1K1U4xKWqRX29MBvEyRHXORjo734Gnq_c/edit?usp=sharing"",""เชียงราย!N426"")"),0)</f>
        <v>0</v>
      </c>
      <c r="K15" s="76">
        <f ca="1">IFERROR(__xludf.DUMMYFUNCTION("IMPORTRANGE(""https://docs.google.com/spreadsheets/d/1ZNYWeiFoFA1K1U4xKWqRX29MBvEyRHXORjo734Gnq_c/edit?usp=sharing"",""เชียงราย!N427"")"),0)</f>
        <v>0</v>
      </c>
      <c r="L15" s="76">
        <f ca="1">IFERROR(__xludf.DUMMYFUNCTION("IMPORTRANGE(""https://docs.google.com/spreadsheets/d/1ZNYWeiFoFA1K1U4xKWqRX29MBvEyRHXORjo734Gnq_c/edit?usp=sharing"",""เชียงราย!N428"")"),3360)</f>
        <v>3360</v>
      </c>
      <c r="M15" s="80">
        <f ca="1">IFERROR(__xludf.DUMMYFUNCTION("IMPORTRANGE(""https://docs.google.com/spreadsheets/d/1ZNYWeiFoFA1K1U4xKWqRX29MBvEyRHXORjo734Gnq_c/edit?usp=sharing"",""เชียงราย!N431"")"),0)</f>
        <v>0</v>
      </c>
      <c r="N15" s="80">
        <f t="shared" ca="1" si="32"/>
        <v>0</v>
      </c>
      <c r="O15" s="81">
        <f ca="1">IFERROR(__xludf.DUMMYFUNCTION("IMPORTRANGE(""https://docs.google.com/spreadsheets/d/1ZNYWeiFoFA1K1U4xKWqRX29MBvEyRHXORjo734Gnq_c/edit?usp=sharing"",""เชียงราย!I433"")"),60)</f>
        <v>60</v>
      </c>
      <c r="P15" s="81">
        <f ca="1">IFERROR(__xludf.DUMMYFUNCTION("IMPORTRANGE(""https://docs.google.com/spreadsheets/d/1ZNYWeiFoFA1K1U4xKWqRX29MBvEyRHXORjo734Gnq_c/edit?usp=sharing"",""เชียงราย!I434"")"),2)</f>
        <v>2</v>
      </c>
      <c r="Q15" s="81">
        <f ca="1">IFERROR(__xludf.DUMMYFUNCTION("IMPORTRANGE(""https://docs.google.com/spreadsheets/d/1ZNYWeiFoFA1K1U4xKWqRX29MBvEyRHXORjo734Gnq_c/edit?usp=sharing"",""เชียงราย!J433"")"),0)</f>
        <v>0</v>
      </c>
      <c r="R15" s="82">
        <f t="shared" ca="1" si="25"/>
        <v>0</v>
      </c>
      <c r="S15" s="81">
        <f ca="1">IFERROR(__xludf.DUMMYFUNCTION("IMPORTRANGE(""https://docs.google.com/spreadsheets/d/1ZNYWeiFoFA1K1U4xKWqRX29MBvEyRHXORjo734Gnq_c/edit?usp=sharing"",""เชียงราย!J434"")"),0)</f>
        <v>0</v>
      </c>
      <c r="T15" s="82">
        <f t="shared" ca="1" si="7"/>
        <v>0</v>
      </c>
      <c r="U15" s="81">
        <f ca="1">IFERROR(__xludf.DUMMYFUNCTION("IMPORTRANGE(""https://docs.google.com/spreadsheets/d/1ZNYWeiFoFA1K1U4xKWqRX29MBvEyRHXORjo734Gnq_c/edit?usp=sharing"",""เชียงราย!I435"")"),60)</f>
        <v>60</v>
      </c>
      <c r="V15" s="81">
        <f ca="1">IFERROR(__xludf.DUMMYFUNCTION("IMPORTRANGE(""https://docs.google.com/spreadsheets/d/1ZNYWeiFoFA1K1U4xKWqRX29MBvEyRHXORjo734Gnq_c/edit?usp=sharing"",""เชียงราย!J435"")"),0)</f>
        <v>0</v>
      </c>
      <c r="W15" s="82">
        <f t="shared" ca="1" si="26"/>
        <v>0</v>
      </c>
      <c r="X15" s="81">
        <f ca="1">IFERROR(__xludf.DUMMYFUNCTION("IMPORTRANGE(""https://docs.google.com/spreadsheets/d/1ZNYWeiFoFA1K1U4xKWqRX29MBvEyRHXORjo734Gnq_c/edit?usp=sharing"",""เชียงราย!I437"")"),40)</f>
        <v>40</v>
      </c>
      <c r="Y15" s="81">
        <f ca="1">IFERROR(__xludf.DUMMYFUNCTION("IMPORTRANGE(""https://docs.google.com/spreadsheets/d/1ZNYWeiFoFA1K1U4xKWqRX29MBvEyRHXORjo734Gnq_c/edit?usp=sharing"",""เชียงราย!I438"")"),1)</f>
        <v>1</v>
      </c>
      <c r="Z15" s="81">
        <f ca="1">IFERROR(__xludf.DUMMYFUNCTION("IMPORTRANGE(""https://docs.google.com/spreadsheets/d/1ZNYWeiFoFA1K1U4xKWqRX29MBvEyRHXORjo734Gnq_c/edit?usp=sharing"",""เชียงราย!J437"")"),0)</f>
        <v>0</v>
      </c>
      <c r="AA15" s="82">
        <f t="shared" ca="1" si="27"/>
        <v>0</v>
      </c>
      <c r="AB15" s="81">
        <f ca="1">IFERROR(__xludf.DUMMYFUNCTION("IMPORTRANGE(""https://docs.google.com/spreadsheets/d/1ZNYWeiFoFA1K1U4xKWqRX29MBvEyRHXORjo734Gnq_c/edit?usp=sharing"",""เชียงราย!J438"")"),0)</f>
        <v>0</v>
      </c>
      <c r="AC15" s="82">
        <f t="shared" ca="1" si="12"/>
        <v>0</v>
      </c>
      <c r="AD15" s="81">
        <f ca="1">IFERROR(__xludf.DUMMYFUNCTION("IMPORTRANGE(""https://docs.google.com/spreadsheets/d/1ZNYWeiFoFA1K1U4xKWqRX29MBvEyRHXORjo734Gnq_c/edit?usp=sharing"",""เชียงราย!I439"")"),20)</f>
        <v>20</v>
      </c>
      <c r="AE15" s="81">
        <f ca="1">IFERROR(__xludf.DUMMYFUNCTION("IMPORTRANGE(""https://docs.google.com/spreadsheets/d/1ZNYWeiFoFA1K1U4xKWqRX29MBvEyRHXORjo734Gnq_c/edit?usp=sharing"",""เชียงราย!I440"")"),1)</f>
        <v>1</v>
      </c>
      <c r="AF15" s="81">
        <f ca="1">IFERROR(__xludf.DUMMYFUNCTION("IMPORTRANGE(""https://docs.google.com/spreadsheets/d/1ZNYWeiFoFA1K1U4xKWqRX29MBvEyRHXORjo734Gnq_c/edit?usp=sharing"",""เชียงราย!J439"")"),0)</f>
        <v>0</v>
      </c>
      <c r="AG15" s="82">
        <f t="shared" ca="1" si="28"/>
        <v>0</v>
      </c>
      <c r="AH15" s="81">
        <f ca="1">IFERROR(__xludf.DUMMYFUNCTION("IMPORTRANGE(""https://docs.google.com/spreadsheets/d/1ZNYWeiFoFA1K1U4xKWqRX29MBvEyRHXORjo734Gnq_c/edit?usp=sharing"",""เชียงราย!J440"")"),0)</f>
        <v>0</v>
      </c>
      <c r="AI15" s="82">
        <f t="shared" ca="1" si="15"/>
        <v>0</v>
      </c>
      <c r="AJ15" s="81">
        <f ca="1">IFERROR(__xludf.DUMMYFUNCTION("IMPORTRANGE(""https://docs.google.com/spreadsheets/d/1ZNYWeiFoFA1K1U4xKWqRX29MBvEyRHXORjo734Gnq_c/edit?usp=sharing"",""เชียงราย!I441"")"),0)</f>
        <v>0</v>
      </c>
      <c r="AK15" s="81">
        <f ca="1">IFERROR(__xludf.DUMMYFUNCTION("IMPORTRANGE(""https://docs.google.com/spreadsheets/d/1ZNYWeiFoFA1K1U4xKWqRX29MBvEyRHXORjo734Gnq_c/edit?usp=sharing"",""เชียงราย!J441"")"),0)</f>
        <v>0</v>
      </c>
      <c r="AL15" s="82">
        <f t="shared" ca="1" si="29"/>
        <v>0</v>
      </c>
    </row>
    <row r="16" spans="1:38" ht="24" customHeight="1" x14ac:dyDescent="0.2">
      <c r="A16" s="72">
        <v>3</v>
      </c>
      <c r="B16" s="73" t="s">
        <v>33</v>
      </c>
      <c r="C16" s="74">
        <f t="shared" ca="1" si="38"/>
        <v>78660</v>
      </c>
      <c r="D16" s="75">
        <f ca="1">IFERROR(__xludf.DUMMYFUNCTION("IMPORTRANGE(""https://docs.google.com/spreadsheets/d/1Jgv0Y7YlHDtsiDawwp-uvifEJ8HVaSn0k2aGHG8-hwM/edit?usp=sharing"",""เชียงใหม่!L424"")"),78660)</f>
        <v>78660</v>
      </c>
      <c r="E16" s="76">
        <f ca="1">IFERROR(__xludf.DUMMYFUNCTION("IMPORTRANGE(""https://docs.google.com/spreadsheets/d/1Jgv0Y7YlHDtsiDawwp-uvifEJ8HVaSn0k2aGHG8-hwM/edit?usp=sharing"",""เชียงใหม่!L431"")"),0)</f>
        <v>0</v>
      </c>
      <c r="F16" s="77">
        <f t="shared" ca="1" si="1"/>
        <v>59743</v>
      </c>
      <c r="G16" s="78">
        <f t="shared" ca="1" si="2"/>
        <v>75.95092804474956</v>
      </c>
      <c r="H16" s="79">
        <f t="shared" ca="1" si="39"/>
        <v>59743</v>
      </c>
      <c r="I16" s="76">
        <f ca="1">IFERROR(__xludf.DUMMYFUNCTION("IMPORTRANGE(""https://docs.google.com/spreadsheets/d/1Jgv0Y7YlHDtsiDawwp-uvifEJ8HVaSn0k2aGHG8-hwM/edit?usp=sharing"",""เชียงใหม่!N425"")"),48400)</f>
        <v>48400</v>
      </c>
      <c r="J16" s="76">
        <f ca="1">IFERROR(__xludf.DUMMYFUNCTION("IMPORTRANGE(""https://docs.google.com/spreadsheets/d/1Jgv0Y7YlHDtsiDawwp-uvifEJ8HVaSn0k2aGHG8-hwM/edit?usp=sharing"",""เชียงใหม่!N426"")"),0)</f>
        <v>0</v>
      </c>
      <c r="K16" s="76">
        <f ca="1">IFERROR(__xludf.DUMMYFUNCTION("IMPORTRANGE(""https://docs.google.com/spreadsheets/d/1Jgv0Y7YlHDtsiDawwp-uvifEJ8HVaSn0k2aGHG8-hwM/edit?usp=sharing"",""เชียงใหม่!N427"")"),0)</f>
        <v>0</v>
      </c>
      <c r="L16" s="76">
        <f ca="1">IFERROR(__xludf.DUMMYFUNCTION("IMPORTRANGE(""https://docs.google.com/spreadsheets/d/1Jgv0Y7YlHDtsiDawwp-uvifEJ8HVaSn0k2aGHG8-hwM/edit?usp=sharing"",""เชียงใหม่!N428"")"),11343)</f>
        <v>11343</v>
      </c>
      <c r="M16" s="80">
        <f ca="1">IFERROR(__xludf.DUMMYFUNCTION("IMPORTRANGE(""https://docs.google.com/spreadsheets/d/1Jgv0Y7YlHDtsiDawwp-uvifEJ8HVaSn0k2aGHG8-hwM/edit?usp=sharing"",""เชียงใหม่!N431"")"),0)</f>
        <v>0</v>
      </c>
      <c r="N16" s="80">
        <f t="shared" ca="1" si="32"/>
        <v>0</v>
      </c>
      <c r="O16" s="81">
        <f ca="1">IFERROR(__xludf.DUMMYFUNCTION("IMPORTRANGE(""https://docs.google.com/spreadsheets/d/1Jgv0Y7YlHDtsiDawwp-uvifEJ8HVaSn0k2aGHG8-hwM/edit?usp=sharing"",""เชียงใหม่!I433"")"),20)</f>
        <v>20</v>
      </c>
      <c r="P16" s="81">
        <f ca="1">IFERROR(__xludf.DUMMYFUNCTION("IMPORTRANGE(""https://docs.google.com/spreadsheets/d/1Jgv0Y7YlHDtsiDawwp-uvifEJ8HVaSn0k2aGHG8-hwM/edit?usp=sharing"",""เชียงใหม่!I434"")"),1)</f>
        <v>1</v>
      </c>
      <c r="Q16" s="81">
        <f ca="1">IFERROR(__xludf.DUMMYFUNCTION("IMPORTRANGE(""https://docs.google.com/spreadsheets/d/1Jgv0Y7YlHDtsiDawwp-uvifEJ8HVaSn0k2aGHG8-hwM/edit?usp=sharing"",""เชียงใหม่!J433"")"),20)</f>
        <v>20</v>
      </c>
      <c r="R16" s="82">
        <f t="shared" ca="1" si="25"/>
        <v>100</v>
      </c>
      <c r="S16" s="81">
        <f ca="1">IFERROR(__xludf.DUMMYFUNCTION("IMPORTRANGE(""https://docs.google.com/spreadsheets/d/1Jgv0Y7YlHDtsiDawwp-uvifEJ8HVaSn0k2aGHG8-hwM/edit?usp=sharing"",""เชียงใหม่!J434"")"),1)</f>
        <v>1</v>
      </c>
      <c r="T16" s="82">
        <f t="shared" ca="1" si="7"/>
        <v>100</v>
      </c>
      <c r="U16" s="81">
        <f ca="1">IFERROR(__xludf.DUMMYFUNCTION("IMPORTRANGE(""https://docs.google.com/spreadsheets/d/1Jgv0Y7YlHDtsiDawwp-uvifEJ8HVaSn0k2aGHG8-hwM/edit?usp=sharing"",""เชียงใหม่!I435"")"),20)</f>
        <v>20</v>
      </c>
      <c r="V16" s="81">
        <f ca="1">IFERROR(__xludf.DUMMYFUNCTION("IMPORTRANGE(""https://docs.google.com/spreadsheets/d/1Jgv0Y7YlHDtsiDawwp-uvifEJ8HVaSn0k2aGHG8-hwM/edit?usp=sharing"",""เชียงใหม่!J435"")"),20)</f>
        <v>20</v>
      </c>
      <c r="W16" s="82">
        <f t="shared" ca="1" si="26"/>
        <v>100</v>
      </c>
      <c r="X16" s="81">
        <f ca="1">IFERROR(__xludf.DUMMYFUNCTION("IMPORTRANGE(""https://docs.google.com/spreadsheets/d/1Jgv0Y7YlHDtsiDawwp-uvifEJ8HVaSn0k2aGHG8-hwM/edit?usp=sharing"",""เชียงใหม่!I437"")"),0)</f>
        <v>0</v>
      </c>
      <c r="Y16" s="81">
        <f ca="1">IFERROR(__xludf.DUMMYFUNCTION("IMPORTRANGE(""https://docs.google.com/spreadsheets/d/1Jgv0Y7YlHDtsiDawwp-uvifEJ8HVaSn0k2aGHG8-hwM/edit?usp=sharing"",""เชียงใหม่!I438"")"),0)</f>
        <v>0</v>
      </c>
      <c r="Z16" s="81">
        <f ca="1">IFERROR(__xludf.DUMMYFUNCTION("IMPORTRANGE(""https://docs.google.com/spreadsheets/d/1Jgv0Y7YlHDtsiDawwp-uvifEJ8HVaSn0k2aGHG8-hwM/edit?usp=sharing"",""เชียงใหม่!J437"")"),0)</f>
        <v>0</v>
      </c>
      <c r="AA16" s="82">
        <f t="shared" ca="1" si="27"/>
        <v>0</v>
      </c>
      <c r="AB16" s="81">
        <f ca="1">IFERROR(__xludf.DUMMYFUNCTION("IMPORTRANGE(""https://docs.google.com/spreadsheets/d/1Jgv0Y7YlHDtsiDawwp-uvifEJ8HVaSn0k2aGHG8-hwM/edit?usp=sharing"",""เชียงใหม่!J438"")"),0)</f>
        <v>0</v>
      </c>
      <c r="AC16" s="82">
        <f t="shared" ca="1" si="12"/>
        <v>0</v>
      </c>
      <c r="AD16" s="81">
        <f ca="1">IFERROR(__xludf.DUMMYFUNCTION("IMPORTRANGE(""https://docs.google.com/spreadsheets/d/1Jgv0Y7YlHDtsiDawwp-uvifEJ8HVaSn0k2aGHG8-hwM/edit?usp=sharing"",""เชียงใหม่!I439"")"),20)</f>
        <v>20</v>
      </c>
      <c r="AE16" s="81">
        <f ca="1">IFERROR(__xludf.DUMMYFUNCTION("IMPORTRANGE(""https://docs.google.com/spreadsheets/d/1Jgv0Y7YlHDtsiDawwp-uvifEJ8HVaSn0k2aGHG8-hwM/edit?usp=sharing"",""เชียงใหม่!I440"")"),1)</f>
        <v>1</v>
      </c>
      <c r="AF16" s="81">
        <f ca="1">IFERROR(__xludf.DUMMYFUNCTION("IMPORTRANGE(""https://docs.google.com/spreadsheets/d/1Jgv0Y7YlHDtsiDawwp-uvifEJ8HVaSn0k2aGHG8-hwM/edit?usp=sharing"",""เชียงใหม่!J439"")"),20)</f>
        <v>20</v>
      </c>
      <c r="AG16" s="82">
        <f t="shared" ca="1" si="28"/>
        <v>100</v>
      </c>
      <c r="AH16" s="81">
        <f ca="1">IFERROR(__xludf.DUMMYFUNCTION("IMPORTRANGE(""https://docs.google.com/spreadsheets/d/1Jgv0Y7YlHDtsiDawwp-uvifEJ8HVaSn0k2aGHG8-hwM/edit?usp=sharing"",""เชียงใหม่!J440"")"),1)</f>
        <v>1</v>
      </c>
      <c r="AI16" s="82">
        <f t="shared" ca="1" si="15"/>
        <v>100</v>
      </c>
      <c r="AJ16" s="81">
        <f ca="1">IFERROR(__xludf.DUMMYFUNCTION("IMPORTRANGE(""https://docs.google.com/spreadsheets/d/1Jgv0Y7YlHDtsiDawwp-uvifEJ8HVaSn0k2aGHG8-hwM/edit?usp=sharing"",""เชียงใหม่!I441"")"),0)</f>
        <v>0</v>
      </c>
      <c r="AK16" s="81">
        <f ca="1">IFERROR(__xludf.DUMMYFUNCTION("IMPORTRANGE(""https://docs.google.com/spreadsheets/d/1Jgv0Y7YlHDtsiDawwp-uvifEJ8HVaSn0k2aGHG8-hwM/edit?usp=sharing"",""เชียงใหม่!J441"")"),0)</f>
        <v>0</v>
      </c>
      <c r="AL16" s="82">
        <f t="shared" ca="1" si="29"/>
        <v>0</v>
      </c>
    </row>
    <row r="17" spans="1:38" ht="24" customHeight="1" x14ac:dyDescent="0.2">
      <c r="A17" s="72">
        <v>4</v>
      </c>
      <c r="B17" s="73" t="s">
        <v>34</v>
      </c>
      <c r="C17" s="74">
        <f t="shared" ca="1" si="38"/>
        <v>66760</v>
      </c>
      <c r="D17" s="75">
        <f ca="1">IFERROR(__xludf.DUMMYFUNCTION("IMPORTRANGE(""https://docs.google.com/spreadsheets/d/1JWG2rZePOz9pe-f-ObA-yDr0VoOX2kSb0qIix2mTUo8/edit?usp=sharing"",""ตาก!L424"")"),66760)</f>
        <v>66760</v>
      </c>
      <c r="E17" s="76">
        <f ca="1">IFERROR(__xludf.DUMMYFUNCTION("IMPORTRANGE(""https://docs.google.com/spreadsheets/d/1JWG2rZePOz9pe-f-ObA-yDr0VoOX2kSb0qIix2mTUo8/edit?usp=sharing"",""ตาก!L431"")"),0)</f>
        <v>0</v>
      </c>
      <c r="F17" s="77">
        <f t="shared" ca="1" si="1"/>
        <v>50300</v>
      </c>
      <c r="G17" s="78">
        <f t="shared" ca="1" si="2"/>
        <v>75.34451767525465</v>
      </c>
      <c r="H17" s="79">
        <f t="shared" ca="1" si="39"/>
        <v>50300</v>
      </c>
      <c r="I17" s="76">
        <f ca="1">IFERROR(__xludf.DUMMYFUNCTION("IMPORTRANGE(""https://docs.google.com/spreadsheets/d/1JWG2rZePOz9pe-f-ObA-yDr0VoOX2kSb0qIix2mTUo8/edit?usp=sharing"",""ตาก!N425"")"),36500)</f>
        <v>36500</v>
      </c>
      <c r="J17" s="76">
        <f ca="1">IFERROR(__xludf.DUMMYFUNCTION("IMPORTRANGE(""https://docs.google.com/spreadsheets/d/1JWG2rZePOz9pe-f-ObA-yDr0VoOX2kSb0qIix2mTUo8/edit?usp=sharing"",""ตาก!N426"")"),0)</f>
        <v>0</v>
      </c>
      <c r="K17" s="76">
        <f ca="1">IFERROR(__xludf.DUMMYFUNCTION("IMPORTRANGE(""https://docs.google.com/spreadsheets/d/1JWG2rZePOz9pe-f-ObA-yDr0VoOX2kSb0qIix2mTUo8/edit?usp=sharing"",""ตาก!N427"")"),0)</f>
        <v>0</v>
      </c>
      <c r="L17" s="76">
        <f ca="1">IFERROR(__xludf.DUMMYFUNCTION("IMPORTRANGE(""https://docs.google.com/spreadsheets/d/1JWG2rZePOz9pe-f-ObA-yDr0VoOX2kSb0qIix2mTUo8/edit?usp=sharing"",""ตาก!N428"")"),13800)</f>
        <v>13800</v>
      </c>
      <c r="M17" s="80">
        <f ca="1">IFERROR(__xludf.DUMMYFUNCTION("IMPORTRANGE(""https://docs.google.com/spreadsheets/d/1JWG2rZePOz9pe-f-ObA-yDr0VoOX2kSb0qIix2mTUo8/edit?usp=sharing"",""ตาก!N431"")"),0)</f>
        <v>0</v>
      </c>
      <c r="N17" s="80">
        <f t="shared" ca="1" si="32"/>
        <v>0</v>
      </c>
      <c r="O17" s="81">
        <f ca="1">IFERROR(__xludf.DUMMYFUNCTION("IMPORTRANGE(""https://docs.google.com/spreadsheets/d/1JWG2rZePOz9pe-f-ObA-yDr0VoOX2kSb0qIix2mTUo8/edit?usp=sharing"",""ตาก!I433"")"),15)</f>
        <v>15</v>
      </c>
      <c r="P17" s="81">
        <f ca="1">IFERROR(__xludf.DUMMYFUNCTION("IMPORTRANGE(""https://docs.google.com/spreadsheets/d/1JWG2rZePOz9pe-f-ObA-yDr0VoOX2kSb0qIix2mTUo8/edit?usp=sharing"",""ตาก!I434"")"),1)</f>
        <v>1</v>
      </c>
      <c r="Q17" s="81">
        <f ca="1">IFERROR(__xludf.DUMMYFUNCTION("IMPORTRANGE(""https://docs.google.com/spreadsheets/d/1JWG2rZePOz9pe-f-ObA-yDr0VoOX2kSb0qIix2mTUo8/edit?usp=sharing"",""ตาก!J433"")"),15)</f>
        <v>15</v>
      </c>
      <c r="R17" s="82">
        <f t="shared" ca="1" si="25"/>
        <v>100</v>
      </c>
      <c r="S17" s="81">
        <f ca="1">IFERROR(__xludf.DUMMYFUNCTION("IMPORTRANGE(""https://docs.google.com/spreadsheets/d/1JWG2rZePOz9pe-f-ObA-yDr0VoOX2kSb0qIix2mTUo8/edit?usp=sharing"",""ตาก!J434"")"),1)</f>
        <v>1</v>
      </c>
      <c r="T17" s="82">
        <f t="shared" ca="1" si="7"/>
        <v>100</v>
      </c>
      <c r="U17" s="81">
        <f ca="1">IFERROR(__xludf.DUMMYFUNCTION("IMPORTRANGE(""https://docs.google.com/spreadsheets/d/1JWG2rZePOz9pe-f-ObA-yDr0VoOX2kSb0qIix2mTUo8/edit?usp=sharing"",""ตาก!I435"")"),15)</f>
        <v>15</v>
      </c>
      <c r="V17" s="81">
        <f ca="1">IFERROR(__xludf.DUMMYFUNCTION("IMPORTRANGE(""https://docs.google.com/spreadsheets/d/1JWG2rZePOz9pe-f-ObA-yDr0VoOX2kSb0qIix2mTUo8/edit?usp=sharing"",""ตาก!J435"")"),15)</f>
        <v>15</v>
      </c>
      <c r="W17" s="82">
        <f t="shared" ca="1" si="26"/>
        <v>100</v>
      </c>
      <c r="X17" s="81">
        <f ca="1">IFERROR(__xludf.DUMMYFUNCTION("IMPORTRANGE(""https://docs.google.com/spreadsheets/d/1JWG2rZePOz9pe-f-ObA-yDr0VoOX2kSb0qIix2mTUo8/edit?usp=sharing"",""ตาก!I437"")"),0)</f>
        <v>0</v>
      </c>
      <c r="Y17" s="81">
        <f ca="1">IFERROR(__xludf.DUMMYFUNCTION("IMPORTRANGE(""https://docs.google.com/spreadsheets/d/1JWG2rZePOz9pe-f-ObA-yDr0VoOX2kSb0qIix2mTUo8/edit?usp=sharing"",""ตาก!I438"")"),0)</f>
        <v>0</v>
      </c>
      <c r="Z17" s="81">
        <f ca="1">IFERROR(__xludf.DUMMYFUNCTION("IMPORTRANGE(""https://docs.google.com/spreadsheets/d/1JWG2rZePOz9pe-f-ObA-yDr0VoOX2kSb0qIix2mTUo8/edit?usp=sharing"",""ตาก!J437"")"),0)</f>
        <v>0</v>
      </c>
      <c r="AA17" s="82">
        <f t="shared" ca="1" si="27"/>
        <v>0</v>
      </c>
      <c r="AB17" s="81">
        <f ca="1">IFERROR(__xludf.DUMMYFUNCTION("IMPORTRANGE(""https://docs.google.com/spreadsheets/d/1JWG2rZePOz9pe-f-ObA-yDr0VoOX2kSb0qIix2mTUo8/edit?usp=sharing"",""ตาก!J438"")"),0)</f>
        <v>0</v>
      </c>
      <c r="AC17" s="82">
        <f t="shared" ca="1" si="12"/>
        <v>0</v>
      </c>
      <c r="AD17" s="81">
        <f ca="1">IFERROR(__xludf.DUMMYFUNCTION("IMPORTRANGE(""https://docs.google.com/spreadsheets/d/1JWG2rZePOz9pe-f-ObA-yDr0VoOX2kSb0qIix2mTUo8/edit?usp=sharing"",""ตาก!I439"")"),15)</f>
        <v>15</v>
      </c>
      <c r="AE17" s="81">
        <f ca="1">IFERROR(__xludf.DUMMYFUNCTION("IMPORTRANGE(""https://docs.google.com/spreadsheets/d/1JWG2rZePOz9pe-f-ObA-yDr0VoOX2kSb0qIix2mTUo8/edit?usp=sharing"",""ตาก!I440"")"),1)</f>
        <v>1</v>
      </c>
      <c r="AF17" s="81">
        <f ca="1">IFERROR(__xludf.DUMMYFUNCTION("IMPORTRANGE(""https://docs.google.com/spreadsheets/d/1JWG2rZePOz9pe-f-ObA-yDr0VoOX2kSb0qIix2mTUo8/edit?usp=sharing"",""ตาก!J439"")"),15)</f>
        <v>15</v>
      </c>
      <c r="AG17" s="82">
        <f t="shared" ca="1" si="28"/>
        <v>100</v>
      </c>
      <c r="AH17" s="81">
        <f ca="1">IFERROR(__xludf.DUMMYFUNCTION("IMPORTRANGE(""https://docs.google.com/spreadsheets/d/1JWG2rZePOz9pe-f-ObA-yDr0VoOX2kSb0qIix2mTUo8/edit?usp=sharing"",""ตาก!J440"")"),1)</f>
        <v>1</v>
      </c>
      <c r="AI17" s="82">
        <f t="shared" ca="1" si="15"/>
        <v>100</v>
      </c>
      <c r="AJ17" s="81">
        <f ca="1">IFERROR(__xludf.DUMMYFUNCTION("IMPORTRANGE(""https://docs.google.com/spreadsheets/d/1JWG2rZePOz9pe-f-ObA-yDr0VoOX2kSb0qIix2mTUo8/edit?usp=sharing"",""ตาก!I441"")"),0)</f>
        <v>0</v>
      </c>
      <c r="AK17" s="81">
        <f ca="1">IFERROR(__xludf.DUMMYFUNCTION("IMPORTRANGE(""https://docs.google.com/spreadsheets/d/1JWG2rZePOz9pe-f-ObA-yDr0VoOX2kSb0qIix2mTUo8/edit?usp=sharing"",""ตาก!J441"")"),0)</f>
        <v>0</v>
      </c>
      <c r="AL17" s="82">
        <f t="shared" ca="1" si="29"/>
        <v>0</v>
      </c>
    </row>
    <row r="18" spans="1:38" ht="24" customHeight="1" x14ac:dyDescent="0.2">
      <c r="A18" s="72">
        <v>5</v>
      </c>
      <c r="B18" s="73" t="s">
        <v>35</v>
      </c>
      <c r="C18" s="74">
        <f t="shared" ca="1" si="38"/>
        <v>234110</v>
      </c>
      <c r="D18" s="75">
        <f ca="1">IFERROR(__xludf.DUMMYFUNCTION("IMPORTRANGE(""https://docs.google.com/spreadsheets/d/10nSRjK08hx8Y6HgSOQKNw81lyY46Zc7U_Cj72hBMp9U/edit?usp=sharing"",""นครสวรรค์!L424"")"),234110)</f>
        <v>234110</v>
      </c>
      <c r="E18" s="76">
        <f ca="1">IFERROR(__xludf.DUMMYFUNCTION("IMPORTRANGE(""https://docs.google.com/spreadsheets/d/10nSRjK08hx8Y6HgSOQKNw81lyY46Zc7U_Cj72hBMp9U/edit?usp=sharing"",""นครสวรรค์!L431"")"),0)</f>
        <v>0</v>
      </c>
      <c r="F18" s="77">
        <f t="shared" ca="1" si="1"/>
        <v>178900</v>
      </c>
      <c r="G18" s="78">
        <f t="shared" ca="1" si="2"/>
        <v>76.417068899235403</v>
      </c>
      <c r="H18" s="79">
        <f t="shared" ca="1" si="39"/>
        <v>178900</v>
      </c>
      <c r="I18" s="76">
        <f ca="1">IFERROR(__xludf.DUMMYFUNCTION("IMPORTRANGE(""https://docs.google.com/spreadsheets/d/10nSRjK08hx8Y6HgSOQKNw81lyY46Zc7U_Cj72hBMp9U/edit?usp=sharing"",""นครสวรรค์!N425"")"),155540)</f>
        <v>155540</v>
      </c>
      <c r="J18" s="76">
        <f ca="1">IFERROR(__xludf.DUMMYFUNCTION("IMPORTRANGE(""https://docs.google.com/spreadsheets/d/10nSRjK08hx8Y6HgSOQKNw81lyY46Zc7U_Cj72hBMp9U/edit?usp=sharing"",""นครสวรรค์!N426"")"),0)</f>
        <v>0</v>
      </c>
      <c r="K18" s="76">
        <f ca="1">IFERROR(__xludf.DUMMYFUNCTION("IMPORTRANGE(""https://docs.google.com/spreadsheets/d/10nSRjK08hx8Y6HgSOQKNw81lyY46Zc7U_Cj72hBMp9U/edit?usp=sharing"",""นครสวรรค์!N427"")"),0)</f>
        <v>0</v>
      </c>
      <c r="L18" s="76">
        <f ca="1">IFERROR(__xludf.DUMMYFUNCTION("IMPORTRANGE(""https://docs.google.com/spreadsheets/d/10nSRjK08hx8Y6HgSOQKNw81lyY46Zc7U_Cj72hBMp9U/edit?usp=sharing"",""นครสวรรค์!N428"")"),23360)</f>
        <v>23360</v>
      </c>
      <c r="M18" s="80">
        <f ca="1">IFERROR(__xludf.DUMMYFUNCTION("IMPORTRANGE(""https://docs.google.com/spreadsheets/d/10nSRjK08hx8Y6HgSOQKNw81lyY46Zc7U_Cj72hBMp9U/edit?usp=sharing"",""นครสวรรค์!N431"")"),0)</f>
        <v>0</v>
      </c>
      <c r="N18" s="80">
        <f t="shared" ca="1" si="32"/>
        <v>0</v>
      </c>
      <c r="O18" s="81">
        <f ca="1">IFERROR(__xludf.DUMMYFUNCTION("IMPORTRANGE(""https://docs.google.com/spreadsheets/d/10nSRjK08hx8Y6HgSOQKNw81lyY46Zc7U_Cj72hBMp9U/edit?usp=sharing"",""นครสวรรค์!I433"")"),70)</f>
        <v>70</v>
      </c>
      <c r="P18" s="81">
        <f ca="1">IFERROR(__xludf.DUMMYFUNCTION("IMPORTRANGE(""https://docs.google.com/spreadsheets/d/10nSRjK08hx8Y6HgSOQKNw81lyY46Zc7U_Cj72hBMp9U/edit?usp=sharing"",""นครสวรรค์!I434"")"),2)</f>
        <v>2</v>
      </c>
      <c r="Q18" s="81">
        <f ca="1">IFERROR(__xludf.DUMMYFUNCTION("IMPORTRANGE(""https://docs.google.com/spreadsheets/d/10nSRjK08hx8Y6HgSOQKNw81lyY46Zc7U_Cj72hBMp9U/edit?usp=sharing"",""นครสวรรค์!J433"")"),70)</f>
        <v>70</v>
      </c>
      <c r="R18" s="82">
        <f t="shared" ca="1" si="25"/>
        <v>100</v>
      </c>
      <c r="S18" s="81">
        <f ca="1">IFERROR(__xludf.DUMMYFUNCTION("IMPORTRANGE(""https://docs.google.com/spreadsheets/d/10nSRjK08hx8Y6HgSOQKNw81lyY46Zc7U_Cj72hBMp9U/edit?usp=sharing"",""นครสวรรค์!J434"")"),2)</f>
        <v>2</v>
      </c>
      <c r="T18" s="82">
        <f t="shared" ca="1" si="7"/>
        <v>100</v>
      </c>
      <c r="U18" s="81">
        <f ca="1">IFERROR(__xludf.DUMMYFUNCTION("IMPORTRANGE(""https://docs.google.com/spreadsheets/d/10nSRjK08hx8Y6HgSOQKNw81lyY46Zc7U_Cj72hBMp9U/edit?usp=sharing"",""นครสวรรค์!I435"")"),70)</f>
        <v>70</v>
      </c>
      <c r="V18" s="81">
        <f ca="1">IFERROR(__xludf.DUMMYFUNCTION("IMPORTRANGE(""https://docs.google.com/spreadsheets/d/10nSRjK08hx8Y6HgSOQKNw81lyY46Zc7U_Cj72hBMp9U/edit?usp=sharing"",""นครสวรรค์!J435"")"),70)</f>
        <v>70</v>
      </c>
      <c r="W18" s="82">
        <f t="shared" ca="1" si="26"/>
        <v>100</v>
      </c>
      <c r="X18" s="81">
        <f ca="1">IFERROR(__xludf.DUMMYFUNCTION("IMPORTRANGE(""https://docs.google.com/spreadsheets/d/10nSRjK08hx8Y6HgSOQKNw81lyY46Zc7U_Cj72hBMp9U/edit?usp=sharing"",""นครสวรรค์!I437"")"),50)</f>
        <v>50</v>
      </c>
      <c r="Y18" s="81">
        <f ca="1">IFERROR(__xludf.DUMMYFUNCTION("IMPORTRANGE(""https://docs.google.com/spreadsheets/d/10nSRjK08hx8Y6HgSOQKNw81lyY46Zc7U_Cj72hBMp9U/edit?usp=sharing"",""นครสวรรค์!I438"")"),1)</f>
        <v>1</v>
      </c>
      <c r="Z18" s="81">
        <f ca="1">IFERROR(__xludf.DUMMYFUNCTION("IMPORTRANGE(""https://docs.google.com/spreadsheets/d/10nSRjK08hx8Y6HgSOQKNw81lyY46Zc7U_Cj72hBMp9U/edit?usp=sharing"",""นครสวรรค์!J437"")"),50)</f>
        <v>50</v>
      </c>
      <c r="AA18" s="82">
        <f t="shared" ca="1" si="27"/>
        <v>100</v>
      </c>
      <c r="AB18" s="81">
        <f ca="1">IFERROR(__xludf.DUMMYFUNCTION("IMPORTRANGE(""https://docs.google.com/spreadsheets/d/10nSRjK08hx8Y6HgSOQKNw81lyY46Zc7U_Cj72hBMp9U/edit?usp=sharing"",""นครสวรรค์!J438"")"),1)</f>
        <v>1</v>
      </c>
      <c r="AC18" s="82">
        <f t="shared" ca="1" si="12"/>
        <v>100</v>
      </c>
      <c r="AD18" s="81">
        <f ca="1">IFERROR(__xludf.DUMMYFUNCTION("IMPORTRANGE(""https://docs.google.com/spreadsheets/d/10nSRjK08hx8Y6HgSOQKNw81lyY46Zc7U_Cj72hBMp9U/edit?usp=sharing"",""นครสวรรค์!I439"")"),20)</f>
        <v>20</v>
      </c>
      <c r="AE18" s="81">
        <f ca="1">IFERROR(__xludf.DUMMYFUNCTION("IMPORTRANGE(""https://docs.google.com/spreadsheets/d/10nSRjK08hx8Y6HgSOQKNw81lyY46Zc7U_Cj72hBMp9U/edit?usp=sharing"",""นครสวรรค์!I440"")"),1)</f>
        <v>1</v>
      </c>
      <c r="AF18" s="81">
        <f ca="1">IFERROR(__xludf.DUMMYFUNCTION("IMPORTRANGE(""https://docs.google.com/spreadsheets/d/10nSRjK08hx8Y6HgSOQKNw81lyY46Zc7U_Cj72hBMp9U/edit?usp=sharing"",""นครสวรรค์!J439"")"),20)</f>
        <v>20</v>
      </c>
      <c r="AG18" s="82">
        <f t="shared" ca="1" si="28"/>
        <v>100</v>
      </c>
      <c r="AH18" s="81">
        <f ca="1">IFERROR(__xludf.DUMMYFUNCTION("IMPORTRANGE(""https://docs.google.com/spreadsheets/d/10nSRjK08hx8Y6HgSOQKNw81lyY46Zc7U_Cj72hBMp9U/edit?usp=sharing"",""นครสวรรค์!J440"")"),1)</f>
        <v>1</v>
      </c>
      <c r="AI18" s="82">
        <f t="shared" ca="1" si="15"/>
        <v>100</v>
      </c>
      <c r="AJ18" s="81">
        <f ca="1">IFERROR(__xludf.DUMMYFUNCTION("IMPORTRANGE(""https://docs.google.com/spreadsheets/d/10nSRjK08hx8Y6HgSOQKNw81lyY46Zc7U_Cj72hBMp9U/edit?usp=sharing"",""นครสวรรค์!I441"")"),0)</f>
        <v>0</v>
      </c>
      <c r="AK18" s="81">
        <f ca="1">IFERROR(__xludf.DUMMYFUNCTION("IMPORTRANGE(""https://docs.google.com/spreadsheets/d/10nSRjK08hx8Y6HgSOQKNw81lyY46Zc7U_Cj72hBMp9U/edit?usp=sharing"",""นครสวรรค์!J441"")"),0)</f>
        <v>0</v>
      </c>
      <c r="AL18" s="82">
        <f t="shared" ca="1" si="29"/>
        <v>0</v>
      </c>
    </row>
    <row r="19" spans="1:38" ht="24" customHeight="1" x14ac:dyDescent="0.2">
      <c r="A19" s="72">
        <v>6</v>
      </c>
      <c r="B19" s="73" t="s">
        <v>36</v>
      </c>
      <c r="C19" s="74">
        <f t="shared" ca="1" si="38"/>
        <v>100160</v>
      </c>
      <c r="D19" s="75">
        <f ca="1">IFERROR(__xludf.DUMMYFUNCTION("IMPORTRANGE(""https://docs.google.com/spreadsheets/d/1gFVb7qd7amutrIxAAoM7lcy35hllxznovot8lyOfvDo/edit?usp=sharing"",""น่าน!L424"")"),100160)</f>
        <v>100160</v>
      </c>
      <c r="E19" s="76">
        <f ca="1">IFERROR(__xludf.DUMMYFUNCTION("IMPORTRANGE(""https://docs.google.com/spreadsheets/d/1gFVb7qd7amutrIxAAoM7lcy35hllxznovot8lyOfvDo/edit?usp=sharing"",""น่าน!L431"")"),0)</f>
        <v>0</v>
      </c>
      <c r="F19" s="77">
        <f t="shared" ca="1" si="1"/>
        <v>74520</v>
      </c>
      <c r="G19" s="78">
        <f t="shared" ca="1" si="2"/>
        <v>74.400958466453673</v>
      </c>
      <c r="H19" s="79">
        <f t="shared" ca="1" si="39"/>
        <v>74520</v>
      </c>
      <c r="I19" s="76">
        <f ca="1">IFERROR(__xludf.DUMMYFUNCTION("IMPORTRANGE(""https://docs.google.com/spreadsheets/d/1gFVb7qd7amutrIxAAoM7lcy35hllxznovot8lyOfvDo/edit?usp=sharing"",""น่าน!N425"")"),69900)</f>
        <v>69900</v>
      </c>
      <c r="J19" s="76">
        <f ca="1">IFERROR(__xludf.DUMMYFUNCTION("IMPORTRANGE(""https://docs.google.com/spreadsheets/d/1gFVb7qd7amutrIxAAoM7lcy35hllxznovot8lyOfvDo/edit?usp=sharing"",""น่าน!N426"")"),0)</f>
        <v>0</v>
      </c>
      <c r="K19" s="76">
        <f ca="1">IFERROR(__xludf.DUMMYFUNCTION("IMPORTRANGE(""https://docs.google.com/spreadsheets/d/1gFVb7qd7amutrIxAAoM7lcy35hllxznovot8lyOfvDo/edit?usp=sharing"",""น่าน!N427"")"),0)</f>
        <v>0</v>
      </c>
      <c r="L19" s="76">
        <f ca="1">IFERROR(__xludf.DUMMYFUNCTION("IMPORTRANGE(""https://docs.google.com/spreadsheets/d/1gFVb7qd7amutrIxAAoM7lcy35hllxznovot8lyOfvDo/edit?usp=sharing"",""น่าน!N428"")"),4620)</f>
        <v>4620</v>
      </c>
      <c r="M19" s="80">
        <f ca="1">IFERROR(__xludf.DUMMYFUNCTION("IMPORTRANGE(""https://docs.google.com/spreadsheets/d/1gFVb7qd7amutrIxAAoM7lcy35hllxznovot8lyOfvDo/edit?usp=sharing"",""น่าน!N431"")"),0)</f>
        <v>0</v>
      </c>
      <c r="N19" s="80">
        <f t="shared" ca="1" si="32"/>
        <v>0</v>
      </c>
      <c r="O19" s="81">
        <f ca="1">IFERROR(__xludf.DUMMYFUNCTION("IMPORTRANGE(""https://docs.google.com/spreadsheets/d/1gFVb7qd7amutrIxAAoM7lcy35hllxznovot8lyOfvDo/edit?usp=sharing"",""น่าน!I433"")"),20)</f>
        <v>20</v>
      </c>
      <c r="P19" s="81">
        <f ca="1">IFERROR(__xludf.DUMMYFUNCTION("IMPORTRANGE(""https://docs.google.com/spreadsheets/d/1gFVb7qd7amutrIxAAoM7lcy35hllxznovot8lyOfvDo/edit?usp=sharing"",""น่าน!I434"")"),1)</f>
        <v>1</v>
      </c>
      <c r="Q19" s="81">
        <f ca="1">IFERROR(__xludf.DUMMYFUNCTION("IMPORTRANGE(""https://docs.google.com/spreadsheets/d/1gFVb7qd7amutrIxAAoM7lcy35hllxznovot8lyOfvDo/edit?usp=sharing"",""น่าน!J433"")"),20)</f>
        <v>20</v>
      </c>
      <c r="R19" s="82">
        <f t="shared" ca="1" si="25"/>
        <v>100</v>
      </c>
      <c r="S19" s="81">
        <f ca="1">IFERROR(__xludf.DUMMYFUNCTION("IMPORTRANGE(""https://docs.google.com/spreadsheets/d/1gFVb7qd7amutrIxAAoM7lcy35hllxznovot8lyOfvDo/edit?usp=sharing"",""น่าน!J434"")"),1)</f>
        <v>1</v>
      </c>
      <c r="T19" s="82">
        <f t="shared" ca="1" si="7"/>
        <v>100</v>
      </c>
      <c r="U19" s="81">
        <f ca="1">IFERROR(__xludf.DUMMYFUNCTION("IMPORTRANGE(""https://docs.google.com/spreadsheets/d/1gFVb7qd7amutrIxAAoM7lcy35hllxznovot8lyOfvDo/edit?usp=sharing"",""น่าน!I435"")"),20)</f>
        <v>20</v>
      </c>
      <c r="V19" s="81">
        <f ca="1">IFERROR(__xludf.DUMMYFUNCTION("IMPORTRANGE(""https://docs.google.com/spreadsheets/d/1gFVb7qd7amutrIxAAoM7lcy35hllxznovot8lyOfvDo/edit?usp=sharing"",""น่าน!J435"")"),20)</f>
        <v>20</v>
      </c>
      <c r="W19" s="82">
        <f t="shared" ca="1" si="26"/>
        <v>100</v>
      </c>
      <c r="X19" s="81">
        <f ca="1">IFERROR(__xludf.DUMMYFUNCTION("IMPORTRANGE(""https://docs.google.com/spreadsheets/d/1gFVb7qd7amutrIxAAoM7lcy35hllxznovot8lyOfvDo/edit?usp=sharing"",""น่าน!I437"")"),0)</f>
        <v>0</v>
      </c>
      <c r="Y19" s="81">
        <f ca="1">IFERROR(__xludf.DUMMYFUNCTION("IMPORTRANGE(""https://docs.google.com/spreadsheets/d/1gFVb7qd7amutrIxAAoM7lcy35hllxznovot8lyOfvDo/edit?usp=sharing"",""น่าน!I438"")"),0)</f>
        <v>0</v>
      </c>
      <c r="Z19" s="81">
        <f ca="1">IFERROR(__xludf.DUMMYFUNCTION("IMPORTRANGE(""https://docs.google.com/spreadsheets/d/1gFVb7qd7amutrIxAAoM7lcy35hllxznovot8lyOfvDo/edit?usp=sharing"",""น่าน!J437"")"),0)</f>
        <v>0</v>
      </c>
      <c r="AA19" s="82">
        <f t="shared" ca="1" si="27"/>
        <v>0</v>
      </c>
      <c r="AB19" s="81">
        <f ca="1">IFERROR(__xludf.DUMMYFUNCTION("IMPORTRANGE(""https://docs.google.com/spreadsheets/d/1gFVb7qd7amutrIxAAoM7lcy35hllxznovot8lyOfvDo/edit?usp=sharing"",""น่าน!J438"")"),0)</f>
        <v>0</v>
      </c>
      <c r="AC19" s="82">
        <f t="shared" ca="1" si="12"/>
        <v>0</v>
      </c>
      <c r="AD19" s="81">
        <f ca="1">IFERROR(__xludf.DUMMYFUNCTION("IMPORTRANGE(""https://docs.google.com/spreadsheets/d/1gFVb7qd7amutrIxAAoM7lcy35hllxznovot8lyOfvDo/edit?usp=sharing"",""น่าน!I439"")"),20)</f>
        <v>20</v>
      </c>
      <c r="AE19" s="81">
        <f ca="1">IFERROR(__xludf.DUMMYFUNCTION("IMPORTRANGE(""https://docs.google.com/spreadsheets/d/1gFVb7qd7amutrIxAAoM7lcy35hllxznovot8lyOfvDo/edit?usp=sharing"",""น่าน!I440"")"),1)</f>
        <v>1</v>
      </c>
      <c r="AF19" s="81">
        <f ca="1">IFERROR(__xludf.DUMMYFUNCTION("IMPORTRANGE(""https://docs.google.com/spreadsheets/d/1gFVb7qd7amutrIxAAoM7lcy35hllxznovot8lyOfvDo/edit?usp=sharing"",""น่าน!J439"")"),20)</f>
        <v>20</v>
      </c>
      <c r="AG19" s="82">
        <f t="shared" ca="1" si="28"/>
        <v>100</v>
      </c>
      <c r="AH19" s="81">
        <f ca="1">IFERROR(__xludf.DUMMYFUNCTION("IMPORTRANGE(""https://docs.google.com/spreadsheets/d/1gFVb7qd7amutrIxAAoM7lcy35hllxznovot8lyOfvDo/edit?usp=sharing"",""น่าน!J440"")"),1)</f>
        <v>1</v>
      </c>
      <c r="AI19" s="82">
        <f t="shared" ca="1" si="15"/>
        <v>100</v>
      </c>
      <c r="AJ19" s="81">
        <f ca="1">IFERROR(__xludf.DUMMYFUNCTION("IMPORTRANGE(""https://docs.google.com/spreadsheets/d/1gFVb7qd7amutrIxAAoM7lcy35hllxznovot8lyOfvDo/edit?usp=sharing"",""น่าน!I441"")"),0)</f>
        <v>0</v>
      </c>
      <c r="AK19" s="81">
        <f ca="1">IFERROR(__xludf.DUMMYFUNCTION("IMPORTRANGE(""https://docs.google.com/spreadsheets/d/1gFVb7qd7amutrIxAAoM7lcy35hllxznovot8lyOfvDo/edit?usp=sharing"",""น่าน!J441"")"),0)</f>
        <v>0</v>
      </c>
      <c r="AL19" s="82">
        <f t="shared" ca="1" si="29"/>
        <v>0</v>
      </c>
    </row>
    <row r="20" spans="1:38" ht="24" customHeight="1" x14ac:dyDescent="0.2">
      <c r="A20" s="72">
        <v>7</v>
      </c>
      <c r="B20" s="73" t="s">
        <v>37</v>
      </c>
      <c r="C20" s="74">
        <f t="shared" ca="1" si="38"/>
        <v>197440</v>
      </c>
      <c r="D20" s="75">
        <f ca="1">IFERROR(__xludf.DUMMYFUNCTION("IMPORTRANGE(""https://docs.google.com/spreadsheets/d/1K0Aa9s-6EuHE5M0FG1F9aHLXRCOV917xvycTdLdct0w/edit?usp=sharing"",""พะเยา!L424"")"),197440)</f>
        <v>197440</v>
      </c>
      <c r="E20" s="76">
        <f ca="1">IFERROR(__xludf.DUMMYFUNCTION("IMPORTRANGE(""https://docs.google.com/spreadsheets/d/1K0Aa9s-6EuHE5M0FG1F9aHLXRCOV917xvycTdLdct0w/edit?usp=sharing"",""พะเยา!L431"")"),0)</f>
        <v>0</v>
      </c>
      <c r="F20" s="77">
        <f t="shared" ca="1" si="1"/>
        <v>23740</v>
      </c>
      <c r="G20" s="78">
        <f t="shared" ca="1" si="2"/>
        <v>12.02390599675851</v>
      </c>
      <c r="H20" s="79">
        <f t="shared" ca="1" si="39"/>
        <v>23740</v>
      </c>
      <c r="I20" s="76">
        <f ca="1">IFERROR(__xludf.DUMMYFUNCTION("IMPORTRANGE(""https://docs.google.com/spreadsheets/d/1K0Aa9s-6EuHE5M0FG1F9aHLXRCOV917xvycTdLdct0w/edit?usp=sharing"",""พะเยา!N425"")"),22720)</f>
        <v>22720</v>
      </c>
      <c r="J20" s="76">
        <f ca="1">IFERROR(__xludf.DUMMYFUNCTION("IMPORTRANGE(""https://docs.google.com/spreadsheets/d/1K0Aa9s-6EuHE5M0FG1F9aHLXRCOV917xvycTdLdct0w/edit?usp=sharing"",""พะเยา!N426"")"),0)</f>
        <v>0</v>
      </c>
      <c r="K20" s="76">
        <f ca="1">IFERROR(__xludf.DUMMYFUNCTION("IMPORTRANGE(""https://docs.google.com/spreadsheets/d/1K0Aa9s-6EuHE5M0FG1F9aHLXRCOV917xvycTdLdct0w/edit?usp=sharing"",""พะเยา!N427"")"),0)</f>
        <v>0</v>
      </c>
      <c r="L20" s="76">
        <f ca="1">IFERROR(__xludf.DUMMYFUNCTION("IMPORTRANGE(""https://docs.google.com/spreadsheets/d/1K0Aa9s-6EuHE5M0FG1F9aHLXRCOV917xvycTdLdct0w/edit?usp=sharing"",""พะเยา!N428"")"),1020)</f>
        <v>1020</v>
      </c>
      <c r="M20" s="80">
        <f ca="1">IFERROR(__xludf.DUMMYFUNCTION("IMPORTRANGE(""https://docs.google.com/spreadsheets/d/1K0Aa9s-6EuHE5M0FG1F9aHLXRCOV917xvycTdLdct0w/edit?usp=sharing"",""พะเยา!N431"")"),0)</f>
        <v>0</v>
      </c>
      <c r="N20" s="80">
        <f t="shared" ca="1" si="32"/>
        <v>0</v>
      </c>
      <c r="O20" s="81">
        <f ca="1">IFERROR(__xludf.DUMMYFUNCTION("IMPORTRANGE(""https://docs.google.com/spreadsheets/d/1K0Aa9s-6EuHE5M0FG1F9aHLXRCOV917xvycTdLdct0w/edit?usp=sharing"",""พะเยา!I433"")"),65)</f>
        <v>65</v>
      </c>
      <c r="P20" s="81">
        <f ca="1">IFERROR(__xludf.DUMMYFUNCTION("IMPORTRANGE(""https://docs.google.com/spreadsheets/d/1K0Aa9s-6EuHE5M0FG1F9aHLXRCOV917xvycTdLdct0w/edit?usp=sharing"",""พะเยา!I434"")"),2)</f>
        <v>2</v>
      </c>
      <c r="Q20" s="81">
        <f ca="1">IFERROR(__xludf.DUMMYFUNCTION("IMPORTRANGE(""https://docs.google.com/spreadsheets/d/1K0Aa9s-6EuHE5M0FG1F9aHLXRCOV917xvycTdLdct0w/edit?usp=sharing"",""พะเยา!J433"")"),0)</f>
        <v>0</v>
      </c>
      <c r="R20" s="82">
        <f t="shared" ca="1" si="25"/>
        <v>0</v>
      </c>
      <c r="S20" s="81">
        <f ca="1">IFERROR(__xludf.DUMMYFUNCTION("IMPORTRANGE(""https://docs.google.com/spreadsheets/d/1K0Aa9s-6EuHE5M0FG1F9aHLXRCOV917xvycTdLdct0w/edit?usp=sharing"",""พะเยา!J434"")"),0)</f>
        <v>0</v>
      </c>
      <c r="T20" s="82">
        <f t="shared" ca="1" si="7"/>
        <v>0</v>
      </c>
      <c r="U20" s="81">
        <f ca="1">IFERROR(__xludf.DUMMYFUNCTION("IMPORTRANGE(""https://docs.google.com/spreadsheets/d/1K0Aa9s-6EuHE5M0FG1F9aHLXRCOV917xvycTdLdct0w/edit?usp=sharing"",""พะเยา!I435"")"),65)</f>
        <v>65</v>
      </c>
      <c r="V20" s="81">
        <f ca="1">IFERROR(__xludf.DUMMYFUNCTION("IMPORTRANGE(""https://docs.google.com/spreadsheets/d/1K0Aa9s-6EuHE5M0FG1F9aHLXRCOV917xvycTdLdct0w/edit?usp=sharing"",""พะเยา!J435"")"),30)</f>
        <v>30</v>
      </c>
      <c r="W20" s="82">
        <f t="shared" ca="1" si="26"/>
        <v>46.153846153846153</v>
      </c>
      <c r="X20" s="81">
        <f ca="1">IFERROR(__xludf.DUMMYFUNCTION("IMPORTRANGE(""https://docs.google.com/spreadsheets/d/1K0Aa9s-6EuHE5M0FG1F9aHLXRCOV917xvycTdLdct0w/edit?usp=sharing"",""พะเยา!I437"")"),30)</f>
        <v>30</v>
      </c>
      <c r="Y20" s="81">
        <f ca="1">IFERROR(__xludf.DUMMYFUNCTION("IMPORTRANGE(""https://docs.google.com/spreadsheets/d/1K0Aa9s-6EuHE5M0FG1F9aHLXRCOV917xvycTdLdct0w/edit?usp=sharing"",""พะเยา!I438"")"),1)</f>
        <v>1</v>
      </c>
      <c r="Z20" s="81">
        <f ca="1">IFERROR(__xludf.DUMMYFUNCTION("IMPORTRANGE(""https://docs.google.com/spreadsheets/d/1K0Aa9s-6EuHE5M0FG1F9aHLXRCOV917xvycTdLdct0w/edit?usp=sharing"",""พะเยา!J437"")"),0)</f>
        <v>0</v>
      </c>
      <c r="AA20" s="82">
        <f t="shared" ca="1" si="27"/>
        <v>0</v>
      </c>
      <c r="AB20" s="81">
        <f ca="1">IFERROR(__xludf.DUMMYFUNCTION("IMPORTRANGE(""https://docs.google.com/spreadsheets/d/1K0Aa9s-6EuHE5M0FG1F9aHLXRCOV917xvycTdLdct0w/edit?usp=sharing"",""พะเยา!J438"")"),0)</f>
        <v>0</v>
      </c>
      <c r="AC20" s="82">
        <f t="shared" ca="1" si="12"/>
        <v>0</v>
      </c>
      <c r="AD20" s="81">
        <f ca="1">IFERROR(__xludf.DUMMYFUNCTION("IMPORTRANGE(""https://docs.google.com/spreadsheets/d/1K0Aa9s-6EuHE5M0FG1F9aHLXRCOV917xvycTdLdct0w/edit?usp=sharing"",""พะเยา!I439"")"),35)</f>
        <v>35</v>
      </c>
      <c r="AE20" s="81">
        <f ca="1">IFERROR(__xludf.DUMMYFUNCTION("IMPORTRANGE(""https://docs.google.com/spreadsheets/d/1K0Aa9s-6EuHE5M0FG1F9aHLXRCOV917xvycTdLdct0w/edit?usp=sharing"",""พะเยา!I440"")"),1)</f>
        <v>1</v>
      </c>
      <c r="AF20" s="81">
        <f ca="1">IFERROR(__xludf.DUMMYFUNCTION("IMPORTRANGE(""https://docs.google.com/spreadsheets/d/1K0Aa9s-6EuHE5M0FG1F9aHLXRCOV917xvycTdLdct0w/edit?usp=sharing"",""พะเยา!J439"")"),0)</f>
        <v>0</v>
      </c>
      <c r="AG20" s="82">
        <f t="shared" ca="1" si="28"/>
        <v>0</v>
      </c>
      <c r="AH20" s="81">
        <f ca="1">IFERROR(__xludf.DUMMYFUNCTION("IMPORTRANGE(""https://docs.google.com/spreadsheets/d/1K0Aa9s-6EuHE5M0FG1F9aHLXRCOV917xvycTdLdct0w/edit?usp=sharing"",""พะเยา!J440"")"),0)</f>
        <v>0</v>
      </c>
      <c r="AI20" s="82">
        <f t="shared" ca="1" si="15"/>
        <v>0</v>
      </c>
      <c r="AJ20" s="81">
        <f ca="1">IFERROR(__xludf.DUMMYFUNCTION("IMPORTRANGE(""https://docs.google.com/spreadsheets/d/1K0Aa9s-6EuHE5M0FG1F9aHLXRCOV917xvycTdLdct0w/edit?usp=sharing"",""พะเยา!I441"")"),0)</f>
        <v>0</v>
      </c>
      <c r="AK20" s="81">
        <f ca="1">IFERROR(__xludf.DUMMYFUNCTION("IMPORTRANGE(""https://docs.google.com/spreadsheets/d/1K0Aa9s-6EuHE5M0FG1F9aHLXRCOV917xvycTdLdct0w/edit?usp=sharing"",""พะเยา!J441"")"),0)</f>
        <v>0</v>
      </c>
      <c r="AL20" s="82">
        <f t="shared" ca="1" si="29"/>
        <v>0</v>
      </c>
    </row>
    <row r="21" spans="1:38" ht="24" customHeight="1" x14ac:dyDescent="0.2">
      <c r="A21" s="72">
        <v>8</v>
      </c>
      <c r="B21" s="73" t="s">
        <v>38</v>
      </c>
      <c r="C21" s="74">
        <f t="shared" ca="1" si="38"/>
        <v>78660</v>
      </c>
      <c r="D21" s="75">
        <f ca="1">IFERROR(__xludf.DUMMYFUNCTION("IMPORTRANGE(""https://docs.google.com/spreadsheets/d/1Y9LPKx95PyL5OKy09d-KbKJSuuEZCFdkhYjwC0XQjBA/edit?usp=sharing"",""พิจิตร!L424"")"),78660)</f>
        <v>78660</v>
      </c>
      <c r="E21" s="76">
        <f ca="1">IFERROR(__xludf.DUMMYFUNCTION("IMPORTRANGE(""https://docs.google.com/spreadsheets/d/1Y9LPKx95PyL5OKy09d-KbKJSuuEZCFdkhYjwC0XQjBA/edit?usp=sharing"",""พิจิตร!L431"")"),0)</f>
        <v>0</v>
      </c>
      <c r="F21" s="77">
        <f t="shared" ca="1" si="1"/>
        <v>0</v>
      </c>
      <c r="G21" s="78">
        <f t="shared" ca="1" si="2"/>
        <v>0</v>
      </c>
      <c r="H21" s="79">
        <f t="shared" ca="1" si="39"/>
        <v>0</v>
      </c>
      <c r="I21" s="76">
        <f ca="1">IFERROR(__xludf.DUMMYFUNCTION("IMPORTRANGE(""https://docs.google.com/spreadsheets/d/1Y9LPKx95PyL5OKy09d-KbKJSuuEZCFdkhYjwC0XQjBA/edit?usp=sharing"",""พิจิตร!N425"")"),0)</f>
        <v>0</v>
      </c>
      <c r="J21" s="76">
        <f ca="1">IFERROR(__xludf.DUMMYFUNCTION("IMPORTRANGE(""https://docs.google.com/spreadsheets/d/1Y9LPKx95PyL5OKy09d-KbKJSuuEZCFdkhYjwC0XQjBA/edit?usp=sharing"",""พิจิตร!N426"")"),0)</f>
        <v>0</v>
      </c>
      <c r="K21" s="76">
        <f ca="1">IFERROR(__xludf.DUMMYFUNCTION("IMPORTRANGE(""https://docs.google.com/spreadsheets/d/1Y9LPKx95PyL5OKy09d-KbKJSuuEZCFdkhYjwC0XQjBA/edit?usp=sharing"",""พิจิตร!N427"")"),0)</f>
        <v>0</v>
      </c>
      <c r="L21" s="76">
        <f ca="1">IFERROR(__xludf.DUMMYFUNCTION("IMPORTRANGE(""https://docs.google.com/spreadsheets/d/1Y9LPKx95PyL5OKy09d-KbKJSuuEZCFdkhYjwC0XQjBA/edit?usp=sharing"",""พิจิตร!N428"")"),0)</f>
        <v>0</v>
      </c>
      <c r="M21" s="80">
        <f ca="1">IFERROR(__xludf.DUMMYFUNCTION("IMPORTRANGE(""https://docs.google.com/spreadsheets/d/1Y9LPKx95PyL5OKy09d-KbKJSuuEZCFdkhYjwC0XQjBA/edit?usp=sharing"",""พิจิตร!N431"")"),0)</f>
        <v>0</v>
      </c>
      <c r="N21" s="80">
        <f t="shared" ca="1" si="32"/>
        <v>0</v>
      </c>
      <c r="O21" s="81">
        <f ca="1">IFERROR(__xludf.DUMMYFUNCTION("IMPORTRANGE(""https://docs.google.com/spreadsheets/d/1Y9LPKx95PyL5OKy09d-KbKJSuuEZCFdkhYjwC0XQjBA/edit?usp=sharing"",""พิจิตร!I433"")"),20)</f>
        <v>20</v>
      </c>
      <c r="P21" s="81">
        <f ca="1">IFERROR(__xludf.DUMMYFUNCTION("IMPORTRANGE(""https://docs.google.com/spreadsheets/d/1Y9LPKx95PyL5OKy09d-KbKJSuuEZCFdkhYjwC0XQjBA/edit?usp=sharing"",""พิจิตร!I434"")"),1)</f>
        <v>1</v>
      </c>
      <c r="Q21" s="81">
        <f ca="1">IFERROR(__xludf.DUMMYFUNCTION("IMPORTRANGE(""https://docs.google.com/spreadsheets/d/1Y9LPKx95PyL5OKy09d-KbKJSuuEZCFdkhYjwC0XQjBA/edit?usp=sharing"",""พิจิตร!J433"")"),20)</f>
        <v>20</v>
      </c>
      <c r="R21" s="82">
        <f t="shared" ca="1" si="25"/>
        <v>100</v>
      </c>
      <c r="S21" s="81">
        <f ca="1">IFERROR(__xludf.DUMMYFUNCTION("IMPORTRANGE(""https://docs.google.com/spreadsheets/d/1Y9LPKx95PyL5OKy09d-KbKJSuuEZCFdkhYjwC0XQjBA/edit?usp=sharing"",""พิจิตร!J434"")"),1)</f>
        <v>1</v>
      </c>
      <c r="T21" s="82">
        <f t="shared" ca="1" si="7"/>
        <v>100</v>
      </c>
      <c r="U21" s="81">
        <f ca="1">IFERROR(__xludf.DUMMYFUNCTION("IMPORTRANGE(""https://docs.google.com/spreadsheets/d/1Y9LPKx95PyL5OKy09d-KbKJSuuEZCFdkhYjwC0XQjBA/edit?usp=sharing"",""พิจิตร!I435"")"),20)</f>
        <v>20</v>
      </c>
      <c r="V21" s="81">
        <f ca="1">IFERROR(__xludf.DUMMYFUNCTION("IMPORTRANGE(""https://docs.google.com/spreadsheets/d/1Y9LPKx95PyL5OKy09d-KbKJSuuEZCFdkhYjwC0XQjBA/edit?usp=sharing"",""พิจิตร!J435"")"),20)</f>
        <v>20</v>
      </c>
      <c r="W21" s="82">
        <f t="shared" ca="1" si="26"/>
        <v>100</v>
      </c>
      <c r="X21" s="81">
        <f ca="1">IFERROR(__xludf.DUMMYFUNCTION("IMPORTRANGE(""https://docs.google.com/spreadsheets/d/1Y9LPKx95PyL5OKy09d-KbKJSuuEZCFdkhYjwC0XQjBA/edit?usp=sharing"",""พิจิตร!I437"")"),0)</f>
        <v>0</v>
      </c>
      <c r="Y21" s="81">
        <f ca="1">IFERROR(__xludf.DUMMYFUNCTION("IMPORTRANGE(""https://docs.google.com/spreadsheets/d/1Y9LPKx95PyL5OKy09d-KbKJSuuEZCFdkhYjwC0XQjBA/edit?usp=sharing"",""พิจิตร!I438"")"),0)</f>
        <v>0</v>
      </c>
      <c r="Z21" s="81">
        <f ca="1">IFERROR(__xludf.DUMMYFUNCTION("IMPORTRANGE(""https://docs.google.com/spreadsheets/d/1Y9LPKx95PyL5OKy09d-KbKJSuuEZCFdkhYjwC0XQjBA/edit?usp=sharing"",""พิจิตร!J437"")"),0)</f>
        <v>0</v>
      </c>
      <c r="AA21" s="82">
        <f t="shared" ca="1" si="27"/>
        <v>0</v>
      </c>
      <c r="AB21" s="81">
        <f ca="1">IFERROR(__xludf.DUMMYFUNCTION("IMPORTRANGE(""https://docs.google.com/spreadsheets/d/1Y9LPKx95PyL5OKy09d-KbKJSuuEZCFdkhYjwC0XQjBA/edit?usp=sharing"",""พิจิตร!J438"")"),0)</f>
        <v>0</v>
      </c>
      <c r="AC21" s="82">
        <f t="shared" ca="1" si="12"/>
        <v>0</v>
      </c>
      <c r="AD21" s="81">
        <f ca="1">IFERROR(__xludf.DUMMYFUNCTION("IMPORTRANGE(""https://docs.google.com/spreadsheets/d/1Y9LPKx95PyL5OKy09d-KbKJSuuEZCFdkhYjwC0XQjBA/edit?usp=sharing"",""พิจิตร!I439"")"),20)</f>
        <v>20</v>
      </c>
      <c r="AE21" s="81">
        <f ca="1">IFERROR(__xludf.DUMMYFUNCTION("IMPORTRANGE(""https://docs.google.com/spreadsheets/d/1Y9LPKx95PyL5OKy09d-KbKJSuuEZCFdkhYjwC0XQjBA/edit?usp=sharing"",""พิจิตร!I440"")"),1)</f>
        <v>1</v>
      </c>
      <c r="AF21" s="81">
        <f ca="1">IFERROR(__xludf.DUMMYFUNCTION("IMPORTRANGE(""https://docs.google.com/spreadsheets/d/1Y9LPKx95PyL5OKy09d-KbKJSuuEZCFdkhYjwC0XQjBA/edit?usp=sharing"",""พิจิตร!J439"")"),20)</f>
        <v>20</v>
      </c>
      <c r="AG21" s="82">
        <f t="shared" ca="1" si="28"/>
        <v>100</v>
      </c>
      <c r="AH21" s="81">
        <f ca="1">IFERROR(__xludf.DUMMYFUNCTION("IMPORTRANGE(""https://docs.google.com/spreadsheets/d/1Y9LPKx95PyL5OKy09d-KbKJSuuEZCFdkhYjwC0XQjBA/edit?usp=sharing"",""พิจิตร!J440"")"),1)</f>
        <v>1</v>
      </c>
      <c r="AI21" s="82">
        <f t="shared" ca="1" si="15"/>
        <v>100</v>
      </c>
      <c r="AJ21" s="81">
        <f ca="1">IFERROR(__xludf.DUMMYFUNCTION("IMPORTRANGE(""https://docs.google.com/spreadsheets/d/1Y9LPKx95PyL5OKy09d-KbKJSuuEZCFdkhYjwC0XQjBA/edit?usp=sharing"",""พิจิตร!I441"")"),0)</f>
        <v>0</v>
      </c>
      <c r="AK21" s="81">
        <f ca="1">IFERROR(__xludf.DUMMYFUNCTION("IMPORTRANGE(""https://docs.google.com/spreadsheets/d/1Y9LPKx95PyL5OKy09d-KbKJSuuEZCFdkhYjwC0XQjBA/edit?usp=sharing"",""พิจิตร!J441"")"),0)</f>
        <v>0</v>
      </c>
      <c r="AL21" s="82">
        <f t="shared" ca="1" si="29"/>
        <v>0</v>
      </c>
    </row>
    <row r="22" spans="1:38" ht="24" customHeight="1" x14ac:dyDescent="0.2">
      <c r="A22" s="72">
        <v>9</v>
      </c>
      <c r="B22" s="73" t="s">
        <v>39</v>
      </c>
      <c r="C22" s="74">
        <f t="shared" ca="1" si="38"/>
        <v>78660</v>
      </c>
      <c r="D22" s="75">
        <f ca="1">IFERROR(__xludf.DUMMYFUNCTION("IMPORTRANGE(""https://docs.google.com/spreadsheets/d/16OMuOwy2eVqZcYWOouQtTpa8X1L23h4660uVHc0C8os/edit?usp=sharing"",""พิษณุโลก!L424"")"),78660)</f>
        <v>78660</v>
      </c>
      <c r="E22" s="76">
        <f ca="1">IFERROR(__xludf.DUMMYFUNCTION("IMPORTRANGE(""https://docs.google.com/spreadsheets/d/16OMuOwy2eVqZcYWOouQtTpa8X1L23h4660uVHc0C8os/edit?usp=sharing"",""พิษณุโลก!L431"")"),0)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39"/>
        <v>0</v>
      </c>
      <c r="I22" s="76">
        <f ca="1">IFERROR(__xludf.DUMMYFUNCTION("IMPORTRANGE(""https://docs.google.com/spreadsheets/d/16OMuOwy2eVqZcYWOouQtTpa8X1L23h4660uVHc0C8os/edit?usp=sharing"",""พิษณุโลก!N425"")"),0)</f>
        <v>0</v>
      </c>
      <c r="J22" s="76">
        <f ca="1">IFERROR(__xludf.DUMMYFUNCTION("IMPORTRANGE(""https://docs.google.com/spreadsheets/d/16OMuOwy2eVqZcYWOouQtTpa8X1L23h4660uVHc0C8os/edit?usp=sharing"",""พิษณุโลก!N426"")"),0)</f>
        <v>0</v>
      </c>
      <c r="K22" s="76">
        <f ca="1">IFERROR(__xludf.DUMMYFUNCTION("IMPORTRANGE(""https://docs.google.com/spreadsheets/d/16OMuOwy2eVqZcYWOouQtTpa8X1L23h4660uVHc0C8os/edit?usp=sharing"",""พิษณุโลก!N427"")"),0)</f>
        <v>0</v>
      </c>
      <c r="L22" s="76">
        <f ca="1">IFERROR(__xludf.DUMMYFUNCTION("IMPORTRANGE(""https://docs.google.com/spreadsheets/d/16OMuOwy2eVqZcYWOouQtTpa8X1L23h4660uVHc0C8os/edit?usp=sharing"",""พิษณุโลก!N428"")"),0)</f>
        <v>0</v>
      </c>
      <c r="M22" s="80">
        <f ca="1">IFERROR(__xludf.DUMMYFUNCTION("IMPORTRANGE(""https://docs.google.com/spreadsheets/d/16OMuOwy2eVqZcYWOouQtTpa8X1L23h4660uVHc0C8os/edit?usp=sharing"",""พิษณุโลก!N431"")"),0)</f>
        <v>0</v>
      </c>
      <c r="N22" s="80">
        <f t="shared" ca="1" si="32"/>
        <v>0</v>
      </c>
      <c r="O22" s="81">
        <f ca="1">IFERROR(__xludf.DUMMYFUNCTION("IMPORTRANGE(""https://docs.google.com/spreadsheets/d/16OMuOwy2eVqZcYWOouQtTpa8X1L23h4660uVHc0C8os/edit?usp=sharing"",""พิษณุโลก!I433"")"),20)</f>
        <v>20</v>
      </c>
      <c r="P22" s="81">
        <f ca="1">IFERROR(__xludf.DUMMYFUNCTION("IMPORTRANGE(""https://docs.google.com/spreadsheets/d/16OMuOwy2eVqZcYWOouQtTpa8X1L23h4660uVHc0C8os/edit?usp=sharing"",""พิษณุโลก!I434"")"),1)</f>
        <v>1</v>
      </c>
      <c r="Q22" s="81">
        <f ca="1">IFERROR(__xludf.DUMMYFUNCTION("IMPORTRANGE(""https://docs.google.com/spreadsheets/d/16OMuOwy2eVqZcYWOouQtTpa8X1L23h4660uVHc0C8os/edit?usp=sharing"",""พิษณุโลก!J433"")"),0)</f>
        <v>0</v>
      </c>
      <c r="R22" s="82">
        <f t="shared" ca="1" si="25"/>
        <v>0</v>
      </c>
      <c r="S22" s="81">
        <f ca="1">IFERROR(__xludf.DUMMYFUNCTION("IMPORTRANGE(""https://docs.google.com/spreadsheets/d/16OMuOwy2eVqZcYWOouQtTpa8X1L23h4660uVHc0C8os/edit?usp=sharing"",""พิษณุโลก!J434"")"),0)</f>
        <v>0</v>
      </c>
      <c r="T22" s="82">
        <f t="shared" ca="1" si="7"/>
        <v>0</v>
      </c>
      <c r="U22" s="81">
        <f ca="1">IFERROR(__xludf.DUMMYFUNCTION("IMPORTRANGE(""https://docs.google.com/spreadsheets/d/16OMuOwy2eVqZcYWOouQtTpa8X1L23h4660uVHc0C8os/edit?usp=sharing"",""พิษณุโลก!I435"")"),20)</f>
        <v>20</v>
      </c>
      <c r="V22" s="81">
        <f ca="1">IFERROR(__xludf.DUMMYFUNCTION("IMPORTRANGE(""https://docs.google.com/spreadsheets/d/16OMuOwy2eVqZcYWOouQtTpa8X1L23h4660uVHc0C8os/edit?usp=sharing"",""พิษณุโลก!J435"")"),0)</f>
        <v>0</v>
      </c>
      <c r="W22" s="82">
        <f t="shared" ca="1" si="26"/>
        <v>0</v>
      </c>
      <c r="X22" s="81">
        <f ca="1">IFERROR(__xludf.DUMMYFUNCTION("IMPORTRANGE(""https://docs.google.com/spreadsheets/d/16OMuOwy2eVqZcYWOouQtTpa8X1L23h4660uVHc0C8os/edit?usp=sharing"",""พิษณุโลก!I437"")"),0)</f>
        <v>0</v>
      </c>
      <c r="Y22" s="81">
        <f ca="1">IFERROR(__xludf.DUMMYFUNCTION("IMPORTRANGE(""https://docs.google.com/spreadsheets/d/16OMuOwy2eVqZcYWOouQtTpa8X1L23h4660uVHc0C8os/edit?usp=sharing"",""พิษณุโลก!I438"")"),0)</f>
        <v>0</v>
      </c>
      <c r="Z22" s="81">
        <f ca="1">IFERROR(__xludf.DUMMYFUNCTION("IMPORTRANGE(""https://docs.google.com/spreadsheets/d/16OMuOwy2eVqZcYWOouQtTpa8X1L23h4660uVHc0C8os/edit?usp=sharing"",""พิษณุโลก!J437"")"),0)</f>
        <v>0</v>
      </c>
      <c r="AA22" s="82">
        <f t="shared" ca="1" si="27"/>
        <v>0</v>
      </c>
      <c r="AB22" s="81">
        <f ca="1">IFERROR(__xludf.DUMMYFUNCTION("IMPORTRANGE(""https://docs.google.com/spreadsheets/d/16OMuOwy2eVqZcYWOouQtTpa8X1L23h4660uVHc0C8os/edit?usp=sharing"",""พิษณุโลก!J438"")"),0)</f>
        <v>0</v>
      </c>
      <c r="AC22" s="82">
        <f t="shared" ca="1" si="12"/>
        <v>0</v>
      </c>
      <c r="AD22" s="81">
        <f ca="1">IFERROR(__xludf.DUMMYFUNCTION("IMPORTRANGE(""https://docs.google.com/spreadsheets/d/16OMuOwy2eVqZcYWOouQtTpa8X1L23h4660uVHc0C8os/edit?usp=sharing"",""พิษณุโลก!I439"")"),20)</f>
        <v>20</v>
      </c>
      <c r="AE22" s="81">
        <f ca="1">IFERROR(__xludf.DUMMYFUNCTION("IMPORTRANGE(""https://docs.google.com/spreadsheets/d/16OMuOwy2eVqZcYWOouQtTpa8X1L23h4660uVHc0C8os/edit?usp=sharing"",""พิษณุโลก!I440"")"),1)</f>
        <v>1</v>
      </c>
      <c r="AF22" s="81">
        <f ca="1">IFERROR(__xludf.DUMMYFUNCTION("IMPORTRANGE(""https://docs.google.com/spreadsheets/d/16OMuOwy2eVqZcYWOouQtTpa8X1L23h4660uVHc0C8os/edit?usp=sharing"",""พิษณุโลก!J439"")"),0)</f>
        <v>0</v>
      </c>
      <c r="AG22" s="82">
        <f t="shared" ca="1" si="28"/>
        <v>0</v>
      </c>
      <c r="AH22" s="81">
        <f ca="1">IFERROR(__xludf.DUMMYFUNCTION("IMPORTRANGE(""https://docs.google.com/spreadsheets/d/16OMuOwy2eVqZcYWOouQtTpa8X1L23h4660uVHc0C8os/edit?usp=sharing"",""พิษณุโลก!J440"")"),0)</f>
        <v>0</v>
      </c>
      <c r="AI22" s="82">
        <f t="shared" ca="1" si="15"/>
        <v>0</v>
      </c>
      <c r="AJ22" s="81">
        <f ca="1">IFERROR(__xludf.DUMMYFUNCTION("IMPORTRANGE(""https://docs.google.com/spreadsheets/d/16OMuOwy2eVqZcYWOouQtTpa8X1L23h4660uVHc0C8os/edit?usp=sharing"",""พิษณุโลก!I441"")"),0)</f>
        <v>0</v>
      </c>
      <c r="AK22" s="81">
        <f ca="1">IFERROR(__xludf.DUMMYFUNCTION("IMPORTRANGE(""https://docs.google.com/spreadsheets/d/16OMuOwy2eVqZcYWOouQtTpa8X1L23h4660uVHc0C8os/edit?usp=sharing"",""พิษณุโลก!J441"")"),0)</f>
        <v>0</v>
      </c>
      <c r="AL22" s="82">
        <f t="shared" ca="1" si="29"/>
        <v>0</v>
      </c>
    </row>
    <row r="23" spans="1:38" ht="24" customHeight="1" x14ac:dyDescent="0.2">
      <c r="A23" s="72">
        <v>10</v>
      </c>
      <c r="B23" s="73" t="s">
        <v>40</v>
      </c>
      <c r="C23" s="74">
        <f t="shared" ca="1" si="38"/>
        <v>100960</v>
      </c>
      <c r="D23" s="75">
        <f ca="1">IFERROR(__xludf.DUMMYFUNCTION("IMPORTRANGE(""https://docs.google.com/spreadsheets/d/1GfgTldLG6k77HXaMQzaafODklYuucJZQNs_GAPEfZyY/edit?usp=sharing"",""เพชรบูรณ์!L424"")"),100960)</f>
        <v>100960</v>
      </c>
      <c r="E23" s="76">
        <f ca="1">IFERROR(__xludf.DUMMYFUNCTION("IMPORTRANGE(""https://docs.google.com/spreadsheets/d/1GfgTldLG6k77HXaMQzaafODklYuucJZQNs_GAPEfZyY/edit?usp=sharing"",""เพชรบูรณ์!L431"")"),0)</f>
        <v>0</v>
      </c>
      <c r="F23" s="77">
        <f t="shared" ca="1" si="1"/>
        <v>77362.5</v>
      </c>
      <c r="G23" s="78">
        <f t="shared" ca="1" si="2"/>
        <v>76.62688193343898</v>
      </c>
      <c r="H23" s="79">
        <f t="shared" ca="1" si="39"/>
        <v>77362.5</v>
      </c>
      <c r="I23" s="76">
        <f ca="1">IFERROR(__xludf.DUMMYFUNCTION("IMPORTRANGE(""https://docs.google.com/spreadsheets/d/1GfgTldLG6k77HXaMQzaafODklYuucJZQNs_GAPEfZyY/edit?usp=sharing"",""เพชรบูรณ์!N425"")"),73687.5)</f>
        <v>73687.5</v>
      </c>
      <c r="J23" s="76">
        <f ca="1">IFERROR(__xludf.DUMMYFUNCTION("IMPORTRANGE(""https://docs.google.com/spreadsheets/d/1GfgTldLG6k77HXaMQzaafODklYuucJZQNs_GAPEfZyY/edit?usp=sharing"",""เพชรบูรณ์!N426"")"),0)</f>
        <v>0</v>
      </c>
      <c r="K23" s="76">
        <f ca="1">IFERROR(__xludf.DUMMYFUNCTION("IMPORTRANGE(""https://docs.google.com/spreadsheets/d/1GfgTldLG6k77HXaMQzaafODklYuucJZQNs_GAPEfZyY/edit?usp=sharing"",""เพชรบูรณ์!N427"")"),0)</f>
        <v>0</v>
      </c>
      <c r="L23" s="76">
        <f ca="1">IFERROR(__xludf.DUMMYFUNCTION("IMPORTRANGE(""https://docs.google.com/spreadsheets/d/1GfgTldLG6k77HXaMQzaafODklYuucJZQNs_GAPEfZyY/edit?usp=sharing"",""เพชรบูรณ์!N428"")"),3675)</f>
        <v>3675</v>
      </c>
      <c r="M23" s="80">
        <f ca="1">IFERROR(__xludf.DUMMYFUNCTION("IMPORTRANGE(""https://docs.google.com/spreadsheets/d/1GfgTldLG6k77HXaMQzaafODklYuucJZQNs_GAPEfZyY/edit?usp=sharing"",""เพชรบูรณ์!N431"")"),0)</f>
        <v>0</v>
      </c>
      <c r="N23" s="80">
        <f t="shared" ca="1" si="32"/>
        <v>0</v>
      </c>
      <c r="O23" s="81">
        <f ca="1">IFERROR(__xludf.DUMMYFUNCTION("IMPORTRANGE(""https://docs.google.com/spreadsheets/d/1GfgTldLG6k77HXaMQzaafODklYuucJZQNs_GAPEfZyY/edit?usp=sharing"",""เพชรบูรณ์!I433"")"),20)</f>
        <v>20</v>
      </c>
      <c r="P23" s="81">
        <f ca="1">IFERROR(__xludf.DUMMYFUNCTION("IMPORTRANGE(""https://docs.google.com/spreadsheets/d/1GfgTldLG6k77HXaMQzaafODklYuucJZQNs_GAPEfZyY/edit?usp=sharing"",""เพชรบูรณ์!I434"")"),1)</f>
        <v>1</v>
      </c>
      <c r="Q23" s="81">
        <f ca="1">IFERROR(__xludf.DUMMYFUNCTION("IMPORTRANGE(""https://docs.google.com/spreadsheets/d/1GfgTldLG6k77HXaMQzaafODklYuucJZQNs_GAPEfZyY/edit?usp=sharing"",""เพชรบูรณ์!J433"")"),20)</f>
        <v>20</v>
      </c>
      <c r="R23" s="82">
        <f t="shared" ca="1" si="25"/>
        <v>100</v>
      </c>
      <c r="S23" s="81">
        <f ca="1">IFERROR(__xludf.DUMMYFUNCTION("IMPORTRANGE(""https://docs.google.com/spreadsheets/d/1GfgTldLG6k77HXaMQzaafODklYuucJZQNs_GAPEfZyY/edit?usp=sharing"",""เพชรบูรณ์!J434"")"),1)</f>
        <v>1</v>
      </c>
      <c r="T23" s="82">
        <f t="shared" ca="1" si="7"/>
        <v>100</v>
      </c>
      <c r="U23" s="81">
        <f ca="1">IFERROR(__xludf.DUMMYFUNCTION("IMPORTRANGE(""https://docs.google.com/spreadsheets/d/1GfgTldLG6k77HXaMQzaafODklYuucJZQNs_GAPEfZyY/edit?usp=sharing"",""เพชรบูรณ์!I435"")"),20)</f>
        <v>20</v>
      </c>
      <c r="V23" s="81">
        <f ca="1">IFERROR(__xludf.DUMMYFUNCTION("IMPORTRANGE(""https://docs.google.com/spreadsheets/d/1GfgTldLG6k77HXaMQzaafODklYuucJZQNs_GAPEfZyY/edit?usp=sharing"",""เพชรบูรณ์!J435"")"),20)</f>
        <v>20</v>
      </c>
      <c r="W23" s="82">
        <f t="shared" ca="1" si="26"/>
        <v>100</v>
      </c>
      <c r="X23" s="81">
        <f ca="1">IFERROR(__xludf.DUMMYFUNCTION("IMPORTRANGE(""https://docs.google.com/spreadsheets/d/1GfgTldLG6k77HXaMQzaafODklYuucJZQNs_GAPEfZyY/edit?usp=sharing"",""เพชรบูรณ์!I437"")"),0)</f>
        <v>0</v>
      </c>
      <c r="Y23" s="81">
        <f ca="1">IFERROR(__xludf.DUMMYFUNCTION("IMPORTRANGE(""https://docs.google.com/spreadsheets/d/1GfgTldLG6k77HXaMQzaafODklYuucJZQNs_GAPEfZyY/edit?usp=sharing"",""เพชรบูรณ์!I438"")"),0)</f>
        <v>0</v>
      </c>
      <c r="Z23" s="81">
        <f ca="1">IFERROR(__xludf.DUMMYFUNCTION("IMPORTRANGE(""https://docs.google.com/spreadsheets/d/1GfgTldLG6k77HXaMQzaafODklYuucJZQNs_GAPEfZyY/edit?usp=sharing"",""เพชรบูรณ์!J437"")"),0)</f>
        <v>0</v>
      </c>
      <c r="AA23" s="82">
        <f t="shared" ca="1" si="27"/>
        <v>0</v>
      </c>
      <c r="AB23" s="81">
        <f ca="1">IFERROR(__xludf.DUMMYFUNCTION("IMPORTRANGE(""https://docs.google.com/spreadsheets/d/1GfgTldLG6k77HXaMQzaafODklYuucJZQNs_GAPEfZyY/edit?usp=sharing"",""เพชรบูรณ์!J438"")"),0)</f>
        <v>0</v>
      </c>
      <c r="AC23" s="82">
        <f t="shared" ca="1" si="12"/>
        <v>0</v>
      </c>
      <c r="AD23" s="81">
        <f ca="1">IFERROR(__xludf.DUMMYFUNCTION("IMPORTRANGE(""https://docs.google.com/spreadsheets/d/1GfgTldLG6k77HXaMQzaafODklYuucJZQNs_GAPEfZyY/edit?usp=sharing"",""เพชรบูรณ์!I439"")"),20)</f>
        <v>20</v>
      </c>
      <c r="AE23" s="81">
        <f ca="1">IFERROR(__xludf.DUMMYFUNCTION("IMPORTRANGE(""https://docs.google.com/spreadsheets/d/1GfgTldLG6k77HXaMQzaafODklYuucJZQNs_GAPEfZyY/edit?usp=sharing"",""เพชรบูรณ์!I440"")"),1)</f>
        <v>1</v>
      </c>
      <c r="AF23" s="81">
        <f ca="1">IFERROR(__xludf.DUMMYFUNCTION("IMPORTRANGE(""https://docs.google.com/spreadsheets/d/1GfgTldLG6k77HXaMQzaafODklYuucJZQNs_GAPEfZyY/edit?usp=sharing"",""เพชรบูรณ์!J439"")"),20)</f>
        <v>20</v>
      </c>
      <c r="AG23" s="82">
        <f t="shared" ca="1" si="28"/>
        <v>100</v>
      </c>
      <c r="AH23" s="81">
        <f ca="1">IFERROR(__xludf.DUMMYFUNCTION("IMPORTRANGE(""https://docs.google.com/spreadsheets/d/1GfgTldLG6k77HXaMQzaafODklYuucJZQNs_GAPEfZyY/edit?usp=sharing"",""เพชรบูรณ์!J440"")"),1)</f>
        <v>1</v>
      </c>
      <c r="AI23" s="82">
        <f t="shared" ca="1" si="15"/>
        <v>100</v>
      </c>
      <c r="AJ23" s="81">
        <f ca="1">IFERROR(__xludf.DUMMYFUNCTION("IMPORTRANGE(""https://docs.google.com/spreadsheets/d/1GfgTldLG6k77HXaMQzaafODklYuucJZQNs_GAPEfZyY/edit?usp=sharing"",""เพชรบูรณ์!I441"")"),0)</f>
        <v>0</v>
      </c>
      <c r="AK23" s="81">
        <f ca="1">IFERROR(__xludf.DUMMYFUNCTION("IMPORTRANGE(""https://docs.google.com/spreadsheets/d/1GfgTldLG6k77HXaMQzaafODklYuucJZQNs_GAPEfZyY/edit?usp=sharing"",""เพชรบูรณ์!J441"")"),0)</f>
        <v>0</v>
      </c>
      <c r="AL23" s="82">
        <f t="shared" ca="1" si="29"/>
        <v>0</v>
      </c>
    </row>
    <row r="24" spans="1:38" ht="24" customHeight="1" x14ac:dyDescent="0.2">
      <c r="A24" s="72">
        <v>11</v>
      </c>
      <c r="B24" s="73" t="s">
        <v>41</v>
      </c>
      <c r="C24" s="74">
        <f t="shared" ca="1" si="38"/>
        <v>78660</v>
      </c>
      <c r="D24" s="75">
        <f ca="1">IFERROR(__xludf.DUMMYFUNCTION("IMPORTRANGE(""https://docs.google.com/spreadsheets/d/1gvTMYAnm7v1yG1BKWFtr0DnaTsq59oW9dwWvFgq6hs0/edit?usp=sharing"",""แพร่!L424"")"),78660)</f>
        <v>78660</v>
      </c>
      <c r="E24" s="76">
        <f ca="1">IFERROR(__xludf.DUMMYFUNCTION("IMPORTRANGE(""https://docs.google.com/spreadsheets/d/1gvTMYAnm7v1yG1BKWFtr0DnaTsq59oW9dwWvFgq6hs0/edit?usp=sharing"",""แพร่!L431"")"),0)</f>
        <v>0</v>
      </c>
      <c r="F24" s="77">
        <f t="shared" ca="1" si="1"/>
        <v>41320</v>
      </c>
      <c r="G24" s="78">
        <f t="shared" ca="1" si="2"/>
        <v>52.529875413170608</v>
      </c>
      <c r="H24" s="79">
        <f t="shared" ca="1" si="39"/>
        <v>41320</v>
      </c>
      <c r="I24" s="76">
        <f ca="1">IFERROR(__xludf.DUMMYFUNCTION("IMPORTRANGE(""https://docs.google.com/spreadsheets/d/1gvTMYAnm7v1yG1BKWFtr0DnaTsq59oW9dwWvFgq6hs0/edit?usp=sharing"",""แพร่!N425"")"),38220)</f>
        <v>38220</v>
      </c>
      <c r="J24" s="76">
        <f ca="1">IFERROR(__xludf.DUMMYFUNCTION("IMPORTRANGE(""https://docs.google.com/spreadsheets/d/1gvTMYAnm7v1yG1BKWFtr0DnaTsq59oW9dwWvFgq6hs0/edit?usp=sharing"",""แพร่!N426"")"),870)</f>
        <v>870</v>
      </c>
      <c r="K24" s="76">
        <f ca="1">IFERROR(__xludf.DUMMYFUNCTION("IMPORTRANGE(""https://docs.google.com/spreadsheets/d/1gvTMYAnm7v1yG1BKWFtr0DnaTsq59oW9dwWvFgq6hs0/edit?usp=sharing"",""แพร่!N427"")"),0)</f>
        <v>0</v>
      </c>
      <c r="L24" s="76">
        <f ca="1">IFERROR(__xludf.DUMMYFUNCTION("IMPORTRANGE(""https://docs.google.com/spreadsheets/d/1gvTMYAnm7v1yG1BKWFtr0DnaTsq59oW9dwWvFgq6hs0/edit?usp=sharing"",""แพร่!N428"")"),2230)</f>
        <v>2230</v>
      </c>
      <c r="M24" s="80">
        <f ca="1">IFERROR(__xludf.DUMMYFUNCTION("IMPORTRANGE(""https://docs.google.com/spreadsheets/d/1gvTMYAnm7v1yG1BKWFtr0DnaTsq59oW9dwWvFgq6hs0/edit?usp=sharing"",""แพร่!N431"")"),0)</f>
        <v>0</v>
      </c>
      <c r="N24" s="80">
        <f t="shared" ca="1" si="32"/>
        <v>0</v>
      </c>
      <c r="O24" s="81">
        <f ca="1">IFERROR(__xludf.DUMMYFUNCTION("IMPORTRANGE(""https://docs.google.com/spreadsheets/d/1gvTMYAnm7v1yG1BKWFtr0DnaTsq59oW9dwWvFgq6hs0/edit?usp=sharing"",""แพร่!I433"")"),20)</f>
        <v>20</v>
      </c>
      <c r="P24" s="81">
        <f ca="1">IFERROR(__xludf.DUMMYFUNCTION("IMPORTRANGE(""https://docs.google.com/spreadsheets/d/1gvTMYAnm7v1yG1BKWFtr0DnaTsq59oW9dwWvFgq6hs0/edit?usp=sharing"",""แพร่!I434"")"),1)</f>
        <v>1</v>
      </c>
      <c r="Q24" s="81">
        <f ca="1">IFERROR(__xludf.DUMMYFUNCTION("IMPORTRANGE(""https://docs.google.com/spreadsheets/d/1gvTMYAnm7v1yG1BKWFtr0DnaTsq59oW9dwWvFgq6hs0/edit?usp=sharing"",""แพร่!J433"")"),0)</f>
        <v>0</v>
      </c>
      <c r="R24" s="82">
        <f t="shared" ca="1" si="25"/>
        <v>0</v>
      </c>
      <c r="S24" s="81">
        <f ca="1">IFERROR(__xludf.DUMMYFUNCTION("IMPORTRANGE(""https://docs.google.com/spreadsheets/d/1gvTMYAnm7v1yG1BKWFtr0DnaTsq59oW9dwWvFgq6hs0/edit?usp=sharing"",""แพร่!J434"")"),0)</f>
        <v>0</v>
      </c>
      <c r="T24" s="82">
        <f t="shared" ca="1" si="7"/>
        <v>0</v>
      </c>
      <c r="U24" s="81">
        <f ca="1">IFERROR(__xludf.DUMMYFUNCTION("IMPORTRANGE(""https://docs.google.com/spreadsheets/d/1gvTMYAnm7v1yG1BKWFtr0DnaTsq59oW9dwWvFgq6hs0/edit?usp=sharing"",""แพร่!I435"")"),20)</f>
        <v>20</v>
      </c>
      <c r="V24" s="81">
        <f ca="1">IFERROR(__xludf.DUMMYFUNCTION("IMPORTRANGE(""https://docs.google.com/spreadsheets/d/1gvTMYAnm7v1yG1BKWFtr0DnaTsq59oW9dwWvFgq6hs0/edit?usp=sharing"",""แพร่!J435"")"),10)</f>
        <v>10</v>
      </c>
      <c r="W24" s="82">
        <f t="shared" ca="1" si="26"/>
        <v>50</v>
      </c>
      <c r="X24" s="81">
        <f ca="1">IFERROR(__xludf.DUMMYFUNCTION("IMPORTRANGE(""https://docs.google.com/spreadsheets/d/1gvTMYAnm7v1yG1BKWFtr0DnaTsq59oW9dwWvFgq6hs0/edit?usp=sharing"",""แพร่!I437"")"),0)</f>
        <v>0</v>
      </c>
      <c r="Y24" s="81">
        <f ca="1">IFERROR(__xludf.DUMMYFUNCTION("IMPORTRANGE(""https://docs.google.com/spreadsheets/d/1gvTMYAnm7v1yG1BKWFtr0DnaTsq59oW9dwWvFgq6hs0/edit?usp=sharing"",""แพร่!I438"")"),0)</f>
        <v>0</v>
      </c>
      <c r="Z24" s="81">
        <f ca="1">IFERROR(__xludf.DUMMYFUNCTION("IMPORTRANGE(""https://docs.google.com/spreadsheets/d/1gvTMYAnm7v1yG1BKWFtr0DnaTsq59oW9dwWvFgq6hs0/edit?usp=sharing"",""แพร่!J437"")"),0)</f>
        <v>0</v>
      </c>
      <c r="AA24" s="82">
        <f t="shared" ca="1" si="27"/>
        <v>0</v>
      </c>
      <c r="AB24" s="81">
        <f ca="1">IFERROR(__xludf.DUMMYFUNCTION("IMPORTRANGE(""https://docs.google.com/spreadsheets/d/1gvTMYAnm7v1yG1BKWFtr0DnaTsq59oW9dwWvFgq6hs0/edit?usp=sharing"",""แพร่!J438"")"),0)</f>
        <v>0</v>
      </c>
      <c r="AC24" s="82">
        <f t="shared" ca="1" si="12"/>
        <v>0</v>
      </c>
      <c r="AD24" s="81">
        <f ca="1">IFERROR(__xludf.DUMMYFUNCTION("IMPORTRANGE(""https://docs.google.com/spreadsheets/d/1gvTMYAnm7v1yG1BKWFtr0DnaTsq59oW9dwWvFgq6hs0/edit?usp=sharing"",""แพร่!I439"")"),20)</f>
        <v>20</v>
      </c>
      <c r="AE24" s="81">
        <f ca="1">IFERROR(__xludf.DUMMYFUNCTION("IMPORTRANGE(""https://docs.google.com/spreadsheets/d/1gvTMYAnm7v1yG1BKWFtr0DnaTsq59oW9dwWvFgq6hs0/edit?usp=sharing"",""แพร่!I440"")"),1)</f>
        <v>1</v>
      </c>
      <c r="AF24" s="81">
        <f ca="1">IFERROR(__xludf.DUMMYFUNCTION("IMPORTRANGE(""https://docs.google.com/spreadsheets/d/1gvTMYAnm7v1yG1BKWFtr0DnaTsq59oW9dwWvFgq6hs0/edit?usp=sharing"",""แพร่!J439"")"),0)</f>
        <v>0</v>
      </c>
      <c r="AG24" s="82">
        <f t="shared" ca="1" si="28"/>
        <v>0</v>
      </c>
      <c r="AH24" s="81">
        <f ca="1">IFERROR(__xludf.DUMMYFUNCTION("IMPORTRANGE(""https://docs.google.com/spreadsheets/d/1gvTMYAnm7v1yG1BKWFtr0DnaTsq59oW9dwWvFgq6hs0/edit?usp=sharing"",""แพร่!J440"")"),0)</f>
        <v>0</v>
      </c>
      <c r="AI24" s="82">
        <f t="shared" ca="1" si="15"/>
        <v>0</v>
      </c>
      <c r="AJ24" s="81">
        <f ca="1">IFERROR(__xludf.DUMMYFUNCTION("IMPORTRANGE(""https://docs.google.com/spreadsheets/d/1gvTMYAnm7v1yG1BKWFtr0DnaTsq59oW9dwWvFgq6hs0/edit?usp=sharing"",""แพร่!I441"")"),0)</f>
        <v>0</v>
      </c>
      <c r="AK24" s="81">
        <f ca="1">IFERROR(__xludf.DUMMYFUNCTION("IMPORTRANGE(""https://docs.google.com/spreadsheets/d/1gvTMYAnm7v1yG1BKWFtr0DnaTsq59oW9dwWvFgq6hs0/edit?usp=sharing"",""แพร่!J441"")"),0)</f>
        <v>0</v>
      </c>
      <c r="AL24" s="82">
        <f t="shared" ca="1" si="29"/>
        <v>0</v>
      </c>
    </row>
    <row r="25" spans="1:38" ht="24" customHeight="1" x14ac:dyDescent="0.2">
      <c r="A25" s="72">
        <v>12</v>
      </c>
      <c r="B25" s="73" t="s">
        <v>42</v>
      </c>
      <c r="C25" s="74">
        <f t="shared" ca="1" si="38"/>
        <v>86860</v>
      </c>
      <c r="D25" s="75">
        <f ca="1">IFERROR(__xludf.DUMMYFUNCTION("IMPORTRANGE(""https://docs.google.com/spreadsheets/d/1Wbcosgy-Xa1xXUArJSOenub6EfZHUSzc_bpJFWwQUf0/edit?usp=sharing"",""แม่ฮ่องสอน!L424"")"),86860)</f>
        <v>86860</v>
      </c>
      <c r="E25" s="76">
        <f ca="1">IFERROR(__xludf.DUMMYFUNCTION("IMPORTRANGE(""https://docs.google.com/spreadsheets/d/1Wbcosgy-Xa1xXUArJSOenub6EfZHUSzc_bpJFWwQUf0/edit?usp=sharing"",""แม่ฮ่องสอน!L431"")"),0)</f>
        <v>0</v>
      </c>
      <c r="F25" s="77">
        <f t="shared" ca="1" si="1"/>
        <v>58780</v>
      </c>
      <c r="G25" s="78">
        <f t="shared" ca="1" si="2"/>
        <v>67.672116048814189</v>
      </c>
      <c r="H25" s="79">
        <f t="shared" ca="1" si="39"/>
        <v>58780</v>
      </c>
      <c r="I25" s="76">
        <f ca="1">IFERROR(__xludf.DUMMYFUNCTION("IMPORTRANGE(""https://docs.google.com/spreadsheets/d/1Wbcosgy-Xa1xXUArJSOenub6EfZHUSzc_bpJFWwQUf0/edit?usp=sharing"",""แม่ฮ่องสอน!N425"")"),56600)</f>
        <v>56600</v>
      </c>
      <c r="J25" s="76">
        <f ca="1">IFERROR(__xludf.DUMMYFUNCTION("IMPORTRANGE(""https://docs.google.com/spreadsheets/d/1Wbcosgy-Xa1xXUArJSOenub6EfZHUSzc_bpJFWwQUf0/edit?usp=sharing"",""แม่ฮ่องสอน!N426"")"),0)</f>
        <v>0</v>
      </c>
      <c r="K25" s="76">
        <f ca="1">IFERROR(__xludf.DUMMYFUNCTION("IMPORTRANGE(""https://docs.google.com/spreadsheets/d/1Wbcosgy-Xa1xXUArJSOenub6EfZHUSzc_bpJFWwQUf0/edit?usp=sharing"",""แม่ฮ่องสอน!N427"")"),0)</f>
        <v>0</v>
      </c>
      <c r="L25" s="76">
        <f ca="1">IFERROR(__xludf.DUMMYFUNCTION("IMPORTRANGE(""https://docs.google.com/spreadsheets/d/1Wbcosgy-Xa1xXUArJSOenub6EfZHUSzc_bpJFWwQUf0/edit?usp=sharing"",""แม่ฮ่องสอน!N428"")"),2180)</f>
        <v>2180</v>
      </c>
      <c r="M25" s="80">
        <f ca="1">IFERROR(__xludf.DUMMYFUNCTION("IMPORTRANGE(""https://docs.google.com/spreadsheets/d/1Wbcosgy-Xa1xXUArJSOenub6EfZHUSzc_bpJFWwQUf0/edit?usp=sharing"",""แม่ฮ่องสอน!N431"")"),0)</f>
        <v>0</v>
      </c>
      <c r="N25" s="80">
        <f t="shared" ca="1" si="32"/>
        <v>0</v>
      </c>
      <c r="O25" s="81">
        <f ca="1">IFERROR(__xludf.DUMMYFUNCTION("IMPORTRANGE(""https://docs.google.com/spreadsheets/d/1Wbcosgy-Xa1xXUArJSOenub6EfZHUSzc_bpJFWwQUf0/edit?usp=sharing"",""แม่ฮ่องสอน!I433"")"),25)</f>
        <v>25</v>
      </c>
      <c r="P25" s="81">
        <f ca="1">IFERROR(__xludf.DUMMYFUNCTION("IMPORTRANGE(""https://docs.google.com/spreadsheets/d/1Wbcosgy-Xa1xXUArJSOenub6EfZHUSzc_bpJFWwQUf0/edit?usp=sharing"",""แม่ฮ่องสอน!I434"")"),1)</f>
        <v>1</v>
      </c>
      <c r="Q25" s="81">
        <f ca="1">IFERROR(__xludf.DUMMYFUNCTION("IMPORTRANGE(""https://docs.google.com/spreadsheets/d/1Wbcosgy-Xa1xXUArJSOenub6EfZHUSzc_bpJFWwQUf0/edit?usp=sharing"",""แม่ฮ่องสอน!J433"")"),25)</f>
        <v>25</v>
      </c>
      <c r="R25" s="82">
        <f t="shared" ca="1" si="25"/>
        <v>100</v>
      </c>
      <c r="S25" s="81">
        <f ca="1">IFERROR(__xludf.DUMMYFUNCTION("IMPORTRANGE(""https://docs.google.com/spreadsheets/d/1Wbcosgy-Xa1xXUArJSOenub6EfZHUSzc_bpJFWwQUf0/edit?usp=sharing"",""แม่ฮ่องสอน!J434"")"),1)</f>
        <v>1</v>
      </c>
      <c r="T25" s="82">
        <f t="shared" ca="1" si="7"/>
        <v>100</v>
      </c>
      <c r="U25" s="81">
        <f ca="1">IFERROR(__xludf.DUMMYFUNCTION("IMPORTRANGE(""https://docs.google.com/spreadsheets/d/1Wbcosgy-Xa1xXUArJSOenub6EfZHUSzc_bpJFWwQUf0/edit?usp=sharing"",""แม่ฮ่องสอน!I435"")"),25)</f>
        <v>25</v>
      </c>
      <c r="V25" s="81">
        <f ca="1">IFERROR(__xludf.DUMMYFUNCTION("IMPORTRANGE(""https://docs.google.com/spreadsheets/d/1Wbcosgy-Xa1xXUArJSOenub6EfZHUSzc_bpJFWwQUf0/edit?usp=sharing"",""แม่ฮ่องสอน!J435"")"),25)</f>
        <v>25</v>
      </c>
      <c r="W25" s="82">
        <f t="shared" ca="1" si="26"/>
        <v>100</v>
      </c>
      <c r="X25" s="81">
        <f ca="1">IFERROR(__xludf.DUMMYFUNCTION("IMPORTRANGE(""https://docs.google.com/spreadsheets/d/1Wbcosgy-Xa1xXUArJSOenub6EfZHUSzc_bpJFWwQUf0/edit?usp=sharing"",""แม่ฮ่องสอน!I437"")"),0)</f>
        <v>0</v>
      </c>
      <c r="Y25" s="81">
        <f ca="1">IFERROR(__xludf.DUMMYFUNCTION("IMPORTRANGE(""https://docs.google.com/spreadsheets/d/1Wbcosgy-Xa1xXUArJSOenub6EfZHUSzc_bpJFWwQUf0/edit?usp=sharing"",""แม่ฮ่องสอน!I438"")"),0)</f>
        <v>0</v>
      </c>
      <c r="Z25" s="81">
        <f ca="1">IFERROR(__xludf.DUMMYFUNCTION("IMPORTRANGE(""https://docs.google.com/spreadsheets/d/1Wbcosgy-Xa1xXUArJSOenub6EfZHUSzc_bpJFWwQUf0/edit?usp=sharing"",""แม่ฮ่องสอน!J437"")"),0)</f>
        <v>0</v>
      </c>
      <c r="AA25" s="82">
        <f t="shared" ca="1" si="27"/>
        <v>0</v>
      </c>
      <c r="AB25" s="81">
        <f ca="1">IFERROR(__xludf.DUMMYFUNCTION("IMPORTRANGE(""https://docs.google.com/spreadsheets/d/1Wbcosgy-Xa1xXUArJSOenub6EfZHUSzc_bpJFWwQUf0/edit?usp=sharing"",""แม่ฮ่องสอน!J438"")"),0)</f>
        <v>0</v>
      </c>
      <c r="AC25" s="82">
        <f t="shared" ca="1" si="12"/>
        <v>0</v>
      </c>
      <c r="AD25" s="81">
        <f ca="1">IFERROR(__xludf.DUMMYFUNCTION("IMPORTRANGE(""https://docs.google.com/spreadsheets/d/1Wbcosgy-Xa1xXUArJSOenub6EfZHUSzc_bpJFWwQUf0/edit?usp=sharing"",""แม่ฮ่องสอน!I439"")"),25)</f>
        <v>25</v>
      </c>
      <c r="AE25" s="81">
        <f ca="1">IFERROR(__xludf.DUMMYFUNCTION("IMPORTRANGE(""https://docs.google.com/spreadsheets/d/1Wbcosgy-Xa1xXUArJSOenub6EfZHUSzc_bpJFWwQUf0/edit?usp=sharing"",""แม่ฮ่องสอน!I440"")"),1)</f>
        <v>1</v>
      </c>
      <c r="AF25" s="81">
        <f ca="1">IFERROR(__xludf.DUMMYFUNCTION("IMPORTRANGE(""https://docs.google.com/spreadsheets/d/1Wbcosgy-Xa1xXUArJSOenub6EfZHUSzc_bpJFWwQUf0/edit?usp=sharing"",""แม่ฮ่องสอน!J439"")"),25)</f>
        <v>25</v>
      </c>
      <c r="AG25" s="82">
        <f t="shared" ca="1" si="28"/>
        <v>100</v>
      </c>
      <c r="AH25" s="81">
        <f ca="1">IFERROR(__xludf.DUMMYFUNCTION("IMPORTRANGE(""https://docs.google.com/spreadsheets/d/1Wbcosgy-Xa1xXUArJSOenub6EfZHUSzc_bpJFWwQUf0/edit?usp=sharing"",""แม่ฮ่องสอน!J440"")"),1)</f>
        <v>1</v>
      </c>
      <c r="AI25" s="82">
        <f t="shared" ca="1" si="15"/>
        <v>100</v>
      </c>
      <c r="AJ25" s="81">
        <f ca="1">IFERROR(__xludf.DUMMYFUNCTION("IMPORTRANGE(""https://docs.google.com/spreadsheets/d/1Wbcosgy-Xa1xXUArJSOenub6EfZHUSzc_bpJFWwQUf0/edit?usp=sharing"",""แม่ฮ่องสอน!I441"")"),0)</f>
        <v>0</v>
      </c>
      <c r="AK25" s="81">
        <f ca="1">IFERROR(__xludf.DUMMYFUNCTION("IMPORTRANGE(""https://docs.google.com/spreadsheets/d/1Wbcosgy-Xa1xXUArJSOenub6EfZHUSzc_bpJFWwQUf0/edit?usp=sharing"",""แม่ฮ่องสอน!J441"")"),0)</f>
        <v>0</v>
      </c>
      <c r="AL25" s="82">
        <f t="shared" ca="1" si="29"/>
        <v>0</v>
      </c>
    </row>
    <row r="26" spans="1:38" ht="24" customHeight="1" x14ac:dyDescent="0.2">
      <c r="A26" s="72">
        <v>13</v>
      </c>
      <c r="B26" s="73" t="s">
        <v>43</v>
      </c>
      <c r="C26" s="74">
        <f t="shared" ca="1" si="38"/>
        <v>212900</v>
      </c>
      <c r="D26" s="75">
        <f ca="1">IFERROR(__xludf.DUMMYFUNCTION("IMPORTRANGE(""https://docs.google.com/spreadsheets/d/1p7ERhsr0qZeSn-KSOdeHS9r0heI-lHtkcn2OH7hP0jQ/edit?usp=sharing"",""ลำปาง!L424"")"),212900)</f>
        <v>212900</v>
      </c>
      <c r="E26" s="76">
        <f ca="1">IFERROR(__xludf.DUMMYFUNCTION("IMPORTRANGE(""https://docs.google.com/spreadsheets/d/1p7ERhsr0qZeSn-KSOdeHS9r0heI-lHtkcn2OH7hP0jQ/edit?usp=sharing"",""ลำปาง!L431"")"),0)</f>
        <v>0</v>
      </c>
      <c r="F26" s="77">
        <f t="shared" ca="1" si="1"/>
        <v>40820</v>
      </c>
      <c r="G26" s="78">
        <f t="shared" ca="1" si="2"/>
        <v>19.173320807891027</v>
      </c>
      <c r="H26" s="79">
        <f t="shared" ca="1" si="39"/>
        <v>40820</v>
      </c>
      <c r="I26" s="76">
        <f ca="1">IFERROR(__xludf.DUMMYFUNCTION("IMPORTRANGE(""https://docs.google.com/spreadsheets/d/1p7ERhsr0qZeSn-KSOdeHS9r0heI-lHtkcn2OH7hP0jQ/edit?usp=sharing"",""ลำปาง!N425"")"),13920)</f>
        <v>13920</v>
      </c>
      <c r="J26" s="76">
        <f ca="1">IFERROR(__xludf.DUMMYFUNCTION("IMPORTRANGE(""https://docs.google.com/spreadsheets/d/1p7ERhsr0qZeSn-KSOdeHS9r0heI-lHtkcn2OH7hP0jQ/edit?usp=sharing"",""ลำปาง!N426"")"),0)</f>
        <v>0</v>
      </c>
      <c r="K26" s="76">
        <f ca="1">IFERROR(__xludf.DUMMYFUNCTION("IMPORTRANGE(""https://docs.google.com/spreadsheets/d/1p7ERhsr0qZeSn-KSOdeHS9r0heI-lHtkcn2OH7hP0jQ/edit?usp=sharing"",""ลำปาง!N427"")"),0)</f>
        <v>0</v>
      </c>
      <c r="L26" s="76">
        <f ca="1">IFERROR(__xludf.DUMMYFUNCTION("IMPORTRANGE(""https://docs.google.com/spreadsheets/d/1p7ERhsr0qZeSn-KSOdeHS9r0heI-lHtkcn2OH7hP0jQ/edit?usp=sharing"",""ลำปาง!N428"")"),26900)</f>
        <v>26900</v>
      </c>
      <c r="M26" s="80">
        <f ca="1">IFERROR(__xludf.DUMMYFUNCTION("IMPORTRANGE(""https://docs.google.com/spreadsheets/d/1p7ERhsr0qZeSn-KSOdeHS9r0heI-lHtkcn2OH7hP0jQ/edit?usp=sharing"",""ลำปาง!N431"")"),0)</f>
        <v>0</v>
      </c>
      <c r="N26" s="80">
        <f t="shared" ca="1" si="32"/>
        <v>0</v>
      </c>
      <c r="O26" s="81">
        <f ca="1">IFERROR(__xludf.DUMMYFUNCTION("IMPORTRANGE(""https://docs.google.com/spreadsheets/d/1p7ERhsr0qZeSn-KSOdeHS9r0heI-lHtkcn2OH7hP0jQ/edit?usp=sharing"",""ลำปาง!I433"")"),60)</f>
        <v>60</v>
      </c>
      <c r="P26" s="81">
        <f ca="1">IFERROR(__xludf.DUMMYFUNCTION("IMPORTRANGE(""https://docs.google.com/spreadsheets/d/1p7ERhsr0qZeSn-KSOdeHS9r0heI-lHtkcn2OH7hP0jQ/edit?usp=sharing"",""ลำปาง!I434"")"),2)</f>
        <v>2</v>
      </c>
      <c r="Q26" s="81">
        <f ca="1">IFERROR(__xludf.DUMMYFUNCTION("IMPORTRANGE(""https://docs.google.com/spreadsheets/d/1p7ERhsr0qZeSn-KSOdeHS9r0heI-lHtkcn2OH7hP0jQ/edit?usp=sharing"",""ลำปาง!J433"")"),0)</f>
        <v>0</v>
      </c>
      <c r="R26" s="82">
        <f t="shared" ca="1" si="25"/>
        <v>0</v>
      </c>
      <c r="S26" s="81">
        <f ca="1">IFERROR(__xludf.DUMMYFUNCTION("IMPORTRANGE(""https://docs.google.com/spreadsheets/d/1p7ERhsr0qZeSn-KSOdeHS9r0heI-lHtkcn2OH7hP0jQ/edit?usp=sharing"",""ลำปาง!J434"")"),0)</f>
        <v>0</v>
      </c>
      <c r="T26" s="82">
        <f t="shared" ca="1" si="7"/>
        <v>0</v>
      </c>
      <c r="U26" s="81">
        <f ca="1">IFERROR(__xludf.DUMMYFUNCTION("IMPORTRANGE(""https://docs.google.com/spreadsheets/d/1p7ERhsr0qZeSn-KSOdeHS9r0heI-lHtkcn2OH7hP0jQ/edit?usp=sharing"",""ลำปาง!I435"")"),60)</f>
        <v>60</v>
      </c>
      <c r="V26" s="81">
        <f ca="1">IFERROR(__xludf.DUMMYFUNCTION("IMPORTRANGE(""https://docs.google.com/spreadsheets/d/1p7ERhsr0qZeSn-KSOdeHS9r0heI-lHtkcn2OH7hP0jQ/edit?usp=sharing"",""ลำปาง!J435"")"),60)</f>
        <v>60</v>
      </c>
      <c r="W26" s="82">
        <f t="shared" ca="1" si="26"/>
        <v>100</v>
      </c>
      <c r="X26" s="81">
        <f ca="1">IFERROR(__xludf.DUMMYFUNCTION("IMPORTRANGE(""https://docs.google.com/spreadsheets/d/1p7ERhsr0qZeSn-KSOdeHS9r0heI-lHtkcn2OH7hP0jQ/edit?usp=sharing"",""ลำปาง!I437"")"),40)</f>
        <v>40</v>
      </c>
      <c r="Y26" s="81">
        <f ca="1">IFERROR(__xludf.DUMMYFUNCTION("IMPORTRANGE(""https://docs.google.com/spreadsheets/d/1p7ERhsr0qZeSn-KSOdeHS9r0heI-lHtkcn2OH7hP0jQ/edit?usp=sharing"",""ลำปาง!I438"")"),1)</f>
        <v>1</v>
      </c>
      <c r="Z26" s="81">
        <f ca="1">IFERROR(__xludf.DUMMYFUNCTION("IMPORTRANGE(""https://docs.google.com/spreadsheets/d/1p7ERhsr0qZeSn-KSOdeHS9r0heI-lHtkcn2OH7hP0jQ/edit?usp=sharing"",""ลำปาง!J437"")"),0)</f>
        <v>0</v>
      </c>
      <c r="AA26" s="82">
        <f t="shared" ca="1" si="27"/>
        <v>0</v>
      </c>
      <c r="AB26" s="81">
        <f ca="1">IFERROR(__xludf.DUMMYFUNCTION("IMPORTRANGE(""https://docs.google.com/spreadsheets/d/1p7ERhsr0qZeSn-KSOdeHS9r0heI-lHtkcn2OH7hP0jQ/edit?usp=sharing"",""ลำปาง!J438"")"),0)</f>
        <v>0</v>
      </c>
      <c r="AC26" s="82">
        <f t="shared" ca="1" si="12"/>
        <v>0</v>
      </c>
      <c r="AD26" s="81">
        <f ca="1">IFERROR(__xludf.DUMMYFUNCTION("IMPORTRANGE(""https://docs.google.com/spreadsheets/d/1p7ERhsr0qZeSn-KSOdeHS9r0heI-lHtkcn2OH7hP0jQ/edit?usp=sharing"",""ลำปาง!I439"")"),20)</f>
        <v>20</v>
      </c>
      <c r="AE26" s="81">
        <f ca="1">IFERROR(__xludf.DUMMYFUNCTION("IMPORTRANGE(""https://docs.google.com/spreadsheets/d/1p7ERhsr0qZeSn-KSOdeHS9r0heI-lHtkcn2OH7hP0jQ/edit?usp=sharing"",""ลำปาง!I440"")"),1)</f>
        <v>1</v>
      </c>
      <c r="AF26" s="81">
        <f ca="1">IFERROR(__xludf.DUMMYFUNCTION("IMPORTRANGE(""https://docs.google.com/spreadsheets/d/1p7ERhsr0qZeSn-KSOdeHS9r0heI-lHtkcn2OH7hP0jQ/edit?usp=sharing"",""ลำปาง!J439"")"),0)</f>
        <v>0</v>
      </c>
      <c r="AG26" s="82">
        <f t="shared" ca="1" si="28"/>
        <v>0</v>
      </c>
      <c r="AH26" s="81">
        <f ca="1">IFERROR(__xludf.DUMMYFUNCTION("IMPORTRANGE(""https://docs.google.com/spreadsheets/d/1p7ERhsr0qZeSn-KSOdeHS9r0heI-lHtkcn2OH7hP0jQ/edit?usp=sharing"",""ลำปาง!J440"")"),0)</f>
        <v>0</v>
      </c>
      <c r="AI26" s="82">
        <f t="shared" ca="1" si="15"/>
        <v>0</v>
      </c>
      <c r="AJ26" s="81">
        <f ca="1">IFERROR(__xludf.DUMMYFUNCTION("IMPORTRANGE(""https://docs.google.com/spreadsheets/d/1p7ERhsr0qZeSn-KSOdeHS9r0heI-lHtkcn2OH7hP0jQ/edit?usp=sharing"",""ลำปาง!I441"")"),0)</f>
        <v>0</v>
      </c>
      <c r="AK26" s="81">
        <f ca="1">IFERROR(__xludf.DUMMYFUNCTION("IMPORTRANGE(""https://docs.google.com/spreadsheets/d/1p7ERhsr0qZeSn-KSOdeHS9r0heI-lHtkcn2OH7hP0jQ/edit?usp=sharing"",""ลำปาง!J441"")"),0)</f>
        <v>0</v>
      </c>
      <c r="AL26" s="82">
        <f t="shared" ca="1" si="29"/>
        <v>0</v>
      </c>
    </row>
    <row r="27" spans="1:38" ht="24" customHeight="1" x14ac:dyDescent="0.2">
      <c r="A27" s="72">
        <v>14</v>
      </c>
      <c r="B27" s="73" t="s">
        <v>44</v>
      </c>
      <c r="C27" s="74">
        <f t="shared" ca="1" si="38"/>
        <v>182640</v>
      </c>
      <c r="D27" s="75">
        <f ca="1">IFERROR(__xludf.DUMMYFUNCTION("IMPORTRANGE(""https://docs.google.com/spreadsheets/d/1-uUXvimVhiU2U0bMN-xi2te0tS4X7DI2GLPnMjzl8cA/edit?usp=sharing"",""ลำพูน!L424"")"),182640)</f>
        <v>182640</v>
      </c>
      <c r="E27" s="76">
        <f ca="1">IFERROR(__xludf.DUMMYFUNCTION("IMPORTRANGE(""https://docs.google.com/spreadsheets/d/1-uUXvimVhiU2U0bMN-xi2te0tS4X7DI2GLPnMjzl8cA/edit?usp=sharing"",""ลำพูน!L431"")"),0)</f>
        <v>0</v>
      </c>
      <c r="F27" s="77">
        <f t="shared" ca="1" si="1"/>
        <v>25336</v>
      </c>
      <c r="G27" s="78">
        <f t="shared" ca="1" si="2"/>
        <v>13.87209811651336</v>
      </c>
      <c r="H27" s="79">
        <f t="shared" ca="1" si="39"/>
        <v>25336</v>
      </c>
      <c r="I27" s="76">
        <f ca="1">IFERROR(__xludf.DUMMYFUNCTION("IMPORTRANGE(""https://docs.google.com/spreadsheets/d/1-uUXvimVhiU2U0bMN-xi2te0tS4X7DI2GLPnMjzl8cA/edit?usp=sharing"",""ลำพูน!N425"")"),24136)</f>
        <v>24136</v>
      </c>
      <c r="J27" s="76">
        <f ca="1">IFERROR(__xludf.DUMMYFUNCTION("IMPORTRANGE(""https://docs.google.com/spreadsheets/d/1-uUXvimVhiU2U0bMN-xi2te0tS4X7DI2GLPnMjzl8cA/edit?usp=sharing"",""ลำพูน!N426"")"),0)</f>
        <v>0</v>
      </c>
      <c r="K27" s="76">
        <f ca="1">IFERROR(__xludf.DUMMYFUNCTION("IMPORTRANGE(""https://docs.google.com/spreadsheets/d/1-uUXvimVhiU2U0bMN-xi2te0tS4X7DI2GLPnMjzl8cA/edit?usp=sharing"",""ลำพูน!N427"")"),0)</f>
        <v>0</v>
      </c>
      <c r="L27" s="76">
        <f ca="1">IFERROR(__xludf.DUMMYFUNCTION("IMPORTRANGE(""https://docs.google.com/spreadsheets/d/1-uUXvimVhiU2U0bMN-xi2te0tS4X7DI2GLPnMjzl8cA/edit?usp=sharing"",""ลำพูน!N428"")"),1200)</f>
        <v>1200</v>
      </c>
      <c r="M27" s="80">
        <f ca="1">IFERROR(__xludf.DUMMYFUNCTION("IMPORTRANGE(""https://docs.google.com/spreadsheets/d/1-uUXvimVhiU2U0bMN-xi2te0tS4X7DI2GLPnMjzl8cA/edit?usp=sharing"",""ลำพูน!N431"")"),0)</f>
        <v>0</v>
      </c>
      <c r="N27" s="80">
        <f t="shared" ca="1" si="32"/>
        <v>0</v>
      </c>
      <c r="O27" s="81">
        <f ca="1">IFERROR(__xludf.DUMMYFUNCTION("IMPORTRANGE(""https://docs.google.com/spreadsheets/d/1-uUXvimVhiU2U0bMN-xi2te0tS4X7DI2GLPnMjzl8cA/edit?usp=sharing"",""ลำพูน!I433"")"),50)</f>
        <v>50</v>
      </c>
      <c r="P27" s="81">
        <f ca="1">IFERROR(__xludf.DUMMYFUNCTION("IMPORTRANGE(""https://docs.google.com/spreadsheets/d/1-uUXvimVhiU2U0bMN-xi2te0tS4X7DI2GLPnMjzl8cA/edit?usp=sharing"",""ลำพูน!I434"")"),2)</f>
        <v>2</v>
      </c>
      <c r="Q27" s="81">
        <f ca="1">IFERROR(__xludf.DUMMYFUNCTION("IMPORTRANGE(""https://docs.google.com/spreadsheets/d/1-uUXvimVhiU2U0bMN-xi2te0tS4X7DI2GLPnMjzl8cA/edit?usp=sharing"",""ลำพูน!J433"")"),0)</f>
        <v>0</v>
      </c>
      <c r="R27" s="82">
        <f t="shared" ca="1" si="25"/>
        <v>0</v>
      </c>
      <c r="S27" s="81">
        <f ca="1">IFERROR(__xludf.DUMMYFUNCTION("IMPORTRANGE(""https://docs.google.com/spreadsheets/d/1-uUXvimVhiU2U0bMN-xi2te0tS4X7DI2GLPnMjzl8cA/edit?usp=sharing"",""ลำพูน!J434"")"),0)</f>
        <v>0</v>
      </c>
      <c r="T27" s="82">
        <f t="shared" ca="1" si="7"/>
        <v>0</v>
      </c>
      <c r="U27" s="81">
        <f ca="1">IFERROR(__xludf.DUMMYFUNCTION("IMPORTRANGE(""https://docs.google.com/spreadsheets/d/1-uUXvimVhiU2U0bMN-xi2te0tS4X7DI2GLPnMjzl8cA/edit?usp=sharing"",""ลำพูน!I435"")"),50)</f>
        <v>50</v>
      </c>
      <c r="V27" s="81">
        <f ca="1">IFERROR(__xludf.DUMMYFUNCTION("IMPORTRANGE(""https://docs.google.com/spreadsheets/d/1-uUXvimVhiU2U0bMN-xi2te0tS4X7DI2GLPnMjzl8cA/edit?usp=sharing"",""ลำพูน!J435"")"),50)</f>
        <v>50</v>
      </c>
      <c r="W27" s="82">
        <f t="shared" ca="1" si="26"/>
        <v>100</v>
      </c>
      <c r="X27" s="81">
        <f ca="1">IFERROR(__xludf.DUMMYFUNCTION("IMPORTRANGE(""https://docs.google.com/spreadsheets/d/1-uUXvimVhiU2U0bMN-xi2te0tS4X7DI2GLPnMjzl8cA/edit?usp=sharing"",""ลำพูน!I437"")"),30)</f>
        <v>30</v>
      </c>
      <c r="Y27" s="81">
        <f ca="1">IFERROR(__xludf.DUMMYFUNCTION("IMPORTRANGE(""https://docs.google.com/spreadsheets/d/1-uUXvimVhiU2U0bMN-xi2te0tS4X7DI2GLPnMjzl8cA/edit?usp=sharing"",""ลำพูน!I438"")"),1)</f>
        <v>1</v>
      </c>
      <c r="Z27" s="81">
        <f ca="1">IFERROR(__xludf.DUMMYFUNCTION("IMPORTRANGE(""https://docs.google.com/spreadsheets/d/1-uUXvimVhiU2U0bMN-xi2te0tS4X7DI2GLPnMjzl8cA/edit?usp=sharing"",""ลำพูน!J437"")"),0)</f>
        <v>0</v>
      </c>
      <c r="AA27" s="82">
        <f t="shared" ca="1" si="27"/>
        <v>0</v>
      </c>
      <c r="AB27" s="81">
        <f ca="1">IFERROR(__xludf.DUMMYFUNCTION("IMPORTRANGE(""https://docs.google.com/spreadsheets/d/1-uUXvimVhiU2U0bMN-xi2te0tS4X7DI2GLPnMjzl8cA/edit?usp=sharing"",""ลำพูน!J438"")"),0)</f>
        <v>0</v>
      </c>
      <c r="AC27" s="82">
        <f t="shared" ca="1" si="12"/>
        <v>0</v>
      </c>
      <c r="AD27" s="81">
        <f ca="1">IFERROR(__xludf.DUMMYFUNCTION("IMPORTRANGE(""https://docs.google.com/spreadsheets/d/1-uUXvimVhiU2U0bMN-xi2te0tS4X7DI2GLPnMjzl8cA/edit?usp=sharing"",""ลำพูน!I439"")"),20)</f>
        <v>20</v>
      </c>
      <c r="AE27" s="81">
        <f ca="1">IFERROR(__xludf.DUMMYFUNCTION("IMPORTRANGE(""https://docs.google.com/spreadsheets/d/1-uUXvimVhiU2U0bMN-xi2te0tS4X7DI2GLPnMjzl8cA/edit?usp=sharing"",""ลำพูน!I440"")"),1)</f>
        <v>1</v>
      </c>
      <c r="AF27" s="81">
        <f ca="1">IFERROR(__xludf.DUMMYFUNCTION("IMPORTRANGE(""https://docs.google.com/spreadsheets/d/1-uUXvimVhiU2U0bMN-xi2te0tS4X7DI2GLPnMjzl8cA/edit?usp=sharing"",""ลำพูน!J439"")"),0)</f>
        <v>0</v>
      </c>
      <c r="AG27" s="82">
        <f t="shared" ca="1" si="28"/>
        <v>0</v>
      </c>
      <c r="AH27" s="81">
        <f ca="1">IFERROR(__xludf.DUMMYFUNCTION("IMPORTRANGE(""https://docs.google.com/spreadsheets/d/1-uUXvimVhiU2U0bMN-xi2te0tS4X7DI2GLPnMjzl8cA/edit?usp=sharing"",""ลำพูน!J440"")"),0)</f>
        <v>0</v>
      </c>
      <c r="AI27" s="82">
        <f t="shared" ca="1" si="15"/>
        <v>0</v>
      </c>
      <c r="AJ27" s="81">
        <f ca="1">IFERROR(__xludf.DUMMYFUNCTION("IMPORTRANGE(""https://docs.google.com/spreadsheets/d/1-uUXvimVhiU2U0bMN-xi2te0tS4X7DI2GLPnMjzl8cA/edit?usp=sharing"",""ลำพูน!I441"")"),0)</f>
        <v>0</v>
      </c>
      <c r="AK27" s="81">
        <f ca="1">IFERROR(__xludf.DUMMYFUNCTION("IMPORTRANGE(""https://docs.google.com/spreadsheets/d/1-uUXvimVhiU2U0bMN-xi2te0tS4X7DI2GLPnMjzl8cA/edit?usp=sharing"",""ลำพูน!J441"")"),0)</f>
        <v>0</v>
      </c>
      <c r="AL27" s="82">
        <f t="shared" ca="1" si="29"/>
        <v>0</v>
      </c>
    </row>
    <row r="28" spans="1:38" ht="24" customHeight="1" x14ac:dyDescent="0.2">
      <c r="A28" s="72">
        <v>15</v>
      </c>
      <c r="B28" s="73" t="s">
        <v>45</v>
      </c>
      <c r="C28" s="74">
        <f t="shared" ca="1" si="38"/>
        <v>226960</v>
      </c>
      <c r="D28" s="75">
        <f ca="1">IFERROR(__xludf.DUMMYFUNCTION("IMPORTRANGE(""https://docs.google.com/spreadsheets/d/17HrOaa5pBUI1onckFfumXB8xlg35qb2uBAFfF1D-Myo/edit?usp=sharing"",""สุโขทัย!L424"")"),226960)</f>
        <v>226960</v>
      </c>
      <c r="E28" s="76">
        <f ca="1">IFERROR(__xludf.DUMMYFUNCTION("IMPORTRANGE(""https://docs.google.com/spreadsheets/d/17HrOaa5pBUI1onckFfumXB8xlg35qb2uBAFfF1D-Myo/edit?usp=sharing"",""สุโขทัย!L431"")"),0)</f>
        <v>0</v>
      </c>
      <c r="F28" s="77">
        <f t="shared" ca="1" si="1"/>
        <v>136460</v>
      </c>
      <c r="G28" s="78">
        <f t="shared" ca="1" si="2"/>
        <v>60.125132181882272</v>
      </c>
      <c r="H28" s="79">
        <f t="shared" ca="1" si="39"/>
        <v>136460</v>
      </c>
      <c r="I28" s="76">
        <f ca="1">IFERROR(__xludf.DUMMYFUNCTION("IMPORTRANGE(""https://docs.google.com/spreadsheets/d/17HrOaa5pBUI1onckFfumXB8xlg35qb2uBAFfF1D-Myo/edit?usp=sharing"",""สุโขทัย!N425"")"),102600)</f>
        <v>102600</v>
      </c>
      <c r="J28" s="76">
        <f ca="1">IFERROR(__xludf.DUMMYFUNCTION("IMPORTRANGE(""https://docs.google.com/spreadsheets/d/17HrOaa5pBUI1onckFfumXB8xlg35qb2uBAFfF1D-Myo/edit?usp=sharing"",""สุโขทัย!N426"")"),0)</f>
        <v>0</v>
      </c>
      <c r="K28" s="76">
        <f ca="1">IFERROR(__xludf.DUMMYFUNCTION("IMPORTRANGE(""https://docs.google.com/spreadsheets/d/17HrOaa5pBUI1onckFfumXB8xlg35qb2uBAFfF1D-Myo/edit?usp=sharing"",""สุโขทัย!N427"")"),0)</f>
        <v>0</v>
      </c>
      <c r="L28" s="76">
        <f ca="1">IFERROR(__xludf.DUMMYFUNCTION("IMPORTRANGE(""https://docs.google.com/spreadsheets/d/17HrOaa5pBUI1onckFfumXB8xlg35qb2uBAFfF1D-Myo/edit?usp=sharing"",""สุโขทัย!N428"")"),33860)</f>
        <v>33860</v>
      </c>
      <c r="M28" s="80">
        <f ca="1">IFERROR(__xludf.DUMMYFUNCTION("IMPORTRANGE(""https://docs.google.com/spreadsheets/d/17HrOaa5pBUI1onckFfumXB8xlg35qb2uBAFfF1D-Myo/edit?usp=sharing"",""สุโขทัย!N431"")"),0)</f>
        <v>0</v>
      </c>
      <c r="N28" s="80">
        <f t="shared" ca="1" si="32"/>
        <v>0</v>
      </c>
      <c r="O28" s="81">
        <f ca="1">IFERROR(__xludf.DUMMYFUNCTION("IMPORTRANGE(""https://docs.google.com/spreadsheets/d/17HrOaa5pBUI1onckFfumXB8xlg35qb2uBAFfF1D-Myo/edit?usp=sharing"",""สุโขทัย!I433"")"),65)</f>
        <v>65</v>
      </c>
      <c r="P28" s="81">
        <f ca="1">IFERROR(__xludf.DUMMYFUNCTION("IMPORTRANGE(""https://docs.google.com/spreadsheets/d/17HrOaa5pBUI1onckFfumXB8xlg35qb2uBAFfF1D-Myo/edit?usp=sharing"",""สุโขทัย!I434"")"),2)</f>
        <v>2</v>
      </c>
      <c r="Q28" s="81">
        <f ca="1">IFERROR(__xludf.DUMMYFUNCTION("IMPORTRANGE(""https://docs.google.com/spreadsheets/d/17HrOaa5pBUI1onckFfumXB8xlg35qb2uBAFfF1D-Myo/edit?usp=sharing"",""สุโขทัย!J433"")"),0)</f>
        <v>0</v>
      </c>
      <c r="R28" s="82">
        <f t="shared" ca="1" si="25"/>
        <v>0</v>
      </c>
      <c r="S28" s="81">
        <f ca="1">IFERROR(__xludf.DUMMYFUNCTION("IMPORTRANGE(""https://docs.google.com/spreadsheets/d/17HrOaa5pBUI1onckFfumXB8xlg35qb2uBAFfF1D-Myo/edit?usp=sharing"",""สุโขทัย!J434"")"),2)</f>
        <v>2</v>
      </c>
      <c r="T28" s="82">
        <f t="shared" ca="1" si="7"/>
        <v>100</v>
      </c>
      <c r="U28" s="81">
        <f ca="1">IFERROR(__xludf.DUMMYFUNCTION("IMPORTRANGE(""https://docs.google.com/spreadsheets/d/17HrOaa5pBUI1onckFfumXB8xlg35qb2uBAFfF1D-Myo/edit?usp=sharing"",""สุโขทัย!I435"")"),65)</f>
        <v>65</v>
      </c>
      <c r="V28" s="81">
        <f ca="1">IFERROR(__xludf.DUMMYFUNCTION("IMPORTRANGE(""https://docs.google.com/spreadsheets/d/17HrOaa5pBUI1onckFfumXB8xlg35qb2uBAFfF1D-Myo/edit?usp=sharing"",""สุโขทัย!J435"")"),0)</f>
        <v>0</v>
      </c>
      <c r="W28" s="82">
        <f t="shared" ca="1" si="26"/>
        <v>0</v>
      </c>
      <c r="X28" s="81">
        <f ca="1">IFERROR(__xludf.DUMMYFUNCTION("IMPORTRANGE(""https://docs.google.com/spreadsheets/d/17HrOaa5pBUI1onckFfumXB8xlg35qb2uBAFfF1D-Myo/edit?usp=sharing"",""สุโขทัย!I437"")"),50)</f>
        <v>50</v>
      </c>
      <c r="Y28" s="81">
        <f ca="1">IFERROR(__xludf.DUMMYFUNCTION("IMPORTRANGE(""https://docs.google.com/spreadsheets/d/17HrOaa5pBUI1onckFfumXB8xlg35qb2uBAFfF1D-Myo/edit?usp=sharing"",""สุโขทัย!I438"")"),1)</f>
        <v>1</v>
      </c>
      <c r="Z28" s="81">
        <f ca="1">IFERROR(__xludf.DUMMYFUNCTION("IMPORTRANGE(""https://docs.google.com/spreadsheets/d/17HrOaa5pBUI1onckFfumXB8xlg35qb2uBAFfF1D-Myo/edit?usp=sharing"",""สุโขทัย!J437"")"),22)</f>
        <v>22</v>
      </c>
      <c r="AA28" s="82">
        <f t="shared" ca="1" si="27"/>
        <v>44</v>
      </c>
      <c r="AB28" s="81">
        <f ca="1">IFERROR(__xludf.DUMMYFUNCTION("IMPORTRANGE(""https://docs.google.com/spreadsheets/d/17HrOaa5pBUI1onckFfumXB8xlg35qb2uBAFfF1D-Myo/edit?usp=sharing"",""สุโขทัย!J438"")"),1)</f>
        <v>1</v>
      </c>
      <c r="AC28" s="82">
        <f t="shared" ca="1" si="12"/>
        <v>100</v>
      </c>
      <c r="AD28" s="81">
        <f ca="1">IFERROR(__xludf.DUMMYFUNCTION("IMPORTRANGE(""https://docs.google.com/spreadsheets/d/17HrOaa5pBUI1onckFfumXB8xlg35qb2uBAFfF1D-Myo/edit?usp=sharing"",""สุโขทัย!I439"")"),15)</f>
        <v>15</v>
      </c>
      <c r="AE28" s="81">
        <f ca="1">IFERROR(__xludf.DUMMYFUNCTION("IMPORTRANGE(""https://docs.google.com/spreadsheets/d/17HrOaa5pBUI1onckFfumXB8xlg35qb2uBAFfF1D-Myo/edit?usp=sharing"",""สุโขทัย!I440"")"),1)</f>
        <v>1</v>
      </c>
      <c r="AF28" s="81">
        <f ca="1">IFERROR(__xludf.DUMMYFUNCTION("IMPORTRANGE(""https://docs.google.com/spreadsheets/d/17HrOaa5pBUI1onckFfumXB8xlg35qb2uBAFfF1D-Myo/edit?usp=sharing"",""สุโขทัย!J439"")"),15)</f>
        <v>15</v>
      </c>
      <c r="AG28" s="82">
        <f t="shared" ca="1" si="28"/>
        <v>100</v>
      </c>
      <c r="AH28" s="81">
        <f ca="1">IFERROR(__xludf.DUMMYFUNCTION("IMPORTRANGE(""https://docs.google.com/spreadsheets/d/17HrOaa5pBUI1onckFfumXB8xlg35qb2uBAFfF1D-Myo/edit?usp=sharing"",""สุโขทัย!J440"")"),1)</f>
        <v>1</v>
      </c>
      <c r="AI28" s="82">
        <f t="shared" ca="1" si="15"/>
        <v>100</v>
      </c>
      <c r="AJ28" s="81">
        <f ca="1">IFERROR(__xludf.DUMMYFUNCTION("IMPORTRANGE(""https://docs.google.com/spreadsheets/d/17HrOaa5pBUI1onckFfumXB8xlg35qb2uBAFfF1D-Myo/edit?usp=sharing"",""สุโขทัย!I441"")"),0)</f>
        <v>0</v>
      </c>
      <c r="AK28" s="81">
        <f ca="1">IFERROR(__xludf.DUMMYFUNCTION("IMPORTRANGE(""https://docs.google.com/spreadsheets/d/17HrOaa5pBUI1onckFfumXB8xlg35qb2uBAFfF1D-Myo/edit?usp=sharing"",""สุโขทัย!J441"")"),0)</f>
        <v>0</v>
      </c>
      <c r="AL28" s="82">
        <f t="shared" ca="1" si="29"/>
        <v>0</v>
      </c>
    </row>
    <row r="29" spans="1:38" ht="24" customHeight="1" x14ac:dyDescent="0.2">
      <c r="A29" s="72">
        <v>16</v>
      </c>
      <c r="B29" s="73" t="s">
        <v>46</v>
      </c>
      <c r="C29" s="74">
        <f t="shared" ca="1" si="38"/>
        <v>98660</v>
      </c>
      <c r="D29" s="75">
        <f ca="1">IFERROR(__xludf.DUMMYFUNCTION("IMPORTRANGE(""https://docs.google.com/spreadsheets/d/1ubs5cl16eYL9gHbdHTJtmtYb9MGzHBs7CAphn8kNCgM/edit?usp=sharing"",""อุตรดิตถ์!L424"")"),98660)</f>
        <v>98660</v>
      </c>
      <c r="E29" s="76">
        <f ca="1">IFERROR(__xludf.DUMMYFUNCTION("IMPORTRANGE(""https://docs.google.com/spreadsheets/d/1ubs5cl16eYL9gHbdHTJtmtYb9MGzHBs7CAphn8kNCgM/edit?usp=sharing"",""อุตรดิตถ์!L431"")"),0)</f>
        <v>0</v>
      </c>
      <c r="F29" s="77">
        <f t="shared" ca="1" si="1"/>
        <v>70628.5</v>
      </c>
      <c r="G29" s="78">
        <f t="shared" ca="1" si="2"/>
        <v>71.58777620109467</v>
      </c>
      <c r="H29" s="79">
        <f t="shared" ca="1" si="39"/>
        <v>70628.5</v>
      </c>
      <c r="I29" s="76">
        <f ca="1">IFERROR(__xludf.DUMMYFUNCTION("IMPORTRANGE(""https://docs.google.com/spreadsheets/d/1ubs5cl16eYL9gHbdHTJtmtYb9MGzHBs7CAphn8kNCgM/edit?usp=sharing"",""อุตรดิตถ์!N425"")"),32389.5)</f>
        <v>32389.5</v>
      </c>
      <c r="J29" s="76">
        <f ca="1">IFERROR(__xludf.DUMMYFUNCTION("IMPORTRANGE(""https://docs.google.com/spreadsheets/d/1ubs5cl16eYL9gHbdHTJtmtYb9MGzHBs7CAphn8kNCgM/edit?usp=sharing"",""อุตรดิตถ์!N426"")"),0)</f>
        <v>0</v>
      </c>
      <c r="K29" s="76">
        <f ca="1">IFERROR(__xludf.DUMMYFUNCTION("IMPORTRANGE(""https://docs.google.com/spreadsheets/d/1ubs5cl16eYL9gHbdHTJtmtYb9MGzHBs7CAphn8kNCgM/edit?usp=sharing"",""อุตรดิตถ์!N427"")"),0)</f>
        <v>0</v>
      </c>
      <c r="L29" s="76">
        <f ca="1">IFERROR(__xludf.DUMMYFUNCTION("IMPORTRANGE(""https://docs.google.com/spreadsheets/d/1ubs5cl16eYL9gHbdHTJtmtYb9MGzHBs7CAphn8kNCgM/edit?usp=sharing"",""อุตรดิตถ์!N428"")"),38239)</f>
        <v>38239</v>
      </c>
      <c r="M29" s="80">
        <f ca="1">IFERROR(__xludf.DUMMYFUNCTION("IMPORTRANGE(""https://docs.google.com/spreadsheets/d/1ubs5cl16eYL9gHbdHTJtmtYb9MGzHBs7CAphn8kNCgM/edit?usp=sharing"",""อุตรดิตถ์!N431"")"),0)</f>
        <v>0</v>
      </c>
      <c r="N29" s="80">
        <f t="shared" ca="1" si="32"/>
        <v>0</v>
      </c>
      <c r="O29" s="81">
        <f ca="1">IFERROR(__xludf.DUMMYFUNCTION("IMPORTRANGE(""https://docs.google.com/spreadsheets/d/1ubs5cl16eYL9gHbdHTJtmtYb9MGzHBs7CAphn8kNCgM/edit?usp=sharing"",""อุตรดิตถ์!I433"")"),20)</f>
        <v>20</v>
      </c>
      <c r="P29" s="81">
        <f ca="1">IFERROR(__xludf.DUMMYFUNCTION("IMPORTRANGE(""https://docs.google.com/spreadsheets/d/1ubs5cl16eYL9gHbdHTJtmtYb9MGzHBs7CAphn8kNCgM/edit?usp=sharing"",""อุตรดิตถ์!I434"")"),1)</f>
        <v>1</v>
      </c>
      <c r="Q29" s="81">
        <f ca="1">IFERROR(__xludf.DUMMYFUNCTION("IMPORTRANGE(""https://docs.google.com/spreadsheets/d/1ubs5cl16eYL9gHbdHTJtmtYb9MGzHBs7CAphn8kNCgM/edit?usp=sharing"",""อุตรดิตถ์!J433"")"),20)</f>
        <v>20</v>
      </c>
      <c r="R29" s="82">
        <f t="shared" ca="1" si="25"/>
        <v>100</v>
      </c>
      <c r="S29" s="81">
        <f ca="1">IFERROR(__xludf.DUMMYFUNCTION("IMPORTRANGE(""https://docs.google.com/spreadsheets/d/1ubs5cl16eYL9gHbdHTJtmtYb9MGzHBs7CAphn8kNCgM/edit?usp=sharing"",""อุตรดิตถ์!J434"")"),0)</f>
        <v>0</v>
      </c>
      <c r="T29" s="82">
        <f t="shared" ca="1" si="7"/>
        <v>0</v>
      </c>
      <c r="U29" s="81">
        <f ca="1">IFERROR(__xludf.DUMMYFUNCTION("IMPORTRANGE(""https://docs.google.com/spreadsheets/d/1ubs5cl16eYL9gHbdHTJtmtYb9MGzHBs7CAphn8kNCgM/edit?usp=sharing"",""อุตรดิตถ์!I435"")"),20)</f>
        <v>20</v>
      </c>
      <c r="V29" s="81">
        <f ca="1">IFERROR(__xludf.DUMMYFUNCTION("IMPORTRANGE(""https://docs.google.com/spreadsheets/d/1ubs5cl16eYL9gHbdHTJtmtYb9MGzHBs7CAphn8kNCgM/edit?usp=sharing"",""อุตรดิตถ์!J435"")"),20)</f>
        <v>20</v>
      </c>
      <c r="W29" s="82">
        <f t="shared" ca="1" si="26"/>
        <v>100</v>
      </c>
      <c r="X29" s="81">
        <f ca="1">IFERROR(__xludf.DUMMYFUNCTION("IMPORTRANGE(""https://docs.google.com/spreadsheets/d/1ubs5cl16eYL9gHbdHTJtmtYb9MGzHBs7CAphn8kNCgM/edit?usp=sharing"",""อุตรดิตถ์!I437"")"),0)</f>
        <v>0</v>
      </c>
      <c r="Y29" s="81">
        <f ca="1">IFERROR(__xludf.DUMMYFUNCTION("IMPORTRANGE(""https://docs.google.com/spreadsheets/d/1ubs5cl16eYL9gHbdHTJtmtYb9MGzHBs7CAphn8kNCgM/edit?usp=sharing"",""อุตรดิตถ์!I438"")"),0)</f>
        <v>0</v>
      </c>
      <c r="Z29" s="81">
        <f ca="1">IFERROR(__xludf.DUMMYFUNCTION("IMPORTRANGE(""https://docs.google.com/spreadsheets/d/1ubs5cl16eYL9gHbdHTJtmtYb9MGzHBs7CAphn8kNCgM/edit?usp=sharing"",""อุตรดิตถ์!J437"")"),0)</f>
        <v>0</v>
      </c>
      <c r="AA29" s="82">
        <f t="shared" ca="1" si="27"/>
        <v>0</v>
      </c>
      <c r="AB29" s="81">
        <f ca="1">IFERROR(__xludf.DUMMYFUNCTION("IMPORTRANGE(""https://docs.google.com/spreadsheets/d/1ubs5cl16eYL9gHbdHTJtmtYb9MGzHBs7CAphn8kNCgM/edit?usp=sharing"",""อุตรดิตถ์!J438"")"),0)</f>
        <v>0</v>
      </c>
      <c r="AC29" s="82">
        <f t="shared" ca="1" si="12"/>
        <v>0</v>
      </c>
      <c r="AD29" s="81">
        <f ca="1">IFERROR(__xludf.DUMMYFUNCTION("IMPORTRANGE(""https://docs.google.com/spreadsheets/d/1ubs5cl16eYL9gHbdHTJtmtYb9MGzHBs7CAphn8kNCgM/edit?usp=sharing"",""อุตรดิตถ์!I439"")"),20)</f>
        <v>20</v>
      </c>
      <c r="AE29" s="81">
        <f ca="1">IFERROR(__xludf.DUMMYFUNCTION("IMPORTRANGE(""https://docs.google.com/spreadsheets/d/1ubs5cl16eYL9gHbdHTJtmtYb9MGzHBs7CAphn8kNCgM/edit?usp=sharing"",""อุตรดิตถ์!I440"")"),1)</f>
        <v>1</v>
      </c>
      <c r="AF29" s="81">
        <f ca="1">IFERROR(__xludf.DUMMYFUNCTION("IMPORTRANGE(""https://docs.google.com/spreadsheets/d/1ubs5cl16eYL9gHbdHTJtmtYb9MGzHBs7CAphn8kNCgM/edit?usp=sharing"",""อุตรดิตถ์!J439"")"),20)</f>
        <v>20</v>
      </c>
      <c r="AG29" s="82">
        <f t="shared" ca="1" si="28"/>
        <v>100</v>
      </c>
      <c r="AH29" s="81">
        <f ca="1">IFERROR(__xludf.DUMMYFUNCTION("IMPORTRANGE(""https://docs.google.com/spreadsheets/d/1ubs5cl16eYL9gHbdHTJtmtYb9MGzHBs7CAphn8kNCgM/edit?usp=sharing"",""อุตรดิตถ์!J440"")"),0)</f>
        <v>0</v>
      </c>
      <c r="AI29" s="82">
        <f t="shared" ca="1" si="15"/>
        <v>0</v>
      </c>
      <c r="AJ29" s="81">
        <f ca="1">IFERROR(__xludf.DUMMYFUNCTION("IMPORTRANGE(""https://docs.google.com/spreadsheets/d/1ubs5cl16eYL9gHbdHTJtmtYb9MGzHBs7CAphn8kNCgM/edit?usp=sharing"",""อุตรดิตถ์!I441"")"),0)</f>
        <v>0</v>
      </c>
      <c r="AK29" s="81">
        <f ca="1">IFERROR(__xludf.DUMMYFUNCTION("IMPORTRANGE(""https://docs.google.com/spreadsheets/d/1ubs5cl16eYL9gHbdHTJtmtYb9MGzHBs7CAphn8kNCgM/edit?usp=sharing"",""อุตรดิตถ์!J441"")"),0)</f>
        <v>0</v>
      </c>
      <c r="AL29" s="82">
        <f t="shared" ca="1" si="29"/>
        <v>0</v>
      </c>
    </row>
    <row r="30" spans="1:38" ht="24" customHeight="1" x14ac:dyDescent="0.2">
      <c r="A30" s="83">
        <v>17</v>
      </c>
      <c r="B30" s="84" t="s">
        <v>47</v>
      </c>
      <c r="C30" s="85">
        <f t="shared" ca="1" si="38"/>
        <v>78660</v>
      </c>
      <c r="D30" s="86">
        <f ca="1">IFERROR(__xludf.DUMMYFUNCTION("IMPORTRANGE(""https://docs.google.com/spreadsheets/d/1kII0BjS6CtVrBvI8IrytgPdxDrlyQDyigzMsohRtDMs/edit?usp=sharing"",""อุทัยธานี!L424"")"),78660)</f>
        <v>78660</v>
      </c>
      <c r="E30" s="87">
        <f ca="1">IFERROR(__xludf.DUMMYFUNCTION("IMPORTRANGE(""https://docs.google.com/spreadsheets/d/1kII0BjS6CtVrBvI8IrytgPdxDrlyQDyigzMsohRtDMs/edit?usp=sharing"",""อุทัยธานี!L431"")"),0)</f>
        <v>0</v>
      </c>
      <c r="F30" s="88">
        <f t="shared" ca="1" si="1"/>
        <v>39775</v>
      </c>
      <c r="G30" s="89">
        <f t="shared" ca="1" si="2"/>
        <v>50.565725908975338</v>
      </c>
      <c r="H30" s="90">
        <f t="shared" ca="1" si="39"/>
        <v>39775</v>
      </c>
      <c r="I30" s="87">
        <f ca="1">IFERROR(__xludf.DUMMYFUNCTION("IMPORTRANGE(""https://docs.google.com/spreadsheets/d/1kII0BjS6CtVrBvI8IrytgPdxDrlyQDyigzMsohRtDMs/edit?usp=sharing"",""อุทัยธานี!N425"")"),30475)</f>
        <v>30475</v>
      </c>
      <c r="J30" s="87">
        <f ca="1">IFERROR(__xludf.DUMMYFUNCTION("IMPORTRANGE(""https://docs.google.com/spreadsheets/d/1kII0BjS6CtVrBvI8IrytgPdxDrlyQDyigzMsohRtDMs/edit?usp=sharing"",""อุทัยธานี!N426"")"),0)</f>
        <v>0</v>
      </c>
      <c r="K30" s="87">
        <f ca="1">IFERROR(__xludf.DUMMYFUNCTION("IMPORTRANGE(""https://docs.google.com/spreadsheets/d/1kII0BjS6CtVrBvI8IrytgPdxDrlyQDyigzMsohRtDMs/edit?usp=sharing"",""อุทัยธานี!N427"")"),0)</f>
        <v>0</v>
      </c>
      <c r="L30" s="87">
        <f ca="1">IFERROR(__xludf.DUMMYFUNCTION("IMPORTRANGE(""https://docs.google.com/spreadsheets/d/1kII0BjS6CtVrBvI8IrytgPdxDrlyQDyigzMsohRtDMs/edit?usp=sharing"",""อุทัยธานี!N428"")"),9300)</f>
        <v>9300</v>
      </c>
      <c r="M30" s="91">
        <f ca="1">IFERROR(__xludf.DUMMYFUNCTION("IMPORTRANGE(""https://docs.google.com/spreadsheets/d/1kII0BjS6CtVrBvI8IrytgPdxDrlyQDyigzMsohRtDMs/edit?usp=sharing"",""อุทัยธานี!N431"")"),0)</f>
        <v>0</v>
      </c>
      <c r="N30" s="91">
        <f t="shared" ca="1" si="32"/>
        <v>0</v>
      </c>
      <c r="O30" s="92">
        <f ca="1">IFERROR(__xludf.DUMMYFUNCTION("IMPORTRANGE(""https://docs.google.com/spreadsheets/d/1kII0BjS6CtVrBvI8IrytgPdxDrlyQDyigzMsohRtDMs/edit?usp=sharing"",""อุทัยธานี!I433"")"),20)</f>
        <v>20</v>
      </c>
      <c r="P30" s="92">
        <f ca="1">IFERROR(__xludf.DUMMYFUNCTION("IMPORTRANGE(""https://docs.google.com/spreadsheets/d/1kII0BjS6CtVrBvI8IrytgPdxDrlyQDyigzMsohRtDMs/edit?usp=sharing"",""อุทัยธานี!I434"")"),1)</f>
        <v>1</v>
      </c>
      <c r="Q30" s="92">
        <f ca="1">IFERROR(__xludf.DUMMYFUNCTION("IMPORTRANGE(""https://docs.google.com/spreadsheets/d/1kII0BjS6CtVrBvI8IrytgPdxDrlyQDyigzMsohRtDMs/edit?usp=sharing"",""อุทัยธานี!J433"")"),0)</f>
        <v>0</v>
      </c>
      <c r="R30" s="93">
        <f t="shared" ca="1" si="25"/>
        <v>0</v>
      </c>
      <c r="S30" s="92">
        <f ca="1">IFERROR(__xludf.DUMMYFUNCTION("IMPORTRANGE(""https://docs.google.com/spreadsheets/d/1kII0BjS6CtVrBvI8IrytgPdxDrlyQDyigzMsohRtDMs/edit?usp=sharing"",""อุทัยธานี!J434"")"),0)</f>
        <v>0</v>
      </c>
      <c r="T30" s="93">
        <f t="shared" ca="1" si="7"/>
        <v>0</v>
      </c>
      <c r="U30" s="92">
        <f ca="1">IFERROR(__xludf.DUMMYFUNCTION("IMPORTRANGE(""https://docs.google.com/spreadsheets/d/1kII0BjS6CtVrBvI8IrytgPdxDrlyQDyigzMsohRtDMs/edit?usp=sharing"",""อุทัยธานี!I435"")"),20)</f>
        <v>20</v>
      </c>
      <c r="V30" s="92">
        <f ca="1">IFERROR(__xludf.DUMMYFUNCTION("IMPORTRANGE(""https://docs.google.com/spreadsheets/d/1kII0BjS6CtVrBvI8IrytgPdxDrlyQDyigzMsohRtDMs/edit?usp=sharing"",""อุทัยธานี!J435"")"),20)</f>
        <v>20</v>
      </c>
      <c r="W30" s="93">
        <f t="shared" ca="1" si="26"/>
        <v>100</v>
      </c>
      <c r="X30" s="92">
        <f ca="1">IFERROR(__xludf.DUMMYFUNCTION("IMPORTRANGE(""https://docs.google.com/spreadsheets/d/1kII0BjS6CtVrBvI8IrytgPdxDrlyQDyigzMsohRtDMs/edit?usp=sharing"",""อุทัยธานี!I437"")"),0)</f>
        <v>0</v>
      </c>
      <c r="Y30" s="92">
        <f ca="1">IFERROR(__xludf.DUMMYFUNCTION("IMPORTRANGE(""https://docs.google.com/spreadsheets/d/1kII0BjS6CtVrBvI8IrytgPdxDrlyQDyigzMsohRtDMs/edit?usp=sharing"",""อุทัยธานี!I438"")"),0)</f>
        <v>0</v>
      </c>
      <c r="Z30" s="92">
        <f ca="1">IFERROR(__xludf.DUMMYFUNCTION("IMPORTRANGE(""https://docs.google.com/spreadsheets/d/1kII0BjS6CtVrBvI8IrytgPdxDrlyQDyigzMsohRtDMs/edit?usp=sharing"",""อุทัยธานี!J437"")"),0)</f>
        <v>0</v>
      </c>
      <c r="AA30" s="93">
        <f t="shared" ca="1" si="27"/>
        <v>0</v>
      </c>
      <c r="AB30" s="92">
        <f ca="1">IFERROR(__xludf.DUMMYFUNCTION("IMPORTRANGE(""https://docs.google.com/spreadsheets/d/1kII0BjS6CtVrBvI8IrytgPdxDrlyQDyigzMsohRtDMs/edit?usp=sharing"",""อุทัยธานี!J438"")"),0)</f>
        <v>0</v>
      </c>
      <c r="AC30" s="93">
        <f t="shared" ca="1" si="12"/>
        <v>0</v>
      </c>
      <c r="AD30" s="92">
        <f ca="1">IFERROR(__xludf.DUMMYFUNCTION("IMPORTRANGE(""https://docs.google.com/spreadsheets/d/1kII0BjS6CtVrBvI8IrytgPdxDrlyQDyigzMsohRtDMs/edit?usp=sharing"",""อุทัยธานี!I439"")"),20)</f>
        <v>20</v>
      </c>
      <c r="AE30" s="92">
        <f ca="1">IFERROR(__xludf.DUMMYFUNCTION("IMPORTRANGE(""https://docs.google.com/spreadsheets/d/1kII0BjS6CtVrBvI8IrytgPdxDrlyQDyigzMsohRtDMs/edit?usp=sharing"",""อุทัยธานี!I440"")"),1)</f>
        <v>1</v>
      </c>
      <c r="AF30" s="92">
        <f ca="1">IFERROR(__xludf.DUMMYFUNCTION("IMPORTRANGE(""https://docs.google.com/spreadsheets/d/1kII0BjS6CtVrBvI8IrytgPdxDrlyQDyigzMsohRtDMs/edit?usp=sharing"",""อุทัยธานี!J439"")"),0)</f>
        <v>0</v>
      </c>
      <c r="AG30" s="93">
        <f t="shared" ca="1" si="28"/>
        <v>0</v>
      </c>
      <c r="AH30" s="92">
        <f ca="1">IFERROR(__xludf.DUMMYFUNCTION("IMPORTRANGE(""https://docs.google.com/spreadsheets/d/1kII0BjS6CtVrBvI8IrytgPdxDrlyQDyigzMsohRtDMs/edit?usp=sharing"",""อุทัยธานี!J440"")"),0)</f>
        <v>0</v>
      </c>
      <c r="AI30" s="93">
        <f t="shared" ca="1" si="15"/>
        <v>0</v>
      </c>
      <c r="AJ30" s="92">
        <f ca="1">IFERROR(__xludf.DUMMYFUNCTION("IMPORTRANGE(""https://docs.google.com/spreadsheets/d/1kII0BjS6CtVrBvI8IrytgPdxDrlyQDyigzMsohRtDMs/edit?usp=sharing"",""อุทัยธานี!I441"")"),0)</f>
        <v>0</v>
      </c>
      <c r="AK30" s="92">
        <f ca="1">IFERROR(__xludf.DUMMYFUNCTION("IMPORTRANGE(""https://docs.google.com/spreadsheets/d/1kII0BjS6CtVrBvI8IrytgPdxDrlyQDyigzMsohRtDMs/edit?usp=sharing"",""อุทัยธานี!J441"")"),0)</f>
        <v>0</v>
      </c>
      <c r="AL30" s="93">
        <f t="shared" ca="1" si="29"/>
        <v>0</v>
      </c>
    </row>
    <row r="31" spans="1:38" ht="21" customHeight="1" x14ac:dyDescent="0.2">
      <c r="A31" s="305" t="s">
        <v>48</v>
      </c>
      <c r="B31" s="306"/>
      <c r="C31" s="34">
        <f t="shared" ref="C31:E31" ca="1" si="40">SUM(C32:C51)</f>
        <v>2044980</v>
      </c>
      <c r="D31" s="34">
        <f t="shared" ca="1" si="40"/>
        <v>2044980</v>
      </c>
      <c r="E31" s="57">
        <f t="shared" ca="1" si="40"/>
        <v>0</v>
      </c>
      <c r="F31" s="57">
        <f t="shared" ca="1" si="1"/>
        <v>917945.3</v>
      </c>
      <c r="G31" s="94">
        <f t="shared" ca="1" si="2"/>
        <v>44.887739733395925</v>
      </c>
      <c r="H31" s="57">
        <f t="shared" ref="H31:M31" ca="1" si="41">SUM(H32:H51)</f>
        <v>917945.3</v>
      </c>
      <c r="I31" s="57">
        <f t="shared" ca="1" si="41"/>
        <v>672708</v>
      </c>
      <c r="J31" s="57">
        <f t="shared" ca="1" si="41"/>
        <v>450</v>
      </c>
      <c r="K31" s="57">
        <f t="shared" ca="1" si="41"/>
        <v>0</v>
      </c>
      <c r="L31" s="57">
        <f t="shared" ca="1" si="41"/>
        <v>244787.3</v>
      </c>
      <c r="M31" s="95">
        <f t="shared" ca="1" si="41"/>
        <v>0</v>
      </c>
      <c r="N31" s="95">
        <f t="shared" ca="1" si="32"/>
        <v>0</v>
      </c>
      <c r="O31" s="57">
        <f t="shared" ref="O31:Q31" ca="1" si="42">SUM(O32:O51)</f>
        <v>535</v>
      </c>
      <c r="P31" s="57">
        <f t="shared" ca="1" si="42"/>
        <v>22</v>
      </c>
      <c r="Q31" s="57">
        <f t="shared" ca="1" si="42"/>
        <v>270</v>
      </c>
      <c r="R31" s="96">
        <f t="shared" ca="1" si="25"/>
        <v>50.467289719626166</v>
      </c>
      <c r="S31" s="57">
        <f ca="1">SUM(S32:S51)</f>
        <v>11</v>
      </c>
      <c r="T31" s="96">
        <f t="shared" ca="1" si="7"/>
        <v>50</v>
      </c>
      <c r="U31" s="57">
        <f t="shared" ref="U31:V31" ca="1" si="43">SUM(U32:U51)</f>
        <v>535</v>
      </c>
      <c r="V31" s="57">
        <f t="shared" ca="1" si="43"/>
        <v>475</v>
      </c>
      <c r="W31" s="96">
        <f t="shared" ca="1" si="26"/>
        <v>88.785046728971963</v>
      </c>
      <c r="X31" s="57">
        <f t="shared" ref="X31:Z31" ca="1" si="44">SUM(X32:X51)</f>
        <v>80</v>
      </c>
      <c r="Y31" s="57">
        <f t="shared" ca="1" si="44"/>
        <v>2</v>
      </c>
      <c r="Z31" s="57">
        <f t="shared" ca="1" si="44"/>
        <v>45</v>
      </c>
      <c r="AA31" s="96">
        <f t="shared" ca="1" si="27"/>
        <v>56.25</v>
      </c>
      <c r="AB31" s="57">
        <f ca="1">SUM(AB32:AB51)</f>
        <v>1</v>
      </c>
      <c r="AC31" s="96">
        <f t="shared" ca="1" si="12"/>
        <v>50</v>
      </c>
      <c r="AD31" s="57">
        <f t="shared" ref="AD31:AF31" ca="1" si="45">SUM(AD32:AD51)</f>
        <v>455</v>
      </c>
      <c r="AE31" s="57">
        <f t="shared" ca="1" si="45"/>
        <v>20</v>
      </c>
      <c r="AF31" s="57">
        <f t="shared" ca="1" si="45"/>
        <v>260</v>
      </c>
      <c r="AG31" s="96">
        <f t="shared" ca="1" si="28"/>
        <v>57.142857142857146</v>
      </c>
      <c r="AH31" s="57">
        <f ca="1">SUM(AH32:AH51)</f>
        <v>10</v>
      </c>
      <c r="AI31" s="96">
        <f t="shared" ca="1" si="15"/>
        <v>50</v>
      </c>
      <c r="AJ31" s="57">
        <f t="shared" ref="AJ31:AK31" ca="1" si="46">SUM(AJ32:AJ51)</f>
        <v>0</v>
      </c>
      <c r="AK31" s="57">
        <f t="shared" ca="1" si="46"/>
        <v>0</v>
      </c>
      <c r="AL31" s="96">
        <f t="shared" ca="1" si="29"/>
        <v>0</v>
      </c>
    </row>
    <row r="32" spans="1:38" ht="21" customHeight="1" x14ac:dyDescent="0.2">
      <c r="A32" s="62">
        <v>1</v>
      </c>
      <c r="B32" s="63" t="s">
        <v>49</v>
      </c>
      <c r="C32" s="97">
        <f t="shared" ref="C32:C51" ca="1" si="47">D32+E32</f>
        <v>78660</v>
      </c>
      <c r="D32" s="98">
        <f ca="1">IFERROR(__xludf.DUMMYFUNCTION("IMPORTRANGE(""https://docs.google.com/spreadsheets/d/1fb2B9NLcpJgjIieIJvenUTNPn0TimZDUi0OtYeiSQ_s/edit?usp=sharing"",""กาฬสินธุ์!L424"")"),78660)</f>
        <v>78660</v>
      </c>
      <c r="E32" s="66">
        <f ca="1">IFERROR(__xludf.DUMMYFUNCTION("IMPORTRANGE(""https://docs.google.com/spreadsheets/d/1fb2B9NLcpJgjIieIJvenUTNPn0TimZDUi0OtYeiSQ_s/edit?usp=sharing"",""กาฬสินธุ์!L431"")"),0)</f>
        <v>0</v>
      </c>
      <c r="F32" s="67">
        <f t="shared" ca="1" si="1"/>
        <v>57680</v>
      </c>
      <c r="G32" s="68">
        <f t="shared" ca="1" si="2"/>
        <v>73.328248156623445</v>
      </c>
      <c r="H32" s="69">
        <f t="shared" ref="H32:H51" ca="1" si="48">I32+J32+K32+L32</f>
        <v>57680</v>
      </c>
      <c r="I32" s="66">
        <f ca="1">IFERROR(__xludf.DUMMYFUNCTION("IMPORTRANGE(""https://docs.google.com/spreadsheets/d/1fb2B9NLcpJgjIieIJvenUTNPn0TimZDUi0OtYeiSQ_s/edit?usp=sharing"",""กาฬสินธุ์!N425"")"),50380)</f>
        <v>50380</v>
      </c>
      <c r="J32" s="66">
        <f ca="1">IFERROR(__xludf.DUMMYFUNCTION("IMPORTRANGE(""https://docs.google.com/spreadsheets/d/1fb2B9NLcpJgjIieIJvenUTNPn0TimZDUi0OtYeiSQ_s/edit?usp=sharing"",""กาฬสินธุ์!N426"")"),0)</f>
        <v>0</v>
      </c>
      <c r="K32" s="66">
        <f ca="1">IFERROR(__xludf.DUMMYFUNCTION("IMPORTRANGE(""https://docs.google.com/spreadsheets/d/1fb2B9NLcpJgjIieIJvenUTNPn0TimZDUi0OtYeiSQ_s/edit?usp=sharing"",""กาฬสินธุ์!N427"")"),0)</f>
        <v>0</v>
      </c>
      <c r="L32" s="66">
        <f ca="1">IFERROR(__xludf.DUMMYFUNCTION("IMPORTRANGE(""https://docs.google.com/spreadsheets/d/1fb2B9NLcpJgjIieIJvenUTNPn0TimZDUi0OtYeiSQ_s/edit?usp=sharing"",""กาฬสินธุ์!N428"")"),7300)</f>
        <v>7300</v>
      </c>
      <c r="M32" s="70">
        <f ca="1">IFERROR(__xludf.DUMMYFUNCTION("IMPORTRANGE(""https://docs.google.com/spreadsheets/d/1fb2B9NLcpJgjIieIJvenUTNPn0TimZDUi0OtYeiSQ_s/edit?usp=sharing"",""กาฬสินธุ์!N431"")"),0)</f>
        <v>0</v>
      </c>
      <c r="N32" s="70">
        <f t="shared" ca="1" si="32"/>
        <v>0</v>
      </c>
      <c r="O32" s="66">
        <f ca="1">IFERROR(__xludf.DUMMYFUNCTION("IMPORTRANGE(""https://docs.google.com/spreadsheets/d/1fb2B9NLcpJgjIieIJvenUTNPn0TimZDUi0OtYeiSQ_s/edit?usp=sharing"",""กาฬสินธุ์!I433"")"),20)</f>
        <v>20</v>
      </c>
      <c r="P32" s="66">
        <f ca="1">IFERROR(__xludf.DUMMYFUNCTION("IMPORTRANGE(""https://docs.google.com/spreadsheets/d/1fb2B9NLcpJgjIieIJvenUTNPn0TimZDUi0OtYeiSQ_s/edit?usp=sharing"",""กาฬสินธุ์!I434"")"),1)</f>
        <v>1</v>
      </c>
      <c r="Q32" s="66">
        <f ca="1">IFERROR(__xludf.DUMMYFUNCTION("IMPORTRANGE(""https://docs.google.com/spreadsheets/d/1fb2B9NLcpJgjIieIJvenUTNPn0TimZDUi0OtYeiSQ_s/edit?usp=sharing"",""กาฬสินธุ์!J433"")"),20)</f>
        <v>20</v>
      </c>
      <c r="R32" s="71">
        <f t="shared" ca="1" si="25"/>
        <v>100</v>
      </c>
      <c r="S32" s="66">
        <f ca="1">IFERROR(__xludf.DUMMYFUNCTION("IMPORTRANGE(""https://docs.google.com/spreadsheets/d/1fb2B9NLcpJgjIieIJvenUTNPn0TimZDUi0OtYeiSQ_s/edit?usp=sharing"",""กาฬสินธุ์!J434"")"),1)</f>
        <v>1</v>
      </c>
      <c r="T32" s="71">
        <f t="shared" ca="1" si="7"/>
        <v>100</v>
      </c>
      <c r="U32" s="66">
        <f ca="1">IFERROR(__xludf.DUMMYFUNCTION("IMPORTRANGE(""https://docs.google.com/spreadsheets/d/1fb2B9NLcpJgjIieIJvenUTNPn0TimZDUi0OtYeiSQ_s/edit?usp=sharing"",""กาฬสินธุ์!I435"")"),20)</f>
        <v>20</v>
      </c>
      <c r="V32" s="66">
        <f ca="1">IFERROR(__xludf.DUMMYFUNCTION("IMPORTRANGE(""https://docs.google.com/spreadsheets/d/1fb2B9NLcpJgjIieIJvenUTNPn0TimZDUi0OtYeiSQ_s/edit?usp=sharing"",""กาฬสินธุ์!J435"")"),20)</f>
        <v>20</v>
      </c>
      <c r="W32" s="71">
        <f t="shared" ca="1" si="26"/>
        <v>100</v>
      </c>
      <c r="X32" s="66">
        <f ca="1">IFERROR(__xludf.DUMMYFUNCTION("IMPORTRANGE(""https://docs.google.com/spreadsheets/d/1fb2B9NLcpJgjIieIJvenUTNPn0TimZDUi0OtYeiSQ_s/edit?usp=sharing"",""กาฬสินธุ์!I437"")"),0)</f>
        <v>0</v>
      </c>
      <c r="Y32" s="66">
        <f ca="1">IFERROR(__xludf.DUMMYFUNCTION("IMPORTRANGE(""https://docs.google.com/spreadsheets/d/1fb2B9NLcpJgjIieIJvenUTNPn0TimZDUi0OtYeiSQ_s/edit?usp=sharing"",""กาฬสินธุ์!I438"")"),0)</f>
        <v>0</v>
      </c>
      <c r="Z32" s="66">
        <f ca="1">IFERROR(__xludf.DUMMYFUNCTION("IMPORTRANGE(""https://docs.google.com/spreadsheets/d/1fb2B9NLcpJgjIieIJvenUTNPn0TimZDUi0OtYeiSQ_s/edit?usp=sharing"",""กาฬสินธุ์!J437"")"),0)</f>
        <v>0</v>
      </c>
      <c r="AA32" s="71">
        <f t="shared" ca="1" si="27"/>
        <v>0</v>
      </c>
      <c r="AB32" s="66">
        <f ca="1">IFERROR(__xludf.DUMMYFUNCTION("IMPORTRANGE(""https://docs.google.com/spreadsheets/d/1fb2B9NLcpJgjIieIJvenUTNPn0TimZDUi0OtYeiSQ_s/edit?usp=sharing"",""กาฬสินธุ์!J438"")"),0)</f>
        <v>0</v>
      </c>
      <c r="AC32" s="71">
        <f t="shared" ca="1" si="12"/>
        <v>0</v>
      </c>
      <c r="AD32" s="66">
        <f ca="1">IFERROR(__xludf.DUMMYFUNCTION("IMPORTRANGE(""https://docs.google.com/spreadsheets/d/1fb2B9NLcpJgjIieIJvenUTNPn0TimZDUi0OtYeiSQ_s/edit?usp=sharing"",""กาฬสินธุ์!I439"")"),20)</f>
        <v>20</v>
      </c>
      <c r="AE32" s="66">
        <f ca="1">IFERROR(__xludf.DUMMYFUNCTION("IMPORTRANGE(""https://docs.google.com/spreadsheets/d/1fb2B9NLcpJgjIieIJvenUTNPn0TimZDUi0OtYeiSQ_s/edit?usp=sharing"",""กาฬสินธุ์!I440"")"),1)</f>
        <v>1</v>
      </c>
      <c r="AF32" s="66">
        <f ca="1">IFERROR(__xludf.DUMMYFUNCTION("IMPORTRANGE(""https://docs.google.com/spreadsheets/d/1fb2B9NLcpJgjIieIJvenUTNPn0TimZDUi0OtYeiSQ_s/edit?usp=sharing"",""กาฬสินธุ์!J439"")"),20)</f>
        <v>20</v>
      </c>
      <c r="AG32" s="71">
        <f t="shared" ca="1" si="28"/>
        <v>100</v>
      </c>
      <c r="AH32" s="66">
        <f ca="1">IFERROR(__xludf.DUMMYFUNCTION("IMPORTRANGE(""https://docs.google.com/spreadsheets/d/1fb2B9NLcpJgjIieIJvenUTNPn0TimZDUi0OtYeiSQ_s/edit?usp=sharing"",""กาฬสินธุ์!J440"")"),1)</f>
        <v>1</v>
      </c>
      <c r="AI32" s="71">
        <f t="shared" ca="1" si="15"/>
        <v>100</v>
      </c>
      <c r="AJ32" s="66">
        <f ca="1">IFERROR(__xludf.DUMMYFUNCTION("IMPORTRANGE(""https://docs.google.com/spreadsheets/d/1fb2B9NLcpJgjIieIJvenUTNPn0TimZDUi0OtYeiSQ_s/edit?usp=sharing"",""กาฬสินธุ์!I441"")"),0)</f>
        <v>0</v>
      </c>
      <c r="AK32" s="66">
        <f ca="1">IFERROR(__xludf.DUMMYFUNCTION("IMPORTRANGE(""https://docs.google.com/spreadsheets/d/1fb2B9NLcpJgjIieIJvenUTNPn0TimZDUi0OtYeiSQ_s/edit?usp=sharing"",""กาฬสินธุ์!J441"")"),0)</f>
        <v>0</v>
      </c>
      <c r="AL32" s="71">
        <f t="shared" ca="1" si="29"/>
        <v>0</v>
      </c>
    </row>
    <row r="33" spans="1:38" ht="21" customHeight="1" x14ac:dyDescent="0.2">
      <c r="A33" s="72">
        <v>2</v>
      </c>
      <c r="B33" s="73" t="s">
        <v>50</v>
      </c>
      <c r="C33" s="74">
        <f t="shared" ca="1" si="47"/>
        <v>78660</v>
      </c>
      <c r="D33" s="75">
        <f ca="1">IFERROR(__xludf.DUMMYFUNCTION("IMPORTRANGE(""https://docs.google.com/spreadsheets/d/1SaMnqrwRGmFYNR0MhpWmHuL5niYUd5E7vDq8X7whAlI/edit?usp=sharing"",""ขอนแก่น!L424"")"),78660)</f>
        <v>78660</v>
      </c>
      <c r="E33" s="76">
        <f ca="1">IFERROR(__xludf.DUMMYFUNCTION("IMPORTRANGE(""https://docs.google.com/spreadsheets/d/1SaMnqrwRGmFYNR0MhpWmHuL5niYUd5E7vDq8X7whAlI/edit?usp=sharing"",""ขอนแก่น!L431"")"),0)</f>
        <v>0</v>
      </c>
      <c r="F33" s="77">
        <f t="shared" ca="1" si="1"/>
        <v>23060</v>
      </c>
      <c r="G33" s="78">
        <f t="shared" ca="1" si="2"/>
        <v>29.316043732519706</v>
      </c>
      <c r="H33" s="79">
        <f t="shared" ca="1" si="48"/>
        <v>23060</v>
      </c>
      <c r="I33" s="76">
        <f ca="1">IFERROR(__xludf.DUMMYFUNCTION("IMPORTRANGE(""https://docs.google.com/spreadsheets/d/1SaMnqrwRGmFYNR0MhpWmHuL5niYUd5E7vDq8X7whAlI/edit?usp=sharing"",""ขอนแก่น!N425"")"),0)</f>
        <v>0</v>
      </c>
      <c r="J33" s="76">
        <f ca="1">IFERROR(__xludf.DUMMYFUNCTION("IMPORTRANGE(""https://docs.google.com/spreadsheets/d/1SaMnqrwRGmFYNR0MhpWmHuL5niYUd5E7vDq8X7whAlI/edit?usp=sharing"",""ขอนแก่น!N426"")"),0)</f>
        <v>0</v>
      </c>
      <c r="K33" s="76">
        <f ca="1">IFERROR(__xludf.DUMMYFUNCTION("IMPORTRANGE(""https://docs.google.com/spreadsheets/d/1SaMnqrwRGmFYNR0MhpWmHuL5niYUd5E7vDq8X7whAlI/edit?usp=sharing"",""ขอนแก่น!N427"")"),0)</f>
        <v>0</v>
      </c>
      <c r="L33" s="76">
        <f ca="1">IFERROR(__xludf.DUMMYFUNCTION("IMPORTRANGE(""https://docs.google.com/spreadsheets/d/1SaMnqrwRGmFYNR0MhpWmHuL5niYUd5E7vDq8X7whAlI/edit?usp=sharing"",""ขอนแก่น!N428"")"),23060)</f>
        <v>23060</v>
      </c>
      <c r="M33" s="80">
        <f ca="1">IFERROR(__xludf.DUMMYFUNCTION("IMPORTRANGE(""https://docs.google.com/spreadsheets/d/1SaMnqrwRGmFYNR0MhpWmHuL5niYUd5E7vDq8X7whAlI/edit?usp=sharing"",""ขอนแก่น!N431"")"),0)</f>
        <v>0</v>
      </c>
      <c r="N33" s="80">
        <f t="shared" ca="1" si="32"/>
        <v>0</v>
      </c>
      <c r="O33" s="81">
        <f ca="1">IFERROR(__xludf.DUMMYFUNCTION("IMPORTRANGE(""https://docs.google.com/spreadsheets/d/1SaMnqrwRGmFYNR0MhpWmHuL5niYUd5E7vDq8X7whAlI/edit?usp=sharing"",""ขอนแก่น!I433"")"),20)</f>
        <v>20</v>
      </c>
      <c r="P33" s="81">
        <f ca="1">IFERROR(__xludf.DUMMYFUNCTION("IMPORTRANGE(""https://docs.google.com/spreadsheets/d/1SaMnqrwRGmFYNR0MhpWmHuL5niYUd5E7vDq8X7whAlI/edit?usp=sharing"",""ขอนแก่น!I434"")"),1)</f>
        <v>1</v>
      </c>
      <c r="Q33" s="81">
        <f ca="1">IFERROR(__xludf.DUMMYFUNCTION("IMPORTRANGE(""https://docs.google.com/spreadsheets/d/1SaMnqrwRGmFYNR0MhpWmHuL5niYUd5E7vDq8X7whAlI/edit?usp=sharing"",""ขอนแก่น!J433"")"),0)</f>
        <v>0</v>
      </c>
      <c r="R33" s="82">
        <f t="shared" ca="1" si="25"/>
        <v>0</v>
      </c>
      <c r="S33" s="81">
        <f ca="1">IFERROR(__xludf.DUMMYFUNCTION("IMPORTRANGE(""https://docs.google.com/spreadsheets/d/1SaMnqrwRGmFYNR0MhpWmHuL5niYUd5E7vDq8X7whAlI/edit?usp=sharing"",""ขอนแก่น!J434"")"),0)</f>
        <v>0</v>
      </c>
      <c r="T33" s="82">
        <f t="shared" ca="1" si="7"/>
        <v>0</v>
      </c>
      <c r="U33" s="81">
        <f ca="1">IFERROR(__xludf.DUMMYFUNCTION("IMPORTRANGE(""https://docs.google.com/spreadsheets/d/1SaMnqrwRGmFYNR0MhpWmHuL5niYUd5E7vDq8X7whAlI/edit?usp=sharing"",""ขอนแก่น!I435"")"),20)</f>
        <v>20</v>
      </c>
      <c r="V33" s="81">
        <f ca="1">IFERROR(__xludf.DUMMYFUNCTION("IMPORTRANGE(""https://docs.google.com/spreadsheets/d/1SaMnqrwRGmFYNR0MhpWmHuL5niYUd5E7vDq8X7whAlI/edit?usp=sharing"",""ขอนแก่น!J435"")"),0)</f>
        <v>0</v>
      </c>
      <c r="W33" s="82">
        <f t="shared" ca="1" si="26"/>
        <v>0</v>
      </c>
      <c r="X33" s="81">
        <f ca="1">IFERROR(__xludf.DUMMYFUNCTION("IMPORTRANGE(""https://docs.google.com/spreadsheets/d/1SaMnqrwRGmFYNR0MhpWmHuL5niYUd5E7vDq8X7whAlI/edit?usp=sharing"",""ขอนแก่น!I437"")"),0)</f>
        <v>0</v>
      </c>
      <c r="Y33" s="81">
        <f ca="1">IFERROR(__xludf.DUMMYFUNCTION("IMPORTRANGE(""https://docs.google.com/spreadsheets/d/1SaMnqrwRGmFYNR0MhpWmHuL5niYUd5E7vDq8X7whAlI/edit?usp=sharing"",""ขอนแก่น!I438"")"),0)</f>
        <v>0</v>
      </c>
      <c r="Z33" s="81">
        <f ca="1">IFERROR(__xludf.DUMMYFUNCTION("IMPORTRANGE(""https://docs.google.com/spreadsheets/d/1SaMnqrwRGmFYNR0MhpWmHuL5niYUd5E7vDq8X7whAlI/edit?usp=sharing"",""ขอนแก่น!J437"")"),0)</f>
        <v>0</v>
      </c>
      <c r="AA33" s="82">
        <f t="shared" ca="1" si="27"/>
        <v>0</v>
      </c>
      <c r="AB33" s="81">
        <f ca="1">IFERROR(__xludf.DUMMYFUNCTION("IMPORTRANGE(""https://docs.google.com/spreadsheets/d/1SaMnqrwRGmFYNR0MhpWmHuL5niYUd5E7vDq8X7whAlI/edit?usp=sharing"",""ขอนแก่น!J438"")"),0)</f>
        <v>0</v>
      </c>
      <c r="AC33" s="82">
        <f t="shared" ca="1" si="12"/>
        <v>0</v>
      </c>
      <c r="AD33" s="81">
        <f ca="1">IFERROR(__xludf.DUMMYFUNCTION("IMPORTRANGE(""https://docs.google.com/spreadsheets/d/1SaMnqrwRGmFYNR0MhpWmHuL5niYUd5E7vDq8X7whAlI/edit?usp=sharing"",""ขอนแก่น!I439"")"),20)</f>
        <v>20</v>
      </c>
      <c r="AE33" s="81">
        <f ca="1">IFERROR(__xludf.DUMMYFUNCTION("IMPORTRANGE(""https://docs.google.com/spreadsheets/d/1SaMnqrwRGmFYNR0MhpWmHuL5niYUd5E7vDq8X7whAlI/edit?usp=sharing"",""ขอนแก่น!I440"")"),1)</f>
        <v>1</v>
      </c>
      <c r="AF33" s="81">
        <f ca="1">IFERROR(__xludf.DUMMYFUNCTION("IMPORTRANGE(""https://docs.google.com/spreadsheets/d/1SaMnqrwRGmFYNR0MhpWmHuL5niYUd5E7vDq8X7whAlI/edit?usp=sharing"",""ขอนแก่น!J439"")"),0)</f>
        <v>0</v>
      </c>
      <c r="AG33" s="82">
        <f t="shared" ca="1" si="28"/>
        <v>0</v>
      </c>
      <c r="AH33" s="81">
        <f ca="1">IFERROR(__xludf.DUMMYFUNCTION("IMPORTRANGE(""https://docs.google.com/spreadsheets/d/1SaMnqrwRGmFYNR0MhpWmHuL5niYUd5E7vDq8X7whAlI/edit?usp=sharing"",""ขอนแก่น!J440"")"),0)</f>
        <v>0</v>
      </c>
      <c r="AI33" s="82">
        <f t="shared" ca="1" si="15"/>
        <v>0</v>
      </c>
      <c r="AJ33" s="81">
        <f ca="1">IFERROR(__xludf.DUMMYFUNCTION("IMPORTRANGE(""https://docs.google.com/spreadsheets/d/1SaMnqrwRGmFYNR0MhpWmHuL5niYUd5E7vDq8X7whAlI/edit?usp=sharing"",""ขอนแก่น!I441"")"),0)</f>
        <v>0</v>
      </c>
      <c r="AK33" s="81">
        <f ca="1">IFERROR(__xludf.DUMMYFUNCTION("IMPORTRANGE(""https://docs.google.com/spreadsheets/d/1SaMnqrwRGmFYNR0MhpWmHuL5niYUd5E7vDq8X7whAlI/edit?usp=sharing"",""ขอนแก่น!J441"")"),0)</f>
        <v>0</v>
      </c>
      <c r="AL33" s="82">
        <f t="shared" ca="1" si="29"/>
        <v>0</v>
      </c>
    </row>
    <row r="34" spans="1:38" ht="21" customHeight="1" x14ac:dyDescent="0.2">
      <c r="A34" s="72">
        <v>3</v>
      </c>
      <c r="B34" s="73" t="s">
        <v>51</v>
      </c>
      <c r="C34" s="74">
        <f t="shared" ca="1" si="47"/>
        <v>78660</v>
      </c>
      <c r="D34" s="75">
        <f ca="1">IFERROR(__xludf.DUMMYFUNCTION("IMPORTRANGE(""https://docs.google.com/spreadsheets/d/1xQzEtGHhTTgxHh6YUkKY1P4dRyjVhS74dGswLfAASA4/edit?usp=sharing"",""ชัยภูมิ!L424"")"),78660)</f>
        <v>78660</v>
      </c>
      <c r="E34" s="76">
        <f ca="1">IFERROR(__xludf.DUMMYFUNCTION("IMPORTRANGE(""https://docs.google.com/spreadsheets/d/1xQzEtGHhTTgxHh6YUkKY1P4dRyjVhS74dGswLfAASA4/edit?usp=sharing"",""ชัยภูมิ!L431"")"),0)</f>
        <v>0</v>
      </c>
      <c r="F34" s="77">
        <f t="shared" ca="1" si="1"/>
        <v>25930</v>
      </c>
      <c r="G34" s="78">
        <f t="shared" ca="1" si="2"/>
        <v>32.964658021866256</v>
      </c>
      <c r="H34" s="79">
        <f t="shared" ca="1" si="48"/>
        <v>25930</v>
      </c>
      <c r="I34" s="76">
        <f ca="1">IFERROR(__xludf.DUMMYFUNCTION("IMPORTRANGE(""https://docs.google.com/spreadsheets/d/1xQzEtGHhTTgxHh6YUkKY1P4dRyjVhS74dGswLfAASA4/edit?usp=sharing"",""ชัยภูมิ!N425"")"),25480)</f>
        <v>25480</v>
      </c>
      <c r="J34" s="76">
        <f ca="1">IFERROR(__xludf.DUMMYFUNCTION("IMPORTRANGE(""https://docs.google.com/spreadsheets/d/1xQzEtGHhTTgxHh6YUkKY1P4dRyjVhS74dGswLfAASA4/edit?usp=sharing"",""ชัยภูมิ!N426"")"),450)</f>
        <v>450</v>
      </c>
      <c r="K34" s="76">
        <f ca="1">IFERROR(__xludf.DUMMYFUNCTION("IMPORTRANGE(""https://docs.google.com/spreadsheets/d/1xQzEtGHhTTgxHh6YUkKY1P4dRyjVhS74dGswLfAASA4/edit?usp=sharing"",""ชัยภูมิ!N427"")"),0)</f>
        <v>0</v>
      </c>
      <c r="L34" s="76">
        <f ca="1">IFERROR(__xludf.DUMMYFUNCTION("IMPORTRANGE(""https://docs.google.com/spreadsheets/d/1xQzEtGHhTTgxHh6YUkKY1P4dRyjVhS74dGswLfAASA4/edit?usp=sharing"",""ชัยภูมิ!N428"")"),0)</f>
        <v>0</v>
      </c>
      <c r="M34" s="80">
        <f ca="1">IFERROR(__xludf.DUMMYFUNCTION("IMPORTRANGE(""https://docs.google.com/spreadsheets/d/1xQzEtGHhTTgxHh6YUkKY1P4dRyjVhS74dGswLfAASA4/edit?usp=sharing"",""ชัยภูมิ!N431"")"),0)</f>
        <v>0</v>
      </c>
      <c r="N34" s="80">
        <f t="shared" ca="1" si="32"/>
        <v>0</v>
      </c>
      <c r="O34" s="81">
        <f ca="1">IFERROR(__xludf.DUMMYFUNCTION("IMPORTRANGE(""https://docs.google.com/spreadsheets/d/1xQzEtGHhTTgxHh6YUkKY1P4dRyjVhS74dGswLfAASA4/edit?usp=sharing"",""ชัยภูมิ!I433"")"),20)</f>
        <v>20</v>
      </c>
      <c r="P34" s="81">
        <f ca="1">IFERROR(__xludf.DUMMYFUNCTION("IMPORTRANGE(""https://docs.google.com/spreadsheets/d/1xQzEtGHhTTgxHh6YUkKY1P4dRyjVhS74dGswLfAASA4/edit?usp=sharing"",""ชัยภูมิ!I434"")"),1)</f>
        <v>1</v>
      </c>
      <c r="Q34" s="81">
        <f ca="1">IFERROR(__xludf.DUMMYFUNCTION("IMPORTRANGE(""https://docs.google.com/spreadsheets/d/1xQzEtGHhTTgxHh6YUkKY1P4dRyjVhS74dGswLfAASA4/edit?usp=sharing"",""ชัยภูมิ!J433"")"),0)</f>
        <v>0</v>
      </c>
      <c r="R34" s="82">
        <f t="shared" ca="1" si="25"/>
        <v>0</v>
      </c>
      <c r="S34" s="81">
        <f ca="1">IFERROR(__xludf.DUMMYFUNCTION("IMPORTRANGE(""https://docs.google.com/spreadsheets/d/1xQzEtGHhTTgxHh6YUkKY1P4dRyjVhS74dGswLfAASA4/edit?usp=sharing"",""ชัยภูมิ!J434"")"),0)</f>
        <v>0</v>
      </c>
      <c r="T34" s="82">
        <f t="shared" ca="1" si="7"/>
        <v>0</v>
      </c>
      <c r="U34" s="81">
        <f ca="1">IFERROR(__xludf.DUMMYFUNCTION("IMPORTRANGE(""https://docs.google.com/spreadsheets/d/1xQzEtGHhTTgxHh6YUkKY1P4dRyjVhS74dGswLfAASA4/edit?usp=sharing"",""ชัยภูมิ!I435"")"),20)</f>
        <v>20</v>
      </c>
      <c r="V34" s="81">
        <f ca="1">IFERROR(__xludf.DUMMYFUNCTION("IMPORTRANGE(""https://docs.google.com/spreadsheets/d/1xQzEtGHhTTgxHh6YUkKY1P4dRyjVhS74dGswLfAASA4/edit?usp=sharing"",""ชัยภูมิ!J435"")"),20)</f>
        <v>20</v>
      </c>
      <c r="W34" s="82">
        <f t="shared" ca="1" si="26"/>
        <v>100</v>
      </c>
      <c r="X34" s="81">
        <f ca="1">IFERROR(__xludf.DUMMYFUNCTION("IMPORTRANGE(""https://docs.google.com/spreadsheets/d/1xQzEtGHhTTgxHh6YUkKY1P4dRyjVhS74dGswLfAASA4/edit?usp=sharing"",""ชัยภูมิ!I437"")"),0)</f>
        <v>0</v>
      </c>
      <c r="Y34" s="81">
        <f ca="1">IFERROR(__xludf.DUMMYFUNCTION("IMPORTRANGE(""https://docs.google.com/spreadsheets/d/1xQzEtGHhTTgxHh6YUkKY1P4dRyjVhS74dGswLfAASA4/edit?usp=sharing"",""ชัยภูมิ!I438"")"),0)</f>
        <v>0</v>
      </c>
      <c r="Z34" s="81">
        <f ca="1">IFERROR(__xludf.DUMMYFUNCTION("IMPORTRANGE(""https://docs.google.com/spreadsheets/d/1xQzEtGHhTTgxHh6YUkKY1P4dRyjVhS74dGswLfAASA4/edit?usp=sharing"",""ชัยภูมิ!J437"")"),0)</f>
        <v>0</v>
      </c>
      <c r="AA34" s="82">
        <f t="shared" ca="1" si="27"/>
        <v>0</v>
      </c>
      <c r="AB34" s="81">
        <f ca="1">IFERROR(__xludf.DUMMYFUNCTION("IMPORTRANGE(""https://docs.google.com/spreadsheets/d/1xQzEtGHhTTgxHh6YUkKY1P4dRyjVhS74dGswLfAASA4/edit?usp=sharing"",""ชัยภูมิ!J438"")"),0)</f>
        <v>0</v>
      </c>
      <c r="AC34" s="82">
        <f t="shared" ca="1" si="12"/>
        <v>0</v>
      </c>
      <c r="AD34" s="81">
        <f ca="1">IFERROR(__xludf.DUMMYFUNCTION("IMPORTRANGE(""https://docs.google.com/spreadsheets/d/1xQzEtGHhTTgxHh6YUkKY1P4dRyjVhS74dGswLfAASA4/edit?usp=sharing"",""ชัยภูมิ!I439"")"),20)</f>
        <v>20</v>
      </c>
      <c r="AE34" s="81">
        <f ca="1">IFERROR(__xludf.DUMMYFUNCTION("IMPORTRANGE(""https://docs.google.com/spreadsheets/d/1xQzEtGHhTTgxHh6YUkKY1P4dRyjVhS74dGswLfAASA4/edit?usp=sharing"",""ชัยภูมิ!I440"")"),1)</f>
        <v>1</v>
      </c>
      <c r="AF34" s="81">
        <f ca="1">IFERROR(__xludf.DUMMYFUNCTION("IMPORTRANGE(""https://docs.google.com/spreadsheets/d/1xQzEtGHhTTgxHh6YUkKY1P4dRyjVhS74dGswLfAASA4/edit?usp=sharing"",""ชัยภูมิ!J439"")"),0)</f>
        <v>0</v>
      </c>
      <c r="AG34" s="82">
        <f t="shared" ca="1" si="28"/>
        <v>0</v>
      </c>
      <c r="AH34" s="81">
        <f ca="1">IFERROR(__xludf.DUMMYFUNCTION("IMPORTRANGE(""https://docs.google.com/spreadsheets/d/1xQzEtGHhTTgxHh6YUkKY1P4dRyjVhS74dGswLfAASA4/edit?usp=sharing"",""ชัยภูมิ!J440"")"),0)</f>
        <v>0</v>
      </c>
      <c r="AI34" s="82">
        <f t="shared" ca="1" si="15"/>
        <v>0</v>
      </c>
      <c r="AJ34" s="81">
        <f ca="1">IFERROR(__xludf.DUMMYFUNCTION("IMPORTRANGE(""https://docs.google.com/spreadsheets/d/1xQzEtGHhTTgxHh6YUkKY1P4dRyjVhS74dGswLfAASA4/edit?usp=sharing"",""ชัยภูมิ!I441"")"),0)</f>
        <v>0</v>
      </c>
      <c r="AK34" s="81">
        <f ca="1">IFERROR(__xludf.DUMMYFUNCTION("IMPORTRANGE(""https://docs.google.com/spreadsheets/d/1xQzEtGHhTTgxHh6YUkKY1P4dRyjVhS74dGswLfAASA4/edit?usp=sharing"",""ชัยภูมิ!J441"")"),0)</f>
        <v>0</v>
      </c>
      <c r="AL34" s="82">
        <f t="shared" ca="1" si="29"/>
        <v>0</v>
      </c>
    </row>
    <row r="35" spans="1:38" ht="21" customHeight="1" x14ac:dyDescent="0.2">
      <c r="A35" s="72">
        <v>4</v>
      </c>
      <c r="B35" s="73" t="s">
        <v>52</v>
      </c>
      <c r="C35" s="74">
        <f t="shared" ca="1" si="47"/>
        <v>104060</v>
      </c>
      <c r="D35" s="75">
        <f ca="1">IFERROR(__xludf.DUMMYFUNCTION("IMPORTRANGE(""https://docs.google.com/spreadsheets/d/1EXMBoBxU3OFbjT2TRpneM33qFjqDzrKmn9ydcflfI0o/edit?usp=sharing"",""นครพนม!L424"")"),104060)</f>
        <v>104060</v>
      </c>
      <c r="E35" s="76">
        <f ca="1">IFERROR(__xludf.DUMMYFUNCTION("IMPORTRANGE(""https://docs.google.com/spreadsheets/d/1EXMBoBxU3OFbjT2TRpneM33qFjqDzrKmn9ydcflfI0o/edit?usp=sharing"",""นครพนม!L431"")"),0)</f>
        <v>0</v>
      </c>
      <c r="F35" s="77">
        <f t="shared" ca="1" si="1"/>
        <v>70965</v>
      </c>
      <c r="G35" s="78">
        <f t="shared" ca="1" si="2"/>
        <v>68.196232942533157</v>
      </c>
      <c r="H35" s="79">
        <f t="shared" ca="1" si="48"/>
        <v>70965</v>
      </c>
      <c r="I35" s="76">
        <f ca="1">IFERROR(__xludf.DUMMYFUNCTION("IMPORTRANGE(""https://docs.google.com/spreadsheets/d/1EXMBoBxU3OFbjT2TRpneM33qFjqDzrKmn9ydcflfI0o/edit?usp=sharing"",""นครพนม!N425"")"),34525)</f>
        <v>34525</v>
      </c>
      <c r="J35" s="76">
        <f ca="1">IFERROR(__xludf.DUMMYFUNCTION("IMPORTRANGE(""https://docs.google.com/spreadsheets/d/1EXMBoBxU3OFbjT2TRpneM33qFjqDzrKmn9ydcflfI0o/edit?usp=sharing"",""นครพนม!N426"")"),0)</f>
        <v>0</v>
      </c>
      <c r="K35" s="76">
        <f ca="1">IFERROR(__xludf.DUMMYFUNCTION("IMPORTRANGE(""https://docs.google.com/spreadsheets/d/1EXMBoBxU3OFbjT2TRpneM33qFjqDzrKmn9ydcflfI0o/edit?usp=sharing"",""นครพนม!N427"")"),0)</f>
        <v>0</v>
      </c>
      <c r="L35" s="76">
        <f ca="1">IFERROR(__xludf.DUMMYFUNCTION("IMPORTRANGE(""https://docs.google.com/spreadsheets/d/1EXMBoBxU3OFbjT2TRpneM33qFjqDzrKmn9ydcflfI0o/edit?usp=sharing"",""นครพนม!N428"")"),36440)</f>
        <v>36440</v>
      </c>
      <c r="M35" s="80">
        <f ca="1">IFERROR(__xludf.DUMMYFUNCTION("IMPORTRANGE(""https://docs.google.com/spreadsheets/d/1EXMBoBxU3OFbjT2TRpneM33qFjqDzrKmn9ydcflfI0o/edit?usp=sharing"",""นครพนม!N431"")"),0)</f>
        <v>0</v>
      </c>
      <c r="N35" s="80">
        <f t="shared" ca="1" si="32"/>
        <v>0</v>
      </c>
      <c r="O35" s="81">
        <f ca="1">IFERROR(__xludf.DUMMYFUNCTION("IMPORTRANGE(""https://docs.google.com/spreadsheets/d/1EXMBoBxU3OFbjT2TRpneM33qFjqDzrKmn9ydcflfI0o/edit?usp=sharing"",""นครพนม!I433"")"),20)</f>
        <v>20</v>
      </c>
      <c r="P35" s="81">
        <f ca="1">IFERROR(__xludf.DUMMYFUNCTION("IMPORTRANGE(""https://docs.google.com/spreadsheets/d/1EXMBoBxU3OFbjT2TRpneM33qFjqDzrKmn9ydcflfI0o/edit?usp=sharing"",""นครพนม!I434"")"),1)</f>
        <v>1</v>
      </c>
      <c r="Q35" s="81">
        <f ca="1">IFERROR(__xludf.DUMMYFUNCTION("IMPORTRANGE(""https://docs.google.com/spreadsheets/d/1EXMBoBxU3OFbjT2TRpneM33qFjqDzrKmn9ydcflfI0o/edit?usp=sharing"",""นครพนม!J433"")"),20)</f>
        <v>20</v>
      </c>
      <c r="R35" s="82">
        <f t="shared" ca="1" si="25"/>
        <v>100</v>
      </c>
      <c r="S35" s="81">
        <f ca="1">IFERROR(__xludf.DUMMYFUNCTION("IMPORTRANGE(""https://docs.google.com/spreadsheets/d/1EXMBoBxU3OFbjT2TRpneM33qFjqDzrKmn9ydcflfI0o/edit?usp=sharing"",""นครพนม!J434"")"),1)</f>
        <v>1</v>
      </c>
      <c r="T35" s="82">
        <f t="shared" ca="1" si="7"/>
        <v>100</v>
      </c>
      <c r="U35" s="81">
        <f ca="1">IFERROR(__xludf.DUMMYFUNCTION("IMPORTRANGE(""https://docs.google.com/spreadsheets/d/1EXMBoBxU3OFbjT2TRpneM33qFjqDzrKmn9ydcflfI0o/edit?usp=sharing"",""นครพนม!I435"")"),20)</f>
        <v>20</v>
      </c>
      <c r="V35" s="81">
        <f ca="1">IFERROR(__xludf.DUMMYFUNCTION("IMPORTRANGE(""https://docs.google.com/spreadsheets/d/1EXMBoBxU3OFbjT2TRpneM33qFjqDzrKmn9ydcflfI0o/edit?usp=sharing"",""นครพนม!J435"")"),20)</f>
        <v>20</v>
      </c>
      <c r="W35" s="82">
        <f t="shared" ca="1" si="26"/>
        <v>100</v>
      </c>
      <c r="X35" s="81">
        <f ca="1">IFERROR(__xludf.DUMMYFUNCTION("IMPORTRANGE(""https://docs.google.com/spreadsheets/d/1EXMBoBxU3OFbjT2TRpneM33qFjqDzrKmn9ydcflfI0o/edit?usp=sharing"",""นครพนม!I437"")"),0)</f>
        <v>0</v>
      </c>
      <c r="Y35" s="81">
        <f ca="1">IFERROR(__xludf.DUMMYFUNCTION("IMPORTRANGE(""https://docs.google.com/spreadsheets/d/1EXMBoBxU3OFbjT2TRpneM33qFjqDzrKmn9ydcflfI0o/edit?usp=sharing"",""นครพนม!I438"")"),0)</f>
        <v>0</v>
      </c>
      <c r="Z35" s="81">
        <f ca="1">IFERROR(__xludf.DUMMYFUNCTION("IMPORTRANGE(""https://docs.google.com/spreadsheets/d/1EXMBoBxU3OFbjT2TRpneM33qFjqDzrKmn9ydcflfI0o/edit?usp=sharing"",""นครพนม!J437"")"),0)</f>
        <v>0</v>
      </c>
      <c r="AA35" s="82">
        <f t="shared" ca="1" si="27"/>
        <v>0</v>
      </c>
      <c r="AB35" s="81">
        <f ca="1">IFERROR(__xludf.DUMMYFUNCTION("IMPORTRANGE(""https://docs.google.com/spreadsheets/d/1EXMBoBxU3OFbjT2TRpneM33qFjqDzrKmn9ydcflfI0o/edit?usp=sharing"",""นครพนม!J438"")"),0)</f>
        <v>0</v>
      </c>
      <c r="AC35" s="82">
        <f t="shared" ca="1" si="12"/>
        <v>0</v>
      </c>
      <c r="AD35" s="81">
        <f ca="1">IFERROR(__xludf.DUMMYFUNCTION("IMPORTRANGE(""https://docs.google.com/spreadsheets/d/1EXMBoBxU3OFbjT2TRpneM33qFjqDzrKmn9ydcflfI0o/edit?usp=sharing"",""นครพนม!I439"")"),20)</f>
        <v>20</v>
      </c>
      <c r="AE35" s="81">
        <f ca="1">IFERROR(__xludf.DUMMYFUNCTION("IMPORTRANGE(""https://docs.google.com/spreadsheets/d/1EXMBoBxU3OFbjT2TRpneM33qFjqDzrKmn9ydcflfI0o/edit?usp=sharing"",""นครพนม!I440"")"),1)</f>
        <v>1</v>
      </c>
      <c r="AF35" s="81">
        <f ca="1">IFERROR(__xludf.DUMMYFUNCTION("IMPORTRANGE(""https://docs.google.com/spreadsheets/d/1EXMBoBxU3OFbjT2TRpneM33qFjqDzrKmn9ydcflfI0o/edit?usp=sharing"",""นครพนม!J439"")"),20)</f>
        <v>20</v>
      </c>
      <c r="AG35" s="82">
        <f t="shared" ca="1" si="28"/>
        <v>100</v>
      </c>
      <c r="AH35" s="81">
        <f ca="1">IFERROR(__xludf.DUMMYFUNCTION("IMPORTRANGE(""https://docs.google.com/spreadsheets/d/1EXMBoBxU3OFbjT2TRpneM33qFjqDzrKmn9ydcflfI0o/edit?usp=sharing"",""นครพนม!J440"")"),1)</f>
        <v>1</v>
      </c>
      <c r="AI35" s="82">
        <f t="shared" ca="1" si="15"/>
        <v>100</v>
      </c>
      <c r="AJ35" s="81">
        <f ca="1">IFERROR(__xludf.DUMMYFUNCTION("IMPORTRANGE(""https://docs.google.com/spreadsheets/d/1EXMBoBxU3OFbjT2TRpneM33qFjqDzrKmn9ydcflfI0o/edit?usp=sharing"",""นครพนม!I441"")"),0)</f>
        <v>0</v>
      </c>
      <c r="AK35" s="81">
        <f ca="1">IFERROR(__xludf.DUMMYFUNCTION("IMPORTRANGE(""https://docs.google.com/spreadsheets/d/1EXMBoBxU3OFbjT2TRpneM33qFjqDzrKmn9ydcflfI0o/edit?usp=sharing"",""นครพนม!J441"")"),0)</f>
        <v>0</v>
      </c>
      <c r="AL35" s="82">
        <f t="shared" ca="1" si="29"/>
        <v>0</v>
      </c>
    </row>
    <row r="36" spans="1:38" ht="21" customHeight="1" x14ac:dyDescent="0.2">
      <c r="A36" s="72">
        <v>5</v>
      </c>
      <c r="B36" s="73" t="s">
        <v>53</v>
      </c>
      <c r="C36" s="74">
        <f t="shared" ca="1" si="47"/>
        <v>238260</v>
      </c>
      <c r="D36" s="75">
        <f ca="1">IFERROR(__xludf.DUMMYFUNCTION("IMPORTRANGE(""https://docs.google.com/spreadsheets/d/1bDQrolntRWtHumK8W-x-HXKntwxB9S3sF5aDeRS66Ko/edit?usp=sharing"",""นครราชสีมา!L424"")"),238260)</f>
        <v>238260</v>
      </c>
      <c r="E36" s="76">
        <f ca="1">IFERROR(__xludf.DUMMYFUNCTION("IMPORTRANGE(""https://docs.google.com/spreadsheets/d/1bDQrolntRWtHumK8W-x-HXKntwxB9S3sF5aDeRS66Ko/edit?usp=sharing"",""นครราชสีมา!L431"")"),0)</f>
        <v>0</v>
      </c>
      <c r="F36" s="77">
        <f t="shared" ca="1" si="1"/>
        <v>44570</v>
      </c>
      <c r="G36" s="78">
        <f t="shared" ca="1" si="2"/>
        <v>18.706455133047932</v>
      </c>
      <c r="H36" s="79">
        <f t="shared" ca="1" si="48"/>
        <v>44570</v>
      </c>
      <c r="I36" s="76">
        <f ca="1">IFERROR(__xludf.DUMMYFUNCTION("IMPORTRANGE(""https://docs.google.com/spreadsheets/d/1bDQrolntRWtHumK8W-x-HXKntwxB9S3sF5aDeRS66Ko/edit?usp=sharing"",""นครราชสีมา!N425"")"),23340)</f>
        <v>23340</v>
      </c>
      <c r="J36" s="76">
        <f ca="1">IFERROR(__xludf.DUMMYFUNCTION("IMPORTRANGE(""https://docs.google.com/spreadsheets/d/1bDQrolntRWtHumK8W-x-HXKntwxB9S3sF5aDeRS66Ko/edit?usp=sharing"",""นครราชสีมา!N426"")"),0)</f>
        <v>0</v>
      </c>
      <c r="K36" s="76">
        <f ca="1">IFERROR(__xludf.DUMMYFUNCTION("IMPORTRANGE(""https://docs.google.com/spreadsheets/d/1bDQrolntRWtHumK8W-x-HXKntwxB9S3sF5aDeRS66Ko/edit?usp=sharing"",""นครราชสีมา!N427"")"),0)</f>
        <v>0</v>
      </c>
      <c r="L36" s="76">
        <f ca="1">IFERROR(__xludf.DUMMYFUNCTION("IMPORTRANGE(""https://docs.google.com/spreadsheets/d/1bDQrolntRWtHumK8W-x-HXKntwxB9S3sF5aDeRS66Ko/edit?usp=sharing"",""นครราชสีมา!N428"")"),21230)</f>
        <v>21230</v>
      </c>
      <c r="M36" s="80">
        <f ca="1">IFERROR(__xludf.DUMMYFUNCTION("IMPORTRANGE(""https://docs.google.com/spreadsheets/d/1bDQrolntRWtHumK8W-x-HXKntwxB9S3sF5aDeRS66Ko/edit?usp=sharing"",""นครราชสีมา!N431"")"),0)</f>
        <v>0</v>
      </c>
      <c r="N36" s="80">
        <f t="shared" ca="1" si="32"/>
        <v>0</v>
      </c>
      <c r="O36" s="81">
        <f ca="1">IFERROR(__xludf.DUMMYFUNCTION("IMPORTRANGE(""https://docs.google.com/spreadsheets/d/1bDQrolntRWtHumK8W-x-HXKntwxB9S3sF5aDeRS66Ko/edit?usp=sharing"",""นครราชสีมา!I433"")"),70)</f>
        <v>70</v>
      </c>
      <c r="P36" s="81">
        <f ca="1">IFERROR(__xludf.DUMMYFUNCTION("IMPORTRANGE(""https://docs.google.com/spreadsheets/d/1bDQrolntRWtHumK8W-x-HXKntwxB9S3sF5aDeRS66Ko/edit?usp=sharing"",""นครราชสีมา!I434"")"),2)</f>
        <v>2</v>
      </c>
      <c r="Q36" s="81">
        <f ca="1">IFERROR(__xludf.DUMMYFUNCTION("IMPORTRANGE(""https://docs.google.com/spreadsheets/d/1bDQrolntRWtHumK8W-x-HXKntwxB9S3sF5aDeRS66Ko/edit?usp=sharing"",""นครราชสีมา!J433"")"),0)</f>
        <v>0</v>
      </c>
      <c r="R36" s="82">
        <f t="shared" ca="1" si="25"/>
        <v>0</v>
      </c>
      <c r="S36" s="81">
        <f ca="1">IFERROR(__xludf.DUMMYFUNCTION("IMPORTRANGE(""https://docs.google.com/spreadsheets/d/1bDQrolntRWtHumK8W-x-HXKntwxB9S3sF5aDeRS66Ko/edit?usp=sharing"",""นครราชสีมา!J434"")"),0)</f>
        <v>0</v>
      </c>
      <c r="T36" s="82">
        <f t="shared" ca="1" si="7"/>
        <v>0</v>
      </c>
      <c r="U36" s="81">
        <f ca="1">IFERROR(__xludf.DUMMYFUNCTION("IMPORTRANGE(""https://docs.google.com/spreadsheets/d/1bDQrolntRWtHumK8W-x-HXKntwxB9S3sF5aDeRS66Ko/edit?usp=sharing"",""นครราชสีมา!I435"")"),70)</f>
        <v>70</v>
      </c>
      <c r="V36" s="81">
        <f ca="1">IFERROR(__xludf.DUMMYFUNCTION("IMPORTRANGE(""https://docs.google.com/spreadsheets/d/1bDQrolntRWtHumK8W-x-HXKntwxB9S3sF5aDeRS66Ko/edit?usp=sharing"",""นครราชสีมา!J435"")"),70)</f>
        <v>70</v>
      </c>
      <c r="W36" s="82">
        <f t="shared" ca="1" si="26"/>
        <v>100</v>
      </c>
      <c r="X36" s="81">
        <f ca="1">IFERROR(__xludf.DUMMYFUNCTION("IMPORTRANGE(""https://docs.google.com/spreadsheets/d/1bDQrolntRWtHumK8W-x-HXKntwxB9S3sF5aDeRS66Ko/edit?usp=sharing"",""นครราชสีมา!I437"")"),50)</f>
        <v>50</v>
      </c>
      <c r="Y36" s="81">
        <f ca="1">IFERROR(__xludf.DUMMYFUNCTION("IMPORTRANGE(""https://docs.google.com/spreadsheets/d/1bDQrolntRWtHumK8W-x-HXKntwxB9S3sF5aDeRS66Ko/edit?usp=sharing"",""นครราชสีมา!I438"")"),1)</f>
        <v>1</v>
      </c>
      <c r="Z36" s="81">
        <f ca="1">IFERROR(__xludf.DUMMYFUNCTION("IMPORTRANGE(""https://docs.google.com/spreadsheets/d/1bDQrolntRWtHumK8W-x-HXKntwxB9S3sF5aDeRS66Ko/edit?usp=sharing"",""นครราชสีมา!J437"")"),0)</f>
        <v>0</v>
      </c>
      <c r="AA36" s="82">
        <f t="shared" ca="1" si="27"/>
        <v>0</v>
      </c>
      <c r="AB36" s="81">
        <f ca="1">IFERROR(__xludf.DUMMYFUNCTION("IMPORTRANGE(""https://docs.google.com/spreadsheets/d/1bDQrolntRWtHumK8W-x-HXKntwxB9S3sF5aDeRS66Ko/edit?usp=sharing"",""นครราชสีมา!J438"")"),0)</f>
        <v>0</v>
      </c>
      <c r="AC36" s="82">
        <f t="shared" ca="1" si="12"/>
        <v>0</v>
      </c>
      <c r="AD36" s="81">
        <f ca="1">IFERROR(__xludf.DUMMYFUNCTION("IMPORTRANGE(""https://docs.google.com/spreadsheets/d/1bDQrolntRWtHumK8W-x-HXKntwxB9S3sF5aDeRS66Ko/edit?usp=sharing"",""นครราชสีมา!I439"")"),20)</f>
        <v>20</v>
      </c>
      <c r="AE36" s="81">
        <f ca="1">IFERROR(__xludf.DUMMYFUNCTION("IMPORTRANGE(""https://docs.google.com/spreadsheets/d/1bDQrolntRWtHumK8W-x-HXKntwxB9S3sF5aDeRS66Ko/edit?usp=sharing"",""นครราชสีมา!I440"")"),1)</f>
        <v>1</v>
      </c>
      <c r="AF36" s="81">
        <f ca="1">IFERROR(__xludf.DUMMYFUNCTION("IMPORTRANGE(""https://docs.google.com/spreadsheets/d/1bDQrolntRWtHumK8W-x-HXKntwxB9S3sF5aDeRS66Ko/edit?usp=sharing"",""นครราชสีมา!J439"")"),0)</f>
        <v>0</v>
      </c>
      <c r="AG36" s="82">
        <f t="shared" ca="1" si="28"/>
        <v>0</v>
      </c>
      <c r="AH36" s="81">
        <f ca="1">IFERROR(__xludf.DUMMYFUNCTION("IMPORTRANGE(""https://docs.google.com/spreadsheets/d/1bDQrolntRWtHumK8W-x-HXKntwxB9S3sF5aDeRS66Ko/edit?usp=sharing"",""นครราชสีมา!J440"")"),0)</f>
        <v>0</v>
      </c>
      <c r="AI36" s="82">
        <f t="shared" ca="1" si="15"/>
        <v>0</v>
      </c>
      <c r="AJ36" s="81">
        <f ca="1">IFERROR(__xludf.DUMMYFUNCTION("IMPORTRANGE(""https://docs.google.com/spreadsheets/d/1bDQrolntRWtHumK8W-x-HXKntwxB9S3sF5aDeRS66Ko/edit?usp=sharing"",""นครราชสีมา!I441"")"),0)</f>
        <v>0</v>
      </c>
      <c r="AK36" s="81">
        <f ca="1">IFERROR(__xludf.DUMMYFUNCTION("IMPORTRANGE(""https://docs.google.com/spreadsheets/d/1bDQrolntRWtHumK8W-x-HXKntwxB9S3sF5aDeRS66Ko/edit?usp=sharing"",""นครราชสีมา!J441"")"),0)</f>
        <v>0</v>
      </c>
      <c r="AL36" s="82">
        <f t="shared" ca="1" si="29"/>
        <v>0</v>
      </c>
    </row>
    <row r="37" spans="1:38" ht="21" customHeight="1" x14ac:dyDescent="0.2">
      <c r="A37" s="72">
        <v>6</v>
      </c>
      <c r="B37" s="73" t="s">
        <v>54</v>
      </c>
      <c r="C37" s="74">
        <f t="shared" ca="1" si="47"/>
        <v>66760</v>
      </c>
      <c r="D37" s="75">
        <f ca="1">IFERROR(__xludf.DUMMYFUNCTION("IMPORTRANGE(""https://docs.google.com/spreadsheets/d/1_MzZ-2gVPiCW-d2VcafoCmFJQTSrZ6SQyFcMqRRQQ2w/edit?usp=sharing"",""บึงกาฬ!L424"")"),66760)</f>
        <v>66760</v>
      </c>
      <c r="E37" s="76">
        <f ca="1">IFERROR(__xludf.DUMMYFUNCTION("IMPORTRANGE(""https://docs.google.com/spreadsheets/d/1_MzZ-2gVPiCW-d2VcafoCmFJQTSrZ6SQyFcMqRRQQ2w/edit?usp=sharing"",""บึงกาฬ!L431"")"),0)</f>
        <v>0</v>
      </c>
      <c r="F37" s="77">
        <f t="shared" ca="1" si="1"/>
        <v>44300</v>
      </c>
      <c r="G37" s="78">
        <f t="shared" ca="1" si="2"/>
        <v>66.357100059916121</v>
      </c>
      <c r="H37" s="79">
        <f t="shared" ca="1" si="48"/>
        <v>44300</v>
      </c>
      <c r="I37" s="76">
        <f ca="1">IFERROR(__xludf.DUMMYFUNCTION("IMPORTRANGE(""https://docs.google.com/spreadsheets/d/1_MzZ-2gVPiCW-d2VcafoCmFJQTSrZ6SQyFcMqRRQQ2w/edit?usp=sharing"",""บึงกาฬ!N425"")"),44300)</f>
        <v>44300</v>
      </c>
      <c r="J37" s="76">
        <f ca="1">IFERROR(__xludf.DUMMYFUNCTION("IMPORTRANGE(""https://docs.google.com/spreadsheets/d/1_MzZ-2gVPiCW-d2VcafoCmFJQTSrZ6SQyFcMqRRQQ2w/edit?usp=sharing"",""บึงกาฬ!N426"")"),0)</f>
        <v>0</v>
      </c>
      <c r="K37" s="76">
        <f ca="1">IFERROR(__xludf.DUMMYFUNCTION("IMPORTRANGE(""https://docs.google.com/spreadsheets/d/1_MzZ-2gVPiCW-d2VcafoCmFJQTSrZ6SQyFcMqRRQQ2w/edit?usp=sharing"",""บึงกาฬ!N427"")"),0)</f>
        <v>0</v>
      </c>
      <c r="L37" s="76">
        <f ca="1">IFERROR(__xludf.DUMMYFUNCTION("IMPORTRANGE(""https://docs.google.com/spreadsheets/d/1_MzZ-2gVPiCW-d2VcafoCmFJQTSrZ6SQyFcMqRRQQ2w/edit?usp=sharing"",""บึงกาฬ!N428"")"),0)</f>
        <v>0</v>
      </c>
      <c r="M37" s="80">
        <f ca="1">IFERROR(__xludf.DUMMYFUNCTION("IMPORTRANGE(""https://docs.google.com/spreadsheets/d/1_MzZ-2gVPiCW-d2VcafoCmFJQTSrZ6SQyFcMqRRQQ2w/edit?usp=sharing"",""บึงกาฬ!N431"")"),0)</f>
        <v>0</v>
      </c>
      <c r="N37" s="80">
        <f t="shared" ca="1" si="32"/>
        <v>0</v>
      </c>
      <c r="O37" s="81">
        <f ca="1">IFERROR(__xludf.DUMMYFUNCTION("IMPORTRANGE(""https://docs.google.com/spreadsheets/d/1_MzZ-2gVPiCW-d2VcafoCmFJQTSrZ6SQyFcMqRRQQ2w/edit?usp=sharing"",""บึงกาฬ!I433"")"),15)</f>
        <v>15</v>
      </c>
      <c r="P37" s="81">
        <f ca="1">IFERROR(__xludf.DUMMYFUNCTION("IMPORTRANGE(""https://docs.google.com/spreadsheets/d/1_MzZ-2gVPiCW-d2VcafoCmFJQTSrZ6SQyFcMqRRQQ2w/edit?usp=sharing"",""บึงกาฬ!I434"")"),1)</f>
        <v>1</v>
      </c>
      <c r="Q37" s="81">
        <f ca="1">IFERROR(__xludf.DUMMYFUNCTION("IMPORTRANGE(""https://docs.google.com/spreadsheets/d/1_MzZ-2gVPiCW-d2VcafoCmFJQTSrZ6SQyFcMqRRQQ2w/edit?usp=sharing"",""บึงกาฬ!J433"")"),15)</f>
        <v>15</v>
      </c>
      <c r="R37" s="82">
        <f t="shared" ca="1" si="25"/>
        <v>100</v>
      </c>
      <c r="S37" s="81">
        <f ca="1">IFERROR(__xludf.DUMMYFUNCTION("IMPORTRANGE(""https://docs.google.com/spreadsheets/d/1_MzZ-2gVPiCW-d2VcafoCmFJQTSrZ6SQyFcMqRRQQ2w/edit?usp=sharing"",""บึงกาฬ!J434"")"),1)</f>
        <v>1</v>
      </c>
      <c r="T37" s="82">
        <f t="shared" ca="1" si="7"/>
        <v>100</v>
      </c>
      <c r="U37" s="81">
        <f ca="1">IFERROR(__xludf.DUMMYFUNCTION("IMPORTRANGE(""https://docs.google.com/spreadsheets/d/1_MzZ-2gVPiCW-d2VcafoCmFJQTSrZ6SQyFcMqRRQQ2w/edit?usp=sharing"",""บึงกาฬ!I435"")"),15)</f>
        <v>15</v>
      </c>
      <c r="V37" s="81">
        <f ca="1">IFERROR(__xludf.DUMMYFUNCTION("IMPORTRANGE(""https://docs.google.com/spreadsheets/d/1_MzZ-2gVPiCW-d2VcafoCmFJQTSrZ6SQyFcMqRRQQ2w/edit?usp=sharing"",""บึงกาฬ!J435"")"),15)</f>
        <v>15</v>
      </c>
      <c r="W37" s="82">
        <f t="shared" ca="1" si="26"/>
        <v>100</v>
      </c>
      <c r="X37" s="81">
        <f ca="1">IFERROR(__xludf.DUMMYFUNCTION("IMPORTRANGE(""https://docs.google.com/spreadsheets/d/1_MzZ-2gVPiCW-d2VcafoCmFJQTSrZ6SQyFcMqRRQQ2w/edit?usp=sharing"",""บึงกาฬ!I437"")"),0)</f>
        <v>0</v>
      </c>
      <c r="Y37" s="81">
        <f ca="1">IFERROR(__xludf.DUMMYFUNCTION("IMPORTRANGE(""https://docs.google.com/spreadsheets/d/1_MzZ-2gVPiCW-d2VcafoCmFJQTSrZ6SQyFcMqRRQQ2w/edit?usp=sharing"",""บึงกาฬ!I438"")"),0)</f>
        <v>0</v>
      </c>
      <c r="Z37" s="81">
        <f ca="1">IFERROR(__xludf.DUMMYFUNCTION("IMPORTRANGE(""https://docs.google.com/spreadsheets/d/1_MzZ-2gVPiCW-d2VcafoCmFJQTSrZ6SQyFcMqRRQQ2w/edit?usp=sharing"",""บึงกาฬ!J437"")"),0)</f>
        <v>0</v>
      </c>
      <c r="AA37" s="82">
        <f t="shared" ca="1" si="27"/>
        <v>0</v>
      </c>
      <c r="AB37" s="81">
        <f ca="1">IFERROR(__xludf.DUMMYFUNCTION("IMPORTRANGE(""https://docs.google.com/spreadsheets/d/1_MzZ-2gVPiCW-d2VcafoCmFJQTSrZ6SQyFcMqRRQQ2w/edit?usp=sharing"",""บึงกาฬ!J438"")"),0)</f>
        <v>0</v>
      </c>
      <c r="AC37" s="82">
        <f t="shared" ca="1" si="12"/>
        <v>0</v>
      </c>
      <c r="AD37" s="81">
        <f ca="1">IFERROR(__xludf.DUMMYFUNCTION("IMPORTRANGE(""https://docs.google.com/spreadsheets/d/1_MzZ-2gVPiCW-d2VcafoCmFJQTSrZ6SQyFcMqRRQQ2w/edit?usp=sharing"",""บึงกาฬ!I439"")"),15)</f>
        <v>15</v>
      </c>
      <c r="AE37" s="81">
        <f ca="1">IFERROR(__xludf.DUMMYFUNCTION("IMPORTRANGE(""https://docs.google.com/spreadsheets/d/1_MzZ-2gVPiCW-d2VcafoCmFJQTSrZ6SQyFcMqRRQQ2w/edit?usp=sharing"",""บึงกาฬ!I440"")"),1)</f>
        <v>1</v>
      </c>
      <c r="AF37" s="81">
        <f ca="1">IFERROR(__xludf.DUMMYFUNCTION("IMPORTRANGE(""https://docs.google.com/spreadsheets/d/1_MzZ-2gVPiCW-d2VcafoCmFJQTSrZ6SQyFcMqRRQQ2w/edit?usp=sharing"",""บึงกาฬ!J439"")"),15)</f>
        <v>15</v>
      </c>
      <c r="AG37" s="82">
        <f t="shared" ca="1" si="28"/>
        <v>100</v>
      </c>
      <c r="AH37" s="81">
        <f ca="1">IFERROR(__xludf.DUMMYFUNCTION("IMPORTRANGE(""https://docs.google.com/spreadsheets/d/1_MzZ-2gVPiCW-d2VcafoCmFJQTSrZ6SQyFcMqRRQQ2w/edit?usp=sharing"",""บึงกาฬ!J440"")"),1)</f>
        <v>1</v>
      </c>
      <c r="AI37" s="82">
        <f t="shared" ca="1" si="15"/>
        <v>100</v>
      </c>
      <c r="AJ37" s="81">
        <f ca="1">IFERROR(__xludf.DUMMYFUNCTION("IMPORTRANGE(""https://docs.google.com/spreadsheets/d/1_MzZ-2gVPiCW-d2VcafoCmFJQTSrZ6SQyFcMqRRQQ2w/edit?usp=sharing"",""บึงกาฬ!I441"")"),0)</f>
        <v>0</v>
      </c>
      <c r="AK37" s="81">
        <f ca="1">IFERROR(__xludf.DUMMYFUNCTION("IMPORTRANGE(""https://docs.google.com/spreadsheets/d/1_MzZ-2gVPiCW-d2VcafoCmFJQTSrZ6SQyFcMqRRQQ2w/edit?usp=sharing"",""บึงกาฬ!J441"")"),0)</f>
        <v>0</v>
      </c>
      <c r="AL37" s="82">
        <f t="shared" ca="1" si="29"/>
        <v>0</v>
      </c>
    </row>
    <row r="38" spans="1:38" ht="21" customHeight="1" x14ac:dyDescent="0.2">
      <c r="A38" s="72">
        <v>7</v>
      </c>
      <c r="B38" s="73" t="s">
        <v>55</v>
      </c>
      <c r="C38" s="74">
        <f t="shared" ca="1" si="47"/>
        <v>79660</v>
      </c>
      <c r="D38" s="75">
        <f ca="1">IFERROR(__xludf.DUMMYFUNCTION("IMPORTRANGE(""https://docs.google.com/spreadsheets/d/1B3lPpzOuaNwVItLwLEZYl_qEblfcx7dRnbRkAw0l-pE/edit?usp=sharing"",""บุรีรัมย์!L424"")"),79660)</f>
        <v>79660</v>
      </c>
      <c r="E38" s="76">
        <f ca="1">IFERROR(__xludf.DUMMYFUNCTION("IMPORTRANGE(""https://docs.google.com/spreadsheets/d/1B3lPpzOuaNwVItLwLEZYl_qEblfcx7dRnbRkAw0l-pE/edit?usp=sharing"",""บุรีรัมย์!L431"")"),0)</f>
        <v>0</v>
      </c>
      <c r="F38" s="77">
        <f t="shared" ca="1" si="1"/>
        <v>23300</v>
      </c>
      <c r="G38" s="78">
        <f t="shared" ca="1" si="2"/>
        <v>29.249309565654031</v>
      </c>
      <c r="H38" s="79">
        <f t="shared" ca="1" si="48"/>
        <v>23300</v>
      </c>
      <c r="I38" s="76">
        <f ca="1">IFERROR(__xludf.DUMMYFUNCTION("IMPORTRANGE(""https://docs.google.com/spreadsheets/d/1B3lPpzOuaNwVItLwLEZYl_qEblfcx7dRnbRkAw0l-pE/edit?usp=sharing"",""บุรีรัมย์!N425"")"),22800)</f>
        <v>22800</v>
      </c>
      <c r="J38" s="76">
        <f ca="1">IFERROR(__xludf.DUMMYFUNCTION("IMPORTRANGE(""https://docs.google.com/spreadsheets/d/1B3lPpzOuaNwVItLwLEZYl_qEblfcx7dRnbRkAw0l-pE/edit?usp=sharing"",""บุรีรัมย์!N426"")"),0)</f>
        <v>0</v>
      </c>
      <c r="K38" s="76">
        <f ca="1">IFERROR(__xludf.DUMMYFUNCTION("IMPORTRANGE(""https://docs.google.com/spreadsheets/d/1B3lPpzOuaNwVItLwLEZYl_qEblfcx7dRnbRkAw0l-pE/edit?usp=sharing"",""บุรีรัมย์!N427"")"),0)</f>
        <v>0</v>
      </c>
      <c r="L38" s="76">
        <f ca="1">IFERROR(__xludf.DUMMYFUNCTION("IMPORTRANGE(""https://docs.google.com/spreadsheets/d/1B3lPpzOuaNwVItLwLEZYl_qEblfcx7dRnbRkAw0l-pE/edit?usp=sharing"",""บุรีรัมย์!N428"")"),500)</f>
        <v>500</v>
      </c>
      <c r="M38" s="80">
        <f ca="1">IFERROR(__xludf.DUMMYFUNCTION("IMPORTRANGE(""https://docs.google.com/spreadsheets/d/1B3lPpzOuaNwVItLwLEZYl_qEblfcx7dRnbRkAw0l-pE/edit?usp=sharing"",""บุรีรัมย์!N431"")"),0)</f>
        <v>0</v>
      </c>
      <c r="N38" s="80">
        <f t="shared" ca="1" si="32"/>
        <v>0</v>
      </c>
      <c r="O38" s="81">
        <f ca="1">IFERROR(__xludf.DUMMYFUNCTION("IMPORTRANGE(""https://docs.google.com/spreadsheets/d/1B3lPpzOuaNwVItLwLEZYl_qEblfcx7dRnbRkAw0l-pE/edit?usp=sharing"",""บุรีรัมย์!I433"")"),20)</f>
        <v>20</v>
      </c>
      <c r="P38" s="81">
        <f ca="1">IFERROR(__xludf.DUMMYFUNCTION("IMPORTRANGE(""https://docs.google.com/spreadsheets/d/1B3lPpzOuaNwVItLwLEZYl_qEblfcx7dRnbRkAw0l-pE/edit?usp=sharing"",""บุรีรัมย์!I434"")"),1)</f>
        <v>1</v>
      </c>
      <c r="Q38" s="81">
        <f ca="1">IFERROR(__xludf.DUMMYFUNCTION("IMPORTRANGE(""https://docs.google.com/spreadsheets/d/1B3lPpzOuaNwVItLwLEZYl_qEblfcx7dRnbRkAw0l-pE/edit?usp=sharing"",""บุรีรัมย์!J433"")"),20)</f>
        <v>20</v>
      </c>
      <c r="R38" s="82">
        <f t="shared" ca="1" si="25"/>
        <v>100</v>
      </c>
      <c r="S38" s="81">
        <f ca="1">IFERROR(__xludf.DUMMYFUNCTION("IMPORTRANGE(""https://docs.google.com/spreadsheets/d/1B3lPpzOuaNwVItLwLEZYl_qEblfcx7dRnbRkAw0l-pE/edit?usp=sharing"",""บุรีรัมย์!J434"")"),1)</f>
        <v>1</v>
      </c>
      <c r="T38" s="82">
        <f t="shared" ca="1" si="7"/>
        <v>100</v>
      </c>
      <c r="U38" s="81">
        <f ca="1">IFERROR(__xludf.DUMMYFUNCTION("IMPORTRANGE(""https://docs.google.com/spreadsheets/d/1B3lPpzOuaNwVItLwLEZYl_qEblfcx7dRnbRkAw0l-pE/edit?usp=sharing"",""บุรีรัมย์!I435"")"),20)</f>
        <v>20</v>
      </c>
      <c r="V38" s="81">
        <f ca="1">IFERROR(__xludf.DUMMYFUNCTION("IMPORTRANGE(""https://docs.google.com/spreadsheets/d/1B3lPpzOuaNwVItLwLEZYl_qEblfcx7dRnbRkAw0l-pE/edit?usp=sharing"",""บุรีรัมย์!J435"")"),20)</f>
        <v>20</v>
      </c>
      <c r="W38" s="82">
        <f t="shared" ca="1" si="26"/>
        <v>100</v>
      </c>
      <c r="X38" s="81">
        <f ca="1">IFERROR(__xludf.DUMMYFUNCTION("IMPORTRANGE(""https://docs.google.com/spreadsheets/d/1B3lPpzOuaNwVItLwLEZYl_qEblfcx7dRnbRkAw0l-pE/edit?usp=sharing"",""บุรีรัมย์!I437"")"),0)</f>
        <v>0</v>
      </c>
      <c r="Y38" s="81">
        <f ca="1">IFERROR(__xludf.DUMMYFUNCTION("IMPORTRANGE(""https://docs.google.com/spreadsheets/d/1B3lPpzOuaNwVItLwLEZYl_qEblfcx7dRnbRkAw0l-pE/edit?usp=sharing"",""บุรีรัมย์!I438"")"),0)</f>
        <v>0</v>
      </c>
      <c r="Z38" s="81">
        <f ca="1">IFERROR(__xludf.DUMMYFUNCTION("IMPORTRANGE(""https://docs.google.com/spreadsheets/d/1B3lPpzOuaNwVItLwLEZYl_qEblfcx7dRnbRkAw0l-pE/edit?usp=sharing"",""บุรีรัมย์!J437"")"),0)</f>
        <v>0</v>
      </c>
      <c r="AA38" s="82">
        <f t="shared" ca="1" si="27"/>
        <v>0</v>
      </c>
      <c r="AB38" s="81">
        <f ca="1">IFERROR(__xludf.DUMMYFUNCTION("IMPORTRANGE(""https://docs.google.com/spreadsheets/d/1B3lPpzOuaNwVItLwLEZYl_qEblfcx7dRnbRkAw0l-pE/edit?usp=sharing"",""บุรีรัมย์!J438"")"),0)</f>
        <v>0</v>
      </c>
      <c r="AC38" s="82">
        <f t="shared" ca="1" si="12"/>
        <v>0</v>
      </c>
      <c r="AD38" s="81">
        <f ca="1">IFERROR(__xludf.DUMMYFUNCTION("IMPORTRANGE(""https://docs.google.com/spreadsheets/d/1B3lPpzOuaNwVItLwLEZYl_qEblfcx7dRnbRkAw0l-pE/edit?usp=sharing"",""บุรีรัมย์!I439"")"),20)</f>
        <v>20</v>
      </c>
      <c r="AE38" s="81">
        <f ca="1">IFERROR(__xludf.DUMMYFUNCTION("IMPORTRANGE(""https://docs.google.com/spreadsheets/d/1B3lPpzOuaNwVItLwLEZYl_qEblfcx7dRnbRkAw0l-pE/edit?usp=sharing"",""บุรีรัมย์!I440"")"),1)</f>
        <v>1</v>
      </c>
      <c r="AF38" s="81">
        <f ca="1">IFERROR(__xludf.DUMMYFUNCTION("IMPORTRANGE(""https://docs.google.com/spreadsheets/d/1B3lPpzOuaNwVItLwLEZYl_qEblfcx7dRnbRkAw0l-pE/edit?usp=sharing"",""บุรีรัมย์!J439"")"),20)</f>
        <v>20</v>
      </c>
      <c r="AG38" s="82">
        <f t="shared" ca="1" si="28"/>
        <v>100</v>
      </c>
      <c r="AH38" s="81">
        <f ca="1">IFERROR(__xludf.DUMMYFUNCTION("IMPORTRANGE(""https://docs.google.com/spreadsheets/d/1B3lPpzOuaNwVItLwLEZYl_qEblfcx7dRnbRkAw0l-pE/edit?usp=sharing"",""บุรีรัมย์!J440"")"),1)</f>
        <v>1</v>
      </c>
      <c r="AI38" s="82">
        <f t="shared" ca="1" si="15"/>
        <v>100</v>
      </c>
      <c r="AJ38" s="81">
        <f ca="1">IFERROR(__xludf.DUMMYFUNCTION("IMPORTRANGE(""https://docs.google.com/spreadsheets/d/1B3lPpzOuaNwVItLwLEZYl_qEblfcx7dRnbRkAw0l-pE/edit?usp=sharing"",""บุรีรัมย์!I441"")"),0)</f>
        <v>0</v>
      </c>
      <c r="AK38" s="81">
        <f ca="1">IFERROR(__xludf.DUMMYFUNCTION("IMPORTRANGE(""https://docs.google.com/spreadsheets/d/1B3lPpzOuaNwVItLwLEZYl_qEblfcx7dRnbRkAw0l-pE/edit?usp=sharing"",""บุรีรัมย์!J441"")"),0)</f>
        <v>0</v>
      </c>
      <c r="AL38" s="82">
        <f t="shared" ca="1" si="29"/>
        <v>0</v>
      </c>
    </row>
    <row r="39" spans="1:38" ht="21" customHeight="1" x14ac:dyDescent="0.2">
      <c r="A39" s="72">
        <v>8</v>
      </c>
      <c r="B39" s="73" t="s">
        <v>56</v>
      </c>
      <c r="C39" s="74">
        <f t="shared" ca="1" si="47"/>
        <v>98560</v>
      </c>
      <c r="D39" s="75">
        <f ca="1">IFERROR(__xludf.DUMMYFUNCTION("IMPORTRANGE(""https://docs.google.com/spreadsheets/d/19GOkiOqnzYbevLYWrMk4qFOXe3rX14BkSA8X-mq-a40/edit?usp=sharing"",""มหาสารคาม!L424"")"),98560)</f>
        <v>98560</v>
      </c>
      <c r="E39" s="76">
        <f ca="1">IFERROR(__xludf.DUMMYFUNCTION("IMPORTRANGE(""https://docs.google.com/spreadsheets/d/19GOkiOqnzYbevLYWrMk4qFOXe3rX14BkSA8X-mq-a40/edit?usp=sharing"",""มหาสารคาม!L431"")"),0)</f>
        <v>0</v>
      </c>
      <c r="F39" s="77">
        <f t="shared" ca="1" si="1"/>
        <v>75276</v>
      </c>
      <c r="G39" s="78">
        <f t="shared" ca="1" si="2"/>
        <v>76.375811688311686</v>
      </c>
      <c r="H39" s="79">
        <f t="shared" ca="1" si="48"/>
        <v>75276</v>
      </c>
      <c r="I39" s="76">
        <f ca="1">IFERROR(__xludf.DUMMYFUNCTION("IMPORTRANGE(""https://docs.google.com/spreadsheets/d/19GOkiOqnzYbevLYWrMk4qFOXe3rX14BkSA8X-mq-a40/edit?usp=sharing"",""มหาสารคาม!N425"")"),70556)</f>
        <v>70556</v>
      </c>
      <c r="J39" s="76">
        <f ca="1">IFERROR(__xludf.DUMMYFUNCTION("IMPORTRANGE(""https://docs.google.com/spreadsheets/d/19GOkiOqnzYbevLYWrMk4qFOXe3rX14BkSA8X-mq-a40/edit?usp=sharing"",""มหาสารคาม!N426"")"),0)</f>
        <v>0</v>
      </c>
      <c r="K39" s="76">
        <f ca="1">IFERROR(__xludf.DUMMYFUNCTION("IMPORTRANGE(""https://docs.google.com/spreadsheets/d/19GOkiOqnzYbevLYWrMk4qFOXe3rX14BkSA8X-mq-a40/edit?usp=sharing"",""มหาสารคาม!N427"")"),0)</f>
        <v>0</v>
      </c>
      <c r="L39" s="76">
        <f ca="1">IFERROR(__xludf.DUMMYFUNCTION("IMPORTRANGE(""https://docs.google.com/spreadsheets/d/19GOkiOqnzYbevLYWrMk4qFOXe3rX14BkSA8X-mq-a40/edit?usp=sharing"",""มหาสารคาม!N428"")"),4720)</f>
        <v>4720</v>
      </c>
      <c r="M39" s="80">
        <f ca="1">IFERROR(__xludf.DUMMYFUNCTION("IMPORTRANGE(""https://docs.google.com/spreadsheets/d/19GOkiOqnzYbevLYWrMk4qFOXe3rX14BkSA8X-mq-a40/edit?usp=sharing"",""มหาสารคาม!N431"")"),0)</f>
        <v>0</v>
      </c>
      <c r="N39" s="80">
        <f t="shared" ca="1" si="32"/>
        <v>0</v>
      </c>
      <c r="O39" s="81">
        <f ca="1">IFERROR(__xludf.DUMMYFUNCTION("IMPORTRANGE(""https://docs.google.com/spreadsheets/d/19GOkiOqnzYbevLYWrMk4qFOXe3rX14BkSA8X-mq-a40/edit?usp=sharing"",""มหาสารคาม!I433"")"),20)</f>
        <v>20</v>
      </c>
      <c r="P39" s="81">
        <f ca="1">IFERROR(__xludf.DUMMYFUNCTION("IMPORTRANGE(""https://docs.google.com/spreadsheets/d/19GOkiOqnzYbevLYWrMk4qFOXe3rX14BkSA8X-mq-a40/edit?usp=sharing"",""มหาสารคาม!I434"")"),1)</f>
        <v>1</v>
      </c>
      <c r="Q39" s="81">
        <f ca="1">IFERROR(__xludf.DUMMYFUNCTION("IMPORTRANGE(""https://docs.google.com/spreadsheets/d/19GOkiOqnzYbevLYWrMk4qFOXe3rX14BkSA8X-mq-a40/edit?usp=sharing"",""มหาสารคาม!J433"")"),0)</f>
        <v>0</v>
      </c>
      <c r="R39" s="82">
        <f t="shared" ca="1" si="25"/>
        <v>0</v>
      </c>
      <c r="S39" s="81">
        <f ca="1">IFERROR(__xludf.DUMMYFUNCTION("IMPORTRANGE(""https://docs.google.com/spreadsheets/d/19GOkiOqnzYbevLYWrMk4qFOXe3rX14BkSA8X-mq-a40/edit?usp=sharing"",""มหาสารคาม!J434"")"),0)</f>
        <v>0</v>
      </c>
      <c r="T39" s="82">
        <f t="shared" ca="1" si="7"/>
        <v>0</v>
      </c>
      <c r="U39" s="81">
        <f ca="1">IFERROR(__xludf.DUMMYFUNCTION("IMPORTRANGE(""https://docs.google.com/spreadsheets/d/19GOkiOqnzYbevLYWrMk4qFOXe3rX14BkSA8X-mq-a40/edit?usp=sharing"",""มหาสารคาม!I435"")"),20)</f>
        <v>20</v>
      </c>
      <c r="V39" s="81">
        <f ca="1">IFERROR(__xludf.DUMMYFUNCTION("IMPORTRANGE(""https://docs.google.com/spreadsheets/d/19GOkiOqnzYbevLYWrMk4qFOXe3rX14BkSA8X-mq-a40/edit?usp=sharing"",""มหาสารคาม!J435"")"),20)</f>
        <v>20</v>
      </c>
      <c r="W39" s="82">
        <f t="shared" ca="1" si="26"/>
        <v>100</v>
      </c>
      <c r="X39" s="81">
        <f ca="1">IFERROR(__xludf.DUMMYFUNCTION("IMPORTRANGE(""https://docs.google.com/spreadsheets/d/19GOkiOqnzYbevLYWrMk4qFOXe3rX14BkSA8X-mq-a40/edit?usp=sharing"",""มหาสารคาม!I437"")"),0)</f>
        <v>0</v>
      </c>
      <c r="Y39" s="81">
        <f ca="1">IFERROR(__xludf.DUMMYFUNCTION("IMPORTRANGE(""https://docs.google.com/spreadsheets/d/19GOkiOqnzYbevLYWrMk4qFOXe3rX14BkSA8X-mq-a40/edit?usp=sharing"",""มหาสารคาม!I438"")"),0)</f>
        <v>0</v>
      </c>
      <c r="Z39" s="81">
        <f ca="1">IFERROR(__xludf.DUMMYFUNCTION("IMPORTRANGE(""https://docs.google.com/spreadsheets/d/19GOkiOqnzYbevLYWrMk4qFOXe3rX14BkSA8X-mq-a40/edit?usp=sharing"",""มหาสารคาม!J437"")"),0)</f>
        <v>0</v>
      </c>
      <c r="AA39" s="82">
        <f t="shared" ca="1" si="27"/>
        <v>0</v>
      </c>
      <c r="AB39" s="81">
        <f ca="1">IFERROR(__xludf.DUMMYFUNCTION("IMPORTRANGE(""https://docs.google.com/spreadsheets/d/19GOkiOqnzYbevLYWrMk4qFOXe3rX14BkSA8X-mq-a40/edit?usp=sharing"",""มหาสารคาม!J438"")"),0)</f>
        <v>0</v>
      </c>
      <c r="AC39" s="82">
        <f t="shared" ca="1" si="12"/>
        <v>0</v>
      </c>
      <c r="AD39" s="81">
        <f ca="1">IFERROR(__xludf.DUMMYFUNCTION("IMPORTRANGE(""https://docs.google.com/spreadsheets/d/19GOkiOqnzYbevLYWrMk4qFOXe3rX14BkSA8X-mq-a40/edit?usp=sharing"",""มหาสารคาม!I439"")"),20)</f>
        <v>20</v>
      </c>
      <c r="AE39" s="81">
        <f ca="1">IFERROR(__xludf.DUMMYFUNCTION("IMPORTRANGE(""https://docs.google.com/spreadsheets/d/19GOkiOqnzYbevLYWrMk4qFOXe3rX14BkSA8X-mq-a40/edit?usp=sharing"",""มหาสารคาม!I440"")"),1)</f>
        <v>1</v>
      </c>
      <c r="AF39" s="81">
        <f ca="1">IFERROR(__xludf.DUMMYFUNCTION("IMPORTRANGE(""https://docs.google.com/spreadsheets/d/19GOkiOqnzYbevLYWrMk4qFOXe3rX14BkSA8X-mq-a40/edit?usp=sharing"",""มหาสารคาม!J439"")"),0)</f>
        <v>0</v>
      </c>
      <c r="AG39" s="82">
        <f t="shared" ca="1" si="28"/>
        <v>0</v>
      </c>
      <c r="AH39" s="81">
        <f ca="1">IFERROR(__xludf.DUMMYFUNCTION("IMPORTRANGE(""https://docs.google.com/spreadsheets/d/19GOkiOqnzYbevLYWrMk4qFOXe3rX14BkSA8X-mq-a40/edit?usp=sharing"",""มหาสารคาม!J440"")"),0)</f>
        <v>0</v>
      </c>
      <c r="AI39" s="82">
        <f t="shared" ca="1" si="15"/>
        <v>0</v>
      </c>
      <c r="AJ39" s="81">
        <f ca="1">IFERROR(__xludf.DUMMYFUNCTION("IMPORTRANGE(""https://docs.google.com/spreadsheets/d/19GOkiOqnzYbevLYWrMk4qFOXe3rX14BkSA8X-mq-a40/edit?usp=sharing"",""มหาสารคาม!I441"")"),0)</f>
        <v>0</v>
      </c>
      <c r="AK39" s="81">
        <f ca="1">IFERROR(__xludf.DUMMYFUNCTION("IMPORTRANGE(""https://docs.google.com/spreadsheets/d/19GOkiOqnzYbevLYWrMk4qFOXe3rX14BkSA8X-mq-a40/edit?usp=sharing"",""มหาสารคาม!J441"")"),0)</f>
        <v>0</v>
      </c>
      <c r="AL39" s="82">
        <f t="shared" ca="1" si="29"/>
        <v>0</v>
      </c>
    </row>
    <row r="40" spans="1:38" ht="21" customHeight="1" x14ac:dyDescent="0.2">
      <c r="A40" s="72">
        <v>9</v>
      </c>
      <c r="B40" s="73" t="s">
        <v>57</v>
      </c>
      <c r="C40" s="74">
        <f t="shared" ca="1" si="47"/>
        <v>115060</v>
      </c>
      <c r="D40" s="75">
        <f ca="1">IFERROR(__xludf.DUMMYFUNCTION("IMPORTRANGE(""https://docs.google.com/spreadsheets/d/1uMKqWwuNQ-TCKboGA3Bb1qXb5uj2-faACNUINCz8PN4/edit?usp=sharing"",""มุกดาหาร!L424"")"),115060)</f>
        <v>115060</v>
      </c>
      <c r="E40" s="76">
        <f ca="1">IFERROR(__xludf.DUMMYFUNCTION("IMPORTRANGE(""https://docs.google.com/spreadsheets/d/1uMKqWwuNQ-TCKboGA3Bb1qXb5uj2-faACNUINCz8PN4/edit?usp=sharing"",""มุกดาหาร!L431"")"),0)</f>
        <v>0</v>
      </c>
      <c r="F40" s="77">
        <f t="shared" ca="1" si="1"/>
        <v>102160</v>
      </c>
      <c r="G40" s="78">
        <f t="shared" ca="1" si="2"/>
        <v>88.788458195723976</v>
      </c>
      <c r="H40" s="79">
        <f t="shared" ca="1" si="48"/>
        <v>102160</v>
      </c>
      <c r="I40" s="76">
        <f ca="1">IFERROR(__xludf.DUMMYFUNCTION("IMPORTRANGE(""https://docs.google.com/spreadsheets/d/1uMKqWwuNQ-TCKboGA3Bb1qXb5uj2-faACNUINCz8PN4/edit?usp=sharing"",""มุกดาหาร!N425"")"),84800)</f>
        <v>84800</v>
      </c>
      <c r="J40" s="76">
        <f ca="1">IFERROR(__xludf.DUMMYFUNCTION("IMPORTRANGE(""https://docs.google.com/spreadsheets/d/1uMKqWwuNQ-TCKboGA3Bb1qXb5uj2-faACNUINCz8PN4/edit?usp=sharing"",""มุกดาหาร!N426"")"),0)</f>
        <v>0</v>
      </c>
      <c r="K40" s="76">
        <f ca="1">IFERROR(__xludf.DUMMYFUNCTION("IMPORTRANGE(""https://docs.google.com/spreadsheets/d/1uMKqWwuNQ-TCKboGA3Bb1qXb5uj2-faACNUINCz8PN4/edit?usp=sharing"",""มุกดาหาร!N427"")"),0)</f>
        <v>0</v>
      </c>
      <c r="L40" s="76">
        <f ca="1">IFERROR(__xludf.DUMMYFUNCTION("IMPORTRANGE(""https://docs.google.com/spreadsheets/d/1uMKqWwuNQ-TCKboGA3Bb1qXb5uj2-faACNUINCz8PN4/edit?usp=sharing"",""มุกดาหาร!N428"")"),17360)</f>
        <v>17360</v>
      </c>
      <c r="M40" s="80">
        <f ca="1">IFERROR(__xludf.DUMMYFUNCTION("IMPORTRANGE(""https://docs.google.com/spreadsheets/d/1uMKqWwuNQ-TCKboGA3Bb1qXb5uj2-faACNUINCz8PN4/edit?usp=sharing"",""มุกดาหาร!N431"")"),0)</f>
        <v>0</v>
      </c>
      <c r="N40" s="80">
        <f t="shared" ca="1" si="32"/>
        <v>0</v>
      </c>
      <c r="O40" s="81">
        <f ca="1">IFERROR(__xludf.DUMMYFUNCTION("IMPORTRANGE(""https://docs.google.com/spreadsheets/d/1uMKqWwuNQ-TCKboGA3Bb1qXb5uj2-faACNUINCz8PN4/edit?usp=sharing"",""มุกดาหาร!I433"")"),35)</f>
        <v>35</v>
      </c>
      <c r="P40" s="81">
        <f ca="1">IFERROR(__xludf.DUMMYFUNCTION("IMPORTRANGE(""https://docs.google.com/spreadsheets/d/1uMKqWwuNQ-TCKboGA3Bb1qXb5uj2-faACNUINCz8PN4/edit?usp=sharing"",""มุกดาหาร!I434"")"),1)</f>
        <v>1</v>
      </c>
      <c r="Q40" s="81">
        <f ca="1">IFERROR(__xludf.DUMMYFUNCTION("IMPORTRANGE(""https://docs.google.com/spreadsheets/d/1uMKqWwuNQ-TCKboGA3Bb1qXb5uj2-faACNUINCz8PN4/edit?usp=sharing"",""มุกดาหาร!J433"")"),35)</f>
        <v>35</v>
      </c>
      <c r="R40" s="82">
        <f t="shared" ca="1" si="25"/>
        <v>100</v>
      </c>
      <c r="S40" s="81">
        <f ca="1">IFERROR(__xludf.DUMMYFUNCTION("IMPORTRANGE(""https://docs.google.com/spreadsheets/d/1uMKqWwuNQ-TCKboGA3Bb1qXb5uj2-faACNUINCz8PN4/edit?usp=sharing"",""มุกดาหาร!J434"")"),1)</f>
        <v>1</v>
      </c>
      <c r="T40" s="82">
        <f t="shared" ca="1" si="7"/>
        <v>100</v>
      </c>
      <c r="U40" s="81">
        <f ca="1">IFERROR(__xludf.DUMMYFUNCTION("IMPORTRANGE(""https://docs.google.com/spreadsheets/d/1uMKqWwuNQ-TCKboGA3Bb1qXb5uj2-faACNUINCz8PN4/edit?usp=sharing"",""มุกดาหาร!I435"")"),35)</f>
        <v>35</v>
      </c>
      <c r="V40" s="81">
        <f ca="1">IFERROR(__xludf.DUMMYFUNCTION("IMPORTRANGE(""https://docs.google.com/spreadsheets/d/1uMKqWwuNQ-TCKboGA3Bb1qXb5uj2-faACNUINCz8PN4/edit?usp=sharing"",""มุกดาหาร!J435"")"),35)</f>
        <v>35</v>
      </c>
      <c r="W40" s="82">
        <f t="shared" ca="1" si="26"/>
        <v>100</v>
      </c>
      <c r="X40" s="81">
        <f ca="1">IFERROR(__xludf.DUMMYFUNCTION("IMPORTRANGE(""https://docs.google.com/spreadsheets/d/1uMKqWwuNQ-TCKboGA3Bb1qXb5uj2-faACNUINCz8PN4/edit?usp=sharing"",""มุกดาหาร!I437"")"),0)</f>
        <v>0</v>
      </c>
      <c r="Y40" s="81">
        <f ca="1">IFERROR(__xludf.DUMMYFUNCTION("IMPORTRANGE(""https://docs.google.com/spreadsheets/d/1uMKqWwuNQ-TCKboGA3Bb1qXb5uj2-faACNUINCz8PN4/edit?usp=sharing"",""มุกดาหาร!I438"")"),0)</f>
        <v>0</v>
      </c>
      <c r="Z40" s="81">
        <f ca="1">IFERROR(__xludf.DUMMYFUNCTION("IMPORTRANGE(""https://docs.google.com/spreadsheets/d/1uMKqWwuNQ-TCKboGA3Bb1qXb5uj2-faACNUINCz8PN4/edit?usp=sharing"",""มุกดาหาร!J437"")"),0)</f>
        <v>0</v>
      </c>
      <c r="AA40" s="82">
        <f t="shared" ca="1" si="27"/>
        <v>0</v>
      </c>
      <c r="AB40" s="81">
        <f ca="1">IFERROR(__xludf.DUMMYFUNCTION("IMPORTRANGE(""https://docs.google.com/spreadsheets/d/1uMKqWwuNQ-TCKboGA3Bb1qXb5uj2-faACNUINCz8PN4/edit?usp=sharing"",""มุกดาหาร!J438"")"),0)</f>
        <v>0</v>
      </c>
      <c r="AC40" s="82">
        <f t="shared" ca="1" si="12"/>
        <v>0</v>
      </c>
      <c r="AD40" s="81">
        <f ca="1">IFERROR(__xludf.DUMMYFUNCTION("IMPORTRANGE(""https://docs.google.com/spreadsheets/d/1uMKqWwuNQ-TCKboGA3Bb1qXb5uj2-faACNUINCz8PN4/edit?usp=sharing"",""มุกดาหาร!I439"")"),35)</f>
        <v>35</v>
      </c>
      <c r="AE40" s="81">
        <f ca="1">IFERROR(__xludf.DUMMYFUNCTION("IMPORTRANGE(""https://docs.google.com/spreadsheets/d/1uMKqWwuNQ-TCKboGA3Bb1qXb5uj2-faACNUINCz8PN4/edit?usp=sharing"",""มุกดาหาร!I440"")"),1)</f>
        <v>1</v>
      </c>
      <c r="AF40" s="81">
        <f ca="1">IFERROR(__xludf.DUMMYFUNCTION("IMPORTRANGE(""https://docs.google.com/spreadsheets/d/1uMKqWwuNQ-TCKboGA3Bb1qXb5uj2-faACNUINCz8PN4/edit?usp=sharing"",""มุกดาหาร!J439"")"),35)</f>
        <v>35</v>
      </c>
      <c r="AG40" s="82">
        <f t="shared" ca="1" si="28"/>
        <v>100</v>
      </c>
      <c r="AH40" s="81">
        <f ca="1">IFERROR(__xludf.DUMMYFUNCTION("IMPORTRANGE(""https://docs.google.com/spreadsheets/d/1uMKqWwuNQ-TCKboGA3Bb1qXb5uj2-faACNUINCz8PN4/edit?usp=sharing"",""มุกดาหาร!J440"")"),1)</f>
        <v>1</v>
      </c>
      <c r="AI40" s="82">
        <f t="shared" ca="1" si="15"/>
        <v>100</v>
      </c>
      <c r="AJ40" s="81">
        <f ca="1">IFERROR(__xludf.DUMMYFUNCTION("IMPORTRANGE(""https://docs.google.com/spreadsheets/d/1uMKqWwuNQ-TCKboGA3Bb1qXb5uj2-faACNUINCz8PN4/edit?usp=sharing"",""มุกดาหาร!I441"")"),0)</f>
        <v>0</v>
      </c>
      <c r="AK40" s="81">
        <f ca="1">IFERROR(__xludf.DUMMYFUNCTION("IMPORTRANGE(""https://docs.google.com/spreadsheets/d/1uMKqWwuNQ-TCKboGA3Bb1qXb5uj2-faACNUINCz8PN4/edit?usp=sharing"",""มุกดาหาร!J441"")"),0)</f>
        <v>0</v>
      </c>
      <c r="AL40" s="82">
        <f t="shared" ca="1" si="29"/>
        <v>0</v>
      </c>
    </row>
    <row r="41" spans="1:38" ht="21" customHeight="1" x14ac:dyDescent="0.2">
      <c r="A41" s="72">
        <v>10</v>
      </c>
      <c r="B41" s="73" t="s">
        <v>58</v>
      </c>
      <c r="C41" s="74">
        <f t="shared" ca="1" si="47"/>
        <v>78660</v>
      </c>
      <c r="D41" s="75">
        <f ca="1">IFERROR(__xludf.DUMMYFUNCTION("IMPORTRANGE(""https://docs.google.com/spreadsheets/d/1oKaccgDdQABndOzGr688Dbfxb_V3YcF67VqEPBtdzsc/edit?usp=sharing"",""ยโสธร!L424"")"),78660)</f>
        <v>78660</v>
      </c>
      <c r="E41" s="76">
        <f ca="1">IFERROR(__xludf.DUMMYFUNCTION("IMPORTRANGE(""https://docs.google.com/spreadsheets/d/1oKaccgDdQABndOzGr688Dbfxb_V3YcF67VqEPBtdzsc/edit?usp=sharing"",""ยโสธร!L431"")"),0)</f>
        <v>0</v>
      </c>
      <c r="F41" s="77">
        <f t="shared" ca="1" si="1"/>
        <v>33080</v>
      </c>
      <c r="G41" s="78">
        <f t="shared" ca="1" si="2"/>
        <v>42.054411390795828</v>
      </c>
      <c r="H41" s="79">
        <f t="shared" ca="1" si="48"/>
        <v>33080</v>
      </c>
      <c r="I41" s="76">
        <f ca="1">IFERROR(__xludf.DUMMYFUNCTION("IMPORTRANGE(""https://docs.google.com/spreadsheets/d/1oKaccgDdQABndOzGr688Dbfxb_V3YcF67VqEPBtdzsc/edit?usp=sharing"",""ยโสธร!N425"")"),33080)</f>
        <v>33080</v>
      </c>
      <c r="J41" s="76">
        <f ca="1">IFERROR(__xludf.DUMMYFUNCTION("IMPORTRANGE(""https://docs.google.com/spreadsheets/d/1oKaccgDdQABndOzGr688Dbfxb_V3YcF67VqEPBtdzsc/edit?usp=sharing"",""ยโสธร!N426"")"),0)</f>
        <v>0</v>
      </c>
      <c r="K41" s="76">
        <f ca="1">IFERROR(__xludf.DUMMYFUNCTION("IMPORTRANGE(""https://docs.google.com/spreadsheets/d/1oKaccgDdQABndOzGr688Dbfxb_V3YcF67VqEPBtdzsc/edit?usp=sharing"",""ยโสธร!N427"")"),0)</f>
        <v>0</v>
      </c>
      <c r="L41" s="76">
        <f ca="1">IFERROR(__xludf.DUMMYFUNCTION("IMPORTRANGE(""https://docs.google.com/spreadsheets/d/1oKaccgDdQABndOzGr688Dbfxb_V3YcF67VqEPBtdzsc/edit?usp=sharing"",""ยโสธร!N428"")"),0)</f>
        <v>0</v>
      </c>
      <c r="M41" s="80">
        <f ca="1">IFERROR(__xludf.DUMMYFUNCTION("IMPORTRANGE(""https://docs.google.com/spreadsheets/d/1oKaccgDdQABndOzGr688Dbfxb_V3YcF67VqEPBtdzsc/edit?usp=sharing"",""ยโสธร!N431"")"),0)</f>
        <v>0</v>
      </c>
      <c r="N41" s="80">
        <f t="shared" ca="1" si="32"/>
        <v>0</v>
      </c>
      <c r="O41" s="81">
        <f ca="1">IFERROR(__xludf.DUMMYFUNCTION("IMPORTRANGE(""https://docs.google.com/spreadsheets/d/1oKaccgDdQABndOzGr688Dbfxb_V3YcF67VqEPBtdzsc/edit?usp=sharing"",""ยโสธร!I433"")"),20)</f>
        <v>20</v>
      </c>
      <c r="P41" s="81">
        <f ca="1">IFERROR(__xludf.DUMMYFUNCTION("IMPORTRANGE(""https://docs.google.com/spreadsheets/d/1oKaccgDdQABndOzGr688Dbfxb_V3YcF67VqEPBtdzsc/edit?usp=sharing"",""ยโสธร!I434"")"),1)</f>
        <v>1</v>
      </c>
      <c r="Q41" s="81">
        <f ca="1">IFERROR(__xludf.DUMMYFUNCTION("IMPORTRANGE(""https://docs.google.com/spreadsheets/d/1oKaccgDdQABndOzGr688Dbfxb_V3YcF67VqEPBtdzsc/edit?usp=sharing"",""ยโสธร!J433"")"),0)</f>
        <v>0</v>
      </c>
      <c r="R41" s="82">
        <f t="shared" ca="1" si="25"/>
        <v>0</v>
      </c>
      <c r="S41" s="81">
        <f ca="1">IFERROR(__xludf.DUMMYFUNCTION("IMPORTRANGE(""https://docs.google.com/spreadsheets/d/1oKaccgDdQABndOzGr688Dbfxb_V3YcF67VqEPBtdzsc/edit?usp=sharing"",""ยโสธร!J434"")"),0)</f>
        <v>0</v>
      </c>
      <c r="T41" s="82">
        <f t="shared" ca="1" si="7"/>
        <v>0</v>
      </c>
      <c r="U41" s="81">
        <f ca="1">IFERROR(__xludf.DUMMYFUNCTION("IMPORTRANGE(""https://docs.google.com/spreadsheets/d/1oKaccgDdQABndOzGr688Dbfxb_V3YcF67VqEPBtdzsc/edit?usp=sharing"",""ยโสธร!I435"")"),20)</f>
        <v>20</v>
      </c>
      <c r="V41" s="81">
        <f ca="1">IFERROR(__xludf.DUMMYFUNCTION("IMPORTRANGE(""https://docs.google.com/spreadsheets/d/1oKaccgDdQABndOzGr688Dbfxb_V3YcF67VqEPBtdzsc/edit?usp=sharing"",""ยโสธร!J435"")"),0)</f>
        <v>0</v>
      </c>
      <c r="W41" s="82">
        <f t="shared" ca="1" si="26"/>
        <v>0</v>
      </c>
      <c r="X41" s="81">
        <f ca="1">IFERROR(__xludf.DUMMYFUNCTION("IMPORTRANGE(""https://docs.google.com/spreadsheets/d/1oKaccgDdQABndOzGr688Dbfxb_V3YcF67VqEPBtdzsc/edit?usp=sharing"",""ยโสธร!I437"")"),0)</f>
        <v>0</v>
      </c>
      <c r="Y41" s="81">
        <f ca="1">IFERROR(__xludf.DUMMYFUNCTION("IMPORTRANGE(""https://docs.google.com/spreadsheets/d/1oKaccgDdQABndOzGr688Dbfxb_V3YcF67VqEPBtdzsc/edit?usp=sharing"",""ยโสธร!I438"")"),0)</f>
        <v>0</v>
      </c>
      <c r="Z41" s="81">
        <f ca="1">IFERROR(__xludf.DUMMYFUNCTION("IMPORTRANGE(""https://docs.google.com/spreadsheets/d/1oKaccgDdQABndOzGr688Dbfxb_V3YcF67VqEPBtdzsc/edit?usp=sharing"",""ยโสธร!J437"")"),0)</f>
        <v>0</v>
      </c>
      <c r="AA41" s="82">
        <f t="shared" ca="1" si="27"/>
        <v>0</v>
      </c>
      <c r="AB41" s="81">
        <f ca="1">IFERROR(__xludf.DUMMYFUNCTION("IMPORTRANGE(""https://docs.google.com/spreadsheets/d/1oKaccgDdQABndOzGr688Dbfxb_V3YcF67VqEPBtdzsc/edit?usp=sharing"",""ยโสธร!J438"")"),0)</f>
        <v>0</v>
      </c>
      <c r="AC41" s="82">
        <f t="shared" ca="1" si="12"/>
        <v>0</v>
      </c>
      <c r="AD41" s="81">
        <f ca="1">IFERROR(__xludf.DUMMYFUNCTION("IMPORTRANGE(""https://docs.google.com/spreadsheets/d/1oKaccgDdQABndOzGr688Dbfxb_V3YcF67VqEPBtdzsc/edit?usp=sharing"",""ยโสธร!I439"")"),20)</f>
        <v>20</v>
      </c>
      <c r="AE41" s="81">
        <f ca="1">IFERROR(__xludf.DUMMYFUNCTION("IMPORTRANGE(""https://docs.google.com/spreadsheets/d/1oKaccgDdQABndOzGr688Dbfxb_V3YcF67VqEPBtdzsc/edit?usp=sharing"",""ยโสธร!I440"")"),1)</f>
        <v>1</v>
      </c>
      <c r="AF41" s="81">
        <f ca="1">IFERROR(__xludf.DUMMYFUNCTION("IMPORTRANGE(""https://docs.google.com/spreadsheets/d/1oKaccgDdQABndOzGr688Dbfxb_V3YcF67VqEPBtdzsc/edit?usp=sharing"",""ยโสธร!J439"")"),20)</f>
        <v>20</v>
      </c>
      <c r="AG41" s="82">
        <f t="shared" ca="1" si="28"/>
        <v>100</v>
      </c>
      <c r="AH41" s="81">
        <f ca="1">IFERROR(__xludf.DUMMYFUNCTION("IMPORTRANGE(""https://docs.google.com/spreadsheets/d/1oKaccgDdQABndOzGr688Dbfxb_V3YcF67VqEPBtdzsc/edit?usp=sharing"",""ยโสธร!J440"")"),0)</f>
        <v>0</v>
      </c>
      <c r="AI41" s="82">
        <f t="shared" ca="1" si="15"/>
        <v>0</v>
      </c>
      <c r="AJ41" s="81">
        <f ca="1">IFERROR(__xludf.DUMMYFUNCTION("IMPORTRANGE(""https://docs.google.com/spreadsheets/d/1oKaccgDdQABndOzGr688Dbfxb_V3YcF67VqEPBtdzsc/edit?usp=sharing"",""ยโสธร!I441"")"),0)</f>
        <v>0</v>
      </c>
      <c r="AK41" s="81">
        <f ca="1">IFERROR(__xludf.DUMMYFUNCTION("IMPORTRANGE(""https://docs.google.com/spreadsheets/d/1oKaccgDdQABndOzGr688Dbfxb_V3YcF67VqEPBtdzsc/edit?usp=sharing"",""ยโสธร!J441"")"),0)</f>
        <v>0</v>
      </c>
      <c r="AL41" s="82">
        <f t="shared" ca="1" si="29"/>
        <v>0</v>
      </c>
    </row>
    <row r="42" spans="1:38" ht="21" customHeight="1" x14ac:dyDescent="0.2">
      <c r="A42" s="72">
        <v>11</v>
      </c>
      <c r="B42" s="73" t="s">
        <v>59</v>
      </c>
      <c r="C42" s="74">
        <f t="shared" ca="1" si="47"/>
        <v>78660</v>
      </c>
      <c r="D42" s="75">
        <f ca="1">IFERROR(__xludf.DUMMYFUNCTION("IMPORTRANGE(""https://docs.google.com/spreadsheets/d/1BRgc8xKpxZ0PX-gauieMVkV_IOxKSotf0yW8MabGprQ/edit?usp=sharing"",""ร้อยเอ็ด!L424"")"),78660)</f>
        <v>78660</v>
      </c>
      <c r="E42" s="76">
        <f ca="1">IFERROR(__xludf.DUMMYFUNCTION("IMPORTRANGE(""https://docs.google.com/spreadsheets/d/1BRgc8xKpxZ0PX-gauieMVkV_IOxKSotf0yW8MabGprQ/edit?usp=sharing"",""ร้อยเอ็ด!L431"")"),0)</f>
        <v>0</v>
      </c>
      <c r="F42" s="77">
        <f t="shared" ca="1" si="1"/>
        <v>59220</v>
      </c>
      <c r="G42" s="78">
        <f t="shared" ca="1" si="2"/>
        <v>75.286041189931353</v>
      </c>
      <c r="H42" s="79">
        <f t="shared" ca="1" si="48"/>
        <v>59220</v>
      </c>
      <c r="I42" s="76">
        <f ca="1">IFERROR(__xludf.DUMMYFUNCTION("IMPORTRANGE(""https://docs.google.com/spreadsheets/d/1BRgc8xKpxZ0PX-gauieMVkV_IOxKSotf0yW8MabGprQ/edit?usp=sharing"",""ร้อยเอ็ด!N425"")"),0)</f>
        <v>0</v>
      </c>
      <c r="J42" s="76">
        <f ca="1">IFERROR(__xludf.DUMMYFUNCTION("IMPORTRANGE(""https://docs.google.com/spreadsheets/d/1BRgc8xKpxZ0PX-gauieMVkV_IOxKSotf0yW8MabGprQ/edit?usp=sharing"",""ร้อยเอ็ด!N426"")"),0)</f>
        <v>0</v>
      </c>
      <c r="K42" s="76">
        <f ca="1">IFERROR(__xludf.DUMMYFUNCTION("IMPORTRANGE(""https://docs.google.com/spreadsheets/d/1BRgc8xKpxZ0PX-gauieMVkV_IOxKSotf0yW8MabGprQ/edit?usp=sharing"",""ร้อยเอ็ด!N427"")"),0)</f>
        <v>0</v>
      </c>
      <c r="L42" s="76">
        <f ca="1">IFERROR(__xludf.DUMMYFUNCTION("IMPORTRANGE(""https://docs.google.com/spreadsheets/d/1BRgc8xKpxZ0PX-gauieMVkV_IOxKSotf0yW8MabGprQ/edit?usp=sharing"",""ร้อยเอ็ด!N428"")"),59220)</f>
        <v>59220</v>
      </c>
      <c r="M42" s="80">
        <f ca="1">IFERROR(__xludf.DUMMYFUNCTION("IMPORTRANGE(""https://docs.google.com/spreadsheets/d/1BRgc8xKpxZ0PX-gauieMVkV_IOxKSotf0yW8MabGprQ/edit?usp=sharing"",""ร้อยเอ็ด!N431"")"),0)</f>
        <v>0</v>
      </c>
      <c r="N42" s="80">
        <f t="shared" ca="1" si="32"/>
        <v>0</v>
      </c>
      <c r="O42" s="81">
        <f ca="1">IFERROR(__xludf.DUMMYFUNCTION("IMPORTRANGE(""https://docs.google.com/spreadsheets/d/1BRgc8xKpxZ0PX-gauieMVkV_IOxKSotf0yW8MabGprQ/edit?usp=sharing"",""ร้อยเอ็ด!I433"")"),20)</f>
        <v>20</v>
      </c>
      <c r="P42" s="81">
        <f ca="1">IFERROR(__xludf.DUMMYFUNCTION("IMPORTRANGE(""https://docs.google.com/spreadsheets/d/1BRgc8xKpxZ0PX-gauieMVkV_IOxKSotf0yW8MabGprQ/edit?usp=sharing"",""ร้อยเอ็ด!I434"")"),1)</f>
        <v>1</v>
      </c>
      <c r="Q42" s="81">
        <f ca="1">IFERROR(__xludf.DUMMYFUNCTION("IMPORTRANGE(""https://docs.google.com/spreadsheets/d/1BRgc8xKpxZ0PX-gauieMVkV_IOxKSotf0yW8MabGprQ/edit?usp=sharing"",""ร้อยเอ็ด!J433"")"),20)</f>
        <v>20</v>
      </c>
      <c r="R42" s="82">
        <f t="shared" ca="1" si="25"/>
        <v>100</v>
      </c>
      <c r="S42" s="81">
        <f ca="1">IFERROR(__xludf.DUMMYFUNCTION("IMPORTRANGE(""https://docs.google.com/spreadsheets/d/1BRgc8xKpxZ0PX-gauieMVkV_IOxKSotf0yW8MabGprQ/edit?usp=sharing"",""ร้อยเอ็ด!J434"")"),1)</f>
        <v>1</v>
      </c>
      <c r="T42" s="82">
        <f t="shared" ca="1" si="7"/>
        <v>100</v>
      </c>
      <c r="U42" s="81">
        <f ca="1">IFERROR(__xludf.DUMMYFUNCTION("IMPORTRANGE(""https://docs.google.com/spreadsheets/d/1BRgc8xKpxZ0PX-gauieMVkV_IOxKSotf0yW8MabGprQ/edit?usp=sharing"",""ร้อยเอ็ด!I435"")"),20)</f>
        <v>20</v>
      </c>
      <c r="V42" s="81">
        <f ca="1">IFERROR(__xludf.DUMMYFUNCTION("IMPORTRANGE(""https://docs.google.com/spreadsheets/d/1BRgc8xKpxZ0PX-gauieMVkV_IOxKSotf0yW8MabGprQ/edit?usp=sharing"",""ร้อยเอ็ด!J435"")"),20)</f>
        <v>20</v>
      </c>
      <c r="W42" s="82">
        <f t="shared" ca="1" si="26"/>
        <v>100</v>
      </c>
      <c r="X42" s="81">
        <f ca="1">IFERROR(__xludf.DUMMYFUNCTION("IMPORTRANGE(""https://docs.google.com/spreadsheets/d/1BRgc8xKpxZ0PX-gauieMVkV_IOxKSotf0yW8MabGprQ/edit?usp=sharing"",""ร้อยเอ็ด!I437"")"),0)</f>
        <v>0</v>
      </c>
      <c r="Y42" s="81">
        <f ca="1">IFERROR(__xludf.DUMMYFUNCTION("IMPORTRANGE(""https://docs.google.com/spreadsheets/d/1BRgc8xKpxZ0PX-gauieMVkV_IOxKSotf0yW8MabGprQ/edit?usp=sharing"",""ร้อยเอ็ด!I438"")"),0)</f>
        <v>0</v>
      </c>
      <c r="Z42" s="81">
        <f ca="1">IFERROR(__xludf.DUMMYFUNCTION("IMPORTRANGE(""https://docs.google.com/spreadsheets/d/1BRgc8xKpxZ0PX-gauieMVkV_IOxKSotf0yW8MabGprQ/edit?usp=sharing"",""ร้อยเอ็ด!J437"")"),0)</f>
        <v>0</v>
      </c>
      <c r="AA42" s="82">
        <f t="shared" ca="1" si="27"/>
        <v>0</v>
      </c>
      <c r="AB42" s="81">
        <f ca="1">IFERROR(__xludf.DUMMYFUNCTION("IMPORTRANGE(""https://docs.google.com/spreadsheets/d/1BRgc8xKpxZ0PX-gauieMVkV_IOxKSotf0yW8MabGprQ/edit?usp=sharing"",""ร้อยเอ็ด!J438"")"),0)</f>
        <v>0</v>
      </c>
      <c r="AC42" s="82">
        <f t="shared" ca="1" si="12"/>
        <v>0</v>
      </c>
      <c r="AD42" s="81">
        <f ca="1">IFERROR(__xludf.DUMMYFUNCTION("IMPORTRANGE(""https://docs.google.com/spreadsheets/d/1BRgc8xKpxZ0PX-gauieMVkV_IOxKSotf0yW8MabGprQ/edit?usp=sharing"",""ร้อยเอ็ด!I439"")"),20)</f>
        <v>20</v>
      </c>
      <c r="AE42" s="81">
        <f ca="1">IFERROR(__xludf.DUMMYFUNCTION("IMPORTRANGE(""https://docs.google.com/spreadsheets/d/1BRgc8xKpxZ0PX-gauieMVkV_IOxKSotf0yW8MabGprQ/edit?usp=sharing"",""ร้อยเอ็ด!I440"")"),1)</f>
        <v>1</v>
      </c>
      <c r="AF42" s="81">
        <f ca="1">IFERROR(__xludf.DUMMYFUNCTION("IMPORTRANGE(""https://docs.google.com/spreadsheets/d/1BRgc8xKpxZ0PX-gauieMVkV_IOxKSotf0yW8MabGprQ/edit?usp=sharing"",""ร้อยเอ็ด!J439"")"),20)</f>
        <v>20</v>
      </c>
      <c r="AG42" s="82">
        <f t="shared" ca="1" si="28"/>
        <v>100</v>
      </c>
      <c r="AH42" s="81">
        <f ca="1">IFERROR(__xludf.DUMMYFUNCTION("IMPORTRANGE(""https://docs.google.com/spreadsheets/d/1BRgc8xKpxZ0PX-gauieMVkV_IOxKSotf0yW8MabGprQ/edit?usp=sharing"",""ร้อยเอ็ด!J440"")"),1)</f>
        <v>1</v>
      </c>
      <c r="AI42" s="82">
        <f t="shared" ca="1" si="15"/>
        <v>100</v>
      </c>
      <c r="AJ42" s="81">
        <f ca="1">IFERROR(__xludf.DUMMYFUNCTION("IMPORTRANGE(""https://docs.google.com/spreadsheets/d/1BRgc8xKpxZ0PX-gauieMVkV_IOxKSotf0yW8MabGprQ/edit?usp=sharing"",""ร้อยเอ็ด!I441"")"),0)</f>
        <v>0</v>
      </c>
      <c r="AK42" s="81">
        <f ca="1">IFERROR(__xludf.DUMMYFUNCTION("IMPORTRANGE(""https://docs.google.com/spreadsheets/d/1BRgc8xKpxZ0PX-gauieMVkV_IOxKSotf0yW8MabGprQ/edit?usp=sharing"",""ร้อยเอ็ด!J441"")"),0)</f>
        <v>0</v>
      </c>
      <c r="AL42" s="82">
        <f t="shared" ca="1" si="29"/>
        <v>0</v>
      </c>
    </row>
    <row r="43" spans="1:38" ht="21" customHeight="1" x14ac:dyDescent="0.2">
      <c r="A43" s="72">
        <v>12</v>
      </c>
      <c r="B43" s="73" t="s">
        <v>60</v>
      </c>
      <c r="C43" s="74">
        <f t="shared" ca="1" si="47"/>
        <v>78660</v>
      </c>
      <c r="D43" s="75">
        <f ca="1">IFERROR(__xludf.DUMMYFUNCTION("IMPORTRANGE(""https://docs.google.com/spreadsheets/d/1IdolZc-dfdgMwAm_KZxYJl1sUOcIgnbGQzbWOlddedo/edit?usp=sharing"",""เลย!L424"")"),78660)</f>
        <v>78660</v>
      </c>
      <c r="E43" s="76">
        <f ca="1">IFERROR(__xludf.DUMMYFUNCTION("IMPORTRANGE(""https://docs.google.com/spreadsheets/d/1IdolZc-dfdgMwAm_KZxYJl1sUOcIgnbGQzbWOlddedo/edit?usp=sharing"",""เลย!L431"")"),0)</f>
        <v>0</v>
      </c>
      <c r="F43" s="77">
        <f t="shared" ca="1" si="1"/>
        <v>61990</v>
      </c>
      <c r="G43" s="78">
        <f t="shared" ca="1" si="2"/>
        <v>78.807526061530638</v>
      </c>
      <c r="H43" s="79">
        <f t="shared" ca="1" si="48"/>
        <v>61990</v>
      </c>
      <c r="I43" s="76">
        <f ca="1">IFERROR(__xludf.DUMMYFUNCTION("IMPORTRANGE(""https://docs.google.com/spreadsheets/d/1IdolZc-dfdgMwAm_KZxYJl1sUOcIgnbGQzbWOlddedo/edit?usp=sharing"",""เลย!N425"")"),48400)</f>
        <v>48400</v>
      </c>
      <c r="J43" s="76">
        <f ca="1">IFERROR(__xludf.DUMMYFUNCTION("IMPORTRANGE(""https://docs.google.com/spreadsheets/d/1IdolZc-dfdgMwAm_KZxYJl1sUOcIgnbGQzbWOlddedo/edit?usp=sharing"",""เลย!N426"")"),0)</f>
        <v>0</v>
      </c>
      <c r="K43" s="76">
        <f ca="1">IFERROR(__xludf.DUMMYFUNCTION("IMPORTRANGE(""https://docs.google.com/spreadsheets/d/1IdolZc-dfdgMwAm_KZxYJl1sUOcIgnbGQzbWOlddedo/edit?usp=sharing"",""เลย!N427"")"),0)</f>
        <v>0</v>
      </c>
      <c r="L43" s="76">
        <f ca="1">IFERROR(__xludf.DUMMYFUNCTION("IMPORTRANGE(""https://docs.google.com/spreadsheets/d/1IdolZc-dfdgMwAm_KZxYJl1sUOcIgnbGQzbWOlddedo/edit?usp=sharing"",""เลย!N428"")"),13590)</f>
        <v>13590</v>
      </c>
      <c r="M43" s="80">
        <f ca="1">IFERROR(__xludf.DUMMYFUNCTION("IMPORTRANGE(""https://docs.google.com/spreadsheets/d/1IdolZc-dfdgMwAm_KZxYJl1sUOcIgnbGQzbWOlddedo/edit?usp=sharing"",""เลย!N431"")"),0)</f>
        <v>0</v>
      </c>
      <c r="N43" s="80">
        <f t="shared" ca="1" si="32"/>
        <v>0</v>
      </c>
      <c r="O43" s="81">
        <f ca="1">IFERROR(__xludf.DUMMYFUNCTION("IMPORTRANGE(""https://docs.google.com/spreadsheets/d/1IdolZc-dfdgMwAm_KZxYJl1sUOcIgnbGQzbWOlddedo/edit?usp=sharing"",""เลย!I433"")"),20)</f>
        <v>20</v>
      </c>
      <c r="P43" s="81">
        <f ca="1">IFERROR(__xludf.DUMMYFUNCTION("IMPORTRANGE(""https://docs.google.com/spreadsheets/d/1IdolZc-dfdgMwAm_KZxYJl1sUOcIgnbGQzbWOlddedo/edit?usp=sharing"",""เลย!I434"")"),1)</f>
        <v>1</v>
      </c>
      <c r="Q43" s="81">
        <f ca="1">IFERROR(__xludf.DUMMYFUNCTION("IMPORTRANGE(""https://docs.google.com/spreadsheets/d/1IdolZc-dfdgMwAm_KZxYJl1sUOcIgnbGQzbWOlddedo/edit?usp=sharing"",""เลย!J433"")"),20)</f>
        <v>20</v>
      </c>
      <c r="R43" s="82">
        <f t="shared" ca="1" si="25"/>
        <v>100</v>
      </c>
      <c r="S43" s="81">
        <f ca="1">IFERROR(__xludf.DUMMYFUNCTION("IMPORTRANGE(""https://docs.google.com/spreadsheets/d/1IdolZc-dfdgMwAm_KZxYJl1sUOcIgnbGQzbWOlddedo/edit?usp=sharing"",""เลย!J434"")"),1)</f>
        <v>1</v>
      </c>
      <c r="T43" s="82">
        <f t="shared" ca="1" si="7"/>
        <v>100</v>
      </c>
      <c r="U43" s="81">
        <f ca="1">IFERROR(__xludf.DUMMYFUNCTION("IMPORTRANGE(""https://docs.google.com/spreadsheets/d/1IdolZc-dfdgMwAm_KZxYJl1sUOcIgnbGQzbWOlddedo/edit?usp=sharing"",""เลย!I435"")"),20)</f>
        <v>20</v>
      </c>
      <c r="V43" s="81">
        <f ca="1">IFERROR(__xludf.DUMMYFUNCTION("IMPORTRANGE(""https://docs.google.com/spreadsheets/d/1IdolZc-dfdgMwAm_KZxYJl1sUOcIgnbGQzbWOlddedo/edit?usp=sharing"",""เลย!J435"")"),20)</f>
        <v>20</v>
      </c>
      <c r="W43" s="82">
        <f t="shared" ca="1" si="26"/>
        <v>100</v>
      </c>
      <c r="X43" s="81">
        <f ca="1">IFERROR(__xludf.DUMMYFUNCTION("IMPORTRANGE(""https://docs.google.com/spreadsheets/d/1IdolZc-dfdgMwAm_KZxYJl1sUOcIgnbGQzbWOlddedo/edit?usp=sharing"",""เลย!I437"")"),0)</f>
        <v>0</v>
      </c>
      <c r="Y43" s="81">
        <f ca="1">IFERROR(__xludf.DUMMYFUNCTION("IMPORTRANGE(""https://docs.google.com/spreadsheets/d/1IdolZc-dfdgMwAm_KZxYJl1sUOcIgnbGQzbWOlddedo/edit?usp=sharing"",""เลย!I438"")"),0)</f>
        <v>0</v>
      </c>
      <c r="Z43" s="81">
        <f ca="1">IFERROR(__xludf.DUMMYFUNCTION("IMPORTRANGE(""https://docs.google.com/spreadsheets/d/1IdolZc-dfdgMwAm_KZxYJl1sUOcIgnbGQzbWOlddedo/edit?usp=sharing"",""เลย!J437"")"),0)</f>
        <v>0</v>
      </c>
      <c r="AA43" s="82">
        <f t="shared" ca="1" si="27"/>
        <v>0</v>
      </c>
      <c r="AB43" s="81">
        <f ca="1">IFERROR(__xludf.DUMMYFUNCTION("IMPORTRANGE(""https://docs.google.com/spreadsheets/d/1IdolZc-dfdgMwAm_KZxYJl1sUOcIgnbGQzbWOlddedo/edit?usp=sharing"",""เลย!J438"")"),0)</f>
        <v>0</v>
      </c>
      <c r="AC43" s="82">
        <f t="shared" ca="1" si="12"/>
        <v>0</v>
      </c>
      <c r="AD43" s="81">
        <f ca="1">IFERROR(__xludf.DUMMYFUNCTION("IMPORTRANGE(""https://docs.google.com/spreadsheets/d/1IdolZc-dfdgMwAm_KZxYJl1sUOcIgnbGQzbWOlddedo/edit?usp=sharing"",""เลย!I439"")"),20)</f>
        <v>20</v>
      </c>
      <c r="AE43" s="81">
        <f ca="1">IFERROR(__xludf.DUMMYFUNCTION("IMPORTRANGE(""https://docs.google.com/spreadsheets/d/1IdolZc-dfdgMwAm_KZxYJl1sUOcIgnbGQzbWOlddedo/edit?usp=sharing"",""เลย!I440"")"),1)</f>
        <v>1</v>
      </c>
      <c r="AF43" s="81">
        <f ca="1">IFERROR(__xludf.DUMMYFUNCTION("IMPORTRANGE(""https://docs.google.com/spreadsheets/d/1IdolZc-dfdgMwAm_KZxYJl1sUOcIgnbGQzbWOlddedo/edit?usp=sharing"",""เลย!J439"")"),20)</f>
        <v>20</v>
      </c>
      <c r="AG43" s="82">
        <f t="shared" ca="1" si="28"/>
        <v>100</v>
      </c>
      <c r="AH43" s="81">
        <f ca="1">IFERROR(__xludf.DUMMYFUNCTION("IMPORTRANGE(""https://docs.google.com/spreadsheets/d/1IdolZc-dfdgMwAm_KZxYJl1sUOcIgnbGQzbWOlddedo/edit?usp=sharing"",""เลย!J440"")"),1)</f>
        <v>1</v>
      </c>
      <c r="AI43" s="82">
        <f t="shared" ca="1" si="15"/>
        <v>100</v>
      </c>
      <c r="AJ43" s="81">
        <f ca="1">IFERROR(__xludf.DUMMYFUNCTION("IMPORTRANGE(""https://docs.google.com/spreadsheets/d/1IdolZc-dfdgMwAm_KZxYJl1sUOcIgnbGQzbWOlddedo/edit?usp=sharing"",""เลย!I441"")"),0)</f>
        <v>0</v>
      </c>
      <c r="AK43" s="81">
        <f ca="1">IFERROR(__xludf.DUMMYFUNCTION("IMPORTRANGE(""https://docs.google.com/spreadsheets/d/1IdolZc-dfdgMwAm_KZxYJl1sUOcIgnbGQzbWOlddedo/edit?usp=sharing"",""เลย!J441"")"),0)</f>
        <v>0</v>
      </c>
      <c r="AL43" s="82">
        <f t="shared" ca="1" si="29"/>
        <v>0</v>
      </c>
    </row>
    <row r="44" spans="1:38" ht="21" customHeight="1" x14ac:dyDescent="0.2">
      <c r="A44" s="72">
        <v>13</v>
      </c>
      <c r="B44" s="73" t="s">
        <v>61</v>
      </c>
      <c r="C44" s="74">
        <f t="shared" ca="1" si="47"/>
        <v>163360</v>
      </c>
      <c r="D44" s="75">
        <f ca="1">IFERROR(__xludf.DUMMYFUNCTION("IMPORTRANGE(""https://docs.google.com/spreadsheets/d/1tZ0nmtGuIRCaGAMXHlQU8EpR9LOAJvyKfc4f7EFmE34/edit?usp=sharing"",""ศรีสะเกษ!L424"")"),163360)</f>
        <v>163360</v>
      </c>
      <c r="E44" s="76">
        <f ca="1">IFERROR(__xludf.DUMMYFUNCTION("IMPORTRANGE(""https://docs.google.com/spreadsheets/d/1tZ0nmtGuIRCaGAMXHlQU8EpR9LOAJvyKfc4f7EFmE34/edit?usp=sharing"",""ศรีสะเกษ!L431"")"),0)</f>
        <v>0</v>
      </c>
      <c r="F44" s="77">
        <f t="shared" ca="1" si="1"/>
        <v>3200</v>
      </c>
      <c r="G44" s="78">
        <f t="shared" ca="1" si="2"/>
        <v>1.9588638589618022</v>
      </c>
      <c r="H44" s="79">
        <f t="shared" ca="1" si="48"/>
        <v>3200</v>
      </c>
      <c r="I44" s="76">
        <f ca="1">IFERROR(__xludf.DUMMYFUNCTION("IMPORTRANGE(""https://docs.google.com/spreadsheets/d/1tZ0nmtGuIRCaGAMXHlQU8EpR9LOAJvyKfc4f7EFmE34/edit?usp=sharing"",""ศรีสะเกษ!N425"")"),0)</f>
        <v>0</v>
      </c>
      <c r="J44" s="76">
        <f ca="1">IFERROR(__xludf.DUMMYFUNCTION("IMPORTRANGE(""https://docs.google.com/spreadsheets/d/1tZ0nmtGuIRCaGAMXHlQU8EpR9LOAJvyKfc4f7EFmE34/edit?usp=sharing"",""ศรีสะเกษ!N426"")"),0)</f>
        <v>0</v>
      </c>
      <c r="K44" s="76">
        <f ca="1">IFERROR(__xludf.DUMMYFUNCTION("IMPORTRANGE(""https://docs.google.com/spreadsheets/d/1tZ0nmtGuIRCaGAMXHlQU8EpR9LOAJvyKfc4f7EFmE34/edit?usp=sharing"",""ศรีสะเกษ!N427"")"),0)</f>
        <v>0</v>
      </c>
      <c r="L44" s="76">
        <f ca="1">IFERROR(__xludf.DUMMYFUNCTION("IMPORTRANGE(""https://docs.google.com/spreadsheets/d/1tZ0nmtGuIRCaGAMXHlQU8EpR9LOAJvyKfc4f7EFmE34/edit?usp=sharing"",""ศรีสะเกษ!N428"")"),3200)</f>
        <v>3200</v>
      </c>
      <c r="M44" s="80">
        <f ca="1">IFERROR(__xludf.DUMMYFUNCTION("IMPORTRANGE(""https://docs.google.com/spreadsheets/d/1tZ0nmtGuIRCaGAMXHlQU8EpR9LOAJvyKfc4f7EFmE34/edit?usp=sharing"",""ศรีสะเกษ!N431"")"),0)</f>
        <v>0</v>
      </c>
      <c r="N44" s="80">
        <f t="shared" ca="1" si="32"/>
        <v>0</v>
      </c>
      <c r="O44" s="81">
        <f ca="1">IFERROR(__xludf.DUMMYFUNCTION("IMPORTRANGE(""https://docs.google.com/spreadsheets/d/1tZ0nmtGuIRCaGAMXHlQU8EpR9LOAJvyKfc4f7EFmE34/edit?usp=sharing"",""ศรีสะเกษ!I433"")"),55)</f>
        <v>55</v>
      </c>
      <c r="P44" s="81">
        <f ca="1">IFERROR(__xludf.DUMMYFUNCTION("IMPORTRANGE(""https://docs.google.com/spreadsheets/d/1tZ0nmtGuIRCaGAMXHlQU8EpR9LOAJvyKfc4f7EFmE34/edit?usp=sharing"",""ศรีสะเกษ!I434"")"),1)</f>
        <v>1</v>
      </c>
      <c r="Q44" s="81">
        <f ca="1">IFERROR(__xludf.DUMMYFUNCTION("IMPORTRANGE(""https://docs.google.com/spreadsheets/d/1tZ0nmtGuIRCaGAMXHlQU8EpR9LOAJvyKfc4f7EFmE34/edit?usp=sharing"",""ศรีสะเกษ!J433"")"),0)</f>
        <v>0</v>
      </c>
      <c r="R44" s="82">
        <f t="shared" ca="1" si="25"/>
        <v>0</v>
      </c>
      <c r="S44" s="81">
        <f ca="1">IFERROR(__xludf.DUMMYFUNCTION("IMPORTRANGE(""https://docs.google.com/spreadsheets/d/1tZ0nmtGuIRCaGAMXHlQU8EpR9LOAJvyKfc4f7EFmE34/edit?usp=sharing"",""ศรีสะเกษ!J434"")"),0)</f>
        <v>0</v>
      </c>
      <c r="T44" s="82">
        <f t="shared" ca="1" si="7"/>
        <v>0</v>
      </c>
      <c r="U44" s="81">
        <f ca="1">IFERROR(__xludf.DUMMYFUNCTION("IMPORTRANGE(""https://docs.google.com/spreadsheets/d/1tZ0nmtGuIRCaGAMXHlQU8EpR9LOAJvyKfc4f7EFmE34/edit?usp=sharing"",""ศรีสะเกษ!I435"")"),55)</f>
        <v>55</v>
      </c>
      <c r="V44" s="81">
        <f ca="1">IFERROR(__xludf.DUMMYFUNCTION("IMPORTRANGE(""https://docs.google.com/spreadsheets/d/1tZ0nmtGuIRCaGAMXHlQU8EpR9LOAJvyKfc4f7EFmE34/edit?usp=sharing"",""ศรีสะเกษ!J435"")"),55)</f>
        <v>55</v>
      </c>
      <c r="W44" s="82">
        <f t="shared" ca="1" si="26"/>
        <v>100</v>
      </c>
      <c r="X44" s="81">
        <f ca="1">IFERROR(__xludf.DUMMYFUNCTION("IMPORTRANGE(""https://docs.google.com/spreadsheets/d/1tZ0nmtGuIRCaGAMXHlQU8EpR9LOAJvyKfc4f7EFmE34/edit?usp=sharing"",""ศรีสะเกษ!I437"")"),0)</f>
        <v>0</v>
      </c>
      <c r="Y44" s="81">
        <f ca="1">IFERROR(__xludf.DUMMYFUNCTION("IMPORTRANGE(""https://docs.google.com/spreadsheets/d/1tZ0nmtGuIRCaGAMXHlQU8EpR9LOAJvyKfc4f7EFmE34/edit?usp=sharing"",""ศรีสะเกษ!I438"")"),0)</f>
        <v>0</v>
      </c>
      <c r="Z44" s="81">
        <f ca="1">IFERROR(__xludf.DUMMYFUNCTION("IMPORTRANGE(""https://docs.google.com/spreadsheets/d/1tZ0nmtGuIRCaGAMXHlQU8EpR9LOAJvyKfc4f7EFmE34/edit?usp=sharing"",""ศรีสะเกษ!J437"")"),0)</f>
        <v>0</v>
      </c>
      <c r="AA44" s="82">
        <f t="shared" ca="1" si="27"/>
        <v>0</v>
      </c>
      <c r="AB44" s="81">
        <f ca="1">IFERROR(__xludf.DUMMYFUNCTION("IMPORTRANGE(""https://docs.google.com/spreadsheets/d/1tZ0nmtGuIRCaGAMXHlQU8EpR9LOAJvyKfc4f7EFmE34/edit?usp=sharing"",""ศรีสะเกษ!J438"")"),0)</f>
        <v>0</v>
      </c>
      <c r="AC44" s="82">
        <f t="shared" ca="1" si="12"/>
        <v>0</v>
      </c>
      <c r="AD44" s="81">
        <f ca="1">IFERROR(__xludf.DUMMYFUNCTION("IMPORTRANGE(""https://docs.google.com/spreadsheets/d/1tZ0nmtGuIRCaGAMXHlQU8EpR9LOAJvyKfc4f7EFmE34/edit?usp=sharing"",""ศรีสะเกษ!I439"")"),55)</f>
        <v>55</v>
      </c>
      <c r="AE44" s="81">
        <f ca="1">IFERROR(__xludf.DUMMYFUNCTION("IMPORTRANGE(""https://docs.google.com/spreadsheets/d/1tZ0nmtGuIRCaGAMXHlQU8EpR9LOAJvyKfc4f7EFmE34/edit?usp=sharing"",""ศรีสะเกษ!I440"")"),1)</f>
        <v>1</v>
      </c>
      <c r="AF44" s="81">
        <f ca="1">IFERROR(__xludf.DUMMYFUNCTION("IMPORTRANGE(""https://docs.google.com/spreadsheets/d/1tZ0nmtGuIRCaGAMXHlQU8EpR9LOAJvyKfc4f7EFmE34/edit?usp=sharing"",""ศรีสะเกษ!J439"")"),0)</f>
        <v>0</v>
      </c>
      <c r="AG44" s="82">
        <f t="shared" ca="1" si="28"/>
        <v>0</v>
      </c>
      <c r="AH44" s="81">
        <f ca="1">IFERROR(__xludf.DUMMYFUNCTION("IMPORTRANGE(""https://docs.google.com/spreadsheets/d/1tZ0nmtGuIRCaGAMXHlQU8EpR9LOAJvyKfc4f7EFmE34/edit?usp=sharing"",""ศรีสะเกษ!J440"")"),0)</f>
        <v>0</v>
      </c>
      <c r="AI44" s="82">
        <f t="shared" ca="1" si="15"/>
        <v>0</v>
      </c>
      <c r="AJ44" s="81">
        <f ca="1">IFERROR(__xludf.DUMMYFUNCTION("IMPORTRANGE(""https://docs.google.com/spreadsheets/d/1tZ0nmtGuIRCaGAMXHlQU8EpR9LOAJvyKfc4f7EFmE34/edit?usp=sharing"",""ศรีสะเกษ!I441"")"),0)</f>
        <v>0</v>
      </c>
      <c r="AK44" s="81">
        <f ca="1">IFERROR(__xludf.DUMMYFUNCTION("IMPORTRANGE(""https://docs.google.com/spreadsheets/d/1tZ0nmtGuIRCaGAMXHlQU8EpR9LOAJvyKfc4f7EFmE34/edit?usp=sharing"",""ศรีสะเกษ!J441"")"),0)</f>
        <v>0</v>
      </c>
      <c r="AL44" s="82">
        <f t="shared" ca="1" si="29"/>
        <v>0</v>
      </c>
    </row>
    <row r="45" spans="1:38" ht="21" customHeight="1" x14ac:dyDescent="0.2">
      <c r="A45" s="72">
        <v>14</v>
      </c>
      <c r="B45" s="73" t="s">
        <v>62</v>
      </c>
      <c r="C45" s="74">
        <f t="shared" ca="1" si="47"/>
        <v>103360</v>
      </c>
      <c r="D45" s="75">
        <f ca="1">IFERROR(__xludf.DUMMYFUNCTION("IMPORTRANGE(""https://docs.google.com/spreadsheets/d/1QC8psz9w0f9IVE9Xuc2FT_btkaOzZbbUSgYObpBuetM/edit?usp=sharing"",""สกลนคร!L424"")"),103360)</f>
        <v>103360</v>
      </c>
      <c r="E45" s="76">
        <f ca="1">IFERROR(__xludf.DUMMYFUNCTION("IMPORTRANGE(""https://docs.google.com/spreadsheets/d/1QC8psz9w0f9IVE9Xuc2FT_btkaOzZbbUSgYObpBuetM/edit?usp=sharing"",""สกลนคร!L431"")"),0)</f>
        <v>0</v>
      </c>
      <c r="F45" s="77">
        <f t="shared" ca="1" si="1"/>
        <v>22695</v>
      </c>
      <c r="G45" s="78">
        <f t="shared" ca="1" si="2"/>
        <v>21.957236842105264</v>
      </c>
      <c r="H45" s="79">
        <f t="shared" ca="1" si="48"/>
        <v>22695</v>
      </c>
      <c r="I45" s="76">
        <f ca="1">IFERROR(__xludf.DUMMYFUNCTION("IMPORTRANGE(""https://docs.google.com/spreadsheets/d/1QC8psz9w0f9IVE9Xuc2FT_btkaOzZbbUSgYObpBuetM/edit?usp=sharing"",""สกลนคร!N425"")"),0)</f>
        <v>0</v>
      </c>
      <c r="J45" s="76">
        <f ca="1">IFERROR(__xludf.DUMMYFUNCTION("IMPORTRANGE(""https://docs.google.com/spreadsheets/d/1QC8psz9w0f9IVE9Xuc2FT_btkaOzZbbUSgYObpBuetM/edit?usp=sharing"",""สกลนคร!N426"")"),0)</f>
        <v>0</v>
      </c>
      <c r="K45" s="76">
        <f ca="1">IFERROR(__xludf.DUMMYFUNCTION("IMPORTRANGE(""https://docs.google.com/spreadsheets/d/1QC8psz9w0f9IVE9Xuc2FT_btkaOzZbbUSgYObpBuetM/edit?usp=sharing"",""สกลนคร!N427"")"),0)</f>
        <v>0</v>
      </c>
      <c r="L45" s="76">
        <f ca="1">IFERROR(__xludf.DUMMYFUNCTION("IMPORTRANGE(""https://docs.google.com/spreadsheets/d/1QC8psz9w0f9IVE9Xuc2FT_btkaOzZbbUSgYObpBuetM/edit?usp=sharing"",""สกลนคร!N428"")"),22695)</f>
        <v>22695</v>
      </c>
      <c r="M45" s="80">
        <f ca="1">IFERROR(__xludf.DUMMYFUNCTION("IMPORTRANGE(""https://docs.google.com/spreadsheets/d/1QC8psz9w0f9IVE9Xuc2FT_btkaOzZbbUSgYObpBuetM/edit?usp=sharing"",""สกลนคร!N431"")"),0)</f>
        <v>0</v>
      </c>
      <c r="N45" s="80">
        <f t="shared" ca="1" si="32"/>
        <v>0</v>
      </c>
      <c r="O45" s="81">
        <f ca="1">IFERROR(__xludf.DUMMYFUNCTION("IMPORTRANGE(""https://docs.google.com/spreadsheets/d/1QC8psz9w0f9IVE9Xuc2FT_btkaOzZbbUSgYObpBuetM/edit?usp=sharing"",""สกลนคร!I433"")"),20)</f>
        <v>20</v>
      </c>
      <c r="P45" s="81">
        <f ca="1">IFERROR(__xludf.DUMMYFUNCTION("IMPORTRANGE(""https://docs.google.com/spreadsheets/d/1QC8psz9w0f9IVE9Xuc2FT_btkaOzZbbUSgYObpBuetM/edit?usp=sharing"",""สกลนคร!I434"")"),1)</f>
        <v>1</v>
      </c>
      <c r="Q45" s="81">
        <f ca="1">IFERROR(__xludf.DUMMYFUNCTION("IMPORTRANGE(""https://docs.google.com/spreadsheets/d/1QC8psz9w0f9IVE9Xuc2FT_btkaOzZbbUSgYObpBuetM/edit?usp=sharing"",""สกลนคร!J433"")"),0)</f>
        <v>0</v>
      </c>
      <c r="R45" s="82">
        <f t="shared" ca="1" si="25"/>
        <v>0</v>
      </c>
      <c r="S45" s="81">
        <f ca="1">IFERROR(__xludf.DUMMYFUNCTION("IMPORTRANGE(""https://docs.google.com/spreadsheets/d/1QC8psz9w0f9IVE9Xuc2FT_btkaOzZbbUSgYObpBuetM/edit?usp=sharing"",""สกลนคร!J434"")"),0)</f>
        <v>0</v>
      </c>
      <c r="T45" s="82">
        <f t="shared" ca="1" si="7"/>
        <v>0</v>
      </c>
      <c r="U45" s="81">
        <f ca="1">IFERROR(__xludf.DUMMYFUNCTION("IMPORTRANGE(""https://docs.google.com/spreadsheets/d/1QC8psz9w0f9IVE9Xuc2FT_btkaOzZbbUSgYObpBuetM/edit?usp=sharing"",""สกลนคร!I435"")"),20)</f>
        <v>20</v>
      </c>
      <c r="V45" s="81">
        <f ca="1">IFERROR(__xludf.DUMMYFUNCTION("IMPORTRANGE(""https://docs.google.com/spreadsheets/d/1QC8psz9w0f9IVE9Xuc2FT_btkaOzZbbUSgYObpBuetM/edit?usp=sharing"",""สกลนคร!J435"")"),20)</f>
        <v>20</v>
      </c>
      <c r="W45" s="82">
        <f t="shared" ca="1" si="26"/>
        <v>100</v>
      </c>
      <c r="X45" s="81">
        <f ca="1">IFERROR(__xludf.DUMMYFUNCTION("IMPORTRANGE(""https://docs.google.com/spreadsheets/d/1QC8psz9w0f9IVE9Xuc2FT_btkaOzZbbUSgYObpBuetM/edit?usp=sharing"",""สกลนคร!I437"")"),0)</f>
        <v>0</v>
      </c>
      <c r="Y45" s="81">
        <f ca="1">IFERROR(__xludf.DUMMYFUNCTION("IMPORTRANGE(""https://docs.google.com/spreadsheets/d/1QC8psz9w0f9IVE9Xuc2FT_btkaOzZbbUSgYObpBuetM/edit?usp=sharing"",""สกลนคร!I438"")"),0)</f>
        <v>0</v>
      </c>
      <c r="Z45" s="81">
        <f ca="1">IFERROR(__xludf.DUMMYFUNCTION("IMPORTRANGE(""https://docs.google.com/spreadsheets/d/1QC8psz9w0f9IVE9Xuc2FT_btkaOzZbbUSgYObpBuetM/edit?usp=sharing"",""สกลนคร!J437"")"),0)</f>
        <v>0</v>
      </c>
      <c r="AA45" s="82">
        <f t="shared" ca="1" si="27"/>
        <v>0</v>
      </c>
      <c r="AB45" s="81">
        <f ca="1">IFERROR(__xludf.DUMMYFUNCTION("IMPORTRANGE(""https://docs.google.com/spreadsheets/d/1QC8psz9w0f9IVE9Xuc2FT_btkaOzZbbUSgYObpBuetM/edit?usp=sharing"",""สกลนคร!J438"")"),0)</f>
        <v>0</v>
      </c>
      <c r="AC45" s="82">
        <f t="shared" ca="1" si="12"/>
        <v>0</v>
      </c>
      <c r="AD45" s="81">
        <f ca="1">IFERROR(__xludf.DUMMYFUNCTION("IMPORTRANGE(""https://docs.google.com/spreadsheets/d/1QC8psz9w0f9IVE9Xuc2FT_btkaOzZbbUSgYObpBuetM/edit?usp=sharing"",""สกลนคร!I439"")"),20)</f>
        <v>20</v>
      </c>
      <c r="AE45" s="81">
        <f ca="1">IFERROR(__xludf.DUMMYFUNCTION("IMPORTRANGE(""https://docs.google.com/spreadsheets/d/1QC8psz9w0f9IVE9Xuc2FT_btkaOzZbbUSgYObpBuetM/edit?usp=sharing"",""สกลนคร!I440"")"),1)</f>
        <v>1</v>
      </c>
      <c r="AF45" s="81">
        <f ca="1">IFERROR(__xludf.DUMMYFUNCTION("IMPORTRANGE(""https://docs.google.com/spreadsheets/d/1QC8psz9w0f9IVE9Xuc2FT_btkaOzZbbUSgYObpBuetM/edit?usp=sharing"",""สกลนคร!J439"")"),0)</f>
        <v>0</v>
      </c>
      <c r="AG45" s="82">
        <f t="shared" ca="1" si="28"/>
        <v>0</v>
      </c>
      <c r="AH45" s="81">
        <f ca="1">IFERROR(__xludf.DUMMYFUNCTION("IMPORTRANGE(""https://docs.google.com/spreadsheets/d/1QC8psz9w0f9IVE9Xuc2FT_btkaOzZbbUSgYObpBuetM/edit?usp=sharing"",""สกลนคร!J440"")"),0)</f>
        <v>0</v>
      </c>
      <c r="AI45" s="82">
        <f t="shared" ca="1" si="15"/>
        <v>0</v>
      </c>
      <c r="AJ45" s="81">
        <f ca="1">IFERROR(__xludf.DUMMYFUNCTION("IMPORTRANGE(""https://docs.google.com/spreadsheets/d/1QC8psz9w0f9IVE9Xuc2FT_btkaOzZbbUSgYObpBuetM/edit?usp=sharing"",""สกลนคร!I441"")"),0)</f>
        <v>0</v>
      </c>
      <c r="AK45" s="81">
        <f ca="1">IFERROR(__xludf.DUMMYFUNCTION("IMPORTRANGE(""https://docs.google.com/spreadsheets/d/1QC8psz9w0f9IVE9Xuc2FT_btkaOzZbbUSgYObpBuetM/edit?usp=sharing"",""สกลนคร!J441"")"),0)</f>
        <v>0</v>
      </c>
      <c r="AL45" s="82">
        <f t="shared" ca="1" si="29"/>
        <v>0</v>
      </c>
    </row>
    <row r="46" spans="1:38" ht="21" customHeight="1" x14ac:dyDescent="0.2">
      <c r="A46" s="72">
        <v>15</v>
      </c>
      <c r="B46" s="73" t="s">
        <v>63</v>
      </c>
      <c r="C46" s="74">
        <f t="shared" ca="1" si="47"/>
        <v>161140</v>
      </c>
      <c r="D46" s="75">
        <f ca="1">IFERROR(__xludf.DUMMYFUNCTION("IMPORTRANGE(""https://docs.google.com/spreadsheets/d/1wPdvRbu02d33MYVlbsCnyTiZpefEBs9NNktAnT1HZvw/edit?usp=sharing"",""สุรินทร์!L424"")"),161140)</f>
        <v>161140</v>
      </c>
      <c r="E46" s="76">
        <f ca="1">IFERROR(__xludf.DUMMYFUNCTION("IMPORTRANGE(""https://docs.google.com/spreadsheets/d/1wPdvRbu02d33MYVlbsCnyTiZpefEBs9NNktAnT1HZvw/edit?usp=sharing"",""สุรินทร์!L431"")"),0)</f>
        <v>0</v>
      </c>
      <c r="F46" s="77">
        <f t="shared" ca="1" si="1"/>
        <v>59157.3</v>
      </c>
      <c r="G46" s="78">
        <f t="shared" ca="1" si="2"/>
        <v>36.71174134293161</v>
      </c>
      <c r="H46" s="79">
        <f t="shared" ca="1" si="48"/>
        <v>59157.3</v>
      </c>
      <c r="I46" s="76">
        <f ca="1">IFERROR(__xludf.DUMMYFUNCTION("IMPORTRANGE(""https://docs.google.com/spreadsheets/d/1wPdvRbu02d33MYVlbsCnyTiZpefEBs9NNktAnT1HZvw/edit?usp=sharing"",""สุรินทร์!N425"")"),52695)</f>
        <v>52695</v>
      </c>
      <c r="J46" s="76">
        <f ca="1">IFERROR(__xludf.DUMMYFUNCTION("IMPORTRANGE(""https://docs.google.com/spreadsheets/d/1wPdvRbu02d33MYVlbsCnyTiZpefEBs9NNktAnT1HZvw/edit?usp=sharing"",""สุรินทร์!N426"")"),0)</f>
        <v>0</v>
      </c>
      <c r="K46" s="76">
        <f ca="1">IFERROR(__xludf.DUMMYFUNCTION("IMPORTRANGE(""https://docs.google.com/spreadsheets/d/1wPdvRbu02d33MYVlbsCnyTiZpefEBs9NNktAnT1HZvw/edit?usp=sharing"",""สุรินทร์!N427"")"),0)</f>
        <v>0</v>
      </c>
      <c r="L46" s="76">
        <f ca="1">IFERROR(__xludf.DUMMYFUNCTION("IMPORTRANGE(""https://docs.google.com/spreadsheets/d/1wPdvRbu02d33MYVlbsCnyTiZpefEBs9NNktAnT1HZvw/edit?usp=sharing"",""สุรินทร์!N428"")"),6462.3)</f>
        <v>6462.3</v>
      </c>
      <c r="M46" s="80">
        <f ca="1">IFERROR(__xludf.DUMMYFUNCTION("IMPORTRANGE(""https://docs.google.com/spreadsheets/d/1wPdvRbu02d33MYVlbsCnyTiZpefEBs9NNktAnT1HZvw/edit?usp=sharing"",""สุรินทร์!N431"")"),0)</f>
        <v>0</v>
      </c>
      <c r="N46" s="80">
        <f t="shared" ca="1" si="32"/>
        <v>0</v>
      </c>
      <c r="O46" s="81">
        <f ca="1">IFERROR(__xludf.DUMMYFUNCTION("IMPORTRANGE(""https://docs.google.com/spreadsheets/d/1wPdvRbu02d33MYVlbsCnyTiZpefEBs9NNktAnT1HZvw/edit?usp=sharing"",""สุรินทร์!I433"")"),50)</f>
        <v>50</v>
      </c>
      <c r="P46" s="81">
        <f ca="1">IFERROR(__xludf.DUMMYFUNCTION("IMPORTRANGE(""https://docs.google.com/spreadsheets/d/1wPdvRbu02d33MYVlbsCnyTiZpefEBs9NNktAnT1HZvw/edit?usp=sharing"",""สุรินทร์!I434"")"),2)</f>
        <v>2</v>
      </c>
      <c r="Q46" s="81">
        <f ca="1">IFERROR(__xludf.DUMMYFUNCTION("IMPORTRANGE(""https://docs.google.com/spreadsheets/d/1wPdvRbu02d33MYVlbsCnyTiZpefEBs9NNktAnT1HZvw/edit?usp=sharing"",""สุรินทร์!J433"")"),50)</f>
        <v>50</v>
      </c>
      <c r="R46" s="82">
        <f t="shared" ca="1" si="25"/>
        <v>100</v>
      </c>
      <c r="S46" s="81">
        <f ca="1">IFERROR(__xludf.DUMMYFUNCTION("IMPORTRANGE(""https://docs.google.com/spreadsheets/d/1wPdvRbu02d33MYVlbsCnyTiZpefEBs9NNktAnT1HZvw/edit?usp=sharing"",""สุรินทร์!J434"")"),2)</f>
        <v>2</v>
      </c>
      <c r="T46" s="82">
        <f t="shared" ca="1" si="7"/>
        <v>100</v>
      </c>
      <c r="U46" s="81">
        <f ca="1">IFERROR(__xludf.DUMMYFUNCTION("IMPORTRANGE(""https://docs.google.com/spreadsheets/d/1wPdvRbu02d33MYVlbsCnyTiZpefEBs9NNktAnT1HZvw/edit?usp=sharing"",""สุรินทร์!I435"")"),50)</f>
        <v>50</v>
      </c>
      <c r="V46" s="81">
        <f ca="1">IFERROR(__xludf.DUMMYFUNCTION("IMPORTRANGE(""https://docs.google.com/spreadsheets/d/1wPdvRbu02d33MYVlbsCnyTiZpefEBs9NNktAnT1HZvw/edit?usp=sharing"",""สุรินทร์!J435"")"),50)</f>
        <v>50</v>
      </c>
      <c r="W46" s="82">
        <f t="shared" ca="1" si="26"/>
        <v>100</v>
      </c>
      <c r="X46" s="81">
        <f ca="1">IFERROR(__xludf.DUMMYFUNCTION("IMPORTRANGE(""https://docs.google.com/spreadsheets/d/1wPdvRbu02d33MYVlbsCnyTiZpefEBs9NNktAnT1HZvw/edit?usp=sharing"",""สุรินทร์!I437"")"),30)</f>
        <v>30</v>
      </c>
      <c r="Y46" s="81">
        <f ca="1">IFERROR(__xludf.DUMMYFUNCTION("IMPORTRANGE(""https://docs.google.com/spreadsheets/d/1wPdvRbu02d33MYVlbsCnyTiZpefEBs9NNktAnT1HZvw/edit?usp=sharing"",""สุรินทร์!I438"")"),1)</f>
        <v>1</v>
      </c>
      <c r="Z46" s="81">
        <f ca="1">IFERROR(__xludf.DUMMYFUNCTION("IMPORTRANGE(""https://docs.google.com/spreadsheets/d/1wPdvRbu02d33MYVlbsCnyTiZpefEBs9NNktAnT1HZvw/edit?usp=sharing"",""สุรินทร์!J437"")"),30)</f>
        <v>30</v>
      </c>
      <c r="AA46" s="82">
        <f t="shared" ca="1" si="27"/>
        <v>100</v>
      </c>
      <c r="AB46" s="81">
        <f ca="1">IFERROR(__xludf.DUMMYFUNCTION("IMPORTRANGE(""https://docs.google.com/spreadsheets/d/1wPdvRbu02d33MYVlbsCnyTiZpefEBs9NNktAnT1HZvw/edit?usp=sharing"",""สุรินทร์!J438"")"),1)</f>
        <v>1</v>
      </c>
      <c r="AC46" s="82">
        <f t="shared" ca="1" si="12"/>
        <v>100</v>
      </c>
      <c r="AD46" s="81">
        <f ca="1">IFERROR(__xludf.DUMMYFUNCTION("IMPORTRANGE(""https://docs.google.com/spreadsheets/d/1wPdvRbu02d33MYVlbsCnyTiZpefEBs9NNktAnT1HZvw/edit?usp=sharing"",""สุรินทร์!I439"")"),20)</f>
        <v>20</v>
      </c>
      <c r="AE46" s="81">
        <f ca="1">IFERROR(__xludf.DUMMYFUNCTION("IMPORTRANGE(""https://docs.google.com/spreadsheets/d/1wPdvRbu02d33MYVlbsCnyTiZpefEBs9NNktAnT1HZvw/edit?usp=sharing"",""สุรินทร์!I440"")"),1)</f>
        <v>1</v>
      </c>
      <c r="AF46" s="81">
        <f ca="1">IFERROR(__xludf.DUMMYFUNCTION("IMPORTRANGE(""https://docs.google.com/spreadsheets/d/1wPdvRbu02d33MYVlbsCnyTiZpefEBs9NNktAnT1HZvw/edit?usp=sharing"",""สุรินทร์!J439"")"),20)</f>
        <v>20</v>
      </c>
      <c r="AG46" s="82">
        <f t="shared" ca="1" si="28"/>
        <v>100</v>
      </c>
      <c r="AH46" s="81">
        <f ca="1">IFERROR(__xludf.DUMMYFUNCTION("IMPORTRANGE(""https://docs.google.com/spreadsheets/d/1wPdvRbu02d33MYVlbsCnyTiZpefEBs9NNktAnT1HZvw/edit?usp=sharing"",""สุรินทร์!J440"")"),1)</f>
        <v>1</v>
      </c>
      <c r="AI46" s="82">
        <f t="shared" ca="1" si="15"/>
        <v>100</v>
      </c>
      <c r="AJ46" s="81">
        <f ca="1">IFERROR(__xludf.DUMMYFUNCTION("IMPORTRANGE(""https://docs.google.com/spreadsheets/d/1wPdvRbu02d33MYVlbsCnyTiZpefEBs9NNktAnT1HZvw/edit?usp=sharing"",""สุรินทร์!I441"")"),0)</f>
        <v>0</v>
      </c>
      <c r="AK46" s="81">
        <f ca="1">IFERROR(__xludf.DUMMYFUNCTION("IMPORTRANGE(""https://docs.google.com/spreadsheets/d/1wPdvRbu02d33MYVlbsCnyTiZpefEBs9NNktAnT1HZvw/edit?usp=sharing"",""สุรินทร์!J441"")"),0)</f>
        <v>0</v>
      </c>
      <c r="AL46" s="82">
        <f t="shared" ca="1" si="29"/>
        <v>0</v>
      </c>
    </row>
    <row r="47" spans="1:38" ht="21" customHeight="1" x14ac:dyDescent="0.2">
      <c r="A47" s="72">
        <v>16</v>
      </c>
      <c r="B47" s="73" t="s">
        <v>64</v>
      </c>
      <c r="C47" s="74">
        <f t="shared" ca="1" si="47"/>
        <v>78660</v>
      </c>
      <c r="D47" s="75">
        <f ca="1">IFERROR(__xludf.DUMMYFUNCTION("IMPORTRANGE(""https://docs.google.com/spreadsheets/d/1GVExpf-Exi_2gmuqTYH28fseTB9MoKPXWcXCbSt_YrM/edit?usp=sharing"",""หนองคาย!L424"")"),78660)</f>
        <v>78660</v>
      </c>
      <c r="E47" s="76">
        <f ca="1">IFERROR(__xludf.DUMMYFUNCTION("IMPORTRANGE(""https://docs.google.com/spreadsheets/d/1GVExpf-Exi_2gmuqTYH28fseTB9MoKPXWcXCbSt_YrM/edit?usp=sharing"",""หนองคาย!L431"")"),0)</f>
        <v>0</v>
      </c>
      <c r="F47" s="77">
        <f t="shared" ca="1" si="1"/>
        <v>27035</v>
      </c>
      <c r="G47" s="78">
        <f t="shared" ca="1" si="2"/>
        <v>34.369438087973556</v>
      </c>
      <c r="H47" s="79">
        <f t="shared" ca="1" si="48"/>
        <v>27035</v>
      </c>
      <c r="I47" s="76">
        <f ca="1">IFERROR(__xludf.DUMMYFUNCTION("IMPORTRANGE(""https://docs.google.com/spreadsheets/d/1GVExpf-Exi_2gmuqTYH28fseTB9MoKPXWcXCbSt_YrM/edit?usp=sharing"",""หนองคาย!N425"")"),22335)</f>
        <v>22335</v>
      </c>
      <c r="J47" s="76">
        <f ca="1">IFERROR(__xludf.DUMMYFUNCTION("IMPORTRANGE(""https://docs.google.com/spreadsheets/d/1GVExpf-Exi_2gmuqTYH28fseTB9MoKPXWcXCbSt_YrM/edit?usp=sharing"",""หนองคาย!N426"")"),0)</f>
        <v>0</v>
      </c>
      <c r="K47" s="76">
        <f ca="1">IFERROR(__xludf.DUMMYFUNCTION("IMPORTRANGE(""https://docs.google.com/spreadsheets/d/1GVExpf-Exi_2gmuqTYH28fseTB9MoKPXWcXCbSt_YrM/edit?usp=sharing"",""หนองคาย!N427"")"),0)</f>
        <v>0</v>
      </c>
      <c r="L47" s="76">
        <f ca="1">IFERROR(__xludf.DUMMYFUNCTION("IMPORTRANGE(""https://docs.google.com/spreadsheets/d/1GVExpf-Exi_2gmuqTYH28fseTB9MoKPXWcXCbSt_YrM/edit?usp=sharing"",""หนองคาย!N428"")"),4700)</f>
        <v>4700</v>
      </c>
      <c r="M47" s="80">
        <f ca="1">IFERROR(__xludf.DUMMYFUNCTION("IMPORTRANGE(""https://docs.google.com/spreadsheets/d/1GVExpf-Exi_2gmuqTYH28fseTB9MoKPXWcXCbSt_YrM/edit?usp=sharing"",""หนองคาย!N431"")"),0)</f>
        <v>0</v>
      </c>
      <c r="N47" s="80">
        <f t="shared" ca="1" si="32"/>
        <v>0</v>
      </c>
      <c r="O47" s="81">
        <f ca="1">IFERROR(__xludf.DUMMYFUNCTION("IMPORTRANGE(""https://docs.google.com/spreadsheets/d/1GVExpf-Exi_2gmuqTYH28fseTB9MoKPXWcXCbSt_YrM/edit?usp=sharing"",""หนองคาย!I433"")"),20)</f>
        <v>20</v>
      </c>
      <c r="P47" s="81">
        <f ca="1">IFERROR(__xludf.DUMMYFUNCTION("IMPORTRANGE(""https://docs.google.com/spreadsheets/d/1GVExpf-Exi_2gmuqTYH28fseTB9MoKPXWcXCbSt_YrM/edit?usp=sharing"",""หนองคาย!I434"")"),1)</f>
        <v>1</v>
      </c>
      <c r="Q47" s="81">
        <f ca="1">IFERROR(__xludf.DUMMYFUNCTION("IMPORTRANGE(""https://docs.google.com/spreadsheets/d/1GVExpf-Exi_2gmuqTYH28fseTB9MoKPXWcXCbSt_YrM/edit?usp=sharing"",""หนองคาย!J433"")"),0)</f>
        <v>0</v>
      </c>
      <c r="R47" s="82">
        <f t="shared" ca="1" si="25"/>
        <v>0</v>
      </c>
      <c r="S47" s="81">
        <f ca="1">IFERROR(__xludf.DUMMYFUNCTION("IMPORTRANGE(""https://docs.google.com/spreadsheets/d/1GVExpf-Exi_2gmuqTYH28fseTB9MoKPXWcXCbSt_YrM/edit?usp=sharing"",""หนองคาย!J434"")"),0)</f>
        <v>0</v>
      </c>
      <c r="T47" s="82">
        <f t="shared" ca="1" si="7"/>
        <v>0</v>
      </c>
      <c r="U47" s="81">
        <f ca="1">IFERROR(__xludf.DUMMYFUNCTION("IMPORTRANGE(""https://docs.google.com/spreadsheets/d/1GVExpf-Exi_2gmuqTYH28fseTB9MoKPXWcXCbSt_YrM/edit?usp=sharing"",""หนองคาย!I435"")"),20)</f>
        <v>20</v>
      </c>
      <c r="V47" s="81">
        <f ca="1">IFERROR(__xludf.DUMMYFUNCTION("IMPORTRANGE(""https://docs.google.com/spreadsheets/d/1GVExpf-Exi_2gmuqTYH28fseTB9MoKPXWcXCbSt_YrM/edit?usp=sharing"",""หนองคาย!J435"")"),20)</f>
        <v>20</v>
      </c>
      <c r="W47" s="82">
        <f t="shared" ca="1" si="26"/>
        <v>100</v>
      </c>
      <c r="X47" s="81">
        <f ca="1">IFERROR(__xludf.DUMMYFUNCTION("IMPORTRANGE(""https://docs.google.com/spreadsheets/d/1GVExpf-Exi_2gmuqTYH28fseTB9MoKPXWcXCbSt_YrM/edit?usp=sharing"",""หนองคาย!I437"")"),0)</f>
        <v>0</v>
      </c>
      <c r="Y47" s="81">
        <f ca="1">IFERROR(__xludf.DUMMYFUNCTION("IMPORTRANGE(""https://docs.google.com/spreadsheets/d/1GVExpf-Exi_2gmuqTYH28fseTB9MoKPXWcXCbSt_YrM/edit?usp=sharing"",""หนองคาย!I438"")"),0)</f>
        <v>0</v>
      </c>
      <c r="Z47" s="81">
        <f ca="1">IFERROR(__xludf.DUMMYFUNCTION("IMPORTRANGE(""https://docs.google.com/spreadsheets/d/1GVExpf-Exi_2gmuqTYH28fseTB9MoKPXWcXCbSt_YrM/edit?usp=sharing"",""หนองคาย!J437"")"),0)</f>
        <v>0</v>
      </c>
      <c r="AA47" s="82">
        <f t="shared" ca="1" si="27"/>
        <v>0</v>
      </c>
      <c r="AB47" s="81">
        <f ca="1">IFERROR(__xludf.DUMMYFUNCTION("IMPORTRANGE(""https://docs.google.com/spreadsheets/d/1GVExpf-Exi_2gmuqTYH28fseTB9MoKPXWcXCbSt_YrM/edit?usp=sharing"",""หนองคาย!J438"")"),0)</f>
        <v>0</v>
      </c>
      <c r="AC47" s="82">
        <f t="shared" ca="1" si="12"/>
        <v>0</v>
      </c>
      <c r="AD47" s="81">
        <f ca="1">IFERROR(__xludf.DUMMYFUNCTION("IMPORTRANGE(""https://docs.google.com/spreadsheets/d/1GVExpf-Exi_2gmuqTYH28fseTB9MoKPXWcXCbSt_YrM/edit?usp=sharing"",""หนองคาย!I439"")"),20)</f>
        <v>20</v>
      </c>
      <c r="AE47" s="81">
        <f ca="1">IFERROR(__xludf.DUMMYFUNCTION("IMPORTRANGE(""https://docs.google.com/spreadsheets/d/1GVExpf-Exi_2gmuqTYH28fseTB9MoKPXWcXCbSt_YrM/edit?usp=sharing"",""หนองคาย!I440"")"),1)</f>
        <v>1</v>
      </c>
      <c r="AF47" s="81">
        <f ca="1">IFERROR(__xludf.DUMMYFUNCTION("IMPORTRANGE(""https://docs.google.com/spreadsheets/d/1GVExpf-Exi_2gmuqTYH28fseTB9MoKPXWcXCbSt_YrM/edit?usp=sharing"",""หนองคาย!J439"")"),0)</f>
        <v>0</v>
      </c>
      <c r="AG47" s="82">
        <f t="shared" ca="1" si="28"/>
        <v>0</v>
      </c>
      <c r="AH47" s="81">
        <f ca="1">IFERROR(__xludf.DUMMYFUNCTION("IMPORTRANGE(""https://docs.google.com/spreadsheets/d/1GVExpf-Exi_2gmuqTYH28fseTB9MoKPXWcXCbSt_YrM/edit?usp=sharing"",""หนองคาย!J440"")"),0)</f>
        <v>0</v>
      </c>
      <c r="AI47" s="82">
        <f t="shared" ca="1" si="15"/>
        <v>0</v>
      </c>
      <c r="AJ47" s="81">
        <f ca="1">IFERROR(__xludf.DUMMYFUNCTION("IMPORTRANGE(""https://docs.google.com/spreadsheets/d/1GVExpf-Exi_2gmuqTYH28fseTB9MoKPXWcXCbSt_YrM/edit?usp=sharing"",""หนองคาย!I441"")"),0)</f>
        <v>0</v>
      </c>
      <c r="AK47" s="81">
        <f ca="1">IFERROR(__xludf.DUMMYFUNCTION("IMPORTRANGE(""https://docs.google.com/spreadsheets/d/1GVExpf-Exi_2gmuqTYH28fseTB9MoKPXWcXCbSt_YrM/edit?usp=sharing"",""หนองคาย!J441"")"),0)</f>
        <v>0</v>
      </c>
      <c r="AL47" s="82">
        <f t="shared" ca="1" si="29"/>
        <v>0</v>
      </c>
    </row>
    <row r="48" spans="1:38" ht="21" customHeight="1" x14ac:dyDescent="0.2">
      <c r="A48" s="72">
        <v>17</v>
      </c>
      <c r="B48" s="73" t="s">
        <v>65</v>
      </c>
      <c r="C48" s="74">
        <f t="shared" ca="1" si="47"/>
        <v>78660</v>
      </c>
      <c r="D48" s="75">
        <f ca="1">IFERROR(__xludf.DUMMYFUNCTION("IMPORTRANGE(""https://docs.google.com/spreadsheets/d/16UeMz0UgOB5BZcoxP75eYGcLFtGYRn9GoesD4OX9m5U/edit?usp=sharing"",""หนองบัวลำภู!L424"")"),78660)</f>
        <v>78660</v>
      </c>
      <c r="E48" s="76">
        <f ca="1">IFERROR(__xludf.DUMMYFUNCTION("IMPORTRANGE(""https://docs.google.com/spreadsheets/d/16UeMz0UgOB5BZcoxP75eYGcLFtGYRn9GoesD4OX9m5U/edit?usp=sharing"",""หนองบัวลำภู!L431"")"),0)</f>
        <v>0</v>
      </c>
      <c r="F48" s="77">
        <f t="shared" ca="1" si="1"/>
        <v>39574</v>
      </c>
      <c r="G48" s="78">
        <f t="shared" ca="1" si="2"/>
        <v>50.310195779303328</v>
      </c>
      <c r="H48" s="79">
        <f t="shared" ca="1" si="48"/>
        <v>39574</v>
      </c>
      <c r="I48" s="76">
        <f ca="1">IFERROR(__xludf.DUMMYFUNCTION("IMPORTRANGE(""https://docs.google.com/spreadsheets/d/16UeMz0UgOB5BZcoxP75eYGcLFtGYRn9GoesD4OX9m5U/edit?usp=sharing"",""หนองบัวลำภู!N425"")"),39574)</f>
        <v>39574</v>
      </c>
      <c r="J48" s="76">
        <f ca="1">IFERROR(__xludf.DUMMYFUNCTION("IMPORTRANGE(""https://docs.google.com/spreadsheets/d/16UeMz0UgOB5BZcoxP75eYGcLFtGYRn9GoesD4OX9m5U/edit?usp=sharing"",""หนองบัวลำภู!N426"")"),0)</f>
        <v>0</v>
      </c>
      <c r="K48" s="76">
        <f ca="1">IFERROR(__xludf.DUMMYFUNCTION("IMPORTRANGE(""https://docs.google.com/spreadsheets/d/16UeMz0UgOB5BZcoxP75eYGcLFtGYRn9GoesD4OX9m5U/edit?usp=sharing"",""หนองบัวลำภู!N427"")"),0)</f>
        <v>0</v>
      </c>
      <c r="L48" s="76">
        <f ca="1">IFERROR(__xludf.DUMMYFUNCTION("IMPORTRANGE(""https://docs.google.com/spreadsheets/d/16UeMz0UgOB5BZcoxP75eYGcLFtGYRn9GoesD4OX9m5U/edit?usp=sharing"",""หนองบัวลำภู!N428"")"),0)</f>
        <v>0</v>
      </c>
      <c r="M48" s="80">
        <f ca="1">IFERROR(__xludf.DUMMYFUNCTION("IMPORTRANGE(""https://docs.google.com/spreadsheets/d/16UeMz0UgOB5BZcoxP75eYGcLFtGYRn9GoesD4OX9m5U/edit?usp=sharing"",""หนองบัวลำภู!N431"")"),0)</f>
        <v>0</v>
      </c>
      <c r="N48" s="80">
        <f t="shared" ca="1" si="32"/>
        <v>0</v>
      </c>
      <c r="O48" s="81">
        <f ca="1">IFERROR(__xludf.DUMMYFUNCTION("IMPORTRANGE(""https://docs.google.com/spreadsheets/d/16UeMz0UgOB5BZcoxP75eYGcLFtGYRn9GoesD4OX9m5U/edit?usp=sharing"",""หนองบัวลำภู!I433"")"),20)</f>
        <v>20</v>
      </c>
      <c r="P48" s="81">
        <f ca="1">IFERROR(__xludf.DUMMYFUNCTION("IMPORTRANGE(""https://docs.google.com/spreadsheets/d/16UeMz0UgOB5BZcoxP75eYGcLFtGYRn9GoesD4OX9m5U/edit?usp=sharing"",""หนองบัวลำภู!I434"")"),1)</f>
        <v>1</v>
      </c>
      <c r="Q48" s="81">
        <f ca="1">IFERROR(__xludf.DUMMYFUNCTION("IMPORTRANGE(""https://docs.google.com/spreadsheets/d/16UeMz0UgOB5BZcoxP75eYGcLFtGYRn9GoesD4OX9m5U/edit?usp=sharing"",""หนองบัวลำภู!J433"")"),20)</f>
        <v>20</v>
      </c>
      <c r="R48" s="82">
        <f t="shared" ca="1" si="25"/>
        <v>100</v>
      </c>
      <c r="S48" s="81">
        <f ca="1">IFERROR(__xludf.DUMMYFUNCTION("IMPORTRANGE(""https://docs.google.com/spreadsheets/d/16UeMz0UgOB5BZcoxP75eYGcLFtGYRn9GoesD4OX9m5U/edit?usp=sharing"",""หนองบัวลำภู!J434"")"),1)</f>
        <v>1</v>
      </c>
      <c r="T48" s="82">
        <f t="shared" ca="1" si="7"/>
        <v>100</v>
      </c>
      <c r="U48" s="81">
        <f ca="1">IFERROR(__xludf.DUMMYFUNCTION("IMPORTRANGE(""https://docs.google.com/spreadsheets/d/16UeMz0UgOB5BZcoxP75eYGcLFtGYRn9GoesD4OX9m5U/edit?usp=sharing"",""หนองบัวลำภู!I435"")"),20)</f>
        <v>20</v>
      </c>
      <c r="V48" s="81">
        <f ca="1">IFERROR(__xludf.DUMMYFUNCTION("IMPORTRANGE(""https://docs.google.com/spreadsheets/d/16UeMz0UgOB5BZcoxP75eYGcLFtGYRn9GoesD4OX9m5U/edit?usp=sharing"",""หนองบัวลำภู!J435"")"),20)</f>
        <v>20</v>
      </c>
      <c r="W48" s="82">
        <f t="shared" ca="1" si="26"/>
        <v>100</v>
      </c>
      <c r="X48" s="81">
        <f ca="1">IFERROR(__xludf.DUMMYFUNCTION("IMPORTRANGE(""https://docs.google.com/spreadsheets/d/16UeMz0UgOB5BZcoxP75eYGcLFtGYRn9GoesD4OX9m5U/edit?usp=sharing"",""หนองบัวลำภู!I437"")"),0)</f>
        <v>0</v>
      </c>
      <c r="Y48" s="81">
        <f ca="1">IFERROR(__xludf.DUMMYFUNCTION("IMPORTRANGE(""https://docs.google.com/spreadsheets/d/16UeMz0UgOB5BZcoxP75eYGcLFtGYRn9GoesD4OX9m5U/edit?usp=sharing"",""หนองบัวลำภู!I438"")"),0)</f>
        <v>0</v>
      </c>
      <c r="Z48" s="81">
        <f ca="1">IFERROR(__xludf.DUMMYFUNCTION("IMPORTRANGE(""https://docs.google.com/spreadsheets/d/16UeMz0UgOB5BZcoxP75eYGcLFtGYRn9GoesD4OX9m5U/edit?usp=sharing"",""หนองบัวลำภู!J437"")"),0)</f>
        <v>0</v>
      </c>
      <c r="AA48" s="82">
        <f t="shared" ca="1" si="27"/>
        <v>0</v>
      </c>
      <c r="AB48" s="81">
        <f ca="1">IFERROR(__xludf.DUMMYFUNCTION("IMPORTRANGE(""https://docs.google.com/spreadsheets/d/16UeMz0UgOB5BZcoxP75eYGcLFtGYRn9GoesD4OX9m5U/edit?usp=sharing"",""หนองบัวลำภู!J438"")"),0)</f>
        <v>0</v>
      </c>
      <c r="AC48" s="82">
        <f t="shared" ca="1" si="12"/>
        <v>0</v>
      </c>
      <c r="AD48" s="81">
        <f ca="1">IFERROR(__xludf.DUMMYFUNCTION("IMPORTRANGE(""https://docs.google.com/spreadsheets/d/16UeMz0UgOB5BZcoxP75eYGcLFtGYRn9GoesD4OX9m5U/edit?usp=sharing"",""หนองบัวลำภู!I439"")"),20)</f>
        <v>20</v>
      </c>
      <c r="AE48" s="81">
        <f ca="1">IFERROR(__xludf.DUMMYFUNCTION("IMPORTRANGE(""https://docs.google.com/spreadsheets/d/16UeMz0UgOB5BZcoxP75eYGcLFtGYRn9GoesD4OX9m5U/edit?usp=sharing"",""หนองบัวลำภู!I440"")"),1)</f>
        <v>1</v>
      </c>
      <c r="AF48" s="81">
        <f ca="1">IFERROR(__xludf.DUMMYFUNCTION("IMPORTRANGE(""https://docs.google.com/spreadsheets/d/16UeMz0UgOB5BZcoxP75eYGcLFtGYRn9GoesD4OX9m5U/edit?usp=sharing"",""หนองบัวลำภู!J439"")"),20)</f>
        <v>20</v>
      </c>
      <c r="AG48" s="82">
        <f t="shared" ca="1" si="28"/>
        <v>100</v>
      </c>
      <c r="AH48" s="81">
        <f ca="1">IFERROR(__xludf.DUMMYFUNCTION("IMPORTRANGE(""https://docs.google.com/spreadsheets/d/16UeMz0UgOB5BZcoxP75eYGcLFtGYRn9GoesD4OX9m5U/edit?usp=sharing"",""หนองบัวลำภู!J440"")"),1)</f>
        <v>1</v>
      </c>
      <c r="AI48" s="82">
        <f t="shared" ca="1" si="15"/>
        <v>100</v>
      </c>
      <c r="AJ48" s="81">
        <f ca="1">IFERROR(__xludf.DUMMYFUNCTION("IMPORTRANGE(""https://docs.google.com/spreadsheets/d/16UeMz0UgOB5BZcoxP75eYGcLFtGYRn9GoesD4OX9m5U/edit?usp=sharing"",""หนองบัวลำภู!I441"")"),0)</f>
        <v>0</v>
      </c>
      <c r="AK48" s="81">
        <f ca="1">IFERROR(__xludf.DUMMYFUNCTION("IMPORTRANGE(""https://docs.google.com/spreadsheets/d/16UeMz0UgOB5BZcoxP75eYGcLFtGYRn9GoesD4OX9m5U/edit?usp=sharing"",""หนองบัวลำภู!J441"")"),0)</f>
        <v>0</v>
      </c>
      <c r="AL48" s="82">
        <f t="shared" ca="1" si="29"/>
        <v>0</v>
      </c>
    </row>
    <row r="49" spans="1:38" ht="21" customHeight="1" x14ac:dyDescent="0.2">
      <c r="A49" s="72">
        <v>18</v>
      </c>
      <c r="B49" s="73" t="s">
        <v>66</v>
      </c>
      <c r="C49" s="74">
        <f t="shared" ca="1" si="47"/>
        <v>102860</v>
      </c>
      <c r="D49" s="75">
        <f ca="1">IFERROR(__xludf.DUMMYFUNCTION("IMPORTRANGE(""https://docs.google.com/spreadsheets/d/1uUP8Zo1-qaJLuIkRU0qlwLSE3DHkbdrrj2JGJiWBQZE/edit?usp=sharing"",""อำนาจเจริญ!L424"")"),102860)</f>
        <v>102860</v>
      </c>
      <c r="E49" s="76">
        <f ca="1">IFERROR(__xludf.DUMMYFUNCTION("IMPORTRANGE(""https://docs.google.com/spreadsheets/d/1uUP8Zo1-qaJLuIkRU0qlwLSE3DHkbdrrj2JGJiWBQZE/edit?usp=sharing"",""อำนาจเจริญ!L431"")"),0)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48"/>
        <v>0</v>
      </c>
      <c r="I49" s="76">
        <f ca="1">IFERROR(__xludf.DUMMYFUNCTION("IMPORTRANGE(""https://docs.google.com/spreadsheets/d/1uUP8Zo1-qaJLuIkRU0qlwLSE3DHkbdrrj2JGJiWBQZE/edit?usp=sharing"",""อำนาจเจริญ!N425"")"),0)</f>
        <v>0</v>
      </c>
      <c r="J49" s="76">
        <f ca="1">IFERROR(__xludf.DUMMYFUNCTION("IMPORTRANGE(""https://docs.google.com/spreadsheets/d/1uUP8Zo1-qaJLuIkRU0qlwLSE3DHkbdrrj2JGJiWBQZE/edit?usp=sharing"",""อำนาจเจริญ!N426"")"),0)</f>
        <v>0</v>
      </c>
      <c r="K49" s="76">
        <f ca="1">IFERROR(__xludf.DUMMYFUNCTION("IMPORTRANGE(""https://docs.google.com/spreadsheets/d/1uUP8Zo1-qaJLuIkRU0qlwLSE3DHkbdrrj2JGJiWBQZE/edit?usp=sharing"",""อำนาจเจริญ!N427"")"),0)</f>
        <v>0</v>
      </c>
      <c r="L49" s="76">
        <f ca="1">IFERROR(__xludf.DUMMYFUNCTION("IMPORTRANGE(""https://docs.google.com/spreadsheets/d/1uUP8Zo1-qaJLuIkRU0qlwLSE3DHkbdrrj2JGJiWBQZE/edit?usp=sharing"",""อำนาจเจริญ!N428"")"),0)</f>
        <v>0</v>
      </c>
      <c r="M49" s="80">
        <f ca="1">IFERROR(__xludf.DUMMYFUNCTION("IMPORTRANGE(""https://docs.google.com/spreadsheets/d/1uUP8Zo1-qaJLuIkRU0qlwLSE3DHkbdrrj2JGJiWBQZE/edit?usp=sharing"",""อำนาจเจริญ!N431"")"),0)</f>
        <v>0</v>
      </c>
      <c r="N49" s="80">
        <f t="shared" ca="1" si="32"/>
        <v>0</v>
      </c>
      <c r="O49" s="81">
        <f ca="1">IFERROR(__xludf.DUMMYFUNCTION("IMPORTRANGE(""https://docs.google.com/spreadsheets/d/1uUP8Zo1-qaJLuIkRU0qlwLSE3DHkbdrrj2JGJiWBQZE/edit?usp=sharing"",""อำนาจเจริญ!I433"")"),20)</f>
        <v>20</v>
      </c>
      <c r="P49" s="81">
        <f ca="1">IFERROR(__xludf.DUMMYFUNCTION("IMPORTRANGE(""https://docs.google.com/spreadsheets/d/1uUP8Zo1-qaJLuIkRU0qlwLSE3DHkbdrrj2JGJiWBQZE/edit?usp=sharing"",""อำนาจเจริญ!I434"")"),1)</f>
        <v>1</v>
      </c>
      <c r="Q49" s="81">
        <f ca="1">IFERROR(__xludf.DUMMYFUNCTION("IMPORTRANGE(""https://docs.google.com/spreadsheets/d/1uUP8Zo1-qaJLuIkRU0qlwLSE3DHkbdrrj2JGJiWBQZE/edit?usp=sharing"",""อำนาจเจริญ!J433"")"),0)</f>
        <v>0</v>
      </c>
      <c r="R49" s="82">
        <f t="shared" ca="1" si="25"/>
        <v>0</v>
      </c>
      <c r="S49" s="81">
        <f ca="1">IFERROR(__xludf.DUMMYFUNCTION("IMPORTRANGE(""https://docs.google.com/spreadsheets/d/1uUP8Zo1-qaJLuIkRU0qlwLSE3DHkbdrrj2JGJiWBQZE/edit?usp=sharing"",""อำนาจเจริญ!J434"")"),0)</f>
        <v>0</v>
      </c>
      <c r="T49" s="82">
        <f t="shared" ca="1" si="7"/>
        <v>0</v>
      </c>
      <c r="U49" s="81">
        <f ca="1">IFERROR(__xludf.DUMMYFUNCTION("IMPORTRANGE(""https://docs.google.com/spreadsheets/d/1uUP8Zo1-qaJLuIkRU0qlwLSE3DHkbdrrj2JGJiWBQZE/edit?usp=sharing"",""อำนาจเจริญ!I435"")"),20)</f>
        <v>20</v>
      </c>
      <c r="V49" s="81">
        <f ca="1">IFERROR(__xludf.DUMMYFUNCTION("IMPORTRANGE(""https://docs.google.com/spreadsheets/d/1uUP8Zo1-qaJLuIkRU0qlwLSE3DHkbdrrj2JGJiWBQZE/edit?usp=sharing"",""อำนาจเจริญ!J435"")"),0)</f>
        <v>0</v>
      </c>
      <c r="W49" s="82">
        <f t="shared" ca="1" si="26"/>
        <v>0</v>
      </c>
      <c r="X49" s="81">
        <f ca="1">IFERROR(__xludf.DUMMYFUNCTION("IMPORTRANGE(""https://docs.google.com/spreadsheets/d/1uUP8Zo1-qaJLuIkRU0qlwLSE3DHkbdrrj2JGJiWBQZE/edit?usp=sharing"",""อำนาจเจริญ!I437"")"),0)</f>
        <v>0</v>
      </c>
      <c r="Y49" s="81">
        <f ca="1">IFERROR(__xludf.DUMMYFUNCTION("IMPORTRANGE(""https://docs.google.com/spreadsheets/d/1uUP8Zo1-qaJLuIkRU0qlwLSE3DHkbdrrj2JGJiWBQZE/edit?usp=sharing"",""อำนาจเจริญ!I438"")"),0)</f>
        <v>0</v>
      </c>
      <c r="Z49" s="81">
        <f ca="1">IFERROR(__xludf.DUMMYFUNCTION("IMPORTRANGE(""https://docs.google.com/spreadsheets/d/1uUP8Zo1-qaJLuIkRU0qlwLSE3DHkbdrrj2JGJiWBQZE/edit?usp=sharing"",""อำนาจเจริญ!J437"")"),0)</f>
        <v>0</v>
      </c>
      <c r="AA49" s="82">
        <f t="shared" ca="1" si="27"/>
        <v>0</v>
      </c>
      <c r="AB49" s="81">
        <f ca="1">IFERROR(__xludf.DUMMYFUNCTION("IMPORTRANGE(""https://docs.google.com/spreadsheets/d/1uUP8Zo1-qaJLuIkRU0qlwLSE3DHkbdrrj2JGJiWBQZE/edit?usp=sharing"",""อำนาจเจริญ!J438"")"),0)</f>
        <v>0</v>
      </c>
      <c r="AC49" s="82">
        <f t="shared" ca="1" si="12"/>
        <v>0</v>
      </c>
      <c r="AD49" s="81">
        <f ca="1">IFERROR(__xludf.DUMMYFUNCTION("IMPORTRANGE(""https://docs.google.com/spreadsheets/d/1uUP8Zo1-qaJLuIkRU0qlwLSE3DHkbdrrj2JGJiWBQZE/edit?usp=sharing"",""อำนาจเจริญ!I439"")"),20)</f>
        <v>20</v>
      </c>
      <c r="AE49" s="81">
        <f ca="1">IFERROR(__xludf.DUMMYFUNCTION("IMPORTRANGE(""https://docs.google.com/spreadsheets/d/1uUP8Zo1-qaJLuIkRU0qlwLSE3DHkbdrrj2JGJiWBQZE/edit?usp=sharing"",""อำนาจเจริญ!I440"")"),1)</f>
        <v>1</v>
      </c>
      <c r="AF49" s="81">
        <f ca="1">IFERROR(__xludf.DUMMYFUNCTION("IMPORTRANGE(""https://docs.google.com/spreadsheets/d/1uUP8Zo1-qaJLuIkRU0qlwLSE3DHkbdrrj2JGJiWBQZE/edit?usp=sharing"",""อำนาจเจริญ!J439"")"),0)</f>
        <v>0</v>
      </c>
      <c r="AG49" s="82">
        <f t="shared" ca="1" si="28"/>
        <v>0</v>
      </c>
      <c r="AH49" s="81">
        <f ca="1">IFERROR(__xludf.DUMMYFUNCTION("IMPORTRANGE(""https://docs.google.com/spreadsheets/d/1uUP8Zo1-qaJLuIkRU0qlwLSE3DHkbdrrj2JGJiWBQZE/edit?usp=sharing"",""อำนาจเจริญ!J440"")"),0)</f>
        <v>0</v>
      </c>
      <c r="AI49" s="82">
        <f t="shared" ca="1" si="15"/>
        <v>0</v>
      </c>
      <c r="AJ49" s="81">
        <f ca="1">IFERROR(__xludf.DUMMYFUNCTION("IMPORTRANGE(""https://docs.google.com/spreadsheets/d/1uUP8Zo1-qaJLuIkRU0qlwLSE3DHkbdrrj2JGJiWBQZE/edit?usp=sharing"",""อำนาจเจริญ!I441"")"),0)</f>
        <v>0</v>
      </c>
      <c r="AK49" s="81">
        <f ca="1">IFERROR(__xludf.DUMMYFUNCTION("IMPORTRANGE(""https://docs.google.com/spreadsheets/d/1uUP8Zo1-qaJLuIkRU0qlwLSE3DHkbdrrj2JGJiWBQZE/edit?usp=sharing"",""อำนาจเจริญ!J441"")"),0)</f>
        <v>0</v>
      </c>
      <c r="AL49" s="82">
        <f t="shared" ca="1" si="29"/>
        <v>0</v>
      </c>
    </row>
    <row r="50" spans="1:38" ht="21" customHeight="1" x14ac:dyDescent="0.2">
      <c r="A50" s="72">
        <v>19</v>
      </c>
      <c r="B50" s="73" t="s">
        <v>67</v>
      </c>
      <c r="C50" s="74">
        <f t="shared" ca="1" si="47"/>
        <v>67560</v>
      </c>
      <c r="D50" s="75">
        <f ca="1">IFERROR(__xludf.DUMMYFUNCTION("IMPORTRANGE(""https://docs.google.com/spreadsheets/d/1hb_taSOHanzRjqfzWPiFo8yiT83VV1L7vvUCLhOiHKc/edit?usp=sharing"",""อุดรธานี!L424"")"),67560)</f>
        <v>67560</v>
      </c>
      <c r="E50" s="76">
        <f ca="1">IFERROR(__xludf.DUMMYFUNCTION("IMPORTRANGE(""https://docs.google.com/spreadsheets/d/1hb_taSOHanzRjqfzWPiFo8yiT83VV1L7vvUCLhOiHKc/edit?usp=sharing"",""อุดรธานี!L431"")"),0)</f>
        <v>0</v>
      </c>
      <c r="F50" s="77">
        <f t="shared" ca="1" si="1"/>
        <v>52583</v>
      </c>
      <c r="G50" s="78">
        <f t="shared" ca="1" si="2"/>
        <v>77.831557134399048</v>
      </c>
      <c r="H50" s="79">
        <f t="shared" ca="1" si="48"/>
        <v>52583</v>
      </c>
      <c r="I50" s="76">
        <f ca="1">IFERROR(__xludf.DUMMYFUNCTION("IMPORTRANGE(""https://docs.google.com/spreadsheets/d/1hb_taSOHanzRjqfzWPiFo8yiT83VV1L7vvUCLhOiHKc/edit?usp=sharing"",""อุดรธานี!N425"")"),37073)</f>
        <v>37073</v>
      </c>
      <c r="J50" s="76">
        <f ca="1">IFERROR(__xludf.DUMMYFUNCTION("IMPORTRANGE(""https://docs.google.com/spreadsheets/d/1hb_taSOHanzRjqfzWPiFo8yiT83VV1L7vvUCLhOiHKc/edit?usp=sharing"",""อุดรธานี!N426"")"),0)</f>
        <v>0</v>
      </c>
      <c r="K50" s="76">
        <f ca="1">IFERROR(__xludf.DUMMYFUNCTION("IMPORTRANGE(""https://docs.google.com/spreadsheets/d/1hb_taSOHanzRjqfzWPiFo8yiT83VV1L7vvUCLhOiHKc/edit?usp=sharing"",""อุดรธานี!N427"")"),0)</f>
        <v>0</v>
      </c>
      <c r="L50" s="76">
        <f ca="1">IFERROR(__xludf.DUMMYFUNCTION("IMPORTRANGE(""https://docs.google.com/spreadsheets/d/1hb_taSOHanzRjqfzWPiFo8yiT83VV1L7vvUCLhOiHKc/edit?usp=sharing"",""อุดรธานี!N428"")"),15510)</f>
        <v>15510</v>
      </c>
      <c r="M50" s="80">
        <f ca="1">IFERROR(__xludf.DUMMYFUNCTION("IMPORTRANGE(""https://docs.google.com/spreadsheets/d/1hb_taSOHanzRjqfzWPiFo8yiT83VV1L7vvUCLhOiHKc/edit?usp=sharing"",""อุดรธานี!N431"")"),0)</f>
        <v>0</v>
      </c>
      <c r="N50" s="80">
        <f t="shared" ca="1" si="32"/>
        <v>0</v>
      </c>
      <c r="O50" s="81">
        <f ca="1">IFERROR(__xludf.DUMMYFUNCTION("IMPORTRANGE(""https://docs.google.com/spreadsheets/d/1hb_taSOHanzRjqfzWPiFo8yiT83VV1L7vvUCLhOiHKc/edit?usp=sharing"",""อุดรธานี!I433"")"),15)</f>
        <v>15</v>
      </c>
      <c r="P50" s="81">
        <f ca="1">IFERROR(__xludf.DUMMYFUNCTION("IMPORTRANGE(""https://docs.google.com/spreadsheets/d/1hb_taSOHanzRjqfzWPiFo8yiT83VV1L7vvUCLhOiHKc/edit?usp=sharing"",""อุดรธานี!I434"")"),1)</f>
        <v>1</v>
      </c>
      <c r="Q50" s="81">
        <f ca="1">IFERROR(__xludf.DUMMYFUNCTION("IMPORTRANGE(""https://docs.google.com/spreadsheets/d/1hb_taSOHanzRjqfzWPiFo8yiT83VV1L7vvUCLhOiHKc/edit?usp=sharing"",""อุดรธานี!J433"")"),15)</f>
        <v>15</v>
      </c>
      <c r="R50" s="82">
        <f t="shared" ca="1" si="25"/>
        <v>100</v>
      </c>
      <c r="S50" s="81">
        <f ca="1">IFERROR(__xludf.DUMMYFUNCTION("IMPORTRANGE(""https://docs.google.com/spreadsheets/d/1hb_taSOHanzRjqfzWPiFo8yiT83VV1L7vvUCLhOiHKc/edit?usp=sharing"",""อุดรธานี!J434"")"),0)</f>
        <v>0</v>
      </c>
      <c r="T50" s="82">
        <f t="shared" ca="1" si="7"/>
        <v>0</v>
      </c>
      <c r="U50" s="81">
        <f ca="1">IFERROR(__xludf.DUMMYFUNCTION("IMPORTRANGE(""https://docs.google.com/spreadsheets/d/1hb_taSOHanzRjqfzWPiFo8yiT83VV1L7vvUCLhOiHKc/edit?usp=sharing"",""อุดรธานี!I435"")"),15)</f>
        <v>15</v>
      </c>
      <c r="V50" s="81">
        <f ca="1">IFERROR(__xludf.DUMMYFUNCTION("IMPORTRANGE(""https://docs.google.com/spreadsheets/d/1hb_taSOHanzRjqfzWPiFo8yiT83VV1L7vvUCLhOiHKc/edit?usp=sharing"",""อุดรธานี!J435"")"),15)</f>
        <v>15</v>
      </c>
      <c r="W50" s="82">
        <f t="shared" ca="1" si="26"/>
        <v>100</v>
      </c>
      <c r="X50" s="81">
        <f ca="1">IFERROR(__xludf.DUMMYFUNCTION("IMPORTRANGE(""https://docs.google.com/spreadsheets/d/1hb_taSOHanzRjqfzWPiFo8yiT83VV1L7vvUCLhOiHKc/edit?usp=sharing"",""อุดรธานี!I437"")"),0)</f>
        <v>0</v>
      </c>
      <c r="Y50" s="81">
        <f ca="1">IFERROR(__xludf.DUMMYFUNCTION("IMPORTRANGE(""https://docs.google.com/spreadsheets/d/1hb_taSOHanzRjqfzWPiFo8yiT83VV1L7vvUCLhOiHKc/edit?usp=sharing"",""อุดรธานี!I438"")"),0)</f>
        <v>0</v>
      </c>
      <c r="Z50" s="81">
        <f ca="1">IFERROR(__xludf.DUMMYFUNCTION("IMPORTRANGE(""https://docs.google.com/spreadsheets/d/1hb_taSOHanzRjqfzWPiFo8yiT83VV1L7vvUCLhOiHKc/edit?usp=sharing"",""อุดรธานี!J437"")"),15)</f>
        <v>15</v>
      </c>
      <c r="AA50" s="82">
        <f t="shared" ca="1" si="27"/>
        <v>0</v>
      </c>
      <c r="AB50" s="81">
        <f ca="1">IFERROR(__xludf.DUMMYFUNCTION("IMPORTRANGE(""https://docs.google.com/spreadsheets/d/1hb_taSOHanzRjqfzWPiFo8yiT83VV1L7vvUCLhOiHKc/edit?usp=sharing"",""อุดรธานี!J438"")"),0)</f>
        <v>0</v>
      </c>
      <c r="AC50" s="82">
        <f t="shared" ca="1" si="12"/>
        <v>0</v>
      </c>
      <c r="AD50" s="81">
        <f ca="1">IFERROR(__xludf.DUMMYFUNCTION("IMPORTRANGE(""https://docs.google.com/spreadsheets/d/1hb_taSOHanzRjqfzWPiFo8yiT83VV1L7vvUCLhOiHKc/edit?usp=sharing"",""อุดรธานี!I439"")"),15)</f>
        <v>15</v>
      </c>
      <c r="AE50" s="81">
        <f ca="1">IFERROR(__xludf.DUMMYFUNCTION("IMPORTRANGE(""https://docs.google.com/spreadsheets/d/1hb_taSOHanzRjqfzWPiFo8yiT83VV1L7vvUCLhOiHKc/edit?usp=sharing"",""อุดรธานี!I440"")"),1)</f>
        <v>1</v>
      </c>
      <c r="AF50" s="81">
        <f ca="1">IFERROR(__xludf.DUMMYFUNCTION("IMPORTRANGE(""https://docs.google.com/spreadsheets/d/1hb_taSOHanzRjqfzWPiFo8yiT83VV1L7vvUCLhOiHKc/edit?usp=sharing"",""อุดรธานี!J439"")"),15)</f>
        <v>15</v>
      </c>
      <c r="AG50" s="82">
        <f t="shared" ca="1" si="28"/>
        <v>100</v>
      </c>
      <c r="AH50" s="81">
        <f ca="1">IFERROR(__xludf.DUMMYFUNCTION("IMPORTRANGE(""https://docs.google.com/spreadsheets/d/1hb_taSOHanzRjqfzWPiFo8yiT83VV1L7vvUCLhOiHKc/edit?usp=sharing"",""อุดรธานี!J440"")"),0)</f>
        <v>0</v>
      </c>
      <c r="AI50" s="82">
        <f t="shared" ca="1" si="15"/>
        <v>0</v>
      </c>
      <c r="AJ50" s="81">
        <f ca="1">IFERROR(__xludf.DUMMYFUNCTION("IMPORTRANGE(""https://docs.google.com/spreadsheets/d/1hb_taSOHanzRjqfzWPiFo8yiT83VV1L7vvUCLhOiHKc/edit?usp=sharing"",""อุดรธานี!I441"")"),0)</f>
        <v>0</v>
      </c>
      <c r="AK50" s="81">
        <f ca="1">IFERROR(__xludf.DUMMYFUNCTION("IMPORTRANGE(""https://docs.google.com/spreadsheets/d/1hb_taSOHanzRjqfzWPiFo8yiT83VV1L7vvUCLhOiHKc/edit?usp=sharing"",""อุดรธานี!J441"")"),0)</f>
        <v>0</v>
      </c>
      <c r="AL50" s="82">
        <f t="shared" ca="1" si="29"/>
        <v>0</v>
      </c>
    </row>
    <row r="51" spans="1:38" ht="21" customHeight="1" x14ac:dyDescent="0.2">
      <c r="A51" s="83">
        <v>20</v>
      </c>
      <c r="B51" s="84" t="s">
        <v>68</v>
      </c>
      <c r="C51" s="85">
        <f t="shared" ca="1" si="47"/>
        <v>115060</v>
      </c>
      <c r="D51" s="86">
        <f ca="1">IFERROR(__xludf.DUMMYFUNCTION("IMPORTRANGE(""https://docs.google.com/spreadsheets/d/17IOkEwkUd63EGNfyNDnM5de9YlZ7rwzTiW6-dokVjKI/edit?usp=sharing"",""อุบลราชธานี!L424"")"),115060)</f>
        <v>115060</v>
      </c>
      <c r="E51" s="87">
        <f ca="1">IFERROR(__xludf.DUMMYFUNCTION("IMPORTRANGE(""https://docs.google.com/spreadsheets/d/17IOkEwkUd63EGNfyNDnM5de9YlZ7rwzTiW6-dokVjKI/edit?usp=sharing"",""อุบลราชธานี!L431"")"),0)</f>
        <v>0</v>
      </c>
      <c r="F51" s="88">
        <f t="shared" ca="1" si="1"/>
        <v>92170</v>
      </c>
      <c r="G51" s="89">
        <f t="shared" ca="1" si="2"/>
        <v>80.106031635668344</v>
      </c>
      <c r="H51" s="90">
        <f t="shared" ca="1" si="48"/>
        <v>92170</v>
      </c>
      <c r="I51" s="87">
        <f ca="1">IFERROR(__xludf.DUMMYFUNCTION("IMPORTRANGE(""https://docs.google.com/spreadsheets/d/17IOkEwkUd63EGNfyNDnM5de9YlZ7rwzTiW6-dokVjKI/edit?usp=sharing"",""อุบลราชธานี!N425"")"),83370)</f>
        <v>83370</v>
      </c>
      <c r="J51" s="87">
        <f ca="1">IFERROR(__xludf.DUMMYFUNCTION("IMPORTRANGE(""https://docs.google.com/spreadsheets/d/17IOkEwkUd63EGNfyNDnM5de9YlZ7rwzTiW6-dokVjKI/edit?usp=sharing"",""อุบลราชธานี!N426"")"),0)</f>
        <v>0</v>
      </c>
      <c r="K51" s="87">
        <f ca="1">IFERROR(__xludf.DUMMYFUNCTION("IMPORTRANGE(""https://docs.google.com/spreadsheets/d/17IOkEwkUd63EGNfyNDnM5de9YlZ7rwzTiW6-dokVjKI/edit?usp=sharing"",""อุบลราชธานี!N427"")"),0)</f>
        <v>0</v>
      </c>
      <c r="L51" s="87">
        <f ca="1">IFERROR(__xludf.DUMMYFUNCTION("IMPORTRANGE(""https://docs.google.com/spreadsheets/d/17IOkEwkUd63EGNfyNDnM5de9YlZ7rwzTiW6-dokVjKI/edit?usp=sharing"",""อุบลราชธานี!N428"")"),8800)</f>
        <v>8800</v>
      </c>
      <c r="M51" s="91">
        <f ca="1">IFERROR(__xludf.DUMMYFUNCTION("IMPORTRANGE(""https://docs.google.com/spreadsheets/d/17IOkEwkUd63EGNfyNDnM5de9YlZ7rwzTiW6-dokVjKI/edit?usp=sharing"",""อุบลราชธานี!N431"")"),0)</f>
        <v>0</v>
      </c>
      <c r="N51" s="91">
        <f t="shared" ca="1" si="32"/>
        <v>0</v>
      </c>
      <c r="O51" s="92">
        <f ca="1">IFERROR(__xludf.DUMMYFUNCTION("IMPORTRANGE(""https://docs.google.com/spreadsheets/d/17IOkEwkUd63EGNfyNDnM5de9YlZ7rwzTiW6-dokVjKI/edit?usp=sharing"",""อุบลราชธานี!I433"")"),35)</f>
        <v>35</v>
      </c>
      <c r="P51" s="92">
        <f ca="1">IFERROR(__xludf.DUMMYFUNCTION("IMPORTRANGE(""https://docs.google.com/spreadsheets/d/17IOkEwkUd63EGNfyNDnM5de9YlZ7rwzTiW6-dokVjKI/edit?usp=sharing"",""อุบลราชธานี!I434"")"),1)</f>
        <v>1</v>
      </c>
      <c r="Q51" s="92">
        <f ca="1">IFERROR(__xludf.DUMMYFUNCTION("IMPORTRANGE(""https://docs.google.com/spreadsheets/d/17IOkEwkUd63EGNfyNDnM5de9YlZ7rwzTiW6-dokVjKI/edit?usp=sharing"",""อุบลราชธานี!J433"")"),35)</f>
        <v>35</v>
      </c>
      <c r="R51" s="93">
        <f t="shared" ca="1" si="25"/>
        <v>100</v>
      </c>
      <c r="S51" s="92">
        <f ca="1">IFERROR(__xludf.DUMMYFUNCTION("IMPORTRANGE(""https://docs.google.com/spreadsheets/d/17IOkEwkUd63EGNfyNDnM5de9YlZ7rwzTiW6-dokVjKI/edit?usp=sharing"",""อุบลราชธานี!J434"")"),1)</f>
        <v>1</v>
      </c>
      <c r="T51" s="93">
        <f t="shared" ca="1" si="7"/>
        <v>100</v>
      </c>
      <c r="U51" s="92">
        <f ca="1">IFERROR(__xludf.DUMMYFUNCTION("IMPORTRANGE(""https://docs.google.com/spreadsheets/d/17IOkEwkUd63EGNfyNDnM5de9YlZ7rwzTiW6-dokVjKI/edit?usp=sharing"",""อุบลราชธานี!I435"")"),35)</f>
        <v>35</v>
      </c>
      <c r="V51" s="92">
        <f ca="1">IFERROR(__xludf.DUMMYFUNCTION("IMPORTRANGE(""https://docs.google.com/spreadsheets/d/17IOkEwkUd63EGNfyNDnM5de9YlZ7rwzTiW6-dokVjKI/edit?usp=sharing"",""อุบลราชธานี!J435"")"),35)</f>
        <v>35</v>
      </c>
      <c r="W51" s="93">
        <f t="shared" ca="1" si="26"/>
        <v>100</v>
      </c>
      <c r="X51" s="92">
        <f ca="1">IFERROR(__xludf.DUMMYFUNCTION("IMPORTRANGE(""https://docs.google.com/spreadsheets/d/17IOkEwkUd63EGNfyNDnM5de9YlZ7rwzTiW6-dokVjKI/edit?usp=sharing"",""อุบลราชธานี!I437"")"),0)</f>
        <v>0</v>
      </c>
      <c r="Y51" s="92">
        <f ca="1">IFERROR(__xludf.DUMMYFUNCTION("IMPORTRANGE(""https://docs.google.com/spreadsheets/d/17IOkEwkUd63EGNfyNDnM5de9YlZ7rwzTiW6-dokVjKI/edit?usp=sharing"",""อุบลราชธานี!I438"")"),0)</f>
        <v>0</v>
      </c>
      <c r="Z51" s="92">
        <f ca="1">IFERROR(__xludf.DUMMYFUNCTION("IMPORTRANGE(""https://docs.google.com/spreadsheets/d/17IOkEwkUd63EGNfyNDnM5de9YlZ7rwzTiW6-dokVjKI/edit?usp=sharing"",""อุบลราชธานี!J437"")"),0)</f>
        <v>0</v>
      </c>
      <c r="AA51" s="93">
        <f t="shared" ca="1" si="27"/>
        <v>0</v>
      </c>
      <c r="AB51" s="92">
        <f ca="1">IFERROR(__xludf.DUMMYFUNCTION("IMPORTRANGE(""https://docs.google.com/spreadsheets/d/17IOkEwkUd63EGNfyNDnM5de9YlZ7rwzTiW6-dokVjKI/edit?usp=sharing"",""อุบลราชธานี!J438"")"),0)</f>
        <v>0</v>
      </c>
      <c r="AC51" s="93">
        <f t="shared" ca="1" si="12"/>
        <v>0</v>
      </c>
      <c r="AD51" s="92">
        <f ca="1">IFERROR(__xludf.DUMMYFUNCTION("IMPORTRANGE(""https://docs.google.com/spreadsheets/d/17IOkEwkUd63EGNfyNDnM5de9YlZ7rwzTiW6-dokVjKI/edit?usp=sharing"",""อุบลราชธานี!I439"")"),35)</f>
        <v>35</v>
      </c>
      <c r="AE51" s="92">
        <f ca="1">IFERROR(__xludf.DUMMYFUNCTION("IMPORTRANGE(""https://docs.google.com/spreadsheets/d/17IOkEwkUd63EGNfyNDnM5de9YlZ7rwzTiW6-dokVjKI/edit?usp=sharing"",""อุบลราชธานี!I440"")"),1)</f>
        <v>1</v>
      </c>
      <c r="AF51" s="92">
        <f ca="1">IFERROR(__xludf.DUMMYFUNCTION("IMPORTRANGE(""https://docs.google.com/spreadsheets/d/17IOkEwkUd63EGNfyNDnM5de9YlZ7rwzTiW6-dokVjKI/edit?usp=sharing"",""อุบลราชธานี!J439"")"),35)</f>
        <v>35</v>
      </c>
      <c r="AG51" s="93">
        <f t="shared" ca="1" si="28"/>
        <v>100</v>
      </c>
      <c r="AH51" s="92">
        <f ca="1">IFERROR(__xludf.DUMMYFUNCTION("IMPORTRANGE(""https://docs.google.com/spreadsheets/d/17IOkEwkUd63EGNfyNDnM5de9YlZ7rwzTiW6-dokVjKI/edit?usp=sharing"",""อุบลราชธานี!J440"")"),1)</f>
        <v>1</v>
      </c>
      <c r="AI51" s="93">
        <f t="shared" ca="1" si="15"/>
        <v>100</v>
      </c>
      <c r="AJ51" s="92">
        <f ca="1">IFERROR(__xludf.DUMMYFUNCTION("IMPORTRANGE(""https://docs.google.com/spreadsheets/d/17IOkEwkUd63EGNfyNDnM5de9YlZ7rwzTiW6-dokVjKI/edit?usp=sharing"",""อุบลราชธานี!I441"")"),0)</f>
        <v>0</v>
      </c>
      <c r="AK51" s="92">
        <f ca="1">IFERROR(__xludf.DUMMYFUNCTION("IMPORTRANGE(""https://docs.google.com/spreadsheets/d/17IOkEwkUd63EGNfyNDnM5de9YlZ7rwzTiW6-dokVjKI/edit?usp=sharing"",""อุบลราชธานี!J441"")"),0)</f>
        <v>0</v>
      </c>
      <c r="AL51" s="93">
        <f t="shared" ca="1" si="29"/>
        <v>0</v>
      </c>
    </row>
    <row r="52" spans="1:38" ht="21" customHeight="1" x14ac:dyDescent="0.2">
      <c r="A52" s="307" t="s">
        <v>69</v>
      </c>
      <c r="B52" s="306"/>
      <c r="C52" s="34">
        <f t="shared" ref="C52:E52" ca="1" si="49">SUM(C53:C73)</f>
        <v>2267170</v>
      </c>
      <c r="D52" s="34">
        <f t="shared" ca="1" si="49"/>
        <v>2267170</v>
      </c>
      <c r="E52" s="57">
        <f t="shared" ca="1" si="49"/>
        <v>0</v>
      </c>
      <c r="F52" s="57">
        <f t="shared" ca="1" si="1"/>
        <v>1293926.1400000001</v>
      </c>
      <c r="G52" s="94">
        <f t="shared" ca="1" si="2"/>
        <v>57.072303356166508</v>
      </c>
      <c r="H52" s="57">
        <f t="shared" ref="H52:M52" ca="1" si="50">SUM(H53:H73)</f>
        <v>1293926.1400000001</v>
      </c>
      <c r="I52" s="57">
        <f t="shared" ca="1" si="50"/>
        <v>1066788.3999999999</v>
      </c>
      <c r="J52" s="57">
        <f t="shared" ca="1" si="50"/>
        <v>9900</v>
      </c>
      <c r="K52" s="57">
        <f t="shared" ca="1" si="50"/>
        <v>0</v>
      </c>
      <c r="L52" s="57">
        <f t="shared" ca="1" si="50"/>
        <v>217237.74</v>
      </c>
      <c r="M52" s="95">
        <f t="shared" ca="1" si="50"/>
        <v>0</v>
      </c>
      <c r="N52" s="95">
        <f t="shared" ca="1" si="32"/>
        <v>0</v>
      </c>
      <c r="O52" s="57">
        <f t="shared" ref="O52:Q52" ca="1" si="51">SUM(O53:O73)</f>
        <v>585</v>
      </c>
      <c r="P52" s="57">
        <f t="shared" ca="1" si="51"/>
        <v>27</v>
      </c>
      <c r="Q52" s="57">
        <f t="shared" ca="1" si="51"/>
        <v>395</v>
      </c>
      <c r="R52" s="96">
        <f t="shared" ca="1" si="25"/>
        <v>67.521367521367523</v>
      </c>
      <c r="S52" s="57">
        <f ca="1">SUM(S53:S73)</f>
        <v>18</v>
      </c>
      <c r="T52" s="96">
        <f t="shared" ca="1" si="7"/>
        <v>66.666666666666671</v>
      </c>
      <c r="U52" s="57">
        <f t="shared" ref="U52:V52" ca="1" si="52">SUM(U53:U73)</f>
        <v>585</v>
      </c>
      <c r="V52" s="57">
        <f t="shared" ca="1" si="52"/>
        <v>455</v>
      </c>
      <c r="W52" s="96">
        <f t="shared" ca="1" si="26"/>
        <v>77.777777777777771</v>
      </c>
      <c r="X52" s="57">
        <f t="shared" ref="X52:Z52" ca="1" si="53">SUM(X53:X73)</f>
        <v>210</v>
      </c>
      <c r="Y52" s="57">
        <f t="shared" ca="1" si="53"/>
        <v>5</v>
      </c>
      <c r="Z52" s="57">
        <f t="shared" ca="1" si="53"/>
        <v>150</v>
      </c>
      <c r="AA52" s="96">
        <f t="shared" ca="1" si="27"/>
        <v>71.428571428571431</v>
      </c>
      <c r="AB52" s="57">
        <f ca="1">SUM(AB53:AB73)</f>
        <v>3</v>
      </c>
      <c r="AC52" s="96">
        <f t="shared" ca="1" si="12"/>
        <v>60</v>
      </c>
      <c r="AD52" s="57">
        <f t="shared" ref="AD52:AF52" ca="1" si="54">SUM(AD53:AD73)</f>
        <v>375</v>
      </c>
      <c r="AE52" s="57">
        <f t="shared" ca="1" si="54"/>
        <v>22</v>
      </c>
      <c r="AF52" s="57">
        <f t="shared" ca="1" si="54"/>
        <v>280</v>
      </c>
      <c r="AG52" s="96">
        <f t="shared" ca="1" si="28"/>
        <v>74.666666666666671</v>
      </c>
      <c r="AH52" s="57">
        <f ca="1">SUM(AH53:AH73)</f>
        <v>15</v>
      </c>
      <c r="AI52" s="96">
        <f t="shared" ca="1" si="15"/>
        <v>68.181818181818187</v>
      </c>
      <c r="AJ52" s="57">
        <f t="shared" ref="AJ52:AK52" ca="1" si="55">SUM(AJ53:AJ73)</f>
        <v>0</v>
      </c>
      <c r="AK52" s="57">
        <f t="shared" ca="1" si="55"/>
        <v>0</v>
      </c>
      <c r="AL52" s="96">
        <f t="shared" ca="1" si="29"/>
        <v>0</v>
      </c>
    </row>
    <row r="53" spans="1:38" ht="21" customHeight="1" x14ac:dyDescent="0.2">
      <c r="A53" s="62">
        <v>1</v>
      </c>
      <c r="B53" s="63" t="s">
        <v>70</v>
      </c>
      <c r="C53" s="97">
        <f t="shared" ref="C53:C73" ca="1" si="56">D53+E53</f>
        <v>95860</v>
      </c>
      <c r="D53" s="98">
        <f ca="1">IFERROR(__xludf.DUMMYFUNCTION("IMPORTRANGE(""https://docs.google.com/spreadsheets/d/1hKO5uv94SSRZWOvrh72HRcpyoEQF9TsE_Cvxl77XNU4/edit?usp=sharing"",""กาญจนบุรี!L424"")"),95860)</f>
        <v>95860</v>
      </c>
      <c r="E53" s="66">
        <f ca="1">IFERROR(__xludf.DUMMYFUNCTION("IMPORTRANGE(""https://docs.google.com/spreadsheets/d/1hKO5uv94SSRZWOvrh72HRcpyoEQF9TsE_Cvxl77XNU4/edit?usp=sharing"",""กาญจนบุรี!L431"")"),0)</f>
        <v>0</v>
      </c>
      <c r="F53" s="67">
        <f t="shared" ca="1" si="1"/>
        <v>52260</v>
      </c>
      <c r="G53" s="68">
        <f t="shared" ca="1" si="2"/>
        <v>54.51700396411433</v>
      </c>
      <c r="H53" s="69">
        <f t="shared" ref="H53:H73" ca="1" si="57">I53+J53+K53+L53</f>
        <v>52260</v>
      </c>
      <c r="I53" s="66">
        <f ca="1">IFERROR(__xludf.DUMMYFUNCTION("IMPORTRANGE(""https://docs.google.com/spreadsheets/d/1hKO5uv94SSRZWOvrh72HRcpyoEQF9TsE_Cvxl77XNU4/edit?usp=sharing"",""กาญจนบุรี!N425"")"),52260)</f>
        <v>52260</v>
      </c>
      <c r="J53" s="66">
        <f ca="1">IFERROR(__xludf.DUMMYFUNCTION("IMPORTRANGE(""https://docs.google.com/spreadsheets/d/1hKO5uv94SSRZWOvrh72HRcpyoEQF9TsE_Cvxl77XNU4/edit?usp=sharing"",""กาญจนบุรี!N426"")"),0)</f>
        <v>0</v>
      </c>
      <c r="K53" s="66">
        <f ca="1">IFERROR(__xludf.DUMMYFUNCTION("IMPORTRANGE(""https://docs.google.com/spreadsheets/d/1hKO5uv94SSRZWOvrh72HRcpyoEQF9TsE_Cvxl77XNU4/edit?usp=sharing"",""กาญจนบุรี!N427"")"),0)</f>
        <v>0</v>
      </c>
      <c r="L53" s="66">
        <f ca="1">IFERROR(__xludf.DUMMYFUNCTION("IMPORTRANGE(""https://docs.google.com/spreadsheets/d/1hKO5uv94SSRZWOvrh72HRcpyoEQF9TsE_Cvxl77XNU4/edit?usp=sharing"",""กาญจนบุรี!N428"")"),0)</f>
        <v>0</v>
      </c>
      <c r="M53" s="70">
        <f ca="1">IFERROR(__xludf.DUMMYFUNCTION("IMPORTRANGE(""https://docs.google.com/spreadsheets/d/1hKO5uv94SSRZWOvrh72HRcpyoEQF9TsE_Cvxl77XNU4/edit?usp=sharing"",""กาญจนบุรี!N431"")"),0)</f>
        <v>0</v>
      </c>
      <c r="N53" s="70">
        <f t="shared" ca="1" si="32"/>
        <v>0</v>
      </c>
      <c r="O53" s="66">
        <f ca="1">IFERROR(__xludf.DUMMYFUNCTION("IMPORTRANGE(""https://docs.google.com/spreadsheets/d/1hKO5uv94SSRZWOvrh72HRcpyoEQF9TsE_Cvxl77XNU4/edit?usp=sharing"",""กาญจนบุรี!I433"")"),20)</f>
        <v>20</v>
      </c>
      <c r="P53" s="66">
        <f ca="1">IFERROR(__xludf.DUMMYFUNCTION("IMPORTRANGE(""https://docs.google.com/spreadsheets/d/1hKO5uv94SSRZWOvrh72HRcpyoEQF9TsE_Cvxl77XNU4/edit?usp=sharing"",""กาญจนบุรี!I434"")"),1)</f>
        <v>1</v>
      </c>
      <c r="Q53" s="66">
        <f ca="1">IFERROR(__xludf.DUMMYFUNCTION("IMPORTRANGE(""https://docs.google.com/spreadsheets/d/1hKO5uv94SSRZWOvrh72HRcpyoEQF9TsE_Cvxl77XNU4/edit?usp=sharing"",""กาญจนบุรี!J433"")"),20)</f>
        <v>20</v>
      </c>
      <c r="R53" s="71">
        <f t="shared" ca="1" si="25"/>
        <v>100</v>
      </c>
      <c r="S53" s="66">
        <f ca="1">IFERROR(__xludf.DUMMYFUNCTION("IMPORTRANGE(""https://docs.google.com/spreadsheets/d/1hKO5uv94SSRZWOvrh72HRcpyoEQF9TsE_Cvxl77XNU4/edit?usp=sharing"",""กาญจนบุรี!J434"")"),1)</f>
        <v>1</v>
      </c>
      <c r="T53" s="71">
        <f t="shared" ca="1" si="7"/>
        <v>100</v>
      </c>
      <c r="U53" s="66">
        <f ca="1">IFERROR(__xludf.DUMMYFUNCTION("IMPORTRANGE(""https://docs.google.com/spreadsheets/d/1hKO5uv94SSRZWOvrh72HRcpyoEQF9TsE_Cvxl77XNU4/edit?usp=sharing"",""กาญจนบุรี!I435"")"),20)</f>
        <v>20</v>
      </c>
      <c r="V53" s="66">
        <f ca="1">IFERROR(__xludf.DUMMYFUNCTION("IMPORTRANGE(""https://docs.google.com/spreadsheets/d/1hKO5uv94SSRZWOvrh72HRcpyoEQF9TsE_Cvxl77XNU4/edit?usp=sharing"",""กาญจนบุรี!J435"")"),20)</f>
        <v>20</v>
      </c>
      <c r="W53" s="71">
        <f t="shared" ca="1" si="26"/>
        <v>100</v>
      </c>
      <c r="X53" s="66">
        <f ca="1">IFERROR(__xludf.DUMMYFUNCTION("IMPORTRANGE(""https://docs.google.com/spreadsheets/d/1hKO5uv94SSRZWOvrh72HRcpyoEQF9TsE_Cvxl77XNU4/edit?usp=sharing"",""กาญจนบุรี!I437"")"),0)</f>
        <v>0</v>
      </c>
      <c r="Y53" s="66">
        <f ca="1">IFERROR(__xludf.DUMMYFUNCTION("IMPORTRANGE(""https://docs.google.com/spreadsheets/d/1hKO5uv94SSRZWOvrh72HRcpyoEQF9TsE_Cvxl77XNU4/edit?usp=sharing"",""กาญจนบุรี!I438"")"),0)</f>
        <v>0</v>
      </c>
      <c r="Z53" s="66">
        <f ca="1">IFERROR(__xludf.DUMMYFUNCTION("IMPORTRANGE(""https://docs.google.com/spreadsheets/d/1hKO5uv94SSRZWOvrh72HRcpyoEQF9TsE_Cvxl77XNU4/edit?usp=sharing"",""กาญจนบุรี!J437"")"),0)</f>
        <v>0</v>
      </c>
      <c r="AA53" s="71">
        <f t="shared" ca="1" si="27"/>
        <v>0</v>
      </c>
      <c r="AB53" s="66">
        <f ca="1">IFERROR(__xludf.DUMMYFUNCTION("IMPORTRANGE(""https://docs.google.com/spreadsheets/d/1hKO5uv94SSRZWOvrh72HRcpyoEQF9TsE_Cvxl77XNU4/edit?usp=sharing"",""กาญจนบุรี!J438"")"),0)</f>
        <v>0</v>
      </c>
      <c r="AC53" s="71">
        <f t="shared" ca="1" si="12"/>
        <v>0</v>
      </c>
      <c r="AD53" s="66">
        <f ca="1">IFERROR(__xludf.DUMMYFUNCTION("IMPORTRANGE(""https://docs.google.com/spreadsheets/d/1hKO5uv94SSRZWOvrh72HRcpyoEQF9TsE_Cvxl77XNU4/edit?usp=sharing"",""กาญจนบุรี!I439"")"),20)</f>
        <v>20</v>
      </c>
      <c r="AE53" s="66">
        <f ca="1">IFERROR(__xludf.DUMMYFUNCTION("IMPORTRANGE(""https://docs.google.com/spreadsheets/d/1hKO5uv94SSRZWOvrh72HRcpyoEQF9TsE_Cvxl77XNU4/edit?usp=sharing"",""กาญจนบุรี!I440"")"),1)</f>
        <v>1</v>
      </c>
      <c r="AF53" s="66">
        <f ca="1">IFERROR(__xludf.DUMMYFUNCTION("IMPORTRANGE(""https://docs.google.com/spreadsheets/d/1hKO5uv94SSRZWOvrh72HRcpyoEQF9TsE_Cvxl77XNU4/edit?usp=sharing"",""กาญจนบุรี!J439"")"),20)</f>
        <v>20</v>
      </c>
      <c r="AG53" s="71">
        <f t="shared" ca="1" si="28"/>
        <v>100</v>
      </c>
      <c r="AH53" s="66">
        <f ca="1">IFERROR(__xludf.DUMMYFUNCTION("IMPORTRANGE(""https://docs.google.com/spreadsheets/d/1hKO5uv94SSRZWOvrh72HRcpyoEQF9TsE_Cvxl77XNU4/edit?usp=sharing"",""กาญจนบุรี!J440"")"),1)</f>
        <v>1</v>
      </c>
      <c r="AI53" s="71">
        <f t="shared" ca="1" si="15"/>
        <v>100</v>
      </c>
      <c r="AJ53" s="66">
        <f ca="1">IFERROR(__xludf.DUMMYFUNCTION("IMPORTRANGE(""https://docs.google.com/spreadsheets/d/1hKO5uv94SSRZWOvrh72HRcpyoEQF9TsE_Cvxl77XNU4/edit?usp=sharing"",""กาญจนบุรี!I441"")"),0)</f>
        <v>0</v>
      </c>
      <c r="AK53" s="66">
        <f ca="1">IFERROR(__xludf.DUMMYFUNCTION("IMPORTRANGE(""https://docs.google.com/spreadsheets/d/1hKO5uv94SSRZWOvrh72HRcpyoEQF9TsE_Cvxl77XNU4/edit?usp=sharing"",""กาญจนบุรี!J441"")"),0)</f>
        <v>0</v>
      </c>
      <c r="AL53" s="71">
        <f t="shared" ca="1" si="29"/>
        <v>0</v>
      </c>
    </row>
    <row r="54" spans="1:38" ht="21" customHeight="1" x14ac:dyDescent="0.2">
      <c r="A54" s="72">
        <v>2</v>
      </c>
      <c r="B54" s="73" t="s">
        <v>71</v>
      </c>
      <c r="C54" s="74">
        <f t="shared" ca="1" si="56"/>
        <v>78660</v>
      </c>
      <c r="D54" s="75">
        <f ca="1">IFERROR(__xludf.DUMMYFUNCTION("IMPORTRANGE(""https://docs.google.com/spreadsheets/d/1njBaP_xXd-Uotvo2D9zb01TTCFkLJLDK97Tk1l9Qux0/edit?usp=sharing"",""จันทบุรี!L424"")"),78660)</f>
        <v>78660</v>
      </c>
      <c r="E54" s="76">
        <f ca="1">IFERROR(__xludf.DUMMYFUNCTION("IMPORTRANGE(""https://docs.google.com/spreadsheets/d/1njBaP_xXd-Uotvo2D9zb01TTCFkLJLDK97Tk1l9Qux0/edit?usp=sharing"",""จันทบุรี!L431"")"),0)</f>
        <v>0</v>
      </c>
      <c r="F54" s="77">
        <f t="shared" ca="1" si="1"/>
        <v>41260</v>
      </c>
      <c r="G54" s="78">
        <f t="shared" ca="1" si="2"/>
        <v>52.45359776252225</v>
      </c>
      <c r="H54" s="79">
        <f t="shared" ca="1" si="57"/>
        <v>41260</v>
      </c>
      <c r="I54" s="76">
        <f ca="1">IFERROR(__xludf.DUMMYFUNCTION("IMPORTRANGE(""https://docs.google.com/spreadsheets/d/1njBaP_xXd-Uotvo2D9zb01TTCFkLJLDK97Tk1l9Qux0/edit?usp=sharing"",""จันทบุรี!N425"")"),39780)</f>
        <v>39780</v>
      </c>
      <c r="J54" s="76">
        <f ca="1">IFERROR(__xludf.DUMMYFUNCTION("IMPORTRANGE(""https://docs.google.com/spreadsheets/d/1njBaP_xXd-Uotvo2D9zb01TTCFkLJLDK97Tk1l9Qux0/edit?usp=sharing"",""จันทบุรี!N426"")"),0)</f>
        <v>0</v>
      </c>
      <c r="K54" s="76">
        <f ca="1">IFERROR(__xludf.DUMMYFUNCTION("IMPORTRANGE(""https://docs.google.com/spreadsheets/d/1njBaP_xXd-Uotvo2D9zb01TTCFkLJLDK97Tk1l9Qux0/edit?usp=sharing"",""จันทบุรี!N427"")"),0)</f>
        <v>0</v>
      </c>
      <c r="L54" s="76">
        <f ca="1">IFERROR(__xludf.DUMMYFUNCTION("IMPORTRANGE(""https://docs.google.com/spreadsheets/d/1njBaP_xXd-Uotvo2D9zb01TTCFkLJLDK97Tk1l9Qux0/edit?usp=sharing"",""จันทบุรี!N428"")"),1480)</f>
        <v>1480</v>
      </c>
      <c r="M54" s="80">
        <f ca="1">IFERROR(__xludf.DUMMYFUNCTION("IMPORTRANGE(""https://docs.google.com/spreadsheets/d/1njBaP_xXd-Uotvo2D9zb01TTCFkLJLDK97Tk1l9Qux0/edit?usp=sharing"",""จันทบุรี!N431"")"),0)</f>
        <v>0</v>
      </c>
      <c r="N54" s="80">
        <f t="shared" ca="1" si="32"/>
        <v>0</v>
      </c>
      <c r="O54" s="81">
        <f ca="1">IFERROR(__xludf.DUMMYFUNCTION("IMPORTRANGE(""https://docs.google.com/spreadsheets/d/1njBaP_xXd-Uotvo2D9zb01TTCFkLJLDK97Tk1l9Qux0/edit?usp=sharing"",""จันทบุรี!I433"")"),20)</f>
        <v>20</v>
      </c>
      <c r="P54" s="81">
        <f ca="1">IFERROR(__xludf.DUMMYFUNCTION("IMPORTRANGE(""https://docs.google.com/spreadsheets/d/1njBaP_xXd-Uotvo2D9zb01TTCFkLJLDK97Tk1l9Qux0/edit?usp=sharing"",""จันทบุรี!I434"")"),1)</f>
        <v>1</v>
      </c>
      <c r="Q54" s="81">
        <f ca="1">IFERROR(__xludf.DUMMYFUNCTION("IMPORTRANGE(""https://docs.google.com/spreadsheets/d/1njBaP_xXd-Uotvo2D9zb01TTCFkLJLDK97Tk1l9Qux0/edit?usp=sharing"",""จันทบุรี!J433"")"),20)</f>
        <v>20</v>
      </c>
      <c r="R54" s="82">
        <f t="shared" ca="1" si="25"/>
        <v>100</v>
      </c>
      <c r="S54" s="81">
        <f ca="1">IFERROR(__xludf.DUMMYFUNCTION("IMPORTRANGE(""https://docs.google.com/spreadsheets/d/1njBaP_xXd-Uotvo2D9zb01TTCFkLJLDK97Tk1l9Qux0/edit?usp=sharing"",""จันทบุรี!J434"")"),1)</f>
        <v>1</v>
      </c>
      <c r="T54" s="82">
        <f t="shared" ca="1" si="7"/>
        <v>100</v>
      </c>
      <c r="U54" s="81">
        <f ca="1">IFERROR(__xludf.DUMMYFUNCTION("IMPORTRANGE(""https://docs.google.com/spreadsheets/d/1njBaP_xXd-Uotvo2D9zb01TTCFkLJLDK97Tk1l9Qux0/edit?usp=sharing"",""จันทบุรี!I435"")"),20)</f>
        <v>20</v>
      </c>
      <c r="V54" s="81">
        <f ca="1">IFERROR(__xludf.DUMMYFUNCTION("IMPORTRANGE(""https://docs.google.com/spreadsheets/d/1njBaP_xXd-Uotvo2D9zb01TTCFkLJLDK97Tk1l9Qux0/edit?usp=sharing"",""จันทบุรี!J435"")"),20)</f>
        <v>20</v>
      </c>
      <c r="W54" s="82">
        <f t="shared" ca="1" si="26"/>
        <v>100</v>
      </c>
      <c r="X54" s="81">
        <f ca="1">IFERROR(__xludf.DUMMYFUNCTION("IMPORTRANGE(""https://docs.google.com/spreadsheets/d/1njBaP_xXd-Uotvo2D9zb01TTCFkLJLDK97Tk1l9Qux0/edit?usp=sharing"",""จันทบุรี!I437"")"),0)</f>
        <v>0</v>
      </c>
      <c r="Y54" s="81">
        <f ca="1">IFERROR(__xludf.DUMMYFUNCTION("IMPORTRANGE(""https://docs.google.com/spreadsheets/d/1njBaP_xXd-Uotvo2D9zb01TTCFkLJLDK97Tk1l9Qux0/edit?usp=sharing"",""จันทบุรี!I438"")"),0)</f>
        <v>0</v>
      </c>
      <c r="Z54" s="81">
        <f ca="1">IFERROR(__xludf.DUMMYFUNCTION("IMPORTRANGE(""https://docs.google.com/spreadsheets/d/1njBaP_xXd-Uotvo2D9zb01TTCFkLJLDK97Tk1l9Qux0/edit?usp=sharing"",""จันทบุรี!J437"")"),0)</f>
        <v>0</v>
      </c>
      <c r="AA54" s="82">
        <f t="shared" ca="1" si="27"/>
        <v>0</v>
      </c>
      <c r="AB54" s="81">
        <f ca="1">IFERROR(__xludf.DUMMYFUNCTION("IMPORTRANGE(""https://docs.google.com/spreadsheets/d/1njBaP_xXd-Uotvo2D9zb01TTCFkLJLDK97Tk1l9Qux0/edit?usp=sharing"",""จันทบุรี!J438"")"),0)</f>
        <v>0</v>
      </c>
      <c r="AC54" s="82">
        <f t="shared" ca="1" si="12"/>
        <v>0</v>
      </c>
      <c r="AD54" s="81">
        <f ca="1">IFERROR(__xludf.DUMMYFUNCTION("IMPORTRANGE(""https://docs.google.com/spreadsheets/d/1njBaP_xXd-Uotvo2D9zb01TTCFkLJLDK97Tk1l9Qux0/edit?usp=sharing"",""จันทบุรี!I439"")"),20)</f>
        <v>20</v>
      </c>
      <c r="AE54" s="81">
        <f ca="1">IFERROR(__xludf.DUMMYFUNCTION("IMPORTRANGE(""https://docs.google.com/spreadsheets/d/1njBaP_xXd-Uotvo2D9zb01TTCFkLJLDK97Tk1l9Qux0/edit?usp=sharing"",""จันทบุรี!I440"")"),1)</f>
        <v>1</v>
      </c>
      <c r="AF54" s="81">
        <f ca="1">IFERROR(__xludf.DUMMYFUNCTION("IMPORTRANGE(""https://docs.google.com/spreadsheets/d/1njBaP_xXd-Uotvo2D9zb01TTCFkLJLDK97Tk1l9Qux0/edit?usp=sharing"",""จันทบุรี!J439"")"),20)</f>
        <v>20</v>
      </c>
      <c r="AG54" s="82">
        <f t="shared" ca="1" si="28"/>
        <v>100</v>
      </c>
      <c r="AH54" s="81">
        <f ca="1">IFERROR(__xludf.DUMMYFUNCTION("IMPORTRANGE(""https://docs.google.com/spreadsheets/d/1njBaP_xXd-Uotvo2D9zb01TTCFkLJLDK97Tk1l9Qux0/edit?usp=sharing"",""จันทบุรี!J440"")"),1)</f>
        <v>1</v>
      </c>
      <c r="AI54" s="82">
        <f t="shared" ca="1" si="15"/>
        <v>100</v>
      </c>
      <c r="AJ54" s="81">
        <f ca="1">IFERROR(__xludf.DUMMYFUNCTION("IMPORTRANGE(""https://docs.google.com/spreadsheets/d/1njBaP_xXd-Uotvo2D9zb01TTCFkLJLDK97Tk1l9Qux0/edit?usp=sharing"",""จันทบุรี!I441"")"),0)</f>
        <v>0</v>
      </c>
      <c r="AK54" s="81">
        <f ca="1">IFERROR(__xludf.DUMMYFUNCTION("IMPORTRANGE(""https://docs.google.com/spreadsheets/d/1njBaP_xXd-Uotvo2D9zb01TTCFkLJLDK97Tk1l9Qux0/edit?usp=sharing"",""จันทบุรี!J441"")"),0)</f>
        <v>0</v>
      </c>
      <c r="AL54" s="82">
        <f t="shared" ca="1" si="29"/>
        <v>0</v>
      </c>
    </row>
    <row r="55" spans="1:38" ht="21" customHeight="1" x14ac:dyDescent="0.2">
      <c r="A55" s="72">
        <v>3</v>
      </c>
      <c r="B55" s="73" t="s">
        <v>72</v>
      </c>
      <c r="C55" s="74">
        <f t="shared" ca="1" si="56"/>
        <v>133680</v>
      </c>
      <c r="D55" s="75">
        <f ca="1">IFERROR(__xludf.DUMMYFUNCTION("IMPORTRANGE(""https://docs.google.com/spreadsheets/d/14xp6qUzrGFnUk_qnc1eEmfiaNRd4_grkhpfQH_46fa8/edit?usp=sharing"",""ฉะเชิงเทรา!L424"")"),133680)</f>
        <v>133680</v>
      </c>
      <c r="E55" s="76">
        <f ca="1">IFERROR(__xludf.DUMMYFUNCTION("IMPORTRANGE(""https://docs.google.com/spreadsheets/d/14xp6qUzrGFnUk_qnc1eEmfiaNRd4_grkhpfQH_46fa8/edit?usp=sharing"",""ฉะเชิงเทรา!L431"")"),0)</f>
        <v>0</v>
      </c>
      <c r="F55" s="77">
        <f t="shared" ca="1" si="1"/>
        <v>92670.1</v>
      </c>
      <c r="G55" s="78">
        <f t="shared" ca="1" si="2"/>
        <v>69.322336923997611</v>
      </c>
      <c r="H55" s="79">
        <f t="shared" ca="1" si="57"/>
        <v>92670.1</v>
      </c>
      <c r="I55" s="76">
        <f ca="1">IFERROR(__xludf.DUMMYFUNCTION("IMPORTRANGE(""https://docs.google.com/spreadsheets/d/14xp6qUzrGFnUk_qnc1eEmfiaNRd4_grkhpfQH_46fa8/edit?usp=sharing"",""ฉะเชิงเทรา!N425"")"),77710)</f>
        <v>77710</v>
      </c>
      <c r="J55" s="76">
        <f ca="1">IFERROR(__xludf.DUMMYFUNCTION("IMPORTRANGE(""https://docs.google.com/spreadsheets/d/14xp6qUzrGFnUk_qnc1eEmfiaNRd4_grkhpfQH_46fa8/edit?usp=sharing"",""ฉะเชิงเทรา!N426"")"),0)</f>
        <v>0</v>
      </c>
      <c r="K55" s="76">
        <f ca="1">IFERROR(__xludf.DUMMYFUNCTION("IMPORTRANGE(""https://docs.google.com/spreadsheets/d/14xp6qUzrGFnUk_qnc1eEmfiaNRd4_grkhpfQH_46fa8/edit?usp=sharing"",""ฉะเชิงเทรา!N427"")"),0)</f>
        <v>0</v>
      </c>
      <c r="L55" s="76">
        <f ca="1">IFERROR(__xludf.DUMMYFUNCTION("IMPORTRANGE(""https://docs.google.com/spreadsheets/d/14xp6qUzrGFnUk_qnc1eEmfiaNRd4_grkhpfQH_46fa8/edit?usp=sharing"",""ฉะเชิงเทรา!N428"")"),14960.1)</f>
        <v>14960.1</v>
      </c>
      <c r="M55" s="80">
        <f ca="1">IFERROR(__xludf.DUMMYFUNCTION("IMPORTRANGE(""https://docs.google.com/spreadsheets/d/14xp6qUzrGFnUk_qnc1eEmfiaNRd4_grkhpfQH_46fa8/edit?usp=sharing"",""ฉะเชิงเทรา!N431"")"),0)</f>
        <v>0</v>
      </c>
      <c r="N55" s="80">
        <f t="shared" ca="1" si="32"/>
        <v>0</v>
      </c>
      <c r="O55" s="81">
        <f ca="1">IFERROR(__xludf.DUMMYFUNCTION("IMPORTRANGE(""https://docs.google.com/spreadsheets/d/14xp6qUzrGFnUk_qnc1eEmfiaNRd4_grkhpfQH_46fa8/edit?usp=sharing"",""ฉะเชิงเทรา!I433"")"),40)</f>
        <v>40</v>
      </c>
      <c r="P55" s="81">
        <f ca="1">IFERROR(__xludf.DUMMYFUNCTION("IMPORTRANGE(""https://docs.google.com/spreadsheets/d/14xp6qUzrGFnUk_qnc1eEmfiaNRd4_grkhpfQH_46fa8/edit?usp=sharing"",""ฉะเชิงเทรา!I434"")"),2)</f>
        <v>2</v>
      </c>
      <c r="Q55" s="81">
        <f ca="1">IFERROR(__xludf.DUMMYFUNCTION("IMPORTRANGE(""https://docs.google.com/spreadsheets/d/14xp6qUzrGFnUk_qnc1eEmfiaNRd4_grkhpfQH_46fa8/edit?usp=sharing"",""ฉะเชิงเทรา!J433"")"),0)</f>
        <v>0</v>
      </c>
      <c r="R55" s="82">
        <f t="shared" ca="1" si="25"/>
        <v>0</v>
      </c>
      <c r="S55" s="81">
        <f ca="1">IFERROR(__xludf.DUMMYFUNCTION("IMPORTRANGE(""https://docs.google.com/spreadsheets/d/14xp6qUzrGFnUk_qnc1eEmfiaNRd4_grkhpfQH_46fa8/edit?usp=sharing"",""ฉะเชิงเทรา!J434"")"),0)</f>
        <v>0</v>
      </c>
      <c r="T55" s="82">
        <f t="shared" ca="1" si="7"/>
        <v>0</v>
      </c>
      <c r="U55" s="81">
        <f ca="1">IFERROR(__xludf.DUMMYFUNCTION("IMPORTRANGE(""https://docs.google.com/spreadsheets/d/14xp6qUzrGFnUk_qnc1eEmfiaNRd4_grkhpfQH_46fa8/edit?usp=sharing"",""ฉะเชิงเทรา!I435"")"),40)</f>
        <v>40</v>
      </c>
      <c r="V55" s="81">
        <f ca="1">IFERROR(__xludf.DUMMYFUNCTION("IMPORTRANGE(""https://docs.google.com/spreadsheets/d/14xp6qUzrGFnUk_qnc1eEmfiaNRd4_grkhpfQH_46fa8/edit?usp=sharing"",""ฉะเชิงเทรา!J435"")"),40)</f>
        <v>40</v>
      </c>
      <c r="W55" s="82">
        <f t="shared" ca="1" si="26"/>
        <v>100</v>
      </c>
      <c r="X55" s="81">
        <f ca="1">IFERROR(__xludf.DUMMYFUNCTION("IMPORTRANGE(""https://docs.google.com/spreadsheets/d/14xp6qUzrGFnUk_qnc1eEmfiaNRd4_grkhpfQH_46fa8/edit?usp=sharing"",""ฉะเชิงเทรา!I437"")"),20)</f>
        <v>20</v>
      </c>
      <c r="Y55" s="81">
        <f ca="1">IFERROR(__xludf.DUMMYFUNCTION("IMPORTRANGE(""https://docs.google.com/spreadsheets/d/14xp6qUzrGFnUk_qnc1eEmfiaNRd4_grkhpfQH_46fa8/edit?usp=sharing"",""ฉะเชิงเทรา!I438"")"),1)</f>
        <v>1</v>
      </c>
      <c r="Z55" s="81">
        <f ca="1">IFERROR(__xludf.DUMMYFUNCTION("IMPORTRANGE(""https://docs.google.com/spreadsheets/d/14xp6qUzrGFnUk_qnc1eEmfiaNRd4_grkhpfQH_46fa8/edit?usp=sharing"",""ฉะเชิงเทรา!J437"")"),0)</f>
        <v>0</v>
      </c>
      <c r="AA55" s="82">
        <f t="shared" ca="1" si="27"/>
        <v>0</v>
      </c>
      <c r="AB55" s="81">
        <f ca="1">IFERROR(__xludf.DUMMYFUNCTION("IMPORTRANGE(""https://docs.google.com/spreadsheets/d/14xp6qUzrGFnUk_qnc1eEmfiaNRd4_grkhpfQH_46fa8/edit?usp=sharing"",""ฉะเชิงเทรา!J438"")"),0)</f>
        <v>0</v>
      </c>
      <c r="AC55" s="82">
        <f t="shared" ca="1" si="12"/>
        <v>0</v>
      </c>
      <c r="AD55" s="81">
        <f ca="1">IFERROR(__xludf.DUMMYFUNCTION("IMPORTRANGE(""https://docs.google.com/spreadsheets/d/14xp6qUzrGFnUk_qnc1eEmfiaNRd4_grkhpfQH_46fa8/edit?usp=sharing"",""ฉะเชิงเทรา!I439"")"),20)</f>
        <v>20</v>
      </c>
      <c r="AE55" s="81">
        <f ca="1">IFERROR(__xludf.DUMMYFUNCTION("IMPORTRANGE(""https://docs.google.com/spreadsheets/d/14xp6qUzrGFnUk_qnc1eEmfiaNRd4_grkhpfQH_46fa8/edit?usp=sharing"",""ฉะเชิงเทรา!I440"")"),1)</f>
        <v>1</v>
      </c>
      <c r="AF55" s="81">
        <f ca="1">IFERROR(__xludf.DUMMYFUNCTION("IMPORTRANGE(""https://docs.google.com/spreadsheets/d/14xp6qUzrGFnUk_qnc1eEmfiaNRd4_grkhpfQH_46fa8/edit?usp=sharing"",""ฉะเชิงเทรา!J439"")"),20)</f>
        <v>20</v>
      </c>
      <c r="AG55" s="82">
        <f t="shared" ca="1" si="28"/>
        <v>100</v>
      </c>
      <c r="AH55" s="81">
        <f ca="1">IFERROR(__xludf.DUMMYFUNCTION("IMPORTRANGE(""https://docs.google.com/spreadsheets/d/14xp6qUzrGFnUk_qnc1eEmfiaNRd4_grkhpfQH_46fa8/edit?usp=sharing"",""ฉะเชิงเทรา!J440"")"),0)</f>
        <v>0</v>
      </c>
      <c r="AI55" s="82">
        <f t="shared" ca="1" si="15"/>
        <v>0</v>
      </c>
      <c r="AJ55" s="81">
        <f ca="1">IFERROR(__xludf.DUMMYFUNCTION("IMPORTRANGE(""https://docs.google.com/spreadsheets/d/14xp6qUzrGFnUk_qnc1eEmfiaNRd4_grkhpfQH_46fa8/edit?usp=sharing"",""ฉะเชิงเทรา!I441"")"),0)</f>
        <v>0</v>
      </c>
      <c r="AK55" s="81">
        <f ca="1">IFERROR(__xludf.DUMMYFUNCTION("IMPORTRANGE(""https://docs.google.com/spreadsheets/d/14xp6qUzrGFnUk_qnc1eEmfiaNRd4_grkhpfQH_46fa8/edit?usp=sharing"",""ฉะเชิงเทรา!J441"")"),0)</f>
        <v>0</v>
      </c>
      <c r="AL55" s="82">
        <f t="shared" ca="1" si="29"/>
        <v>0</v>
      </c>
    </row>
    <row r="56" spans="1:38" ht="21" customHeight="1" x14ac:dyDescent="0.2">
      <c r="A56" s="72">
        <v>4</v>
      </c>
      <c r="B56" s="73" t="s">
        <v>73</v>
      </c>
      <c r="C56" s="74">
        <f t="shared" ca="1" si="56"/>
        <v>95460</v>
      </c>
      <c r="D56" s="75">
        <f ca="1">IFERROR(__xludf.DUMMYFUNCTION("IMPORTRANGE(""https://docs.google.com/spreadsheets/d/1_Zwps30dlVa-pZFsorjVf1Pil6WXwzCsJU0U2whO3NI/edit?usp=sharing"",""ชลบุรี!L424"")"),95460)</f>
        <v>95460</v>
      </c>
      <c r="E56" s="76">
        <f ca="1">IFERROR(__xludf.DUMMYFUNCTION("IMPORTRANGE(""https://docs.google.com/spreadsheets/d/1_Zwps30dlVa-pZFsorjVf1Pil6WXwzCsJU0U2whO3NI/edit?usp=sharing"",""ชลบุรี!L431"")"),0)</f>
        <v>0</v>
      </c>
      <c r="F56" s="77">
        <f t="shared" ca="1" si="1"/>
        <v>57689</v>
      </c>
      <c r="G56" s="78">
        <f t="shared" ca="1" si="2"/>
        <v>60.432641944269854</v>
      </c>
      <c r="H56" s="79">
        <f t="shared" ca="1" si="57"/>
        <v>57689</v>
      </c>
      <c r="I56" s="76">
        <f ca="1">IFERROR(__xludf.DUMMYFUNCTION("IMPORTRANGE(""https://docs.google.com/spreadsheets/d/1_Zwps30dlVa-pZFsorjVf1Pil6WXwzCsJU0U2whO3NI/edit?usp=sharing"",""ชลบุรี!N425"")"),40889)</f>
        <v>40889</v>
      </c>
      <c r="J56" s="76">
        <f ca="1">IFERROR(__xludf.DUMMYFUNCTION("IMPORTRANGE(""https://docs.google.com/spreadsheets/d/1_Zwps30dlVa-pZFsorjVf1Pil6WXwzCsJU0U2whO3NI/edit?usp=sharing"",""ชลบุรี!N426"")"),0)</f>
        <v>0</v>
      </c>
      <c r="K56" s="76">
        <f ca="1">IFERROR(__xludf.DUMMYFUNCTION("IMPORTRANGE(""https://docs.google.com/spreadsheets/d/1_Zwps30dlVa-pZFsorjVf1Pil6WXwzCsJU0U2whO3NI/edit?usp=sharing"",""ชลบุรี!N427"")"),0)</f>
        <v>0</v>
      </c>
      <c r="L56" s="76">
        <f ca="1">IFERROR(__xludf.DUMMYFUNCTION("IMPORTRANGE(""https://docs.google.com/spreadsheets/d/1_Zwps30dlVa-pZFsorjVf1Pil6WXwzCsJU0U2whO3NI/edit?usp=sharing"",""ชลบุรี!N428"")"),16800)</f>
        <v>16800</v>
      </c>
      <c r="M56" s="80">
        <f ca="1">IFERROR(__xludf.DUMMYFUNCTION("IMPORTRANGE(""https://docs.google.com/spreadsheets/d/1_Zwps30dlVa-pZFsorjVf1Pil6WXwzCsJU0U2whO3NI/edit?usp=sharing"",""ชลบุรี!N431"")"),0)</f>
        <v>0</v>
      </c>
      <c r="N56" s="80">
        <f t="shared" ca="1" si="32"/>
        <v>0</v>
      </c>
      <c r="O56" s="81">
        <f ca="1">IFERROR(__xludf.DUMMYFUNCTION("IMPORTRANGE(""https://docs.google.com/spreadsheets/d/1_Zwps30dlVa-pZFsorjVf1Pil6WXwzCsJU0U2whO3NI/edit?usp=sharing"",""ชลบุรี!I433"")"),20)</f>
        <v>20</v>
      </c>
      <c r="P56" s="81">
        <f ca="1">IFERROR(__xludf.DUMMYFUNCTION("IMPORTRANGE(""https://docs.google.com/spreadsheets/d/1_Zwps30dlVa-pZFsorjVf1Pil6WXwzCsJU0U2whO3NI/edit?usp=sharing"",""ชลบุรี!I434"")"),1)</f>
        <v>1</v>
      </c>
      <c r="Q56" s="81">
        <f ca="1">IFERROR(__xludf.DUMMYFUNCTION("IMPORTRANGE(""https://docs.google.com/spreadsheets/d/1_Zwps30dlVa-pZFsorjVf1Pil6WXwzCsJU0U2whO3NI/edit?usp=sharing"",""ชลบุรี!J433"")"),20)</f>
        <v>20</v>
      </c>
      <c r="R56" s="82">
        <f t="shared" ca="1" si="25"/>
        <v>100</v>
      </c>
      <c r="S56" s="81">
        <f ca="1">IFERROR(__xludf.DUMMYFUNCTION("IMPORTRANGE(""https://docs.google.com/spreadsheets/d/1_Zwps30dlVa-pZFsorjVf1Pil6WXwzCsJU0U2whO3NI/edit?usp=sharing"",""ชลบุรี!J434"")"),1)</f>
        <v>1</v>
      </c>
      <c r="T56" s="82">
        <f t="shared" ca="1" si="7"/>
        <v>100</v>
      </c>
      <c r="U56" s="81">
        <f ca="1">IFERROR(__xludf.DUMMYFUNCTION("IMPORTRANGE(""https://docs.google.com/spreadsheets/d/1_Zwps30dlVa-pZFsorjVf1Pil6WXwzCsJU0U2whO3NI/edit?usp=sharing"",""ชลบุรี!I435"")"),20)</f>
        <v>20</v>
      </c>
      <c r="V56" s="81">
        <f ca="1">IFERROR(__xludf.DUMMYFUNCTION("IMPORTRANGE(""https://docs.google.com/spreadsheets/d/1_Zwps30dlVa-pZFsorjVf1Pil6WXwzCsJU0U2whO3NI/edit?usp=sharing"",""ชลบุรี!J435"")"),20)</f>
        <v>20</v>
      </c>
      <c r="W56" s="82">
        <f t="shared" ca="1" si="26"/>
        <v>100</v>
      </c>
      <c r="X56" s="81">
        <f ca="1">IFERROR(__xludf.DUMMYFUNCTION("IMPORTRANGE(""https://docs.google.com/spreadsheets/d/1_Zwps30dlVa-pZFsorjVf1Pil6WXwzCsJU0U2whO3NI/edit?usp=sharing"",""ชลบุรี!I437"")"),0)</f>
        <v>0</v>
      </c>
      <c r="Y56" s="81">
        <f ca="1">IFERROR(__xludf.DUMMYFUNCTION("IMPORTRANGE(""https://docs.google.com/spreadsheets/d/1_Zwps30dlVa-pZFsorjVf1Pil6WXwzCsJU0U2whO3NI/edit?usp=sharing"",""ชลบุรี!I438"")"),0)</f>
        <v>0</v>
      </c>
      <c r="Z56" s="81">
        <f ca="1">IFERROR(__xludf.DUMMYFUNCTION("IMPORTRANGE(""https://docs.google.com/spreadsheets/d/1_Zwps30dlVa-pZFsorjVf1Pil6WXwzCsJU0U2whO3NI/edit?usp=sharing"",""ชลบุรี!J437"")"),0)</f>
        <v>0</v>
      </c>
      <c r="AA56" s="82">
        <f t="shared" ca="1" si="27"/>
        <v>0</v>
      </c>
      <c r="AB56" s="81">
        <f ca="1">IFERROR(__xludf.DUMMYFUNCTION("IMPORTRANGE(""https://docs.google.com/spreadsheets/d/1_Zwps30dlVa-pZFsorjVf1Pil6WXwzCsJU0U2whO3NI/edit?usp=sharing"",""ชลบุรี!J438"")"),0)</f>
        <v>0</v>
      </c>
      <c r="AC56" s="82">
        <f t="shared" ca="1" si="12"/>
        <v>0</v>
      </c>
      <c r="AD56" s="81">
        <f ca="1">IFERROR(__xludf.DUMMYFUNCTION("IMPORTRANGE(""https://docs.google.com/spreadsheets/d/1_Zwps30dlVa-pZFsorjVf1Pil6WXwzCsJU0U2whO3NI/edit?usp=sharing"",""ชลบุรี!I439"")"),20)</f>
        <v>20</v>
      </c>
      <c r="AE56" s="81">
        <f ca="1">IFERROR(__xludf.DUMMYFUNCTION("IMPORTRANGE(""https://docs.google.com/spreadsheets/d/1_Zwps30dlVa-pZFsorjVf1Pil6WXwzCsJU0U2whO3NI/edit?usp=sharing"",""ชลบุรี!I440"")"),1)</f>
        <v>1</v>
      </c>
      <c r="AF56" s="81">
        <f ca="1">IFERROR(__xludf.DUMMYFUNCTION("IMPORTRANGE(""https://docs.google.com/spreadsheets/d/1_Zwps30dlVa-pZFsorjVf1Pil6WXwzCsJU0U2whO3NI/edit?usp=sharing"",""ชลบุรี!J439"")"),20)</f>
        <v>20</v>
      </c>
      <c r="AG56" s="82">
        <f t="shared" ca="1" si="28"/>
        <v>100</v>
      </c>
      <c r="AH56" s="81">
        <f ca="1">IFERROR(__xludf.DUMMYFUNCTION("IMPORTRANGE(""https://docs.google.com/spreadsheets/d/1_Zwps30dlVa-pZFsorjVf1Pil6WXwzCsJU0U2whO3NI/edit?usp=sharing"",""ชลบุรี!J440"")"),1)</f>
        <v>1</v>
      </c>
      <c r="AI56" s="82">
        <f t="shared" ca="1" si="15"/>
        <v>100</v>
      </c>
      <c r="AJ56" s="81">
        <f ca="1">IFERROR(__xludf.DUMMYFUNCTION("IMPORTRANGE(""https://docs.google.com/spreadsheets/d/1_Zwps30dlVa-pZFsorjVf1Pil6WXwzCsJU0U2whO3NI/edit?usp=sharing"",""ชลบุรี!I441"")"),0)</f>
        <v>0</v>
      </c>
      <c r="AK56" s="81">
        <f ca="1">IFERROR(__xludf.DUMMYFUNCTION("IMPORTRANGE(""https://docs.google.com/spreadsheets/d/1_Zwps30dlVa-pZFsorjVf1Pil6WXwzCsJU0U2whO3NI/edit?usp=sharing"",""ชลบุรี!J441"")"),0)</f>
        <v>0</v>
      </c>
      <c r="AL56" s="82">
        <f t="shared" ca="1" si="29"/>
        <v>0</v>
      </c>
    </row>
    <row r="57" spans="1:38" ht="21" customHeight="1" x14ac:dyDescent="0.2">
      <c r="A57" s="72">
        <v>5</v>
      </c>
      <c r="B57" s="73" t="s">
        <v>74</v>
      </c>
      <c r="C57" s="74">
        <f t="shared" ca="1" si="56"/>
        <v>78660</v>
      </c>
      <c r="D57" s="75">
        <f ca="1">IFERROR(__xludf.DUMMYFUNCTION("IMPORTRANGE(""https://docs.google.com/spreadsheets/d/1xAsT4sUbBlom7l0acStESh_15nvjZcXjZM7fK5uZSq8/edit?usp=sharing"",""ชัยนาท!L424"")"),78660)</f>
        <v>78660</v>
      </c>
      <c r="E57" s="76">
        <f ca="1">IFERROR(__xludf.DUMMYFUNCTION("IMPORTRANGE(""https://docs.google.com/spreadsheets/d/1xAsT4sUbBlom7l0acStESh_15nvjZcXjZM7fK5uZSq8/edit?usp=sharing"",""ชัยนาท!L431"")"),0)</f>
        <v>0</v>
      </c>
      <c r="F57" s="77">
        <f t="shared" ca="1" si="1"/>
        <v>66150</v>
      </c>
      <c r="G57" s="78">
        <f t="shared" ca="1" si="2"/>
        <v>84.096109839816933</v>
      </c>
      <c r="H57" s="79">
        <f t="shared" ca="1" si="57"/>
        <v>66150</v>
      </c>
      <c r="I57" s="76">
        <f ca="1">IFERROR(__xludf.DUMMYFUNCTION("IMPORTRANGE(""https://docs.google.com/spreadsheets/d/1xAsT4sUbBlom7l0acStESh_15nvjZcXjZM7fK5uZSq8/edit?usp=sharing"",""ชัยนาท!N425"")"),48400)</f>
        <v>48400</v>
      </c>
      <c r="J57" s="76">
        <f ca="1">IFERROR(__xludf.DUMMYFUNCTION("IMPORTRANGE(""https://docs.google.com/spreadsheets/d/1xAsT4sUbBlom7l0acStESh_15nvjZcXjZM7fK5uZSq8/edit?usp=sharing"",""ชัยนาท!N426"")"),6500)</f>
        <v>6500</v>
      </c>
      <c r="K57" s="76">
        <f ca="1">IFERROR(__xludf.DUMMYFUNCTION("IMPORTRANGE(""https://docs.google.com/spreadsheets/d/1xAsT4sUbBlom7l0acStESh_15nvjZcXjZM7fK5uZSq8/edit?usp=sharing"",""ชัยนาท!N427"")"),0)</f>
        <v>0</v>
      </c>
      <c r="L57" s="76">
        <f ca="1">IFERROR(__xludf.DUMMYFUNCTION("IMPORTRANGE(""https://docs.google.com/spreadsheets/d/1xAsT4sUbBlom7l0acStESh_15nvjZcXjZM7fK5uZSq8/edit?usp=sharing"",""ชัยนาท!N428"")"),11250)</f>
        <v>11250</v>
      </c>
      <c r="M57" s="80">
        <f ca="1">IFERROR(__xludf.DUMMYFUNCTION("IMPORTRANGE(""https://docs.google.com/spreadsheets/d/1xAsT4sUbBlom7l0acStESh_15nvjZcXjZM7fK5uZSq8/edit?usp=sharing"",""ชัยนาท!N431"")"),0)</f>
        <v>0</v>
      </c>
      <c r="N57" s="80">
        <f t="shared" ca="1" si="32"/>
        <v>0</v>
      </c>
      <c r="O57" s="81">
        <f ca="1">IFERROR(__xludf.DUMMYFUNCTION("IMPORTRANGE(""https://docs.google.com/spreadsheets/d/1xAsT4sUbBlom7l0acStESh_15nvjZcXjZM7fK5uZSq8/edit?usp=sharing"",""ชัยนาท!I433"")"),20)</f>
        <v>20</v>
      </c>
      <c r="P57" s="81">
        <f ca="1">IFERROR(__xludf.DUMMYFUNCTION("IMPORTRANGE(""https://docs.google.com/spreadsheets/d/1xAsT4sUbBlom7l0acStESh_15nvjZcXjZM7fK5uZSq8/edit?usp=sharing"",""ชัยนาท!I434"")"),1)</f>
        <v>1</v>
      </c>
      <c r="Q57" s="81">
        <f ca="1">IFERROR(__xludf.DUMMYFUNCTION("IMPORTRANGE(""https://docs.google.com/spreadsheets/d/1xAsT4sUbBlom7l0acStESh_15nvjZcXjZM7fK5uZSq8/edit?usp=sharing"",""ชัยนาท!J433"")"),20)</f>
        <v>20</v>
      </c>
      <c r="R57" s="82">
        <f t="shared" ca="1" si="25"/>
        <v>100</v>
      </c>
      <c r="S57" s="81">
        <f ca="1">IFERROR(__xludf.DUMMYFUNCTION("IMPORTRANGE(""https://docs.google.com/spreadsheets/d/1xAsT4sUbBlom7l0acStESh_15nvjZcXjZM7fK5uZSq8/edit?usp=sharing"",""ชัยนาท!J434"")"),1)</f>
        <v>1</v>
      </c>
      <c r="T57" s="82">
        <f t="shared" ca="1" si="7"/>
        <v>100</v>
      </c>
      <c r="U57" s="81">
        <f ca="1">IFERROR(__xludf.DUMMYFUNCTION("IMPORTRANGE(""https://docs.google.com/spreadsheets/d/1xAsT4sUbBlom7l0acStESh_15nvjZcXjZM7fK5uZSq8/edit?usp=sharing"",""ชัยนาท!I435"")"),20)</f>
        <v>20</v>
      </c>
      <c r="V57" s="81">
        <f ca="1">IFERROR(__xludf.DUMMYFUNCTION("IMPORTRANGE(""https://docs.google.com/spreadsheets/d/1xAsT4sUbBlom7l0acStESh_15nvjZcXjZM7fK5uZSq8/edit?usp=sharing"",""ชัยนาท!J435"")"),20)</f>
        <v>20</v>
      </c>
      <c r="W57" s="82">
        <f t="shared" ca="1" si="26"/>
        <v>100</v>
      </c>
      <c r="X57" s="81">
        <f ca="1">IFERROR(__xludf.DUMMYFUNCTION("IMPORTRANGE(""https://docs.google.com/spreadsheets/d/1xAsT4sUbBlom7l0acStESh_15nvjZcXjZM7fK5uZSq8/edit?usp=sharing"",""ชัยนาท!I437"")"),0)</f>
        <v>0</v>
      </c>
      <c r="Y57" s="81">
        <f ca="1">IFERROR(__xludf.DUMMYFUNCTION("IMPORTRANGE(""https://docs.google.com/spreadsheets/d/1xAsT4sUbBlom7l0acStESh_15nvjZcXjZM7fK5uZSq8/edit?usp=sharing"",""ชัยนาท!I438"")"),0)</f>
        <v>0</v>
      </c>
      <c r="Z57" s="81">
        <f ca="1">IFERROR(__xludf.DUMMYFUNCTION("IMPORTRANGE(""https://docs.google.com/spreadsheets/d/1xAsT4sUbBlom7l0acStESh_15nvjZcXjZM7fK5uZSq8/edit?usp=sharing"",""ชัยนาท!J437"")"),0)</f>
        <v>0</v>
      </c>
      <c r="AA57" s="82">
        <f t="shared" ca="1" si="27"/>
        <v>0</v>
      </c>
      <c r="AB57" s="81">
        <f ca="1">IFERROR(__xludf.DUMMYFUNCTION("IMPORTRANGE(""https://docs.google.com/spreadsheets/d/1xAsT4sUbBlom7l0acStESh_15nvjZcXjZM7fK5uZSq8/edit?usp=sharing"",""ชัยนาท!J438"")"),0)</f>
        <v>0</v>
      </c>
      <c r="AC57" s="82">
        <f t="shared" ca="1" si="12"/>
        <v>0</v>
      </c>
      <c r="AD57" s="81">
        <f ca="1">IFERROR(__xludf.DUMMYFUNCTION("IMPORTRANGE(""https://docs.google.com/spreadsheets/d/1xAsT4sUbBlom7l0acStESh_15nvjZcXjZM7fK5uZSq8/edit?usp=sharing"",""ชัยนาท!I439"")"),20)</f>
        <v>20</v>
      </c>
      <c r="AE57" s="81">
        <f ca="1">IFERROR(__xludf.DUMMYFUNCTION("IMPORTRANGE(""https://docs.google.com/spreadsheets/d/1xAsT4sUbBlom7l0acStESh_15nvjZcXjZM7fK5uZSq8/edit?usp=sharing"",""ชัยนาท!I440"")"),1)</f>
        <v>1</v>
      </c>
      <c r="AF57" s="81">
        <f ca="1">IFERROR(__xludf.DUMMYFUNCTION("IMPORTRANGE(""https://docs.google.com/spreadsheets/d/1xAsT4sUbBlom7l0acStESh_15nvjZcXjZM7fK5uZSq8/edit?usp=sharing"",""ชัยนาท!J439"")"),20)</f>
        <v>20</v>
      </c>
      <c r="AG57" s="82">
        <f t="shared" ca="1" si="28"/>
        <v>100</v>
      </c>
      <c r="AH57" s="81">
        <f ca="1">IFERROR(__xludf.DUMMYFUNCTION("IMPORTRANGE(""https://docs.google.com/spreadsheets/d/1xAsT4sUbBlom7l0acStESh_15nvjZcXjZM7fK5uZSq8/edit?usp=sharing"",""ชัยนาท!J440"")"),1)</f>
        <v>1</v>
      </c>
      <c r="AI57" s="82">
        <f t="shared" ca="1" si="15"/>
        <v>100</v>
      </c>
      <c r="AJ57" s="81">
        <f ca="1">IFERROR(__xludf.DUMMYFUNCTION("IMPORTRANGE(""https://docs.google.com/spreadsheets/d/1xAsT4sUbBlom7l0acStESh_15nvjZcXjZM7fK5uZSq8/edit?usp=sharing"",""ชัยนาท!I441"")"),0)</f>
        <v>0</v>
      </c>
      <c r="AK57" s="81">
        <f ca="1">IFERROR(__xludf.DUMMYFUNCTION("IMPORTRANGE(""https://docs.google.com/spreadsheets/d/1xAsT4sUbBlom7l0acStESh_15nvjZcXjZM7fK5uZSq8/edit?usp=sharing"",""ชัยนาท!J441"")"),0)</f>
        <v>0</v>
      </c>
      <c r="AL57" s="82">
        <f t="shared" ca="1" si="29"/>
        <v>0</v>
      </c>
    </row>
    <row r="58" spans="1:38" ht="21" customHeight="1" x14ac:dyDescent="0.2">
      <c r="A58" s="72">
        <v>6</v>
      </c>
      <c r="B58" s="73" t="s">
        <v>75</v>
      </c>
      <c r="C58" s="74">
        <f t="shared" ca="1" si="56"/>
        <v>66560</v>
      </c>
      <c r="D58" s="75">
        <f ca="1">IFERROR(__xludf.DUMMYFUNCTION("IMPORTRANGE(""https://docs.google.com/spreadsheets/d/1vWPVBOAaZ6mHSI8yf95DNqHwTJ1cpeFsvqt6cxV34QA/edit?usp=sharing"",""ตราด!L424"")"),66560)</f>
        <v>66560</v>
      </c>
      <c r="E58" s="76">
        <f ca="1">IFERROR(__xludf.DUMMYFUNCTION("IMPORTRANGE(""https://docs.google.com/spreadsheets/d/1vWPVBOAaZ6mHSI8yf95DNqHwTJ1cpeFsvqt6cxV34QA/edit?usp=sharing"",""ตราด!L431"")"),0)</f>
        <v>0</v>
      </c>
      <c r="F58" s="77">
        <f t="shared" ca="1" si="1"/>
        <v>38580</v>
      </c>
      <c r="G58" s="78">
        <f t="shared" ca="1" si="2"/>
        <v>57.962740384615387</v>
      </c>
      <c r="H58" s="79">
        <f t="shared" ca="1" si="57"/>
        <v>38580</v>
      </c>
      <c r="I58" s="76">
        <f ca="1">IFERROR(__xludf.DUMMYFUNCTION("IMPORTRANGE(""https://docs.google.com/spreadsheets/d/1vWPVBOAaZ6mHSI8yf95DNqHwTJ1cpeFsvqt6cxV34QA/edit?usp=sharing"",""ตราด!N425"")"),36300)</f>
        <v>36300</v>
      </c>
      <c r="J58" s="76">
        <f ca="1">IFERROR(__xludf.DUMMYFUNCTION("IMPORTRANGE(""https://docs.google.com/spreadsheets/d/1vWPVBOAaZ6mHSI8yf95DNqHwTJ1cpeFsvqt6cxV34QA/edit?usp=sharing"",""ตราด!N426"")"),0)</f>
        <v>0</v>
      </c>
      <c r="K58" s="76">
        <f ca="1">IFERROR(__xludf.DUMMYFUNCTION("IMPORTRANGE(""https://docs.google.com/spreadsheets/d/1vWPVBOAaZ6mHSI8yf95DNqHwTJ1cpeFsvqt6cxV34QA/edit?usp=sharing"",""ตราด!N427"")"),0)</f>
        <v>0</v>
      </c>
      <c r="L58" s="76">
        <f ca="1">IFERROR(__xludf.DUMMYFUNCTION("IMPORTRANGE(""https://docs.google.com/spreadsheets/d/1vWPVBOAaZ6mHSI8yf95DNqHwTJ1cpeFsvqt6cxV34QA/edit?usp=sharing"",""ตราด!N428"")"),2280)</f>
        <v>2280</v>
      </c>
      <c r="M58" s="80">
        <f ca="1">IFERROR(__xludf.DUMMYFUNCTION("IMPORTRANGE(""https://docs.google.com/spreadsheets/d/1vWPVBOAaZ6mHSI8yf95DNqHwTJ1cpeFsvqt6cxV34QA/edit?usp=sharing"",""ตราด!N431"")"),0)</f>
        <v>0</v>
      </c>
      <c r="N58" s="80">
        <f t="shared" ca="1" si="32"/>
        <v>0</v>
      </c>
      <c r="O58" s="81">
        <f ca="1">IFERROR(__xludf.DUMMYFUNCTION("IMPORTRANGE(""https://docs.google.com/spreadsheets/d/1vWPVBOAaZ6mHSI8yf95DNqHwTJ1cpeFsvqt6cxV34QA/edit?usp=sharing"",""ตราด!I433"")"),15)</f>
        <v>15</v>
      </c>
      <c r="P58" s="81">
        <f ca="1">IFERROR(__xludf.DUMMYFUNCTION("IMPORTRANGE(""https://docs.google.com/spreadsheets/d/1vWPVBOAaZ6mHSI8yf95DNqHwTJ1cpeFsvqt6cxV34QA/edit?usp=sharing"",""ตราด!I434"")"),1)</f>
        <v>1</v>
      </c>
      <c r="Q58" s="81">
        <f ca="1">IFERROR(__xludf.DUMMYFUNCTION("IMPORTRANGE(""https://docs.google.com/spreadsheets/d/1vWPVBOAaZ6mHSI8yf95DNqHwTJ1cpeFsvqt6cxV34QA/edit?usp=sharing"",""ตราด!J433"")"),15)</f>
        <v>15</v>
      </c>
      <c r="R58" s="82">
        <f t="shared" ca="1" si="25"/>
        <v>100</v>
      </c>
      <c r="S58" s="81">
        <f ca="1">IFERROR(__xludf.DUMMYFUNCTION("IMPORTRANGE(""https://docs.google.com/spreadsheets/d/1vWPVBOAaZ6mHSI8yf95DNqHwTJ1cpeFsvqt6cxV34QA/edit?usp=sharing"",""ตราด!J434"")"),1)</f>
        <v>1</v>
      </c>
      <c r="T58" s="82">
        <f t="shared" ca="1" si="7"/>
        <v>100</v>
      </c>
      <c r="U58" s="81">
        <f ca="1">IFERROR(__xludf.DUMMYFUNCTION("IMPORTRANGE(""https://docs.google.com/spreadsheets/d/1vWPVBOAaZ6mHSI8yf95DNqHwTJ1cpeFsvqt6cxV34QA/edit?usp=sharing"",""ตราด!I435"")"),15)</f>
        <v>15</v>
      </c>
      <c r="V58" s="81">
        <f ca="1">IFERROR(__xludf.DUMMYFUNCTION("IMPORTRANGE(""https://docs.google.com/spreadsheets/d/1vWPVBOAaZ6mHSI8yf95DNqHwTJ1cpeFsvqt6cxV34QA/edit?usp=sharing"",""ตราด!J435"")"),15)</f>
        <v>15</v>
      </c>
      <c r="W58" s="82">
        <f t="shared" ca="1" si="26"/>
        <v>100</v>
      </c>
      <c r="X58" s="81">
        <f ca="1">IFERROR(__xludf.DUMMYFUNCTION("IMPORTRANGE(""https://docs.google.com/spreadsheets/d/1vWPVBOAaZ6mHSI8yf95DNqHwTJ1cpeFsvqt6cxV34QA/edit?usp=sharing"",""ตราด!I437"")"),0)</f>
        <v>0</v>
      </c>
      <c r="Y58" s="81">
        <f ca="1">IFERROR(__xludf.DUMMYFUNCTION("IMPORTRANGE(""https://docs.google.com/spreadsheets/d/1vWPVBOAaZ6mHSI8yf95DNqHwTJ1cpeFsvqt6cxV34QA/edit?usp=sharing"",""ตราด!I438"")"),0)</f>
        <v>0</v>
      </c>
      <c r="Z58" s="81">
        <f ca="1">IFERROR(__xludf.DUMMYFUNCTION("IMPORTRANGE(""https://docs.google.com/spreadsheets/d/1vWPVBOAaZ6mHSI8yf95DNqHwTJ1cpeFsvqt6cxV34QA/edit?usp=sharing"",""ตราด!J437"")"),0)</f>
        <v>0</v>
      </c>
      <c r="AA58" s="82">
        <f t="shared" ca="1" si="27"/>
        <v>0</v>
      </c>
      <c r="AB58" s="81">
        <f ca="1">IFERROR(__xludf.DUMMYFUNCTION("IMPORTRANGE(""https://docs.google.com/spreadsheets/d/1vWPVBOAaZ6mHSI8yf95DNqHwTJ1cpeFsvqt6cxV34QA/edit?usp=sharing"",""ตราด!J438"")"),0)</f>
        <v>0</v>
      </c>
      <c r="AC58" s="82">
        <f t="shared" ca="1" si="12"/>
        <v>0</v>
      </c>
      <c r="AD58" s="81">
        <f ca="1">IFERROR(__xludf.DUMMYFUNCTION("IMPORTRANGE(""https://docs.google.com/spreadsheets/d/1vWPVBOAaZ6mHSI8yf95DNqHwTJ1cpeFsvqt6cxV34QA/edit?usp=sharing"",""ตราด!I439"")"),15)</f>
        <v>15</v>
      </c>
      <c r="AE58" s="81">
        <f ca="1">IFERROR(__xludf.DUMMYFUNCTION("IMPORTRANGE(""https://docs.google.com/spreadsheets/d/1vWPVBOAaZ6mHSI8yf95DNqHwTJ1cpeFsvqt6cxV34QA/edit?usp=sharing"",""ตราด!I440"")"),1)</f>
        <v>1</v>
      </c>
      <c r="AF58" s="81">
        <f ca="1">IFERROR(__xludf.DUMMYFUNCTION("IMPORTRANGE(""https://docs.google.com/spreadsheets/d/1vWPVBOAaZ6mHSI8yf95DNqHwTJ1cpeFsvqt6cxV34QA/edit?usp=sharing"",""ตราด!J439"")"),15)</f>
        <v>15</v>
      </c>
      <c r="AG58" s="82">
        <f t="shared" ca="1" si="28"/>
        <v>100</v>
      </c>
      <c r="AH58" s="81">
        <f ca="1">IFERROR(__xludf.DUMMYFUNCTION("IMPORTRANGE(""https://docs.google.com/spreadsheets/d/1vWPVBOAaZ6mHSI8yf95DNqHwTJ1cpeFsvqt6cxV34QA/edit?usp=sharing"",""ตราด!J440"")"),1)</f>
        <v>1</v>
      </c>
      <c r="AI58" s="82">
        <f t="shared" ca="1" si="15"/>
        <v>100</v>
      </c>
      <c r="AJ58" s="81">
        <f ca="1">IFERROR(__xludf.DUMMYFUNCTION("IMPORTRANGE(""https://docs.google.com/spreadsheets/d/1vWPVBOAaZ6mHSI8yf95DNqHwTJ1cpeFsvqt6cxV34QA/edit?usp=sharing"",""ตราด!I441"")"),0)</f>
        <v>0</v>
      </c>
      <c r="AK58" s="81">
        <f ca="1">IFERROR(__xludf.DUMMYFUNCTION("IMPORTRANGE(""https://docs.google.com/spreadsheets/d/1vWPVBOAaZ6mHSI8yf95DNqHwTJ1cpeFsvqt6cxV34QA/edit?usp=sharing"",""ตราด!J441"")"),0)</f>
        <v>0</v>
      </c>
      <c r="AL58" s="82">
        <f t="shared" ca="1" si="29"/>
        <v>0</v>
      </c>
    </row>
    <row r="59" spans="1:38" ht="21" customHeight="1" x14ac:dyDescent="0.2">
      <c r="A59" s="72">
        <v>7</v>
      </c>
      <c r="B59" s="73" t="s">
        <v>76</v>
      </c>
      <c r="C59" s="74">
        <f t="shared" ca="1" si="56"/>
        <v>271030</v>
      </c>
      <c r="D59" s="75">
        <f ca="1">IFERROR(__xludf.DUMMYFUNCTION("IMPORTRANGE(""https://docs.google.com/spreadsheets/d/1phaeSb9lTGgzDpbvVqI9hfmOQQzUom07-HEvpbARzEg/edit?usp=sharing"",""นครนายก!L424"")"),271030)</f>
        <v>271030</v>
      </c>
      <c r="E59" s="76">
        <f ca="1">IFERROR(__xludf.DUMMYFUNCTION("IMPORTRANGE(""https://docs.google.com/spreadsheets/d/1phaeSb9lTGgzDpbvVqI9hfmOQQzUom07-HEvpbARzEg/edit?usp=sharing"",""นครนายก!L431"")"),0)</f>
        <v>0</v>
      </c>
      <c r="F59" s="77">
        <f t="shared" ca="1" si="1"/>
        <v>96800</v>
      </c>
      <c r="G59" s="78">
        <f t="shared" ca="1" si="2"/>
        <v>35.715603438733723</v>
      </c>
      <c r="H59" s="79">
        <f t="shared" ca="1" si="57"/>
        <v>96800</v>
      </c>
      <c r="I59" s="76">
        <f ca="1">IFERROR(__xludf.DUMMYFUNCTION("IMPORTRANGE(""https://docs.google.com/spreadsheets/d/1phaeSb9lTGgzDpbvVqI9hfmOQQzUom07-HEvpbARzEg/edit?usp=sharing"",""นครนายก!N425"")"),96800)</f>
        <v>96800</v>
      </c>
      <c r="J59" s="76">
        <f ca="1">IFERROR(__xludf.DUMMYFUNCTION("IMPORTRANGE(""https://docs.google.com/spreadsheets/d/1phaeSb9lTGgzDpbvVqI9hfmOQQzUom07-HEvpbARzEg/edit?usp=sharing"",""นครนายก!N426"")"),0)</f>
        <v>0</v>
      </c>
      <c r="K59" s="76">
        <f ca="1">IFERROR(__xludf.DUMMYFUNCTION("IMPORTRANGE(""https://docs.google.com/spreadsheets/d/1phaeSb9lTGgzDpbvVqI9hfmOQQzUom07-HEvpbARzEg/edit?usp=sharing"",""นครนายก!N427"")"),0)</f>
        <v>0</v>
      </c>
      <c r="L59" s="76">
        <f ca="1">IFERROR(__xludf.DUMMYFUNCTION("IMPORTRANGE(""https://docs.google.com/spreadsheets/d/1phaeSb9lTGgzDpbvVqI9hfmOQQzUom07-HEvpbARzEg/edit?usp=sharing"",""นครนายก!N428"")"),0)</f>
        <v>0</v>
      </c>
      <c r="M59" s="80">
        <f ca="1">IFERROR(__xludf.DUMMYFUNCTION("IMPORTRANGE(""https://docs.google.com/spreadsheets/d/1phaeSb9lTGgzDpbvVqI9hfmOQQzUom07-HEvpbARzEg/edit?usp=sharing"",""นครนายก!N431"")"),0)</f>
        <v>0</v>
      </c>
      <c r="N59" s="80">
        <f t="shared" ca="1" si="32"/>
        <v>0</v>
      </c>
      <c r="O59" s="81">
        <f ca="1">IFERROR(__xludf.DUMMYFUNCTION("IMPORTRANGE(""https://docs.google.com/spreadsheets/d/1phaeSb9lTGgzDpbvVqI9hfmOQQzUom07-HEvpbARzEg/edit?usp=sharing"",""นครนายก!I433"")"),90)</f>
        <v>90</v>
      </c>
      <c r="P59" s="81">
        <f ca="1">IFERROR(__xludf.DUMMYFUNCTION("IMPORTRANGE(""https://docs.google.com/spreadsheets/d/1phaeSb9lTGgzDpbvVqI9hfmOQQzUom07-HEvpbARzEg/edit?usp=sharing"",""นครนายก!I434"")"),2)</f>
        <v>2</v>
      </c>
      <c r="Q59" s="81">
        <f ca="1">IFERROR(__xludf.DUMMYFUNCTION("IMPORTRANGE(""https://docs.google.com/spreadsheets/d/1phaeSb9lTGgzDpbvVqI9hfmOQQzUom07-HEvpbARzEg/edit?usp=sharing"",""นครนายก!J433"")"),90)</f>
        <v>90</v>
      </c>
      <c r="R59" s="82">
        <f t="shared" ca="1" si="25"/>
        <v>100</v>
      </c>
      <c r="S59" s="81">
        <f ca="1">IFERROR(__xludf.DUMMYFUNCTION("IMPORTRANGE(""https://docs.google.com/spreadsheets/d/1phaeSb9lTGgzDpbvVqI9hfmOQQzUom07-HEvpbARzEg/edit?usp=sharing"",""นครนายก!J434"")"),2)</f>
        <v>2</v>
      </c>
      <c r="T59" s="82">
        <f t="shared" ca="1" si="7"/>
        <v>100</v>
      </c>
      <c r="U59" s="81">
        <f ca="1">IFERROR(__xludf.DUMMYFUNCTION("IMPORTRANGE(""https://docs.google.com/spreadsheets/d/1phaeSb9lTGgzDpbvVqI9hfmOQQzUom07-HEvpbARzEg/edit?usp=sharing"",""นครนายก!I435"")"),90)</f>
        <v>90</v>
      </c>
      <c r="V59" s="81">
        <f ca="1">IFERROR(__xludf.DUMMYFUNCTION("IMPORTRANGE(""https://docs.google.com/spreadsheets/d/1phaeSb9lTGgzDpbvVqI9hfmOQQzUom07-HEvpbARzEg/edit?usp=sharing"",""นครนายก!J435"")"),90)</f>
        <v>90</v>
      </c>
      <c r="W59" s="82">
        <f t="shared" ca="1" si="26"/>
        <v>100</v>
      </c>
      <c r="X59" s="81">
        <f ca="1">IFERROR(__xludf.DUMMYFUNCTION("IMPORTRANGE(""https://docs.google.com/spreadsheets/d/1phaeSb9lTGgzDpbvVqI9hfmOQQzUom07-HEvpbARzEg/edit?usp=sharing"",""นครนายก!I437"")"),70)</f>
        <v>70</v>
      </c>
      <c r="Y59" s="81">
        <f ca="1">IFERROR(__xludf.DUMMYFUNCTION("IMPORTRANGE(""https://docs.google.com/spreadsheets/d/1phaeSb9lTGgzDpbvVqI9hfmOQQzUom07-HEvpbARzEg/edit?usp=sharing"",""นครนายก!I438"")"),1)</f>
        <v>1</v>
      </c>
      <c r="Z59" s="81">
        <f ca="1">IFERROR(__xludf.DUMMYFUNCTION("IMPORTRANGE(""https://docs.google.com/spreadsheets/d/1phaeSb9lTGgzDpbvVqI9hfmOQQzUom07-HEvpbARzEg/edit?usp=sharing"",""นครนายก!J437"")"),70)</f>
        <v>70</v>
      </c>
      <c r="AA59" s="82">
        <f t="shared" ca="1" si="27"/>
        <v>100</v>
      </c>
      <c r="AB59" s="81">
        <f ca="1">IFERROR(__xludf.DUMMYFUNCTION("IMPORTRANGE(""https://docs.google.com/spreadsheets/d/1phaeSb9lTGgzDpbvVqI9hfmOQQzUom07-HEvpbARzEg/edit?usp=sharing"",""นครนายก!J438"")"),1)</f>
        <v>1</v>
      </c>
      <c r="AC59" s="82">
        <f t="shared" ca="1" si="12"/>
        <v>100</v>
      </c>
      <c r="AD59" s="81">
        <f ca="1">IFERROR(__xludf.DUMMYFUNCTION("IMPORTRANGE(""https://docs.google.com/spreadsheets/d/1phaeSb9lTGgzDpbvVqI9hfmOQQzUom07-HEvpbARzEg/edit?usp=sharing"",""นครนายก!I439"")"),20)</f>
        <v>20</v>
      </c>
      <c r="AE59" s="81">
        <f ca="1">IFERROR(__xludf.DUMMYFUNCTION("IMPORTRANGE(""https://docs.google.com/spreadsheets/d/1phaeSb9lTGgzDpbvVqI9hfmOQQzUom07-HEvpbARzEg/edit?usp=sharing"",""นครนายก!I440"")"),1)</f>
        <v>1</v>
      </c>
      <c r="AF59" s="81">
        <f ca="1">IFERROR(__xludf.DUMMYFUNCTION("IMPORTRANGE(""https://docs.google.com/spreadsheets/d/1phaeSb9lTGgzDpbvVqI9hfmOQQzUom07-HEvpbARzEg/edit?usp=sharing"",""นครนายก!J439"")"),20)</f>
        <v>20</v>
      </c>
      <c r="AG59" s="82">
        <f t="shared" ca="1" si="28"/>
        <v>100</v>
      </c>
      <c r="AH59" s="81">
        <f ca="1">IFERROR(__xludf.DUMMYFUNCTION("IMPORTRANGE(""https://docs.google.com/spreadsheets/d/1phaeSb9lTGgzDpbvVqI9hfmOQQzUom07-HEvpbARzEg/edit?usp=sharing"",""นครนายก!J440"")"),1)</f>
        <v>1</v>
      </c>
      <c r="AI59" s="82">
        <f t="shared" ca="1" si="15"/>
        <v>100</v>
      </c>
      <c r="AJ59" s="81">
        <f ca="1">IFERROR(__xludf.DUMMYFUNCTION("IMPORTRANGE(""https://docs.google.com/spreadsheets/d/1phaeSb9lTGgzDpbvVqI9hfmOQQzUom07-HEvpbARzEg/edit?usp=sharing"",""นครนายก!I441"")"),0)</f>
        <v>0</v>
      </c>
      <c r="AK59" s="81">
        <f ca="1">IFERROR(__xludf.DUMMYFUNCTION("IMPORTRANGE(""https://docs.google.com/spreadsheets/d/1phaeSb9lTGgzDpbvVqI9hfmOQQzUom07-HEvpbARzEg/edit?usp=sharing"",""นครนายก!J441"")"),0)</f>
        <v>0</v>
      </c>
      <c r="AL59" s="82">
        <f t="shared" ca="1" si="29"/>
        <v>0</v>
      </c>
    </row>
    <row r="60" spans="1:38" ht="21" customHeight="1" x14ac:dyDescent="0.2">
      <c r="A60" s="72">
        <v>8</v>
      </c>
      <c r="B60" s="73" t="s">
        <v>77</v>
      </c>
      <c r="C60" s="74">
        <f t="shared" ca="1" si="56"/>
        <v>64460</v>
      </c>
      <c r="D60" s="75">
        <f ca="1">IFERROR(__xludf.DUMMYFUNCTION("IMPORTRANGE(""https://docs.google.com/spreadsheets/d/1tpwhWwkqkBeiSWCcfB5f2fbwPRbM9hHOEDSDHpl2MIc/edit?usp=sharing"",""นครปฐม!L424"")"),64460)</f>
        <v>64460</v>
      </c>
      <c r="E60" s="76">
        <f ca="1">IFERROR(__xludf.DUMMYFUNCTION("IMPORTRANGE(""https://docs.google.com/spreadsheets/d/1tpwhWwkqkBeiSWCcfB5f2fbwPRbM9hHOEDSDHpl2MIc/edit?usp=sharing"",""นครปฐม!L431"")"),0)</f>
        <v>0</v>
      </c>
      <c r="F60" s="77">
        <f t="shared" ca="1" si="1"/>
        <v>34230</v>
      </c>
      <c r="G60" s="78">
        <f t="shared" ca="1" si="2"/>
        <v>53.102699348433134</v>
      </c>
      <c r="H60" s="79">
        <f t="shared" ca="1" si="57"/>
        <v>34230</v>
      </c>
      <c r="I60" s="76">
        <f ca="1">IFERROR(__xludf.DUMMYFUNCTION("IMPORTRANGE(""https://docs.google.com/spreadsheets/d/1tpwhWwkqkBeiSWCcfB5f2fbwPRbM9hHOEDSDHpl2MIc/edit?usp=sharing"",""นครปฐม!N425"")"),17620)</f>
        <v>17620</v>
      </c>
      <c r="J60" s="76">
        <f ca="1">IFERROR(__xludf.DUMMYFUNCTION("IMPORTRANGE(""https://docs.google.com/spreadsheets/d/1tpwhWwkqkBeiSWCcfB5f2fbwPRbM9hHOEDSDHpl2MIc/edit?usp=sharing"",""นครปฐม!N426"")"),0)</f>
        <v>0</v>
      </c>
      <c r="K60" s="76">
        <f ca="1">IFERROR(__xludf.DUMMYFUNCTION("IMPORTRANGE(""https://docs.google.com/spreadsheets/d/1tpwhWwkqkBeiSWCcfB5f2fbwPRbM9hHOEDSDHpl2MIc/edit?usp=sharing"",""นครปฐม!N427"")"),0)</f>
        <v>0</v>
      </c>
      <c r="L60" s="76">
        <f ca="1">IFERROR(__xludf.DUMMYFUNCTION("IMPORTRANGE(""https://docs.google.com/spreadsheets/d/1tpwhWwkqkBeiSWCcfB5f2fbwPRbM9hHOEDSDHpl2MIc/edit?usp=sharing"",""นครปฐม!N428"")"),16610)</f>
        <v>16610</v>
      </c>
      <c r="M60" s="80">
        <f ca="1">IFERROR(__xludf.DUMMYFUNCTION("IMPORTRANGE(""https://docs.google.com/spreadsheets/d/1tpwhWwkqkBeiSWCcfB5f2fbwPRbM9hHOEDSDHpl2MIc/edit?usp=sharing"",""นครปฐม!N431"")"),0)</f>
        <v>0</v>
      </c>
      <c r="N60" s="80">
        <f t="shared" ca="1" si="32"/>
        <v>0</v>
      </c>
      <c r="O60" s="81">
        <f ca="1">IFERROR(__xludf.DUMMYFUNCTION("IMPORTRANGE(""https://docs.google.com/spreadsheets/d/1tpwhWwkqkBeiSWCcfB5f2fbwPRbM9hHOEDSDHpl2MIc/edit?usp=sharing"",""นครปฐม!I433"")"),10)</f>
        <v>10</v>
      </c>
      <c r="P60" s="81">
        <f ca="1">IFERROR(__xludf.DUMMYFUNCTION("IMPORTRANGE(""https://docs.google.com/spreadsheets/d/1tpwhWwkqkBeiSWCcfB5f2fbwPRbM9hHOEDSDHpl2MIc/edit?usp=sharing"",""นครปฐม!I434"")"),1)</f>
        <v>1</v>
      </c>
      <c r="Q60" s="81">
        <f ca="1">IFERROR(__xludf.DUMMYFUNCTION("IMPORTRANGE(""https://docs.google.com/spreadsheets/d/1tpwhWwkqkBeiSWCcfB5f2fbwPRbM9hHOEDSDHpl2MIc/edit?usp=sharing"",""นครปฐม!J433"")"),0)</f>
        <v>0</v>
      </c>
      <c r="R60" s="82">
        <f t="shared" ca="1" si="25"/>
        <v>0</v>
      </c>
      <c r="S60" s="81">
        <f ca="1">IFERROR(__xludf.DUMMYFUNCTION("IMPORTRANGE(""https://docs.google.com/spreadsheets/d/1tpwhWwkqkBeiSWCcfB5f2fbwPRbM9hHOEDSDHpl2MIc/edit?usp=sharing"",""นครปฐม!J434"")"),0)</f>
        <v>0</v>
      </c>
      <c r="T60" s="82">
        <f t="shared" ca="1" si="7"/>
        <v>0</v>
      </c>
      <c r="U60" s="81">
        <f ca="1">IFERROR(__xludf.DUMMYFUNCTION("IMPORTRANGE(""https://docs.google.com/spreadsheets/d/1tpwhWwkqkBeiSWCcfB5f2fbwPRbM9hHOEDSDHpl2MIc/edit?usp=sharing"",""นครปฐม!I435"")"),10)</f>
        <v>10</v>
      </c>
      <c r="V60" s="81">
        <f ca="1">IFERROR(__xludf.DUMMYFUNCTION("IMPORTRANGE(""https://docs.google.com/spreadsheets/d/1tpwhWwkqkBeiSWCcfB5f2fbwPRbM9hHOEDSDHpl2MIc/edit?usp=sharing"",""นครปฐม!J435"")"),0)</f>
        <v>0</v>
      </c>
      <c r="W60" s="82">
        <f t="shared" ca="1" si="26"/>
        <v>0</v>
      </c>
      <c r="X60" s="81">
        <f ca="1">IFERROR(__xludf.DUMMYFUNCTION("IMPORTRANGE(""https://docs.google.com/spreadsheets/d/1tpwhWwkqkBeiSWCcfB5f2fbwPRbM9hHOEDSDHpl2MIc/edit?usp=sharing"",""นครปฐม!I437"")"),0)</f>
        <v>0</v>
      </c>
      <c r="Y60" s="81">
        <f ca="1">IFERROR(__xludf.DUMMYFUNCTION("IMPORTRANGE(""https://docs.google.com/spreadsheets/d/1tpwhWwkqkBeiSWCcfB5f2fbwPRbM9hHOEDSDHpl2MIc/edit?usp=sharing"",""นครปฐม!I438"")"),0)</f>
        <v>0</v>
      </c>
      <c r="Z60" s="81">
        <f ca="1">IFERROR(__xludf.DUMMYFUNCTION("IMPORTRANGE(""https://docs.google.com/spreadsheets/d/1tpwhWwkqkBeiSWCcfB5f2fbwPRbM9hHOEDSDHpl2MIc/edit?usp=sharing"",""นครปฐม!J437"")"),0)</f>
        <v>0</v>
      </c>
      <c r="AA60" s="82">
        <f t="shared" ca="1" si="27"/>
        <v>0</v>
      </c>
      <c r="AB60" s="81">
        <f ca="1">IFERROR(__xludf.DUMMYFUNCTION("IMPORTRANGE(""https://docs.google.com/spreadsheets/d/1tpwhWwkqkBeiSWCcfB5f2fbwPRbM9hHOEDSDHpl2MIc/edit?usp=sharing"",""นครปฐม!J438"")"),0)</f>
        <v>0</v>
      </c>
      <c r="AC60" s="82">
        <f t="shared" ca="1" si="12"/>
        <v>0</v>
      </c>
      <c r="AD60" s="81">
        <f ca="1">IFERROR(__xludf.DUMMYFUNCTION("IMPORTRANGE(""https://docs.google.com/spreadsheets/d/1tpwhWwkqkBeiSWCcfB5f2fbwPRbM9hHOEDSDHpl2MIc/edit?usp=sharing"",""นครปฐม!I439"")"),10)</f>
        <v>10</v>
      </c>
      <c r="AE60" s="81">
        <f ca="1">IFERROR(__xludf.DUMMYFUNCTION("IMPORTRANGE(""https://docs.google.com/spreadsheets/d/1tpwhWwkqkBeiSWCcfB5f2fbwPRbM9hHOEDSDHpl2MIc/edit?usp=sharing"",""นครปฐม!I440"")"),1)</f>
        <v>1</v>
      </c>
      <c r="AF60" s="81">
        <f ca="1">IFERROR(__xludf.DUMMYFUNCTION("IMPORTRANGE(""https://docs.google.com/spreadsheets/d/1tpwhWwkqkBeiSWCcfB5f2fbwPRbM9hHOEDSDHpl2MIc/edit?usp=sharing"",""นครปฐม!J439"")"),0)</f>
        <v>0</v>
      </c>
      <c r="AG60" s="82">
        <f t="shared" ca="1" si="28"/>
        <v>0</v>
      </c>
      <c r="AH60" s="81">
        <f ca="1">IFERROR(__xludf.DUMMYFUNCTION("IMPORTRANGE(""https://docs.google.com/spreadsheets/d/1tpwhWwkqkBeiSWCcfB5f2fbwPRbM9hHOEDSDHpl2MIc/edit?usp=sharing"",""นครปฐม!J440"")"),0)</f>
        <v>0</v>
      </c>
      <c r="AI60" s="82">
        <f t="shared" ca="1" si="15"/>
        <v>0</v>
      </c>
      <c r="AJ60" s="81">
        <f ca="1">IFERROR(__xludf.DUMMYFUNCTION("IMPORTRANGE(""https://docs.google.com/spreadsheets/d/1tpwhWwkqkBeiSWCcfB5f2fbwPRbM9hHOEDSDHpl2MIc/edit?usp=sharing"",""นครปฐม!I441"")"),0)</f>
        <v>0</v>
      </c>
      <c r="AK60" s="81">
        <f ca="1">IFERROR(__xludf.DUMMYFUNCTION("IMPORTRANGE(""https://docs.google.com/spreadsheets/d/1tpwhWwkqkBeiSWCcfB5f2fbwPRbM9hHOEDSDHpl2MIc/edit?usp=sharing"",""นครปฐม!J441"")"),0)</f>
        <v>0</v>
      </c>
      <c r="AL60" s="82">
        <f t="shared" ca="1" si="29"/>
        <v>0</v>
      </c>
    </row>
    <row r="61" spans="1:38" ht="21" customHeight="1" x14ac:dyDescent="0.2">
      <c r="A61" s="72">
        <v>9</v>
      </c>
      <c r="B61" s="73" t="s">
        <v>78</v>
      </c>
      <c r="C61" s="74">
        <f t="shared" ca="1" si="56"/>
        <v>66560</v>
      </c>
      <c r="D61" s="75">
        <f ca="1">IFERROR(__xludf.DUMMYFUNCTION("IMPORTRANGE(""https://docs.google.com/spreadsheets/d/1fJJCVBkBnhriyv0Cp5ZFMr0I_yrfdEITNpb4zILJgUQ/edit?usp=sharing"",""ปทุมธานี!L424"")"),66560)</f>
        <v>66560</v>
      </c>
      <c r="E61" s="76">
        <f ca="1">IFERROR(__xludf.DUMMYFUNCTION("IMPORTRANGE(""https://docs.google.com/spreadsheets/d/1fJJCVBkBnhriyv0Cp5ZFMr0I_yrfdEITNpb4zILJgUQ/edit?usp=sharing"",""ปทุมธานี!L431"")"),0)</f>
        <v>0</v>
      </c>
      <c r="F61" s="77">
        <f t="shared" ca="1" si="1"/>
        <v>20223</v>
      </c>
      <c r="G61" s="78">
        <f t="shared" ca="1" si="2"/>
        <v>30.38311298076923</v>
      </c>
      <c r="H61" s="79">
        <f t="shared" ca="1" si="57"/>
        <v>20223</v>
      </c>
      <c r="I61" s="76">
        <f ca="1">IFERROR(__xludf.DUMMYFUNCTION("IMPORTRANGE(""https://docs.google.com/spreadsheets/d/1fJJCVBkBnhriyv0Cp5ZFMr0I_yrfdEITNpb4zILJgUQ/edit?usp=sharing"",""ปทุมธานี!N425"")"),20223)</f>
        <v>20223</v>
      </c>
      <c r="J61" s="76">
        <f ca="1">IFERROR(__xludf.DUMMYFUNCTION("IMPORTRANGE(""https://docs.google.com/spreadsheets/d/1fJJCVBkBnhriyv0Cp5ZFMr0I_yrfdEITNpb4zILJgUQ/edit?usp=sharing"",""ปทุมธานี!N426"")"),0)</f>
        <v>0</v>
      </c>
      <c r="K61" s="76">
        <f ca="1">IFERROR(__xludf.DUMMYFUNCTION("IMPORTRANGE(""https://docs.google.com/spreadsheets/d/1fJJCVBkBnhriyv0Cp5ZFMr0I_yrfdEITNpb4zILJgUQ/edit?usp=sharing"",""ปทุมธานี!N427"")"),0)</f>
        <v>0</v>
      </c>
      <c r="L61" s="76">
        <f ca="1">IFERROR(__xludf.DUMMYFUNCTION("IMPORTRANGE(""https://docs.google.com/spreadsheets/d/1fJJCVBkBnhriyv0Cp5ZFMr0I_yrfdEITNpb4zILJgUQ/edit?usp=sharing"",""ปทุมธานี!N428"")"),0)</f>
        <v>0</v>
      </c>
      <c r="M61" s="80">
        <f ca="1">IFERROR(__xludf.DUMMYFUNCTION("IMPORTRANGE(""https://docs.google.com/spreadsheets/d/1fJJCVBkBnhriyv0Cp5ZFMr0I_yrfdEITNpb4zILJgUQ/edit?usp=sharing"",""ปทุมธานี!N431"")"),0)</f>
        <v>0</v>
      </c>
      <c r="N61" s="80">
        <f t="shared" ca="1" si="32"/>
        <v>0</v>
      </c>
      <c r="O61" s="81">
        <f ca="1">IFERROR(__xludf.DUMMYFUNCTION("IMPORTRANGE(""https://docs.google.com/spreadsheets/d/1fJJCVBkBnhriyv0Cp5ZFMr0I_yrfdEITNpb4zILJgUQ/edit?usp=sharing"",""ปทุมธานี!I433"")"),15)</f>
        <v>15</v>
      </c>
      <c r="P61" s="81">
        <f ca="1">IFERROR(__xludf.DUMMYFUNCTION("IMPORTRANGE(""https://docs.google.com/spreadsheets/d/1fJJCVBkBnhriyv0Cp5ZFMr0I_yrfdEITNpb4zILJgUQ/edit?usp=sharing"",""ปทุมธานี!I434"")"),1)</f>
        <v>1</v>
      </c>
      <c r="Q61" s="81">
        <f ca="1">IFERROR(__xludf.DUMMYFUNCTION("IMPORTRANGE(""https://docs.google.com/spreadsheets/d/1fJJCVBkBnhriyv0Cp5ZFMr0I_yrfdEITNpb4zILJgUQ/edit?usp=sharing"",""ปทุมธานี!J433"")"),0)</f>
        <v>0</v>
      </c>
      <c r="R61" s="82">
        <f t="shared" ca="1" si="25"/>
        <v>0</v>
      </c>
      <c r="S61" s="81">
        <f ca="1">IFERROR(__xludf.DUMMYFUNCTION("IMPORTRANGE(""https://docs.google.com/spreadsheets/d/1fJJCVBkBnhriyv0Cp5ZFMr0I_yrfdEITNpb4zILJgUQ/edit?usp=sharing"",""ปทุมธานี!J434"")"),0)</f>
        <v>0</v>
      </c>
      <c r="T61" s="82">
        <f t="shared" ca="1" si="7"/>
        <v>0</v>
      </c>
      <c r="U61" s="81">
        <f ca="1">IFERROR(__xludf.DUMMYFUNCTION("IMPORTRANGE(""https://docs.google.com/spreadsheets/d/1fJJCVBkBnhriyv0Cp5ZFMr0I_yrfdEITNpb4zILJgUQ/edit?usp=sharing"",""ปทุมธานี!I435"")"),15)</f>
        <v>15</v>
      </c>
      <c r="V61" s="81">
        <f ca="1">IFERROR(__xludf.DUMMYFUNCTION("IMPORTRANGE(""https://docs.google.com/spreadsheets/d/1fJJCVBkBnhriyv0Cp5ZFMr0I_yrfdEITNpb4zILJgUQ/edit?usp=sharing"",""ปทุมธานี!J435"")"),0)</f>
        <v>0</v>
      </c>
      <c r="W61" s="82">
        <f t="shared" ca="1" si="26"/>
        <v>0</v>
      </c>
      <c r="X61" s="81">
        <f ca="1">IFERROR(__xludf.DUMMYFUNCTION("IMPORTRANGE(""https://docs.google.com/spreadsheets/d/1fJJCVBkBnhriyv0Cp5ZFMr0I_yrfdEITNpb4zILJgUQ/edit?usp=sharing"",""ปทุมธานี!I437"")"),0)</f>
        <v>0</v>
      </c>
      <c r="Y61" s="81">
        <f ca="1">IFERROR(__xludf.DUMMYFUNCTION("IMPORTRANGE(""https://docs.google.com/spreadsheets/d/1fJJCVBkBnhriyv0Cp5ZFMr0I_yrfdEITNpb4zILJgUQ/edit?usp=sharing"",""ปทุมธานี!I438"")"),0)</f>
        <v>0</v>
      </c>
      <c r="Z61" s="81">
        <f ca="1">IFERROR(__xludf.DUMMYFUNCTION("IMPORTRANGE(""https://docs.google.com/spreadsheets/d/1fJJCVBkBnhriyv0Cp5ZFMr0I_yrfdEITNpb4zILJgUQ/edit?usp=sharing"",""ปทุมธานี!J437"")"),0)</f>
        <v>0</v>
      </c>
      <c r="AA61" s="82">
        <f t="shared" ca="1" si="27"/>
        <v>0</v>
      </c>
      <c r="AB61" s="81">
        <f ca="1">IFERROR(__xludf.DUMMYFUNCTION("IMPORTRANGE(""https://docs.google.com/spreadsheets/d/1fJJCVBkBnhriyv0Cp5ZFMr0I_yrfdEITNpb4zILJgUQ/edit?usp=sharing"",""ปทุมธานี!J438"")"),0)</f>
        <v>0</v>
      </c>
      <c r="AC61" s="82">
        <f t="shared" ca="1" si="12"/>
        <v>0</v>
      </c>
      <c r="AD61" s="81">
        <f ca="1">IFERROR(__xludf.DUMMYFUNCTION("IMPORTRANGE(""https://docs.google.com/spreadsheets/d/1fJJCVBkBnhriyv0Cp5ZFMr0I_yrfdEITNpb4zILJgUQ/edit?usp=sharing"",""ปทุมธานี!I439"")"),15)</f>
        <v>15</v>
      </c>
      <c r="AE61" s="81">
        <f ca="1">IFERROR(__xludf.DUMMYFUNCTION("IMPORTRANGE(""https://docs.google.com/spreadsheets/d/1fJJCVBkBnhriyv0Cp5ZFMr0I_yrfdEITNpb4zILJgUQ/edit?usp=sharing"",""ปทุมธานี!I440"")"),1)</f>
        <v>1</v>
      </c>
      <c r="AF61" s="81">
        <f ca="1">IFERROR(__xludf.DUMMYFUNCTION("IMPORTRANGE(""https://docs.google.com/spreadsheets/d/1fJJCVBkBnhriyv0Cp5ZFMr0I_yrfdEITNpb4zILJgUQ/edit?usp=sharing"",""ปทุมธานี!J439"")"),0)</f>
        <v>0</v>
      </c>
      <c r="AG61" s="82">
        <f t="shared" ca="1" si="28"/>
        <v>0</v>
      </c>
      <c r="AH61" s="81">
        <f ca="1">IFERROR(__xludf.DUMMYFUNCTION("IMPORTRANGE(""https://docs.google.com/spreadsheets/d/1fJJCVBkBnhriyv0Cp5ZFMr0I_yrfdEITNpb4zILJgUQ/edit?usp=sharing"",""ปทุมธานี!J440"")"),0)</f>
        <v>0</v>
      </c>
      <c r="AI61" s="82">
        <f t="shared" ca="1" si="15"/>
        <v>0</v>
      </c>
      <c r="AJ61" s="81">
        <f ca="1">IFERROR(__xludf.DUMMYFUNCTION("IMPORTRANGE(""https://docs.google.com/spreadsheets/d/1fJJCVBkBnhriyv0Cp5ZFMr0I_yrfdEITNpb4zILJgUQ/edit?usp=sharing"",""ปทุมธานี!I441"")"),0)</f>
        <v>0</v>
      </c>
      <c r="AK61" s="81">
        <f ca="1">IFERROR(__xludf.DUMMYFUNCTION("IMPORTRANGE(""https://docs.google.com/spreadsheets/d/1fJJCVBkBnhriyv0Cp5ZFMr0I_yrfdEITNpb4zILJgUQ/edit?usp=sharing"",""ปทุมธานี!J441"")"),0)</f>
        <v>0</v>
      </c>
      <c r="AL61" s="82">
        <f t="shared" ca="1" si="29"/>
        <v>0</v>
      </c>
    </row>
    <row r="62" spans="1:38" ht="21" customHeight="1" x14ac:dyDescent="0.2">
      <c r="A62" s="72">
        <v>10</v>
      </c>
      <c r="B62" s="73" t="s">
        <v>79</v>
      </c>
      <c r="C62" s="74">
        <f t="shared" ca="1" si="56"/>
        <v>66560</v>
      </c>
      <c r="D62" s="75">
        <f ca="1">IFERROR(__xludf.DUMMYFUNCTION("IMPORTRANGE(""https://docs.google.com/spreadsheets/d/1W5Jj_S0gYw6wSO7QcMI02YgyOBDKYgmm0NSUk-AQEac/edit?usp=sharing"",""ประจวบคีรีขันธ์!L424"")"),66560)</f>
        <v>66560</v>
      </c>
      <c r="E62" s="76">
        <f ca="1">IFERROR(__xludf.DUMMYFUNCTION("IMPORTRANGE(""https://docs.google.com/spreadsheets/d/1W5Jj_S0gYw6wSO7QcMI02YgyOBDKYgmm0NSUk-AQEac/edit?usp=sharing"",""ประจวบคีรีขันธ์!L431"")"),0)</f>
        <v>0</v>
      </c>
      <c r="F62" s="77">
        <f t="shared" ca="1" si="1"/>
        <v>65240</v>
      </c>
      <c r="G62" s="78">
        <f t="shared" ca="1" si="2"/>
        <v>98.01682692307692</v>
      </c>
      <c r="H62" s="79">
        <f t="shared" ca="1" si="57"/>
        <v>65240</v>
      </c>
      <c r="I62" s="76">
        <f ca="1">IFERROR(__xludf.DUMMYFUNCTION("IMPORTRANGE(""https://docs.google.com/spreadsheets/d/1W5Jj_S0gYw6wSO7QcMI02YgyOBDKYgmm0NSUk-AQEac/edit?usp=sharing"",""ประจวบคีรีขันธ์!N425"")"),49950)</f>
        <v>49950</v>
      </c>
      <c r="J62" s="76">
        <f ca="1">IFERROR(__xludf.DUMMYFUNCTION("IMPORTRANGE(""https://docs.google.com/spreadsheets/d/1W5Jj_S0gYw6wSO7QcMI02YgyOBDKYgmm0NSUk-AQEac/edit?usp=sharing"",""ประจวบคีรีขันธ์!N426"")"),0)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IFERROR(__xludf.DUMMYFUNCTION("IMPORTRANGE(""https://docs.google.com/spreadsheets/d/1W5Jj_S0gYw6wSO7QcMI02YgyOBDKYgmm0NSUk-AQEac/edit?usp=sharing"",""ประจวบคีรีขันธ์!N427"")"),0)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IFERROR(__xludf.DUMMYFUNCTION("IMPORTRANGE(""https://docs.google.com/spreadsheets/d/1W5Jj_S0gYw6wSO7QcMI02YgyOBDKYgmm0NSUk-AQEac/edit?usp=sharing"",""ประจวบคีรีขันธ์!N428"")"),15290)</f>
        <v>15290</v>
      </c>
      <c r="M62" s="80">
        <f ca="1">IFERROR(__xludf.DUMMYFUNCTION("IMPORTRANGE(""https://docs.google.com/spreadsheets/d/1W5Jj_S0gYw6wSO7QcMI02YgyOBDKYgmm0NSUk-AQEac/edit?usp=sharing"",""ประจวบคีรีขันธ์!N431"")"),0)</f>
        <v>0</v>
      </c>
      <c r="N62" s="80">
        <f t="shared" ca="1" si="32"/>
        <v>0</v>
      </c>
      <c r="O62" s="81">
        <f ca="1">IFERROR(__xludf.DUMMYFUNCTION("IMPORTRANGE(""https://docs.google.com/spreadsheets/d/1W5Jj_S0gYw6wSO7QcMI02YgyOBDKYgmm0NSUk-AQEac/edit?usp=sharing"",""ประจวบคีรีขันธ์!I433"")"),15)</f>
        <v>15</v>
      </c>
      <c r="P62" s="81">
        <f ca="1">IFERROR(__xludf.DUMMYFUNCTION("IMPORTRANGE(""https://docs.google.com/spreadsheets/d/1W5Jj_S0gYw6wSO7QcMI02YgyOBDKYgmm0NSUk-AQEac/edit?usp=sharing"",""ประจวบคีรีขันธ์!I434"")"),1)</f>
        <v>1</v>
      </c>
      <c r="Q62" s="81">
        <f ca="1">IFERROR(__xludf.DUMMYFUNCTION("IMPORTRANGE(""https://docs.google.com/spreadsheets/d/1W5Jj_S0gYw6wSO7QcMI02YgyOBDKYgmm0NSUk-AQEac/edit?usp=sharing"",""ประจวบคีรีขันธ์!J433"")"),15)</f>
        <v>15</v>
      </c>
      <c r="R62" s="82">
        <f t="shared" ca="1" si="25"/>
        <v>100</v>
      </c>
      <c r="S62" s="81">
        <f ca="1">IFERROR(__xludf.DUMMYFUNCTION("IMPORTRANGE(""https://docs.google.com/spreadsheets/d/1W5Jj_S0gYw6wSO7QcMI02YgyOBDKYgmm0NSUk-AQEac/edit?usp=sharing"",""ประจวบคีรีขันธ์!J434"")"),1)</f>
        <v>1</v>
      </c>
      <c r="T62" s="82">
        <f t="shared" ca="1" si="7"/>
        <v>100</v>
      </c>
      <c r="U62" s="81">
        <f ca="1">IFERROR(__xludf.DUMMYFUNCTION("IMPORTRANGE(""https://docs.google.com/spreadsheets/d/1W5Jj_S0gYw6wSO7QcMI02YgyOBDKYgmm0NSUk-AQEac/edit?usp=sharing"",""ประจวบคีรีขันธ์!I435"")"),15)</f>
        <v>15</v>
      </c>
      <c r="V62" s="81">
        <f ca="1">IFERROR(__xludf.DUMMYFUNCTION("IMPORTRANGE(""https://docs.google.com/spreadsheets/d/1W5Jj_S0gYw6wSO7QcMI02YgyOBDKYgmm0NSUk-AQEac/edit?usp=sharing"",""ประจวบคีรีขันธ์!J435"")"),15)</f>
        <v>15</v>
      </c>
      <c r="W62" s="82">
        <f t="shared" ca="1" si="26"/>
        <v>100</v>
      </c>
      <c r="X62" s="81">
        <f ca="1">IFERROR(__xludf.DUMMYFUNCTION("IMPORTRANGE(""https://docs.google.com/spreadsheets/d/1W5Jj_S0gYw6wSO7QcMI02YgyOBDKYgmm0NSUk-AQEac/edit?usp=sharing"",""ประจวบคีรีขันธ์!I437"")"),0)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IFERROR(__xludf.DUMMYFUNCTION("IMPORTRANGE(""https://docs.google.com/spreadsheets/d/1W5Jj_S0gYw6wSO7QcMI02YgyOBDKYgmm0NSUk-AQEac/edit?usp=sharing"",""ประจวบคีรีขันธ์!I438"")"),0)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IFERROR(__xludf.DUMMYFUNCTION("IMPORTRANGE(""https://docs.google.com/spreadsheets/d/1W5Jj_S0gYw6wSO7QcMI02YgyOBDKYgmm0NSUk-AQEac/edit?usp=sharing"",""ประจวบคีรีขันธ์!J437"")"),0)</f>
        <v>0</v>
      </c>
      <c r="AA62" s="82">
        <f t="shared" ca="1" si="27"/>
        <v>0</v>
      </c>
      <c r="AB62" s="81">
        <f ca="1">IFERROR(__xludf.DUMMYFUNCTION("IMPORTRANGE(""https://docs.google.com/spreadsheets/d/1W5Jj_S0gYw6wSO7QcMI02YgyOBDKYgmm0NSUk-AQEac/edit?usp=sharing"",""ประจวบคีรีขันธ์!J438"")"),0)</f>
        <v>0</v>
      </c>
      <c r="AC62" s="82">
        <f t="shared" ca="1" si="12"/>
        <v>0</v>
      </c>
      <c r="AD62" s="81">
        <f ca="1">IFERROR(__xludf.DUMMYFUNCTION("IMPORTRANGE(""https://docs.google.com/spreadsheets/d/1W5Jj_S0gYw6wSO7QcMI02YgyOBDKYgmm0NSUk-AQEac/edit?usp=sharing"",""ประจวบคีรีขันธ์!I439"")"),15)</f>
        <v>15</v>
      </c>
      <c r="AE62" s="81">
        <f ca="1">IFERROR(__xludf.DUMMYFUNCTION("IMPORTRANGE(""https://docs.google.com/spreadsheets/d/1W5Jj_S0gYw6wSO7QcMI02YgyOBDKYgmm0NSUk-AQEac/edit?usp=sharing"",""ประจวบคีรีขันธ์!I440"")"),1)</f>
        <v>1</v>
      </c>
      <c r="AF62" s="81">
        <f ca="1">IFERROR(__xludf.DUMMYFUNCTION("IMPORTRANGE(""https://docs.google.com/spreadsheets/d/1W5Jj_S0gYw6wSO7QcMI02YgyOBDKYgmm0NSUk-AQEac/edit?usp=sharing"",""ประจวบคีรีขันธ์!J439"")"),15)</f>
        <v>15</v>
      </c>
      <c r="AG62" s="82">
        <f t="shared" ca="1" si="28"/>
        <v>100</v>
      </c>
      <c r="AH62" s="81">
        <f ca="1">IFERROR(__xludf.DUMMYFUNCTION("IMPORTRANGE(""https://docs.google.com/spreadsheets/d/1W5Jj_S0gYw6wSO7QcMI02YgyOBDKYgmm0NSUk-AQEac/edit?usp=sharing"",""ประจวบคีรีขันธ์!J440"")"),1)</f>
        <v>1</v>
      </c>
      <c r="AI62" s="82">
        <f t="shared" ca="1" si="15"/>
        <v>100</v>
      </c>
      <c r="AJ62" s="81">
        <f ca="1">IFERROR(__xludf.DUMMYFUNCTION("IMPORTRANGE(""https://docs.google.com/spreadsheets/d/1W5Jj_S0gYw6wSO7QcMI02YgyOBDKYgmm0NSUk-AQEac/edit?usp=sharing"",""ประจวบคีรีขันธ์!I441"")"),0)</f>
        <v>0</v>
      </c>
      <c r="AK62" s="81">
        <f ca="1">IFERROR(__xludf.DUMMYFUNCTION("IMPORTRANGE(""https://docs.google.com/spreadsheets/d/1W5Jj_S0gYw6wSO7QcMI02YgyOBDKYgmm0NSUk-AQEac/edit?usp=sharing"",""ประจวบคีรีขันธ์!J441"")"),0)</f>
        <v>0</v>
      </c>
      <c r="AL62" s="82">
        <f t="shared" ca="1" si="29"/>
        <v>0</v>
      </c>
    </row>
    <row r="63" spans="1:38" ht="21" customHeight="1" x14ac:dyDescent="0.2">
      <c r="A63" s="72">
        <v>11</v>
      </c>
      <c r="B63" s="73" t="s">
        <v>80</v>
      </c>
      <c r="C63" s="74">
        <f t="shared" ca="1" si="56"/>
        <v>83760</v>
      </c>
      <c r="D63" s="75">
        <f ca="1">IFERROR(__xludf.DUMMYFUNCTION("IMPORTRANGE(""https://docs.google.com/spreadsheets/d/1nYxRXgnCfTXtqUY1otYuTlnrzE0Tn-Y0YRsW5pkRVqo/edit?usp=sharing"",""ปราจีนบุรี!L424"")"),83760)</f>
        <v>83760</v>
      </c>
      <c r="E63" s="76">
        <f ca="1">IFERROR(__xludf.DUMMYFUNCTION("IMPORTRANGE(""https://docs.google.com/spreadsheets/d/1nYxRXgnCfTXtqUY1otYuTlnrzE0Tn-Y0YRsW5pkRVqo/edit?usp=sharing"",""ปราจีนบุรี!L431"")"),0)</f>
        <v>0</v>
      </c>
      <c r="F63" s="77">
        <f t="shared" ca="1" si="1"/>
        <v>47180</v>
      </c>
      <c r="G63" s="78">
        <f t="shared" ca="1" si="2"/>
        <v>56.327602674307542</v>
      </c>
      <c r="H63" s="79">
        <f t="shared" ca="1" si="57"/>
        <v>47180</v>
      </c>
      <c r="I63" s="76">
        <f ca="1">IFERROR(__xludf.DUMMYFUNCTION("IMPORTRANGE(""https://docs.google.com/spreadsheets/d/1nYxRXgnCfTXtqUY1otYuTlnrzE0Tn-Y0YRsW5pkRVqo/edit?usp=sharing"",""ปราจีนบุรี!N425"")"),36300)</f>
        <v>36300</v>
      </c>
      <c r="J63" s="76">
        <f ca="1">IFERROR(__xludf.DUMMYFUNCTION("IMPORTRANGE(""https://docs.google.com/spreadsheets/d/1nYxRXgnCfTXtqUY1otYuTlnrzE0Tn-Y0YRsW5pkRVqo/edit?usp=sharing"",""ปราจีนบุรี!N426"")"),0)</f>
        <v>0</v>
      </c>
      <c r="K63" s="76">
        <f ca="1">IFERROR(__xludf.DUMMYFUNCTION("IMPORTRANGE(""https://docs.google.com/spreadsheets/d/1nYxRXgnCfTXtqUY1otYuTlnrzE0Tn-Y0YRsW5pkRVqo/edit?usp=sharing"",""ปราจีนบุรี!N427"")"),0)</f>
        <v>0</v>
      </c>
      <c r="L63" s="76">
        <f ca="1">IFERROR(__xludf.DUMMYFUNCTION("IMPORTRANGE(""https://docs.google.com/spreadsheets/d/1nYxRXgnCfTXtqUY1otYuTlnrzE0Tn-Y0YRsW5pkRVqo/edit?usp=sharing"",""ปราจีนบุรี!N428"")"),10880)</f>
        <v>10880</v>
      </c>
      <c r="M63" s="80">
        <f ca="1">IFERROR(__xludf.DUMMYFUNCTION("IMPORTRANGE(""https://docs.google.com/spreadsheets/d/1nYxRXgnCfTXtqUY1otYuTlnrzE0Tn-Y0YRsW5pkRVqo/edit?usp=sharing"",""ปราจีนบุรี!N431"")"),0)</f>
        <v>0</v>
      </c>
      <c r="N63" s="80">
        <f t="shared" ca="1" si="32"/>
        <v>0</v>
      </c>
      <c r="O63" s="81">
        <f ca="1">IFERROR(__xludf.DUMMYFUNCTION("IMPORTRANGE(""https://docs.google.com/spreadsheets/d/1nYxRXgnCfTXtqUY1otYuTlnrzE0Tn-Y0YRsW5pkRVqo/edit?usp=sharing"",""ปราจีนบุรี!I433"")"),15)</f>
        <v>15</v>
      </c>
      <c r="P63" s="81">
        <f ca="1">IFERROR(__xludf.DUMMYFUNCTION("IMPORTRANGE(""https://docs.google.com/spreadsheets/d/1nYxRXgnCfTXtqUY1otYuTlnrzE0Tn-Y0YRsW5pkRVqo/edit?usp=sharing"",""ปราจีนบุรี!I434"")"),1)</f>
        <v>1</v>
      </c>
      <c r="Q63" s="81">
        <f ca="1">IFERROR(__xludf.DUMMYFUNCTION("IMPORTRANGE(""https://docs.google.com/spreadsheets/d/1nYxRXgnCfTXtqUY1otYuTlnrzE0Tn-Y0YRsW5pkRVqo/edit?usp=sharing"",""ปราจีนบุรี!J433"")"),15)</f>
        <v>15</v>
      </c>
      <c r="R63" s="82">
        <f t="shared" ca="1" si="25"/>
        <v>100</v>
      </c>
      <c r="S63" s="81">
        <f ca="1">IFERROR(__xludf.DUMMYFUNCTION("IMPORTRANGE(""https://docs.google.com/spreadsheets/d/1nYxRXgnCfTXtqUY1otYuTlnrzE0Tn-Y0YRsW5pkRVqo/edit?usp=sharing"",""ปราจีนบุรี!J434"")"),1)</f>
        <v>1</v>
      </c>
      <c r="T63" s="82">
        <f t="shared" ca="1" si="7"/>
        <v>100</v>
      </c>
      <c r="U63" s="81">
        <f ca="1">IFERROR(__xludf.DUMMYFUNCTION("IMPORTRANGE(""https://docs.google.com/spreadsheets/d/1nYxRXgnCfTXtqUY1otYuTlnrzE0Tn-Y0YRsW5pkRVqo/edit?usp=sharing"",""ปราจีนบุรี!I435"")"),15)</f>
        <v>15</v>
      </c>
      <c r="V63" s="81">
        <f ca="1">IFERROR(__xludf.DUMMYFUNCTION("IMPORTRANGE(""https://docs.google.com/spreadsheets/d/1nYxRXgnCfTXtqUY1otYuTlnrzE0Tn-Y0YRsW5pkRVqo/edit?usp=sharing"",""ปราจีนบุรี!J435"")"),15)</f>
        <v>15</v>
      </c>
      <c r="W63" s="82">
        <f t="shared" ca="1" si="26"/>
        <v>100</v>
      </c>
      <c r="X63" s="81">
        <f ca="1">IFERROR(__xludf.DUMMYFUNCTION("IMPORTRANGE(""https://docs.google.com/spreadsheets/d/1nYxRXgnCfTXtqUY1otYuTlnrzE0Tn-Y0YRsW5pkRVqo/edit?usp=sharing"",""ปราจีนบุรี!I437"")"),0)</f>
        <v>0</v>
      </c>
      <c r="Y63" s="81">
        <f ca="1">IFERROR(__xludf.DUMMYFUNCTION("IMPORTRANGE(""https://docs.google.com/spreadsheets/d/1nYxRXgnCfTXtqUY1otYuTlnrzE0Tn-Y0YRsW5pkRVqo/edit?usp=sharing"",""ปราจีนบุรี!I438"")"),0)</f>
        <v>0</v>
      </c>
      <c r="Z63" s="81">
        <f ca="1">IFERROR(__xludf.DUMMYFUNCTION("IMPORTRANGE(""https://docs.google.com/spreadsheets/d/1nYxRXgnCfTXtqUY1otYuTlnrzE0Tn-Y0YRsW5pkRVqo/edit?usp=sharing"",""ปราจีนบุรี!J437"")"),0)</f>
        <v>0</v>
      </c>
      <c r="AA63" s="82">
        <f t="shared" ca="1" si="27"/>
        <v>0</v>
      </c>
      <c r="AB63" s="81">
        <f ca="1">IFERROR(__xludf.DUMMYFUNCTION("IMPORTRANGE(""https://docs.google.com/spreadsheets/d/1nYxRXgnCfTXtqUY1otYuTlnrzE0Tn-Y0YRsW5pkRVqo/edit?usp=sharing"",""ปราจีนบุรี!J438"")"),0)</f>
        <v>0</v>
      </c>
      <c r="AC63" s="82">
        <f t="shared" ca="1" si="12"/>
        <v>0</v>
      </c>
      <c r="AD63" s="81">
        <f ca="1">IFERROR(__xludf.DUMMYFUNCTION("IMPORTRANGE(""https://docs.google.com/spreadsheets/d/1nYxRXgnCfTXtqUY1otYuTlnrzE0Tn-Y0YRsW5pkRVqo/edit?usp=sharing"",""ปราจีนบุรี!I439"")"),15)</f>
        <v>15</v>
      </c>
      <c r="AE63" s="81">
        <f ca="1">IFERROR(__xludf.DUMMYFUNCTION("IMPORTRANGE(""https://docs.google.com/spreadsheets/d/1nYxRXgnCfTXtqUY1otYuTlnrzE0Tn-Y0YRsW5pkRVqo/edit?usp=sharing"",""ปราจีนบุรี!I440"")"),1)</f>
        <v>1</v>
      </c>
      <c r="AF63" s="81">
        <f ca="1">IFERROR(__xludf.DUMMYFUNCTION("IMPORTRANGE(""https://docs.google.com/spreadsheets/d/1nYxRXgnCfTXtqUY1otYuTlnrzE0Tn-Y0YRsW5pkRVqo/edit?usp=sharing"",""ปราจีนบุรี!J439"")"),15)</f>
        <v>15</v>
      </c>
      <c r="AG63" s="82">
        <f t="shared" ca="1" si="28"/>
        <v>100</v>
      </c>
      <c r="AH63" s="81">
        <f ca="1">IFERROR(__xludf.DUMMYFUNCTION("IMPORTRANGE(""https://docs.google.com/spreadsheets/d/1nYxRXgnCfTXtqUY1otYuTlnrzE0Tn-Y0YRsW5pkRVqo/edit?usp=sharing"",""ปราจีนบุรี!J440"")"),1)</f>
        <v>1</v>
      </c>
      <c r="AI63" s="82">
        <f t="shared" ca="1" si="15"/>
        <v>100</v>
      </c>
      <c r="AJ63" s="81">
        <f ca="1">IFERROR(__xludf.DUMMYFUNCTION("IMPORTRANGE(""https://docs.google.com/spreadsheets/d/1nYxRXgnCfTXtqUY1otYuTlnrzE0Tn-Y0YRsW5pkRVqo/edit?usp=sharing"",""ปราจีนบุรี!I441"")"),0)</f>
        <v>0</v>
      </c>
      <c r="AK63" s="81">
        <f ca="1">IFERROR(__xludf.DUMMYFUNCTION("IMPORTRANGE(""https://docs.google.com/spreadsheets/d/1nYxRXgnCfTXtqUY1otYuTlnrzE0Tn-Y0YRsW5pkRVqo/edit?usp=sharing"",""ปราจีนบุรี!J441"")"),0)</f>
        <v>0</v>
      </c>
      <c r="AL63" s="82">
        <f t="shared" ca="1" si="29"/>
        <v>0</v>
      </c>
    </row>
    <row r="64" spans="1:38" ht="21" customHeight="1" x14ac:dyDescent="0.2">
      <c r="A64" s="72">
        <v>12</v>
      </c>
      <c r="B64" s="73" t="s">
        <v>81</v>
      </c>
      <c r="C64" s="74">
        <f t="shared" ca="1" si="56"/>
        <v>205300</v>
      </c>
      <c r="D64" s="75">
        <f ca="1">IFERROR(__xludf.DUMMYFUNCTION("IMPORTRANGE(""https://docs.google.com/spreadsheets/d/1nNHCLO8ZAXOMfQvxux7cf_hrzPAh8FAvaHq_ClKbZNo/edit?usp=sharing"",""พระนครศรีอยุธยา!L424"")"),205300)</f>
        <v>205300</v>
      </c>
      <c r="E64" s="76">
        <f ca="1">IFERROR(__xludf.DUMMYFUNCTION("IMPORTRANGE(""https://docs.google.com/spreadsheets/d/1nNHCLO8ZAXOMfQvxux7cf_hrzPAh8FAvaHq_ClKbZNo/edit?usp=sharing"",""พระนครศรีอยุธยา!L431"")"),0)</f>
        <v>0</v>
      </c>
      <c r="F64" s="77">
        <f t="shared" ca="1" si="1"/>
        <v>190786.4</v>
      </c>
      <c r="G64" s="78">
        <f t="shared" ca="1" si="2"/>
        <v>92.93054067218705</v>
      </c>
      <c r="H64" s="79">
        <f t="shared" ca="1" si="57"/>
        <v>190786.4</v>
      </c>
      <c r="I64" s="76">
        <f ca="1">IFERROR(__xludf.DUMMYFUNCTION("IMPORTRANGE(""https://docs.google.com/spreadsheets/d/1nNHCLO8ZAXOMfQvxux7cf_hrzPAh8FAvaHq_ClKbZNo/edit?usp=sharing"",""พระนครศรีอยุธยา!N425"")"),176421.4)</f>
        <v>176421.4</v>
      </c>
      <c r="J64" s="76">
        <f ca="1">IFERROR(__xludf.DUMMYFUNCTION("IMPORTRANGE(""https://docs.google.com/spreadsheets/d/1nNHCLO8ZAXOMfQvxux7cf_hrzPAh8FAvaHq_ClKbZNo/edit?usp=sharing"",""พระนครศรีอยุธยา!N426"")"),0)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IFERROR(__xludf.DUMMYFUNCTION("IMPORTRANGE(""https://docs.google.com/spreadsheets/d/1nNHCLO8ZAXOMfQvxux7cf_hrzPAh8FAvaHq_ClKbZNo/edit?usp=sharing"",""พระนครศรีอยุธยา!N427"")"),0)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IFERROR(__xludf.DUMMYFUNCTION("IMPORTRANGE(""https://docs.google.com/spreadsheets/d/1nNHCLO8ZAXOMfQvxux7cf_hrzPAh8FAvaHq_ClKbZNo/edit?usp=sharing"",""พระนครศรีอยุธยา!N428"")"),14365)</f>
        <v>14365</v>
      </c>
      <c r="M64" s="80">
        <f ca="1">IFERROR(__xludf.DUMMYFUNCTION("IMPORTRANGE(""https://docs.google.com/spreadsheets/d/1nNHCLO8ZAXOMfQvxux7cf_hrzPAh8FAvaHq_ClKbZNo/edit?usp=sharing"",""พระนครศรีอยุธยา!N431"")"),0)</f>
        <v>0</v>
      </c>
      <c r="N64" s="80">
        <f t="shared" ca="1" si="32"/>
        <v>0</v>
      </c>
      <c r="O64" s="81">
        <f ca="1">IFERROR(__xludf.DUMMYFUNCTION("IMPORTRANGE(""https://docs.google.com/spreadsheets/d/1nNHCLO8ZAXOMfQvxux7cf_hrzPAh8FAvaHq_ClKbZNo/edit?usp=sharing"",""พระนครศรีอยุธยา!I433"")"),60)</f>
        <v>60</v>
      </c>
      <c r="P64" s="81">
        <f ca="1">IFERROR(__xludf.DUMMYFUNCTION("IMPORTRANGE(""https://docs.google.com/spreadsheets/d/1nNHCLO8ZAXOMfQvxux7cf_hrzPAh8FAvaHq_ClKbZNo/edit?usp=sharing"",""พระนครศรีอยุธยา!I434"")"),2)</f>
        <v>2</v>
      </c>
      <c r="Q64" s="81">
        <f ca="1">IFERROR(__xludf.DUMMYFUNCTION("IMPORTRANGE(""https://docs.google.com/spreadsheets/d/1nNHCLO8ZAXOMfQvxux7cf_hrzPAh8FAvaHq_ClKbZNo/edit?usp=sharing"",""พระนครศรีอยุธยา!J433"")"),60)</f>
        <v>60</v>
      </c>
      <c r="R64" s="82">
        <f t="shared" ca="1" si="25"/>
        <v>100</v>
      </c>
      <c r="S64" s="81">
        <f ca="1">IFERROR(__xludf.DUMMYFUNCTION("IMPORTRANGE(""https://docs.google.com/spreadsheets/d/1nNHCLO8ZAXOMfQvxux7cf_hrzPAh8FAvaHq_ClKbZNo/edit?usp=sharing"",""พระนครศรีอยุธยา!J434"")"),2)</f>
        <v>2</v>
      </c>
      <c r="T64" s="82">
        <f t="shared" ca="1" si="7"/>
        <v>100</v>
      </c>
      <c r="U64" s="81">
        <f ca="1">IFERROR(__xludf.DUMMYFUNCTION("IMPORTRANGE(""https://docs.google.com/spreadsheets/d/1nNHCLO8ZAXOMfQvxux7cf_hrzPAh8FAvaHq_ClKbZNo/edit?usp=sharing"",""พระนครศรีอยุธยา!I435"")"),60)</f>
        <v>60</v>
      </c>
      <c r="V64" s="81">
        <f ca="1">IFERROR(__xludf.DUMMYFUNCTION("IMPORTRANGE(""https://docs.google.com/spreadsheets/d/1nNHCLO8ZAXOMfQvxux7cf_hrzPAh8FAvaHq_ClKbZNo/edit?usp=sharing"",""พระนครศรีอยุธยา!J435"")"),60)</f>
        <v>60</v>
      </c>
      <c r="W64" s="82">
        <f t="shared" ca="1" si="26"/>
        <v>100</v>
      </c>
      <c r="X64" s="81">
        <f ca="1">IFERROR(__xludf.DUMMYFUNCTION("IMPORTRANGE(""https://docs.google.com/spreadsheets/d/1nNHCLO8ZAXOMfQvxux7cf_hrzPAh8FAvaHq_ClKbZNo/edit?usp=sharing"",""พระนครศรีอยุธยา!I437"")"),40)</f>
        <v>40</v>
      </c>
      <c r="Y64" s="81">
        <f ca="1">IFERROR(__xludf.DUMMYFUNCTION("IMPORTRANGE(""https://docs.google.com/spreadsheets/d/1nNHCLO8ZAXOMfQvxux7cf_hrzPAh8FAvaHq_ClKbZNo/edit?usp=sharing"",""พระนครศรีอยุธยา!I438"")"),1)</f>
        <v>1</v>
      </c>
      <c r="Z64" s="81">
        <f ca="1">IFERROR(__xludf.DUMMYFUNCTION("IMPORTRANGE(""https://docs.google.com/spreadsheets/d/1nNHCLO8ZAXOMfQvxux7cf_hrzPAh8FAvaHq_ClKbZNo/edit?usp=sharing"",""พระนครศรีอยุธยา!J437"")"),40)</f>
        <v>40</v>
      </c>
      <c r="AA64" s="82">
        <f t="shared" ca="1" si="27"/>
        <v>100</v>
      </c>
      <c r="AB64" s="81">
        <f ca="1">IFERROR(__xludf.DUMMYFUNCTION("IMPORTRANGE(""https://docs.google.com/spreadsheets/d/1nNHCLO8ZAXOMfQvxux7cf_hrzPAh8FAvaHq_ClKbZNo/edit?usp=sharing"",""พระนครศรีอยุธยา!J438"")"),1)</f>
        <v>1</v>
      </c>
      <c r="AC64" s="82">
        <f t="shared" ca="1" si="12"/>
        <v>100</v>
      </c>
      <c r="AD64" s="81">
        <f ca="1">IFERROR(__xludf.DUMMYFUNCTION("IMPORTRANGE(""https://docs.google.com/spreadsheets/d/1nNHCLO8ZAXOMfQvxux7cf_hrzPAh8FAvaHq_ClKbZNo/edit?usp=sharing"",""พระนครศรีอยุธยา!I439"")"),20)</f>
        <v>20</v>
      </c>
      <c r="AE64" s="81">
        <f ca="1">IFERROR(__xludf.DUMMYFUNCTION("IMPORTRANGE(""https://docs.google.com/spreadsheets/d/1nNHCLO8ZAXOMfQvxux7cf_hrzPAh8FAvaHq_ClKbZNo/edit?usp=sharing"",""พระนครศรีอยุธยา!I440"")"),1)</f>
        <v>1</v>
      </c>
      <c r="AF64" s="81">
        <f ca="1">IFERROR(__xludf.DUMMYFUNCTION("IMPORTRANGE(""https://docs.google.com/spreadsheets/d/1nNHCLO8ZAXOMfQvxux7cf_hrzPAh8FAvaHq_ClKbZNo/edit?usp=sharing"",""พระนครศรีอยุธยา!J439"")"),20)</f>
        <v>20</v>
      </c>
      <c r="AG64" s="82">
        <f t="shared" ca="1" si="28"/>
        <v>100</v>
      </c>
      <c r="AH64" s="81">
        <f ca="1">IFERROR(__xludf.DUMMYFUNCTION("IMPORTRANGE(""https://docs.google.com/spreadsheets/d/1nNHCLO8ZAXOMfQvxux7cf_hrzPAh8FAvaHq_ClKbZNo/edit?usp=sharing"",""พระนครศรีอยุธยา!J440"")"),1)</f>
        <v>1</v>
      </c>
      <c r="AI64" s="82">
        <f t="shared" ca="1" si="15"/>
        <v>100</v>
      </c>
      <c r="AJ64" s="81">
        <f ca="1">IFERROR(__xludf.DUMMYFUNCTION("IMPORTRANGE(""https://docs.google.com/spreadsheets/d/1nNHCLO8ZAXOMfQvxux7cf_hrzPAh8FAvaHq_ClKbZNo/edit?usp=sharing"",""พระนครศรีอยุธยา!I441"")"),0)</f>
        <v>0</v>
      </c>
      <c r="AK64" s="81">
        <f ca="1">IFERROR(__xludf.DUMMYFUNCTION("IMPORTRANGE(""https://docs.google.com/spreadsheets/d/1nNHCLO8ZAXOMfQvxux7cf_hrzPAh8FAvaHq_ClKbZNo/edit?usp=sharing"",""พระนครศรีอยุธยา!J441"")"),0)</f>
        <v>0</v>
      </c>
      <c r="AL64" s="82">
        <f t="shared" ca="1" si="29"/>
        <v>0</v>
      </c>
    </row>
    <row r="65" spans="1:38" ht="21" customHeight="1" x14ac:dyDescent="0.2">
      <c r="A65" s="72">
        <v>13</v>
      </c>
      <c r="B65" s="73" t="s">
        <v>82</v>
      </c>
      <c r="C65" s="74">
        <f t="shared" ca="1" si="56"/>
        <v>78660</v>
      </c>
      <c r="D65" s="75">
        <f ca="1">IFERROR(__xludf.DUMMYFUNCTION("IMPORTRANGE(""https://docs.google.com/spreadsheets/d/1CdNicvf3i6yt4tJlCePe3V1Va76wYqW0QzMzTsaGRrA/edit?usp=sharing"",""เพชรบุรี!L424"")"),78660)</f>
        <v>78660</v>
      </c>
      <c r="E65" s="76">
        <f ca="1">IFERROR(__xludf.DUMMYFUNCTION("IMPORTRANGE(""https://docs.google.com/spreadsheets/d/1CdNicvf3i6yt4tJlCePe3V1Va76wYqW0QzMzTsaGRrA/edit?usp=sharing"",""เพชรบุรี!L431"")"),0)</f>
        <v>0</v>
      </c>
      <c r="F65" s="77">
        <f t="shared" ca="1" si="1"/>
        <v>45420</v>
      </c>
      <c r="G65" s="78">
        <f t="shared" ca="1" si="2"/>
        <v>57.742181540808545</v>
      </c>
      <c r="H65" s="79">
        <f t="shared" ca="1" si="57"/>
        <v>45420</v>
      </c>
      <c r="I65" s="76">
        <f ca="1">IFERROR(__xludf.DUMMYFUNCTION("IMPORTRANGE(""https://docs.google.com/spreadsheets/d/1CdNicvf3i6yt4tJlCePe3V1Va76wYqW0QzMzTsaGRrA/edit?usp=sharing"",""เพชรบุรี!N425"")"),26820)</f>
        <v>26820</v>
      </c>
      <c r="J65" s="76">
        <f ca="1">IFERROR(__xludf.DUMMYFUNCTION("IMPORTRANGE(""https://docs.google.com/spreadsheets/d/1CdNicvf3i6yt4tJlCePe3V1Va76wYqW0QzMzTsaGRrA/edit?usp=sharing"",""เพชรบุรี!N426"")"),0)</f>
        <v>0</v>
      </c>
      <c r="K65" s="76">
        <f ca="1">IFERROR(__xludf.DUMMYFUNCTION("IMPORTRANGE(""https://docs.google.com/spreadsheets/d/1CdNicvf3i6yt4tJlCePe3V1Va76wYqW0QzMzTsaGRrA/edit?usp=sharing"",""เพชรบุรี!N427"")"),0)</f>
        <v>0</v>
      </c>
      <c r="L65" s="76">
        <f ca="1">IFERROR(__xludf.DUMMYFUNCTION("IMPORTRANGE(""https://docs.google.com/spreadsheets/d/1CdNicvf3i6yt4tJlCePe3V1Va76wYqW0QzMzTsaGRrA/edit?usp=sharing"",""เพชรบุรี!N428"")"),18600)</f>
        <v>18600</v>
      </c>
      <c r="M65" s="80">
        <f ca="1">IFERROR(__xludf.DUMMYFUNCTION("IMPORTRANGE(""https://docs.google.com/spreadsheets/d/1CdNicvf3i6yt4tJlCePe3V1Va76wYqW0QzMzTsaGRrA/edit?usp=sharing"",""เพชรบุรี!N431"")"),0)</f>
        <v>0</v>
      </c>
      <c r="N65" s="80">
        <f t="shared" ca="1" si="32"/>
        <v>0</v>
      </c>
      <c r="O65" s="81">
        <f ca="1">IFERROR(__xludf.DUMMYFUNCTION("IMPORTRANGE(""https://docs.google.com/spreadsheets/d/1CdNicvf3i6yt4tJlCePe3V1Va76wYqW0QzMzTsaGRrA/edit?usp=sharing"",""เพชรบุรี!I433"")"),20)</f>
        <v>20</v>
      </c>
      <c r="P65" s="81">
        <f ca="1">IFERROR(__xludf.DUMMYFUNCTION("IMPORTRANGE(""https://docs.google.com/spreadsheets/d/1CdNicvf3i6yt4tJlCePe3V1Va76wYqW0QzMzTsaGRrA/edit?usp=sharing"",""เพชรบุรี!I434"")"),2)</f>
        <v>2</v>
      </c>
      <c r="Q65" s="81">
        <f ca="1">IFERROR(__xludf.DUMMYFUNCTION("IMPORTRANGE(""https://docs.google.com/spreadsheets/d/1CdNicvf3i6yt4tJlCePe3V1Va76wYqW0QzMzTsaGRrA/edit?usp=sharing"",""เพชรบุรี!J433"")"),20)</f>
        <v>20</v>
      </c>
      <c r="R65" s="82">
        <f t="shared" ca="1" si="25"/>
        <v>100</v>
      </c>
      <c r="S65" s="81">
        <f ca="1">IFERROR(__xludf.DUMMYFUNCTION("IMPORTRANGE(""https://docs.google.com/spreadsheets/d/1CdNicvf3i6yt4tJlCePe3V1Va76wYqW0QzMzTsaGRrA/edit?usp=sharing"",""เพชรบุรี!J434"")"),2)</f>
        <v>2</v>
      </c>
      <c r="T65" s="82">
        <f t="shared" ca="1" si="7"/>
        <v>100</v>
      </c>
      <c r="U65" s="81">
        <f ca="1">IFERROR(__xludf.DUMMYFUNCTION("IMPORTRANGE(""https://docs.google.com/spreadsheets/d/1CdNicvf3i6yt4tJlCePe3V1Va76wYqW0QzMzTsaGRrA/edit?usp=sharing"",""เพชรบุรี!I435"")"),20)</f>
        <v>20</v>
      </c>
      <c r="V65" s="81">
        <f ca="1">IFERROR(__xludf.DUMMYFUNCTION("IMPORTRANGE(""https://docs.google.com/spreadsheets/d/1CdNicvf3i6yt4tJlCePe3V1Va76wYqW0QzMzTsaGRrA/edit?usp=sharing"",""เพชรบุรี!J435"")"),20)</f>
        <v>20</v>
      </c>
      <c r="W65" s="82">
        <f t="shared" ca="1" si="26"/>
        <v>100</v>
      </c>
      <c r="X65" s="81">
        <f ca="1">IFERROR(__xludf.DUMMYFUNCTION("IMPORTRANGE(""https://docs.google.com/spreadsheets/d/1CdNicvf3i6yt4tJlCePe3V1Va76wYqW0QzMzTsaGRrA/edit?usp=sharing"",""เพชรบุรี!I437"")"),0)</f>
        <v>0</v>
      </c>
      <c r="Y65" s="81">
        <f ca="1">IFERROR(__xludf.DUMMYFUNCTION("IMPORTRANGE(""https://docs.google.com/spreadsheets/d/1CdNicvf3i6yt4tJlCePe3V1Va76wYqW0QzMzTsaGRrA/edit?usp=sharing"",""เพชรบุรี!I438"")"),0)</f>
        <v>0</v>
      </c>
      <c r="Z65" s="81">
        <f ca="1">IFERROR(__xludf.DUMMYFUNCTION("IMPORTRANGE(""https://docs.google.com/spreadsheets/d/1CdNicvf3i6yt4tJlCePe3V1Va76wYqW0QzMzTsaGRrA/edit?usp=sharing"",""เพชรบุรี!J437"")"),0)</f>
        <v>0</v>
      </c>
      <c r="AA65" s="82">
        <f t="shared" ca="1" si="27"/>
        <v>0</v>
      </c>
      <c r="AB65" s="81">
        <f ca="1">IFERROR(__xludf.DUMMYFUNCTION("IMPORTRANGE(""https://docs.google.com/spreadsheets/d/1CdNicvf3i6yt4tJlCePe3V1Va76wYqW0QzMzTsaGRrA/edit?usp=sharing"",""เพชรบุรี!J438"")"),0)</f>
        <v>0</v>
      </c>
      <c r="AC65" s="82">
        <f t="shared" ca="1" si="12"/>
        <v>0</v>
      </c>
      <c r="AD65" s="81">
        <f ca="1">IFERROR(__xludf.DUMMYFUNCTION("IMPORTRANGE(""https://docs.google.com/spreadsheets/d/1CdNicvf3i6yt4tJlCePe3V1Va76wYqW0QzMzTsaGRrA/edit?usp=sharing"",""เพชรบุรี!I439"")"),20)</f>
        <v>20</v>
      </c>
      <c r="AE65" s="81">
        <f ca="1">IFERROR(__xludf.DUMMYFUNCTION("IMPORTRANGE(""https://docs.google.com/spreadsheets/d/1CdNicvf3i6yt4tJlCePe3V1Va76wYqW0QzMzTsaGRrA/edit?usp=sharing"",""เพชรบุรี!I440"")"),2)</f>
        <v>2</v>
      </c>
      <c r="AF65" s="81">
        <f ca="1">IFERROR(__xludf.DUMMYFUNCTION("IMPORTRANGE(""https://docs.google.com/spreadsheets/d/1CdNicvf3i6yt4tJlCePe3V1Va76wYqW0QzMzTsaGRrA/edit?usp=sharing"",""เพชรบุรี!J439"")"),20)</f>
        <v>20</v>
      </c>
      <c r="AG65" s="82">
        <f t="shared" ca="1" si="28"/>
        <v>100</v>
      </c>
      <c r="AH65" s="81">
        <f ca="1">IFERROR(__xludf.DUMMYFUNCTION("IMPORTRANGE(""https://docs.google.com/spreadsheets/d/1CdNicvf3i6yt4tJlCePe3V1Va76wYqW0QzMzTsaGRrA/edit?usp=sharing"",""เพชรบุรี!J440"")"),2)</f>
        <v>2</v>
      </c>
      <c r="AI65" s="82">
        <f t="shared" ca="1" si="15"/>
        <v>100</v>
      </c>
      <c r="AJ65" s="81">
        <f ca="1">IFERROR(__xludf.DUMMYFUNCTION("IMPORTRANGE(""https://docs.google.com/spreadsheets/d/1CdNicvf3i6yt4tJlCePe3V1Va76wYqW0QzMzTsaGRrA/edit?usp=sharing"",""เพชรบุรี!I441"")"),0)</f>
        <v>0</v>
      </c>
      <c r="AK65" s="81">
        <f ca="1">IFERROR(__xludf.DUMMYFUNCTION("IMPORTRANGE(""https://docs.google.com/spreadsheets/d/1CdNicvf3i6yt4tJlCePe3V1Va76wYqW0QzMzTsaGRrA/edit?usp=sharing"",""เพชรบุรี!J441"")"),0)</f>
        <v>0</v>
      </c>
      <c r="AL65" s="82">
        <f t="shared" ca="1" si="29"/>
        <v>0</v>
      </c>
    </row>
    <row r="66" spans="1:38" ht="21" customHeight="1" x14ac:dyDescent="0.2">
      <c r="A66" s="72">
        <v>14</v>
      </c>
      <c r="B66" s="73" t="s">
        <v>83</v>
      </c>
      <c r="C66" s="74">
        <f t="shared" ca="1" si="56"/>
        <v>80960</v>
      </c>
      <c r="D66" s="75">
        <f ca="1">IFERROR(__xludf.DUMMYFUNCTION("IMPORTRANGE(""https://docs.google.com/spreadsheets/d/1XiF77UIVHV0Kjc6xbXuOuJ10WgJYxd4p_22ngKVV5oM/edit?usp=sharing"",""ระยอง!L424"")"),80960)</f>
        <v>80960</v>
      </c>
      <c r="E66" s="76">
        <f ca="1">IFERROR(__xludf.DUMMYFUNCTION("IMPORTRANGE(""https://docs.google.com/spreadsheets/d/1XiF77UIVHV0Kjc6xbXuOuJ10WgJYxd4p_22ngKVV5oM/edit?usp=sharing"",""ระยอง!L431"")"),0)</f>
        <v>0</v>
      </c>
      <c r="F66" s="77">
        <f t="shared" ca="1" si="1"/>
        <v>54100</v>
      </c>
      <c r="G66" s="78">
        <f t="shared" ca="1" si="2"/>
        <v>66.823122529644266</v>
      </c>
      <c r="H66" s="79">
        <f t="shared" ca="1" si="57"/>
        <v>54100</v>
      </c>
      <c r="I66" s="76">
        <f ca="1">IFERROR(__xludf.DUMMYFUNCTION("IMPORTRANGE(""https://docs.google.com/spreadsheets/d/1XiF77UIVHV0Kjc6xbXuOuJ10WgJYxd4p_22ngKVV5oM/edit?usp=sharing"",""ระยอง!N425"")"),36500)</f>
        <v>36500</v>
      </c>
      <c r="J66" s="76">
        <f ca="1">IFERROR(__xludf.DUMMYFUNCTION("IMPORTRANGE(""https://docs.google.com/spreadsheets/d/1XiF77UIVHV0Kjc6xbXuOuJ10WgJYxd4p_22ngKVV5oM/edit?usp=sharing"",""ระยอง!N426"")"),3400)</f>
        <v>3400</v>
      </c>
      <c r="K66" s="76">
        <f ca="1">IFERROR(__xludf.DUMMYFUNCTION("IMPORTRANGE(""https://docs.google.com/spreadsheets/d/1XiF77UIVHV0Kjc6xbXuOuJ10WgJYxd4p_22ngKVV5oM/edit?usp=sharing"",""ระยอง!N427"")"),0)</f>
        <v>0</v>
      </c>
      <c r="L66" s="76">
        <f ca="1">IFERROR(__xludf.DUMMYFUNCTION("IMPORTRANGE(""https://docs.google.com/spreadsheets/d/1XiF77UIVHV0Kjc6xbXuOuJ10WgJYxd4p_22ngKVV5oM/edit?usp=sharing"",""ระยอง!N428"")"),14200)</f>
        <v>14200</v>
      </c>
      <c r="M66" s="80">
        <f ca="1">IFERROR(__xludf.DUMMYFUNCTION("IMPORTRANGE(""https://docs.google.com/spreadsheets/d/1XiF77UIVHV0Kjc6xbXuOuJ10WgJYxd4p_22ngKVV5oM/edit?usp=sharing"",""ระยอง!N431"")"),0)</f>
        <v>0</v>
      </c>
      <c r="N66" s="80">
        <f t="shared" ca="1" si="32"/>
        <v>0</v>
      </c>
      <c r="O66" s="81">
        <f ca="1">IFERROR(__xludf.DUMMYFUNCTION("IMPORTRANGE(""https://docs.google.com/spreadsheets/d/1XiF77UIVHV0Kjc6xbXuOuJ10WgJYxd4p_22ngKVV5oM/edit?usp=sharing"",""ระยอง!I433"")"),15)</f>
        <v>15</v>
      </c>
      <c r="P66" s="81">
        <f ca="1">IFERROR(__xludf.DUMMYFUNCTION("IMPORTRANGE(""https://docs.google.com/spreadsheets/d/1XiF77UIVHV0Kjc6xbXuOuJ10WgJYxd4p_22ngKVV5oM/edit?usp=sharing"",""ระยอง!I434"")"),1)</f>
        <v>1</v>
      </c>
      <c r="Q66" s="81">
        <f ca="1">IFERROR(__xludf.DUMMYFUNCTION("IMPORTRANGE(""https://docs.google.com/spreadsheets/d/1XiF77UIVHV0Kjc6xbXuOuJ10WgJYxd4p_22ngKVV5oM/edit?usp=sharing"",""ระยอง!J433"")"),0)</f>
        <v>0</v>
      </c>
      <c r="R66" s="82">
        <f t="shared" ca="1" si="25"/>
        <v>0</v>
      </c>
      <c r="S66" s="81">
        <f ca="1">IFERROR(__xludf.DUMMYFUNCTION("IMPORTRANGE(""https://docs.google.com/spreadsheets/d/1XiF77UIVHV0Kjc6xbXuOuJ10WgJYxd4p_22ngKVV5oM/edit?usp=sharing"",""ระยอง!J434"")"),1)</f>
        <v>1</v>
      </c>
      <c r="T66" s="82">
        <f t="shared" ca="1" si="7"/>
        <v>100</v>
      </c>
      <c r="U66" s="81">
        <f ca="1">IFERROR(__xludf.DUMMYFUNCTION("IMPORTRANGE(""https://docs.google.com/spreadsheets/d/1XiF77UIVHV0Kjc6xbXuOuJ10WgJYxd4p_22ngKVV5oM/edit?usp=sharing"",""ระยอง!I435"")"),15)</f>
        <v>15</v>
      </c>
      <c r="V66" s="81">
        <f ca="1">IFERROR(__xludf.DUMMYFUNCTION("IMPORTRANGE(""https://docs.google.com/spreadsheets/d/1XiF77UIVHV0Kjc6xbXuOuJ10WgJYxd4p_22ngKVV5oM/edit?usp=sharing"",""ระยอง!J435"")"),0)</f>
        <v>0</v>
      </c>
      <c r="W66" s="82">
        <f t="shared" ca="1" si="26"/>
        <v>0</v>
      </c>
      <c r="X66" s="81">
        <f ca="1">IFERROR(__xludf.DUMMYFUNCTION("IMPORTRANGE(""https://docs.google.com/spreadsheets/d/1XiF77UIVHV0Kjc6xbXuOuJ10WgJYxd4p_22ngKVV5oM/edit?usp=sharing"",""ระยอง!I437"")"),0)</f>
        <v>0</v>
      </c>
      <c r="Y66" s="81">
        <f ca="1">IFERROR(__xludf.DUMMYFUNCTION("IMPORTRANGE(""https://docs.google.com/spreadsheets/d/1XiF77UIVHV0Kjc6xbXuOuJ10WgJYxd4p_22ngKVV5oM/edit?usp=sharing"",""ระยอง!I438"")"),0)</f>
        <v>0</v>
      </c>
      <c r="Z66" s="81">
        <f ca="1">IFERROR(__xludf.DUMMYFUNCTION("IMPORTRANGE(""https://docs.google.com/spreadsheets/d/1XiF77UIVHV0Kjc6xbXuOuJ10WgJYxd4p_22ngKVV5oM/edit?usp=sharing"",""ระยอง!J437"")"),0)</f>
        <v>0</v>
      </c>
      <c r="AA66" s="82">
        <f t="shared" ca="1" si="27"/>
        <v>0</v>
      </c>
      <c r="AB66" s="81">
        <f ca="1">IFERROR(__xludf.DUMMYFUNCTION("IMPORTRANGE(""https://docs.google.com/spreadsheets/d/1XiF77UIVHV0Kjc6xbXuOuJ10WgJYxd4p_22ngKVV5oM/edit?usp=sharing"",""ระยอง!J438"")"),0)</f>
        <v>0</v>
      </c>
      <c r="AC66" s="82">
        <f t="shared" ca="1" si="12"/>
        <v>0</v>
      </c>
      <c r="AD66" s="81">
        <f ca="1">IFERROR(__xludf.DUMMYFUNCTION("IMPORTRANGE(""https://docs.google.com/spreadsheets/d/1XiF77UIVHV0Kjc6xbXuOuJ10WgJYxd4p_22ngKVV5oM/edit?usp=sharing"",""ระยอง!I439"")"),15)</f>
        <v>15</v>
      </c>
      <c r="AE66" s="81">
        <f ca="1">IFERROR(__xludf.DUMMYFUNCTION("IMPORTRANGE(""https://docs.google.com/spreadsheets/d/1XiF77UIVHV0Kjc6xbXuOuJ10WgJYxd4p_22ngKVV5oM/edit?usp=sharing"",""ระยอง!I440"")"),1)</f>
        <v>1</v>
      </c>
      <c r="AF66" s="81">
        <f ca="1">IFERROR(__xludf.DUMMYFUNCTION("IMPORTRANGE(""https://docs.google.com/spreadsheets/d/1XiF77UIVHV0Kjc6xbXuOuJ10WgJYxd4p_22ngKVV5oM/edit?usp=sharing"",""ระยอง!J439"")"),15)</f>
        <v>15</v>
      </c>
      <c r="AG66" s="82">
        <f t="shared" ca="1" si="28"/>
        <v>100</v>
      </c>
      <c r="AH66" s="81">
        <f ca="1">IFERROR(__xludf.DUMMYFUNCTION("IMPORTRANGE(""https://docs.google.com/spreadsheets/d/1XiF77UIVHV0Kjc6xbXuOuJ10WgJYxd4p_22ngKVV5oM/edit?usp=sharing"",""ระยอง!J440"")"),1)</f>
        <v>1</v>
      </c>
      <c r="AI66" s="82">
        <f t="shared" ca="1" si="15"/>
        <v>100</v>
      </c>
      <c r="AJ66" s="81">
        <f ca="1">IFERROR(__xludf.DUMMYFUNCTION("IMPORTRANGE(""https://docs.google.com/spreadsheets/d/1XiF77UIVHV0Kjc6xbXuOuJ10WgJYxd4p_22ngKVV5oM/edit?usp=sharing"",""ระยอง!I441"")"),0)</f>
        <v>0</v>
      </c>
      <c r="AK66" s="81">
        <f ca="1">IFERROR(__xludf.DUMMYFUNCTION("IMPORTRANGE(""https://docs.google.com/spreadsheets/d/1XiF77UIVHV0Kjc6xbXuOuJ10WgJYxd4p_22ngKVV5oM/edit?usp=sharing"",""ระยอง!J441"")"),0)</f>
        <v>0</v>
      </c>
      <c r="AL66" s="82">
        <f t="shared" ca="1" si="29"/>
        <v>0</v>
      </c>
    </row>
    <row r="67" spans="1:38" ht="21" customHeight="1" x14ac:dyDescent="0.2">
      <c r="A67" s="72">
        <v>15</v>
      </c>
      <c r="B67" s="73" t="s">
        <v>84</v>
      </c>
      <c r="C67" s="74">
        <f t="shared" ca="1" si="56"/>
        <v>95560</v>
      </c>
      <c r="D67" s="75">
        <f ca="1">IFERROR(__xludf.DUMMYFUNCTION("IMPORTRANGE(""https://docs.google.com/spreadsheets/d/1qU-W_9MCQD1pgIVXGEOjCFo9QqlmJywuebyGgaN92r8/edit?usp=sharing"",""ราชบุรี!L424"")"),95560)</f>
        <v>95560</v>
      </c>
      <c r="E67" s="76">
        <f ca="1">IFERROR(__xludf.DUMMYFUNCTION("IMPORTRANGE(""https://docs.google.com/spreadsheets/d/1qU-W_9MCQD1pgIVXGEOjCFo9QqlmJywuebyGgaN92r8/edit?usp=sharing"",""ราชบุรี!L431"")"),0)</f>
        <v>0</v>
      </c>
      <c r="F67" s="77">
        <f t="shared" ca="1" si="1"/>
        <v>21184.639999999999</v>
      </c>
      <c r="G67" s="78">
        <f t="shared" ca="1" si="2"/>
        <v>22.168940979489324</v>
      </c>
      <c r="H67" s="79">
        <f t="shared" ca="1" si="57"/>
        <v>21184.639999999999</v>
      </c>
      <c r="I67" s="76">
        <f ca="1">IFERROR(__xludf.DUMMYFUNCTION("IMPORTRANGE(""https://docs.google.com/spreadsheets/d/1qU-W_9MCQD1pgIVXGEOjCFo9QqlmJywuebyGgaN92r8/edit?usp=sharing"",""ราชบุรี!N425"")"),0)</f>
        <v>0</v>
      </c>
      <c r="J67" s="76">
        <f ca="1">IFERROR(__xludf.DUMMYFUNCTION("IMPORTRANGE(""https://docs.google.com/spreadsheets/d/1qU-W_9MCQD1pgIVXGEOjCFo9QqlmJywuebyGgaN92r8/edit?usp=sharing"",""ราชบุรี!N426"")"),0)</f>
        <v>0</v>
      </c>
      <c r="K67" s="76">
        <f ca="1">IFERROR(__xludf.DUMMYFUNCTION("IMPORTRANGE(""https://docs.google.com/spreadsheets/d/1qU-W_9MCQD1pgIVXGEOjCFo9QqlmJywuebyGgaN92r8/edit?usp=sharing"",""ราชบุรี!N427"")"),0)</f>
        <v>0</v>
      </c>
      <c r="L67" s="76">
        <f ca="1">IFERROR(__xludf.DUMMYFUNCTION("IMPORTRANGE(""https://docs.google.com/spreadsheets/d/1qU-W_9MCQD1pgIVXGEOjCFo9QqlmJywuebyGgaN92r8/edit?usp=sharing"",""ราชบุรี!N428"")"),21184.64)</f>
        <v>21184.639999999999</v>
      </c>
      <c r="M67" s="80">
        <f ca="1">IFERROR(__xludf.DUMMYFUNCTION("IMPORTRANGE(""https://docs.google.com/spreadsheets/d/1qU-W_9MCQD1pgIVXGEOjCFo9QqlmJywuebyGgaN92r8/edit?usp=sharing"",""ราชบุรี!N431"")"),0)</f>
        <v>0</v>
      </c>
      <c r="N67" s="80">
        <f t="shared" ca="1" si="32"/>
        <v>0</v>
      </c>
      <c r="O67" s="81">
        <f ca="1">IFERROR(__xludf.DUMMYFUNCTION("IMPORTRANGE(""https://docs.google.com/spreadsheets/d/1qU-W_9MCQD1pgIVXGEOjCFo9QqlmJywuebyGgaN92r8/edit?usp=sharing"",""ราชบุรี!I433"")"),20)</f>
        <v>20</v>
      </c>
      <c r="P67" s="81">
        <f ca="1">IFERROR(__xludf.DUMMYFUNCTION("IMPORTRANGE(""https://docs.google.com/spreadsheets/d/1qU-W_9MCQD1pgIVXGEOjCFo9QqlmJywuebyGgaN92r8/edit?usp=sharing"",""ราชบุรี!I434"")"),1)</f>
        <v>1</v>
      </c>
      <c r="Q67" s="81">
        <f ca="1">IFERROR(__xludf.DUMMYFUNCTION("IMPORTRANGE(""https://docs.google.com/spreadsheets/d/1qU-W_9MCQD1pgIVXGEOjCFo9QqlmJywuebyGgaN92r8/edit?usp=sharing"",""ราชบุรี!J433"")"),0)</f>
        <v>0</v>
      </c>
      <c r="R67" s="82">
        <f t="shared" ca="1" si="25"/>
        <v>0</v>
      </c>
      <c r="S67" s="81">
        <f ca="1">IFERROR(__xludf.DUMMYFUNCTION("IMPORTRANGE(""https://docs.google.com/spreadsheets/d/1qU-W_9MCQD1pgIVXGEOjCFo9QqlmJywuebyGgaN92r8/edit?usp=sharing"",""ราชบุรี!J434"")"),0)</f>
        <v>0</v>
      </c>
      <c r="T67" s="82">
        <f t="shared" ca="1" si="7"/>
        <v>0</v>
      </c>
      <c r="U67" s="81">
        <f ca="1">IFERROR(__xludf.DUMMYFUNCTION("IMPORTRANGE(""https://docs.google.com/spreadsheets/d/1qU-W_9MCQD1pgIVXGEOjCFo9QqlmJywuebyGgaN92r8/edit?usp=sharing"",""ราชบุรี!I435"")"),20)</f>
        <v>20</v>
      </c>
      <c r="V67" s="81">
        <f ca="1">IFERROR(__xludf.DUMMYFUNCTION("IMPORTRANGE(""https://docs.google.com/spreadsheets/d/1qU-W_9MCQD1pgIVXGEOjCFo9QqlmJywuebyGgaN92r8/edit?usp=sharing"",""ราชบุรี!J435"")"),0)</f>
        <v>0</v>
      </c>
      <c r="W67" s="82">
        <f t="shared" ca="1" si="26"/>
        <v>0</v>
      </c>
      <c r="X67" s="81">
        <f ca="1">IFERROR(__xludf.DUMMYFUNCTION("IMPORTRANGE(""https://docs.google.com/spreadsheets/d/1qU-W_9MCQD1pgIVXGEOjCFo9QqlmJywuebyGgaN92r8/edit?usp=sharing"",""ราชบุรี!I437"")"),0)</f>
        <v>0</v>
      </c>
      <c r="Y67" s="81">
        <f ca="1">IFERROR(__xludf.DUMMYFUNCTION("IMPORTRANGE(""https://docs.google.com/spreadsheets/d/1qU-W_9MCQD1pgIVXGEOjCFo9QqlmJywuebyGgaN92r8/edit?usp=sharing"",""ราชบุรี!I438"")"),0)</f>
        <v>0</v>
      </c>
      <c r="Z67" s="81">
        <f ca="1">IFERROR(__xludf.DUMMYFUNCTION("IMPORTRANGE(""https://docs.google.com/spreadsheets/d/1qU-W_9MCQD1pgIVXGEOjCFo9QqlmJywuebyGgaN92r8/edit?usp=sharing"",""ราชบุรี!J437"")"),0)</f>
        <v>0</v>
      </c>
      <c r="AA67" s="82">
        <f t="shared" ca="1" si="27"/>
        <v>0</v>
      </c>
      <c r="AB67" s="81">
        <f ca="1">IFERROR(__xludf.DUMMYFUNCTION("IMPORTRANGE(""https://docs.google.com/spreadsheets/d/1qU-W_9MCQD1pgIVXGEOjCFo9QqlmJywuebyGgaN92r8/edit?usp=sharing"",""ราชบุรี!J438"")"),0)</f>
        <v>0</v>
      </c>
      <c r="AC67" s="82">
        <f t="shared" ca="1" si="12"/>
        <v>0</v>
      </c>
      <c r="AD67" s="81">
        <f ca="1">IFERROR(__xludf.DUMMYFUNCTION("IMPORTRANGE(""https://docs.google.com/spreadsheets/d/1qU-W_9MCQD1pgIVXGEOjCFo9QqlmJywuebyGgaN92r8/edit?usp=sharing"",""ราชบุรี!I439"")"),20)</f>
        <v>20</v>
      </c>
      <c r="AE67" s="81">
        <f ca="1">IFERROR(__xludf.DUMMYFUNCTION("IMPORTRANGE(""https://docs.google.com/spreadsheets/d/1qU-W_9MCQD1pgIVXGEOjCFo9QqlmJywuebyGgaN92r8/edit?usp=sharing"",""ราชบุรี!I440"")"),1)</f>
        <v>1</v>
      </c>
      <c r="AF67" s="81">
        <f ca="1">IFERROR(__xludf.DUMMYFUNCTION("IMPORTRANGE(""https://docs.google.com/spreadsheets/d/1qU-W_9MCQD1pgIVXGEOjCFo9QqlmJywuebyGgaN92r8/edit?usp=sharing"",""ราชบุรี!J439"")"),0)</f>
        <v>0</v>
      </c>
      <c r="AG67" s="82">
        <f t="shared" ca="1" si="28"/>
        <v>0</v>
      </c>
      <c r="AH67" s="81">
        <f ca="1">IFERROR(__xludf.DUMMYFUNCTION("IMPORTRANGE(""https://docs.google.com/spreadsheets/d/1qU-W_9MCQD1pgIVXGEOjCFo9QqlmJywuebyGgaN92r8/edit?usp=sharing"",""ราชบุรี!J440"")"),0)</f>
        <v>0</v>
      </c>
      <c r="AI67" s="82">
        <f t="shared" ca="1" si="15"/>
        <v>0</v>
      </c>
      <c r="AJ67" s="81">
        <f ca="1">IFERROR(__xludf.DUMMYFUNCTION("IMPORTRANGE(""https://docs.google.com/spreadsheets/d/1qU-W_9MCQD1pgIVXGEOjCFo9QqlmJywuebyGgaN92r8/edit?usp=sharing"",""ราชบุรี!I441"")"),0)</f>
        <v>0</v>
      </c>
      <c r="AK67" s="81">
        <f ca="1">IFERROR(__xludf.DUMMYFUNCTION("IMPORTRANGE(""https://docs.google.com/spreadsheets/d/1qU-W_9MCQD1pgIVXGEOjCFo9QqlmJywuebyGgaN92r8/edit?usp=sharing"",""ราชบุรี!J441"")"),0)</f>
        <v>0</v>
      </c>
      <c r="AL67" s="82">
        <f t="shared" ca="1" si="29"/>
        <v>0</v>
      </c>
    </row>
    <row r="68" spans="1:38" ht="24" customHeight="1" x14ac:dyDescent="0.2">
      <c r="A68" s="72">
        <v>16</v>
      </c>
      <c r="B68" s="73" t="s">
        <v>85</v>
      </c>
      <c r="C68" s="74">
        <f t="shared" ca="1" si="56"/>
        <v>233500</v>
      </c>
      <c r="D68" s="75">
        <f ca="1">IFERROR(__xludf.DUMMYFUNCTION("IMPORTRANGE(""https://docs.google.com/spreadsheets/d/1xYFIxIM_CspAP5Q-5Zx_V0T_Ut3cjryrjd2hss28vGk/edit?usp=sharing"",""ลพบุรี!L424"")"),233500)</f>
        <v>233500</v>
      </c>
      <c r="E68" s="76">
        <f ca="1">IFERROR(__xludf.DUMMYFUNCTION("IMPORTRANGE(""https://docs.google.com/spreadsheets/d/1xYFIxIM_CspAP5Q-5Zx_V0T_Ut3cjryrjd2hss28vGk/edit?usp=sharing"",""ลพบุรี!L431"")"),0)</f>
        <v>0</v>
      </c>
      <c r="F68" s="77">
        <f t="shared" ca="1" si="1"/>
        <v>240</v>
      </c>
      <c r="G68" s="78">
        <f t="shared" ca="1" si="2"/>
        <v>0.10278372591006424</v>
      </c>
      <c r="H68" s="79">
        <f t="shared" ca="1" si="57"/>
        <v>240</v>
      </c>
      <c r="I68" s="76">
        <f ca="1">IFERROR(__xludf.DUMMYFUNCTION("IMPORTRANGE(""https://docs.google.com/spreadsheets/d/1xYFIxIM_CspAP5Q-5Zx_V0T_Ut3cjryrjd2hss28vGk/edit?usp=sharing"",""ลพบุรี!N425"")"),0)</f>
        <v>0</v>
      </c>
      <c r="J68" s="76">
        <f ca="1">IFERROR(__xludf.DUMMYFUNCTION("IMPORTRANGE(""https://docs.google.com/spreadsheets/d/1xYFIxIM_CspAP5Q-5Zx_V0T_Ut3cjryrjd2hss28vGk/edit?usp=sharing"",""ลพบุรี!N426"")"),0)</f>
        <v>0</v>
      </c>
      <c r="K68" s="76">
        <f ca="1">IFERROR(__xludf.DUMMYFUNCTION("IMPORTRANGE(""https://docs.google.com/spreadsheets/d/1xYFIxIM_CspAP5Q-5Zx_V0T_Ut3cjryrjd2hss28vGk/edit?usp=sharing"",""ลพบุรี!N427"")"),0)</f>
        <v>0</v>
      </c>
      <c r="L68" s="76">
        <f ca="1">IFERROR(__xludf.DUMMYFUNCTION("IMPORTRANGE(""https://docs.google.com/spreadsheets/d/1xYFIxIM_CspAP5Q-5Zx_V0T_Ut3cjryrjd2hss28vGk/edit?usp=sharing"",""ลพบุรี!N428"")"),240)</f>
        <v>240</v>
      </c>
      <c r="M68" s="80">
        <f ca="1">IFERROR(__xludf.DUMMYFUNCTION("IMPORTRANGE(""https://docs.google.com/spreadsheets/d/1xYFIxIM_CspAP5Q-5Zx_V0T_Ut3cjryrjd2hss28vGk/edit?usp=sharing"",""ลพบุรี!N431"")"),0)</f>
        <v>0</v>
      </c>
      <c r="N68" s="80">
        <f t="shared" ca="1" si="32"/>
        <v>0</v>
      </c>
      <c r="O68" s="81">
        <f ca="1">IFERROR(__xludf.DUMMYFUNCTION("IMPORTRANGE(""https://docs.google.com/spreadsheets/d/1xYFIxIM_CspAP5Q-5Zx_V0T_Ut3cjryrjd2hss28vGk/edit?usp=sharing"",""ลพบุรี!I433"")"),70)</f>
        <v>70</v>
      </c>
      <c r="P68" s="81">
        <f ca="1">IFERROR(__xludf.DUMMYFUNCTION("IMPORTRANGE(""https://docs.google.com/spreadsheets/d/1xYFIxIM_CspAP5Q-5Zx_V0T_Ut3cjryrjd2hss28vGk/edit?usp=sharing"",""ลพบุรี!I434"")"),2)</f>
        <v>2</v>
      </c>
      <c r="Q68" s="81">
        <f ca="1">IFERROR(__xludf.DUMMYFUNCTION("IMPORTRANGE(""https://docs.google.com/spreadsheets/d/1xYFIxIM_CspAP5Q-5Zx_V0T_Ut3cjryrjd2hss28vGk/edit?usp=sharing"",""ลพบุรี!J433"")"),0)</f>
        <v>0</v>
      </c>
      <c r="R68" s="82">
        <f t="shared" ca="1" si="25"/>
        <v>0</v>
      </c>
      <c r="S68" s="81">
        <f ca="1">IFERROR(__xludf.DUMMYFUNCTION("IMPORTRANGE(""https://docs.google.com/spreadsheets/d/1xYFIxIM_CspAP5Q-5Zx_V0T_Ut3cjryrjd2hss28vGk/edit?usp=sharing"",""ลพบุรี!J434"")"),0)</f>
        <v>0</v>
      </c>
      <c r="T68" s="82">
        <f t="shared" ca="1" si="7"/>
        <v>0</v>
      </c>
      <c r="U68" s="81">
        <f ca="1">IFERROR(__xludf.DUMMYFUNCTION("IMPORTRANGE(""https://docs.google.com/spreadsheets/d/1xYFIxIM_CspAP5Q-5Zx_V0T_Ut3cjryrjd2hss28vGk/edit?usp=sharing"",""ลพบุรี!I435"")"),70)</f>
        <v>70</v>
      </c>
      <c r="V68" s="81">
        <f ca="1">IFERROR(__xludf.DUMMYFUNCTION("IMPORTRANGE(""https://docs.google.com/spreadsheets/d/1xYFIxIM_CspAP5Q-5Zx_V0T_Ut3cjryrjd2hss28vGk/edit?usp=sharing"",""ลพบุรี!J435"")"),0)</f>
        <v>0</v>
      </c>
      <c r="W68" s="82">
        <f t="shared" ca="1" si="26"/>
        <v>0</v>
      </c>
      <c r="X68" s="81">
        <f ca="1">IFERROR(__xludf.DUMMYFUNCTION("IMPORTRANGE(""https://docs.google.com/spreadsheets/d/1xYFIxIM_CspAP5Q-5Zx_V0T_Ut3cjryrjd2hss28vGk/edit?usp=sharing"",""ลพบุรี!I437"")"),40)</f>
        <v>40</v>
      </c>
      <c r="Y68" s="81">
        <f ca="1">IFERROR(__xludf.DUMMYFUNCTION("IMPORTRANGE(""https://docs.google.com/spreadsheets/d/1xYFIxIM_CspAP5Q-5Zx_V0T_Ut3cjryrjd2hss28vGk/edit?usp=sharing"",""ลพบุรี!I438"")"),1)</f>
        <v>1</v>
      </c>
      <c r="Z68" s="81">
        <f ca="1">IFERROR(__xludf.DUMMYFUNCTION("IMPORTRANGE(""https://docs.google.com/spreadsheets/d/1xYFIxIM_CspAP5Q-5Zx_V0T_Ut3cjryrjd2hss28vGk/edit?usp=sharing"",""ลพบุรี!J437"")"),0)</f>
        <v>0</v>
      </c>
      <c r="AA68" s="82">
        <f t="shared" ca="1" si="27"/>
        <v>0</v>
      </c>
      <c r="AB68" s="81">
        <f ca="1">IFERROR(__xludf.DUMMYFUNCTION("IMPORTRANGE(""https://docs.google.com/spreadsheets/d/1xYFIxIM_CspAP5Q-5Zx_V0T_Ut3cjryrjd2hss28vGk/edit?usp=sharing"",""ลพบุรี!J438"")"),0)</f>
        <v>0</v>
      </c>
      <c r="AC68" s="82">
        <f t="shared" ca="1" si="12"/>
        <v>0</v>
      </c>
      <c r="AD68" s="81">
        <f ca="1">IFERROR(__xludf.DUMMYFUNCTION("IMPORTRANGE(""https://docs.google.com/spreadsheets/d/1xYFIxIM_CspAP5Q-5Zx_V0T_Ut3cjryrjd2hss28vGk/edit?usp=sharing"",""ลพบุรี!I439"")"),30)</f>
        <v>30</v>
      </c>
      <c r="AE68" s="81">
        <f ca="1">IFERROR(__xludf.DUMMYFUNCTION("IMPORTRANGE(""https://docs.google.com/spreadsheets/d/1xYFIxIM_CspAP5Q-5Zx_V0T_Ut3cjryrjd2hss28vGk/edit?usp=sharing"",""ลพบุรี!I440"")"),1)</f>
        <v>1</v>
      </c>
      <c r="AF68" s="81">
        <f ca="1">IFERROR(__xludf.DUMMYFUNCTION("IMPORTRANGE(""https://docs.google.com/spreadsheets/d/1xYFIxIM_CspAP5Q-5Zx_V0T_Ut3cjryrjd2hss28vGk/edit?usp=sharing"",""ลพบุรี!J439"")"),0)</f>
        <v>0</v>
      </c>
      <c r="AG68" s="82">
        <f t="shared" ca="1" si="28"/>
        <v>0</v>
      </c>
      <c r="AH68" s="81">
        <f ca="1">IFERROR(__xludf.DUMMYFUNCTION("IMPORTRANGE(""https://docs.google.com/spreadsheets/d/1xYFIxIM_CspAP5Q-5Zx_V0T_Ut3cjryrjd2hss28vGk/edit?usp=sharing"",""ลพบุรี!J440"")"),0)</f>
        <v>0</v>
      </c>
      <c r="AI68" s="82">
        <f t="shared" ca="1" si="15"/>
        <v>0</v>
      </c>
      <c r="AJ68" s="81">
        <f ca="1">IFERROR(__xludf.DUMMYFUNCTION("IMPORTRANGE(""https://docs.google.com/spreadsheets/d/1xYFIxIM_CspAP5Q-5Zx_V0T_Ut3cjryrjd2hss28vGk/edit?usp=sharing"",""ลพบุรี!I441"")"),0)</f>
        <v>0</v>
      </c>
      <c r="AK68" s="81">
        <f ca="1">IFERROR(__xludf.DUMMYFUNCTION("IMPORTRANGE(""https://docs.google.com/spreadsheets/d/1xYFIxIM_CspAP5Q-5Zx_V0T_Ut3cjryrjd2hss28vGk/edit?usp=sharing"",""ลพบุรี!J441"")"),0)</f>
        <v>0</v>
      </c>
      <c r="AL68" s="82">
        <f t="shared" ca="1" si="29"/>
        <v>0</v>
      </c>
    </row>
    <row r="69" spans="1:38" ht="21" customHeight="1" x14ac:dyDescent="0.2">
      <c r="A69" s="72">
        <v>17</v>
      </c>
      <c r="B69" s="73" t="s">
        <v>86</v>
      </c>
      <c r="C69" s="74">
        <f t="shared" ca="1" si="56"/>
        <v>78660</v>
      </c>
      <c r="D69" s="75">
        <f ca="1">IFERROR(__xludf.DUMMYFUNCTION("IMPORTRANGE(""https://docs.google.com/spreadsheets/d/11s9m3tKsCBdPWq6syhZm27eBGbKneDLZc75co106bio/edit?usp=sharing"",""สระแก้ว!L424"")"),78660)</f>
        <v>78660</v>
      </c>
      <c r="E69" s="76">
        <f ca="1">IFERROR(__xludf.DUMMYFUNCTION("IMPORTRANGE(""https://docs.google.com/spreadsheets/d/11s9m3tKsCBdPWq6syhZm27eBGbKneDLZc75co106bio/edit?usp=sharing"",""สระแก้ว!L431"")"),0)</f>
        <v>0</v>
      </c>
      <c r="F69" s="77">
        <f t="shared" ca="1" si="1"/>
        <v>44380</v>
      </c>
      <c r="G69" s="78">
        <f t="shared" ca="1" si="2"/>
        <v>56.420035596236971</v>
      </c>
      <c r="H69" s="79">
        <f t="shared" ca="1" si="57"/>
        <v>44380</v>
      </c>
      <c r="I69" s="76">
        <f ca="1">IFERROR(__xludf.DUMMYFUNCTION("IMPORTRANGE(""https://docs.google.com/spreadsheets/d/11s9m3tKsCBdPWq6syhZm27eBGbKneDLZc75co106bio/edit?usp=sharing"",""สระแก้ว!N425"")"),32740)</f>
        <v>32740</v>
      </c>
      <c r="J69" s="76">
        <f ca="1">IFERROR(__xludf.DUMMYFUNCTION("IMPORTRANGE(""https://docs.google.com/spreadsheets/d/11s9m3tKsCBdPWq6syhZm27eBGbKneDLZc75co106bio/edit?usp=sharing"",""สระแก้ว!N426"")"),0)</f>
        <v>0</v>
      </c>
      <c r="K69" s="76">
        <f ca="1">IFERROR(__xludf.DUMMYFUNCTION("IMPORTRANGE(""https://docs.google.com/spreadsheets/d/11s9m3tKsCBdPWq6syhZm27eBGbKneDLZc75co106bio/edit?usp=sharing"",""สระแก้ว!N427"")"),0)</f>
        <v>0</v>
      </c>
      <c r="L69" s="76">
        <f ca="1">IFERROR(__xludf.DUMMYFUNCTION("IMPORTRANGE(""https://docs.google.com/spreadsheets/d/11s9m3tKsCBdPWq6syhZm27eBGbKneDLZc75co106bio/edit?usp=sharing"",""สระแก้ว!N428"")"),11640)</f>
        <v>11640</v>
      </c>
      <c r="M69" s="80">
        <f ca="1">IFERROR(__xludf.DUMMYFUNCTION("IMPORTRANGE(""https://docs.google.com/spreadsheets/d/11s9m3tKsCBdPWq6syhZm27eBGbKneDLZc75co106bio/edit?usp=sharing"",""สระแก้ว!N431"")"),0)</f>
        <v>0</v>
      </c>
      <c r="N69" s="80">
        <f t="shared" ca="1" si="32"/>
        <v>0</v>
      </c>
      <c r="O69" s="81">
        <f ca="1">IFERROR(__xludf.DUMMYFUNCTION("IMPORTRANGE(""https://docs.google.com/spreadsheets/d/11s9m3tKsCBdPWq6syhZm27eBGbKneDLZc75co106bio/edit?usp=sharing"",""สระแก้ว!I433"")"),20)</f>
        <v>20</v>
      </c>
      <c r="P69" s="81">
        <f ca="1">IFERROR(__xludf.DUMMYFUNCTION("IMPORTRANGE(""https://docs.google.com/spreadsheets/d/11s9m3tKsCBdPWq6syhZm27eBGbKneDLZc75co106bio/edit?usp=sharing"",""สระแก้ว!I434"")"),1)</f>
        <v>1</v>
      </c>
      <c r="Q69" s="81">
        <f ca="1">IFERROR(__xludf.DUMMYFUNCTION("IMPORTRANGE(""https://docs.google.com/spreadsheets/d/11s9m3tKsCBdPWq6syhZm27eBGbKneDLZc75co106bio/edit?usp=sharing"",""สระแก้ว!J433"")"),0)</f>
        <v>0</v>
      </c>
      <c r="R69" s="82">
        <f t="shared" ca="1" si="25"/>
        <v>0</v>
      </c>
      <c r="S69" s="81">
        <f ca="1">IFERROR(__xludf.DUMMYFUNCTION("IMPORTRANGE(""https://docs.google.com/spreadsheets/d/11s9m3tKsCBdPWq6syhZm27eBGbKneDLZc75co106bio/edit?usp=sharing"",""สระแก้ว!J434"")"),0)</f>
        <v>0</v>
      </c>
      <c r="T69" s="82">
        <f t="shared" ca="1" si="7"/>
        <v>0</v>
      </c>
      <c r="U69" s="81">
        <f ca="1">IFERROR(__xludf.DUMMYFUNCTION("IMPORTRANGE(""https://docs.google.com/spreadsheets/d/11s9m3tKsCBdPWq6syhZm27eBGbKneDLZc75co106bio/edit?usp=sharing"",""สระแก้ว!I435"")"),20)</f>
        <v>20</v>
      </c>
      <c r="V69" s="81">
        <f ca="1">IFERROR(__xludf.DUMMYFUNCTION("IMPORTRANGE(""https://docs.google.com/spreadsheets/d/11s9m3tKsCBdPWq6syhZm27eBGbKneDLZc75co106bio/edit?usp=sharing"",""สระแก้ว!J435"")"),20)</f>
        <v>20</v>
      </c>
      <c r="W69" s="82">
        <f t="shared" ca="1" si="26"/>
        <v>100</v>
      </c>
      <c r="X69" s="81">
        <f ca="1">IFERROR(__xludf.DUMMYFUNCTION("IMPORTRANGE(""https://docs.google.com/spreadsheets/d/11s9m3tKsCBdPWq6syhZm27eBGbKneDLZc75co106bio/edit?usp=sharing"",""สระแก้ว!I437"")"),0)</f>
        <v>0</v>
      </c>
      <c r="Y69" s="81">
        <f ca="1">IFERROR(__xludf.DUMMYFUNCTION("IMPORTRANGE(""https://docs.google.com/spreadsheets/d/11s9m3tKsCBdPWq6syhZm27eBGbKneDLZc75co106bio/edit?usp=sharing"",""สระแก้ว!I438"")"),0)</f>
        <v>0</v>
      </c>
      <c r="Z69" s="81">
        <f ca="1">IFERROR(__xludf.DUMMYFUNCTION("IMPORTRANGE(""https://docs.google.com/spreadsheets/d/11s9m3tKsCBdPWq6syhZm27eBGbKneDLZc75co106bio/edit?usp=sharing"",""สระแก้ว!J437"")"),0)</f>
        <v>0</v>
      </c>
      <c r="AA69" s="82">
        <f t="shared" ca="1" si="27"/>
        <v>0</v>
      </c>
      <c r="AB69" s="81">
        <f ca="1">IFERROR(__xludf.DUMMYFUNCTION("IMPORTRANGE(""https://docs.google.com/spreadsheets/d/11s9m3tKsCBdPWq6syhZm27eBGbKneDLZc75co106bio/edit?usp=sharing"",""สระแก้ว!J438"")"),0)</f>
        <v>0</v>
      </c>
      <c r="AC69" s="82">
        <f t="shared" ca="1" si="12"/>
        <v>0</v>
      </c>
      <c r="AD69" s="81">
        <f ca="1">IFERROR(__xludf.DUMMYFUNCTION("IMPORTRANGE(""https://docs.google.com/spreadsheets/d/11s9m3tKsCBdPWq6syhZm27eBGbKneDLZc75co106bio/edit?usp=sharing"",""สระแก้ว!I439"")"),20)</f>
        <v>20</v>
      </c>
      <c r="AE69" s="81">
        <f ca="1">IFERROR(__xludf.DUMMYFUNCTION("IMPORTRANGE(""https://docs.google.com/spreadsheets/d/11s9m3tKsCBdPWq6syhZm27eBGbKneDLZc75co106bio/edit?usp=sharing"",""สระแก้ว!I440"")"),1)</f>
        <v>1</v>
      </c>
      <c r="AF69" s="81">
        <f ca="1">IFERROR(__xludf.DUMMYFUNCTION("IMPORTRANGE(""https://docs.google.com/spreadsheets/d/11s9m3tKsCBdPWq6syhZm27eBGbKneDLZc75co106bio/edit?usp=sharing"",""สระแก้ว!J439"")"),0)</f>
        <v>0</v>
      </c>
      <c r="AG69" s="82">
        <f t="shared" ca="1" si="28"/>
        <v>0</v>
      </c>
      <c r="AH69" s="81">
        <f ca="1">IFERROR(__xludf.DUMMYFUNCTION("IMPORTRANGE(""https://docs.google.com/spreadsheets/d/11s9m3tKsCBdPWq6syhZm27eBGbKneDLZc75co106bio/edit?usp=sharing"",""สระแก้ว!J440"")"),0)</f>
        <v>0</v>
      </c>
      <c r="AI69" s="82">
        <f t="shared" ca="1" si="15"/>
        <v>0</v>
      </c>
      <c r="AJ69" s="81">
        <f ca="1">IFERROR(__xludf.DUMMYFUNCTION("IMPORTRANGE(""https://docs.google.com/spreadsheets/d/11s9m3tKsCBdPWq6syhZm27eBGbKneDLZc75co106bio/edit?usp=sharing"",""สระแก้ว!I441"")"),0)</f>
        <v>0</v>
      </c>
      <c r="AK69" s="81">
        <f ca="1">IFERROR(__xludf.DUMMYFUNCTION("IMPORTRANGE(""https://docs.google.com/spreadsheets/d/11s9m3tKsCBdPWq6syhZm27eBGbKneDLZc75co106bio/edit?usp=sharing"",""สระแก้ว!J441"")"),0)</f>
        <v>0</v>
      </c>
      <c r="AL69" s="82">
        <f t="shared" ca="1" si="29"/>
        <v>0</v>
      </c>
    </row>
    <row r="70" spans="1:38" ht="21" customHeight="1" x14ac:dyDescent="0.2">
      <c r="A70" s="72">
        <v>18</v>
      </c>
      <c r="B70" s="73" t="s">
        <v>87</v>
      </c>
      <c r="C70" s="74">
        <f t="shared" ca="1" si="56"/>
        <v>78660</v>
      </c>
      <c r="D70" s="75">
        <f ca="1">IFERROR(__xludf.DUMMYFUNCTION("IMPORTRANGE(""https://docs.google.com/spreadsheets/d/1Nn1EvsFPtXldgpgVb3Rcng2K2cls68LFQsBh2FyW0Bg/edit?usp=sharing"",""สระบุรี!L424"")"),78660)</f>
        <v>78660</v>
      </c>
      <c r="E70" s="76">
        <f ca="1">IFERROR(__xludf.DUMMYFUNCTION("IMPORTRANGE(""https://docs.google.com/spreadsheets/d/1Nn1EvsFPtXldgpgVb3Rcng2K2cls68LFQsBh2FyW0Bg/edit?usp=sharing"",""สระบุรี!L431"")"),0)</f>
        <v>0</v>
      </c>
      <c r="F70" s="77">
        <f t="shared" ca="1" si="1"/>
        <v>39885</v>
      </c>
      <c r="G70" s="78">
        <f t="shared" ca="1" si="2"/>
        <v>50.705568268497331</v>
      </c>
      <c r="H70" s="79">
        <f t="shared" ca="1" si="57"/>
        <v>39885</v>
      </c>
      <c r="I70" s="76">
        <f ca="1">IFERROR(__xludf.DUMMYFUNCTION("IMPORTRANGE(""https://docs.google.com/spreadsheets/d/1Nn1EvsFPtXldgpgVb3Rcng2K2cls68LFQsBh2FyW0Bg/edit?usp=sharing"",""สระบุรี!N425"")"),30560)</f>
        <v>30560</v>
      </c>
      <c r="J70" s="76">
        <f ca="1">IFERROR(__xludf.DUMMYFUNCTION("IMPORTRANGE(""https://docs.google.com/spreadsheets/d/1Nn1EvsFPtXldgpgVb3Rcng2K2cls68LFQsBh2FyW0Bg/edit?usp=sharing"",""สระบุรี!N426"")"),0)</f>
        <v>0</v>
      </c>
      <c r="K70" s="76">
        <f ca="1">IFERROR(__xludf.DUMMYFUNCTION("IMPORTRANGE(""https://docs.google.com/spreadsheets/d/1Nn1EvsFPtXldgpgVb3Rcng2K2cls68LFQsBh2FyW0Bg/edit?usp=sharing"",""สระบุรี!N427"")"),0)</f>
        <v>0</v>
      </c>
      <c r="L70" s="76">
        <f ca="1">IFERROR(__xludf.DUMMYFUNCTION("IMPORTRANGE(""https://docs.google.com/spreadsheets/d/1Nn1EvsFPtXldgpgVb3Rcng2K2cls68LFQsBh2FyW0Bg/edit?usp=sharing"",""สระบุรี!N428"")"),9325)</f>
        <v>9325</v>
      </c>
      <c r="M70" s="80">
        <f ca="1">IFERROR(__xludf.DUMMYFUNCTION("IMPORTRANGE(""https://docs.google.com/spreadsheets/d/1Nn1EvsFPtXldgpgVb3Rcng2K2cls68LFQsBh2FyW0Bg/edit?usp=sharing"",""สระบุรี!N431"")"),0)</f>
        <v>0</v>
      </c>
      <c r="N70" s="80">
        <f t="shared" ca="1" si="32"/>
        <v>0</v>
      </c>
      <c r="O70" s="81">
        <f ca="1">IFERROR(__xludf.DUMMYFUNCTION("IMPORTRANGE(""https://docs.google.com/spreadsheets/d/1Nn1EvsFPtXldgpgVb3Rcng2K2cls68LFQsBh2FyW0Bg/edit?usp=sharing"",""สระบุรี!I433"")"),20)</f>
        <v>20</v>
      </c>
      <c r="P70" s="81">
        <f ca="1">IFERROR(__xludf.DUMMYFUNCTION("IMPORTRANGE(""https://docs.google.com/spreadsheets/d/1Nn1EvsFPtXldgpgVb3Rcng2K2cls68LFQsBh2FyW0Bg/edit?usp=sharing"",""สระบุรี!I434"")"),1)</f>
        <v>1</v>
      </c>
      <c r="Q70" s="81">
        <f ca="1">IFERROR(__xludf.DUMMYFUNCTION("IMPORTRANGE(""https://docs.google.com/spreadsheets/d/1Nn1EvsFPtXldgpgVb3Rcng2K2cls68LFQsBh2FyW0Bg/edit?usp=sharing"",""สระบุรี!J433"")"),20)</f>
        <v>20</v>
      </c>
      <c r="R70" s="82">
        <f t="shared" ca="1" si="25"/>
        <v>100</v>
      </c>
      <c r="S70" s="81">
        <f ca="1">IFERROR(__xludf.DUMMYFUNCTION("IMPORTRANGE(""https://docs.google.com/spreadsheets/d/1Nn1EvsFPtXldgpgVb3Rcng2K2cls68LFQsBh2FyW0Bg/edit?usp=sharing"",""สระบุรี!J434"")"),1)</f>
        <v>1</v>
      </c>
      <c r="T70" s="82">
        <f t="shared" ca="1" si="7"/>
        <v>100</v>
      </c>
      <c r="U70" s="81">
        <f ca="1">IFERROR(__xludf.DUMMYFUNCTION("IMPORTRANGE(""https://docs.google.com/spreadsheets/d/1Nn1EvsFPtXldgpgVb3Rcng2K2cls68LFQsBh2FyW0Bg/edit?usp=sharing"",""สระบุรี!I435"")"),20)</f>
        <v>20</v>
      </c>
      <c r="V70" s="81">
        <f ca="1">IFERROR(__xludf.DUMMYFUNCTION("IMPORTRANGE(""https://docs.google.com/spreadsheets/d/1Nn1EvsFPtXldgpgVb3Rcng2K2cls68LFQsBh2FyW0Bg/edit?usp=sharing"",""สระบุรี!J435"")"),20)</f>
        <v>20</v>
      </c>
      <c r="W70" s="82">
        <f t="shared" ca="1" si="26"/>
        <v>100</v>
      </c>
      <c r="X70" s="81">
        <f ca="1">IFERROR(__xludf.DUMMYFUNCTION("IMPORTRANGE(""https://docs.google.com/spreadsheets/d/1Nn1EvsFPtXldgpgVb3Rcng2K2cls68LFQsBh2FyW0Bg/edit?usp=sharing"",""สระบุรี!I437"")"),0)</f>
        <v>0</v>
      </c>
      <c r="Y70" s="81">
        <f ca="1">IFERROR(__xludf.DUMMYFUNCTION("IMPORTRANGE(""https://docs.google.com/spreadsheets/d/1Nn1EvsFPtXldgpgVb3Rcng2K2cls68LFQsBh2FyW0Bg/edit?usp=sharing"",""สระบุรี!I438"")"),0)</f>
        <v>0</v>
      </c>
      <c r="Z70" s="81">
        <f ca="1">IFERROR(__xludf.DUMMYFUNCTION("IMPORTRANGE(""https://docs.google.com/spreadsheets/d/1Nn1EvsFPtXldgpgVb3Rcng2K2cls68LFQsBh2FyW0Bg/edit?usp=sharing"",""สระบุรี!J437"")"),0)</f>
        <v>0</v>
      </c>
      <c r="AA70" s="82">
        <f t="shared" ca="1" si="27"/>
        <v>0</v>
      </c>
      <c r="AB70" s="81">
        <f ca="1">IFERROR(__xludf.DUMMYFUNCTION("IMPORTRANGE(""https://docs.google.com/spreadsheets/d/1Nn1EvsFPtXldgpgVb3Rcng2K2cls68LFQsBh2FyW0Bg/edit?usp=sharing"",""สระบุรี!J438"")"),0)</f>
        <v>0</v>
      </c>
      <c r="AC70" s="82">
        <f t="shared" ca="1" si="12"/>
        <v>0</v>
      </c>
      <c r="AD70" s="81">
        <f ca="1">IFERROR(__xludf.DUMMYFUNCTION("IMPORTRANGE(""https://docs.google.com/spreadsheets/d/1Nn1EvsFPtXldgpgVb3Rcng2K2cls68LFQsBh2FyW0Bg/edit?usp=sharing"",""สระบุรี!I439"")"),20)</f>
        <v>20</v>
      </c>
      <c r="AE70" s="81">
        <f ca="1">IFERROR(__xludf.DUMMYFUNCTION("IMPORTRANGE(""https://docs.google.com/spreadsheets/d/1Nn1EvsFPtXldgpgVb3Rcng2K2cls68LFQsBh2FyW0Bg/edit?usp=sharing"",""สระบุรี!I440"")"),1)</f>
        <v>1</v>
      </c>
      <c r="AF70" s="81">
        <f ca="1">IFERROR(__xludf.DUMMYFUNCTION("IMPORTRANGE(""https://docs.google.com/spreadsheets/d/1Nn1EvsFPtXldgpgVb3Rcng2K2cls68LFQsBh2FyW0Bg/edit?usp=sharing"",""สระบุรี!J439"")"),20)</f>
        <v>20</v>
      </c>
      <c r="AG70" s="82">
        <f t="shared" ca="1" si="28"/>
        <v>100</v>
      </c>
      <c r="AH70" s="81">
        <f ca="1">IFERROR(__xludf.DUMMYFUNCTION("IMPORTRANGE(""https://docs.google.com/spreadsheets/d/1Nn1EvsFPtXldgpgVb3Rcng2K2cls68LFQsBh2FyW0Bg/edit?usp=sharing"",""สระบุรี!J440"")"),1)</f>
        <v>1</v>
      </c>
      <c r="AI70" s="82">
        <f t="shared" ca="1" si="15"/>
        <v>100</v>
      </c>
      <c r="AJ70" s="81">
        <f ca="1">IFERROR(__xludf.DUMMYFUNCTION("IMPORTRANGE(""https://docs.google.com/spreadsheets/d/1Nn1EvsFPtXldgpgVb3Rcng2K2cls68LFQsBh2FyW0Bg/edit?usp=sharing"",""สระบุรี!I441"")"),0)</f>
        <v>0</v>
      </c>
      <c r="AK70" s="81">
        <f ca="1">IFERROR(__xludf.DUMMYFUNCTION("IMPORTRANGE(""https://docs.google.com/spreadsheets/d/1Nn1EvsFPtXldgpgVb3Rcng2K2cls68LFQsBh2FyW0Bg/edit?usp=sharing"",""สระบุรี!J441"")"),0)</f>
        <v>0</v>
      </c>
      <c r="AL70" s="82">
        <f t="shared" ca="1" si="29"/>
        <v>0</v>
      </c>
    </row>
    <row r="71" spans="1:38" ht="21" customHeight="1" x14ac:dyDescent="0.2">
      <c r="A71" s="72">
        <v>19</v>
      </c>
      <c r="B71" s="73" t="s">
        <v>88</v>
      </c>
      <c r="C71" s="74">
        <f t="shared" ca="1" si="56"/>
        <v>54560</v>
      </c>
      <c r="D71" s="75">
        <f ca="1">IFERROR(__xludf.DUMMYFUNCTION("IMPORTRANGE(""https://docs.google.com/spreadsheets/d/149xufxukrnEciK3WPbNpHwUK8BKEJxp3UcBG3Al6dA4/edit?usp=sharing"",""สิงห์บุรี!L424"")"),54560)</f>
        <v>54560</v>
      </c>
      <c r="E71" s="76">
        <f ca="1">IFERROR(__xludf.DUMMYFUNCTION("IMPORTRANGE(""https://docs.google.com/spreadsheets/d/149xufxukrnEciK3WPbNpHwUK8BKEJxp3UcBG3Al6dA4/edit?usp=sharing"",""สิงห์บุรี!L431"")"),0)</f>
        <v>0</v>
      </c>
      <c r="F71" s="77">
        <f t="shared" ca="1" si="1"/>
        <v>54005</v>
      </c>
      <c r="G71" s="78">
        <f t="shared" ca="1" si="2"/>
        <v>98.982771260997069</v>
      </c>
      <c r="H71" s="79">
        <f t="shared" ca="1" si="57"/>
        <v>54005</v>
      </c>
      <c r="I71" s="76">
        <f ca="1">IFERROR(__xludf.DUMMYFUNCTION("IMPORTRANGE(""https://docs.google.com/spreadsheets/d/149xufxukrnEciK3WPbNpHwUK8BKEJxp3UcBG3Al6dA4/edit?usp=sharing"",""สิงห์บุรี!N425"")"),43492)</f>
        <v>43492</v>
      </c>
      <c r="J71" s="76">
        <f ca="1">IFERROR(__xludf.DUMMYFUNCTION("IMPORTRANGE(""https://docs.google.com/spreadsheets/d/149xufxukrnEciK3WPbNpHwUK8BKEJxp3UcBG3Al6dA4/edit?usp=sharing"",""สิงห์บุรี!N426"")"),0)</f>
        <v>0</v>
      </c>
      <c r="K71" s="76">
        <f ca="1">IFERROR(__xludf.DUMMYFUNCTION("IMPORTRANGE(""https://docs.google.com/spreadsheets/d/149xufxukrnEciK3WPbNpHwUK8BKEJxp3UcBG3Al6dA4/edit?usp=sharing"",""สิงห์บุรี!N427"")"),0)</f>
        <v>0</v>
      </c>
      <c r="L71" s="76">
        <f ca="1">IFERROR(__xludf.DUMMYFUNCTION("IMPORTRANGE(""https://docs.google.com/spreadsheets/d/149xufxukrnEciK3WPbNpHwUK8BKEJxp3UcBG3Al6dA4/edit?usp=sharing"",""สิงห์บุรี!N428"")"),10513)</f>
        <v>10513</v>
      </c>
      <c r="M71" s="80">
        <f ca="1">IFERROR(__xludf.DUMMYFUNCTION("IMPORTRANGE(""https://docs.google.com/spreadsheets/d/149xufxukrnEciK3WPbNpHwUK8BKEJxp3UcBG3Al6dA4/edit?usp=sharing"",""สิงห์บุรี!N431"")"),0)</f>
        <v>0</v>
      </c>
      <c r="N71" s="80">
        <f t="shared" ca="1" si="32"/>
        <v>0</v>
      </c>
      <c r="O71" s="81">
        <f ca="1">IFERROR(__xludf.DUMMYFUNCTION("IMPORTRANGE(""https://docs.google.com/spreadsheets/d/149xufxukrnEciK3WPbNpHwUK8BKEJxp3UcBG3Al6dA4/edit?usp=sharing"",""สิงห์บุรี!I433"")"),10)</f>
        <v>10</v>
      </c>
      <c r="P71" s="81">
        <f ca="1">IFERROR(__xludf.DUMMYFUNCTION("IMPORTRANGE(""https://docs.google.com/spreadsheets/d/149xufxukrnEciK3WPbNpHwUK8BKEJxp3UcBG3Al6dA4/edit?usp=sharing"",""สิงห์บุรี!I434"")"),1)</f>
        <v>1</v>
      </c>
      <c r="Q71" s="81">
        <f ca="1">IFERROR(__xludf.DUMMYFUNCTION("IMPORTRANGE(""https://docs.google.com/spreadsheets/d/149xufxukrnEciK3WPbNpHwUK8BKEJxp3UcBG3Al6dA4/edit?usp=sharing"",""สิงห์บุรี!J433"")"),10)</f>
        <v>10</v>
      </c>
      <c r="R71" s="82">
        <f t="shared" ca="1" si="25"/>
        <v>100</v>
      </c>
      <c r="S71" s="81">
        <f ca="1">IFERROR(__xludf.DUMMYFUNCTION("IMPORTRANGE(""https://docs.google.com/spreadsheets/d/149xufxukrnEciK3WPbNpHwUK8BKEJxp3UcBG3Al6dA4/edit?usp=sharing"",""สิงห์บุรี!J434"")"),1)</f>
        <v>1</v>
      </c>
      <c r="T71" s="82">
        <f t="shared" ca="1" si="7"/>
        <v>100</v>
      </c>
      <c r="U71" s="81">
        <f ca="1">IFERROR(__xludf.DUMMYFUNCTION("IMPORTRANGE(""https://docs.google.com/spreadsheets/d/149xufxukrnEciK3WPbNpHwUK8BKEJxp3UcBG3Al6dA4/edit?usp=sharing"",""สิงห์บุรี!I435"")"),10)</f>
        <v>10</v>
      </c>
      <c r="V71" s="81">
        <f ca="1">IFERROR(__xludf.DUMMYFUNCTION("IMPORTRANGE(""https://docs.google.com/spreadsheets/d/149xufxukrnEciK3WPbNpHwUK8BKEJxp3UcBG3Al6dA4/edit?usp=sharing"",""สิงห์บุรี!J435"")"),10)</f>
        <v>10</v>
      </c>
      <c r="W71" s="82">
        <f t="shared" ca="1" si="26"/>
        <v>100</v>
      </c>
      <c r="X71" s="81">
        <f ca="1">IFERROR(__xludf.DUMMYFUNCTION("IMPORTRANGE(""https://docs.google.com/spreadsheets/d/149xufxukrnEciK3WPbNpHwUK8BKEJxp3UcBG3Al6dA4/edit?usp=sharing"",""สิงห์บุรี!I437"")"),0)</f>
        <v>0</v>
      </c>
      <c r="Y71" s="81">
        <f ca="1">IFERROR(__xludf.DUMMYFUNCTION("IMPORTRANGE(""https://docs.google.com/spreadsheets/d/149xufxukrnEciK3WPbNpHwUK8BKEJxp3UcBG3Al6dA4/edit?usp=sharing"",""สิงห์บุรี!I438"")"),0)</f>
        <v>0</v>
      </c>
      <c r="Z71" s="81">
        <f ca="1">IFERROR(__xludf.DUMMYFUNCTION("IMPORTRANGE(""https://docs.google.com/spreadsheets/d/149xufxukrnEciK3WPbNpHwUK8BKEJxp3UcBG3Al6dA4/edit?usp=sharing"",""สิงห์บุรี!J437"")"),0)</f>
        <v>0</v>
      </c>
      <c r="AA71" s="82">
        <f t="shared" ca="1" si="27"/>
        <v>0</v>
      </c>
      <c r="AB71" s="81">
        <f ca="1">IFERROR(__xludf.DUMMYFUNCTION("IMPORTRANGE(""https://docs.google.com/spreadsheets/d/149xufxukrnEciK3WPbNpHwUK8BKEJxp3UcBG3Al6dA4/edit?usp=sharing"",""สิงห์บุรี!J438"")"),0)</f>
        <v>0</v>
      </c>
      <c r="AC71" s="82">
        <f t="shared" ca="1" si="12"/>
        <v>0</v>
      </c>
      <c r="AD71" s="81">
        <f ca="1">IFERROR(__xludf.DUMMYFUNCTION("IMPORTRANGE(""https://docs.google.com/spreadsheets/d/149xufxukrnEciK3WPbNpHwUK8BKEJxp3UcBG3Al6dA4/edit?usp=sharing"",""สิงห์บุรี!I439"")"),10)</f>
        <v>10</v>
      </c>
      <c r="AE71" s="81">
        <f ca="1">IFERROR(__xludf.DUMMYFUNCTION("IMPORTRANGE(""https://docs.google.com/spreadsheets/d/149xufxukrnEciK3WPbNpHwUK8BKEJxp3UcBG3Al6dA4/edit?usp=sharing"",""สิงห์บุรี!I440"")"),1)</f>
        <v>1</v>
      </c>
      <c r="AF71" s="81">
        <f ca="1">IFERROR(__xludf.DUMMYFUNCTION("IMPORTRANGE(""https://docs.google.com/spreadsheets/d/149xufxukrnEciK3WPbNpHwUK8BKEJxp3UcBG3Al6dA4/edit?usp=sharing"",""สิงห์บุรี!J439"")"),10)</f>
        <v>10</v>
      </c>
      <c r="AG71" s="82">
        <f t="shared" ca="1" si="28"/>
        <v>100</v>
      </c>
      <c r="AH71" s="81">
        <f ca="1">IFERROR(__xludf.DUMMYFUNCTION("IMPORTRANGE(""https://docs.google.com/spreadsheets/d/149xufxukrnEciK3WPbNpHwUK8BKEJxp3UcBG3Al6dA4/edit?usp=sharing"",""สิงห์บุรี!J440"")"),1)</f>
        <v>1</v>
      </c>
      <c r="AI71" s="82">
        <f t="shared" ca="1" si="15"/>
        <v>100</v>
      </c>
      <c r="AJ71" s="81">
        <f ca="1">IFERROR(__xludf.DUMMYFUNCTION("IMPORTRANGE(""https://docs.google.com/spreadsheets/d/149xufxukrnEciK3WPbNpHwUK8BKEJxp3UcBG3Al6dA4/edit?usp=sharing"",""สิงห์บุรี!I441"")"),0)</f>
        <v>0</v>
      </c>
      <c r="AK71" s="81">
        <f ca="1">IFERROR(__xludf.DUMMYFUNCTION("IMPORTRANGE(""https://docs.google.com/spreadsheets/d/149xufxukrnEciK3WPbNpHwUK8BKEJxp3UcBG3Al6dA4/edit?usp=sharing"",""สิงห์บุรี!J441"")"),0)</f>
        <v>0</v>
      </c>
      <c r="AL71" s="82">
        <f t="shared" ca="1" si="29"/>
        <v>0</v>
      </c>
    </row>
    <row r="72" spans="1:38" ht="21" customHeight="1" x14ac:dyDescent="0.2">
      <c r="A72" s="72">
        <v>20</v>
      </c>
      <c r="B72" s="73" t="s">
        <v>89</v>
      </c>
      <c r="C72" s="74">
        <f t="shared" ca="1" si="56"/>
        <v>205500</v>
      </c>
      <c r="D72" s="75">
        <f ca="1">IFERROR(__xludf.DUMMYFUNCTION("IMPORTRANGE(""https://docs.google.com/spreadsheets/d/132g-zJpz2uMKimp17uOIx8A7o3w1Z25zwJyXnwsB56c/edit?usp=sharing"",""สุพรรณบุรี!L424"")"),205500)</f>
        <v>205500</v>
      </c>
      <c r="E72" s="76">
        <f ca="1">IFERROR(__xludf.DUMMYFUNCTION("IMPORTRANGE(""https://docs.google.com/spreadsheets/d/132g-zJpz2uMKimp17uOIx8A7o3w1Z25zwJyXnwsB56c/edit?usp=sharing"",""สุพรรณบุรี!L431"")"),0)</f>
        <v>0</v>
      </c>
      <c r="F72" s="77">
        <f t="shared" ca="1" si="1"/>
        <v>183230</v>
      </c>
      <c r="G72" s="78">
        <f t="shared" ca="1" si="2"/>
        <v>89.163017031630176</v>
      </c>
      <c r="H72" s="79">
        <f t="shared" ca="1" si="57"/>
        <v>183230</v>
      </c>
      <c r="I72" s="76">
        <f ca="1">IFERROR(__xludf.DUMMYFUNCTION("IMPORTRANGE(""https://docs.google.com/spreadsheets/d/132g-zJpz2uMKimp17uOIx8A7o3w1Z25zwJyXnwsB56c/edit?usp=sharing"",""สุพรรณบุรี!N425"")"),166250)</f>
        <v>166250</v>
      </c>
      <c r="J72" s="76">
        <f ca="1">IFERROR(__xludf.DUMMYFUNCTION("IMPORTRANGE(""https://docs.google.com/spreadsheets/d/132g-zJpz2uMKimp17uOIx8A7o3w1Z25zwJyXnwsB56c/edit?usp=sharing"",""สุพรรณบุรี!N426"")"),0)</f>
        <v>0</v>
      </c>
      <c r="K72" s="76">
        <f ca="1">IFERROR(__xludf.DUMMYFUNCTION("IMPORTRANGE(""https://docs.google.com/spreadsheets/d/132g-zJpz2uMKimp17uOIx8A7o3w1Z25zwJyXnwsB56c/edit?usp=sharing"",""สุพรรณบุรี!N427"")"),0)</f>
        <v>0</v>
      </c>
      <c r="L72" s="76">
        <f ca="1">IFERROR(__xludf.DUMMYFUNCTION("IMPORTRANGE(""https://docs.google.com/spreadsheets/d/132g-zJpz2uMKimp17uOIx8A7o3w1Z25zwJyXnwsB56c/edit?usp=sharing"",""สุพรรณบุรี!N428"")"),16980)</f>
        <v>16980</v>
      </c>
      <c r="M72" s="80">
        <f ca="1">IFERROR(__xludf.DUMMYFUNCTION("IMPORTRANGE(""https://docs.google.com/spreadsheets/d/132g-zJpz2uMKimp17uOIx8A7o3w1Z25zwJyXnwsB56c/edit?usp=sharing"",""สุพรรณบุรี!N431"")"),0)</f>
        <v>0</v>
      </c>
      <c r="N72" s="80">
        <f t="shared" ca="1" si="32"/>
        <v>0</v>
      </c>
      <c r="O72" s="81">
        <f ca="1">IFERROR(__xludf.DUMMYFUNCTION("IMPORTRANGE(""https://docs.google.com/spreadsheets/d/132g-zJpz2uMKimp17uOIx8A7o3w1Z25zwJyXnwsB56c/edit?usp=sharing"",""สุพรรณบุรี!I433"")"),60)</f>
        <v>60</v>
      </c>
      <c r="P72" s="81">
        <f ca="1">IFERROR(__xludf.DUMMYFUNCTION("IMPORTRANGE(""https://docs.google.com/spreadsheets/d/132g-zJpz2uMKimp17uOIx8A7o3w1Z25zwJyXnwsB56c/edit?usp=sharing"",""สุพรรณบุรี!I434"")"),2)</f>
        <v>2</v>
      </c>
      <c r="Q72" s="81">
        <f ca="1">IFERROR(__xludf.DUMMYFUNCTION("IMPORTRANGE(""https://docs.google.com/spreadsheets/d/132g-zJpz2uMKimp17uOIx8A7o3w1Z25zwJyXnwsB56c/edit?usp=sharing"",""สุพรรณบุรี!J433"")"),60)</f>
        <v>60</v>
      </c>
      <c r="R72" s="82">
        <f t="shared" ca="1" si="25"/>
        <v>100</v>
      </c>
      <c r="S72" s="81">
        <f ca="1">IFERROR(__xludf.DUMMYFUNCTION("IMPORTRANGE(""https://docs.google.com/spreadsheets/d/132g-zJpz2uMKimp17uOIx8A7o3w1Z25zwJyXnwsB56c/edit?usp=sharing"",""สุพรรณบุรี!J434"")"),2)</f>
        <v>2</v>
      </c>
      <c r="T72" s="82">
        <f t="shared" ca="1" si="7"/>
        <v>100</v>
      </c>
      <c r="U72" s="81">
        <f ca="1">IFERROR(__xludf.DUMMYFUNCTION("IMPORTRANGE(""https://docs.google.com/spreadsheets/d/132g-zJpz2uMKimp17uOIx8A7o3w1Z25zwJyXnwsB56c/edit?usp=sharing"",""สุพรรณบุรี!I435"")"),60)</f>
        <v>60</v>
      </c>
      <c r="V72" s="81">
        <f ca="1">IFERROR(__xludf.DUMMYFUNCTION("IMPORTRANGE(""https://docs.google.com/spreadsheets/d/132g-zJpz2uMKimp17uOIx8A7o3w1Z25zwJyXnwsB56c/edit?usp=sharing"",""สุพรรณบุรี!J435"")"),60)</f>
        <v>60</v>
      </c>
      <c r="W72" s="82">
        <f t="shared" ca="1" si="26"/>
        <v>100</v>
      </c>
      <c r="X72" s="81">
        <f ca="1">IFERROR(__xludf.DUMMYFUNCTION("IMPORTRANGE(""https://docs.google.com/spreadsheets/d/132g-zJpz2uMKimp17uOIx8A7o3w1Z25zwJyXnwsB56c/edit?usp=sharing"",""สุพรรณบุรี!I437"")"),40)</f>
        <v>40</v>
      </c>
      <c r="Y72" s="81">
        <f ca="1">IFERROR(__xludf.DUMMYFUNCTION("IMPORTRANGE(""https://docs.google.com/spreadsheets/d/132g-zJpz2uMKimp17uOIx8A7o3w1Z25zwJyXnwsB56c/edit?usp=sharing"",""สุพรรณบุรี!I438"")"),1)</f>
        <v>1</v>
      </c>
      <c r="Z72" s="81">
        <f ca="1">IFERROR(__xludf.DUMMYFUNCTION("IMPORTRANGE(""https://docs.google.com/spreadsheets/d/132g-zJpz2uMKimp17uOIx8A7o3w1Z25zwJyXnwsB56c/edit?usp=sharing"",""สุพรรณบุรี!J437"")"),40)</f>
        <v>40</v>
      </c>
      <c r="AA72" s="82">
        <f t="shared" ca="1" si="27"/>
        <v>100</v>
      </c>
      <c r="AB72" s="81">
        <f ca="1">IFERROR(__xludf.DUMMYFUNCTION("IMPORTRANGE(""https://docs.google.com/spreadsheets/d/132g-zJpz2uMKimp17uOIx8A7o3w1Z25zwJyXnwsB56c/edit?usp=sharing"",""สุพรรณบุรี!J438"")"),1)</f>
        <v>1</v>
      </c>
      <c r="AC72" s="82">
        <f t="shared" ca="1" si="12"/>
        <v>100</v>
      </c>
      <c r="AD72" s="81">
        <f ca="1">IFERROR(__xludf.DUMMYFUNCTION("IMPORTRANGE(""https://docs.google.com/spreadsheets/d/132g-zJpz2uMKimp17uOIx8A7o3w1Z25zwJyXnwsB56c/edit?usp=sharing"",""สุพรรณบุรี!I439"")"),20)</f>
        <v>20</v>
      </c>
      <c r="AE72" s="81">
        <f ca="1">IFERROR(__xludf.DUMMYFUNCTION("IMPORTRANGE(""https://docs.google.com/spreadsheets/d/132g-zJpz2uMKimp17uOIx8A7o3w1Z25zwJyXnwsB56c/edit?usp=sharing"",""สุพรรณบุรี!I440"")"),1)</f>
        <v>1</v>
      </c>
      <c r="AF72" s="81">
        <f ca="1">IFERROR(__xludf.DUMMYFUNCTION("IMPORTRANGE(""https://docs.google.com/spreadsheets/d/132g-zJpz2uMKimp17uOIx8A7o3w1Z25zwJyXnwsB56c/edit?usp=sharing"",""สุพรรณบุรี!J439"")"),20)</f>
        <v>20</v>
      </c>
      <c r="AG72" s="82">
        <f t="shared" ca="1" si="28"/>
        <v>100</v>
      </c>
      <c r="AH72" s="81">
        <f ca="1">IFERROR(__xludf.DUMMYFUNCTION("IMPORTRANGE(""https://docs.google.com/spreadsheets/d/132g-zJpz2uMKimp17uOIx8A7o3w1Z25zwJyXnwsB56c/edit?usp=sharing"",""สุพรรณบุรี!J440"")"),1)</f>
        <v>1</v>
      </c>
      <c r="AI72" s="82">
        <f t="shared" ca="1" si="15"/>
        <v>100</v>
      </c>
      <c r="AJ72" s="81">
        <f ca="1">IFERROR(__xludf.DUMMYFUNCTION("IMPORTRANGE(""https://docs.google.com/spreadsheets/d/132g-zJpz2uMKimp17uOIx8A7o3w1Z25zwJyXnwsB56c/edit?usp=sharing"",""สุพรรณบุรี!I441"")"),0)</f>
        <v>0</v>
      </c>
      <c r="AK72" s="81">
        <f ca="1">IFERROR(__xludf.DUMMYFUNCTION("IMPORTRANGE(""https://docs.google.com/spreadsheets/d/132g-zJpz2uMKimp17uOIx8A7o3w1Z25zwJyXnwsB56c/edit?usp=sharing"",""สุพรรณบุรี!J441"")"),0)</f>
        <v>0</v>
      </c>
      <c r="AL72" s="82">
        <f t="shared" ca="1" si="29"/>
        <v>0</v>
      </c>
    </row>
    <row r="73" spans="1:38" ht="21" customHeight="1" x14ac:dyDescent="0.2">
      <c r="A73" s="83">
        <v>21</v>
      </c>
      <c r="B73" s="84" t="s">
        <v>90</v>
      </c>
      <c r="C73" s="85">
        <f t="shared" ca="1" si="56"/>
        <v>54560</v>
      </c>
      <c r="D73" s="86">
        <f ca="1">IFERROR(__xludf.DUMMYFUNCTION("IMPORTRANGE(""https://docs.google.com/spreadsheets/d/12Q_U0nVnFdxDFwa0pej9xvx8ZvLC9Dpi_vRro_aiG5g/edit?usp=sharing"",""อ่างทอง!L424"")"),54560)</f>
        <v>54560</v>
      </c>
      <c r="E73" s="87">
        <f ca="1">IFERROR(__xludf.DUMMYFUNCTION("IMPORTRANGE(""https://docs.google.com/spreadsheets/d/12Q_U0nVnFdxDFwa0pej9xvx8ZvLC9Dpi_vRro_aiG5g/edit?usp=sharing"",""อ่างทอง!L431"")"),0)</f>
        <v>0</v>
      </c>
      <c r="F73" s="88">
        <f t="shared" ca="1" si="1"/>
        <v>48413</v>
      </c>
      <c r="G73" s="89">
        <f t="shared" ca="1" si="2"/>
        <v>88.73350439882698</v>
      </c>
      <c r="H73" s="90">
        <f t="shared" ca="1" si="57"/>
        <v>48413</v>
      </c>
      <c r="I73" s="87">
        <f ca="1">IFERROR(__xludf.DUMMYFUNCTION("IMPORTRANGE(""https://docs.google.com/spreadsheets/d/12Q_U0nVnFdxDFwa0pej9xvx8ZvLC9Dpi_vRro_aiG5g/edit?usp=sharing"",""อ่างทอง!N425"")"),37773)</f>
        <v>37773</v>
      </c>
      <c r="J73" s="87">
        <f ca="1">IFERROR(__xludf.DUMMYFUNCTION("IMPORTRANGE(""https://docs.google.com/spreadsheets/d/12Q_U0nVnFdxDFwa0pej9xvx8ZvLC9Dpi_vRro_aiG5g/edit?usp=sharing"",""อ่างทอง!N426"")"),0)</f>
        <v>0</v>
      </c>
      <c r="K73" s="87">
        <f ca="1">IFERROR(__xludf.DUMMYFUNCTION("IMPORTRANGE(""https://docs.google.com/spreadsheets/d/12Q_U0nVnFdxDFwa0pej9xvx8ZvLC9Dpi_vRro_aiG5g/edit?usp=sharing"",""อ่างทอง!N427"")"),0)</f>
        <v>0</v>
      </c>
      <c r="L73" s="87">
        <f ca="1">IFERROR(__xludf.DUMMYFUNCTION("IMPORTRANGE(""https://docs.google.com/spreadsheets/d/12Q_U0nVnFdxDFwa0pej9xvx8ZvLC9Dpi_vRro_aiG5g/edit?usp=sharing"",""อ่างทอง!N428"")"),10640)</f>
        <v>10640</v>
      </c>
      <c r="M73" s="91">
        <f ca="1">IFERROR(__xludf.DUMMYFUNCTION("IMPORTRANGE(""https://docs.google.com/spreadsheets/d/12Q_U0nVnFdxDFwa0pej9xvx8ZvLC9Dpi_vRro_aiG5g/edit?usp=sharing"",""อ่างทอง!N431"")"),0)</f>
        <v>0</v>
      </c>
      <c r="N73" s="91">
        <f t="shared" ca="1" si="32"/>
        <v>0</v>
      </c>
      <c r="O73" s="92">
        <f ca="1">IFERROR(__xludf.DUMMYFUNCTION("IMPORTRANGE(""https://docs.google.com/spreadsheets/d/12Q_U0nVnFdxDFwa0pej9xvx8ZvLC9Dpi_vRro_aiG5g/edit?usp=sharing"",""อ่างทอง!I433"")"),10)</f>
        <v>10</v>
      </c>
      <c r="P73" s="92">
        <f ca="1">IFERROR(__xludf.DUMMYFUNCTION("IMPORTRANGE(""https://docs.google.com/spreadsheets/d/12Q_U0nVnFdxDFwa0pej9xvx8ZvLC9Dpi_vRro_aiG5g/edit?usp=sharing"",""อ่างทอง!I434"")"),1)</f>
        <v>1</v>
      </c>
      <c r="Q73" s="92">
        <f ca="1">IFERROR(__xludf.DUMMYFUNCTION("IMPORTRANGE(""https://docs.google.com/spreadsheets/d/12Q_U0nVnFdxDFwa0pej9xvx8ZvLC9Dpi_vRro_aiG5g/edit?usp=sharing"",""อ่างทอง!J433"")"),10)</f>
        <v>10</v>
      </c>
      <c r="R73" s="93">
        <f t="shared" ca="1" si="25"/>
        <v>100</v>
      </c>
      <c r="S73" s="92">
        <f ca="1">IFERROR(__xludf.DUMMYFUNCTION("IMPORTRANGE(""https://docs.google.com/spreadsheets/d/12Q_U0nVnFdxDFwa0pej9xvx8ZvLC9Dpi_vRro_aiG5g/edit?usp=sharing"",""อ่างทอง!J434"")"),0)</f>
        <v>0</v>
      </c>
      <c r="T73" s="93">
        <f t="shared" ca="1" si="7"/>
        <v>0</v>
      </c>
      <c r="U73" s="92">
        <f ca="1">IFERROR(__xludf.DUMMYFUNCTION("IMPORTRANGE(""https://docs.google.com/spreadsheets/d/12Q_U0nVnFdxDFwa0pej9xvx8ZvLC9Dpi_vRro_aiG5g/edit?usp=sharing"",""อ่างทอง!I435"")"),10)</f>
        <v>10</v>
      </c>
      <c r="V73" s="92">
        <f ca="1">IFERROR(__xludf.DUMMYFUNCTION("IMPORTRANGE(""https://docs.google.com/spreadsheets/d/12Q_U0nVnFdxDFwa0pej9xvx8ZvLC9Dpi_vRro_aiG5g/edit?usp=sharing"",""อ่างทอง!J435"")"),10)</f>
        <v>10</v>
      </c>
      <c r="W73" s="93">
        <f t="shared" ca="1" si="26"/>
        <v>100</v>
      </c>
      <c r="X73" s="92">
        <f ca="1">IFERROR(__xludf.DUMMYFUNCTION("IMPORTRANGE(""https://docs.google.com/spreadsheets/d/12Q_U0nVnFdxDFwa0pej9xvx8ZvLC9Dpi_vRro_aiG5g/edit?usp=sharing"",""อ่างทอง!I437"")"),0)</f>
        <v>0</v>
      </c>
      <c r="Y73" s="92">
        <f ca="1">IFERROR(__xludf.DUMMYFUNCTION("IMPORTRANGE(""https://docs.google.com/spreadsheets/d/12Q_U0nVnFdxDFwa0pej9xvx8ZvLC9Dpi_vRro_aiG5g/edit?usp=sharing"",""อ่างทอง!I438"")"),0)</f>
        <v>0</v>
      </c>
      <c r="Z73" s="92">
        <f ca="1">IFERROR(__xludf.DUMMYFUNCTION("IMPORTRANGE(""https://docs.google.com/spreadsheets/d/12Q_U0nVnFdxDFwa0pej9xvx8ZvLC9Dpi_vRro_aiG5g/edit?usp=sharing"",""อ่างทอง!J437"")"),0)</f>
        <v>0</v>
      </c>
      <c r="AA73" s="93">
        <f t="shared" ca="1" si="27"/>
        <v>0</v>
      </c>
      <c r="AB73" s="92">
        <f ca="1">IFERROR(__xludf.DUMMYFUNCTION("IMPORTRANGE(""https://docs.google.com/spreadsheets/d/12Q_U0nVnFdxDFwa0pej9xvx8ZvLC9Dpi_vRro_aiG5g/edit?usp=sharing"",""อ่างทอง!J438"")"),0)</f>
        <v>0</v>
      </c>
      <c r="AC73" s="93">
        <f t="shared" ca="1" si="12"/>
        <v>0</v>
      </c>
      <c r="AD73" s="92">
        <f ca="1">IFERROR(__xludf.DUMMYFUNCTION("IMPORTRANGE(""https://docs.google.com/spreadsheets/d/12Q_U0nVnFdxDFwa0pej9xvx8ZvLC9Dpi_vRro_aiG5g/edit?usp=sharing"",""อ่างทอง!I439"")"),10)</f>
        <v>10</v>
      </c>
      <c r="AE73" s="92">
        <f ca="1">IFERROR(__xludf.DUMMYFUNCTION("IMPORTRANGE(""https://docs.google.com/spreadsheets/d/12Q_U0nVnFdxDFwa0pej9xvx8ZvLC9Dpi_vRro_aiG5g/edit?usp=sharing"",""อ่างทอง!I440"")"),1)</f>
        <v>1</v>
      </c>
      <c r="AF73" s="92">
        <f ca="1">IFERROR(__xludf.DUMMYFUNCTION("IMPORTRANGE(""https://docs.google.com/spreadsheets/d/12Q_U0nVnFdxDFwa0pej9xvx8ZvLC9Dpi_vRro_aiG5g/edit?usp=sharing"",""อ่างทอง!J439"")"),10)</f>
        <v>10</v>
      </c>
      <c r="AG73" s="93">
        <f t="shared" ca="1" si="28"/>
        <v>100</v>
      </c>
      <c r="AH73" s="92">
        <f ca="1">IFERROR(__xludf.DUMMYFUNCTION("IMPORTRANGE(""https://docs.google.com/spreadsheets/d/12Q_U0nVnFdxDFwa0pej9xvx8ZvLC9Dpi_vRro_aiG5g/edit?usp=sharing"",""อ่างทอง!J440"")"),0)</f>
        <v>0</v>
      </c>
      <c r="AI73" s="93">
        <f t="shared" ca="1" si="15"/>
        <v>0</v>
      </c>
      <c r="AJ73" s="92">
        <f ca="1">IFERROR(__xludf.DUMMYFUNCTION("IMPORTRANGE(""https://docs.google.com/spreadsheets/d/12Q_U0nVnFdxDFwa0pej9xvx8ZvLC9Dpi_vRro_aiG5g/edit?usp=sharing"",""อ่างทอง!I441"")"),0)</f>
        <v>0</v>
      </c>
      <c r="AK73" s="92">
        <f ca="1">IFERROR(__xludf.DUMMYFUNCTION("IMPORTRANGE(""https://docs.google.com/spreadsheets/d/12Q_U0nVnFdxDFwa0pej9xvx8ZvLC9Dpi_vRro_aiG5g/edit?usp=sharing"",""อ่างทอง!J441"")"),0)</f>
        <v>0</v>
      </c>
      <c r="AL73" s="93">
        <f t="shared" ca="1" si="29"/>
        <v>0</v>
      </c>
    </row>
    <row r="74" spans="1:38" ht="21" customHeight="1" x14ac:dyDescent="0.2">
      <c r="A74" s="303" t="s">
        <v>91</v>
      </c>
      <c r="B74" s="299"/>
      <c r="C74" s="99">
        <f t="shared" ref="C74:E74" ca="1" si="58">SUM(C75:C88)</f>
        <v>1097120</v>
      </c>
      <c r="D74" s="99">
        <f t="shared" ca="1" si="58"/>
        <v>1097120</v>
      </c>
      <c r="E74" s="57">
        <f t="shared" ca="1" si="58"/>
        <v>0</v>
      </c>
      <c r="F74" s="57">
        <f t="shared" ca="1" si="1"/>
        <v>598097.42999999993</v>
      </c>
      <c r="G74" s="94">
        <f t="shared" ca="1" si="2"/>
        <v>54.515224405716779</v>
      </c>
      <c r="H74" s="57">
        <f t="shared" ref="H74:M74" ca="1" si="59">SUM(H75:H88)</f>
        <v>598097.42999999993</v>
      </c>
      <c r="I74" s="57">
        <f t="shared" ca="1" si="59"/>
        <v>379070</v>
      </c>
      <c r="J74" s="57">
        <f t="shared" ca="1" si="59"/>
        <v>0</v>
      </c>
      <c r="K74" s="57">
        <f t="shared" ca="1" si="59"/>
        <v>0</v>
      </c>
      <c r="L74" s="57">
        <f t="shared" ca="1" si="59"/>
        <v>219027.43</v>
      </c>
      <c r="M74" s="95">
        <f t="shared" ca="1" si="59"/>
        <v>0</v>
      </c>
      <c r="N74" s="95">
        <f t="shared" ca="1" si="32"/>
        <v>0</v>
      </c>
      <c r="O74" s="57">
        <f t="shared" ref="O74:Q74" ca="1" si="60">SUM(O75:O88)</f>
        <v>250</v>
      </c>
      <c r="P74" s="57">
        <f t="shared" ca="1" si="60"/>
        <v>15</v>
      </c>
      <c r="Q74" s="57">
        <f t="shared" ca="1" si="60"/>
        <v>130</v>
      </c>
      <c r="R74" s="96">
        <f t="shared" ca="1" si="25"/>
        <v>52</v>
      </c>
      <c r="S74" s="57">
        <f ca="1">SUM(S75:S88)</f>
        <v>8</v>
      </c>
      <c r="T74" s="96">
        <f t="shared" ca="1" si="7"/>
        <v>53.333333333333336</v>
      </c>
      <c r="U74" s="57">
        <f t="shared" ref="U74:V74" ca="1" si="61">SUM(U75:U88)</f>
        <v>250</v>
      </c>
      <c r="V74" s="57">
        <f t="shared" ca="1" si="61"/>
        <v>180</v>
      </c>
      <c r="W74" s="96">
        <f t="shared" ca="1" si="26"/>
        <v>72</v>
      </c>
      <c r="X74" s="57">
        <f t="shared" ref="X74:Z74" ca="1" si="62">SUM(X75:X88)</f>
        <v>30</v>
      </c>
      <c r="Y74" s="57">
        <f t="shared" ca="1" si="62"/>
        <v>1</v>
      </c>
      <c r="Z74" s="57">
        <f t="shared" ca="1" si="62"/>
        <v>30</v>
      </c>
      <c r="AA74" s="96">
        <f t="shared" ca="1" si="27"/>
        <v>100</v>
      </c>
      <c r="AB74" s="57">
        <f ca="1">SUM(AB75:AB88)</f>
        <v>1</v>
      </c>
      <c r="AC74" s="96">
        <f t="shared" ca="1" si="12"/>
        <v>100</v>
      </c>
      <c r="AD74" s="57">
        <f t="shared" ref="AD74:AF74" ca="1" si="63">SUM(AD75:AD88)</f>
        <v>220</v>
      </c>
      <c r="AE74" s="57">
        <f t="shared" ca="1" si="63"/>
        <v>14</v>
      </c>
      <c r="AF74" s="57">
        <f t="shared" ca="1" si="63"/>
        <v>115</v>
      </c>
      <c r="AG74" s="96">
        <f t="shared" ca="1" si="28"/>
        <v>52.272727272727273</v>
      </c>
      <c r="AH74" s="57">
        <f ca="1">SUM(AH75:AH88)</f>
        <v>7</v>
      </c>
      <c r="AI74" s="96">
        <f t="shared" ca="1" si="15"/>
        <v>50</v>
      </c>
      <c r="AJ74" s="57">
        <f t="shared" ref="AJ74:AK74" ca="1" si="64">SUM(AJ75:AJ88)</f>
        <v>0</v>
      </c>
      <c r="AK74" s="57">
        <f t="shared" ca="1" si="64"/>
        <v>0</v>
      </c>
      <c r="AL74" s="96">
        <f t="shared" ca="1" si="29"/>
        <v>0</v>
      </c>
    </row>
    <row r="75" spans="1:38" ht="21" customHeight="1" x14ac:dyDescent="0.2">
      <c r="A75" s="62">
        <v>1</v>
      </c>
      <c r="B75" s="63" t="s">
        <v>92</v>
      </c>
      <c r="C75" s="97">
        <f t="shared" ref="C75:C88" ca="1" si="65">D75+E75</f>
        <v>66560</v>
      </c>
      <c r="D75" s="98">
        <f ca="1">IFERROR(__xludf.DUMMYFUNCTION("IMPORTRANGE(""https://docs.google.com/spreadsheets/d/1kC41EOXpGBFOW658Fs3oD8beYlym0-zO54WY-2Qnp9I/edit?usp=sharing"",""กระบี่!L424"")"),66560)</f>
        <v>66560</v>
      </c>
      <c r="E75" s="100">
        <f ca="1">IFERROR(__xludf.DUMMYFUNCTION("IMPORTRANGE(""https://docs.google.com/spreadsheets/d/1kC41EOXpGBFOW658Fs3oD8beYlym0-zO54WY-2Qnp9I/edit?usp=sharing"",""กระบี่!L431"")"),0)</f>
        <v>0</v>
      </c>
      <c r="F75" s="101">
        <f t="shared" ca="1" si="1"/>
        <v>34568</v>
      </c>
      <c r="G75" s="102">
        <f t="shared" ca="1" si="2"/>
        <v>51.935096153846153</v>
      </c>
      <c r="H75" s="79">
        <f t="shared" ref="H75:H88" ca="1" si="66">I75+J75+K75+L75</f>
        <v>34568</v>
      </c>
      <c r="I75" s="100">
        <f ca="1">IFERROR(__xludf.DUMMYFUNCTION("IMPORTRANGE(""https://docs.google.com/spreadsheets/d/1kC41EOXpGBFOW658Fs3oD8beYlym0-zO54WY-2Qnp9I/edit?usp=sharing"",""กระบี่!N425"")"),24095)</f>
        <v>24095</v>
      </c>
      <c r="J75" s="100">
        <f ca="1">IFERROR(__xludf.DUMMYFUNCTION("IMPORTRANGE(""https://docs.google.com/spreadsheets/d/1kC41EOXpGBFOW658Fs3oD8beYlym0-zO54WY-2Qnp9I/edit?usp=sharing"",""กระบี่!N426"")"),0)</f>
        <v>0</v>
      </c>
      <c r="K75" s="100">
        <f ca="1">IFERROR(__xludf.DUMMYFUNCTION("IMPORTRANGE(""https://docs.google.com/spreadsheets/d/1kC41EOXpGBFOW658Fs3oD8beYlym0-zO54WY-2Qnp9I/edit?usp=sharing"",""กระบี่!N427"")"),0)</f>
        <v>0</v>
      </c>
      <c r="L75" s="100">
        <f ca="1">IFERROR(__xludf.DUMMYFUNCTION("IMPORTRANGE(""https://docs.google.com/spreadsheets/d/1kC41EOXpGBFOW658Fs3oD8beYlym0-zO54WY-2Qnp9I/edit?usp=sharing"",""กระบี่!N428"")"),10473)</f>
        <v>10473</v>
      </c>
      <c r="M75" s="70">
        <f ca="1">IFERROR(__xludf.DUMMYFUNCTION("IMPORTRANGE(""https://docs.google.com/spreadsheets/d/1kC41EOXpGBFOW658Fs3oD8beYlym0-zO54WY-2Qnp9I/edit?usp=sharing"",""กระบี่!N431"")"),0)</f>
        <v>0</v>
      </c>
      <c r="N75" s="70">
        <f t="shared" ca="1" si="32"/>
        <v>0</v>
      </c>
      <c r="O75" s="66">
        <f ca="1">IFERROR(__xludf.DUMMYFUNCTION("IMPORTRANGE(""https://docs.google.com/spreadsheets/d/1kC41EOXpGBFOW658Fs3oD8beYlym0-zO54WY-2Qnp9I/edit?usp=sharing"",""กระบี่!I433"")"),15)</f>
        <v>15</v>
      </c>
      <c r="P75" s="66">
        <f ca="1">IFERROR(__xludf.DUMMYFUNCTION("IMPORTRANGE(""https://docs.google.com/spreadsheets/d/1kC41EOXpGBFOW658Fs3oD8beYlym0-zO54WY-2Qnp9I/edit?usp=sharing"",""กระบี่!I434"")"),1)</f>
        <v>1</v>
      </c>
      <c r="Q75" s="66">
        <f ca="1">IFERROR(__xludf.DUMMYFUNCTION("IMPORTRANGE(""https://docs.google.com/spreadsheets/d/1kC41EOXpGBFOW658Fs3oD8beYlym0-zO54WY-2Qnp9I/edit?usp=sharing"",""กระบี่!J433"")"),15)</f>
        <v>15</v>
      </c>
      <c r="R75" s="71">
        <f t="shared" ca="1" si="25"/>
        <v>100</v>
      </c>
      <c r="S75" s="66">
        <f ca="1">IFERROR(__xludf.DUMMYFUNCTION("IMPORTRANGE(""https://docs.google.com/spreadsheets/d/1kC41EOXpGBFOW658Fs3oD8beYlym0-zO54WY-2Qnp9I/edit?usp=sharing"",""กระบี่!J434"")"),1)</f>
        <v>1</v>
      </c>
      <c r="T75" s="71">
        <f t="shared" ca="1" si="7"/>
        <v>100</v>
      </c>
      <c r="U75" s="66">
        <f ca="1">IFERROR(__xludf.DUMMYFUNCTION("IMPORTRANGE(""https://docs.google.com/spreadsheets/d/1kC41EOXpGBFOW658Fs3oD8beYlym0-zO54WY-2Qnp9I/edit?usp=sharing"",""กระบี่!I435"")"),15)</f>
        <v>15</v>
      </c>
      <c r="V75" s="66">
        <f ca="1">IFERROR(__xludf.DUMMYFUNCTION("IMPORTRANGE(""https://docs.google.com/spreadsheets/d/1kC41EOXpGBFOW658Fs3oD8beYlym0-zO54WY-2Qnp9I/edit?usp=sharing"",""กระบี่!J435"")"),15)</f>
        <v>15</v>
      </c>
      <c r="W75" s="71">
        <f t="shared" ca="1" si="26"/>
        <v>100</v>
      </c>
      <c r="X75" s="66">
        <f ca="1">IFERROR(__xludf.DUMMYFUNCTION("IMPORTRANGE(""https://docs.google.com/spreadsheets/d/1kC41EOXpGBFOW658Fs3oD8beYlym0-zO54WY-2Qnp9I/edit?usp=sharing"",""กระบี่!I437"")"),0)</f>
        <v>0</v>
      </c>
      <c r="Y75" s="66">
        <f ca="1">IFERROR(__xludf.DUMMYFUNCTION("IMPORTRANGE(""https://docs.google.com/spreadsheets/d/1kC41EOXpGBFOW658Fs3oD8beYlym0-zO54WY-2Qnp9I/edit?usp=sharing"",""กระบี่!I438"")"),0)</f>
        <v>0</v>
      </c>
      <c r="Z75" s="66">
        <f ca="1">IFERROR(__xludf.DUMMYFUNCTION("IMPORTRANGE(""https://docs.google.com/spreadsheets/d/1kC41EOXpGBFOW658Fs3oD8beYlym0-zO54WY-2Qnp9I/edit?usp=sharing"",""กระบี่!J437"")"),0)</f>
        <v>0</v>
      </c>
      <c r="AA75" s="71">
        <f t="shared" ca="1" si="27"/>
        <v>0</v>
      </c>
      <c r="AB75" s="66">
        <f ca="1">IFERROR(__xludf.DUMMYFUNCTION("IMPORTRANGE(""https://docs.google.com/spreadsheets/d/1kC41EOXpGBFOW658Fs3oD8beYlym0-zO54WY-2Qnp9I/edit?usp=sharing"",""กระบี่!J438"")"),0)</f>
        <v>0</v>
      </c>
      <c r="AC75" s="71">
        <f t="shared" ca="1" si="12"/>
        <v>0</v>
      </c>
      <c r="AD75" s="66">
        <f ca="1">IFERROR(__xludf.DUMMYFUNCTION("IMPORTRANGE(""https://docs.google.com/spreadsheets/d/1kC41EOXpGBFOW658Fs3oD8beYlym0-zO54WY-2Qnp9I/edit?usp=sharing"",""กระบี่!I439"")"),15)</f>
        <v>15</v>
      </c>
      <c r="AE75" s="66">
        <f ca="1">IFERROR(__xludf.DUMMYFUNCTION("IMPORTRANGE(""https://docs.google.com/spreadsheets/d/1kC41EOXpGBFOW658Fs3oD8beYlym0-zO54WY-2Qnp9I/edit?usp=sharing"",""กระบี่!I440"")"),1)</f>
        <v>1</v>
      </c>
      <c r="AF75" s="66">
        <f ca="1">IFERROR(__xludf.DUMMYFUNCTION("IMPORTRANGE(""https://docs.google.com/spreadsheets/d/1kC41EOXpGBFOW658Fs3oD8beYlym0-zO54WY-2Qnp9I/edit?usp=sharing"",""กระบี่!J439"")"),15)</f>
        <v>15</v>
      </c>
      <c r="AG75" s="71">
        <f t="shared" ca="1" si="28"/>
        <v>100</v>
      </c>
      <c r="AH75" s="66">
        <f ca="1">IFERROR(__xludf.DUMMYFUNCTION("IMPORTRANGE(""https://docs.google.com/spreadsheets/d/1kC41EOXpGBFOW658Fs3oD8beYlym0-zO54WY-2Qnp9I/edit?usp=sharing"",""กระบี่!J440"")"),1)</f>
        <v>1</v>
      </c>
      <c r="AI75" s="71">
        <f t="shared" ca="1" si="15"/>
        <v>100</v>
      </c>
      <c r="AJ75" s="66">
        <f ca="1">IFERROR(__xludf.DUMMYFUNCTION("IMPORTRANGE(""https://docs.google.com/spreadsheets/d/1kC41EOXpGBFOW658Fs3oD8beYlym0-zO54WY-2Qnp9I/edit?usp=sharing"",""กระบี่!I441"")"),0)</f>
        <v>0</v>
      </c>
      <c r="AK75" s="66">
        <f ca="1">IFERROR(__xludf.DUMMYFUNCTION("IMPORTRANGE(""https://docs.google.com/spreadsheets/d/1kC41EOXpGBFOW658Fs3oD8beYlym0-zO54WY-2Qnp9I/edit?usp=sharing"",""กระบี่!J441"")"),0)</f>
        <v>0</v>
      </c>
      <c r="AL75" s="71">
        <f t="shared" ca="1" si="29"/>
        <v>0</v>
      </c>
    </row>
    <row r="76" spans="1:38" ht="21" customHeight="1" x14ac:dyDescent="0.2">
      <c r="A76" s="72">
        <v>2</v>
      </c>
      <c r="B76" s="73" t="s">
        <v>93</v>
      </c>
      <c r="C76" s="74">
        <f t="shared" ca="1" si="65"/>
        <v>78760</v>
      </c>
      <c r="D76" s="75">
        <f ca="1">IFERROR(__xludf.DUMMYFUNCTION("IMPORTRANGE(""https://docs.google.com/spreadsheets/d/1FbzMZY_f3MDiEuK7RpCQKrilJ_kpX0Wm7QBZ1L7EjIU/edit?usp=sharing"",""ชุมพร!L424"")"),78760)</f>
        <v>78760</v>
      </c>
      <c r="E76" s="76">
        <f ca="1">IFERROR(__xludf.DUMMYFUNCTION("IMPORTRANGE(""https://docs.google.com/spreadsheets/d/1FbzMZY_f3MDiEuK7RpCQKrilJ_kpX0Wm7QBZ1L7EjIU/edit?usp=sharing"",""ชุมพร!L431"")"),0)</f>
        <v>0</v>
      </c>
      <c r="F76" s="77">
        <f t="shared" ca="1" si="1"/>
        <v>28060</v>
      </c>
      <c r="G76" s="78">
        <f t="shared" ca="1" si="2"/>
        <v>35.627221940071102</v>
      </c>
      <c r="H76" s="79">
        <f t="shared" ca="1" si="66"/>
        <v>28060</v>
      </c>
      <c r="I76" s="76">
        <f ca="1">IFERROR(__xludf.DUMMYFUNCTION("IMPORTRANGE(""https://docs.google.com/spreadsheets/d/1FbzMZY_f3MDiEuK7RpCQKrilJ_kpX0Wm7QBZ1L7EjIU/edit?usp=sharing"",""ชุมพร!N425"")"),28060)</f>
        <v>28060</v>
      </c>
      <c r="J76" s="76">
        <f ca="1">IFERROR(__xludf.DUMMYFUNCTION("IMPORTRANGE(""https://docs.google.com/spreadsheets/d/1FbzMZY_f3MDiEuK7RpCQKrilJ_kpX0Wm7QBZ1L7EjIU/edit?usp=sharing"",""ชุมพร!N426"")"),0)</f>
        <v>0</v>
      </c>
      <c r="K76" s="76">
        <f ca="1">IFERROR(__xludf.DUMMYFUNCTION("IMPORTRANGE(""https://docs.google.com/spreadsheets/d/1FbzMZY_f3MDiEuK7RpCQKrilJ_kpX0Wm7QBZ1L7EjIU/edit?usp=sharing"",""ชุมพร!N427"")"),0)</f>
        <v>0</v>
      </c>
      <c r="L76" s="76">
        <f ca="1">IFERROR(__xludf.DUMMYFUNCTION("IMPORTRANGE(""https://docs.google.com/spreadsheets/d/1FbzMZY_f3MDiEuK7RpCQKrilJ_kpX0Wm7QBZ1L7EjIU/edit?usp=sharing"",""ชุมพร!N428"")"),0)</f>
        <v>0</v>
      </c>
      <c r="M76" s="80">
        <f ca="1">IFERROR(__xludf.DUMMYFUNCTION("IMPORTRANGE(""https://docs.google.com/spreadsheets/d/1FbzMZY_f3MDiEuK7RpCQKrilJ_kpX0Wm7QBZ1L7EjIU/edit?usp=sharing"",""ชุมพร!N431"")"),0)</f>
        <v>0</v>
      </c>
      <c r="N76" s="80">
        <f t="shared" ca="1" si="32"/>
        <v>0</v>
      </c>
      <c r="O76" s="81">
        <f ca="1">IFERROR(__xludf.DUMMYFUNCTION("IMPORTRANGE(""https://docs.google.com/spreadsheets/d/1FbzMZY_f3MDiEuK7RpCQKrilJ_kpX0Wm7QBZ1L7EjIU/edit?usp=sharing"",""ชุมพร!I433"")"),20)</f>
        <v>20</v>
      </c>
      <c r="P76" s="81">
        <f ca="1">IFERROR(__xludf.DUMMYFUNCTION("IMPORTRANGE(""https://docs.google.com/spreadsheets/d/1FbzMZY_f3MDiEuK7RpCQKrilJ_kpX0Wm7QBZ1L7EjIU/edit?usp=sharing"",""ชุมพร!I434"")"),1)</f>
        <v>1</v>
      </c>
      <c r="Q76" s="81">
        <f ca="1">IFERROR(__xludf.DUMMYFUNCTION("IMPORTRANGE(""https://docs.google.com/spreadsheets/d/1FbzMZY_f3MDiEuK7RpCQKrilJ_kpX0Wm7QBZ1L7EjIU/edit?usp=sharing"",""ชุมพร!J433"")"),0)</f>
        <v>0</v>
      </c>
      <c r="R76" s="82">
        <f t="shared" ca="1" si="25"/>
        <v>0</v>
      </c>
      <c r="S76" s="81">
        <f ca="1">IFERROR(__xludf.DUMMYFUNCTION("IMPORTRANGE(""https://docs.google.com/spreadsheets/d/1FbzMZY_f3MDiEuK7RpCQKrilJ_kpX0Wm7QBZ1L7EjIU/edit?usp=sharing"",""ชุมพร!J434"")"),0)</f>
        <v>0</v>
      </c>
      <c r="T76" s="82">
        <f t="shared" ca="1" si="7"/>
        <v>0</v>
      </c>
      <c r="U76" s="81">
        <f ca="1">IFERROR(__xludf.DUMMYFUNCTION("IMPORTRANGE(""https://docs.google.com/spreadsheets/d/1FbzMZY_f3MDiEuK7RpCQKrilJ_kpX0Wm7QBZ1L7EjIU/edit?usp=sharing"",""ชุมพร!I435"")"),20)</f>
        <v>20</v>
      </c>
      <c r="V76" s="81">
        <f ca="1">IFERROR(__xludf.DUMMYFUNCTION("IMPORTRANGE(""https://docs.google.com/spreadsheets/d/1FbzMZY_f3MDiEuK7RpCQKrilJ_kpX0Wm7QBZ1L7EjIU/edit?usp=sharing"",""ชุมพร!J435"")"),20)</f>
        <v>20</v>
      </c>
      <c r="W76" s="82">
        <f t="shared" ca="1" si="26"/>
        <v>100</v>
      </c>
      <c r="X76" s="81">
        <f ca="1">IFERROR(__xludf.DUMMYFUNCTION("IMPORTRANGE(""https://docs.google.com/spreadsheets/d/1FbzMZY_f3MDiEuK7RpCQKrilJ_kpX0Wm7QBZ1L7EjIU/edit?usp=sharing"",""ชุมพร!I437"")"),0)</f>
        <v>0</v>
      </c>
      <c r="Y76" s="81">
        <f ca="1">IFERROR(__xludf.DUMMYFUNCTION("IMPORTRANGE(""https://docs.google.com/spreadsheets/d/1FbzMZY_f3MDiEuK7RpCQKrilJ_kpX0Wm7QBZ1L7EjIU/edit?usp=sharing"",""ชุมพร!I438"")"),0)</f>
        <v>0</v>
      </c>
      <c r="Z76" s="81">
        <f ca="1">IFERROR(__xludf.DUMMYFUNCTION("IMPORTRANGE(""https://docs.google.com/spreadsheets/d/1FbzMZY_f3MDiEuK7RpCQKrilJ_kpX0Wm7QBZ1L7EjIU/edit?usp=sharing"",""ชุมพร!J437"")"),0)</f>
        <v>0</v>
      </c>
      <c r="AA76" s="82">
        <f t="shared" ca="1" si="27"/>
        <v>0</v>
      </c>
      <c r="AB76" s="81">
        <f ca="1">IFERROR(__xludf.DUMMYFUNCTION("IMPORTRANGE(""https://docs.google.com/spreadsheets/d/1FbzMZY_f3MDiEuK7RpCQKrilJ_kpX0Wm7QBZ1L7EjIU/edit?usp=sharing"",""ชุมพร!J438"")"),0)</f>
        <v>0</v>
      </c>
      <c r="AC76" s="82">
        <f t="shared" ca="1" si="12"/>
        <v>0</v>
      </c>
      <c r="AD76" s="81">
        <f ca="1">IFERROR(__xludf.DUMMYFUNCTION("IMPORTRANGE(""https://docs.google.com/spreadsheets/d/1FbzMZY_f3MDiEuK7RpCQKrilJ_kpX0Wm7QBZ1L7EjIU/edit?usp=sharing"",""ชุมพร!I439"")"),20)</f>
        <v>20</v>
      </c>
      <c r="AE76" s="81">
        <f ca="1">IFERROR(__xludf.DUMMYFUNCTION("IMPORTRANGE(""https://docs.google.com/spreadsheets/d/1FbzMZY_f3MDiEuK7RpCQKrilJ_kpX0Wm7QBZ1L7EjIU/edit?usp=sharing"",""ชุมพร!I440"")"),1)</f>
        <v>1</v>
      </c>
      <c r="AF76" s="81">
        <f ca="1">IFERROR(__xludf.DUMMYFUNCTION("IMPORTRANGE(""https://docs.google.com/spreadsheets/d/1FbzMZY_f3MDiEuK7RpCQKrilJ_kpX0Wm7QBZ1L7EjIU/edit?usp=sharing"",""ชุมพร!J439"")"),0)</f>
        <v>0</v>
      </c>
      <c r="AG76" s="82">
        <f t="shared" ca="1" si="28"/>
        <v>0</v>
      </c>
      <c r="AH76" s="81">
        <f ca="1">IFERROR(__xludf.DUMMYFUNCTION("IMPORTRANGE(""https://docs.google.com/spreadsheets/d/1FbzMZY_f3MDiEuK7RpCQKrilJ_kpX0Wm7QBZ1L7EjIU/edit?usp=sharing"",""ชุมพร!J440"")"),0)</f>
        <v>0</v>
      </c>
      <c r="AI76" s="82">
        <f t="shared" ca="1" si="15"/>
        <v>0</v>
      </c>
      <c r="AJ76" s="81">
        <f ca="1">IFERROR(__xludf.DUMMYFUNCTION("IMPORTRANGE(""https://docs.google.com/spreadsheets/d/1FbzMZY_f3MDiEuK7RpCQKrilJ_kpX0Wm7QBZ1L7EjIU/edit?usp=sharing"",""ชุมพร!I441"")"),0)</f>
        <v>0</v>
      </c>
      <c r="AK76" s="81">
        <f ca="1">IFERROR(__xludf.DUMMYFUNCTION("IMPORTRANGE(""https://docs.google.com/spreadsheets/d/1FbzMZY_f3MDiEuK7RpCQKrilJ_kpX0Wm7QBZ1L7EjIU/edit?usp=sharing"",""ชุมพร!J441"")"),0)</f>
        <v>0</v>
      </c>
      <c r="AL76" s="82">
        <f t="shared" ca="1" si="29"/>
        <v>0</v>
      </c>
    </row>
    <row r="77" spans="1:38" ht="21" customHeight="1" x14ac:dyDescent="0.2">
      <c r="A77" s="72">
        <v>3</v>
      </c>
      <c r="B77" s="73" t="s">
        <v>94</v>
      </c>
      <c r="C77" s="74">
        <f t="shared" ca="1" si="65"/>
        <v>66560</v>
      </c>
      <c r="D77" s="75">
        <f ca="1">IFERROR(__xludf.DUMMYFUNCTION("IMPORTRANGE(""https://docs.google.com/spreadsheets/d/1v5sN-00LrXuhBxw4dkh2GrG_z4l5oAqOdJRBCsUyMaM/edit?usp=sharing"",""ตรัง!L424"")"),66560)</f>
        <v>66560</v>
      </c>
      <c r="E77" s="76">
        <f ca="1">IFERROR(__xludf.DUMMYFUNCTION("IMPORTRANGE(""https://docs.google.com/spreadsheets/d/1v5sN-00LrXuhBxw4dkh2GrG_z4l5oAqOdJRBCsUyMaM/edit?usp=sharing"",""ตรัง!L431"")"),0)</f>
        <v>0</v>
      </c>
      <c r="F77" s="77">
        <f t="shared" ca="1" si="1"/>
        <v>45537.25</v>
      </c>
      <c r="G77" s="78">
        <f t="shared" ca="1" si="2"/>
        <v>68.415339543269226</v>
      </c>
      <c r="H77" s="79">
        <f t="shared" ca="1" si="66"/>
        <v>45537.25</v>
      </c>
      <c r="I77" s="76">
        <f ca="1">IFERROR(__xludf.DUMMYFUNCTION("IMPORTRANGE(""https://docs.google.com/spreadsheets/d/1v5sN-00LrXuhBxw4dkh2GrG_z4l5oAqOdJRBCsUyMaM/edit?usp=sharing"",""ตรัง!N425"")"),36300)</f>
        <v>36300</v>
      </c>
      <c r="J77" s="76">
        <f ca="1">IFERROR(__xludf.DUMMYFUNCTION("IMPORTRANGE(""https://docs.google.com/spreadsheets/d/1v5sN-00LrXuhBxw4dkh2GrG_z4l5oAqOdJRBCsUyMaM/edit?usp=sharing"",""ตรัง!N426"")"),0)</f>
        <v>0</v>
      </c>
      <c r="K77" s="76">
        <f ca="1">IFERROR(__xludf.DUMMYFUNCTION("IMPORTRANGE(""https://docs.google.com/spreadsheets/d/1v5sN-00LrXuhBxw4dkh2GrG_z4l5oAqOdJRBCsUyMaM/edit?usp=sharing"",""ตรัง!N427"")"),0)</f>
        <v>0</v>
      </c>
      <c r="L77" s="76">
        <f ca="1">IFERROR(__xludf.DUMMYFUNCTION("IMPORTRANGE(""https://docs.google.com/spreadsheets/d/1v5sN-00LrXuhBxw4dkh2GrG_z4l5oAqOdJRBCsUyMaM/edit?usp=sharing"",""ตรัง!N428"")"),9237.25)</f>
        <v>9237.25</v>
      </c>
      <c r="M77" s="80">
        <f ca="1">IFERROR(__xludf.DUMMYFUNCTION("IMPORTRANGE(""https://docs.google.com/spreadsheets/d/1v5sN-00LrXuhBxw4dkh2GrG_z4l5oAqOdJRBCsUyMaM/edit?usp=sharing"",""ตรัง!N431"")"),0)</f>
        <v>0</v>
      </c>
      <c r="N77" s="80">
        <f t="shared" ca="1" si="32"/>
        <v>0</v>
      </c>
      <c r="O77" s="81">
        <f ca="1">IFERROR(__xludf.DUMMYFUNCTION("IMPORTRANGE(""https://docs.google.com/spreadsheets/d/1v5sN-00LrXuhBxw4dkh2GrG_z4l5oAqOdJRBCsUyMaM/edit?usp=sharing"",""ตรัง!I433"")"),15)</f>
        <v>15</v>
      </c>
      <c r="P77" s="81">
        <f ca="1">IFERROR(__xludf.DUMMYFUNCTION("IMPORTRANGE(""https://docs.google.com/spreadsheets/d/1v5sN-00LrXuhBxw4dkh2GrG_z4l5oAqOdJRBCsUyMaM/edit?usp=sharing"",""ตรัง!I434"")"),1)</f>
        <v>1</v>
      </c>
      <c r="Q77" s="81">
        <f ca="1">IFERROR(__xludf.DUMMYFUNCTION("IMPORTRANGE(""https://docs.google.com/spreadsheets/d/1v5sN-00LrXuhBxw4dkh2GrG_z4l5oAqOdJRBCsUyMaM/edit?usp=sharing"",""ตรัง!J433"")"),15)</f>
        <v>15</v>
      </c>
      <c r="R77" s="82">
        <f t="shared" ca="1" si="25"/>
        <v>100</v>
      </c>
      <c r="S77" s="81">
        <f ca="1">IFERROR(__xludf.DUMMYFUNCTION("IMPORTRANGE(""https://docs.google.com/spreadsheets/d/1v5sN-00LrXuhBxw4dkh2GrG_z4l5oAqOdJRBCsUyMaM/edit?usp=sharing"",""ตรัง!J434"")"),1)</f>
        <v>1</v>
      </c>
      <c r="T77" s="82">
        <f t="shared" ca="1" si="7"/>
        <v>100</v>
      </c>
      <c r="U77" s="81">
        <f ca="1">IFERROR(__xludf.DUMMYFUNCTION("IMPORTRANGE(""https://docs.google.com/spreadsheets/d/1v5sN-00LrXuhBxw4dkh2GrG_z4l5oAqOdJRBCsUyMaM/edit?usp=sharing"",""ตรัง!I435"")"),15)</f>
        <v>15</v>
      </c>
      <c r="V77" s="81">
        <f ca="1">IFERROR(__xludf.DUMMYFUNCTION("IMPORTRANGE(""https://docs.google.com/spreadsheets/d/1v5sN-00LrXuhBxw4dkh2GrG_z4l5oAqOdJRBCsUyMaM/edit?usp=sharing"",""ตรัง!J435"")"),15)</f>
        <v>15</v>
      </c>
      <c r="W77" s="82">
        <f t="shared" ca="1" si="26"/>
        <v>100</v>
      </c>
      <c r="X77" s="81">
        <f ca="1">IFERROR(__xludf.DUMMYFUNCTION("IMPORTRANGE(""https://docs.google.com/spreadsheets/d/1v5sN-00LrXuhBxw4dkh2GrG_z4l5oAqOdJRBCsUyMaM/edit?usp=sharing"",""ตรัง!I437"")"),0)</f>
        <v>0</v>
      </c>
      <c r="Y77" s="81">
        <f ca="1">IFERROR(__xludf.DUMMYFUNCTION("IMPORTRANGE(""https://docs.google.com/spreadsheets/d/1v5sN-00LrXuhBxw4dkh2GrG_z4l5oAqOdJRBCsUyMaM/edit?usp=sharing"",""ตรัง!I438"")"),0)</f>
        <v>0</v>
      </c>
      <c r="Z77" s="81">
        <f ca="1">IFERROR(__xludf.DUMMYFUNCTION("IMPORTRANGE(""https://docs.google.com/spreadsheets/d/1v5sN-00LrXuhBxw4dkh2GrG_z4l5oAqOdJRBCsUyMaM/edit?usp=sharing"",""ตรัง!J437"")"),0)</f>
        <v>0</v>
      </c>
      <c r="AA77" s="82">
        <f t="shared" ca="1" si="27"/>
        <v>0</v>
      </c>
      <c r="AB77" s="81">
        <f ca="1">IFERROR(__xludf.DUMMYFUNCTION("IMPORTRANGE(""https://docs.google.com/spreadsheets/d/1v5sN-00LrXuhBxw4dkh2GrG_z4l5oAqOdJRBCsUyMaM/edit?usp=sharing"",""ตรัง!J438"")"),0)</f>
        <v>0</v>
      </c>
      <c r="AC77" s="82">
        <f t="shared" ca="1" si="12"/>
        <v>0</v>
      </c>
      <c r="AD77" s="81">
        <f ca="1">IFERROR(__xludf.DUMMYFUNCTION("IMPORTRANGE(""https://docs.google.com/spreadsheets/d/1v5sN-00LrXuhBxw4dkh2GrG_z4l5oAqOdJRBCsUyMaM/edit?usp=sharing"",""ตรัง!I439"")"),15)</f>
        <v>15</v>
      </c>
      <c r="AE77" s="81">
        <f ca="1">IFERROR(__xludf.DUMMYFUNCTION("IMPORTRANGE(""https://docs.google.com/spreadsheets/d/1v5sN-00LrXuhBxw4dkh2GrG_z4l5oAqOdJRBCsUyMaM/edit?usp=sharing"",""ตรัง!I440"")"),1)</f>
        <v>1</v>
      </c>
      <c r="AF77" s="81">
        <f ca="1">IFERROR(__xludf.DUMMYFUNCTION("IMPORTRANGE(""https://docs.google.com/spreadsheets/d/1v5sN-00LrXuhBxw4dkh2GrG_z4l5oAqOdJRBCsUyMaM/edit?usp=sharing"",""ตรัง!J439"")"),15)</f>
        <v>15</v>
      </c>
      <c r="AG77" s="82">
        <f t="shared" ca="1" si="28"/>
        <v>100</v>
      </c>
      <c r="AH77" s="81">
        <f ca="1">IFERROR(__xludf.DUMMYFUNCTION("IMPORTRANGE(""https://docs.google.com/spreadsheets/d/1v5sN-00LrXuhBxw4dkh2GrG_z4l5oAqOdJRBCsUyMaM/edit?usp=sharing"",""ตรัง!J440"")"),1)</f>
        <v>1</v>
      </c>
      <c r="AI77" s="82">
        <f t="shared" ca="1" si="15"/>
        <v>100</v>
      </c>
      <c r="AJ77" s="81">
        <f ca="1">IFERROR(__xludf.DUMMYFUNCTION("IMPORTRANGE(""https://docs.google.com/spreadsheets/d/1v5sN-00LrXuhBxw4dkh2GrG_z4l5oAqOdJRBCsUyMaM/edit?usp=sharing"",""ตรัง!I441"")"),0)</f>
        <v>0</v>
      </c>
      <c r="AK77" s="81">
        <f ca="1">IFERROR(__xludf.DUMMYFUNCTION("IMPORTRANGE(""https://docs.google.com/spreadsheets/d/1v5sN-00LrXuhBxw4dkh2GrG_z4l5oAqOdJRBCsUyMaM/edit?usp=sharing"",""ตรัง!J441"")"),0)</f>
        <v>0</v>
      </c>
      <c r="AL77" s="82">
        <f t="shared" ca="1" si="29"/>
        <v>0</v>
      </c>
    </row>
    <row r="78" spans="1:38" ht="21" customHeight="1" x14ac:dyDescent="0.2">
      <c r="A78" s="72">
        <v>4</v>
      </c>
      <c r="B78" s="73" t="s">
        <v>95</v>
      </c>
      <c r="C78" s="74">
        <f t="shared" ca="1" si="65"/>
        <v>78660</v>
      </c>
      <c r="D78" s="75">
        <f ca="1">IFERROR(__xludf.DUMMYFUNCTION("IMPORTRANGE(""https://docs.google.com/spreadsheets/d/1T5rRTzFc79aSIvqnzkZNvwPstq829QYz_xALlO1Z0s8/edit?usp=sharing"",""นครศรีธรรมราช!L424"")"),78660)</f>
        <v>78660</v>
      </c>
      <c r="E78" s="76">
        <f ca="1">IFERROR(__xludf.DUMMYFUNCTION("IMPORTRANGE(""https://docs.google.com/spreadsheets/d/1T5rRTzFc79aSIvqnzkZNvwPstq829QYz_xALlO1Z0s8/edit?usp=sharing"",""นครศรีธรรมราช!L431"")"),0)</f>
        <v>0</v>
      </c>
      <c r="F78" s="77">
        <f t="shared" ca="1" si="1"/>
        <v>1360</v>
      </c>
      <c r="G78" s="78">
        <f t="shared" ca="1" si="2"/>
        <v>1.7289600813628274</v>
      </c>
      <c r="H78" s="79">
        <f t="shared" ca="1" si="66"/>
        <v>1360</v>
      </c>
      <c r="I78" s="76">
        <f ca="1">IFERROR(__xludf.DUMMYFUNCTION("IMPORTRANGE(""https://docs.google.com/spreadsheets/d/1T5rRTzFc79aSIvqnzkZNvwPstq829QYz_xALlO1Z0s8/edit?usp=sharing"",""นครศรีธรรมราช!N425"")"),0)</f>
        <v>0</v>
      </c>
      <c r="J78" s="76">
        <f ca="1">IFERROR(__xludf.DUMMYFUNCTION("IMPORTRANGE(""https://docs.google.com/spreadsheets/d/1T5rRTzFc79aSIvqnzkZNvwPstq829QYz_xALlO1Z0s8/edit?usp=sharing"",""นครศรีธรรมราช!N426"")"),0)</f>
        <v>0</v>
      </c>
      <c r="K78" s="76">
        <f ca="1">IFERROR(__xludf.DUMMYFUNCTION("IMPORTRANGE(""https://docs.google.com/spreadsheets/d/1T5rRTzFc79aSIvqnzkZNvwPstq829QYz_xALlO1Z0s8/edit?usp=sharing"",""นครศรีธรรมราช!N427"")"),0)</f>
        <v>0</v>
      </c>
      <c r="L78" s="76">
        <f ca="1">IFERROR(__xludf.DUMMYFUNCTION("IMPORTRANGE(""https://docs.google.com/spreadsheets/d/1T5rRTzFc79aSIvqnzkZNvwPstq829QYz_xALlO1Z0s8/edit?usp=sharing"",""นครศรีธรรมราช!N428"")"),1360)</f>
        <v>1360</v>
      </c>
      <c r="M78" s="80">
        <f ca="1">IFERROR(__xludf.DUMMYFUNCTION("IMPORTRANGE(""https://docs.google.com/spreadsheets/d/1T5rRTzFc79aSIvqnzkZNvwPstq829QYz_xALlO1Z0s8/edit?usp=sharing"",""นครศรีธรรมราช!N431"")"),0)</f>
        <v>0</v>
      </c>
      <c r="N78" s="80">
        <f t="shared" ca="1" si="32"/>
        <v>0</v>
      </c>
      <c r="O78" s="81">
        <f ca="1">IFERROR(__xludf.DUMMYFUNCTION("IMPORTRANGE(""https://docs.google.com/spreadsheets/d/1T5rRTzFc79aSIvqnzkZNvwPstq829QYz_xALlO1Z0s8/edit?usp=sharing"",""นครศรีธรรมราช!I433"")"),20)</f>
        <v>20</v>
      </c>
      <c r="P78" s="81">
        <f ca="1">IFERROR(__xludf.DUMMYFUNCTION("IMPORTRANGE(""https://docs.google.com/spreadsheets/d/1T5rRTzFc79aSIvqnzkZNvwPstq829QYz_xALlO1Z0s8/edit?usp=sharing"",""นครศรีธรรมราช!I434"")"),1)</f>
        <v>1</v>
      </c>
      <c r="Q78" s="81">
        <f ca="1">IFERROR(__xludf.DUMMYFUNCTION("IMPORTRANGE(""https://docs.google.com/spreadsheets/d/1T5rRTzFc79aSIvqnzkZNvwPstq829QYz_xALlO1Z0s8/edit?usp=sharing"",""นครศรีธรรมราช!J433"")"),0)</f>
        <v>0</v>
      </c>
      <c r="R78" s="82">
        <f t="shared" ca="1" si="25"/>
        <v>0</v>
      </c>
      <c r="S78" s="81">
        <f ca="1">IFERROR(__xludf.DUMMYFUNCTION("IMPORTRANGE(""https://docs.google.com/spreadsheets/d/1T5rRTzFc79aSIvqnzkZNvwPstq829QYz_xALlO1Z0s8/edit?usp=sharing"",""นครศรีธรรมราช!J434"")"),0)</f>
        <v>0</v>
      </c>
      <c r="T78" s="82">
        <f t="shared" ca="1" si="7"/>
        <v>0</v>
      </c>
      <c r="U78" s="81">
        <f ca="1">IFERROR(__xludf.DUMMYFUNCTION("IMPORTRANGE(""https://docs.google.com/spreadsheets/d/1T5rRTzFc79aSIvqnzkZNvwPstq829QYz_xALlO1Z0s8/edit?usp=sharing"",""นครศรีธรรมราช!I435"")"),20)</f>
        <v>20</v>
      </c>
      <c r="V78" s="81">
        <f ca="1">IFERROR(__xludf.DUMMYFUNCTION("IMPORTRANGE(""https://docs.google.com/spreadsheets/d/1T5rRTzFc79aSIvqnzkZNvwPstq829QYz_xALlO1Z0s8/edit?usp=sharing"",""นครศรีธรรมราช!J435"")"),0)</f>
        <v>0</v>
      </c>
      <c r="W78" s="82">
        <f t="shared" ca="1" si="26"/>
        <v>0</v>
      </c>
      <c r="X78" s="81">
        <f ca="1">IFERROR(__xludf.DUMMYFUNCTION("IMPORTRANGE(""https://docs.google.com/spreadsheets/d/1T5rRTzFc79aSIvqnzkZNvwPstq829QYz_xALlO1Z0s8/edit?usp=sharing"",""นครศรีธรรมราช!I437"")"),0)</f>
        <v>0</v>
      </c>
      <c r="Y78" s="81">
        <f ca="1">IFERROR(__xludf.DUMMYFUNCTION("IMPORTRANGE(""https://docs.google.com/spreadsheets/d/1T5rRTzFc79aSIvqnzkZNvwPstq829QYz_xALlO1Z0s8/edit?usp=sharing"",""นครศรีธรรมราช!I438"")"),0)</f>
        <v>0</v>
      </c>
      <c r="Z78" s="81">
        <f ca="1">IFERROR(__xludf.DUMMYFUNCTION("IMPORTRANGE(""https://docs.google.com/spreadsheets/d/1T5rRTzFc79aSIvqnzkZNvwPstq829QYz_xALlO1Z0s8/edit?usp=sharing"",""นครศรีธรรมราช!J437"")"),0)</f>
        <v>0</v>
      </c>
      <c r="AA78" s="82">
        <f t="shared" ca="1" si="27"/>
        <v>0</v>
      </c>
      <c r="AB78" s="81">
        <f ca="1">IFERROR(__xludf.DUMMYFUNCTION("IMPORTRANGE(""https://docs.google.com/spreadsheets/d/1T5rRTzFc79aSIvqnzkZNvwPstq829QYz_xALlO1Z0s8/edit?usp=sharing"",""นครศรีธรรมราช!J438"")"),0)</f>
        <v>0</v>
      </c>
      <c r="AC78" s="82">
        <f t="shared" ca="1" si="12"/>
        <v>0</v>
      </c>
      <c r="AD78" s="81">
        <f ca="1">IFERROR(__xludf.DUMMYFUNCTION("IMPORTRANGE(""https://docs.google.com/spreadsheets/d/1T5rRTzFc79aSIvqnzkZNvwPstq829QYz_xALlO1Z0s8/edit?usp=sharing"",""นครศรีธรรมราช!I439"")"),20)</f>
        <v>20</v>
      </c>
      <c r="AE78" s="81">
        <f ca="1">IFERROR(__xludf.DUMMYFUNCTION("IMPORTRANGE(""https://docs.google.com/spreadsheets/d/1T5rRTzFc79aSIvqnzkZNvwPstq829QYz_xALlO1Z0s8/edit?usp=sharing"",""นครศรีธรรมราช!I440"")"),1)</f>
        <v>1</v>
      </c>
      <c r="AF78" s="81">
        <f ca="1">IFERROR(__xludf.DUMMYFUNCTION("IMPORTRANGE(""https://docs.google.com/spreadsheets/d/1T5rRTzFc79aSIvqnzkZNvwPstq829QYz_xALlO1Z0s8/edit?usp=sharing"",""นครศรีธรรมราช!J439"")"),0)</f>
        <v>0</v>
      </c>
      <c r="AG78" s="82">
        <f t="shared" ca="1" si="28"/>
        <v>0</v>
      </c>
      <c r="AH78" s="81">
        <f ca="1">IFERROR(__xludf.DUMMYFUNCTION("IMPORTRANGE(""https://docs.google.com/spreadsheets/d/1T5rRTzFc79aSIvqnzkZNvwPstq829QYz_xALlO1Z0s8/edit?usp=sharing"",""นครศรีธรรมราช!J440"")"),0)</f>
        <v>0</v>
      </c>
      <c r="AI78" s="82">
        <f t="shared" ca="1" si="15"/>
        <v>0</v>
      </c>
      <c r="AJ78" s="81">
        <f ca="1">IFERROR(__xludf.DUMMYFUNCTION("IMPORTRANGE(""https://docs.google.com/spreadsheets/d/1T5rRTzFc79aSIvqnzkZNvwPstq829QYz_xALlO1Z0s8/edit?usp=sharing"",""นครศรีธรรมราช!I441"")"),0)</f>
        <v>0</v>
      </c>
      <c r="AK78" s="81">
        <f ca="1">IFERROR(__xludf.DUMMYFUNCTION("IMPORTRANGE(""https://docs.google.com/spreadsheets/d/1T5rRTzFc79aSIvqnzkZNvwPstq829QYz_xALlO1Z0s8/edit?usp=sharing"",""นครศรีธรรมราช!J441"")"),0)</f>
        <v>0</v>
      </c>
      <c r="AL78" s="82">
        <f t="shared" ca="1" si="29"/>
        <v>0</v>
      </c>
    </row>
    <row r="79" spans="1:38" ht="21" customHeight="1" x14ac:dyDescent="0.2">
      <c r="A79" s="72">
        <v>5</v>
      </c>
      <c r="B79" s="73" t="s">
        <v>96</v>
      </c>
      <c r="C79" s="74">
        <f t="shared" ca="1" si="65"/>
        <v>98660</v>
      </c>
      <c r="D79" s="75">
        <f ca="1">IFERROR(__xludf.DUMMYFUNCTION("IMPORTRANGE(""https://docs.google.com/spreadsheets/d/1BeghqumK0IvCmRd2QOy6_afsZq7ZtAGrSnVJy2u7WmY/edit?usp=sharing"",""นราธิวาส!L424"")"),98660)</f>
        <v>98660</v>
      </c>
      <c r="E79" s="76">
        <f ca="1">IFERROR(__xludf.DUMMYFUNCTION("IMPORTRANGE(""https://docs.google.com/spreadsheets/d/1BeghqumK0IvCmRd2QOy6_afsZq7ZtAGrSnVJy2u7WmY/edit?usp=sharing"",""นราธิวาส!L431"")"),0)</f>
        <v>0</v>
      </c>
      <c r="F79" s="77">
        <f t="shared" ca="1" si="1"/>
        <v>40700</v>
      </c>
      <c r="G79" s="78">
        <f t="shared" ca="1" si="2"/>
        <v>41.252787350496654</v>
      </c>
      <c r="H79" s="79">
        <f t="shared" ca="1" si="66"/>
        <v>40700</v>
      </c>
      <c r="I79" s="76">
        <f ca="1">IFERROR(__xludf.DUMMYFUNCTION("IMPORTRANGE(""https://docs.google.com/spreadsheets/d/1BeghqumK0IvCmRd2QOy6_afsZq7ZtAGrSnVJy2u7WmY/edit?usp=sharing"",""นราธิวาส!N425"")"),3780)</f>
        <v>3780</v>
      </c>
      <c r="J79" s="76">
        <f ca="1">IFERROR(__xludf.DUMMYFUNCTION("IMPORTRANGE(""https://docs.google.com/spreadsheets/d/1BeghqumK0IvCmRd2QOy6_afsZq7ZtAGrSnVJy2u7WmY/edit?usp=sharing"",""นราธิวาส!N426"")"),0)</f>
        <v>0</v>
      </c>
      <c r="K79" s="76">
        <f ca="1">IFERROR(__xludf.DUMMYFUNCTION("IMPORTRANGE(""https://docs.google.com/spreadsheets/d/1BeghqumK0IvCmRd2QOy6_afsZq7ZtAGrSnVJy2u7WmY/edit?usp=sharing"",""นราธิวาส!N427"")"),0)</f>
        <v>0</v>
      </c>
      <c r="L79" s="76">
        <f ca="1">IFERROR(__xludf.DUMMYFUNCTION("IMPORTRANGE(""https://docs.google.com/spreadsheets/d/1BeghqumK0IvCmRd2QOy6_afsZq7ZtAGrSnVJy2u7WmY/edit?usp=sharing"",""นราธิวาส!N428"")"),36920)</f>
        <v>36920</v>
      </c>
      <c r="M79" s="80">
        <f ca="1">IFERROR(__xludf.DUMMYFUNCTION("IMPORTRANGE(""https://docs.google.com/spreadsheets/d/1BeghqumK0IvCmRd2QOy6_afsZq7ZtAGrSnVJy2u7WmY/edit?usp=sharing"",""นราธิวาส!N431"")"),0)</f>
        <v>0</v>
      </c>
      <c r="N79" s="80">
        <f t="shared" ca="1" si="32"/>
        <v>0</v>
      </c>
      <c r="O79" s="81">
        <f ca="1">IFERROR(__xludf.DUMMYFUNCTION("IMPORTRANGE(""https://docs.google.com/spreadsheets/d/1BeghqumK0IvCmRd2QOy6_afsZq7ZtAGrSnVJy2u7WmY/edit?usp=sharing"",""นราธิวาส!I433"")"),15)</f>
        <v>15</v>
      </c>
      <c r="P79" s="81">
        <f ca="1">IFERROR(__xludf.DUMMYFUNCTION("IMPORTRANGE(""https://docs.google.com/spreadsheets/d/1BeghqumK0IvCmRd2QOy6_afsZq7ZtAGrSnVJy2u7WmY/edit?usp=sharing"",""นราธิวาส!I434"")"),1)</f>
        <v>1</v>
      </c>
      <c r="Q79" s="81">
        <f ca="1">IFERROR(__xludf.DUMMYFUNCTION("IMPORTRANGE(""https://docs.google.com/spreadsheets/d/1BeghqumK0IvCmRd2QOy6_afsZq7ZtAGrSnVJy2u7WmY/edit?usp=sharing"",""นราธิวาส!J433"")"),0)</f>
        <v>0</v>
      </c>
      <c r="R79" s="82">
        <f t="shared" ca="1" si="25"/>
        <v>0</v>
      </c>
      <c r="S79" s="81">
        <f ca="1">IFERROR(__xludf.DUMMYFUNCTION("IMPORTRANGE(""https://docs.google.com/spreadsheets/d/1BeghqumK0IvCmRd2QOy6_afsZq7ZtAGrSnVJy2u7WmY/edit?usp=sharing"",""นราธิวาส!J434"")"),0)</f>
        <v>0</v>
      </c>
      <c r="T79" s="82">
        <f t="shared" ca="1" si="7"/>
        <v>0</v>
      </c>
      <c r="U79" s="81">
        <f ca="1">IFERROR(__xludf.DUMMYFUNCTION("IMPORTRANGE(""https://docs.google.com/spreadsheets/d/1BeghqumK0IvCmRd2QOy6_afsZq7ZtAGrSnVJy2u7WmY/edit?usp=sharing"",""นราธิวาส!I435"")"),15)</f>
        <v>15</v>
      </c>
      <c r="V79" s="81">
        <f ca="1">IFERROR(__xludf.DUMMYFUNCTION("IMPORTRANGE(""https://docs.google.com/spreadsheets/d/1BeghqumK0IvCmRd2QOy6_afsZq7ZtAGrSnVJy2u7WmY/edit?usp=sharing"",""นราธิวาส!J435"")"),15)</f>
        <v>15</v>
      </c>
      <c r="W79" s="82">
        <f t="shared" ca="1" si="26"/>
        <v>100</v>
      </c>
      <c r="X79" s="81">
        <f ca="1">IFERROR(__xludf.DUMMYFUNCTION("IMPORTRANGE(""https://docs.google.com/spreadsheets/d/1BeghqumK0IvCmRd2QOy6_afsZq7ZtAGrSnVJy2u7WmY/edit?usp=sharing"",""นราธิวาส!I437"")"),0)</f>
        <v>0</v>
      </c>
      <c r="Y79" s="81">
        <f ca="1">IFERROR(__xludf.DUMMYFUNCTION("IMPORTRANGE(""https://docs.google.com/spreadsheets/d/1BeghqumK0IvCmRd2QOy6_afsZq7ZtAGrSnVJy2u7WmY/edit?usp=sharing"",""นราธิวาส!I438"")"),0)</f>
        <v>0</v>
      </c>
      <c r="Z79" s="81">
        <f ca="1">IFERROR(__xludf.DUMMYFUNCTION("IMPORTRANGE(""https://docs.google.com/spreadsheets/d/1BeghqumK0IvCmRd2QOy6_afsZq7ZtAGrSnVJy2u7WmY/edit?usp=sharing"",""นราธิวาส!J437"")"),0)</f>
        <v>0</v>
      </c>
      <c r="AA79" s="82">
        <f t="shared" ca="1" si="27"/>
        <v>0</v>
      </c>
      <c r="AB79" s="81">
        <f ca="1">IFERROR(__xludf.DUMMYFUNCTION("IMPORTRANGE(""https://docs.google.com/spreadsheets/d/1BeghqumK0IvCmRd2QOy6_afsZq7ZtAGrSnVJy2u7WmY/edit?usp=sharing"",""นราธิวาส!J438"")"),0)</f>
        <v>0</v>
      </c>
      <c r="AC79" s="82">
        <f t="shared" ca="1" si="12"/>
        <v>0</v>
      </c>
      <c r="AD79" s="81">
        <f ca="1">IFERROR(__xludf.DUMMYFUNCTION("IMPORTRANGE(""https://docs.google.com/spreadsheets/d/1BeghqumK0IvCmRd2QOy6_afsZq7ZtAGrSnVJy2u7WmY/edit?usp=sharing"",""นราธิวาส!I439"")"),15)</f>
        <v>15</v>
      </c>
      <c r="AE79" s="81">
        <f ca="1">IFERROR(__xludf.DUMMYFUNCTION("IMPORTRANGE(""https://docs.google.com/spreadsheets/d/1BeghqumK0IvCmRd2QOy6_afsZq7ZtAGrSnVJy2u7WmY/edit?usp=sharing"",""นราธิวาส!I440"")"),1)</f>
        <v>1</v>
      </c>
      <c r="AF79" s="81">
        <f ca="1">IFERROR(__xludf.DUMMYFUNCTION("IMPORTRANGE(""https://docs.google.com/spreadsheets/d/1BeghqumK0IvCmRd2QOy6_afsZq7ZtAGrSnVJy2u7WmY/edit?usp=sharing"",""นราธิวาส!J439"")"),0)</f>
        <v>0</v>
      </c>
      <c r="AG79" s="82">
        <f t="shared" ca="1" si="28"/>
        <v>0</v>
      </c>
      <c r="AH79" s="81">
        <f ca="1">IFERROR(__xludf.DUMMYFUNCTION("IMPORTRANGE(""https://docs.google.com/spreadsheets/d/1BeghqumK0IvCmRd2QOy6_afsZq7ZtAGrSnVJy2u7WmY/edit?usp=sharing"",""นราธิวาส!J440"")"),0)</f>
        <v>0</v>
      </c>
      <c r="AI79" s="82">
        <f t="shared" ca="1" si="15"/>
        <v>0</v>
      </c>
      <c r="AJ79" s="81">
        <f ca="1">IFERROR(__xludf.DUMMYFUNCTION("IMPORTRANGE(""https://docs.google.com/spreadsheets/d/1BeghqumK0IvCmRd2QOy6_afsZq7ZtAGrSnVJy2u7WmY/edit?usp=sharing"",""นราธิวาส!I441"")"),0)</f>
        <v>0</v>
      </c>
      <c r="AK79" s="81">
        <f ca="1">IFERROR(__xludf.DUMMYFUNCTION("IMPORTRANGE(""https://docs.google.com/spreadsheets/d/1BeghqumK0IvCmRd2QOy6_afsZq7ZtAGrSnVJy2u7WmY/edit?usp=sharing"",""นราธิวาส!J441"")"),0)</f>
        <v>0</v>
      </c>
      <c r="AL79" s="82">
        <f t="shared" ca="1" si="29"/>
        <v>0</v>
      </c>
    </row>
    <row r="80" spans="1:38" ht="21" customHeight="1" x14ac:dyDescent="0.2">
      <c r="A80" s="72">
        <v>6</v>
      </c>
      <c r="B80" s="73" t="s">
        <v>97</v>
      </c>
      <c r="C80" s="74">
        <f t="shared" ca="1" si="65"/>
        <v>66560</v>
      </c>
      <c r="D80" s="75">
        <f ca="1">IFERROR(__xludf.DUMMYFUNCTION("IMPORTRANGE(""https://docs.google.com/spreadsheets/d/1IwnW3-jjRf74MCLW-6PiFwMUffRQXZwZA7YM609NmRc/edit?usp=sharing"",""ปัตตานี!L424"")"),66560)</f>
        <v>66560</v>
      </c>
      <c r="E80" s="76">
        <f ca="1">IFERROR(__xludf.DUMMYFUNCTION("IMPORTRANGE(""https://docs.google.com/spreadsheets/d/1IwnW3-jjRf74MCLW-6PiFwMUffRQXZwZA7YM609NmRc/edit?usp=sharing"",""ปัตตานี!L431"")"),0)</f>
        <v>0</v>
      </c>
      <c r="F80" s="77">
        <f t="shared" ca="1" si="1"/>
        <v>10220</v>
      </c>
      <c r="G80" s="78">
        <f t="shared" ca="1" si="2"/>
        <v>15.354567307692308</v>
      </c>
      <c r="H80" s="79">
        <f t="shared" ca="1" si="66"/>
        <v>10220</v>
      </c>
      <c r="I80" s="76">
        <f ca="1">IFERROR(__xludf.DUMMYFUNCTION("IMPORTRANGE(""https://docs.google.com/spreadsheets/d/1IwnW3-jjRf74MCLW-6PiFwMUffRQXZwZA7YM609NmRc/edit?usp=sharing"",""ปัตตานี!N425"")"),0)</f>
        <v>0</v>
      </c>
      <c r="J80" s="76">
        <f ca="1">IFERROR(__xludf.DUMMYFUNCTION("IMPORTRANGE(""https://docs.google.com/spreadsheets/d/1IwnW3-jjRf74MCLW-6PiFwMUffRQXZwZA7YM609NmRc/edit?usp=sharing"",""ปัตตานี!N426"")"),0)</f>
        <v>0</v>
      </c>
      <c r="K80" s="76">
        <f ca="1">IFERROR(__xludf.DUMMYFUNCTION("IMPORTRANGE(""https://docs.google.com/spreadsheets/d/1IwnW3-jjRf74MCLW-6PiFwMUffRQXZwZA7YM609NmRc/edit?usp=sharing"",""ปัตตานี!N427"")"),0)</f>
        <v>0</v>
      </c>
      <c r="L80" s="76">
        <f ca="1">IFERROR(__xludf.DUMMYFUNCTION("IMPORTRANGE(""https://docs.google.com/spreadsheets/d/1IwnW3-jjRf74MCLW-6PiFwMUffRQXZwZA7YM609NmRc/edit?usp=sharing"",""ปัตตานี!N428"")"),10220)</f>
        <v>10220</v>
      </c>
      <c r="M80" s="80">
        <f ca="1">IFERROR(__xludf.DUMMYFUNCTION("IMPORTRANGE(""https://docs.google.com/spreadsheets/d/1IwnW3-jjRf74MCLW-6PiFwMUffRQXZwZA7YM609NmRc/edit?usp=sharing"",""ปัตตานี!N431"")"),0)</f>
        <v>0</v>
      </c>
      <c r="N80" s="80">
        <f t="shared" ca="1" si="32"/>
        <v>0</v>
      </c>
      <c r="O80" s="81">
        <f ca="1">IFERROR(__xludf.DUMMYFUNCTION("IMPORTRANGE(""https://docs.google.com/spreadsheets/d/1IwnW3-jjRf74MCLW-6PiFwMUffRQXZwZA7YM609NmRc/edit?usp=sharing"",""ปัตตานี!I433"")"),15)</f>
        <v>15</v>
      </c>
      <c r="P80" s="81">
        <f ca="1">IFERROR(__xludf.DUMMYFUNCTION("IMPORTRANGE(""https://docs.google.com/spreadsheets/d/1IwnW3-jjRf74MCLW-6PiFwMUffRQXZwZA7YM609NmRc/edit?usp=sharing"",""ปัตตานี!I434"")"),1)</f>
        <v>1</v>
      </c>
      <c r="Q80" s="81">
        <f ca="1">IFERROR(__xludf.DUMMYFUNCTION("IMPORTRANGE(""https://docs.google.com/spreadsheets/d/1IwnW3-jjRf74MCLW-6PiFwMUffRQXZwZA7YM609NmRc/edit?usp=sharing"",""ปัตตานี!J433"")"),0)</f>
        <v>0</v>
      </c>
      <c r="R80" s="82">
        <f t="shared" ca="1" si="25"/>
        <v>0</v>
      </c>
      <c r="S80" s="81">
        <f ca="1">IFERROR(__xludf.DUMMYFUNCTION("IMPORTRANGE(""https://docs.google.com/spreadsheets/d/1IwnW3-jjRf74MCLW-6PiFwMUffRQXZwZA7YM609NmRc/edit?usp=sharing"",""ปัตตานี!J434"")"),0)</f>
        <v>0</v>
      </c>
      <c r="T80" s="82">
        <f t="shared" ca="1" si="7"/>
        <v>0</v>
      </c>
      <c r="U80" s="81">
        <f ca="1">IFERROR(__xludf.DUMMYFUNCTION("IMPORTRANGE(""https://docs.google.com/spreadsheets/d/1IwnW3-jjRf74MCLW-6PiFwMUffRQXZwZA7YM609NmRc/edit?usp=sharing"",""ปัตตานี!I435"")"),15)</f>
        <v>15</v>
      </c>
      <c r="V80" s="81">
        <f ca="1">IFERROR(__xludf.DUMMYFUNCTION("IMPORTRANGE(""https://docs.google.com/spreadsheets/d/1IwnW3-jjRf74MCLW-6PiFwMUffRQXZwZA7YM609NmRc/edit?usp=sharing"",""ปัตตานี!J435"")"),0)</f>
        <v>0</v>
      </c>
      <c r="W80" s="82">
        <f t="shared" ca="1" si="26"/>
        <v>0</v>
      </c>
      <c r="X80" s="81">
        <f ca="1">IFERROR(__xludf.DUMMYFUNCTION("IMPORTRANGE(""https://docs.google.com/spreadsheets/d/1IwnW3-jjRf74MCLW-6PiFwMUffRQXZwZA7YM609NmRc/edit?usp=sharing"",""ปัตตานี!I437"")"),0)</f>
        <v>0</v>
      </c>
      <c r="Y80" s="81">
        <f ca="1">IFERROR(__xludf.DUMMYFUNCTION("IMPORTRANGE(""https://docs.google.com/spreadsheets/d/1IwnW3-jjRf74MCLW-6PiFwMUffRQXZwZA7YM609NmRc/edit?usp=sharing"",""ปัตตานี!I438"")"),0)</f>
        <v>0</v>
      </c>
      <c r="Z80" s="81">
        <f ca="1">IFERROR(__xludf.DUMMYFUNCTION("IMPORTRANGE(""https://docs.google.com/spreadsheets/d/1IwnW3-jjRf74MCLW-6PiFwMUffRQXZwZA7YM609NmRc/edit?usp=sharing"",""ปัตตานี!J437"")"),0)</f>
        <v>0</v>
      </c>
      <c r="AA80" s="82">
        <f t="shared" ca="1" si="27"/>
        <v>0</v>
      </c>
      <c r="AB80" s="81">
        <f ca="1">IFERROR(__xludf.DUMMYFUNCTION("IMPORTRANGE(""https://docs.google.com/spreadsheets/d/1IwnW3-jjRf74MCLW-6PiFwMUffRQXZwZA7YM609NmRc/edit?usp=sharing"",""ปัตตานี!J438"")"),0)</f>
        <v>0</v>
      </c>
      <c r="AC80" s="82">
        <f t="shared" ca="1" si="12"/>
        <v>0</v>
      </c>
      <c r="AD80" s="81">
        <f ca="1">IFERROR(__xludf.DUMMYFUNCTION("IMPORTRANGE(""https://docs.google.com/spreadsheets/d/1IwnW3-jjRf74MCLW-6PiFwMUffRQXZwZA7YM609NmRc/edit?usp=sharing"",""ปัตตานี!I439"")"),15)</f>
        <v>15</v>
      </c>
      <c r="AE80" s="81">
        <f ca="1">IFERROR(__xludf.DUMMYFUNCTION("IMPORTRANGE(""https://docs.google.com/spreadsheets/d/1IwnW3-jjRf74MCLW-6PiFwMUffRQXZwZA7YM609NmRc/edit?usp=sharing"",""ปัตตานี!I440"")"),1)</f>
        <v>1</v>
      </c>
      <c r="AF80" s="81">
        <f ca="1">IFERROR(__xludf.DUMMYFUNCTION("IMPORTRANGE(""https://docs.google.com/spreadsheets/d/1IwnW3-jjRf74MCLW-6PiFwMUffRQXZwZA7YM609NmRc/edit?usp=sharing"",""ปัตตานี!J439"")"),0)</f>
        <v>0</v>
      </c>
      <c r="AG80" s="82">
        <f t="shared" ca="1" si="28"/>
        <v>0</v>
      </c>
      <c r="AH80" s="81">
        <f ca="1">IFERROR(__xludf.DUMMYFUNCTION("IMPORTRANGE(""https://docs.google.com/spreadsheets/d/1IwnW3-jjRf74MCLW-6PiFwMUffRQXZwZA7YM609NmRc/edit?usp=sharing"",""ปัตตานี!J440"")"),0)</f>
        <v>0</v>
      </c>
      <c r="AI80" s="82">
        <f t="shared" ca="1" si="15"/>
        <v>0</v>
      </c>
      <c r="AJ80" s="81">
        <f ca="1">IFERROR(__xludf.DUMMYFUNCTION("IMPORTRANGE(""https://docs.google.com/spreadsheets/d/1IwnW3-jjRf74MCLW-6PiFwMUffRQXZwZA7YM609NmRc/edit?usp=sharing"",""ปัตตานี!I441"")"),0)</f>
        <v>0</v>
      </c>
      <c r="AK80" s="81">
        <f ca="1">IFERROR(__xludf.DUMMYFUNCTION("IMPORTRANGE(""https://docs.google.com/spreadsheets/d/1IwnW3-jjRf74MCLW-6PiFwMUffRQXZwZA7YM609NmRc/edit?usp=sharing"",""ปัตตานี!J441"")"),0)</f>
        <v>0</v>
      </c>
      <c r="AL80" s="82">
        <f t="shared" ca="1" si="29"/>
        <v>0</v>
      </c>
    </row>
    <row r="81" spans="1:38" ht="21" customHeight="1" x14ac:dyDescent="0.2">
      <c r="A81" s="72">
        <v>7</v>
      </c>
      <c r="B81" s="73" t="s">
        <v>98</v>
      </c>
      <c r="C81" s="74">
        <f t="shared" ca="1" si="65"/>
        <v>78660</v>
      </c>
      <c r="D81" s="75">
        <f ca="1">IFERROR(__xludf.DUMMYFUNCTION("IMPORTRANGE(""https://docs.google.com/spreadsheets/d/1vl4QWbWdFruual5o_wdo6ZSqXZ_it806oja4CctTLKs/edit?usp=sharing"",""พังงา!L424"")"),78660)</f>
        <v>78660</v>
      </c>
      <c r="E81" s="76">
        <f ca="1">IFERROR(__xludf.DUMMYFUNCTION("IMPORTRANGE(""https://docs.google.com/spreadsheets/d/1vl4QWbWdFruual5o_wdo6ZSqXZ_it806oja4CctTLKs/edit?usp=sharing"",""พังงา!L431"")"),0)</f>
        <v>0</v>
      </c>
      <c r="F81" s="77">
        <f t="shared" ca="1" si="1"/>
        <v>2230</v>
      </c>
      <c r="G81" s="78">
        <f t="shared" ca="1" si="2"/>
        <v>2.8349860157640476</v>
      </c>
      <c r="H81" s="79">
        <f t="shared" ca="1" si="66"/>
        <v>2230</v>
      </c>
      <c r="I81" s="76">
        <f ca="1">IFERROR(__xludf.DUMMYFUNCTION("IMPORTRANGE(""https://docs.google.com/spreadsheets/d/1vl4QWbWdFruual5o_wdo6ZSqXZ_it806oja4CctTLKs/edit?usp=sharing"",""พังงา!N425"")"),0)</f>
        <v>0</v>
      </c>
      <c r="J81" s="76">
        <f ca="1">IFERROR(__xludf.DUMMYFUNCTION("IMPORTRANGE(""https://docs.google.com/spreadsheets/d/1vl4QWbWdFruual5o_wdo6ZSqXZ_it806oja4CctTLKs/edit?usp=sharing"",""พังงา!N426"")"),0)</f>
        <v>0</v>
      </c>
      <c r="K81" s="76">
        <f ca="1">IFERROR(__xludf.DUMMYFUNCTION("IMPORTRANGE(""https://docs.google.com/spreadsheets/d/1vl4QWbWdFruual5o_wdo6ZSqXZ_it806oja4CctTLKs/edit?usp=sharing"",""พังงา!N427"")"),0)</f>
        <v>0</v>
      </c>
      <c r="L81" s="76">
        <f ca="1">IFERROR(__xludf.DUMMYFUNCTION("IMPORTRANGE(""https://docs.google.com/spreadsheets/d/1vl4QWbWdFruual5o_wdo6ZSqXZ_it806oja4CctTLKs/edit?usp=sharing"",""พังงา!N428"")"),2230)</f>
        <v>2230</v>
      </c>
      <c r="M81" s="80">
        <f ca="1">IFERROR(__xludf.DUMMYFUNCTION("IMPORTRANGE(""https://docs.google.com/spreadsheets/d/1vl4QWbWdFruual5o_wdo6ZSqXZ_it806oja4CctTLKs/edit?usp=sharing"",""พังงา!N431"")"),0)</f>
        <v>0</v>
      </c>
      <c r="N81" s="80">
        <f t="shared" ca="1" si="32"/>
        <v>0</v>
      </c>
      <c r="O81" s="81">
        <f ca="1">IFERROR(__xludf.DUMMYFUNCTION("IMPORTRANGE(""https://docs.google.com/spreadsheets/d/1vl4QWbWdFruual5o_wdo6ZSqXZ_it806oja4CctTLKs/edit?usp=sharing"",""พังงา!I433"")"),20)</f>
        <v>20</v>
      </c>
      <c r="P81" s="81">
        <f ca="1">IFERROR(__xludf.DUMMYFUNCTION("IMPORTRANGE(""https://docs.google.com/spreadsheets/d/1vl4QWbWdFruual5o_wdo6ZSqXZ_it806oja4CctTLKs/edit?usp=sharing"",""พังงา!I434"")"),1)</f>
        <v>1</v>
      </c>
      <c r="Q81" s="81">
        <f ca="1">IFERROR(__xludf.DUMMYFUNCTION("IMPORTRANGE(""https://docs.google.com/spreadsheets/d/1vl4QWbWdFruual5o_wdo6ZSqXZ_it806oja4CctTLKs/edit?usp=sharing"",""พังงา!J433"")"),0)</f>
        <v>0</v>
      </c>
      <c r="R81" s="82">
        <f t="shared" ca="1" si="25"/>
        <v>0</v>
      </c>
      <c r="S81" s="81">
        <f ca="1">IFERROR(__xludf.DUMMYFUNCTION("IMPORTRANGE(""https://docs.google.com/spreadsheets/d/1vl4QWbWdFruual5o_wdo6ZSqXZ_it806oja4CctTLKs/edit?usp=sharing"",""พังงา!J434"")"),0)</f>
        <v>0</v>
      </c>
      <c r="T81" s="82">
        <f t="shared" ca="1" si="7"/>
        <v>0</v>
      </c>
      <c r="U81" s="81">
        <f ca="1">IFERROR(__xludf.DUMMYFUNCTION("IMPORTRANGE(""https://docs.google.com/spreadsheets/d/1vl4QWbWdFruual5o_wdo6ZSqXZ_it806oja4CctTLKs/edit?usp=sharing"",""พังงา!I435"")"),20)</f>
        <v>20</v>
      </c>
      <c r="V81" s="81">
        <f ca="1">IFERROR(__xludf.DUMMYFUNCTION("IMPORTRANGE(""https://docs.google.com/spreadsheets/d/1vl4QWbWdFruual5o_wdo6ZSqXZ_it806oja4CctTLKs/edit?usp=sharing"",""พังงา!J435"")"),0)</f>
        <v>0</v>
      </c>
      <c r="W81" s="82">
        <f t="shared" ca="1" si="26"/>
        <v>0</v>
      </c>
      <c r="X81" s="81">
        <f ca="1">IFERROR(__xludf.DUMMYFUNCTION("IMPORTRANGE(""https://docs.google.com/spreadsheets/d/1vl4QWbWdFruual5o_wdo6ZSqXZ_it806oja4CctTLKs/edit?usp=sharing"",""พังงา!I437"")"),0)</f>
        <v>0</v>
      </c>
      <c r="Y81" s="81">
        <f ca="1">IFERROR(__xludf.DUMMYFUNCTION("IMPORTRANGE(""https://docs.google.com/spreadsheets/d/1vl4QWbWdFruual5o_wdo6ZSqXZ_it806oja4CctTLKs/edit?usp=sharing"",""พังงา!I438"")"),0)</f>
        <v>0</v>
      </c>
      <c r="Z81" s="81">
        <f ca="1">IFERROR(__xludf.DUMMYFUNCTION("IMPORTRANGE(""https://docs.google.com/spreadsheets/d/1vl4QWbWdFruual5o_wdo6ZSqXZ_it806oja4CctTLKs/edit?usp=sharing"",""พังงา!J437"")"),0)</f>
        <v>0</v>
      </c>
      <c r="AA81" s="82">
        <f t="shared" ca="1" si="27"/>
        <v>0</v>
      </c>
      <c r="AB81" s="81">
        <f ca="1">IFERROR(__xludf.DUMMYFUNCTION("IMPORTRANGE(""https://docs.google.com/spreadsheets/d/1vl4QWbWdFruual5o_wdo6ZSqXZ_it806oja4CctTLKs/edit?usp=sharing"",""พังงา!J438"")"),0)</f>
        <v>0</v>
      </c>
      <c r="AC81" s="82">
        <f t="shared" ca="1" si="12"/>
        <v>0</v>
      </c>
      <c r="AD81" s="81">
        <f ca="1">IFERROR(__xludf.DUMMYFUNCTION("IMPORTRANGE(""https://docs.google.com/spreadsheets/d/1vl4QWbWdFruual5o_wdo6ZSqXZ_it806oja4CctTLKs/edit?usp=sharing"",""พังงา!I439"")"),20)</f>
        <v>20</v>
      </c>
      <c r="AE81" s="81">
        <f ca="1">IFERROR(__xludf.DUMMYFUNCTION("IMPORTRANGE(""https://docs.google.com/spreadsheets/d/1vl4QWbWdFruual5o_wdo6ZSqXZ_it806oja4CctTLKs/edit?usp=sharing"",""พังงา!I440"")"),1)</f>
        <v>1</v>
      </c>
      <c r="AF81" s="81">
        <f ca="1">IFERROR(__xludf.DUMMYFUNCTION("IMPORTRANGE(""https://docs.google.com/spreadsheets/d/1vl4QWbWdFruual5o_wdo6ZSqXZ_it806oja4CctTLKs/edit?usp=sharing"",""พังงา!J439"")"),0)</f>
        <v>0</v>
      </c>
      <c r="AG81" s="82">
        <f t="shared" ca="1" si="28"/>
        <v>0</v>
      </c>
      <c r="AH81" s="81">
        <f ca="1">IFERROR(__xludf.DUMMYFUNCTION("IMPORTRANGE(""https://docs.google.com/spreadsheets/d/1vl4QWbWdFruual5o_wdo6ZSqXZ_it806oja4CctTLKs/edit?usp=sharing"",""พังงา!J440"")"),0)</f>
        <v>0</v>
      </c>
      <c r="AI81" s="82">
        <f t="shared" ca="1" si="15"/>
        <v>0</v>
      </c>
      <c r="AJ81" s="81">
        <f ca="1">IFERROR(__xludf.DUMMYFUNCTION("IMPORTRANGE(""https://docs.google.com/spreadsheets/d/1vl4QWbWdFruual5o_wdo6ZSqXZ_it806oja4CctTLKs/edit?usp=sharing"",""พังงา!I441"")"),0)</f>
        <v>0</v>
      </c>
      <c r="AK81" s="81">
        <f ca="1">IFERROR(__xludf.DUMMYFUNCTION("IMPORTRANGE(""https://docs.google.com/spreadsheets/d/1vl4QWbWdFruual5o_wdo6ZSqXZ_it806oja4CctTLKs/edit?usp=sharing"",""พังงา!J441"")"),0)</f>
        <v>0</v>
      </c>
      <c r="AL81" s="82">
        <f t="shared" ca="1" si="29"/>
        <v>0</v>
      </c>
    </row>
    <row r="82" spans="1:38" ht="21" customHeight="1" x14ac:dyDescent="0.2">
      <c r="A82" s="72">
        <v>8</v>
      </c>
      <c r="B82" s="73" t="s">
        <v>99</v>
      </c>
      <c r="C82" s="74">
        <f t="shared" ca="1" si="65"/>
        <v>92760</v>
      </c>
      <c r="D82" s="75">
        <f ca="1">IFERROR(__xludf.DUMMYFUNCTION("IMPORTRANGE(""https://docs.google.com/spreadsheets/d/1b6QssHQp2FoAPSMKHOy273KNzAomaIKhtdlvuZ_zDNE/edit?usp=sharing"",""พัทลุง!L424"")"),92760)</f>
        <v>92760</v>
      </c>
      <c r="E82" s="76">
        <f ca="1">IFERROR(__xludf.DUMMYFUNCTION("IMPORTRANGE(""https://docs.google.com/spreadsheets/d/1b6QssHQp2FoAPSMKHOy273KNzAomaIKhtdlvuZ_zDNE/edit?usp=sharing"",""พัทลุง!L431"")"),0)</f>
        <v>0</v>
      </c>
      <c r="F82" s="77">
        <f t="shared" ca="1" si="1"/>
        <v>76710</v>
      </c>
      <c r="G82" s="78">
        <f t="shared" ca="1" si="2"/>
        <v>82.69728331177231</v>
      </c>
      <c r="H82" s="79">
        <f t="shared" ca="1" si="66"/>
        <v>76710</v>
      </c>
      <c r="I82" s="76">
        <f ca="1">IFERROR(__xludf.DUMMYFUNCTION("IMPORTRANGE(""https://docs.google.com/spreadsheets/d/1b6QssHQp2FoAPSMKHOy273KNzAomaIKhtdlvuZ_zDNE/edit?usp=sharing"",""พัทลุง!N425"")"),29600)</f>
        <v>29600</v>
      </c>
      <c r="J82" s="76">
        <f ca="1">IFERROR(__xludf.DUMMYFUNCTION("IMPORTRANGE(""https://docs.google.com/spreadsheets/d/1b6QssHQp2FoAPSMKHOy273KNzAomaIKhtdlvuZ_zDNE/edit?usp=sharing"",""พัทลุง!N426"")"),0)</f>
        <v>0</v>
      </c>
      <c r="K82" s="76">
        <f ca="1">IFERROR(__xludf.DUMMYFUNCTION("IMPORTRANGE(""https://docs.google.com/spreadsheets/d/1b6QssHQp2FoAPSMKHOy273KNzAomaIKhtdlvuZ_zDNE/edit?usp=sharing"",""พัทลุง!N427"")"),0)</f>
        <v>0</v>
      </c>
      <c r="L82" s="76">
        <f ca="1">IFERROR(__xludf.DUMMYFUNCTION("IMPORTRANGE(""https://docs.google.com/spreadsheets/d/1b6QssHQp2FoAPSMKHOy273KNzAomaIKhtdlvuZ_zDNE/edit?usp=sharing"",""พัทลุง!N428"")"),47110)</f>
        <v>47110</v>
      </c>
      <c r="M82" s="80">
        <f ca="1">IFERROR(__xludf.DUMMYFUNCTION("IMPORTRANGE(""https://docs.google.com/spreadsheets/d/1b6QssHQp2FoAPSMKHOy273KNzAomaIKhtdlvuZ_zDNE/edit?usp=sharing"",""พัทลุง!N431"")"),0)</f>
        <v>0</v>
      </c>
      <c r="N82" s="80">
        <f t="shared" ca="1" si="32"/>
        <v>0</v>
      </c>
      <c r="O82" s="81">
        <f ca="1">IFERROR(__xludf.DUMMYFUNCTION("IMPORTRANGE(""https://docs.google.com/spreadsheets/d/1b6QssHQp2FoAPSMKHOy273KNzAomaIKhtdlvuZ_zDNE/edit?usp=sharing"",""พัทลุง!I433"")"),15)</f>
        <v>15</v>
      </c>
      <c r="P82" s="81">
        <f ca="1">IFERROR(__xludf.DUMMYFUNCTION("IMPORTRANGE(""https://docs.google.com/spreadsheets/d/1b6QssHQp2FoAPSMKHOy273KNzAomaIKhtdlvuZ_zDNE/edit?usp=sharing"",""พัทลุง!I434"")"),1)</f>
        <v>1</v>
      </c>
      <c r="Q82" s="81">
        <f ca="1">IFERROR(__xludf.DUMMYFUNCTION("IMPORTRANGE(""https://docs.google.com/spreadsheets/d/1b6QssHQp2FoAPSMKHOy273KNzAomaIKhtdlvuZ_zDNE/edit?usp=sharing"",""พัทลุง!J433"")"),0)</f>
        <v>0</v>
      </c>
      <c r="R82" s="82">
        <f t="shared" ca="1" si="25"/>
        <v>0</v>
      </c>
      <c r="S82" s="81">
        <f ca="1">IFERROR(__xludf.DUMMYFUNCTION("IMPORTRANGE(""https://docs.google.com/spreadsheets/d/1b6QssHQp2FoAPSMKHOy273KNzAomaIKhtdlvuZ_zDNE/edit?usp=sharing"",""พัทลุง!J434"")"),0)</f>
        <v>0</v>
      </c>
      <c r="T82" s="82">
        <f t="shared" ca="1" si="7"/>
        <v>0</v>
      </c>
      <c r="U82" s="81">
        <f ca="1">IFERROR(__xludf.DUMMYFUNCTION("IMPORTRANGE(""https://docs.google.com/spreadsheets/d/1b6QssHQp2FoAPSMKHOy273KNzAomaIKhtdlvuZ_zDNE/edit?usp=sharing"",""พัทลุง!I435"")"),15)</f>
        <v>15</v>
      </c>
      <c r="V82" s="81">
        <f ca="1">IFERROR(__xludf.DUMMYFUNCTION("IMPORTRANGE(""https://docs.google.com/spreadsheets/d/1b6QssHQp2FoAPSMKHOy273KNzAomaIKhtdlvuZ_zDNE/edit?usp=sharing"",""พัทลุง!J435"")"),15)</f>
        <v>15</v>
      </c>
      <c r="W82" s="82">
        <f t="shared" ca="1" si="26"/>
        <v>100</v>
      </c>
      <c r="X82" s="81">
        <f ca="1">IFERROR(__xludf.DUMMYFUNCTION("IMPORTRANGE(""https://docs.google.com/spreadsheets/d/1b6QssHQp2FoAPSMKHOy273KNzAomaIKhtdlvuZ_zDNE/edit?usp=sharing"",""พัทลุง!I437"")"),0)</f>
        <v>0</v>
      </c>
      <c r="Y82" s="81">
        <f ca="1">IFERROR(__xludf.DUMMYFUNCTION("IMPORTRANGE(""https://docs.google.com/spreadsheets/d/1b6QssHQp2FoAPSMKHOy273KNzAomaIKhtdlvuZ_zDNE/edit?usp=sharing"",""พัทลุง!I438"")"),0)</f>
        <v>0</v>
      </c>
      <c r="Z82" s="81">
        <f ca="1">IFERROR(__xludf.DUMMYFUNCTION("IMPORTRANGE(""https://docs.google.com/spreadsheets/d/1b6QssHQp2FoAPSMKHOy273KNzAomaIKhtdlvuZ_zDNE/edit?usp=sharing"",""พัทลุง!J437"")"),0)</f>
        <v>0</v>
      </c>
      <c r="AA82" s="82">
        <f t="shared" ca="1" si="27"/>
        <v>0</v>
      </c>
      <c r="AB82" s="81">
        <f ca="1">IFERROR(__xludf.DUMMYFUNCTION("IMPORTRANGE(""https://docs.google.com/spreadsheets/d/1b6QssHQp2FoAPSMKHOy273KNzAomaIKhtdlvuZ_zDNE/edit?usp=sharing"",""พัทลุง!J438"")"),0)</f>
        <v>0</v>
      </c>
      <c r="AC82" s="82">
        <f t="shared" ca="1" si="12"/>
        <v>0</v>
      </c>
      <c r="AD82" s="81">
        <f ca="1">IFERROR(__xludf.DUMMYFUNCTION("IMPORTRANGE(""https://docs.google.com/spreadsheets/d/1b6QssHQp2FoAPSMKHOy273KNzAomaIKhtdlvuZ_zDNE/edit?usp=sharing"",""พัทลุง!I439"")"),15)</f>
        <v>15</v>
      </c>
      <c r="AE82" s="81">
        <f ca="1">IFERROR(__xludf.DUMMYFUNCTION("IMPORTRANGE(""https://docs.google.com/spreadsheets/d/1b6QssHQp2FoAPSMKHOy273KNzAomaIKhtdlvuZ_zDNE/edit?usp=sharing"",""พัทลุง!I440"")"),1)</f>
        <v>1</v>
      </c>
      <c r="AF82" s="81">
        <f ca="1">IFERROR(__xludf.DUMMYFUNCTION("IMPORTRANGE(""https://docs.google.com/spreadsheets/d/1b6QssHQp2FoAPSMKHOy273KNzAomaIKhtdlvuZ_zDNE/edit?usp=sharing"",""พัทลุง!J439"")"),0)</f>
        <v>0</v>
      </c>
      <c r="AG82" s="82">
        <f t="shared" ca="1" si="28"/>
        <v>0</v>
      </c>
      <c r="AH82" s="81">
        <f ca="1">IFERROR(__xludf.DUMMYFUNCTION("IMPORTRANGE(""https://docs.google.com/spreadsheets/d/1b6QssHQp2FoAPSMKHOy273KNzAomaIKhtdlvuZ_zDNE/edit?usp=sharing"",""พัทลุง!J440"")"),0)</f>
        <v>0</v>
      </c>
      <c r="AI82" s="82">
        <f t="shared" ca="1" si="15"/>
        <v>0</v>
      </c>
      <c r="AJ82" s="81">
        <f ca="1">IFERROR(__xludf.DUMMYFUNCTION("IMPORTRANGE(""https://docs.google.com/spreadsheets/d/1b6QssHQp2FoAPSMKHOy273KNzAomaIKhtdlvuZ_zDNE/edit?usp=sharing"",""พัทลุง!I441"")"),0)</f>
        <v>0</v>
      </c>
      <c r="AK82" s="81">
        <f ca="1">IFERROR(__xludf.DUMMYFUNCTION("IMPORTRANGE(""https://docs.google.com/spreadsheets/d/1b6QssHQp2FoAPSMKHOy273KNzAomaIKhtdlvuZ_zDNE/edit?usp=sharing"",""พัทลุง!J441"")"),0)</f>
        <v>0</v>
      </c>
      <c r="AL82" s="82">
        <f t="shared" ca="1" si="29"/>
        <v>0</v>
      </c>
    </row>
    <row r="83" spans="1:38" ht="21" customHeight="1" x14ac:dyDescent="0.2">
      <c r="A83" s="72">
        <v>9</v>
      </c>
      <c r="B83" s="73" t="s">
        <v>100</v>
      </c>
      <c r="C83" s="74">
        <f t="shared" ca="1" si="65"/>
        <v>54560</v>
      </c>
      <c r="D83" s="75">
        <f ca="1">IFERROR(__xludf.DUMMYFUNCTION("IMPORTRANGE(""https://docs.google.com/spreadsheets/d/1o7UZe4_OqlqtLDHrj01Z2YFRSZDf1DMy1n3XViHaxRc/edit?usp=sharing"",""ภูเก็ต!L424"")"),54560)</f>
        <v>54560</v>
      </c>
      <c r="E83" s="76">
        <f ca="1">IFERROR(__xludf.DUMMYFUNCTION("IMPORTRANGE(""https://docs.google.com/spreadsheets/d/1o7UZe4_OqlqtLDHrj01Z2YFRSZDf1DMy1n3XViHaxRc/edit?usp=sharing"",""ภูเก็ต!L431"")"),0)</f>
        <v>0</v>
      </c>
      <c r="F83" s="77">
        <f t="shared" ca="1" si="1"/>
        <v>39195</v>
      </c>
      <c r="G83" s="78">
        <f t="shared" ca="1" si="2"/>
        <v>71.838343108504404</v>
      </c>
      <c r="H83" s="79">
        <f t="shared" ca="1" si="66"/>
        <v>39195</v>
      </c>
      <c r="I83" s="76">
        <f ca="1">IFERROR(__xludf.DUMMYFUNCTION("IMPORTRANGE(""https://docs.google.com/spreadsheets/d/1o7UZe4_OqlqtLDHrj01Z2YFRSZDf1DMy1n3XViHaxRc/edit?usp=sharing"",""ภูเก็ต!N425"")"),24300)</f>
        <v>24300</v>
      </c>
      <c r="J83" s="76">
        <f ca="1">IFERROR(__xludf.DUMMYFUNCTION("IMPORTRANGE(""https://docs.google.com/spreadsheets/d/1o7UZe4_OqlqtLDHrj01Z2YFRSZDf1DMy1n3XViHaxRc/edit?usp=sharing"",""ภูเก็ต!N426"")"),0)</f>
        <v>0</v>
      </c>
      <c r="K83" s="76">
        <f ca="1">IFERROR(__xludf.DUMMYFUNCTION("IMPORTRANGE(""https://docs.google.com/spreadsheets/d/1o7UZe4_OqlqtLDHrj01Z2YFRSZDf1DMy1n3XViHaxRc/edit?usp=sharing"",""ภูเก็ต!N427"")"),0)</f>
        <v>0</v>
      </c>
      <c r="L83" s="76">
        <f ca="1">IFERROR(__xludf.DUMMYFUNCTION("IMPORTRANGE(""https://docs.google.com/spreadsheets/d/1o7UZe4_OqlqtLDHrj01Z2YFRSZDf1DMy1n3XViHaxRc/edit?usp=sharing"",""ภูเก็ต!N428"")"),14895)</f>
        <v>14895</v>
      </c>
      <c r="M83" s="80">
        <f ca="1">IFERROR(__xludf.DUMMYFUNCTION("IMPORTRANGE(""https://docs.google.com/spreadsheets/d/1o7UZe4_OqlqtLDHrj01Z2YFRSZDf1DMy1n3XViHaxRc/edit?usp=sharing"",""ภูเก็ต!N431"")"),0)</f>
        <v>0</v>
      </c>
      <c r="N83" s="80">
        <f t="shared" ca="1" si="32"/>
        <v>0</v>
      </c>
      <c r="O83" s="81">
        <f ca="1">IFERROR(__xludf.DUMMYFUNCTION("IMPORTRANGE(""https://docs.google.com/spreadsheets/d/1o7UZe4_OqlqtLDHrj01Z2YFRSZDf1DMy1n3XViHaxRc/edit?usp=sharing"",""ภูเก็ต!I433"")"),10)</f>
        <v>10</v>
      </c>
      <c r="P83" s="81">
        <f ca="1">IFERROR(__xludf.DUMMYFUNCTION("IMPORTRANGE(""https://docs.google.com/spreadsheets/d/1o7UZe4_OqlqtLDHrj01Z2YFRSZDf1DMy1n3XViHaxRc/edit?usp=sharing"",""ภูเก็ต!I434"")"),1)</f>
        <v>1</v>
      </c>
      <c r="Q83" s="81">
        <f ca="1">IFERROR(__xludf.DUMMYFUNCTION("IMPORTRANGE(""https://docs.google.com/spreadsheets/d/1o7UZe4_OqlqtLDHrj01Z2YFRSZDf1DMy1n3XViHaxRc/edit?usp=sharing"",""ภูเก็ต!J433"")"),10)</f>
        <v>10</v>
      </c>
      <c r="R83" s="82">
        <f t="shared" ca="1" si="25"/>
        <v>100</v>
      </c>
      <c r="S83" s="81">
        <f ca="1">IFERROR(__xludf.DUMMYFUNCTION("IMPORTRANGE(""https://docs.google.com/spreadsheets/d/1o7UZe4_OqlqtLDHrj01Z2YFRSZDf1DMy1n3XViHaxRc/edit?usp=sharing"",""ภูเก็ต!J434"")"),1)</f>
        <v>1</v>
      </c>
      <c r="T83" s="82">
        <f t="shared" ca="1" si="7"/>
        <v>100</v>
      </c>
      <c r="U83" s="81">
        <f ca="1">IFERROR(__xludf.DUMMYFUNCTION("IMPORTRANGE(""https://docs.google.com/spreadsheets/d/1o7UZe4_OqlqtLDHrj01Z2YFRSZDf1DMy1n3XViHaxRc/edit?usp=sharing"",""ภูเก็ต!I435"")"),10)</f>
        <v>10</v>
      </c>
      <c r="V83" s="81">
        <f ca="1">IFERROR(__xludf.DUMMYFUNCTION("IMPORTRANGE(""https://docs.google.com/spreadsheets/d/1o7UZe4_OqlqtLDHrj01Z2YFRSZDf1DMy1n3XViHaxRc/edit?usp=sharing"",""ภูเก็ต!J435"")"),10)</f>
        <v>10</v>
      </c>
      <c r="W83" s="82">
        <f t="shared" ca="1" si="26"/>
        <v>100</v>
      </c>
      <c r="X83" s="81">
        <f ca="1">IFERROR(__xludf.DUMMYFUNCTION("IMPORTRANGE(""https://docs.google.com/spreadsheets/d/1o7UZe4_OqlqtLDHrj01Z2YFRSZDf1DMy1n3XViHaxRc/edit?usp=sharing"",""ภูเก็ต!I437"")"),0)</f>
        <v>0</v>
      </c>
      <c r="Y83" s="81">
        <f ca="1">IFERROR(__xludf.DUMMYFUNCTION("IMPORTRANGE(""https://docs.google.com/spreadsheets/d/1o7UZe4_OqlqtLDHrj01Z2YFRSZDf1DMy1n3XViHaxRc/edit?usp=sharing"",""ภูเก็ต!I438"")"),0)</f>
        <v>0</v>
      </c>
      <c r="Z83" s="81">
        <f ca="1">IFERROR(__xludf.DUMMYFUNCTION("IMPORTRANGE(""https://docs.google.com/spreadsheets/d/1o7UZe4_OqlqtLDHrj01Z2YFRSZDf1DMy1n3XViHaxRc/edit?usp=sharing"",""ภูเก็ต!J437"")"),0)</f>
        <v>0</v>
      </c>
      <c r="AA83" s="82">
        <f t="shared" ca="1" si="27"/>
        <v>0</v>
      </c>
      <c r="AB83" s="81">
        <f ca="1">IFERROR(__xludf.DUMMYFUNCTION("IMPORTRANGE(""https://docs.google.com/spreadsheets/d/1o7UZe4_OqlqtLDHrj01Z2YFRSZDf1DMy1n3XViHaxRc/edit?usp=sharing"",""ภูเก็ต!J438"")"),0)</f>
        <v>0</v>
      </c>
      <c r="AC83" s="82">
        <f t="shared" ca="1" si="12"/>
        <v>0</v>
      </c>
      <c r="AD83" s="81">
        <f ca="1">IFERROR(__xludf.DUMMYFUNCTION("IMPORTRANGE(""https://docs.google.com/spreadsheets/d/1o7UZe4_OqlqtLDHrj01Z2YFRSZDf1DMy1n3XViHaxRc/edit?usp=sharing"",""ภูเก็ต!I439"")"),10)</f>
        <v>10</v>
      </c>
      <c r="AE83" s="81">
        <f ca="1">IFERROR(__xludf.DUMMYFUNCTION("IMPORTRANGE(""https://docs.google.com/spreadsheets/d/1o7UZe4_OqlqtLDHrj01Z2YFRSZDf1DMy1n3XViHaxRc/edit?usp=sharing"",""ภูเก็ต!I440"")"),1)</f>
        <v>1</v>
      </c>
      <c r="AF83" s="81">
        <f ca="1">IFERROR(__xludf.DUMMYFUNCTION("IMPORTRANGE(""https://docs.google.com/spreadsheets/d/1o7UZe4_OqlqtLDHrj01Z2YFRSZDf1DMy1n3XViHaxRc/edit?usp=sharing"",""ภูเก็ต!J439"")"),10)</f>
        <v>10</v>
      </c>
      <c r="AG83" s="82">
        <f t="shared" ca="1" si="28"/>
        <v>100</v>
      </c>
      <c r="AH83" s="81">
        <f ca="1">IFERROR(__xludf.DUMMYFUNCTION("IMPORTRANGE(""https://docs.google.com/spreadsheets/d/1o7UZe4_OqlqtLDHrj01Z2YFRSZDf1DMy1n3XViHaxRc/edit?usp=sharing"",""ภูเก็ต!J440"")"),1)</f>
        <v>1</v>
      </c>
      <c r="AI83" s="82">
        <f t="shared" ca="1" si="15"/>
        <v>100</v>
      </c>
      <c r="AJ83" s="81">
        <f ca="1">IFERROR(__xludf.DUMMYFUNCTION("IMPORTRANGE(""https://docs.google.com/spreadsheets/d/1o7UZe4_OqlqtLDHrj01Z2YFRSZDf1DMy1n3XViHaxRc/edit?usp=sharing"",""ภูเก็ต!I441"")"),0)</f>
        <v>0</v>
      </c>
      <c r="AK83" s="81">
        <f ca="1">IFERROR(__xludf.DUMMYFUNCTION("IMPORTRANGE(""https://docs.google.com/spreadsheets/d/1o7UZe4_OqlqtLDHrj01Z2YFRSZDf1DMy1n3XViHaxRc/edit?usp=sharing"",""ภูเก็ต!J441"")"),0)</f>
        <v>0</v>
      </c>
      <c r="AL83" s="82">
        <f t="shared" ca="1" si="29"/>
        <v>0</v>
      </c>
    </row>
    <row r="84" spans="1:38" ht="21" customHeight="1" x14ac:dyDescent="0.2">
      <c r="A84" s="72">
        <v>10</v>
      </c>
      <c r="B84" s="73" t="s">
        <v>101</v>
      </c>
      <c r="C84" s="74">
        <f t="shared" ca="1" si="65"/>
        <v>54560</v>
      </c>
      <c r="D84" s="75">
        <f ca="1">IFERROR(__xludf.DUMMYFUNCTION("IMPORTRANGE(""https://docs.google.com/spreadsheets/d/1ctPm1vUzcUCPuOj9-eoHUD85PqINFqUB0TjdSWmR5-c/edit?usp=sharing"",""ยะลา!L424"")"),54560)</f>
        <v>54560</v>
      </c>
      <c r="E84" s="76">
        <f ca="1">IFERROR(__xludf.DUMMYFUNCTION("IMPORTRANGE(""https://docs.google.com/spreadsheets/d/1ctPm1vUzcUCPuOj9-eoHUD85PqINFqUB0TjdSWmR5-c/edit?usp=sharing"",""ยะลา!L431"")"),0)</f>
        <v>0</v>
      </c>
      <c r="F84" s="77">
        <f t="shared" ca="1" si="1"/>
        <v>52740</v>
      </c>
      <c r="G84" s="78">
        <f t="shared" ca="1" si="2"/>
        <v>96.6642228739003</v>
      </c>
      <c r="H84" s="79">
        <f t="shared" ca="1" si="66"/>
        <v>52740</v>
      </c>
      <c r="I84" s="76">
        <f ca="1">IFERROR(__xludf.DUMMYFUNCTION("IMPORTRANGE(""https://docs.google.com/spreadsheets/d/1ctPm1vUzcUCPuOj9-eoHUD85PqINFqUB0TjdSWmR5-c/edit?usp=sharing"",""ยะลา!N425"")"),24300)</f>
        <v>24300</v>
      </c>
      <c r="J84" s="76">
        <f ca="1">IFERROR(__xludf.DUMMYFUNCTION("IMPORTRANGE(""https://docs.google.com/spreadsheets/d/1ctPm1vUzcUCPuOj9-eoHUD85PqINFqUB0TjdSWmR5-c/edit?usp=sharing"",""ยะลา!N426"")"),0)</f>
        <v>0</v>
      </c>
      <c r="K84" s="76">
        <f ca="1">IFERROR(__xludf.DUMMYFUNCTION("IMPORTRANGE(""https://docs.google.com/spreadsheets/d/1ctPm1vUzcUCPuOj9-eoHUD85PqINFqUB0TjdSWmR5-c/edit?usp=sharing"",""ยะลา!N427"")"),0)</f>
        <v>0</v>
      </c>
      <c r="L84" s="76">
        <f ca="1">IFERROR(__xludf.DUMMYFUNCTION("IMPORTRANGE(""https://docs.google.com/spreadsheets/d/1ctPm1vUzcUCPuOj9-eoHUD85PqINFqUB0TjdSWmR5-c/edit?usp=sharing"",""ยะลา!N428"")"),28440)</f>
        <v>28440</v>
      </c>
      <c r="M84" s="80">
        <f ca="1">IFERROR(__xludf.DUMMYFUNCTION("IMPORTRANGE(""https://docs.google.com/spreadsheets/d/1ctPm1vUzcUCPuOj9-eoHUD85PqINFqUB0TjdSWmR5-c/edit?usp=sharing"",""ยะลา!N431"")"),0)</f>
        <v>0</v>
      </c>
      <c r="N84" s="80">
        <f t="shared" ca="1" si="32"/>
        <v>0</v>
      </c>
      <c r="O84" s="81">
        <f ca="1">IFERROR(__xludf.DUMMYFUNCTION("IMPORTRANGE(""https://docs.google.com/spreadsheets/d/1ctPm1vUzcUCPuOj9-eoHUD85PqINFqUB0TjdSWmR5-c/edit?usp=sharing"",""ยะลา!I433"")"),10)</f>
        <v>10</v>
      </c>
      <c r="P84" s="81">
        <f ca="1">IFERROR(__xludf.DUMMYFUNCTION("IMPORTRANGE(""https://docs.google.com/spreadsheets/d/1ctPm1vUzcUCPuOj9-eoHUD85PqINFqUB0TjdSWmR5-c/edit?usp=sharing"",""ยะลา!I434"")"),1)</f>
        <v>1</v>
      </c>
      <c r="Q84" s="81">
        <f ca="1">IFERROR(__xludf.DUMMYFUNCTION("IMPORTRANGE(""https://docs.google.com/spreadsheets/d/1ctPm1vUzcUCPuOj9-eoHUD85PqINFqUB0TjdSWmR5-c/edit?usp=sharing"",""ยะลา!J433"")"),10)</f>
        <v>10</v>
      </c>
      <c r="R84" s="82">
        <f t="shared" ca="1" si="25"/>
        <v>100</v>
      </c>
      <c r="S84" s="81">
        <f ca="1">IFERROR(__xludf.DUMMYFUNCTION("IMPORTRANGE(""https://docs.google.com/spreadsheets/d/1ctPm1vUzcUCPuOj9-eoHUD85PqINFqUB0TjdSWmR5-c/edit?usp=sharing"",""ยะลา!J434"")"),1)</f>
        <v>1</v>
      </c>
      <c r="T84" s="82">
        <f t="shared" ca="1" si="7"/>
        <v>100</v>
      </c>
      <c r="U84" s="81">
        <f ca="1">IFERROR(__xludf.DUMMYFUNCTION("IMPORTRANGE(""https://docs.google.com/spreadsheets/d/1ctPm1vUzcUCPuOj9-eoHUD85PqINFqUB0TjdSWmR5-c/edit?usp=sharing"",""ยะลา!I435"")"),10)</f>
        <v>10</v>
      </c>
      <c r="V84" s="81">
        <f ca="1">IFERROR(__xludf.DUMMYFUNCTION("IMPORTRANGE(""https://docs.google.com/spreadsheets/d/1ctPm1vUzcUCPuOj9-eoHUD85PqINFqUB0TjdSWmR5-c/edit?usp=sharing"",""ยะลา!J435"")"),10)</f>
        <v>10</v>
      </c>
      <c r="W84" s="82">
        <f t="shared" ca="1" si="26"/>
        <v>100</v>
      </c>
      <c r="X84" s="81">
        <f ca="1">IFERROR(__xludf.DUMMYFUNCTION("IMPORTRANGE(""https://docs.google.com/spreadsheets/d/1ctPm1vUzcUCPuOj9-eoHUD85PqINFqUB0TjdSWmR5-c/edit?usp=sharing"",""ยะลา!I437"")"),0)</f>
        <v>0</v>
      </c>
      <c r="Y84" s="81">
        <f ca="1">IFERROR(__xludf.DUMMYFUNCTION("IMPORTRANGE(""https://docs.google.com/spreadsheets/d/1ctPm1vUzcUCPuOj9-eoHUD85PqINFqUB0TjdSWmR5-c/edit?usp=sharing"",""ยะลา!I438"")"),0)</f>
        <v>0</v>
      </c>
      <c r="Z84" s="81">
        <f ca="1">IFERROR(__xludf.DUMMYFUNCTION("IMPORTRANGE(""https://docs.google.com/spreadsheets/d/1ctPm1vUzcUCPuOj9-eoHUD85PqINFqUB0TjdSWmR5-c/edit?usp=sharing"",""ยะลา!J437"")"),0)</f>
        <v>0</v>
      </c>
      <c r="AA84" s="82">
        <f t="shared" ca="1" si="27"/>
        <v>0</v>
      </c>
      <c r="AB84" s="81">
        <f ca="1">IFERROR(__xludf.DUMMYFUNCTION("IMPORTRANGE(""https://docs.google.com/spreadsheets/d/1ctPm1vUzcUCPuOj9-eoHUD85PqINFqUB0TjdSWmR5-c/edit?usp=sharing"",""ยะลา!J438"")"),0)</f>
        <v>0</v>
      </c>
      <c r="AC84" s="82">
        <f t="shared" ca="1" si="12"/>
        <v>0</v>
      </c>
      <c r="AD84" s="81">
        <f ca="1">IFERROR(__xludf.DUMMYFUNCTION("IMPORTRANGE(""https://docs.google.com/spreadsheets/d/1ctPm1vUzcUCPuOj9-eoHUD85PqINFqUB0TjdSWmR5-c/edit?usp=sharing"",""ยะลา!I439"")"),10)</f>
        <v>10</v>
      </c>
      <c r="AE84" s="81">
        <f ca="1">IFERROR(__xludf.DUMMYFUNCTION("IMPORTRANGE(""https://docs.google.com/spreadsheets/d/1ctPm1vUzcUCPuOj9-eoHUD85PqINFqUB0TjdSWmR5-c/edit?usp=sharing"",""ยะลา!I440"")"),1)</f>
        <v>1</v>
      </c>
      <c r="AF84" s="81">
        <f ca="1">IFERROR(__xludf.DUMMYFUNCTION("IMPORTRANGE(""https://docs.google.com/spreadsheets/d/1ctPm1vUzcUCPuOj9-eoHUD85PqINFqUB0TjdSWmR5-c/edit?usp=sharing"",""ยะลา!J439"")"),10)</f>
        <v>10</v>
      </c>
      <c r="AG84" s="82">
        <f t="shared" ca="1" si="28"/>
        <v>100</v>
      </c>
      <c r="AH84" s="81">
        <f ca="1">IFERROR(__xludf.DUMMYFUNCTION("IMPORTRANGE(""https://docs.google.com/spreadsheets/d/1ctPm1vUzcUCPuOj9-eoHUD85PqINFqUB0TjdSWmR5-c/edit?usp=sharing"",""ยะลา!J440"")"),1)</f>
        <v>1</v>
      </c>
      <c r="AI84" s="82">
        <f t="shared" ca="1" si="15"/>
        <v>100</v>
      </c>
      <c r="AJ84" s="81">
        <f ca="1">IFERROR(__xludf.DUMMYFUNCTION("IMPORTRANGE(""https://docs.google.com/spreadsheets/d/1ctPm1vUzcUCPuOj9-eoHUD85PqINFqUB0TjdSWmR5-c/edit?usp=sharing"",""ยะลา!I441"")"),0)</f>
        <v>0</v>
      </c>
      <c r="AK84" s="81">
        <f ca="1">IFERROR(__xludf.DUMMYFUNCTION("IMPORTRANGE(""https://docs.google.com/spreadsheets/d/1ctPm1vUzcUCPuOj9-eoHUD85PqINFqUB0TjdSWmR5-c/edit?usp=sharing"",""ยะลา!J441"")"),0)</f>
        <v>0</v>
      </c>
      <c r="AL84" s="82">
        <f t="shared" ca="1" si="29"/>
        <v>0</v>
      </c>
    </row>
    <row r="85" spans="1:38" ht="21" customHeight="1" x14ac:dyDescent="0.2">
      <c r="A85" s="72">
        <v>11</v>
      </c>
      <c r="B85" s="73" t="s">
        <v>102</v>
      </c>
      <c r="C85" s="74">
        <f t="shared" ca="1" si="65"/>
        <v>66560</v>
      </c>
      <c r="D85" s="75">
        <f ca="1">IFERROR(__xludf.DUMMYFUNCTION("IMPORTRANGE(""https://docs.google.com/spreadsheets/d/1YiDIE7Klmt8osgdapRqYWNr7iPGFSsiJqq46S7PYRE0/edit?usp=sharing"",""ระนอง!L424"")"),66560)</f>
        <v>66560</v>
      </c>
      <c r="E85" s="76">
        <f ca="1">IFERROR(__xludf.DUMMYFUNCTION("IMPORTRANGE(""https://docs.google.com/spreadsheets/d/1YiDIE7Klmt8osgdapRqYWNr7iPGFSsiJqq46S7PYRE0/edit?usp=sharing"",""ระนอง!L431"")"),0)</f>
        <v>0</v>
      </c>
      <c r="F85" s="77">
        <f t="shared" ca="1" si="1"/>
        <v>42003.18</v>
      </c>
      <c r="G85" s="78">
        <f t="shared" ca="1" si="2"/>
        <v>63.105739182692311</v>
      </c>
      <c r="H85" s="79">
        <f t="shared" ca="1" si="66"/>
        <v>42003.18</v>
      </c>
      <c r="I85" s="76">
        <f ca="1">IFERROR(__xludf.DUMMYFUNCTION("IMPORTRANGE(""https://docs.google.com/spreadsheets/d/1YiDIE7Klmt8osgdapRqYWNr7iPGFSsiJqq46S7PYRE0/edit?usp=sharing"",""ระนอง!N425"")"),25125)</f>
        <v>25125</v>
      </c>
      <c r="J85" s="76">
        <f ca="1">IFERROR(__xludf.DUMMYFUNCTION("IMPORTRANGE(""https://docs.google.com/spreadsheets/d/1YiDIE7Klmt8osgdapRqYWNr7iPGFSsiJqq46S7PYRE0/edit?usp=sharing"",""ระนอง!N426"")"),0)</f>
        <v>0</v>
      </c>
      <c r="K85" s="76">
        <f ca="1">IFERROR(__xludf.DUMMYFUNCTION("IMPORTRANGE(""https://docs.google.com/spreadsheets/d/1YiDIE7Klmt8osgdapRqYWNr7iPGFSsiJqq46S7PYRE0/edit?usp=sharing"",""ระนอง!N427"")"),0)</f>
        <v>0</v>
      </c>
      <c r="L85" s="76">
        <f ca="1">IFERROR(__xludf.DUMMYFUNCTION("IMPORTRANGE(""https://docs.google.com/spreadsheets/d/1YiDIE7Klmt8osgdapRqYWNr7iPGFSsiJqq46S7PYRE0/edit?usp=sharing"",""ระนอง!N428"")"),16878.18)</f>
        <v>16878.18</v>
      </c>
      <c r="M85" s="80">
        <f ca="1">IFERROR(__xludf.DUMMYFUNCTION("IMPORTRANGE(""https://docs.google.com/spreadsheets/d/1YiDIE7Klmt8osgdapRqYWNr7iPGFSsiJqq46S7PYRE0/edit?usp=sharing"",""ระนอง!N431"")"),0)</f>
        <v>0</v>
      </c>
      <c r="N85" s="80">
        <f t="shared" ca="1" si="32"/>
        <v>0</v>
      </c>
      <c r="O85" s="81">
        <f ca="1">IFERROR(__xludf.DUMMYFUNCTION("IMPORTRANGE(""https://docs.google.com/spreadsheets/d/1YiDIE7Klmt8osgdapRqYWNr7iPGFSsiJqq46S7PYRE0/edit?usp=sharing"",""ระนอง!I433"")"),15)</f>
        <v>15</v>
      </c>
      <c r="P85" s="81">
        <f ca="1">IFERROR(__xludf.DUMMYFUNCTION("IMPORTRANGE(""https://docs.google.com/spreadsheets/d/1YiDIE7Klmt8osgdapRqYWNr7iPGFSsiJqq46S7PYRE0/edit?usp=sharing"",""ระนอง!I434"")"),1)</f>
        <v>1</v>
      </c>
      <c r="Q85" s="81">
        <f ca="1">IFERROR(__xludf.DUMMYFUNCTION("IMPORTRANGE(""https://docs.google.com/spreadsheets/d/1YiDIE7Klmt8osgdapRqYWNr7iPGFSsiJqq46S7PYRE0/edit?usp=sharing"",""ระนอง!J433"")"),0)</f>
        <v>0</v>
      </c>
      <c r="R85" s="82">
        <f t="shared" ca="1" si="25"/>
        <v>0</v>
      </c>
      <c r="S85" s="81">
        <f ca="1">IFERROR(__xludf.DUMMYFUNCTION("IMPORTRANGE(""https://docs.google.com/spreadsheets/d/1YiDIE7Klmt8osgdapRqYWNr7iPGFSsiJqq46S7PYRE0/edit?usp=sharing"",""ระนอง!J434"")"),1)</f>
        <v>1</v>
      </c>
      <c r="T85" s="82">
        <f t="shared" ca="1" si="7"/>
        <v>100</v>
      </c>
      <c r="U85" s="81">
        <f ca="1">IFERROR(__xludf.DUMMYFUNCTION("IMPORTRANGE(""https://docs.google.com/spreadsheets/d/1YiDIE7Klmt8osgdapRqYWNr7iPGFSsiJqq46S7PYRE0/edit?usp=sharing"",""ระนอง!I435"")"),15)</f>
        <v>15</v>
      </c>
      <c r="V85" s="81">
        <f ca="1">IFERROR(__xludf.DUMMYFUNCTION("IMPORTRANGE(""https://docs.google.com/spreadsheets/d/1YiDIE7Klmt8osgdapRqYWNr7iPGFSsiJqq46S7PYRE0/edit?usp=sharing"",""ระนอง!J435"")"),0)</f>
        <v>0</v>
      </c>
      <c r="W85" s="82">
        <f t="shared" ca="1" si="26"/>
        <v>0</v>
      </c>
      <c r="X85" s="81">
        <f ca="1">IFERROR(__xludf.DUMMYFUNCTION("IMPORTRANGE(""https://docs.google.com/spreadsheets/d/1YiDIE7Klmt8osgdapRqYWNr7iPGFSsiJqq46S7PYRE0/edit?usp=sharing"",""ระนอง!I437"")"),0)</f>
        <v>0</v>
      </c>
      <c r="Y85" s="81">
        <f ca="1">IFERROR(__xludf.DUMMYFUNCTION("IMPORTRANGE(""https://docs.google.com/spreadsheets/d/1YiDIE7Klmt8osgdapRqYWNr7iPGFSsiJqq46S7PYRE0/edit?usp=sharing"",""ระนอง!I438"")"),0)</f>
        <v>0</v>
      </c>
      <c r="Z85" s="81">
        <f ca="1">IFERROR(__xludf.DUMMYFUNCTION("IMPORTRANGE(""https://docs.google.com/spreadsheets/d/1YiDIE7Klmt8osgdapRqYWNr7iPGFSsiJqq46S7PYRE0/edit?usp=sharing"",""ระนอง!J437"")"),0)</f>
        <v>0</v>
      </c>
      <c r="AA85" s="82">
        <f t="shared" ca="1" si="27"/>
        <v>0</v>
      </c>
      <c r="AB85" s="81">
        <f ca="1">IFERROR(__xludf.DUMMYFUNCTION("IMPORTRANGE(""https://docs.google.com/spreadsheets/d/1YiDIE7Klmt8osgdapRqYWNr7iPGFSsiJqq46S7PYRE0/edit?usp=sharing"",""ระนอง!J438"")"),0)</f>
        <v>0</v>
      </c>
      <c r="AC85" s="82">
        <f t="shared" ca="1" si="12"/>
        <v>0</v>
      </c>
      <c r="AD85" s="81">
        <f ca="1">IFERROR(__xludf.DUMMYFUNCTION("IMPORTRANGE(""https://docs.google.com/spreadsheets/d/1YiDIE7Klmt8osgdapRqYWNr7iPGFSsiJqq46S7PYRE0/edit?usp=sharing"",""ระนอง!I439"")"),15)</f>
        <v>15</v>
      </c>
      <c r="AE85" s="81">
        <f ca="1">IFERROR(__xludf.DUMMYFUNCTION("IMPORTRANGE(""https://docs.google.com/spreadsheets/d/1YiDIE7Klmt8osgdapRqYWNr7iPGFSsiJqq46S7PYRE0/edit?usp=sharing"",""ระนอง!I440"")"),1)</f>
        <v>1</v>
      </c>
      <c r="AF85" s="81">
        <f ca="1">IFERROR(__xludf.DUMMYFUNCTION("IMPORTRANGE(""https://docs.google.com/spreadsheets/d/1YiDIE7Klmt8osgdapRqYWNr7iPGFSsiJqq46S7PYRE0/edit?usp=sharing"",""ระนอง!J439"")"),15)</f>
        <v>15</v>
      </c>
      <c r="AG85" s="82">
        <f t="shared" ca="1" si="28"/>
        <v>100</v>
      </c>
      <c r="AH85" s="81">
        <f ca="1">IFERROR(__xludf.DUMMYFUNCTION("IMPORTRANGE(""https://docs.google.com/spreadsheets/d/1YiDIE7Klmt8osgdapRqYWNr7iPGFSsiJqq46S7PYRE0/edit?usp=sharing"",""ระนอง!J440"")"),1)</f>
        <v>1</v>
      </c>
      <c r="AI85" s="82">
        <f t="shared" ca="1" si="15"/>
        <v>100</v>
      </c>
      <c r="AJ85" s="81">
        <f ca="1">IFERROR(__xludf.DUMMYFUNCTION("IMPORTRANGE(""https://docs.google.com/spreadsheets/d/1YiDIE7Klmt8osgdapRqYWNr7iPGFSsiJqq46S7PYRE0/edit?usp=sharing"",""ระนอง!I441"")"),0)</f>
        <v>0</v>
      </c>
      <c r="AK85" s="81">
        <f ca="1">IFERROR(__xludf.DUMMYFUNCTION("IMPORTRANGE(""https://docs.google.com/spreadsheets/d/1YiDIE7Klmt8osgdapRqYWNr7iPGFSsiJqq46S7PYRE0/edit?usp=sharing"",""ระนอง!J441"")"),0)</f>
        <v>0</v>
      </c>
      <c r="AL85" s="82">
        <f t="shared" ca="1" si="29"/>
        <v>0</v>
      </c>
    </row>
    <row r="86" spans="1:38" ht="24" customHeight="1" x14ac:dyDescent="0.2">
      <c r="A86" s="72">
        <v>12</v>
      </c>
      <c r="B86" s="73" t="s">
        <v>103</v>
      </c>
      <c r="C86" s="74">
        <f t="shared" ca="1" si="65"/>
        <v>78660</v>
      </c>
      <c r="D86" s="75">
        <f ca="1">IFERROR(__xludf.DUMMYFUNCTION("IMPORTRANGE(""https://docs.google.com/spreadsheets/d/16o_4B-V7AWw_6E93bSpXj_XxVv1oVQctk-B6z1dNEWU/edit?usp=sharing"",""สงขลา!L424"")"),78660)</f>
        <v>78660</v>
      </c>
      <c r="E86" s="76">
        <f ca="1">IFERROR(__xludf.DUMMYFUNCTION("IMPORTRANGE(""https://docs.google.com/spreadsheets/d/16o_4B-V7AWw_6E93bSpXj_XxVv1oVQctk-B6z1dNEWU/edit?usp=sharing"",""สงขลา!L431"")"),0)</f>
        <v>0</v>
      </c>
      <c r="F86" s="77">
        <f t="shared" ca="1" si="1"/>
        <v>48340</v>
      </c>
      <c r="G86" s="78">
        <f t="shared" ca="1" si="2"/>
        <v>61.454360539028734</v>
      </c>
      <c r="H86" s="79">
        <f t="shared" ca="1" si="66"/>
        <v>48340</v>
      </c>
      <c r="I86" s="76">
        <f ca="1">IFERROR(__xludf.DUMMYFUNCTION("IMPORTRANGE(""https://docs.google.com/spreadsheets/d/16o_4B-V7AWw_6E93bSpXj_XxVv1oVQctk-B6z1dNEWU/edit?usp=sharing"",""สงขลา!N425"")"),28430)</f>
        <v>28430</v>
      </c>
      <c r="J86" s="76">
        <f ca="1">IFERROR(__xludf.DUMMYFUNCTION("IMPORTRANGE(""https://docs.google.com/spreadsheets/d/16o_4B-V7AWw_6E93bSpXj_XxVv1oVQctk-B6z1dNEWU/edit?usp=sharing"",""สงขลา!N426"")"),0)</f>
        <v>0</v>
      </c>
      <c r="K86" s="76">
        <f ca="1">IFERROR(__xludf.DUMMYFUNCTION("IMPORTRANGE(""https://docs.google.com/spreadsheets/d/16o_4B-V7AWw_6E93bSpXj_XxVv1oVQctk-B6z1dNEWU/edit?usp=sharing"",""สงขลา!N427"")"),0)</f>
        <v>0</v>
      </c>
      <c r="L86" s="76">
        <f ca="1">IFERROR(__xludf.DUMMYFUNCTION("IMPORTRANGE(""https://docs.google.com/spreadsheets/d/16o_4B-V7AWw_6E93bSpXj_XxVv1oVQctk-B6z1dNEWU/edit?usp=sharing"",""สงขลา!N428"")"),19910)</f>
        <v>19910</v>
      </c>
      <c r="M86" s="80">
        <f ca="1">IFERROR(__xludf.DUMMYFUNCTION("IMPORTRANGE(""https://docs.google.com/spreadsheets/d/16o_4B-V7AWw_6E93bSpXj_XxVv1oVQctk-B6z1dNEWU/edit?usp=sharing"",""สงขลา!N431"")"),0)</f>
        <v>0</v>
      </c>
      <c r="N86" s="80">
        <f t="shared" ca="1" si="32"/>
        <v>0</v>
      </c>
      <c r="O86" s="81">
        <f ca="1">IFERROR(__xludf.DUMMYFUNCTION("IMPORTRANGE(""https://docs.google.com/spreadsheets/d/16o_4B-V7AWw_6E93bSpXj_XxVv1oVQctk-B6z1dNEWU/edit?usp=sharing"",""สงขลา!I433"")"),20)</f>
        <v>20</v>
      </c>
      <c r="P86" s="81">
        <f ca="1">IFERROR(__xludf.DUMMYFUNCTION("IMPORTRANGE(""https://docs.google.com/spreadsheets/d/16o_4B-V7AWw_6E93bSpXj_XxVv1oVQctk-B6z1dNEWU/edit?usp=sharing"",""สงขลา!I434"")"),1)</f>
        <v>1</v>
      </c>
      <c r="Q86" s="81">
        <f ca="1">IFERROR(__xludf.DUMMYFUNCTION("IMPORTRANGE(""https://docs.google.com/spreadsheets/d/16o_4B-V7AWw_6E93bSpXj_XxVv1oVQctk-B6z1dNEWU/edit?usp=sharing"",""สงขลา!J433"")"),20)</f>
        <v>20</v>
      </c>
      <c r="R86" s="82">
        <f t="shared" ca="1" si="25"/>
        <v>100</v>
      </c>
      <c r="S86" s="81">
        <f ca="1">IFERROR(__xludf.DUMMYFUNCTION("IMPORTRANGE(""https://docs.google.com/spreadsheets/d/16o_4B-V7AWw_6E93bSpXj_XxVv1oVQctk-B6z1dNEWU/edit?usp=sharing"",""สงขลา!J434"")"),0)</f>
        <v>0</v>
      </c>
      <c r="T86" s="82">
        <f t="shared" ca="1" si="7"/>
        <v>0</v>
      </c>
      <c r="U86" s="81">
        <f ca="1">IFERROR(__xludf.DUMMYFUNCTION("IMPORTRANGE(""https://docs.google.com/spreadsheets/d/16o_4B-V7AWw_6E93bSpXj_XxVv1oVQctk-B6z1dNEWU/edit?usp=sharing"",""สงขลา!I435"")"),20)</f>
        <v>20</v>
      </c>
      <c r="V86" s="81">
        <f ca="1">IFERROR(__xludf.DUMMYFUNCTION("IMPORTRANGE(""https://docs.google.com/spreadsheets/d/16o_4B-V7AWw_6E93bSpXj_XxVv1oVQctk-B6z1dNEWU/edit?usp=sharing"",""สงขลา!J435"")"),20)</f>
        <v>20</v>
      </c>
      <c r="W86" s="82">
        <f t="shared" ca="1" si="26"/>
        <v>100</v>
      </c>
      <c r="X86" s="81">
        <f ca="1">IFERROR(__xludf.DUMMYFUNCTION("IMPORTRANGE(""https://docs.google.com/spreadsheets/d/16o_4B-V7AWw_6E93bSpXj_XxVv1oVQctk-B6z1dNEWU/edit?usp=sharing"",""สงขลา!I437"")"),0)</f>
        <v>0</v>
      </c>
      <c r="Y86" s="81">
        <f ca="1">IFERROR(__xludf.DUMMYFUNCTION("IMPORTRANGE(""https://docs.google.com/spreadsheets/d/16o_4B-V7AWw_6E93bSpXj_XxVv1oVQctk-B6z1dNEWU/edit?usp=sharing"",""สงขลา!I438"")"),0)</f>
        <v>0</v>
      </c>
      <c r="Z86" s="81">
        <f ca="1">IFERROR(__xludf.DUMMYFUNCTION("IMPORTRANGE(""https://docs.google.com/spreadsheets/d/16o_4B-V7AWw_6E93bSpXj_XxVv1oVQctk-B6z1dNEWU/edit?usp=sharing"",""สงขลา!J437"")"),0)</f>
        <v>0</v>
      </c>
      <c r="AA86" s="82">
        <f t="shared" ca="1" si="27"/>
        <v>0</v>
      </c>
      <c r="AB86" s="81">
        <f ca="1">IFERROR(__xludf.DUMMYFUNCTION("IMPORTRANGE(""https://docs.google.com/spreadsheets/d/16o_4B-V7AWw_6E93bSpXj_XxVv1oVQctk-B6z1dNEWU/edit?usp=sharing"",""สงขลา!J438"")"),0)</f>
        <v>0</v>
      </c>
      <c r="AC86" s="82">
        <f t="shared" ca="1" si="12"/>
        <v>0</v>
      </c>
      <c r="AD86" s="81">
        <f ca="1">IFERROR(__xludf.DUMMYFUNCTION("IMPORTRANGE(""https://docs.google.com/spreadsheets/d/16o_4B-V7AWw_6E93bSpXj_XxVv1oVQctk-B6z1dNEWU/edit?usp=sharing"",""สงขลา!I439"")"),20)</f>
        <v>20</v>
      </c>
      <c r="AE86" s="81">
        <f ca="1">IFERROR(__xludf.DUMMYFUNCTION("IMPORTRANGE(""https://docs.google.com/spreadsheets/d/16o_4B-V7AWw_6E93bSpXj_XxVv1oVQctk-B6z1dNEWU/edit?usp=sharing"",""สงขลา!I440"")"),1)</f>
        <v>1</v>
      </c>
      <c r="AF86" s="81">
        <f ca="1">IFERROR(__xludf.DUMMYFUNCTION("IMPORTRANGE(""https://docs.google.com/spreadsheets/d/16o_4B-V7AWw_6E93bSpXj_XxVv1oVQctk-B6z1dNEWU/edit?usp=sharing"",""สงขลา!J439"")"),20)</f>
        <v>20</v>
      </c>
      <c r="AG86" s="82">
        <f t="shared" ca="1" si="28"/>
        <v>100</v>
      </c>
      <c r="AH86" s="81">
        <f ca="1">IFERROR(__xludf.DUMMYFUNCTION("IMPORTRANGE(""https://docs.google.com/spreadsheets/d/16o_4B-V7AWw_6E93bSpXj_XxVv1oVQctk-B6z1dNEWU/edit?usp=sharing"",""สงขลา!J440"")"),0)</f>
        <v>0</v>
      </c>
      <c r="AI86" s="82">
        <f t="shared" ca="1" si="15"/>
        <v>0</v>
      </c>
      <c r="AJ86" s="81">
        <f ca="1">IFERROR(__xludf.DUMMYFUNCTION("IMPORTRANGE(""https://docs.google.com/spreadsheets/d/16o_4B-V7AWw_6E93bSpXj_XxVv1oVQctk-B6z1dNEWU/edit?usp=sharing"",""สงขลา!I441"")"),0)</f>
        <v>0</v>
      </c>
      <c r="AK86" s="81">
        <f ca="1">IFERROR(__xludf.DUMMYFUNCTION("IMPORTRANGE(""https://docs.google.com/spreadsheets/d/16o_4B-V7AWw_6E93bSpXj_XxVv1oVQctk-B6z1dNEWU/edit?usp=sharing"",""สงขลา!J441"")"),0)</f>
        <v>0</v>
      </c>
      <c r="AL86" s="82">
        <f t="shared" ca="1" si="29"/>
        <v>0</v>
      </c>
    </row>
    <row r="87" spans="1:38" ht="24" customHeight="1" x14ac:dyDescent="0.2">
      <c r="A87" s="72">
        <v>13</v>
      </c>
      <c r="B87" s="73" t="s">
        <v>104</v>
      </c>
      <c r="C87" s="74">
        <f t="shared" ca="1" si="65"/>
        <v>66560</v>
      </c>
      <c r="D87" s="75">
        <f ca="1">IFERROR(__xludf.DUMMYFUNCTION("IMPORTRANGE(""https://docs.google.com/spreadsheets/d/16cywr71Fj4fA5OGRHsZh30ZG2gwJhMAQv69oVBzYHv0/edit?usp=sharing"",""สตูล!L424"")"),66560)</f>
        <v>66560</v>
      </c>
      <c r="E87" s="76">
        <f ca="1">IFERROR(__xludf.DUMMYFUNCTION("IMPORTRANGE(""https://docs.google.com/spreadsheets/d/16cywr71Fj4fA5OGRHsZh30ZG2gwJhMAQv69oVBzYHv0/edit?usp=sharing"",""สตูล!L431"")"),0)</f>
        <v>0</v>
      </c>
      <c r="F87" s="77">
        <f t="shared" ca="1" si="1"/>
        <v>56574</v>
      </c>
      <c r="G87" s="78">
        <f t="shared" ca="1" si="2"/>
        <v>84.996995192307693</v>
      </c>
      <c r="H87" s="79">
        <f t="shared" ca="1" si="66"/>
        <v>56574</v>
      </c>
      <c r="I87" s="76">
        <f ca="1">IFERROR(__xludf.DUMMYFUNCTION("IMPORTRANGE(""https://docs.google.com/spreadsheets/d/16cywr71Fj4fA5OGRHsZh30ZG2gwJhMAQv69oVBzYHv0/edit?usp=sharing"",""สตูล!N425"")"),36300)</f>
        <v>36300</v>
      </c>
      <c r="J87" s="76">
        <f ca="1">IFERROR(__xludf.DUMMYFUNCTION("IMPORTRANGE(""https://docs.google.com/spreadsheets/d/16cywr71Fj4fA5OGRHsZh30ZG2gwJhMAQv69oVBzYHv0/edit?usp=sharing"",""สตูล!N426"")"),0)</f>
        <v>0</v>
      </c>
      <c r="K87" s="76">
        <f ca="1">IFERROR(__xludf.DUMMYFUNCTION("IMPORTRANGE(""https://docs.google.com/spreadsheets/d/16cywr71Fj4fA5OGRHsZh30ZG2gwJhMAQv69oVBzYHv0/edit?usp=sharing"",""สตูล!N427"")"),0)</f>
        <v>0</v>
      </c>
      <c r="L87" s="76">
        <f ca="1">IFERROR(__xludf.DUMMYFUNCTION("IMPORTRANGE(""https://docs.google.com/spreadsheets/d/16cywr71Fj4fA5OGRHsZh30ZG2gwJhMAQv69oVBzYHv0/edit?usp=sharing"",""สตูล!N428"")"),20274)</f>
        <v>20274</v>
      </c>
      <c r="M87" s="80">
        <f ca="1">IFERROR(__xludf.DUMMYFUNCTION("IMPORTRANGE(""https://docs.google.com/spreadsheets/d/16cywr71Fj4fA5OGRHsZh30ZG2gwJhMAQv69oVBzYHv0/edit?usp=sharing"",""สตูล!N431"")"),0)</f>
        <v>0</v>
      </c>
      <c r="N87" s="80">
        <f t="shared" ca="1" si="32"/>
        <v>0</v>
      </c>
      <c r="O87" s="81">
        <f ca="1">IFERROR(__xludf.DUMMYFUNCTION("IMPORTRANGE(""https://docs.google.com/spreadsheets/d/16cywr71Fj4fA5OGRHsZh30ZG2gwJhMAQv69oVBzYHv0/edit?usp=sharing"",""สตูล!I433"")"),15)</f>
        <v>15</v>
      </c>
      <c r="P87" s="81">
        <f ca="1">IFERROR(__xludf.DUMMYFUNCTION("IMPORTRANGE(""https://docs.google.com/spreadsheets/d/16cywr71Fj4fA5OGRHsZh30ZG2gwJhMAQv69oVBzYHv0/edit?usp=sharing"",""สตูล!I434"")"),1)</f>
        <v>1</v>
      </c>
      <c r="Q87" s="81">
        <f ca="1">IFERROR(__xludf.DUMMYFUNCTION("IMPORTRANGE(""https://docs.google.com/spreadsheets/d/16cywr71Fj4fA5OGRHsZh30ZG2gwJhMAQv69oVBzYHv0/edit?usp=sharing"",""สตูล!J433"")"),15)</f>
        <v>15</v>
      </c>
      <c r="R87" s="82">
        <f t="shared" ca="1" si="25"/>
        <v>100</v>
      </c>
      <c r="S87" s="81">
        <f ca="1">IFERROR(__xludf.DUMMYFUNCTION("IMPORTRANGE(""https://docs.google.com/spreadsheets/d/16cywr71Fj4fA5OGRHsZh30ZG2gwJhMAQv69oVBzYHv0/edit?usp=sharing"",""สตูล!J434"")"),1)</f>
        <v>1</v>
      </c>
      <c r="T87" s="82">
        <f t="shared" ca="1" si="7"/>
        <v>100</v>
      </c>
      <c r="U87" s="81">
        <f ca="1">IFERROR(__xludf.DUMMYFUNCTION("IMPORTRANGE(""https://docs.google.com/spreadsheets/d/16cywr71Fj4fA5OGRHsZh30ZG2gwJhMAQv69oVBzYHv0/edit?usp=sharing"",""สตูล!I435"")"),15)</f>
        <v>15</v>
      </c>
      <c r="V87" s="81">
        <f ca="1">IFERROR(__xludf.DUMMYFUNCTION("IMPORTRANGE(""https://docs.google.com/spreadsheets/d/16cywr71Fj4fA5OGRHsZh30ZG2gwJhMAQv69oVBzYHv0/edit?usp=sharing"",""สตูล!J435"")"),15)</f>
        <v>15</v>
      </c>
      <c r="W87" s="82">
        <f t="shared" ca="1" si="26"/>
        <v>100</v>
      </c>
      <c r="X87" s="81">
        <f ca="1">IFERROR(__xludf.DUMMYFUNCTION("IMPORTRANGE(""https://docs.google.com/spreadsheets/d/16cywr71Fj4fA5OGRHsZh30ZG2gwJhMAQv69oVBzYHv0/edit?usp=sharing"",""สตูล!I437"")"),0)</f>
        <v>0</v>
      </c>
      <c r="Y87" s="81">
        <f ca="1">IFERROR(__xludf.DUMMYFUNCTION("IMPORTRANGE(""https://docs.google.com/spreadsheets/d/16cywr71Fj4fA5OGRHsZh30ZG2gwJhMAQv69oVBzYHv0/edit?usp=sharing"",""สตูล!I438"")"),0)</f>
        <v>0</v>
      </c>
      <c r="Z87" s="81">
        <f ca="1">IFERROR(__xludf.DUMMYFUNCTION("IMPORTRANGE(""https://docs.google.com/spreadsheets/d/16cywr71Fj4fA5OGRHsZh30ZG2gwJhMAQv69oVBzYHv0/edit?usp=sharing"",""สตูล!J437"")"),0)</f>
        <v>0</v>
      </c>
      <c r="AA87" s="82">
        <f t="shared" ca="1" si="27"/>
        <v>0</v>
      </c>
      <c r="AB87" s="81">
        <f ca="1">IFERROR(__xludf.DUMMYFUNCTION("IMPORTRANGE(""https://docs.google.com/spreadsheets/d/16cywr71Fj4fA5OGRHsZh30ZG2gwJhMAQv69oVBzYHv0/edit?usp=sharing"",""สตูล!J438"")"),0)</f>
        <v>0</v>
      </c>
      <c r="AC87" s="82">
        <f t="shared" ca="1" si="12"/>
        <v>0</v>
      </c>
      <c r="AD87" s="81">
        <f ca="1">IFERROR(__xludf.DUMMYFUNCTION("IMPORTRANGE(""https://docs.google.com/spreadsheets/d/16cywr71Fj4fA5OGRHsZh30ZG2gwJhMAQv69oVBzYHv0/edit?usp=sharing"",""สตูล!I439"")"),15)</f>
        <v>15</v>
      </c>
      <c r="AE87" s="81">
        <f ca="1">IFERROR(__xludf.DUMMYFUNCTION("IMPORTRANGE(""https://docs.google.com/spreadsheets/d/16cywr71Fj4fA5OGRHsZh30ZG2gwJhMAQv69oVBzYHv0/edit?usp=sharing"",""สตูล!I440"")"),1)</f>
        <v>1</v>
      </c>
      <c r="AF87" s="81">
        <f ca="1">IFERROR(__xludf.DUMMYFUNCTION("IMPORTRANGE(""https://docs.google.com/spreadsheets/d/16cywr71Fj4fA5OGRHsZh30ZG2gwJhMAQv69oVBzYHv0/edit?usp=sharing"",""สตูล!J439"")"),15)</f>
        <v>15</v>
      </c>
      <c r="AG87" s="82">
        <f t="shared" ca="1" si="28"/>
        <v>100</v>
      </c>
      <c r="AH87" s="81">
        <f ca="1">IFERROR(__xludf.DUMMYFUNCTION("IMPORTRANGE(""https://docs.google.com/spreadsheets/d/16cywr71Fj4fA5OGRHsZh30ZG2gwJhMAQv69oVBzYHv0/edit?usp=sharing"",""สตูล!J440"")"),1)</f>
        <v>1</v>
      </c>
      <c r="AI87" s="82">
        <f t="shared" ca="1" si="15"/>
        <v>100</v>
      </c>
      <c r="AJ87" s="81">
        <f ca="1">IFERROR(__xludf.DUMMYFUNCTION("IMPORTRANGE(""https://docs.google.com/spreadsheets/d/16cywr71Fj4fA5OGRHsZh30ZG2gwJhMAQv69oVBzYHv0/edit?usp=sharing"",""สตูล!I441"")"),0)</f>
        <v>0</v>
      </c>
      <c r="AK87" s="81">
        <f ca="1">IFERROR(__xludf.DUMMYFUNCTION("IMPORTRANGE(""https://docs.google.com/spreadsheets/d/16cywr71Fj4fA5OGRHsZh30ZG2gwJhMAQv69oVBzYHv0/edit?usp=sharing"",""สตูล!J441"")"),0)</f>
        <v>0</v>
      </c>
      <c r="AL87" s="82">
        <f t="shared" ca="1" si="29"/>
        <v>0</v>
      </c>
    </row>
    <row r="88" spans="1:38" ht="24" customHeight="1" x14ac:dyDescent="0.2">
      <c r="A88" s="83">
        <v>14</v>
      </c>
      <c r="B88" s="84" t="s">
        <v>105</v>
      </c>
      <c r="C88" s="85">
        <f t="shared" ca="1" si="65"/>
        <v>149040</v>
      </c>
      <c r="D88" s="86">
        <f ca="1">IFERROR(__xludf.DUMMYFUNCTION("IMPORTRANGE(""https://docs.google.com/spreadsheets/d/1vO9Sws6kMtrVtyvrAJptINXjK8TFBoX9xLYOVK_C8bQ/edit?usp=sharing"",""สุราษฎร์ธานี!L424"")"),149040)</f>
        <v>149040</v>
      </c>
      <c r="E88" s="87">
        <f ca="1">IFERROR(__xludf.DUMMYFUNCTION("IMPORTRANGE(""https://docs.google.com/spreadsheets/d/1vO9Sws6kMtrVtyvrAJptINXjK8TFBoX9xLYOVK_C8bQ/edit?usp=sharing"",""สุราษฎร์ธานี!L431"")"),0)</f>
        <v>0</v>
      </c>
      <c r="F88" s="88">
        <f t="shared" ca="1" si="1"/>
        <v>119860</v>
      </c>
      <c r="G88" s="89">
        <f t="shared" ca="1" si="2"/>
        <v>80.421363392377884</v>
      </c>
      <c r="H88" s="90">
        <f t="shared" ca="1" si="66"/>
        <v>119860</v>
      </c>
      <c r="I88" s="87">
        <f ca="1">IFERROR(__xludf.DUMMYFUNCTION("IMPORTRANGE(""https://docs.google.com/spreadsheets/d/1vO9Sws6kMtrVtyvrAJptINXjK8TFBoX9xLYOVK_C8bQ/edit?usp=sharing"",""สุราษฎร์ธานี!N425"")"),118780)</f>
        <v>118780</v>
      </c>
      <c r="J88" s="87">
        <f ca="1">IFERROR(__xludf.DUMMYFUNCTION("IMPORTRANGE(""https://docs.google.com/spreadsheets/d/1vO9Sws6kMtrVtyvrAJptINXjK8TFBoX9xLYOVK_C8bQ/edit?usp=sharing"",""สุราษฎร์ธานี!N426"")"),0)</f>
        <v>0</v>
      </c>
      <c r="K88" s="87">
        <f ca="1">IFERROR(__xludf.DUMMYFUNCTION("IMPORTRANGE(""https://docs.google.com/spreadsheets/d/1vO9Sws6kMtrVtyvrAJptINXjK8TFBoX9xLYOVK_C8bQ/edit?usp=sharing"",""สุราษฎร์ธานี!N427"")"),0)</f>
        <v>0</v>
      </c>
      <c r="L88" s="87">
        <f ca="1">IFERROR(__xludf.DUMMYFUNCTION("IMPORTRANGE(""https://docs.google.com/spreadsheets/d/1vO9Sws6kMtrVtyvrAJptINXjK8TFBoX9xLYOVK_C8bQ/edit?usp=sharing"",""สุราษฎร์ธานี!N428"")"),1080)</f>
        <v>1080</v>
      </c>
      <c r="M88" s="91">
        <f ca="1">IFERROR(__xludf.DUMMYFUNCTION("IMPORTRANGE(""https://docs.google.com/spreadsheets/d/1vO9Sws6kMtrVtyvrAJptINXjK8TFBoX9xLYOVK_C8bQ/edit?usp=sharing"",""สุราษฎร์ธานี!N431"")"),0)</f>
        <v>0</v>
      </c>
      <c r="N88" s="91">
        <f t="shared" ca="1" si="32"/>
        <v>0</v>
      </c>
      <c r="O88" s="92">
        <f ca="1">IFERROR(__xludf.DUMMYFUNCTION("IMPORTRANGE(""https://docs.google.com/spreadsheets/d/1vO9Sws6kMtrVtyvrAJptINXjK8TFBoX9xLYOVK_C8bQ/edit?usp=sharing"",""สุราษฎร์ธานี!I433"")"),45)</f>
        <v>45</v>
      </c>
      <c r="P88" s="92">
        <f ca="1">IFERROR(__xludf.DUMMYFUNCTION("IMPORTRANGE(""https://docs.google.com/spreadsheets/d/1vO9Sws6kMtrVtyvrAJptINXjK8TFBoX9xLYOVK_C8bQ/edit?usp=sharing"",""สุราษฎร์ธานี!I434"")"),2)</f>
        <v>2</v>
      </c>
      <c r="Q88" s="92">
        <f ca="1">IFERROR(__xludf.DUMMYFUNCTION("IMPORTRANGE(""https://docs.google.com/spreadsheets/d/1vO9Sws6kMtrVtyvrAJptINXjK8TFBoX9xLYOVK_C8bQ/edit?usp=sharing"",""สุราษฎร์ธานี!J433"")"),45)</f>
        <v>45</v>
      </c>
      <c r="R88" s="93">
        <f t="shared" ca="1" si="25"/>
        <v>100</v>
      </c>
      <c r="S88" s="92">
        <f ca="1">IFERROR(__xludf.DUMMYFUNCTION("IMPORTRANGE(""https://docs.google.com/spreadsheets/d/1vO9Sws6kMtrVtyvrAJptINXjK8TFBoX9xLYOVK_C8bQ/edit?usp=sharing"",""สุราษฎร์ธานี!J434"")"),2)</f>
        <v>2</v>
      </c>
      <c r="T88" s="93">
        <f t="shared" ca="1" si="7"/>
        <v>100</v>
      </c>
      <c r="U88" s="92">
        <f ca="1">IFERROR(__xludf.DUMMYFUNCTION("IMPORTRANGE(""https://docs.google.com/spreadsheets/d/1vO9Sws6kMtrVtyvrAJptINXjK8TFBoX9xLYOVK_C8bQ/edit?usp=sharing"",""สุราษฎร์ธานี!I435"")"),45)</f>
        <v>45</v>
      </c>
      <c r="V88" s="92">
        <f ca="1">IFERROR(__xludf.DUMMYFUNCTION("IMPORTRANGE(""https://docs.google.com/spreadsheets/d/1vO9Sws6kMtrVtyvrAJptINXjK8TFBoX9xLYOVK_C8bQ/edit?usp=sharing"",""สุราษฎร์ธานี!J435"")"),45)</f>
        <v>45</v>
      </c>
      <c r="W88" s="93">
        <f t="shared" ca="1" si="26"/>
        <v>100</v>
      </c>
      <c r="X88" s="92">
        <f ca="1">IFERROR(__xludf.DUMMYFUNCTION("IMPORTRANGE(""https://docs.google.com/spreadsheets/d/1vO9Sws6kMtrVtyvrAJptINXjK8TFBoX9xLYOVK_C8bQ/edit?usp=sharing"",""สุราษฎร์ธานี!I437"")"),30)</f>
        <v>30</v>
      </c>
      <c r="Y88" s="92">
        <f ca="1">IFERROR(__xludf.DUMMYFUNCTION("IMPORTRANGE(""https://docs.google.com/spreadsheets/d/1vO9Sws6kMtrVtyvrAJptINXjK8TFBoX9xLYOVK_C8bQ/edit?usp=sharing"",""สุราษฎร์ธานี!I438"")"),1)</f>
        <v>1</v>
      </c>
      <c r="Z88" s="92">
        <f ca="1">IFERROR(__xludf.DUMMYFUNCTION("IMPORTRANGE(""https://docs.google.com/spreadsheets/d/1vO9Sws6kMtrVtyvrAJptINXjK8TFBoX9xLYOVK_C8bQ/edit?usp=sharing"",""สุราษฎร์ธานี!J437"")"),30)</f>
        <v>30</v>
      </c>
      <c r="AA88" s="93">
        <f t="shared" ca="1" si="27"/>
        <v>100</v>
      </c>
      <c r="AB88" s="92">
        <f ca="1">IFERROR(__xludf.DUMMYFUNCTION("IMPORTRANGE(""https://docs.google.com/spreadsheets/d/1vO9Sws6kMtrVtyvrAJptINXjK8TFBoX9xLYOVK_C8bQ/edit?usp=sharing"",""สุราษฎร์ธานี!J438"")"),1)</f>
        <v>1</v>
      </c>
      <c r="AC88" s="93">
        <f t="shared" ca="1" si="12"/>
        <v>100</v>
      </c>
      <c r="AD88" s="92">
        <f ca="1">IFERROR(__xludf.DUMMYFUNCTION("IMPORTRANGE(""https://docs.google.com/spreadsheets/d/1vO9Sws6kMtrVtyvrAJptINXjK8TFBoX9xLYOVK_C8bQ/edit?usp=sharing"",""สุราษฎร์ธานี!I439"")"),15)</f>
        <v>15</v>
      </c>
      <c r="AE88" s="92">
        <f ca="1">IFERROR(__xludf.DUMMYFUNCTION("IMPORTRANGE(""https://docs.google.com/spreadsheets/d/1vO9Sws6kMtrVtyvrAJptINXjK8TFBoX9xLYOVK_C8bQ/edit?usp=sharing"",""สุราษฎร์ธานี!I440"")"),1)</f>
        <v>1</v>
      </c>
      <c r="AF88" s="92">
        <f ca="1">IFERROR(__xludf.DUMMYFUNCTION("IMPORTRANGE(""https://docs.google.com/spreadsheets/d/1vO9Sws6kMtrVtyvrAJptINXjK8TFBoX9xLYOVK_C8bQ/edit?usp=sharing"",""สุราษฎร์ธานี!J439"")"),15)</f>
        <v>15</v>
      </c>
      <c r="AG88" s="93">
        <f t="shared" ca="1" si="28"/>
        <v>100</v>
      </c>
      <c r="AH88" s="92">
        <f ca="1">IFERROR(__xludf.DUMMYFUNCTION("IMPORTRANGE(""https://docs.google.com/spreadsheets/d/1vO9Sws6kMtrVtyvrAJptINXjK8TFBoX9xLYOVK_C8bQ/edit?usp=sharing"",""สุราษฎร์ธานี!J440"")"),1)</f>
        <v>1</v>
      </c>
      <c r="AI88" s="93">
        <f t="shared" ca="1" si="15"/>
        <v>100</v>
      </c>
      <c r="AJ88" s="92">
        <f ca="1">IFERROR(__xludf.DUMMYFUNCTION("IMPORTRANGE(""https://docs.google.com/spreadsheets/d/1vO9Sws6kMtrVtyvrAJptINXjK8TFBoX9xLYOVK_C8bQ/edit?usp=sharing"",""สุราษฎร์ธานี!I441"")"),0)</f>
        <v>0</v>
      </c>
      <c r="AK88" s="92">
        <f ca="1">IFERROR(__xludf.DUMMYFUNCTION("IMPORTRANGE(""https://docs.google.com/spreadsheets/d/1vO9Sws6kMtrVtyvrAJptINXjK8TFBoX9xLYOVK_C8bQ/edit?usp=sharing"",""สุราษฎร์ธานี!J441"")"),0)</f>
        <v>0</v>
      </c>
      <c r="AL88" s="93">
        <f t="shared" ca="1" si="29"/>
        <v>0</v>
      </c>
    </row>
    <row r="89" spans="1:38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32"/>
        <v>0</v>
      </c>
      <c r="O89" s="43"/>
      <c r="P89" s="43"/>
      <c r="Q89" s="43"/>
      <c r="R89" s="46"/>
      <c r="S89" s="43"/>
      <c r="T89" s="46"/>
      <c r="U89" s="43"/>
      <c r="V89" s="43"/>
      <c r="W89" s="46"/>
      <c r="X89" s="43"/>
      <c r="Y89" s="43"/>
      <c r="Z89" s="43"/>
      <c r="AA89" s="46"/>
      <c r="AB89" s="43"/>
      <c r="AC89" s="46"/>
      <c r="AD89" s="43"/>
      <c r="AE89" s="43"/>
      <c r="AF89" s="43"/>
      <c r="AG89" s="46"/>
      <c r="AH89" s="43"/>
      <c r="AI89" s="46"/>
      <c r="AJ89" s="43"/>
      <c r="AK89" s="43"/>
      <c r="AL89" s="46"/>
    </row>
    <row r="90" spans="1:38" ht="24" hidden="1" customHeight="1" x14ac:dyDescent="0.2">
      <c r="A90" s="103">
        <v>1</v>
      </c>
      <c r="B90" s="104" t="s">
        <v>107</v>
      </c>
      <c r="C90" s="97">
        <f t="shared" ref="C90:C103" si="67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68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32"/>
        <v>0</v>
      </c>
      <c r="O90" s="107"/>
      <c r="P90" s="107"/>
      <c r="Q90" s="107"/>
      <c r="R90" s="108"/>
      <c r="S90" s="107"/>
      <c r="T90" s="108"/>
      <c r="U90" s="107"/>
      <c r="V90" s="107"/>
      <c r="W90" s="108"/>
      <c r="X90" s="107"/>
      <c r="Y90" s="107"/>
      <c r="Z90" s="107"/>
      <c r="AA90" s="108"/>
      <c r="AB90" s="107"/>
      <c r="AC90" s="108"/>
      <c r="AD90" s="107"/>
      <c r="AE90" s="107"/>
      <c r="AF90" s="107"/>
      <c r="AG90" s="108"/>
      <c r="AH90" s="107"/>
      <c r="AI90" s="108"/>
      <c r="AJ90" s="107"/>
      <c r="AK90" s="107"/>
      <c r="AL90" s="108"/>
    </row>
    <row r="91" spans="1:38" ht="24" hidden="1" customHeight="1" x14ac:dyDescent="0.2">
      <c r="A91" s="109">
        <v>2</v>
      </c>
      <c r="B91" s="110" t="s">
        <v>108</v>
      </c>
      <c r="C91" s="74">
        <f t="shared" si="67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68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32"/>
        <v>0</v>
      </c>
      <c r="O91" s="76"/>
      <c r="P91" s="76"/>
      <c r="Q91" s="76"/>
      <c r="R91" s="113"/>
      <c r="S91" s="76"/>
      <c r="T91" s="113"/>
      <c r="U91" s="76"/>
      <c r="V91" s="76"/>
      <c r="W91" s="113"/>
      <c r="X91" s="76"/>
      <c r="Y91" s="76"/>
      <c r="Z91" s="76"/>
      <c r="AA91" s="113"/>
      <c r="AB91" s="76"/>
      <c r="AC91" s="113"/>
      <c r="AD91" s="76"/>
      <c r="AE91" s="76"/>
      <c r="AF91" s="76"/>
      <c r="AG91" s="113"/>
      <c r="AH91" s="76"/>
      <c r="AI91" s="113"/>
      <c r="AJ91" s="76"/>
      <c r="AK91" s="76"/>
      <c r="AL91" s="113"/>
    </row>
    <row r="92" spans="1:38" ht="24" hidden="1" customHeight="1" x14ac:dyDescent="0.2">
      <c r="A92" s="109">
        <v>3</v>
      </c>
      <c r="B92" s="110" t="s">
        <v>109</v>
      </c>
      <c r="C92" s="74">
        <f t="shared" si="67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68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32"/>
        <v>0</v>
      </c>
      <c r="O92" s="76"/>
      <c r="P92" s="76"/>
      <c r="Q92" s="76"/>
      <c r="R92" s="113"/>
      <c r="S92" s="76"/>
      <c r="T92" s="113"/>
      <c r="U92" s="76"/>
      <c r="V92" s="76"/>
      <c r="W92" s="113"/>
      <c r="X92" s="76"/>
      <c r="Y92" s="76"/>
      <c r="Z92" s="76"/>
      <c r="AA92" s="113"/>
      <c r="AB92" s="76"/>
      <c r="AC92" s="113"/>
      <c r="AD92" s="76"/>
      <c r="AE92" s="76"/>
      <c r="AF92" s="76"/>
      <c r="AG92" s="113"/>
      <c r="AH92" s="76"/>
      <c r="AI92" s="113"/>
      <c r="AJ92" s="76"/>
      <c r="AK92" s="76"/>
      <c r="AL92" s="113"/>
    </row>
    <row r="93" spans="1:38" ht="24" hidden="1" customHeight="1" x14ac:dyDescent="0.2">
      <c r="A93" s="109">
        <f t="shared" ref="A93:A103" si="69">+A92+1</f>
        <v>4</v>
      </c>
      <c r="B93" s="110" t="s">
        <v>110</v>
      </c>
      <c r="C93" s="74">
        <f t="shared" si="67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68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32"/>
        <v>0</v>
      </c>
      <c r="O93" s="76"/>
      <c r="P93" s="76"/>
      <c r="Q93" s="76"/>
      <c r="R93" s="113"/>
      <c r="S93" s="76"/>
      <c r="T93" s="113"/>
      <c r="U93" s="76"/>
      <c r="V93" s="76"/>
      <c r="W93" s="113"/>
      <c r="X93" s="76"/>
      <c r="Y93" s="76"/>
      <c r="Z93" s="76"/>
      <c r="AA93" s="113"/>
      <c r="AB93" s="76"/>
      <c r="AC93" s="113"/>
      <c r="AD93" s="76"/>
      <c r="AE93" s="76"/>
      <c r="AF93" s="76"/>
      <c r="AG93" s="113"/>
      <c r="AH93" s="76"/>
      <c r="AI93" s="113"/>
      <c r="AJ93" s="76"/>
      <c r="AK93" s="76"/>
      <c r="AL93" s="113"/>
    </row>
    <row r="94" spans="1:38" ht="24" hidden="1" customHeight="1" x14ac:dyDescent="0.2">
      <c r="A94" s="109">
        <f t="shared" si="69"/>
        <v>5</v>
      </c>
      <c r="B94" s="110" t="s">
        <v>111</v>
      </c>
      <c r="C94" s="74">
        <f t="shared" si="67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68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32"/>
        <v>0</v>
      </c>
      <c r="O94" s="76"/>
      <c r="P94" s="76"/>
      <c r="Q94" s="76"/>
      <c r="R94" s="113"/>
      <c r="S94" s="76"/>
      <c r="T94" s="113"/>
      <c r="U94" s="76"/>
      <c r="V94" s="76"/>
      <c r="W94" s="113"/>
      <c r="X94" s="76"/>
      <c r="Y94" s="76"/>
      <c r="Z94" s="76"/>
      <c r="AA94" s="113"/>
      <c r="AB94" s="76"/>
      <c r="AC94" s="113"/>
      <c r="AD94" s="76"/>
      <c r="AE94" s="76"/>
      <c r="AF94" s="76"/>
      <c r="AG94" s="113"/>
      <c r="AH94" s="76"/>
      <c r="AI94" s="113"/>
      <c r="AJ94" s="76"/>
      <c r="AK94" s="76"/>
      <c r="AL94" s="113"/>
    </row>
    <row r="95" spans="1:38" ht="24" hidden="1" customHeight="1" x14ac:dyDescent="0.2">
      <c r="A95" s="109">
        <f t="shared" si="69"/>
        <v>6</v>
      </c>
      <c r="B95" s="110" t="s">
        <v>112</v>
      </c>
      <c r="C95" s="74">
        <f t="shared" si="67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68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32"/>
        <v>0</v>
      </c>
      <c r="O95" s="76"/>
      <c r="P95" s="76"/>
      <c r="Q95" s="76"/>
      <c r="R95" s="113"/>
      <c r="S95" s="76"/>
      <c r="T95" s="113"/>
      <c r="U95" s="76"/>
      <c r="V95" s="76"/>
      <c r="W95" s="113"/>
      <c r="X95" s="76"/>
      <c r="Y95" s="76"/>
      <c r="Z95" s="76"/>
      <c r="AA95" s="113"/>
      <c r="AB95" s="76"/>
      <c r="AC95" s="113"/>
      <c r="AD95" s="76"/>
      <c r="AE95" s="76"/>
      <c r="AF95" s="76"/>
      <c r="AG95" s="113"/>
      <c r="AH95" s="76"/>
      <c r="AI95" s="113"/>
      <c r="AJ95" s="76"/>
      <c r="AK95" s="76"/>
      <c r="AL95" s="113"/>
    </row>
    <row r="96" spans="1:38" ht="24" hidden="1" customHeight="1" x14ac:dyDescent="0.2">
      <c r="A96" s="109">
        <f t="shared" si="69"/>
        <v>7</v>
      </c>
      <c r="B96" s="110" t="s">
        <v>113</v>
      </c>
      <c r="C96" s="74">
        <f t="shared" si="67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68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32"/>
        <v>0</v>
      </c>
      <c r="O96" s="76"/>
      <c r="P96" s="76"/>
      <c r="Q96" s="76"/>
      <c r="R96" s="113"/>
      <c r="S96" s="76"/>
      <c r="T96" s="113"/>
      <c r="U96" s="76"/>
      <c r="V96" s="76"/>
      <c r="W96" s="113"/>
      <c r="X96" s="76"/>
      <c r="Y96" s="76"/>
      <c r="Z96" s="76"/>
      <c r="AA96" s="113"/>
      <c r="AB96" s="76"/>
      <c r="AC96" s="113"/>
      <c r="AD96" s="76"/>
      <c r="AE96" s="76"/>
      <c r="AF96" s="76"/>
      <c r="AG96" s="113"/>
      <c r="AH96" s="76"/>
      <c r="AI96" s="113"/>
      <c r="AJ96" s="76"/>
      <c r="AK96" s="76"/>
      <c r="AL96" s="113"/>
    </row>
    <row r="97" spans="1:38" ht="24" hidden="1" customHeight="1" x14ac:dyDescent="0.2">
      <c r="A97" s="109">
        <f t="shared" si="69"/>
        <v>8</v>
      </c>
      <c r="B97" s="110" t="s">
        <v>114</v>
      </c>
      <c r="C97" s="74">
        <f t="shared" si="67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68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32"/>
        <v>0</v>
      </c>
      <c r="O97" s="76"/>
      <c r="P97" s="76"/>
      <c r="Q97" s="76"/>
      <c r="R97" s="113"/>
      <c r="S97" s="76"/>
      <c r="T97" s="113"/>
      <c r="U97" s="76"/>
      <c r="V97" s="76"/>
      <c r="W97" s="113"/>
      <c r="X97" s="76"/>
      <c r="Y97" s="76"/>
      <c r="Z97" s="76"/>
      <c r="AA97" s="113"/>
      <c r="AB97" s="76"/>
      <c r="AC97" s="113"/>
      <c r="AD97" s="76"/>
      <c r="AE97" s="76"/>
      <c r="AF97" s="76"/>
      <c r="AG97" s="113"/>
      <c r="AH97" s="76"/>
      <c r="AI97" s="113"/>
      <c r="AJ97" s="76"/>
      <c r="AK97" s="76"/>
      <c r="AL97" s="113"/>
    </row>
    <row r="98" spans="1:38" ht="24" hidden="1" customHeight="1" x14ac:dyDescent="0.2">
      <c r="A98" s="109">
        <f t="shared" si="69"/>
        <v>9</v>
      </c>
      <c r="B98" s="110" t="s">
        <v>115</v>
      </c>
      <c r="C98" s="74">
        <f t="shared" si="67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68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32"/>
        <v>0</v>
      </c>
      <c r="O98" s="76"/>
      <c r="P98" s="76"/>
      <c r="Q98" s="76"/>
      <c r="R98" s="113"/>
      <c r="S98" s="76"/>
      <c r="T98" s="113"/>
      <c r="U98" s="76"/>
      <c r="V98" s="76"/>
      <c r="W98" s="113"/>
      <c r="X98" s="76"/>
      <c r="Y98" s="76"/>
      <c r="Z98" s="76"/>
      <c r="AA98" s="113"/>
      <c r="AB98" s="76"/>
      <c r="AC98" s="113"/>
      <c r="AD98" s="76"/>
      <c r="AE98" s="76"/>
      <c r="AF98" s="76"/>
      <c r="AG98" s="113"/>
      <c r="AH98" s="76"/>
      <c r="AI98" s="113"/>
      <c r="AJ98" s="76"/>
      <c r="AK98" s="76"/>
      <c r="AL98" s="113"/>
    </row>
    <row r="99" spans="1:38" ht="24" hidden="1" customHeight="1" x14ac:dyDescent="0.2">
      <c r="A99" s="109">
        <f t="shared" si="69"/>
        <v>10</v>
      </c>
      <c r="B99" s="110" t="s">
        <v>116</v>
      </c>
      <c r="C99" s="74">
        <f t="shared" si="67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68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32"/>
        <v>0</v>
      </c>
      <c r="O99" s="76"/>
      <c r="P99" s="76"/>
      <c r="Q99" s="76"/>
      <c r="R99" s="113"/>
      <c r="S99" s="76"/>
      <c r="T99" s="113"/>
      <c r="U99" s="76"/>
      <c r="V99" s="76"/>
      <c r="W99" s="113"/>
      <c r="X99" s="76"/>
      <c r="Y99" s="76"/>
      <c r="Z99" s="76"/>
      <c r="AA99" s="113"/>
      <c r="AB99" s="76"/>
      <c r="AC99" s="113"/>
      <c r="AD99" s="76"/>
      <c r="AE99" s="76"/>
      <c r="AF99" s="76"/>
      <c r="AG99" s="113"/>
      <c r="AH99" s="76"/>
      <c r="AI99" s="113"/>
      <c r="AJ99" s="76"/>
      <c r="AK99" s="76"/>
      <c r="AL99" s="113"/>
    </row>
    <row r="100" spans="1:38" ht="24" hidden="1" customHeight="1" x14ac:dyDescent="0.2">
      <c r="A100" s="109">
        <f t="shared" si="69"/>
        <v>11</v>
      </c>
      <c r="B100" s="110" t="s">
        <v>117</v>
      </c>
      <c r="C100" s="74">
        <f t="shared" si="67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68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32"/>
        <v>0</v>
      </c>
      <c r="O100" s="76"/>
      <c r="P100" s="76"/>
      <c r="Q100" s="76"/>
      <c r="R100" s="113"/>
      <c r="S100" s="76"/>
      <c r="T100" s="113"/>
      <c r="U100" s="76"/>
      <c r="V100" s="76"/>
      <c r="W100" s="113"/>
      <c r="X100" s="76"/>
      <c r="Y100" s="76"/>
      <c r="Z100" s="76"/>
      <c r="AA100" s="113"/>
      <c r="AB100" s="76"/>
      <c r="AC100" s="113"/>
      <c r="AD100" s="76"/>
      <c r="AE100" s="76"/>
      <c r="AF100" s="76"/>
      <c r="AG100" s="113"/>
      <c r="AH100" s="76"/>
      <c r="AI100" s="113"/>
      <c r="AJ100" s="76"/>
      <c r="AK100" s="76"/>
      <c r="AL100" s="113"/>
    </row>
    <row r="101" spans="1:38" ht="24" hidden="1" customHeight="1" x14ac:dyDescent="0.2">
      <c r="A101" s="109">
        <f t="shared" si="69"/>
        <v>12</v>
      </c>
      <c r="B101" s="110" t="s">
        <v>118</v>
      </c>
      <c r="C101" s="74">
        <f t="shared" si="67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68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32"/>
        <v>0</v>
      </c>
      <c r="O101" s="76"/>
      <c r="P101" s="76"/>
      <c r="Q101" s="76"/>
      <c r="R101" s="113"/>
      <c r="S101" s="76"/>
      <c r="T101" s="113"/>
      <c r="U101" s="76"/>
      <c r="V101" s="76"/>
      <c r="W101" s="113"/>
      <c r="X101" s="76"/>
      <c r="Y101" s="76"/>
      <c r="Z101" s="76"/>
      <c r="AA101" s="113"/>
      <c r="AB101" s="76"/>
      <c r="AC101" s="113"/>
      <c r="AD101" s="76"/>
      <c r="AE101" s="76"/>
      <c r="AF101" s="76"/>
      <c r="AG101" s="113"/>
      <c r="AH101" s="76"/>
      <c r="AI101" s="113"/>
      <c r="AJ101" s="76"/>
      <c r="AK101" s="76"/>
      <c r="AL101" s="113"/>
    </row>
    <row r="102" spans="1:38" ht="24" hidden="1" customHeight="1" x14ac:dyDescent="0.2">
      <c r="A102" s="109">
        <f t="shared" si="69"/>
        <v>13</v>
      </c>
      <c r="B102" s="110" t="s">
        <v>119</v>
      </c>
      <c r="C102" s="74">
        <f t="shared" si="67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68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32"/>
        <v>0</v>
      </c>
      <c r="O102" s="76"/>
      <c r="P102" s="76"/>
      <c r="Q102" s="76"/>
      <c r="R102" s="113"/>
      <c r="S102" s="76"/>
      <c r="T102" s="113"/>
      <c r="U102" s="76"/>
      <c r="V102" s="76"/>
      <c r="W102" s="113"/>
      <c r="X102" s="76"/>
      <c r="Y102" s="76"/>
      <c r="Z102" s="76"/>
      <c r="AA102" s="113"/>
      <c r="AB102" s="76"/>
      <c r="AC102" s="113"/>
      <c r="AD102" s="76"/>
      <c r="AE102" s="76"/>
      <c r="AF102" s="76"/>
      <c r="AG102" s="113"/>
      <c r="AH102" s="76"/>
      <c r="AI102" s="113"/>
      <c r="AJ102" s="76"/>
      <c r="AK102" s="76"/>
      <c r="AL102" s="113"/>
    </row>
    <row r="103" spans="1:38" ht="24" hidden="1" customHeight="1" x14ac:dyDescent="0.2">
      <c r="A103" s="114">
        <f t="shared" si="69"/>
        <v>14</v>
      </c>
      <c r="B103" s="115" t="s">
        <v>120</v>
      </c>
      <c r="C103" s="85">
        <f t="shared" si="67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68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32"/>
        <v>0</v>
      </c>
      <c r="O103" s="87"/>
      <c r="P103" s="87"/>
      <c r="Q103" s="87"/>
      <c r="R103" s="118"/>
      <c r="S103" s="87"/>
      <c r="T103" s="118"/>
      <c r="U103" s="87"/>
      <c r="V103" s="87"/>
      <c r="W103" s="118"/>
      <c r="X103" s="87"/>
      <c r="Y103" s="87"/>
      <c r="Z103" s="87"/>
      <c r="AA103" s="118"/>
      <c r="AB103" s="87"/>
      <c r="AC103" s="118"/>
      <c r="AD103" s="87"/>
      <c r="AE103" s="87"/>
      <c r="AF103" s="87"/>
      <c r="AG103" s="118"/>
      <c r="AH103" s="87"/>
      <c r="AI103" s="118"/>
      <c r="AJ103" s="87"/>
      <c r="AK103" s="87"/>
      <c r="AL103" s="118"/>
    </row>
    <row r="104" spans="1:38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32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</row>
    <row r="105" spans="1:38" ht="24" hidden="1" customHeight="1" x14ac:dyDescent="0.2">
      <c r="A105" s="103">
        <v>1</v>
      </c>
      <c r="B105" s="119" t="s">
        <v>122</v>
      </c>
      <c r="C105" s="120">
        <f t="shared" ref="C105:C116" si="70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71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32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</row>
    <row r="106" spans="1:38" ht="24" hidden="1" customHeight="1" x14ac:dyDescent="0.2">
      <c r="A106" s="109">
        <v>2</v>
      </c>
      <c r="B106" s="122" t="s">
        <v>123</v>
      </c>
      <c r="C106" s="123">
        <f t="shared" si="70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71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32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</row>
    <row r="107" spans="1:38" ht="24" hidden="1" customHeight="1" x14ac:dyDescent="0.2">
      <c r="A107" s="109">
        <v>3</v>
      </c>
      <c r="B107" s="122" t="s">
        <v>124</v>
      </c>
      <c r="C107" s="123">
        <f t="shared" si="70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71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32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</row>
    <row r="108" spans="1:38" ht="24" hidden="1" customHeight="1" x14ac:dyDescent="0.2">
      <c r="A108" s="125">
        <v>4</v>
      </c>
      <c r="B108" s="122" t="s">
        <v>125</v>
      </c>
      <c r="C108" s="123">
        <f t="shared" si="70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71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32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</row>
    <row r="109" spans="1:38" ht="24" hidden="1" customHeight="1" x14ac:dyDescent="0.2">
      <c r="A109" s="125">
        <v>5</v>
      </c>
      <c r="B109" s="122" t="s">
        <v>126</v>
      </c>
      <c r="C109" s="123">
        <f t="shared" si="70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71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32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</row>
    <row r="110" spans="1:38" ht="24" hidden="1" customHeight="1" x14ac:dyDescent="0.2">
      <c r="A110" s="125">
        <v>6</v>
      </c>
      <c r="B110" s="122" t="s">
        <v>127</v>
      </c>
      <c r="C110" s="123">
        <f t="shared" si="70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71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32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</row>
    <row r="111" spans="1:38" ht="24" hidden="1" customHeight="1" x14ac:dyDescent="0.2">
      <c r="A111" s="125">
        <v>7</v>
      </c>
      <c r="B111" s="122" t="s">
        <v>128</v>
      </c>
      <c r="C111" s="123">
        <f t="shared" si="70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71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32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</row>
    <row r="112" spans="1:38" ht="24" hidden="1" customHeight="1" x14ac:dyDescent="0.2">
      <c r="A112" s="125">
        <v>8</v>
      </c>
      <c r="B112" s="122" t="s">
        <v>129</v>
      </c>
      <c r="C112" s="123">
        <f t="shared" si="70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71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32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</row>
    <row r="113" spans="1:38" ht="24" hidden="1" customHeight="1" x14ac:dyDescent="0.2">
      <c r="A113" s="125">
        <v>9</v>
      </c>
      <c r="B113" s="122" t="s">
        <v>130</v>
      </c>
      <c r="C113" s="123">
        <f t="shared" si="70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71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32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</row>
    <row r="114" spans="1:38" ht="24" hidden="1" customHeight="1" x14ac:dyDescent="0.2">
      <c r="A114" s="125">
        <v>10</v>
      </c>
      <c r="B114" s="122" t="s">
        <v>131</v>
      </c>
      <c r="C114" s="123">
        <f t="shared" si="70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71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32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</row>
    <row r="115" spans="1:38" ht="24" hidden="1" customHeight="1" x14ac:dyDescent="0.2">
      <c r="A115" s="125">
        <v>11</v>
      </c>
      <c r="B115" s="122" t="s">
        <v>132</v>
      </c>
      <c r="C115" s="123">
        <f t="shared" si="70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71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32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</row>
    <row r="116" spans="1:38" ht="24" hidden="1" customHeight="1" x14ac:dyDescent="0.2">
      <c r="A116" s="125">
        <v>12</v>
      </c>
      <c r="B116" s="122" t="s">
        <v>133</v>
      </c>
      <c r="C116" s="123">
        <f t="shared" si="70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71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32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</row>
    <row r="117" spans="1:38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2"/>
      <c r="P117" s="2"/>
      <c r="Q117" s="2"/>
      <c r="R117" s="5"/>
      <c r="S117" s="5"/>
      <c r="T117" s="5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</row>
    <row r="118" spans="1:38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2"/>
      <c r="P118" s="2"/>
      <c r="Q118" s="2"/>
      <c r="R118" s="5"/>
      <c r="S118" s="5"/>
      <c r="T118" s="5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</row>
    <row r="119" spans="1:38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2"/>
      <c r="P119" s="2"/>
      <c r="Q119" s="2"/>
      <c r="R119" s="5"/>
      <c r="S119" s="5"/>
      <c r="T119" s="5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</row>
    <row r="120" spans="1:38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2"/>
      <c r="P120" s="2"/>
      <c r="Q120" s="2"/>
      <c r="R120" s="5"/>
      <c r="S120" s="5"/>
      <c r="T120" s="5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</row>
    <row r="121" spans="1:38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2"/>
      <c r="P121" s="2"/>
      <c r="Q121" s="2"/>
      <c r="R121" s="5"/>
      <c r="S121" s="5"/>
      <c r="T121" s="5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</row>
    <row r="122" spans="1:38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2"/>
      <c r="P122" s="2"/>
      <c r="Q122" s="2"/>
      <c r="R122" s="5"/>
      <c r="S122" s="5"/>
      <c r="T122" s="5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</row>
    <row r="123" spans="1:38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2"/>
      <c r="P123" s="2"/>
      <c r="Q123" s="2"/>
      <c r="R123" s="5"/>
      <c r="S123" s="5"/>
      <c r="T123" s="5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</row>
    <row r="124" spans="1:38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2"/>
      <c r="P124" s="2"/>
      <c r="Q124" s="2"/>
      <c r="R124" s="5"/>
      <c r="S124" s="5"/>
      <c r="T124" s="5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</row>
    <row r="125" spans="1:38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2"/>
      <c r="P125" s="2"/>
      <c r="Q125" s="2"/>
      <c r="R125" s="5"/>
      <c r="S125" s="5"/>
      <c r="T125" s="5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</row>
    <row r="126" spans="1:38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2"/>
      <c r="P126" s="2"/>
      <c r="Q126" s="2"/>
      <c r="R126" s="5"/>
      <c r="S126" s="5"/>
      <c r="T126" s="5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</row>
    <row r="127" spans="1:38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2"/>
      <c r="P127" s="2"/>
      <c r="Q127" s="2"/>
      <c r="R127" s="5"/>
      <c r="S127" s="5"/>
      <c r="T127" s="5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</row>
    <row r="128" spans="1:38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2"/>
      <c r="P128" s="2"/>
      <c r="Q128" s="2"/>
      <c r="R128" s="5"/>
      <c r="S128" s="5"/>
      <c r="T128" s="5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</row>
    <row r="129" spans="1:38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2"/>
      <c r="P129" s="2"/>
      <c r="Q129" s="2"/>
      <c r="R129" s="5"/>
      <c r="S129" s="5"/>
      <c r="T129" s="5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</row>
    <row r="130" spans="1:38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2"/>
      <c r="P130" s="2"/>
      <c r="Q130" s="2"/>
      <c r="R130" s="5"/>
      <c r="S130" s="5"/>
      <c r="T130" s="5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</row>
    <row r="131" spans="1:38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2"/>
      <c r="P131" s="2"/>
      <c r="Q131" s="2"/>
      <c r="R131" s="5"/>
      <c r="S131" s="5"/>
      <c r="T131" s="5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</row>
    <row r="132" spans="1:38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2"/>
      <c r="P132" s="2"/>
      <c r="Q132" s="2"/>
      <c r="R132" s="5"/>
      <c r="S132" s="5"/>
      <c r="T132" s="5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</row>
    <row r="133" spans="1:38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2"/>
      <c r="P133" s="2"/>
      <c r="Q133" s="2"/>
      <c r="R133" s="5"/>
      <c r="S133" s="5"/>
      <c r="T133" s="5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</row>
    <row r="134" spans="1:38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2"/>
      <c r="P134" s="2"/>
      <c r="Q134" s="2"/>
      <c r="R134" s="5"/>
      <c r="S134" s="5"/>
      <c r="T134" s="5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</row>
    <row r="135" spans="1:38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2"/>
      <c r="P135" s="2"/>
      <c r="Q135" s="2"/>
      <c r="R135" s="5"/>
      <c r="S135" s="5"/>
      <c r="T135" s="5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</row>
    <row r="136" spans="1:38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2"/>
      <c r="P136" s="2"/>
      <c r="Q136" s="2"/>
      <c r="R136" s="5"/>
      <c r="S136" s="5"/>
      <c r="T136" s="5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</row>
    <row r="137" spans="1:38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2"/>
      <c r="P137" s="2"/>
      <c r="Q137" s="2"/>
      <c r="R137" s="5"/>
      <c r="S137" s="5"/>
      <c r="T137" s="5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</row>
    <row r="138" spans="1:38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2"/>
      <c r="P138" s="2"/>
      <c r="Q138" s="2"/>
      <c r="R138" s="5"/>
      <c r="S138" s="5"/>
      <c r="T138" s="5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</row>
    <row r="139" spans="1:38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2"/>
      <c r="P139" s="2"/>
      <c r="Q139" s="2"/>
      <c r="R139" s="5"/>
      <c r="S139" s="5"/>
      <c r="T139" s="5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</row>
    <row r="140" spans="1:38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2"/>
      <c r="P140" s="2"/>
      <c r="Q140" s="2"/>
      <c r="R140" s="5"/>
      <c r="S140" s="5"/>
      <c r="T140" s="5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</row>
    <row r="141" spans="1:38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2"/>
      <c r="P141" s="2"/>
      <c r="Q141" s="2"/>
      <c r="R141" s="5"/>
      <c r="S141" s="5"/>
      <c r="T141" s="5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</row>
    <row r="142" spans="1:38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2"/>
      <c r="P142" s="2"/>
      <c r="Q142" s="2"/>
      <c r="R142" s="5"/>
      <c r="S142" s="5"/>
      <c r="T142" s="5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</row>
    <row r="143" spans="1:38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2"/>
      <c r="P143" s="2"/>
      <c r="Q143" s="2"/>
      <c r="R143" s="5"/>
      <c r="S143" s="5"/>
      <c r="T143" s="5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</row>
    <row r="144" spans="1:38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2"/>
      <c r="P144" s="2"/>
      <c r="Q144" s="2"/>
      <c r="R144" s="5"/>
      <c r="S144" s="5"/>
      <c r="T144" s="5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</row>
    <row r="145" spans="1:38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2"/>
      <c r="P145" s="2"/>
      <c r="Q145" s="2"/>
      <c r="R145" s="5"/>
      <c r="S145" s="5"/>
      <c r="T145" s="5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</row>
    <row r="146" spans="1:38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2"/>
      <c r="P146" s="2"/>
      <c r="Q146" s="2"/>
      <c r="R146" s="5"/>
      <c r="S146" s="5"/>
      <c r="T146" s="5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</row>
    <row r="147" spans="1:38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2"/>
      <c r="P147" s="2"/>
      <c r="Q147" s="2"/>
      <c r="R147" s="5"/>
      <c r="S147" s="5"/>
      <c r="T147" s="5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</row>
    <row r="148" spans="1:38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2"/>
      <c r="P148" s="2"/>
      <c r="Q148" s="2"/>
      <c r="R148" s="5"/>
      <c r="S148" s="5"/>
      <c r="T148" s="5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</row>
    <row r="149" spans="1:38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2"/>
      <c r="P149" s="2"/>
      <c r="Q149" s="2"/>
      <c r="R149" s="5"/>
      <c r="S149" s="5"/>
      <c r="T149" s="5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</row>
    <row r="150" spans="1:38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2"/>
      <c r="P150" s="2"/>
      <c r="Q150" s="2"/>
      <c r="R150" s="5"/>
      <c r="S150" s="5"/>
      <c r="T150" s="5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</row>
    <row r="151" spans="1:38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2"/>
      <c r="P151" s="2"/>
      <c r="Q151" s="2"/>
      <c r="R151" s="5"/>
      <c r="S151" s="5"/>
      <c r="T151" s="5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</row>
    <row r="152" spans="1:38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2"/>
      <c r="P152" s="2"/>
      <c r="Q152" s="2"/>
      <c r="R152" s="5"/>
      <c r="S152" s="5"/>
      <c r="T152" s="5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</row>
    <row r="153" spans="1:38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2"/>
      <c r="P153" s="2"/>
      <c r="Q153" s="2"/>
      <c r="R153" s="5"/>
      <c r="S153" s="5"/>
      <c r="T153" s="5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</row>
    <row r="154" spans="1:38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2"/>
      <c r="P154" s="2"/>
      <c r="Q154" s="2"/>
      <c r="R154" s="5"/>
      <c r="S154" s="5"/>
      <c r="T154" s="5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</row>
    <row r="155" spans="1:38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2"/>
      <c r="P155" s="2"/>
      <c r="Q155" s="2"/>
      <c r="R155" s="5"/>
      <c r="S155" s="5"/>
      <c r="T155" s="5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</row>
    <row r="156" spans="1:38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2"/>
      <c r="P156" s="2"/>
      <c r="Q156" s="2"/>
      <c r="R156" s="5"/>
      <c r="S156" s="5"/>
      <c r="T156" s="5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</row>
    <row r="157" spans="1:38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2"/>
      <c r="P157" s="2"/>
      <c r="Q157" s="2"/>
      <c r="R157" s="5"/>
      <c r="S157" s="5"/>
      <c r="T157" s="5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</row>
    <row r="158" spans="1:38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2"/>
      <c r="P158" s="2"/>
      <c r="Q158" s="2"/>
      <c r="R158" s="5"/>
      <c r="S158" s="5"/>
      <c r="T158" s="5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</row>
    <row r="159" spans="1:38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2"/>
      <c r="P159" s="2"/>
      <c r="Q159" s="2"/>
      <c r="R159" s="5"/>
      <c r="S159" s="5"/>
      <c r="T159" s="5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</row>
    <row r="160" spans="1:38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2"/>
      <c r="P160" s="2"/>
      <c r="Q160" s="2"/>
      <c r="R160" s="5"/>
      <c r="S160" s="5"/>
      <c r="T160" s="5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</row>
    <row r="161" spans="1:38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2"/>
      <c r="P161" s="2"/>
      <c r="Q161" s="2"/>
      <c r="R161" s="5"/>
      <c r="S161" s="5"/>
      <c r="T161" s="5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</row>
    <row r="162" spans="1:38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2"/>
      <c r="P162" s="2"/>
      <c r="Q162" s="2"/>
      <c r="R162" s="5"/>
      <c r="S162" s="5"/>
      <c r="T162" s="5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</row>
    <row r="163" spans="1:38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2"/>
      <c r="P163" s="2"/>
      <c r="Q163" s="2"/>
      <c r="R163" s="5"/>
      <c r="S163" s="5"/>
      <c r="T163" s="5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</row>
    <row r="164" spans="1:38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2"/>
      <c r="P164" s="2"/>
      <c r="Q164" s="2"/>
      <c r="R164" s="5"/>
      <c r="S164" s="5"/>
      <c r="T164" s="5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</row>
    <row r="165" spans="1:38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2"/>
      <c r="P165" s="2"/>
      <c r="Q165" s="2"/>
      <c r="R165" s="5"/>
      <c r="S165" s="5"/>
      <c r="T165" s="5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</row>
    <row r="166" spans="1:38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2"/>
      <c r="P166" s="2"/>
      <c r="Q166" s="2"/>
      <c r="R166" s="5"/>
      <c r="S166" s="5"/>
      <c r="T166" s="5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</row>
    <row r="167" spans="1:38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2"/>
      <c r="P167" s="2"/>
      <c r="Q167" s="2"/>
      <c r="R167" s="5"/>
      <c r="S167" s="5"/>
      <c r="T167" s="5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</row>
    <row r="168" spans="1:38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2"/>
      <c r="P168" s="2"/>
      <c r="Q168" s="2"/>
      <c r="R168" s="5"/>
      <c r="S168" s="5"/>
      <c r="T168" s="5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</row>
    <row r="169" spans="1:38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2"/>
      <c r="P169" s="2"/>
      <c r="Q169" s="2"/>
      <c r="R169" s="5"/>
      <c r="S169" s="5"/>
      <c r="T169" s="5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</row>
    <row r="170" spans="1:38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2"/>
      <c r="P170" s="2"/>
      <c r="Q170" s="2"/>
      <c r="R170" s="5"/>
      <c r="S170" s="5"/>
      <c r="T170" s="5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</row>
    <row r="171" spans="1:38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2"/>
      <c r="P171" s="2"/>
      <c r="Q171" s="2"/>
      <c r="R171" s="5"/>
      <c r="S171" s="5"/>
      <c r="T171" s="5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</row>
    <row r="172" spans="1:38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2"/>
      <c r="P172" s="2"/>
      <c r="Q172" s="2"/>
      <c r="R172" s="5"/>
      <c r="S172" s="5"/>
      <c r="T172" s="5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</row>
    <row r="173" spans="1:38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2"/>
      <c r="P173" s="2"/>
      <c r="Q173" s="2"/>
      <c r="R173" s="5"/>
      <c r="S173" s="5"/>
      <c r="T173" s="5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</row>
    <row r="174" spans="1:38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2"/>
      <c r="P174" s="2"/>
      <c r="Q174" s="2"/>
      <c r="R174" s="5"/>
      <c r="S174" s="5"/>
      <c r="T174" s="5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</row>
    <row r="175" spans="1:38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2"/>
      <c r="P175" s="2"/>
      <c r="Q175" s="2"/>
      <c r="R175" s="5"/>
      <c r="S175" s="5"/>
      <c r="T175" s="5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</row>
    <row r="176" spans="1:38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2"/>
      <c r="P176" s="2"/>
      <c r="Q176" s="2"/>
      <c r="R176" s="5"/>
      <c r="S176" s="5"/>
      <c r="T176" s="5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</row>
    <row r="177" spans="1:38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2"/>
      <c r="P177" s="2"/>
      <c r="Q177" s="2"/>
      <c r="R177" s="5"/>
      <c r="S177" s="5"/>
      <c r="T177" s="5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</row>
    <row r="178" spans="1:38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2"/>
      <c r="P178" s="2"/>
      <c r="Q178" s="2"/>
      <c r="R178" s="5"/>
      <c r="S178" s="5"/>
      <c r="T178" s="5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</row>
    <row r="179" spans="1:38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2"/>
      <c r="P179" s="2"/>
      <c r="Q179" s="2"/>
      <c r="R179" s="5"/>
      <c r="S179" s="5"/>
      <c r="T179" s="5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</row>
    <row r="180" spans="1:38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2"/>
      <c r="P180" s="2"/>
      <c r="Q180" s="2"/>
      <c r="R180" s="5"/>
      <c r="S180" s="5"/>
      <c r="T180" s="5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</row>
    <row r="181" spans="1:38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2"/>
      <c r="P181" s="2"/>
      <c r="Q181" s="2"/>
      <c r="R181" s="5"/>
      <c r="S181" s="5"/>
      <c r="T181" s="5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</row>
    <row r="182" spans="1:38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2"/>
      <c r="P182" s="2"/>
      <c r="Q182" s="2"/>
      <c r="R182" s="5"/>
      <c r="S182" s="5"/>
      <c r="T182" s="5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</row>
    <row r="183" spans="1:38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2"/>
      <c r="P183" s="2"/>
      <c r="Q183" s="2"/>
      <c r="R183" s="5"/>
      <c r="S183" s="5"/>
      <c r="T183" s="5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</row>
    <row r="184" spans="1:38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2"/>
      <c r="P184" s="2"/>
      <c r="Q184" s="2"/>
      <c r="R184" s="5"/>
      <c r="S184" s="5"/>
      <c r="T184" s="5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</row>
    <row r="185" spans="1:38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2"/>
      <c r="P185" s="2"/>
      <c r="Q185" s="2"/>
      <c r="R185" s="5"/>
      <c r="S185" s="5"/>
      <c r="T185" s="5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</row>
    <row r="186" spans="1:38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2"/>
      <c r="P186" s="2"/>
      <c r="Q186" s="2"/>
      <c r="R186" s="5"/>
      <c r="S186" s="5"/>
      <c r="T186" s="5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</row>
    <row r="187" spans="1:38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2"/>
      <c r="P187" s="2"/>
      <c r="Q187" s="2"/>
      <c r="R187" s="5"/>
      <c r="S187" s="5"/>
      <c r="T187" s="5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</row>
    <row r="188" spans="1:38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2"/>
      <c r="P188" s="2"/>
      <c r="Q188" s="2"/>
      <c r="R188" s="5"/>
      <c r="S188" s="5"/>
      <c r="T188" s="5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</row>
    <row r="189" spans="1:38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2"/>
      <c r="P189" s="2"/>
      <c r="Q189" s="2"/>
      <c r="R189" s="5"/>
      <c r="S189" s="5"/>
      <c r="T189" s="5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</row>
    <row r="190" spans="1:38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2"/>
      <c r="P190" s="2"/>
      <c r="Q190" s="2"/>
      <c r="R190" s="5"/>
      <c r="S190" s="5"/>
      <c r="T190" s="5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</row>
    <row r="191" spans="1:38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2"/>
      <c r="P191" s="2"/>
      <c r="Q191" s="2"/>
      <c r="R191" s="5"/>
      <c r="S191" s="5"/>
      <c r="T191" s="5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</row>
    <row r="192" spans="1:38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2"/>
      <c r="P192" s="2"/>
      <c r="Q192" s="2"/>
      <c r="R192" s="5"/>
      <c r="S192" s="5"/>
      <c r="T192" s="5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</row>
    <row r="193" spans="1:38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2"/>
      <c r="P193" s="2"/>
      <c r="Q193" s="2"/>
      <c r="R193" s="5"/>
      <c r="S193" s="5"/>
      <c r="T193" s="5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</row>
    <row r="194" spans="1:38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2"/>
      <c r="P194" s="2"/>
      <c r="Q194" s="2"/>
      <c r="R194" s="5"/>
      <c r="S194" s="5"/>
      <c r="T194" s="5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</row>
    <row r="195" spans="1:38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2"/>
      <c r="P195" s="2"/>
      <c r="Q195" s="2"/>
      <c r="R195" s="5"/>
      <c r="S195" s="5"/>
      <c r="T195" s="5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</row>
    <row r="196" spans="1:38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2"/>
      <c r="P196" s="2"/>
      <c r="Q196" s="2"/>
      <c r="R196" s="5"/>
      <c r="S196" s="5"/>
      <c r="T196" s="5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</row>
    <row r="197" spans="1:38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2"/>
      <c r="P197" s="2"/>
      <c r="Q197" s="2"/>
      <c r="R197" s="5"/>
      <c r="S197" s="5"/>
      <c r="T197" s="5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</row>
    <row r="198" spans="1:38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2"/>
      <c r="P198" s="2"/>
      <c r="Q198" s="2"/>
      <c r="R198" s="5"/>
      <c r="S198" s="5"/>
      <c r="T198" s="5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</row>
    <row r="199" spans="1:38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2"/>
      <c r="P199" s="2"/>
      <c r="Q199" s="2"/>
      <c r="R199" s="5"/>
      <c r="S199" s="5"/>
      <c r="T199" s="5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</row>
    <row r="200" spans="1:38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2"/>
      <c r="P200" s="2"/>
      <c r="Q200" s="2"/>
      <c r="R200" s="5"/>
      <c r="S200" s="5"/>
      <c r="T200" s="5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</row>
    <row r="201" spans="1:38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2"/>
      <c r="P201" s="2"/>
      <c r="Q201" s="2"/>
      <c r="R201" s="5"/>
      <c r="S201" s="5"/>
      <c r="T201" s="5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</row>
    <row r="202" spans="1:38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2"/>
      <c r="P202" s="2"/>
      <c r="Q202" s="2"/>
      <c r="R202" s="5"/>
      <c r="S202" s="5"/>
      <c r="T202" s="5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</row>
    <row r="203" spans="1:38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2"/>
      <c r="P203" s="2"/>
      <c r="Q203" s="2"/>
      <c r="R203" s="5"/>
      <c r="S203" s="5"/>
      <c r="T203" s="5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</row>
    <row r="204" spans="1:38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2"/>
      <c r="P204" s="2"/>
      <c r="Q204" s="2"/>
      <c r="R204" s="5"/>
      <c r="S204" s="5"/>
      <c r="T204" s="5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</row>
    <row r="205" spans="1:38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2"/>
      <c r="P205" s="2"/>
      <c r="Q205" s="2"/>
      <c r="R205" s="5"/>
      <c r="S205" s="5"/>
      <c r="T205" s="5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</row>
    <row r="206" spans="1:38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2"/>
      <c r="P206" s="2"/>
      <c r="Q206" s="2"/>
      <c r="R206" s="5"/>
      <c r="S206" s="5"/>
      <c r="T206" s="5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</row>
    <row r="207" spans="1:38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2"/>
      <c r="P207" s="2"/>
      <c r="Q207" s="2"/>
      <c r="R207" s="5"/>
      <c r="S207" s="5"/>
      <c r="T207" s="5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</row>
    <row r="208" spans="1:38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2"/>
      <c r="P208" s="2"/>
      <c r="Q208" s="2"/>
      <c r="R208" s="5"/>
      <c r="S208" s="5"/>
      <c r="T208" s="5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</row>
    <row r="209" spans="1:38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2"/>
      <c r="P209" s="2"/>
      <c r="Q209" s="2"/>
      <c r="R209" s="5"/>
      <c r="S209" s="5"/>
      <c r="T209" s="5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</row>
    <row r="210" spans="1:38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2"/>
      <c r="P210" s="2"/>
      <c r="Q210" s="2"/>
      <c r="R210" s="5"/>
      <c r="S210" s="5"/>
      <c r="T210" s="5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</row>
    <row r="211" spans="1:38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2"/>
      <c r="P211" s="2"/>
      <c r="Q211" s="2"/>
      <c r="R211" s="5"/>
      <c r="S211" s="5"/>
      <c r="T211" s="5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</row>
    <row r="212" spans="1:38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2"/>
      <c r="P212" s="2"/>
      <c r="Q212" s="2"/>
      <c r="R212" s="5"/>
      <c r="S212" s="5"/>
      <c r="T212" s="5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</row>
    <row r="213" spans="1:38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2"/>
      <c r="P213" s="2"/>
      <c r="Q213" s="2"/>
      <c r="R213" s="5"/>
      <c r="S213" s="5"/>
      <c r="T213" s="5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</row>
    <row r="214" spans="1:38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2"/>
      <c r="P214" s="2"/>
      <c r="Q214" s="2"/>
      <c r="R214" s="5"/>
      <c r="S214" s="5"/>
      <c r="T214" s="5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</row>
    <row r="215" spans="1:38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2"/>
      <c r="P215" s="2"/>
      <c r="Q215" s="2"/>
      <c r="R215" s="5"/>
      <c r="S215" s="5"/>
      <c r="T215" s="5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</row>
    <row r="216" spans="1:38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2"/>
      <c r="P216" s="2"/>
      <c r="Q216" s="2"/>
      <c r="R216" s="5"/>
      <c r="S216" s="5"/>
      <c r="T216" s="5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</row>
    <row r="217" spans="1:38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2"/>
      <c r="P217" s="2"/>
      <c r="Q217" s="2"/>
      <c r="R217" s="5"/>
      <c r="S217" s="5"/>
      <c r="T217" s="5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</row>
    <row r="218" spans="1:38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2"/>
      <c r="P218" s="2"/>
      <c r="Q218" s="2"/>
      <c r="R218" s="5"/>
      <c r="S218" s="5"/>
      <c r="T218" s="5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</row>
    <row r="219" spans="1:38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2"/>
      <c r="P219" s="2"/>
      <c r="Q219" s="2"/>
      <c r="R219" s="5"/>
      <c r="S219" s="5"/>
      <c r="T219" s="5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</row>
    <row r="220" spans="1:38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2"/>
      <c r="P220" s="2"/>
      <c r="Q220" s="2"/>
      <c r="R220" s="5"/>
      <c r="S220" s="5"/>
      <c r="T220" s="5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</row>
    <row r="221" spans="1:38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2"/>
      <c r="P221" s="2"/>
      <c r="Q221" s="2"/>
      <c r="R221" s="5"/>
      <c r="S221" s="5"/>
      <c r="T221" s="5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</row>
    <row r="222" spans="1:38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2"/>
      <c r="P222" s="2"/>
      <c r="Q222" s="2"/>
      <c r="R222" s="5"/>
      <c r="S222" s="5"/>
      <c r="T222" s="5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</row>
    <row r="223" spans="1:38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2"/>
      <c r="P223" s="2"/>
      <c r="Q223" s="2"/>
      <c r="R223" s="5"/>
      <c r="S223" s="5"/>
      <c r="T223" s="5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</row>
    <row r="224" spans="1:38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2"/>
      <c r="P224" s="2"/>
      <c r="Q224" s="2"/>
      <c r="R224" s="5"/>
      <c r="S224" s="5"/>
      <c r="T224" s="5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</row>
    <row r="225" spans="1:38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2"/>
      <c r="P225" s="2"/>
      <c r="Q225" s="2"/>
      <c r="R225" s="5"/>
      <c r="S225" s="5"/>
      <c r="T225" s="5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</row>
    <row r="226" spans="1:38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2"/>
      <c r="P226" s="2"/>
      <c r="Q226" s="2"/>
      <c r="R226" s="5"/>
      <c r="S226" s="5"/>
      <c r="T226" s="5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</row>
    <row r="227" spans="1:38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2"/>
      <c r="P227" s="2"/>
      <c r="Q227" s="2"/>
      <c r="R227" s="5"/>
      <c r="S227" s="5"/>
      <c r="T227" s="5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</row>
    <row r="228" spans="1:38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2"/>
      <c r="P228" s="2"/>
      <c r="Q228" s="2"/>
      <c r="R228" s="5"/>
      <c r="S228" s="5"/>
      <c r="T228" s="5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</row>
    <row r="229" spans="1:38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2"/>
      <c r="P229" s="2"/>
      <c r="Q229" s="2"/>
      <c r="R229" s="5"/>
      <c r="S229" s="5"/>
      <c r="T229" s="5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</row>
    <row r="230" spans="1:38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2"/>
      <c r="P230" s="2"/>
      <c r="Q230" s="2"/>
      <c r="R230" s="5"/>
      <c r="S230" s="5"/>
      <c r="T230" s="5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</row>
    <row r="231" spans="1:38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2"/>
      <c r="P231" s="2"/>
      <c r="Q231" s="2"/>
      <c r="R231" s="5"/>
      <c r="S231" s="5"/>
      <c r="T231" s="5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</row>
    <row r="232" spans="1:38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2"/>
      <c r="P232" s="2"/>
      <c r="Q232" s="2"/>
      <c r="R232" s="5"/>
      <c r="S232" s="5"/>
      <c r="T232" s="5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</row>
    <row r="233" spans="1:38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2"/>
      <c r="P233" s="2"/>
      <c r="Q233" s="2"/>
      <c r="R233" s="5"/>
      <c r="S233" s="5"/>
      <c r="T233" s="5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</row>
    <row r="234" spans="1:38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2"/>
      <c r="P234" s="2"/>
      <c r="Q234" s="2"/>
      <c r="R234" s="5"/>
      <c r="S234" s="5"/>
      <c r="T234" s="5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</row>
    <row r="235" spans="1:38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2"/>
      <c r="P235" s="2"/>
      <c r="Q235" s="2"/>
      <c r="R235" s="5"/>
      <c r="S235" s="5"/>
      <c r="T235" s="5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</row>
    <row r="236" spans="1:38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2"/>
      <c r="P236" s="2"/>
      <c r="Q236" s="2"/>
      <c r="R236" s="5"/>
      <c r="S236" s="5"/>
      <c r="T236" s="5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</row>
    <row r="237" spans="1:38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2"/>
      <c r="P237" s="2"/>
      <c r="Q237" s="2"/>
      <c r="R237" s="5"/>
      <c r="S237" s="5"/>
      <c r="T237" s="5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</row>
    <row r="238" spans="1:38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2"/>
      <c r="P238" s="2"/>
      <c r="Q238" s="2"/>
      <c r="R238" s="5"/>
      <c r="S238" s="5"/>
      <c r="T238" s="5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</row>
    <row r="239" spans="1:38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2"/>
      <c r="P239" s="2"/>
      <c r="Q239" s="2"/>
      <c r="R239" s="5"/>
      <c r="S239" s="5"/>
      <c r="T239" s="5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</row>
    <row r="240" spans="1:38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2"/>
      <c r="P240" s="2"/>
      <c r="Q240" s="2"/>
      <c r="R240" s="5"/>
      <c r="S240" s="5"/>
      <c r="T240" s="5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</row>
    <row r="241" spans="1:38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2"/>
      <c r="P241" s="2"/>
      <c r="Q241" s="2"/>
      <c r="R241" s="5"/>
      <c r="S241" s="5"/>
      <c r="T241" s="5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</row>
    <row r="242" spans="1:38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2"/>
      <c r="P242" s="2"/>
      <c r="Q242" s="2"/>
      <c r="R242" s="5"/>
      <c r="S242" s="5"/>
      <c r="T242" s="5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</row>
    <row r="243" spans="1:38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2"/>
      <c r="P243" s="2"/>
      <c r="Q243" s="2"/>
      <c r="R243" s="5"/>
      <c r="S243" s="5"/>
      <c r="T243" s="5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</row>
    <row r="244" spans="1:38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2"/>
      <c r="P244" s="2"/>
      <c r="Q244" s="2"/>
      <c r="R244" s="5"/>
      <c r="S244" s="5"/>
      <c r="T244" s="5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</row>
    <row r="245" spans="1:38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2"/>
      <c r="P245" s="2"/>
      <c r="Q245" s="2"/>
      <c r="R245" s="5"/>
      <c r="S245" s="5"/>
      <c r="T245" s="5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</row>
    <row r="246" spans="1:38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2"/>
      <c r="P246" s="2"/>
      <c r="Q246" s="2"/>
      <c r="R246" s="5"/>
      <c r="S246" s="5"/>
      <c r="T246" s="5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</row>
    <row r="247" spans="1:38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2"/>
      <c r="P247" s="2"/>
      <c r="Q247" s="2"/>
      <c r="R247" s="5"/>
      <c r="S247" s="5"/>
      <c r="T247" s="5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</row>
    <row r="248" spans="1:38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2"/>
      <c r="P248" s="2"/>
      <c r="Q248" s="2"/>
      <c r="R248" s="5"/>
      <c r="S248" s="5"/>
      <c r="T248" s="5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</row>
    <row r="249" spans="1:38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2"/>
      <c r="P249" s="2"/>
      <c r="Q249" s="2"/>
      <c r="R249" s="5"/>
      <c r="S249" s="5"/>
      <c r="T249" s="5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</row>
    <row r="250" spans="1:38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2"/>
      <c r="P250" s="2"/>
      <c r="Q250" s="2"/>
      <c r="R250" s="5"/>
      <c r="S250" s="5"/>
      <c r="T250" s="5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</row>
    <row r="251" spans="1:38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2"/>
      <c r="P251" s="2"/>
      <c r="Q251" s="2"/>
      <c r="R251" s="5"/>
      <c r="S251" s="5"/>
      <c r="T251" s="5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</row>
    <row r="252" spans="1:38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2"/>
      <c r="P252" s="2"/>
      <c r="Q252" s="2"/>
      <c r="R252" s="5"/>
      <c r="S252" s="5"/>
      <c r="T252" s="5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</row>
    <row r="253" spans="1:38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2"/>
      <c r="P253" s="2"/>
      <c r="Q253" s="2"/>
      <c r="R253" s="5"/>
      <c r="S253" s="5"/>
      <c r="T253" s="5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</row>
    <row r="254" spans="1:38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2"/>
      <c r="P254" s="2"/>
      <c r="Q254" s="2"/>
      <c r="R254" s="5"/>
      <c r="S254" s="5"/>
      <c r="T254" s="5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</row>
    <row r="255" spans="1:38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2"/>
      <c r="P255" s="2"/>
      <c r="Q255" s="2"/>
      <c r="R255" s="5"/>
      <c r="S255" s="5"/>
      <c r="T255" s="5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</row>
    <row r="256" spans="1:38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2"/>
      <c r="P256" s="2"/>
      <c r="Q256" s="2"/>
      <c r="R256" s="5"/>
      <c r="S256" s="5"/>
      <c r="T256" s="5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</row>
    <row r="257" spans="1:38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2"/>
      <c r="P257" s="2"/>
      <c r="Q257" s="2"/>
      <c r="R257" s="5"/>
      <c r="S257" s="5"/>
      <c r="T257" s="5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</row>
    <row r="258" spans="1:38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2"/>
      <c r="P258" s="2"/>
      <c r="Q258" s="2"/>
      <c r="R258" s="5"/>
      <c r="S258" s="5"/>
      <c r="T258" s="5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</row>
    <row r="259" spans="1:38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2"/>
      <c r="P259" s="2"/>
      <c r="Q259" s="2"/>
      <c r="R259" s="5"/>
      <c r="S259" s="5"/>
      <c r="T259" s="5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</row>
    <row r="260" spans="1:38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2"/>
      <c r="P260" s="2"/>
      <c r="Q260" s="2"/>
      <c r="R260" s="5"/>
      <c r="S260" s="5"/>
      <c r="T260" s="5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</row>
    <row r="261" spans="1:38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2"/>
      <c r="P261" s="2"/>
      <c r="Q261" s="2"/>
      <c r="R261" s="5"/>
      <c r="S261" s="5"/>
      <c r="T261" s="5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</row>
    <row r="262" spans="1:38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2"/>
      <c r="P262" s="2"/>
      <c r="Q262" s="2"/>
      <c r="R262" s="5"/>
      <c r="S262" s="5"/>
      <c r="T262" s="5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</row>
    <row r="263" spans="1:38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2"/>
      <c r="P263" s="2"/>
      <c r="Q263" s="2"/>
      <c r="R263" s="5"/>
      <c r="S263" s="5"/>
      <c r="T263" s="5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</row>
    <row r="264" spans="1:38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2"/>
      <c r="P264" s="2"/>
      <c r="Q264" s="2"/>
      <c r="R264" s="5"/>
      <c r="S264" s="5"/>
      <c r="T264" s="5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</row>
    <row r="265" spans="1:38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2"/>
      <c r="P265" s="2"/>
      <c r="Q265" s="2"/>
      <c r="R265" s="5"/>
      <c r="S265" s="5"/>
      <c r="T265" s="5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</row>
    <row r="266" spans="1:38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2"/>
      <c r="P266" s="2"/>
      <c r="Q266" s="2"/>
      <c r="R266" s="5"/>
      <c r="S266" s="5"/>
      <c r="T266" s="5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</row>
    <row r="267" spans="1:38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2"/>
      <c r="P267" s="2"/>
      <c r="Q267" s="2"/>
      <c r="R267" s="5"/>
      <c r="S267" s="5"/>
      <c r="T267" s="5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</row>
    <row r="268" spans="1:38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2"/>
      <c r="P268" s="2"/>
      <c r="Q268" s="2"/>
      <c r="R268" s="5"/>
      <c r="S268" s="5"/>
      <c r="T268" s="5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</row>
    <row r="269" spans="1:38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2"/>
      <c r="P269" s="2"/>
      <c r="Q269" s="2"/>
      <c r="R269" s="5"/>
      <c r="S269" s="5"/>
      <c r="T269" s="5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</row>
    <row r="270" spans="1:38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2"/>
      <c r="P270" s="2"/>
      <c r="Q270" s="2"/>
      <c r="R270" s="5"/>
      <c r="S270" s="5"/>
      <c r="T270" s="5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</row>
    <row r="271" spans="1:38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2"/>
      <c r="P271" s="2"/>
      <c r="Q271" s="2"/>
      <c r="R271" s="5"/>
      <c r="S271" s="5"/>
      <c r="T271" s="5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</row>
    <row r="272" spans="1:38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2"/>
      <c r="P272" s="2"/>
      <c r="Q272" s="2"/>
      <c r="R272" s="5"/>
      <c r="S272" s="5"/>
      <c r="T272" s="5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</row>
    <row r="273" spans="1:38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2"/>
      <c r="P273" s="2"/>
      <c r="Q273" s="2"/>
      <c r="R273" s="5"/>
      <c r="S273" s="5"/>
      <c r="T273" s="5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</row>
    <row r="274" spans="1:38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2"/>
      <c r="P274" s="2"/>
      <c r="Q274" s="2"/>
      <c r="R274" s="5"/>
      <c r="S274" s="5"/>
      <c r="T274" s="5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</row>
    <row r="275" spans="1:38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2"/>
      <c r="P275" s="2"/>
      <c r="Q275" s="2"/>
      <c r="R275" s="5"/>
      <c r="S275" s="5"/>
      <c r="T275" s="5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</row>
    <row r="276" spans="1:38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2"/>
      <c r="P276" s="2"/>
      <c r="Q276" s="2"/>
      <c r="R276" s="5"/>
      <c r="S276" s="5"/>
      <c r="T276" s="5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</row>
    <row r="277" spans="1:38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2"/>
      <c r="P277" s="2"/>
      <c r="Q277" s="2"/>
      <c r="R277" s="5"/>
      <c r="S277" s="5"/>
      <c r="T277" s="5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</row>
    <row r="278" spans="1:38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2"/>
      <c r="P278" s="2"/>
      <c r="Q278" s="2"/>
      <c r="R278" s="5"/>
      <c r="S278" s="5"/>
      <c r="T278" s="5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</row>
    <row r="279" spans="1:38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2"/>
      <c r="P279" s="2"/>
      <c r="Q279" s="2"/>
      <c r="R279" s="5"/>
      <c r="S279" s="5"/>
      <c r="T279" s="5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</row>
    <row r="280" spans="1:38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2"/>
      <c r="P280" s="2"/>
      <c r="Q280" s="2"/>
      <c r="R280" s="5"/>
      <c r="S280" s="5"/>
      <c r="T280" s="5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</row>
    <row r="281" spans="1:38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2"/>
      <c r="P281" s="2"/>
      <c r="Q281" s="2"/>
      <c r="R281" s="5"/>
      <c r="S281" s="5"/>
      <c r="T281" s="5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</row>
    <row r="282" spans="1:38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2"/>
      <c r="P282" s="2"/>
      <c r="Q282" s="2"/>
      <c r="R282" s="5"/>
      <c r="S282" s="5"/>
      <c r="T282" s="5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</row>
    <row r="283" spans="1:38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2"/>
      <c r="P283" s="2"/>
      <c r="Q283" s="2"/>
      <c r="R283" s="5"/>
      <c r="S283" s="5"/>
      <c r="T283" s="5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</row>
    <row r="284" spans="1:38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2"/>
      <c r="P284" s="2"/>
      <c r="Q284" s="2"/>
      <c r="R284" s="5"/>
      <c r="S284" s="5"/>
      <c r="T284" s="5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</row>
    <row r="285" spans="1:38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2"/>
      <c r="P285" s="2"/>
      <c r="Q285" s="2"/>
      <c r="R285" s="5"/>
      <c r="S285" s="5"/>
      <c r="T285" s="5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</row>
    <row r="286" spans="1:38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2"/>
      <c r="P286" s="2"/>
      <c r="Q286" s="2"/>
      <c r="R286" s="5"/>
      <c r="S286" s="5"/>
      <c r="T286" s="5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</row>
    <row r="287" spans="1:38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2"/>
      <c r="P287" s="2"/>
      <c r="Q287" s="2"/>
      <c r="R287" s="5"/>
      <c r="S287" s="5"/>
      <c r="T287" s="5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</row>
    <row r="288" spans="1:38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2"/>
      <c r="P288" s="2"/>
      <c r="Q288" s="2"/>
      <c r="R288" s="5"/>
      <c r="S288" s="5"/>
      <c r="T288" s="5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</row>
    <row r="289" spans="1:38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2"/>
      <c r="P289" s="2"/>
      <c r="Q289" s="2"/>
      <c r="R289" s="5"/>
      <c r="S289" s="5"/>
      <c r="T289" s="5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</row>
    <row r="290" spans="1:38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2"/>
      <c r="P290" s="2"/>
      <c r="Q290" s="2"/>
      <c r="R290" s="5"/>
      <c r="S290" s="5"/>
      <c r="T290" s="5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</row>
    <row r="291" spans="1:38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2"/>
      <c r="P291" s="2"/>
      <c r="Q291" s="2"/>
      <c r="R291" s="5"/>
      <c r="S291" s="5"/>
      <c r="T291" s="5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</row>
    <row r="292" spans="1:38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2"/>
      <c r="P292" s="2"/>
      <c r="Q292" s="2"/>
      <c r="R292" s="5"/>
      <c r="S292" s="5"/>
      <c r="T292" s="5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</row>
    <row r="293" spans="1:38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2"/>
      <c r="P293" s="2"/>
      <c r="Q293" s="2"/>
      <c r="R293" s="5"/>
      <c r="S293" s="5"/>
      <c r="T293" s="5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</row>
    <row r="294" spans="1:38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2"/>
      <c r="P294" s="2"/>
      <c r="Q294" s="2"/>
      <c r="R294" s="5"/>
      <c r="S294" s="5"/>
      <c r="T294" s="5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</row>
    <row r="295" spans="1:38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2"/>
      <c r="P295" s="2"/>
      <c r="Q295" s="2"/>
      <c r="R295" s="5"/>
      <c r="S295" s="5"/>
      <c r="T295" s="5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</row>
    <row r="296" spans="1:38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2"/>
      <c r="P296" s="2"/>
      <c r="Q296" s="2"/>
      <c r="R296" s="5"/>
      <c r="S296" s="5"/>
      <c r="T296" s="5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</row>
    <row r="297" spans="1:38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2"/>
      <c r="P297" s="2"/>
      <c r="Q297" s="2"/>
      <c r="R297" s="5"/>
      <c r="S297" s="5"/>
      <c r="T297" s="5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</row>
    <row r="298" spans="1:38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2"/>
      <c r="P298" s="2"/>
      <c r="Q298" s="2"/>
      <c r="R298" s="5"/>
      <c r="S298" s="5"/>
      <c r="T298" s="5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</row>
    <row r="299" spans="1:38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2"/>
      <c r="P299" s="2"/>
      <c r="Q299" s="2"/>
      <c r="R299" s="5"/>
      <c r="S299" s="5"/>
      <c r="T299" s="5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</row>
    <row r="300" spans="1:38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2"/>
      <c r="P300" s="2"/>
      <c r="Q300" s="2"/>
      <c r="R300" s="5"/>
      <c r="S300" s="5"/>
      <c r="T300" s="5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</row>
    <row r="301" spans="1:38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2"/>
      <c r="P301" s="2"/>
      <c r="Q301" s="2"/>
      <c r="R301" s="5"/>
      <c r="S301" s="5"/>
      <c r="T301" s="5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</row>
    <row r="302" spans="1:38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2"/>
      <c r="P302" s="2"/>
      <c r="Q302" s="2"/>
      <c r="R302" s="5"/>
      <c r="S302" s="5"/>
      <c r="T302" s="5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</row>
    <row r="303" spans="1:38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2"/>
      <c r="P303" s="2"/>
      <c r="Q303" s="2"/>
      <c r="R303" s="5"/>
      <c r="S303" s="5"/>
      <c r="T303" s="5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</row>
    <row r="304" spans="1:38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2"/>
      <c r="P304" s="2"/>
      <c r="Q304" s="2"/>
      <c r="R304" s="5"/>
      <c r="S304" s="5"/>
      <c r="T304" s="5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</row>
    <row r="305" spans="1:38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2"/>
      <c r="P305" s="2"/>
      <c r="Q305" s="2"/>
      <c r="R305" s="5"/>
      <c r="S305" s="5"/>
      <c r="T305" s="5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</row>
    <row r="306" spans="1:38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2"/>
      <c r="P306" s="2"/>
      <c r="Q306" s="2"/>
      <c r="R306" s="5"/>
      <c r="S306" s="5"/>
      <c r="T306" s="5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</row>
    <row r="307" spans="1:38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2"/>
      <c r="P307" s="2"/>
      <c r="Q307" s="2"/>
      <c r="R307" s="5"/>
      <c r="S307" s="5"/>
      <c r="T307" s="5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</row>
    <row r="308" spans="1:38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2"/>
      <c r="P308" s="2"/>
      <c r="Q308" s="2"/>
      <c r="R308" s="5"/>
      <c r="S308" s="5"/>
      <c r="T308" s="5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</row>
    <row r="309" spans="1:38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2"/>
      <c r="P309" s="2"/>
      <c r="Q309" s="2"/>
      <c r="R309" s="5"/>
      <c r="S309" s="5"/>
      <c r="T309" s="5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</row>
    <row r="310" spans="1:38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2"/>
      <c r="P310" s="2"/>
      <c r="Q310" s="2"/>
      <c r="R310" s="5"/>
      <c r="S310" s="5"/>
      <c r="T310" s="5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</row>
    <row r="311" spans="1:38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2"/>
      <c r="P311" s="2"/>
      <c r="Q311" s="2"/>
      <c r="R311" s="5"/>
      <c r="S311" s="5"/>
      <c r="T311" s="5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</row>
    <row r="312" spans="1:38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2"/>
      <c r="P312" s="2"/>
      <c r="Q312" s="2"/>
      <c r="R312" s="5"/>
      <c r="S312" s="5"/>
      <c r="T312" s="5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</row>
    <row r="313" spans="1:38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2"/>
      <c r="P313" s="2"/>
      <c r="Q313" s="2"/>
      <c r="R313" s="5"/>
      <c r="S313" s="5"/>
      <c r="T313" s="5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</row>
    <row r="314" spans="1:38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126"/>
      <c r="P314" s="126"/>
      <c r="Q314" s="126"/>
      <c r="R314" s="128"/>
      <c r="S314" s="128"/>
      <c r="T314" s="128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</row>
    <row r="315" spans="1:38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126"/>
      <c r="P315" s="126"/>
      <c r="Q315" s="126"/>
      <c r="R315" s="128"/>
      <c r="S315" s="128"/>
      <c r="T315" s="128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</row>
    <row r="316" spans="1:38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126"/>
      <c r="P316" s="126"/>
      <c r="Q316" s="126"/>
      <c r="R316" s="128"/>
      <c r="S316" s="128"/>
      <c r="T316" s="128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</row>
    <row r="317" spans="1:38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126"/>
      <c r="P317" s="126"/>
      <c r="Q317" s="126"/>
      <c r="R317" s="128"/>
      <c r="S317" s="128"/>
      <c r="T317" s="128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</row>
    <row r="318" spans="1:38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126"/>
      <c r="P318" s="126"/>
      <c r="Q318" s="126"/>
      <c r="R318" s="128"/>
      <c r="S318" s="128"/>
      <c r="T318" s="128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</row>
    <row r="319" spans="1:38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126"/>
      <c r="P319" s="126"/>
      <c r="Q319" s="126"/>
      <c r="R319" s="128"/>
      <c r="S319" s="128"/>
      <c r="T319" s="128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</row>
    <row r="320" spans="1:38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126"/>
      <c r="P320" s="126"/>
      <c r="Q320" s="126"/>
      <c r="R320" s="128"/>
      <c r="S320" s="128"/>
      <c r="T320" s="128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</row>
    <row r="321" spans="1:38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126"/>
      <c r="P321" s="126"/>
      <c r="Q321" s="126"/>
      <c r="R321" s="128"/>
      <c r="S321" s="128"/>
      <c r="T321" s="128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</row>
    <row r="322" spans="1:38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126"/>
      <c r="P322" s="126"/>
      <c r="Q322" s="126"/>
      <c r="R322" s="128"/>
      <c r="S322" s="128"/>
      <c r="T322" s="128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</row>
    <row r="323" spans="1:38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126"/>
      <c r="P323" s="126"/>
      <c r="Q323" s="126"/>
      <c r="R323" s="128"/>
      <c r="S323" s="128"/>
      <c r="T323" s="128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</row>
    <row r="324" spans="1:38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126"/>
      <c r="P324" s="126"/>
      <c r="Q324" s="126"/>
      <c r="R324" s="128"/>
      <c r="S324" s="128"/>
      <c r="T324" s="128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</row>
    <row r="325" spans="1:38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126"/>
      <c r="P325" s="126"/>
      <c r="Q325" s="126"/>
      <c r="R325" s="128"/>
      <c r="S325" s="128"/>
      <c r="T325" s="128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</row>
    <row r="326" spans="1:38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126"/>
      <c r="P326" s="126"/>
      <c r="Q326" s="126"/>
      <c r="R326" s="128"/>
      <c r="S326" s="128"/>
      <c r="T326" s="128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</row>
    <row r="327" spans="1:38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126"/>
      <c r="P327" s="126"/>
      <c r="Q327" s="126"/>
      <c r="R327" s="128"/>
      <c r="S327" s="128"/>
      <c r="T327" s="128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</row>
    <row r="328" spans="1:38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126"/>
      <c r="P328" s="126"/>
      <c r="Q328" s="126"/>
      <c r="R328" s="128"/>
      <c r="S328" s="128"/>
      <c r="T328" s="128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</row>
    <row r="329" spans="1:38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126"/>
      <c r="P329" s="126"/>
      <c r="Q329" s="126"/>
      <c r="R329" s="128"/>
      <c r="S329" s="128"/>
      <c r="T329" s="128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</row>
    <row r="330" spans="1:38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126"/>
      <c r="P330" s="126"/>
      <c r="Q330" s="126"/>
      <c r="R330" s="128"/>
      <c r="S330" s="128"/>
      <c r="T330" s="128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</row>
    <row r="331" spans="1:38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126"/>
      <c r="P331" s="126"/>
      <c r="Q331" s="126"/>
      <c r="R331" s="128"/>
      <c r="S331" s="128"/>
      <c r="T331" s="128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</row>
    <row r="332" spans="1:38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126"/>
      <c r="P332" s="126"/>
      <c r="Q332" s="126"/>
      <c r="R332" s="128"/>
      <c r="S332" s="128"/>
      <c r="T332" s="128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</row>
    <row r="333" spans="1:38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126"/>
      <c r="P333" s="126"/>
      <c r="Q333" s="126"/>
      <c r="R333" s="128"/>
      <c r="S333" s="128"/>
      <c r="T333" s="128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</row>
    <row r="334" spans="1:38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126"/>
      <c r="P334" s="126"/>
      <c r="Q334" s="126"/>
      <c r="R334" s="128"/>
      <c r="S334" s="128"/>
      <c r="T334" s="128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</row>
    <row r="335" spans="1:38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126"/>
      <c r="P335" s="126"/>
      <c r="Q335" s="126"/>
      <c r="R335" s="128"/>
      <c r="S335" s="128"/>
      <c r="T335" s="128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</row>
    <row r="336" spans="1:38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126"/>
      <c r="P336" s="126"/>
      <c r="Q336" s="126"/>
      <c r="R336" s="128"/>
      <c r="S336" s="128"/>
      <c r="T336" s="128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</row>
    <row r="337" spans="1:38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126"/>
      <c r="P337" s="126"/>
      <c r="Q337" s="126"/>
      <c r="R337" s="128"/>
      <c r="S337" s="128"/>
      <c r="T337" s="128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</row>
    <row r="338" spans="1:38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126"/>
      <c r="P338" s="126"/>
      <c r="Q338" s="126"/>
      <c r="R338" s="128"/>
      <c r="S338" s="128"/>
      <c r="T338" s="128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</row>
    <row r="339" spans="1:38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126"/>
      <c r="P339" s="126"/>
      <c r="Q339" s="126"/>
      <c r="R339" s="128"/>
      <c r="S339" s="128"/>
      <c r="T339" s="128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</row>
    <row r="340" spans="1:38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126"/>
      <c r="P340" s="126"/>
      <c r="Q340" s="126"/>
      <c r="R340" s="128"/>
      <c r="S340" s="128"/>
      <c r="T340" s="128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</row>
    <row r="341" spans="1:38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126"/>
      <c r="P341" s="126"/>
      <c r="Q341" s="126"/>
      <c r="R341" s="128"/>
      <c r="S341" s="128"/>
      <c r="T341" s="128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</row>
    <row r="342" spans="1:38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126"/>
      <c r="P342" s="126"/>
      <c r="Q342" s="126"/>
      <c r="R342" s="128"/>
      <c r="S342" s="128"/>
      <c r="T342" s="128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</row>
    <row r="343" spans="1:38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126"/>
      <c r="P343" s="126"/>
      <c r="Q343" s="126"/>
      <c r="R343" s="128"/>
      <c r="S343" s="128"/>
      <c r="T343" s="128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</row>
    <row r="344" spans="1:38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126"/>
      <c r="P344" s="126"/>
      <c r="Q344" s="126"/>
      <c r="R344" s="128"/>
      <c r="S344" s="128"/>
      <c r="T344" s="128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</row>
    <row r="345" spans="1:38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126"/>
      <c r="P345" s="126"/>
      <c r="Q345" s="126"/>
      <c r="R345" s="128"/>
      <c r="S345" s="128"/>
      <c r="T345" s="128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</row>
    <row r="346" spans="1:38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126"/>
      <c r="P346" s="126"/>
      <c r="Q346" s="126"/>
      <c r="R346" s="128"/>
      <c r="S346" s="128"/>
      <c r="T346" s="128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</row>
    <row r="347" spans="1:38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126"/>
      <c r="P347" s="126"/>
      <c r="Q347" s="126"/>
      <c r="R347" s="128"/>
      <c r="S347" s="128"/>
      <c r="T347" s="128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</row>
    <row r="348" spans="1:38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126"/>
      <c r="P348" s="126"/>
      <c r="Q348" s="126"/>
      <c r="R348" s="128"/>
      <c r="S348" s="128"/>
      <c r="T348" s="128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</row>
    <row r="349" spans="1:38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126"/>
      <c r="P349" s="126"/>
      <c r="Q349" s="126"/>
      <c r="R349" s="128"/>
      <c r="S349" s="128"/>
      <c r="T349" s="128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</row>
    <row r="350" spans="1:38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126"/>
      <c r="P350" s="126"/>
      <c r="Q350" s="126"/>
      <c r="R350" s="128"/>
      <c r="S350" s="128"/>
      <c r="T350" s="128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</row>
    <row r="351" spans="1:38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126"/>
      <c r="P351" s="126"/>
      <c r="Q351" s="126"/>
      <c r="R351" s="128"/>
      <c r="S351" s="128"/>
      <c r="T351" s="128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</row>
    <row r="352" spans="1:38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126"/>
      <c r="P352" s="126"/>
      <c r="Q352" s="126"/>
      <c r="R352" s="128"/>
      <c r="S352" s="128"/>
      <c r="T352" s="128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</row>
    <row r="353" spans="1:38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126"/>
      <c r="P353" s="126"/>
      <c r="Q353" s="126"/>
      <c r="R353" s="128"/>
      <c r="S353" s="128"/>
      <c r="T353" s="128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</row>
    <row r="354" spans="1:38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126"/>
      <c r="P354" s="126"/>
      <c r="Q354" s="126"/>
      <c r="R354" s="128"/>
      <c r="S354" s="128"/>
      <c r="T354" s="128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</row>
    <row r="355" spans="1:38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126"/>
      <c r="P355" s="126"/>
      <c r="Q355" s="126"/>
      <c r="R355" s="128"/>
      <c r="S355" s="128"/>
      <c r="T355" s="128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</row>
    <row r="356" spans="1:38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126"/>
      <c r="P356" s="126"/>
      <c r="Q356" s="126"/>
      <c r="R356" s="128"/>
      <c r="S356" s="128"/>
      <c r="T356" s="128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</row>
    <row r="357" spans="1:38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126"/>
      <c r="P357" s="126"/>
      <c r="Q357" s="126"/>
      <c r="R357" s="128"/>
      <c r="S357" s="128"/>
      <c r="T357" s="128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</row>
    <row r="358" spans="1:38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126"/>
      <c r="P358" s="126"/>
      <c r="Q358" s="126"/>
      <c r="R358" s="128"/>
      <c r="S358" s="128"/>
      <c r="T358" s="128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</row>
    <row r="359" spans="1:38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126"/>
      <c r="P359" s="126"/>
      <c r="Q359" s="126"/>
      <c r="R359" s="128"/>
      <c r="S359" s="128"/>
      <c r="T359" s="128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</row>
    <row r="360" spans="1:38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126"/>
      <c r="P360" s="126"/>
      <c r="Q360" s="126"/>
      <c r="R360" s="128"/>
      <c r="S360" s="128"/>
      <c r="T360" s="128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</row>
    <row r="361" spans="1:38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126"/>
      <c r="P361" s="126"/>
      <c r="Q361" s="126"/>
      <c r="R361" s="128"/>
      <c r="S361" s="128"/>
      <c r="T361" s="128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</row>
    <row r="362" spans="1:38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126"/>
      <c r="P362" s="126"/>
      <c r="Q362" s="126"/>
      <c r="R362" s="128"/>
      <c r="S362" s="128"/>
      <c r="T362" s="128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</row>
    <row r="363" spans="1:38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126"/>
      <c r="P363" s="126"/>
      <c r="Q363" s="126"/>
      <c r="R363" s="128"/>
      <c r="S363" s="128"/>
      <c r="T363" s="128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</row>
    <row r="364" spans="1:38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126"/>
      <c r="P364" s="126"/>
      <c r="Q364" s="126"/>
      <c r="R364" s="128"/>
      <c r="S364" s="128"/>
      <c r="T364" s="128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</row>
    <row r="365" spans="1:38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126"/>
      <c r="P365" s="126"/>
      <c r="Q365" s="126"/>
      <c r="R365" s="128"/>
      <c r="S365" s="128"/>
      <c r="T365" s="128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</row>
    <row r="366" spans="1:38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126"/>
      <c r="P366" s="126"/>
      <c r="Q366" s="126"/>
      <c r="R366" s="128"/>
      <c r="S366" s="128"/>
      <c r="T366" s="128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</row>
    <row r="367" spans="1:38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126"/>
      <c r="P367" s="126"/>
      <c r="Q367" s="126"/>
      <c r="R367" s="128"/>
      <c r="S367" s="128"/>
      <c r="T367" s="128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</row>
    <row r="368" spans="1:38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126"/>
      <c r="P368" s="126"/>
      <c r="Q368" s="126"/>
      <c r="R368" s="128"/>
      <c r="S368" s="128"/>
      <c r="T368" s="128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</row>
    <row r="369" spans="1:38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126"/>
      <c r="P369" s="126"/>
      <c r="Q369" s="126"/>
      <c r="R369" s="128"/>
      <c r="S369" s="128"/>
      <c r="T369" s="128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</row>
    <row r="370" spans="1:38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126"/>
      <c r="P370" s="126"/>
      <c r="Q370" s="126"/>
      <c r="R370" s="128"/>
      <c r="S370" s="128"/>
      <c r="T370" s="128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</row>
    <row r="371" spans="1:38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126"/>
      <c r="P371" s="126"/>
      <c r="Q371" s="126"/>
      <c r="R371" s="128"/>
      <c r="S371" s="128"/>
      <c r="T371" s="128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</row>
    <row r="372" spans="1:38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126"/>
      <c r="P372" s="126"/>
      <c r="Q372" s="126"/>
      <c r="R372" s="128"/>
      <c r="S372" s="128"/>
      <c r="T372" s="128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</row>
    <row r="373" spans="1:38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126"/>
      <c r="P373" s="126"/>
      <c r="Q373" s="126"/>
      <c r="R373" s="128"/>
      <c r="S373" s="128"/>
      <c r="T373" s="128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</row>
    <row r="374" spans="1:38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126"/>
      <c r="P374" s="126"/>
      <c r="Q374" s="126"/>
      <c r="R374" s="128"/>
      <c r="S374" s="128"/>
      <c r="T374" s="128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</row>
    <row r="375" spans="1:38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126"/>
      <c r="P375" s="126"/>
      <c r="Q375" s="126"/>
      <c r="R375" s="128"/>
      <c r="S375" s="128"/>
      <c r="T375" s="128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</row>
    <row r="376" spans="1:38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126"/>
      <c r="P376" s="126"/>
      <c r="Q376" s="126"/>
      <c r="R376" s="128"/>
      <c r="S376" s="128"/>
      <c r="T376" s="128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</row>
    <row r="377" spans="1:38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126"/>
      <c r="P377" s="126"/>
      <c r="Q377" s="126"/>
      <c r="R377" s="128"/>
      <c r="S377" s="128"/>
      <c r="T377" s="128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</row>
    <row r="378" spans="1:38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126"/>
      <c r="P378" s="126"/>
      <c r="Q378" s="126"/>
      <c r="R378" s="128"/>
      <c r="S378" s="128"/>
      <c r="T378" s="128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</row>
    <row r="379" spans="1:38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126"/>
      <c r="P379" s="126"/>
      <c r="Q379" s="126"/>
      <c r="R379" s="128"/>
      <c r="S379" s="128"/>
      <c r="T379" s="128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</row>
    <row r="380" spans="1:38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126"/>
      <c r="P380" s="126"/>
      <c r="Q380" s="126"/>
      <c r="R380" s="128"/>
      <c r="S380" s="128"/>
      <c r="T380" s="128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</row>
    <row r="381" spans="1:38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126"/>
      <c r="P381" s="126"/>
      <c r="Q381" s="126"/>
      <c r="R381" s="128"/>
      <c r="S381" s="128"/>
      <c r="T381" s="128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</row>
    <row r="382" spans="1:38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126"/>
      <c r="P382" s="126"/>
      <c r="Q382" s="126"/>
      <c r="R382" s="128"/>
      <c r="S382" s="128"/>
      <c r="T382" s="128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</row>
    <row r="383" spans="1:38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126"/>
      <c r="P383" s="126"/>
      <c r="Q383" s="126"/>
      <c r="R383" s="128"/>
      <c r="S383" s="128"/>
      <c r="T383" s="128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</row>
    <row r="384" spans="1:38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126"/>
      <c r="P384" s="126"/>
      <c r="Q384" s="126"/>
      <c r="R384" s="128"/>
      <c r="S384" s="128"/>
      <c r="T384" s="128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</row>
    <row r="385" spans="1:38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126"/>
      <c r="P385" s="126"/>
      <c r="Q385" s="126"/>
      <c r="R385" s="128"/>
      <c r="S385" s="128"/>
      <c r="T385" s="128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</row>
    <row r="386" spans="1:38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126"/>
      <c r="P386" s="126"/>
      <c r="Q386" s="126"/>
      <c r="R386" s="128"/>
      <c r="S386" s="128"/>
      <c r="T386" s="128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</row>
    <row r="387" spans="1:38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126"/>
      <c r="P387" s="126"/>
      <c r="Q387" s="126"/>
      <c r="R387" s="128"/>
      <c r="S387" s="128"/>
      <c r="T387" s="128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</row>
    <row r="388" spans="1:38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126"/>
      <c r="P388" s="126"/>
      <c r="Q388" s="126"/>
      <c r="R388" s="128"/>
      <c r="S388" s="128"/>
      <c r="T388" s="128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</row>
    <row r="389" spans="1:38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126"/>
      <c r="P389" s="126"/>
      <c r="Q389" s="126"/>
      <c r="R389" s="128"/>
      <c r="S389" s="128"/>
      <c r="T389" s="128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</row>
    <row r="390" spans="1:38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126"/>
      <c r="P390" s="126"/>
      <c r="Q390" s="126"/>
      <c r="R390" s="128"/>
      <c r="S390" s="128"/>
      <c r="T390" s="128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</row>
    <row r="391" spans="1:38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126"/>
      <c r="P391" s="126"/>
      <c r="Q391" s="126"/>
      <c r="R391" s="128"/>
      <c r="S391" s="128"/>
      <c r="T391" s="128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</row>
    <row r="392" spans="1:38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126"/>
      <c r="P392" s="126"/>
      <c r="Q392" s="126"/>
      <c r="R392" s="128"/>
      <c r="S392" s="128"/>
      <c r="T392" s="128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</row>
    <row r="393" spans="1:38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126"/>
      <c r="P393" s="126"/>
      <c r="Q393" s="126"/>
      <c r="R393" s="128"/>
      <c r="S393" s="128"/>
      <c r="T393" s="128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</row>
    <row r="394" spans="1:38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126"/>
      <c r="P394" s="126"/>
      <c r="Q394" s="126"/>
      <c r="R394" s="128"/>
      <c r="S394" s="128"/>
      <c r="T394" s="128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</row>
    <row r="395" spans="1:38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126"/>
      <c r="P395" s="126"/>
      <c r="Q395" s="126"/>
      <c r="R395" s="128"/>
      <c r="S395" s="128"/>
      <c r="T395" s="128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</row>
    <row r="396" spans="1:38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126"/>
      <c r="P396" s="126"/>
      <c r="Q396" s="126"/>
      <c r="R396" s="128"/>
      <c r="S396" s="128"/>
      <c r="T396" s="128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</row>
    <row r="397" spans="1:38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126"/>
      <c r="P397" s="126"/>
      <c r="Q397" s="126"/>
      <c r="R397" s="128"/>
      <c r="S397" s="128"/>
      <c r="T397" s="128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</row>
    <row r="398" spans="1:38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126"/>
      <c r="P398" s="126"/>
      <c r="Q398" s="126"/>
      <c r="R398" s="128"/>
      <c r="S398" s="128"/>
      <c r="T398" s="128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</row>
    <row r="399" spans="1:38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126"/>
      <c r="P399" s="126"/>
      <c r="Q399" s="126"/>
      <c r="R399" s="128"/>
      <c r="S399" s="128"/>
      <c r="T399" s="128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</row>
    <row r="400" spans="1:38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126"/>
      <c r="P400" s="126"/>
      <c r="Q400" s="126"/>
      <c r="R400" s="128"/>
      <c r="S400" s="128"/>
      <c r="T400" s="128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</row>
    <row r="401" spans="1:38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126"/>
      <c r="P401" s="126"/>
      <c r="Q401" s="126"/>
      <c r="R401" s="128"/>
      <c r="S401" s="128"/>
      <c r="T401" s="128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</row>
    <row r="402" spans="1:38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126"/>
      <c r="P402" s="126"/>
      <c r="Q402" s="126"/>
      <c r="R402" s="128"/>
      <c r="S402" s="128"/>
      <c r="T402" s="128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</row>
    <row r="403" spans="1:38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126"/>
      <c r="P403" s="126"/>
      <c r="Q403" s="126"/>
      <c r="R403" s="128"/>
      <c r="S403" s="128"/>
      <c r="T403" s="128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</row>
    <row r="404" spans="1:38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126"/>
      <c r="P404" s="126"/>
      <c r="Q404" s="126"/>
      <c r="R404" s="128"/>
      <c r="S404" s="128"/>
      <c r="T404" s="128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</row>
    <row r="405" spans="1:38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126"/>
      <c r="P405" s="126"/>
      <c r="Q405" s="126"/>
      <c r="R405" s="128"/>
      <c r="S405" s="128"/>
      <c r="T405" s="128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</row>
    <row r="406" spans="1:38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126"/>
      <c r="P406" s="126"/>
      <c r="Q406" s="126"/>
      <c r="R406" s="128"/>
      <c r="S406" s="128"/>
      <c r="T406" s="128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</row>
    <row r="407" spans="1:38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126"/>
      <c r="P407" s="126"/>
      <c r="Q407" s="126"/>
      <c r="R407" s="128"/>
      <c r="S407" s="128"/>
      <c r="T407" s="128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</row>
    <row r="408" spans="1:38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126"/>
      <c r="P408" s="126"/>
      <c r="Q408" s="126"/>
      <c r="R408" s="128"/>
      <c r="S408" s="128"/>
      <c r="T408" s="128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</row>
    <row r="409" spans="1:38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126"/>
      <c r="P409" s="126"/>
      <c r="Q409" s="126"/>
      <c r="R409" s="128"/>
      <c r="S409" s="128"/>
      <c r="T409" s="128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</row>
    <row r="410" spans="1:38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126"/>
      <c r="P410" s="126"/>
      <c r="Q410" s="126"/>
      <c r="R410" s="128"/>
      <c r="S410" s="128"/>
      <c r="T410" s="128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</row>
    <row r="411" spans="1:38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126"/>
      <c r="P411" s="126"/>
      <c r="Q411" s="126"/>
      <c r="R411" s="128"/>
      <c r="S411" s="128"/>
      <c r="T411" s="128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</row>
    <row r="412" spans="1:38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126"/>
      <c r="P412" s="126"/>
      <c r="Q412" s="126"/>
      <c r="R412" s="128"/>
      <c r="S412" s="128"/>
      <c r="T412" s="128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</row>
    <row r="413" spans="1:38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126"/>
      <c r="P413" s="126"/>
      <c r="Q413" s="126"/>
      <c r="R413" s="128"/>
      <c r="S413" s="128"/>
      <c r="T413" s="128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</row>
    <row r="414" spans="1:38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126"/>
      <c r="P414" s="126"/>
      <c r="Q414" s="126"/>
      <c r="R414" s="128"/>
      <c r="S414" s="128"/>
      <c r="T414" s="128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</row>
    <row r="415" spans="1:38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126"/>
      <c r="P415" s="126"/>
      <c r="Q415" s="126"/>
      <c r="R415" s="128"/>
      <c r="S415" s="128"/>
      <c r="T415" s="128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</row>
    <row r="416" spans="1:38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126"/>
      <c r="P416" s="126"/>
      <c r="Q416" s="126"/>
      <c r="R416" s="128"/>
      <c r="S416" s="128"/>
      <c r="T416" s="128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</row>
    <row r="417" spans="1:38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126"/>
      <c r="P417" s="126"/>
      <c r="Q417" s="126"/>
      <c r="R417" s="128"/>
      <c r="S417" s="128"/>
      <c r="T417" s="128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</row>
    <row r="418" spans="1:38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126"/>
      <c r="P418" s="126"/>
      <c r="Q418" s="126"/>
      <c r="R418" s="128"/>
      <c r="S418" s="128"/>
      <c r="T418" s="128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</row>
    <row r="419" spans="1:38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126"/>
      <c r="P419" s="126"/>
      <c r="Q419" s="126"/>
      <c r="R419" s="128"/>
      <c r="S419" s="128"/>
      <c r="T419" s="128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</row>
    <row r="420" spans="1:38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126"/>
      <c r="P420" s="126"/>
      <c r="Q420" s="126"/>
      <c r="R420" s="128"/>
      <c r="S420" s="128"/>
      <c r="T420" s="128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</row>
    <row r="421" spans="1:38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126"/>
      <c r="P421" s="126"/>
      <c r="Q421" s="126"/>
      <c r="R421" s="128"/>
      <c r="S421" s="128"/>
      <c r="T421" s="128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</row>
    <row r="422" spans="1:38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126"/>
      <c r="P422" s="126"/>
      <c r="Q422" s="126"/>
      <c r="R422" s="128"/>
      <c r="S422" s="128"/>
      <c r="T422" s="128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</row>
    <row r="423" spans="1:38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126"/>
      <c r="P423" s="126"/>
      <c r="Q423" s="126"/>
      <c r="R423" s="128"/>
      <c r="S423" s="128"/>
      <c r="T423" s="128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</row>
    <row r="424" spans="1:38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126"/>
      <c r="P424" s="126"/>
      <c r="Q424" s="126"/>
      <c r="R424" s="128"/>
      <c r="S424" s="128"/>
      <c r="T424" s="128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</row>
    <row r="425" spans="1:38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126"/>
      <c r="P425" s="126"/>
      <c r="Q425" s="126"/>
      <c r="R425" s="128"/>
      <c r="S425" s="128"/>
      <c r="T425" s="128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</row>
    <row r="426" spans="1:38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126"/>
      <c r="P426" s="126"/>
      <c r="Q426" s="126"/>
      <c r="R426" s="128"/>
      <c r="S426" s="128"/>
      <c r="T426" s="128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</row>
    <row r="427" spans="1:38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126"/>
      <c r="P427" s="126"/>
      <c r="Q427" s="126"/>
      <c r="R427" s="128"/>
      <c r="S427" s="128"/>
      <c r="T427" s="128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</row>
    <row r="428" spans="1:38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126"/>
      <c r="P428" s="126"/>
      <c r="Q428" s="126"/>
      <c r="R428" s="128"/>
      <c r="S428" s="128"/>
      <c r="T428" s="128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</row>
    <row r="429" spans="1:38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126"/>
      <c r="P429" s="126"/>
      <c r="Q429" s="126"/>
      <c r="R429" s="128"/>
      <c r="S429" s="128"/>
      <c r="T429" s="128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</row>
    <row r="430" spans="1:38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126"/>
      <c r="P430" s="126"/>
      <c r="Q430" s="126"/>
      <c r="R430" s="128"/>
      <c r="S430" s="128"/>
      <c r="T430" s="128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</row>
    <row r="431" spans="1:38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126"/>
      <c r="P431" s="126"/>
      <c r="Q431" s="126"/>
      <c r="R431" s="128"/>
      <c r="S431" s="128"/>
      <c r="T431" s="128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</row>
    <row r="432" spans="1:38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126"/>
      <c r="P432" s="126"/>
      <c r="Q432" s="126"/>
      <c r="R432" s="128"/>
      <c r="S432" s="128"/>
      <c r="T432" s="128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</row>
    <row r="433" spans="1:38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126"/>
      <c r="P433" s="126"/>
      <c r="Q433" s="126"/>
      <c r="R433" s="128"/>
      <c r="S433" s="128"/>
      <c r="T433" s="128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</row>
    <row r="434" spans="1:38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126"/>
      <c r="P434" s="126"/>
      <c r="Q434" s="126"/>
      <c r="R434" s="128"/>
      <c r="S434" s="128"/>
      <c r="T434" s="128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</row>
    <row r="435" spans="1:38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126"/>
      <c r="P435" s="126"/>
      <c r="Q435" s="126"/>
      <c r="R435" s="128"/>
      <c r="S435" s="128"/>
      <c r="T435" s="128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</row>
    <row r="436" spans="1:38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126"/>
      <c r="P436" s="126"/>
      <c r="Q436" s="126"/>
      <c r="R436" s="128"/>
      <c r="S436" s="128"/>
      <c r="T436" s="128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</row>
    <row r="437" spans="1:38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126"/>
      <c r="P437" s="126"/>
      <c r="Q437" s="126"/>
      <c r="R437" s="128"/>
      <c r="S437" s="128"/>
      <c r="T437" s="128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</row>
    <row r="438" spans="1:38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126"/>
      <c r="P438" s="126"/>
      <c r="Q438" s="126"/>
      <c r="R438" s="128"/>
      <c r="S438" s="128"/>
      <c r="T438" s="128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</row>
    <row r="439" spans="1:38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126"/>
      <c r="P439" s="126"/>
      <c r="Q439" s="126"/>
      <c r="R439" s="128"/>
      <c r="S439" s="128"/>
      <c r="T439" s="128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</row>
    <row r="440" spans="1:38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126"/>
      <c r="P440" s="126"/>
      <c r="Q440" s="126"/>
      <c r="R440" s="128"/>
      <c r="S440" s="128"/>
      <c r="T440" s="128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</row>
    <row r="441" spans="1:38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126"/>
      <c r="P441" s="126"/>
      <c r="Q441" s="126"/>
      <c r="R441" s="128"/>
      <c r="S441" s="128"/>
      <c r="T441" s="128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</row>
    <row r="442" spans="1:38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126"/>
      <c r="P442" s="126"/>
      <c r="Q442" s="126"/>
      <c r="R442" s="128"/>
      <c r="S442" s="128"/>
      <c r="T442" s="128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</row>
    <row r="443" spans="1:38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126"/>
      <c r="P443" s="126"/>
      <c r="Q443" s="126"/>
      <c r="R443" s="128"/>
      <c r="S443" s="128"/>
      <c r="T443" s="128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</row>
    <row r="444" spans="1:38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126"/>
      <c r="P444" s="126"/>
      <c r="Q444" s="126"/>
      <c r="R444" s="128"/>
      <c r="S444" s="128"/>
      <c r="T444" s="128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</row>
    <row r="445" spans="1:38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126"/>
      <c r="P445" s="126"/>
      <c r="Q445" s="126"/>
      <c r="R445" s="128"/>
      <c r="S445" s="128"/>
      <c r="T445" s="128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</row>
    <row r="446" spans="1:38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126"/>
      <c r="P446" s="126"/>
      <c r="Q446" s="126"/>
      <c r="R446" s="128"/>
      <c r="S446" s="128"/>
      <c r="T446" s="128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</row>
    <row r="447" spans="1:38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126"/>
      <c r="P447" s="126"/>
      <c r="Q447" s="126"/>
      <c r="R447" s="128"/>
      <c r="S447" s="128"/>
      <c r="T447" s="128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</row>
    <row r="448" spans="1:38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126"/>
      <c r="P448" s="126"/>
      <c r="Q448" s="126"/>
      <c r="R448" s="128"/>
      <c r="S448" s="128"/>
      <c r="T448" s="128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</row>
    <row r="449" spans="1:38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126"/>
      <c r="P449" s="126"/>
      <c r="Q449" s="126"/>
      <c r="R449" s="128"/>
      <c r="S449" s="128"/>
      <c r="T449" s="128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</row>
    <row r="450" spans="1:38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126"/>
      <c r="P450" s="126"/>
      <c r="Q450" s="126"/>
      <c r="R450" s="128"/>
      <c r="S450" s="128"/>
      <c r="T450" s="128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</row>
    <row r="451" spans="1:38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126"/>
      <c r="P451" s="126"/>
      <c r="Q451" s="126"/>
      <c r="R451" s="128"/>
      <c r="S451" s="128"/>
      <c r="T451" s="128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</row>
    <row r="452" spans="1:38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126"/>
      <c r="P452" s="126"/>
      <c r="Q452" s="126"/>
      <c r="R452" s="128"/>
      <c r="S452" s="128"/>
      <c r="T452" s="128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</row>
    <row r="453" spans="1:38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126"/>
      <c r="P453" s="126"/>
      <c r="Q453" s="126"/>
      <c r="R453" s="128"/>
      <c r="S453" s="128"/>
      <c r="T453" s="128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</row>
    <row r="454" spans="1:38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126"/>
      <c r="P454" s="126"/>
      <c r="Q454" s="126"/>
      <c r="R454" s="128"/>
      <c r="S454" s="128"/>
      <c r="T454" s="128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</row>
    <row r="455" spans="1:38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126"/>
      <c r="P455" s="126"/>
      <c r="Q455" s="126"/>
      <c r="R455" s="128"/>
      <c r="S455" s="128"/>
      <c r="T455" s="128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</row>
    <row r="456" spans="1:38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126"/>
      <c r="P456" s="126"/>
      <c r="Q456" s="126"/>
      <c r="R456" s="128"/>
      <c r="S456" s="128"/>
      <c r="T456" s="128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</row>
    <row r="457" spans="1:38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126"/>
      <c r="P457" s="126"/>
      <c r="Q457" s="126"/>
      <c r="R457" s="128"/>
      <c r="S457" s="128"/>
      <c r="T457" s="128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</row>
    <row r="458" spans="1:38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126"/>
      <c r="P458" s="126"/>
      <c r="Q458" s="126"/>
      <c r="R458" s="128"/>
      <c r="S458" s="128"/>
      <c r="T458" s="128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</row>
    <row r="459" spans="1:38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126"/>
      <c r="P459" s="126"/>
      <c r="Q459" s="126"/>
      <c r="R459" s="128"/>
      <c r="S459" s="128"/>
      <c r="T459" s="128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</row>
    <row r="460" spans="1:38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126"/>
      <c r="P460" s="126"/>
      <c r="Q460" s="126"/>
      <c r="R460" s="128"/>
      <c r="S460" s="128"/>
      <c r="T460" s="128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</row>
    <row r="461" spans="1:38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126"/>
      <c r="P461" s="126"/>
      <c r="Q461" s="126"/>
      <c r="R461" s="128"/>
      <c r="S461" s="128"/>
      <c r="T461" s="128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</row>
    <row r="462" spans="1:38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126"/>
      <c r="P462" s="126"/>
      <c r="Q462" s="126"/>
      <c r="R462" s="128"/>
      <c r="S462" s="128"/>
      <c r="T462" s="128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</row>
    <row r="463" spans="1:38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126"/>
      <c r="P463" s="126"/>
      <c r="Q463" s="126"/>
      <c r="R463" s="128"/>
      <c r="S463" s="128"/>
      <c r="T463" s="128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</row>
    <row r="464" spans="1:38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126"/>
      <c r="P464" s="126"/>
      <c r="Q464" s="126"/>
      <c r="R464" s="128"/>
      <c r="S464" s="128"/>
      <c r="T464" s="128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</row>
    <row r="465" spans="1:38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126"/>
      <c r="P465" s="126"/>
      <c r="Q465" s="126"/>
      <c r="R465" s="128"/>
      <c r="S465" s="128"/>
      <c r="T465" s="128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</row>
    <row r="466" spans="1:38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126"/>
      <c r="P466" s="126"/>
      <c r="Q466" s="126"/>
      <c r="R466" s="128"/>
      <c r="S466" s="128"/>
      <c r="T466" s="128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</row>
    <row r="467" spans="1:38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126"/>
      <c r="P467" s="126"/>
      <c r="Q467" s="126"/>
      <c r="R467" s="128"/>
      <c r="S467" s="128"/>
      <c r="T467" s="128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</row>
    <row r="468" spans="1:38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126"/>
      <c r="P468" s="126"/>
      <c r="Q468" s="126"/>
      <c r="R468" s="128"/>
      <c r="S468" s="128"/>
      <c r="T468" s="128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</row>
    <row r="469" spans="1:38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126"/>
      <c r="P469" s="126"/>
      <c r="Q469" s="126"/>
      <c r="R469" s="128"/>
      <c r="S469" s="128"/>
      <c r="T469" s="128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</row>
    <row r="470" spans="1:38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126"/>
      <c r="P470" s="126"/>
      <c r="Q470" s="126"/>
      <c r="R470" s="128"/>
      <c r="S470" s="128"/>
      <c r="T470" s="128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</row>
    <row r="471" spans="1:38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126"/>
      <c r="P471" s="126"/>
      <c r="Q471" s="126"/>
      <c r="R471" s="128"/>
      <c r="S471" s="128"/>
      <c r="T471" s="128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</row>
    <row r="472" spans="1:38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126"/>
      <c r="P472" s="126"/>
      <c r="Q472" s="126"/>
      <c r="R472" s="128"/>
      <c r="S472" s="128"/>
      <c r="T472" s="128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</row>
    <row r="473" spans="1:38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126"/>
      <c r="P473" s="126"/>
      <c r="Q473" s="126"/>
      <c r="R473" s="128"/>
      <c r="S473" s="128"/>
      <c r="T473" s="128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</row>
    <row r="474" spans="1:38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126"/>
      <c r="P474" s="126"/>
      <c r="Q474" s="126"/>
      <c r="R474" s="128"/>
      <c r="S474" s="128"/>
      <c r="T474" s="128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</row>
    <row r="475" spans="1:38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126"/>
      <c r="P475" s="126"/>
      <c r="Q475" s="126"/>
      <c r="R475" s="128"/>
      <c r="S475" s="128"/>
      <c r="T475" s="128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</row>
    <row r="476" spans="1:38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126"/>
      <c r="P476" s="126"/>
      <c r="Q476" s="126"/>
      <c r="R476" s="128"/>
      <c r="S476" s="128"/>
      <c r="T476" s="128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</row>
    <row r="477" spans="1:38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126"/>
      <c r="P477" s="126"/>
      <c r="Q477" s="126"/>
      <c r="R477" s="128"/>
      <c r="S477" s="128"/>
      <c r="T477" s="128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</row>
    <row r="478" spans="1:38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126"/>
      <c r="P478" s="126"/>
      <c r="Q478" s="126"/>
      <c r="R478" s="128"/>
      <c r="S478" s="128"/>
      <c r="T478" s="128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</row>
    <row r="479" spans="1:38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126"/>
      <c r="P479" s="126"/>
      <c r="Q479" s="126"/>
      <c r="R479" s="128"/>
      <c r="S479" s="128"/>
      <c r="T479" s="128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</row>
    <row r="480" spans="1:38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126"/>
      <c r="P480" s="126"/>
      <c r="Q480" s="126"/>
      <c r="R480" s="128"/>
      <c r="S480" s="128"/>
      <c r="T480" s="128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</row>
    <row r="481" spans="1:38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126"/>
      <c r="P481" s="126"/>
      <c r="Q481" s="126"/>
      <c r="R481" s="128"/>
      <c r="S481" s="128"/>
      <c r="T481" s="128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</row>
    <row r="482" spans="1:38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126"/>
      <c r="P482" s="126"/>
      <c r="Q482" s="126"/>
      <c r="R482" s="128"/>
      <c r="S482" s="128"/>
      <c r="T482" s="128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</row>
    <row r="483" spans="1:38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126"/>
      <c r="P483" s="126"/>
      <c r="Q483" s="126"/>
      <c r="R483" s="128"/>
      <c r="S483" s="128"/>
      <c r="T483" s="128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</row>
    <row r="484" spans="1:38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126"/>
      <c r="P484" s="126"/>
      <c r="Q484" s="126"/>
      <c r="R484" s="128"/>
      <c r="S484" s="128"/>
      <c r="T484" s="128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</row>
    <row r="485" spans="1:38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126"/>
      <c r="P485" s="126"/>
      <c r="Q485" s="126"/>
      <c r="R485" s="128"/>
      <c r="S485" s="128"/>
      <c r="T485" s="128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</row>
    <row r="486" spans="1:38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126"/>
      <c r="P486" s="126"/>
      <c r="Q486" s="126"/>
      <c r="R486" s="128"/>
      <c r="S486" s="128"/>
      <c r="T486" s="128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</row>
    <row r="487" spans="1:38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126"/>
      <c r="P487" s="126"/>
      <c r="Q487" s="126"/>
      <c r="R487" s="128"/>
      <c r="S487" s="128"/>
      <c r="T487" s="128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</row>
    <row r="488" spans="1:38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126"/>
      <c r="P488" s="126"/>
      <c r="Q488" s="126"/>
      <c r="R488" s="128"/>
      <c r="S488" s="128"/>
      <c r="T488" s="128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</row>
    <row r="489" spans="1:38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126"/>
      <c r="P489" s="126"/>
      <c r="Q489" s="126"/>
      <c r="R489" s="128"/>
      <c r="S489" s="128"/>
      <c r="T489" s="128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</row>
    <row r="490" spans="1:38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126"/>
      <c r="P490" s="126"/>
      <c r="Q490" s="126"/>
      <c r="R490" s="128"/>
      <c r="S490" s="128"/>
      <c r="T490" s="128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</row>
    <row r="491" spans="1:38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126"/>
      <c r="P491" s="126"/>
      <c r="Q491" s="126"/>
      <c r="R491" s="128"/>
      <c r="S491" s="128"/>
      <c r="T491" s="128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</row>
    <row r="492" spans="1:38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126"/>
      <c r="P492" s="126"/>
      <c r="Q492" s="126"/>
      <c r="R492" s="128"/>
      <c r="S492" s="128"/>
      <c r="T492" s="128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</row>
    <row r="493" spans="1:38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126"/>
      <c r="P493" s="126"/>
      <c r="Q493" s="126"/>
      <c r="R493" s="128"/>
      <c r="S493" s="128"/>
      <c r="T493" s="128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</row>
    <row r="494" spans="1:38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126"/>
      <c r="P494" s="126"/>
      <c r="Q494" s="126"/>
      <c r="R494" s="128"/>
      <c r="S494" s="128"/>
      <c r="T494" s="128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</row>
    <row r="495" spans="1:38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126"/>
      <c r="P495" s="126"/>
      <c r="Q495" s="126"/>
      <c r="R495" s="128"/>
      <c r="S495" s="128"/>
      <c r="T495" s="128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</row>
    <row r="496" spans="1:38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126"/>
      <c r="P496" s="126"/>
      <c r="Q496" s="126"/>
      <c r="R496" s="128"/>
      <c r="S496" s="128"/>
      <c r="T496" s="128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</row>
    <row r="497" spans="1:38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126"/>
      <c r="P497" s="126"/>
      <c r="Q497" s="126"/>
      <c r="R497" s="128"/>
      <c r="S497" s="128"/>
      <c r="T497" s="128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</row>
    <row r="498" spans="1:38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126"/>
      <c r="P498" s="126"/>
      <c r="Q498" s="126"/>
      <c r="R498" s="128"/>
      <c r="S498" s="128"/>
      <c r="T498" s="128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</row>
    <row r="499" spans="1:38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126"/>
      <c r="P499" s="126"/>
      <c r="Q499" s="126"/>
      <c r="R499" s="128"/>
      <c r="S499" s="128"/>
      <c r="T499" s="128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</row>
    <row r="500" spans="1:38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126"/>
      <c r="P500" s="126"/>
      <c r="Q500" s="126"/>
      <c r="R500" s="128"/>
      <c r="S500" s="128"/>
      <c r="T500" s="128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</row>
    <row r="501" spans="1:38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126"/>
      <c r="P501" s="126"/>
      <c r="Q501" s="126"/>
      <c r="R501" s="128"/>
      <c r="S501" s="128"/>
      <c r="T501" s="128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</row>
    <row r="502" spans="1:38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126"/>
      <c r="P502" s="126"/>
      <c r="Q502" s="126"/>
      <c r="R502" s="128"/>
      <c r="S502" s="128"/>
      <c r="T502" s="128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</row>
    <row r="503" spans="1:38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126"/>
      <c r="P503" s="126"/>
      <c r="Q503" s="126"/>
      <c r="R503" s="128"/>
      <c r="S503" s="128"/>
      <c r="T503" s="128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</row>
    <row r="504" spans="1:38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126"/>
      <c r="P504" s="126"/>
      <c r="Q504" s="126"/>
      <c r="R504" s="128"/>
      <c r="S504" s="128"/>
      <c r="T504" s="128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</row>
    <row r="505" spans="1:38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126"/>
      <c r="P505" s="126"/>
      <c r="Q505" s="126"/>
      <c r="R505" s="128"/>
      <c r="S505" s="128"/>
      <c r="T505" s="128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</row>
    <row r="506" spans="1:38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126"/>
      <c r="P506" s="126"/>
      <c r="Q506" s="126"/>
      <c r="R506" s="128"/>
      <c r="S506" s="128"/>
      <c r="T506" s="128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</row>
    <row r="507" spans="1:38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126"/>
      <c r="P507" s="126"/>
      <c r="Q507" s="126"/>
      <c r="R507" s="128"/>
      <c r="S507" s="128"/>
      <c r="T507" s="128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</row>
    <row r="508" spans="1:38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126"/>
      <c r="P508" s="126"/>
      <c r="Q508" s="126"/>
      <c r="R508" s="128"/>
      <c r="S508" s="128"/>
      <c r="T508" s="128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</row>
    <row r="509" spans="1:38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126"/>
      <c r="P509" s="126"/>
      <c r="Q509" s="126"/>
      <c r="R509" s="128"/>
      <c r="S509" s="128"/>
      <c r="T509" s="128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</row>
    <row r="510" spans="1:38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126"/>
      <c r="P510" s="126"/>
      <c r="Q510" s="126"/>
      <c r="R510" s="128"/>
      <c r="S510" s="128"/>
      <c r="T510" s="128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</row>
    <row r="511" spans="1:38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126"/>
      <c r="P511" s="126"/>
      <c r="Q511" s="126"/>
      <c r="R511" s="128"/>
      <c r="S511" s="128"/>
      <c r="T511" s="128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</row>
    <row r="512" spans="1:38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126"/>
      <c r="P512" s="126"/>
      <c r="Q512" s="126"/>
      <c r="R512" s="128"/>
      <c r="S512" s="128"/>
      <c r="T512" s="128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</row>
    <row r="513" spans="1:38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126"/>
      <c r="P513" s="126"/>
      <c r="Q513" s="126"/>
      <c r="R513" s="128"/>
      <c r="S513" s="128"/>
      <c r="T513" s="128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</row>
    <row r="514" spans="1:38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126"/>
      <c r="P514" s="126"/>
      <c r="Q514" s="126"/>
      <c r="R514" s="128"/>
      <c r="S514" s="128"/>
      <c r="T514" s="128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</row>
    <row r="515" spans="1:38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126"/>
      <c r="P515" s="126"/>
      <c r="Q515" s="126"/>
      <c r="R515" s="128"/>
      <c r="S515" s="128"/>
      <c r="T515" s="128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</row>
    <row r="516" spans="1:38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126"/>
      <c r="P516" s="126"/>
      <c r="Q516" s="126"/>
      <c r="R516" s="128"/>
      <c r="S516" s="128"/>
      <c r="T516" s="128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</row>
    <row r="517" spans="1:38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126"/>
      <c r="P517" s="126"/>
      <c r="Q517" s="126"/>
      <c r="R517" s="128"/>
      <c r="S517" s="128"/>
      <c r="T517" s="128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</row>
    <row r="518" spans="1:38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126"/>
      <c r="P518" s="126"/>
      <c r="Q518" s="126"/>
      <c r="R518" s="128"/>
      <c r="S518" s="128"/>
      <c r="T518" s="128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</row>
    <row r="519" spans="1:38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126"/>
      <c r="P519" s="126"/>
      <c r="Q519" s="126"/>
      <c r="R519" s="128"/>
      <c r="S519" s="128"/>
      <c r="T519" s="128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</row>
    <row r="520" spans="1:38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126"/>
      <c r="P520" s="126"/>
      <c r="Q520" s="126"/>
      <c r="R520" s="128"/>
      <c r="S520" s="128"/>
      <c r="T520" s="128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</row>
    <row r="521" spans="1:38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126"/>
      <c r="P521" s="126"/>
      <c r="Q521" s="126"/>
      <c r="R521" s="128"/>
      <c r="S521" s="128"/>
      <c r="T521" s="128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</row>
    <row r="522" spans="1:38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126"/>
      <c r="P522" s="126"/>
      <c r="Q522" s="126"/>
      <c r="R522" s="128"/>
      <c r="S522" s="128"/>
      <c r="T522" s="128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</row>
    <row r="523" spans="1:38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126"/>
      <c r="P523" s="126"/>
      <c r="Q523" s="126"/>
      <c r="R523" s="128"/>
      <c r="S523" s="128"/>
      <c r="T523" s="128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</row>
    <row r="524" spans="1:38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126"/>
      <c r="P524" s="126"/>
      <c r="Q524" s="126"/>
      <c r="R524" s="128"/>
      <c r="S524" s="128"/>
      <c r="T524" s="128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</row>
    <row r="525" spans="1:38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126"/>
      <c r="P525" s="126"/>
      <c r="Q525" s="126"/>
      <c r="R525" s="128"/>
      <c r="S525" s="128"/>
      <c r="T525" s="128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</row>
    <row r="526" spans="1:38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126"/>
      <c r="P526" s="126"/>
      <c r="Q526" s="126"/>
      <c r="R526" s="128"/>
      <c r="S526" s="128"/>
      <c r="T526" s="128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</row>
    <row r="527" spans="1:38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126"/>
      <c r="P527" s="126"/>
      <c r="Q527" s="126"/>
      <c r="R527" s="128"/>
      <c r="S527" s="128"/>
      <c r="T527" s="128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</row>
    <row r="528" spans="1:38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126"/>
      <c r="P528" s="126"/>
      <c r="Q528" s="126"/>
      <c r="R528" s="128"/>
      <c r="S528" s="128"/>
      <c r="T528" s="128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</row>
    <row r="529" spans="1:38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126"/>
      <c r="P529" s="126"/>
      <c r="Q529" s="126"/>
      <c r="R529" s="128"/>
      <c r="S529" s="128"/>
      <c r="T529" s="128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</row>
    <row r="530" spans="1:38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126"/>
      <c r="P530" s="126"/>
      <c r="Q530" s="126"/>
      <c r="R530" s="128"/>
      <c r="S530" s="128"/>
      <c r="T530" s="128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</row>
    <row r="531" spans="1:38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126"/>
      <c r="P531" s="126"/>
      <c r="Q531" s="126"/>
      <c r="R531" s="128"/>
      <c r="S531" s="128"/>
      <c r="T531" s="128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</row>
    <row r="532" spans="1:38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126"/>
      <c r="P532" s="126"/>
      <c r="Q532" s="126"/>
      <c r="R532" s="128"/>
      <c r="S532" s="128"/>
      <c r="T532" s="128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</row>
    <row r="533" spans="1:38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126"/>
      <c r="P533" s="126"/>
      <c r="Q533" s="126"/>
      <c r="R533" s="128"/>
      <c r="S533" s="128"/>
      <c r="T533" s="128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</row>
    <row r="534" spans="1:38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126"/>
      <c r="P534" s="126"/>
      <c r="Q534" s="126"/>
      <c r="R534" s="128"/>
      <c r="S534" s="128"/>
      <c r="T534" s="128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</row>
    <row r="535" spans="1:38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126"/>
      <c r="P535" s="126"/>
      <c r="Q535" s="126"/>
      <c r="R535" s="128"/>
      <c r="S535" s="128"/>
      <c r="T535" s="128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</row>
    <row r="536" spans="1:38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126"/>
      <c r="P536" s="126"/>
      <c r="Q536" s="126"/>
      <c r="R536" s="128"/>
      <c r="S536" s="128"/>
      <c r="T536" s="128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</row>
    <row r="537" spans="1:38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126"/>
      <c r="P537" s="126"/>
      <c r="Q537" s="126"/>
      <c r="R537" s="128"/>
      <c r="S537" s="128"/>
      <c r="T537" s="128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</row>
    <row r="538" spans="1:38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126"/>
      <c r="P538" s="126"/>
      <c r="Q538" s="126"/>
      <c r="R538" s="128"/>
      <c r="S538" s="128"/>
      <c r="T538" s="128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</row>
    <row r="539" spans="1:38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126"/>
      <c r="P539" s="126"/>
      <c r="Q539" s="126"/>
      <c r="R539" s="128"/>
      <c r="S539" s="128"/>
      <c r="T539" s="128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</row>
    <row r="540" spans="1:38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126"/>
      <c r="P540" s="126"/>
      <c r="Q540" s="126"/>
      <c r="R540" s="128"/>
      <c r="S540" s="128"/>
      <c r="T540" s="128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</row>
    <row r="541" spans="1:38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126"/>
      <c r="P541" s="126"/>
      <c r="Q541" s="126"/>
      <c r="R541" s="128"/>
      <c r="S541" s="128"/>
      <c r="T541" s="128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</row>
    <row r="542" spans="1:38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126"/>
      <c r="P542" s="126"/>
      <c r="Q542" s="126"/>
      <c r="R542" s="128"/>
      <c r="S542" s="128"/>
      <c r="T542" s="128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</row>
    <row r="543" spans="1:38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126"/>
      <c r="P543" s="126"/>
      <c r="Q543" s="126"/>
      <c r="R543" s="128"/>
      <c r="S543" s="128"/>
      <c r="T543" s="128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</row>
    <row r="544" spans="1:38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126"/>
      <c r="P544" s="126"/>
      <c r="Q544" s="126"/>
      <c r="R544" s="128"/>
      <c r="S544" s="128"/>
      <c r="T544" s="128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</row>
    <row r="545" spans="1:38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126"/>
      <c r="P545" s="126"/>
      <c r="Q545" s="126"/>
      <c r="R545" s="128"/>
      <c r="S545" s="128"/>
      <c r="T545" s="128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</row>
    <row r="546" spans="1:38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126"/>
      <c r="P546" s="126"/>
      <c r="Q546" s="126"/>
      <c r="R546" s="128"/>
      <c r="S546" s="128"/>
      <c r="T546" s="128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</row>
    <row r="547" spans="1:38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126"/>
      <c r="P547" s="126"/>
      <c r="Q547" s="126"/>
      <c r="R547" s="128"/>
      <c r="S547" s="128"/>
      <c r="T547" s="128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</row>
    <row r="548" spans="1:38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126"/>
      <c r="P548" s="126"/>
      <c r="Q548" s="126"/>
      <c r="R548" s="128"/>
      <c r="S548" s="128"/>
      <c r="T548" s="128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</row>
    <row r="549" spans="1:38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126"/>
      <c r="P549" s="126"/>
      <c r="Q549" s="126"/>
      <c r="R549" s="128"/>
      <c r="S549" s="128"/>
      <c r="T549" s="128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</row>
    <row r="550" spans="1:38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126"/>
      <c r="P550" s="126"/>
      <c r="Q550" s="126"/>
      <c r="R550" s="128"/>
      <c r="S550" s="128"/>
      <c r="T550" s="128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</row>
    <row r="551" spans="1:38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126"/>
      <c r="P551" s="126"/>
      <c r="Q551" s="126"/>
      <c r="R551" s="128"/>
      <c r="S551" s="128"/>
      <c r="T551" s="128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</row>
    <row r="552" spans="1:38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126"/>
      <c r="P552" s="126"/>
      <c r="Q552" s="126"/>
      <c r="R552" s="128"/>
      <c r="S552" s="128"/>
      <c r="T552" s="128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</row>
    <row r="553" spans="1:38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126"/>
      <c r="P553" s="126"/>
      <c r="Q553" s="126"/>
      <c r="R553" s="128"/>
      <c r="S553" s="128"/>
      <c r="T553" s="128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</row>
    <row r="554" spans="1:38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126"/>
      <c r="P554" s="126"/>
      <c r="Q554" s="126"/>
      <c r="R554" s="128"/>
      <c r="S554" s="128"/>
      <c r="T554" s="128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</row>
    <row r="555" spans="1:38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126"/>
      <c r="P555" s="126"/>
      <c r="Q555" s="126"/>
      <c r="R555" s="128"/>
      <c r="S555" s="128"/>
      <c r="T555" s="128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</row>
    <row r="556" spans="1:38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126"/>
      <c r="P556" s="126"/>
      <c r="Q556" s="126"/>
      <c r="R556" s="128"/>
      <c r="S556" s="128"/>
      <c r="T556" s="128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</row>
    <row r="557" spans="1:38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126"/>
      <c r="P557" s="126"/>
      <c r="Q557" s="126"/>
      <c r="R557" s="128"/>
      <c r="S557" s="128"/>
      <c r="T557" s="128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</row>
    <row r="558" spans="1:38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126"/>
      <c r="P558" s="126"/>
      <c r="Q558" s="126"/>
      <c r="R558" s="128"/>
      <c r="S558" s="128"/>
      <c r="T558" s="128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</row>
    <row r="559" spans="1:38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126"/>
      <c r="P559" s="126"/>
      <c r="Q559" s="126"/>
      <c r="R559" s="128"/>
      <c r="S559" s="128"/>
      <c r="T559" s="128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</row>
    <row r="560" spans="1:38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126"/>
      <c r="P560" s="126"/>
      <c r="Q560" s="126"/>
      <c r="R560" s="128"/>
      <c r="S560" s="128"/>
      <c r="T560" s="128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</row>
    <row r="561" spans="1:38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126"/>
      <c r="P561" s="126"/>
      <c r="Q561" s="126"/>
      <c r="R561" s="128"/>
      <c r="S561" s="128"/>
      <c r="T561" s="128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</row>
    <row r="562" spans="1:38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126"/>
      <c r="P562" s="126"/>
      <c r="Q562" s="126"/>
      <c r="R562" s="128"/>
      <c r="S562" s="128"/>
      <c r="T562" s="128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</row>
    <row r="563" spans="1:38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126"/>
      <c r="P563" s="126"/>
      <c r="Q563" s="126"/>
      <c r="R563" s="128"/>
      <c r="S563" s="128"/>
      <c r="T563" s="128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</row>
    <row r="564" spans="1:38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126"/>
      <c r="P564" s="126"/>
      <c r="Q564" s="126"/>
      <c r="R564" s="128"/>
      <c r="S564" s="128"/>
      <c r="T564" s="128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</row>
    <row r="565" spans="1:38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126"/>
      <c r="P565" s="126"/>
      <c r="Q565" s="126"/>
      <c r="R565" s="128"/>
      <c r="S565" s="128"/>
      <c r="T565" s="128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</row>
    <row r="566" spans="1:38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126"/>
      <c r="P566" s="126"/>
      <c r="Q566" s="126"/>
      <c r="R566" s="128"/>
      <c r="S566" s="128"/>
      <c r="T566" s="128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</row>
    <row r="567" spans="1:38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126"/>
      <c r="P567" s="126"/>
      <c r="Q567" s="126"/>
      <c r="R567" s="128"/>
      <c r="S567" s="128"/>
      <c r="T567" s="128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</row>
    <row r="568" spans="1:38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126"/>
      <c r="P568" s="126"/>
      <c r="Q568" s="126"/>
      <c r="R568" s="128"/>
      <c r="S568" s="128"/>
      <c r="T568" s="128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</row>
    <row r="569" spans="1:38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126"/>
      <c r="P569" s="126"/>
      <c r="Q569" s="126"/>
      <c r="R569" s="128"/>
      <c r="S569" s="128"/>
      <c r="T569" s="128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</row>
    <row r="570" spans="1:38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126"/>
      <c r="P570" s="126"/>
      <c r="Q570" s="126"/>
      <c r="R570" s="128"/>
      <c r="S570" s="128"/>
      <c r="T570" s="128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</row>
    <row r="571" spans="1:38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126"/>
      <c r="P571" s="126"/>
      <c r="Q571" s="126"/>
      <c r="R571" s="128"/>
      <c r="S571" s="128"/>
      <c r="T571" s="128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</row>
    <row r="572" spans="1:38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126"/>
      <c r="P572" s="126"/>
      <c r="Q572" s="126"/>
      <c r="R572" s="128"/>
      <c r="S572" s="128"/>
      <c r="T572" s="128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</row>
    <row r="573" spans="1:38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126"/>
      <c r="P573" s="126"/>
      <c r="Q573" s="126"/>
      <c r="R573" s="128"/>
      <c r="S573" s="128"/>
      <c r="T573" s="128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</row>
    <row r="574" spans="1:38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126"/>
      <c r="P574" s="126"/>
      <c r="Q574" s="126"/>
      <c r="R574" s="128"/>
      <c r="S574" s="128"/>
      <c r="T574" s="128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</row>
    <row r="575" spans="1:38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126"/>
      <c r="P575" s="126"/>
      <c r="Q575" s="126"/>
      <c r="R575" s="128"/>
      <c r="S575" s="128"/>
      <c r="T575" s="128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</row>
    <row r="576" spans="1:38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126"/>
      <c r="P576" s="126"/>
      <c r="Q576" s="126"/>
      <c r="R576" s="128"/>
      <c r="S576" s="128"/>
      <c r="T576" s="128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</row>
    <row r="577" spans="1:38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126"/>
      <c r="P577" s="126"/>
      <c r="Q577" s="126"/>
      <c r="R577" s="128"/>
      <c r="S577" s="128"/>
      <c r="T577" s="128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</row>
    <row r="578" spans="1:38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126"/>
      <c r="P578" s="126"/>
      <c r="Q578" s="126"/>
      <c r="R578" s="128"/>
      <c r="S578" s="128"/>
      <c r="T578" s="128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</row>
    <row r="579" spans="1:38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126"/>
      <c r="P579" s="126"/>
      <c r="Q579" s="126"/>
      <c r="R579" s="128"/>
      <c r="S579" s="128"/>
      <c r="T579" s="128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</row>
    <row r="580" spans="1:38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126"/>
      <c r="P580" s="126"/>
      <c r="Q580" s="126"/>
      <c r="R580" s="128"/>
      <c r="S580" s="128"/>
      <c r="T580" s="128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</row>
    <row r="581" spans="1:38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126"/>
      <c r="P581" s="126"/>
      <c r="Q581" s="126"/>
      <c r="R581" s="128"/>
      <c r="S581" s="128"/>
      <c r="T581" s="128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</row>
    <row r="582" spans="1:38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126"/>
      <c r="P582" s="126"/>
      <c r="Q582" s="126"/>
      <c r="R582" s="128"/>
      <c r="S582" s="128"/>
      <c r="T582" s="128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</row>
    <row r="583" spans="1:38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126"/>
      <c r="P583" s="126"/>
      <c r="Q583" s="126"/>
      <c r="R583" s="128"/>
      <c r="S583" s="128"/>
      <c r="T583" s="128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</row>
    <row r="584" spans="1:38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126"/>
      <c r="P584" s="126"/>
      <c r="Q584" s="126"/>
      <c r="R584" s="128"/>
      <c r="S584" s="128"/>
      <c r="T584" s="128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</row>
    <row r="585" spans="1:38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126"/>
      <c r="P585" s="126"/>
      <c r="Q585" s="126"/>
      <c r="R585" s="128"/>
      <c r="S585" s="128"/>
      <c r="T585" s="128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</row>
    <row r="586" spans="1:38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126"/>
      <c r="P586" s="126"/>
      <c r="Q586" s="126"/>
      <c r="R586" s="128"/>
      <c r="S586" s="128"/>
      <c r="T586" s="128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</row>
    <row r="587" spans="1:38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126"/>
      <c r="P587" s="126"/>
      <c r="Q587" s="126"/>
      <c r="R587" s="128"/>
      <c r="S587" s="128"/>
      <c r="T587" s="128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</row>
    <row r="588" spans="1:38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126"/>
      <c r="P588" s="126"/>
      <c r="Q588" s="126"/>
      <c r="R588" s="128"/>
      <c r="S588" s="128"/>
      <c r="T588" s="128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</row>
    <row r="589" spans="1:38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126"/>
      <c r="P589" s="126"/>
      <c r="Q589" s="126"/>
      <c r="R589" s="128"/>
      <c r="S589" s="128"/>
      <c r="T589" s="128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</row>
    <row r="590" spans="1:38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126"/>
      <c r="P590" s="126"/>
      <c r="Q590" s="126"/>
      <c r="R590" s="128"/>
      <c r="S590" s="128"/>
      <c r="T590" s="128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</row>
    <row r="591" spans="1:38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126"/>
      <c r="P591" s="126"/>
      <c r="Q591" s="126"/>
      <c r="R591" s="128"/>
      <c r="S591" s="128"/>
      <c r="T591" s="128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</row>
    <row r="592" spans="1:38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126"/>
      <c r="P592" s="126"/>
      <c r="Q592" s="126"/>
      <c r="R592" s="128"/>
      <c r="S592" s="128"/>
      <c r="T592" s="128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</row>
    <row r="593" spans="1:38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126"/>
      <c r="P593" s="126"/>
      <c r="Q593" s="126"/>
      <c r="R593" s="128"/>
      <c r="S593" s="128"/>
      <c r="T593" s="128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</row>
    <row r="594" spans="1:38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126"/>
      <c r="P594" s="126"/>
      <c r="Q594" s="126"/>
      <c r="R594" s="128"/>
      <c r="S594" s="128"/>
      <c r="T594" s="128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</row>
    <row r="595" spans="1:38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126"/>
      <c r="P595" s="126"/>
      <c r="Q595" s="126"/>
      <c r="R595" s="128"/>
      <c r="S595" s="128"/>
      <c r="T595" s="128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</row>
    <row r="596" spans="1:38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126"/>
      <c r="P596" s="126"/>
      <c r="Q596" s="126"/>
      <c r="R596" s="128"/>
      <c r="S596" s="128"/>
      <c r="T596" s="128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</row>
    <row r="597" spans="1:38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126"/>
      <c r="P597" s="126"/>
      <c r="Q597" s="126"/>
      <c r="R597" s="128"/>
      <c r="S597" s="128"/>
      <c r="T597" s="128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</row>
    <row r="598" spans="1:38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126"/>
      <c r="P598" s="126"/>
      <c r="Q598" s="126"/>
      <c r="R598" s="128"/>
      <c r="S598" s="128"/>
      <c r="T598" s="128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</row>
    <row r="599" spans="1:38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126"/>
      <c r="P599" s="126"/>
      <c r="Q599" s="126"/>
      <c r="R599" s="128"/>
      <c r="S599" s="128"/>
      <c r="T599" s="128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</row>
    <row r="600" spans="1:38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126"/>
      <c r="P600" s="126"/>
      <c r="Q600" s="126"/>
      <c r="R600" s="128"/>
      <c r="S600" s="128"/>
      <c r="T600" s="128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</row>
    <row r="601" spans="1:38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126"/>
      <c r="P601" s="126"/>
      <c r="Q601" s="126"/>
      <c r="R601" s="128"/>
      <c r="S601" s="128"/>
      <c r="T601" s="128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</row>
    <row r="602" spans="1:38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126"/>
      <c r="P602" s="126"/>
      <c r="Q602" s="126"/>
      <c r="R602" s="128"/>
      <c r="S602" s="128"/>
      <c r="T602" s="128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</row>
    <row r="603" spans="1:38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126"/>
      <c r="P603" s="126"/>
      <c r="Q603" s="126"/>
      <c r="R603" s="128"/>
      <c r="S603" s="128"/>
      <c r="T603" s="128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</row>
    <row r="604" spans="1:38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126"/>
      <c r="P604" s="126"/>
      <c r="Q604" s="126"/>
      <c r="R604" s="128"/>
      <c r="S604" s="128"/>
      <c r="T604" s="128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</row>
    <row r="605" spans="1:38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126"/>
      <c r="P605" s="126"/>
      <c r="Q605" s="126"/>
      <c r="R605" s="128"/>
      <c r="S605" s="128"/>
      <c r="T605" s="128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</row>
    <row r="606" spans="1:38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126"/>
      <c r="P606" s="126"/>
      <c r="Q606" s="126"/>
      <c r="R606" s="128"/>
      <c r="S606" s="128"/>
      <c r="T606" s="128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</row>
    <row r="607" spans="1:38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126"/>
      <c r="P607" s="126"/>
      <c r="Q607" s="126"/>
      <c r="R607" s="128"/>
      <c r="S607" s="128"/>
      <c r="T607" s="128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</row>
    <row r="608" spans="1:38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126"/>
      <c r="P608" s="126"/>
      <c r="Q608" s="126"/>
      <c r="R608" s="128"/>
      <c r="S608" s="128"/>
      <c r="T608" s="128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</row>
    <row r="609" spans="1:38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126"/>
      <c r="P609" s="126"/>
      <c r="Q609" s="126"/>
      <c r="R609" s="128"/>
      <c r="S609" s="128"/>
      <c r="T609" s="128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</row>
    <row r="610" spans="1:38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126"/>
      <c r="P610" s="126"/>
      <c r="Q610" s="126"/>
      <c r="R610" s="128"/>
      <c r="S610" s="128"/>
      <c r="T610" s="128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</row>
    <row r="611" spans="1:38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126"/>
      <c r="P611" s="126"/>
      <c r="Q611" s="126"/>
      <c r="R611" s="128"/>
      <c r="S611" s="128"/>
      <c r="T611" s="128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</row>
    <row r="612" spans="1:38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126"/>
      <c r="P612" s="126"/>
      <c r="Q612" s="126"/>
      <c r="R612" s="128"/>
      <c r="S612" s="128"/>
      <c r="T612" s="128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</row>
    <row r="613" spans="1:38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126"/>
      <c r="P613" s="126"/>
      <c r="Q613" s="126"/>
      <c r="R613" s="128"/>
      <c r="S613" s="128"/>
      <c r="T613" s="128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</row>
    <row r="614" spans="1:38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126"/>
      <c r="P614" s="126"/>
      <c r="Q614" s="126"/>
      <c r="R614" s="128"/>
      <c r="S614" s="128"/>
      <c r="T614" s="128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</row>
    <row r="615" spans="1:38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126"/>
      <c r="P615" s="126"/>
      <c r="Q615" s="126"/>
      <c r="R615" s="128"/>
      <c r="S615" s="128"/>
      <c r="T615" s="128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</row>
    <row r="616" spans="1:38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126"/>
      <c r="P616" s="126"/>
      <c r="Q616" s="126"/>
      <c r="R616" s="128"/>
      <c r="S616" s="128"/>
      <c r="T616" s="128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</row>
    <row r="617" spans="1:38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126"/>
      <c r="P617" s="126"/>
      <c r="Q617" s="126"/>
      <c r="R617" s="128"/>
      <c r="S617" s="128"/>
      <c r="T617" s="128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</row>
    <row r="618" spans="1:38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126"/>
      <c r="P618" s="126"/>
      <c r="Q618" s="126"/>
      <c r="R618" s="128"/>
      <c r="S618" s="128"/>
      <c r="T618" s="128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</row>
    <row r="619" spans="1:38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126"/>
      <c r="P619" s="126"/>
      <c r="Q619" s="126"/>
      <c r="R619" s="128"/>
      <c r="S619" s="128"/>
      <c r="T619" s="128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</row>
    <row r="620" spans="1:38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126"/>
      <c r="P620" s="126"/>
      <c r="Q620" s="126"/>
      <c r="R620" s="128"/>
      <c r="S620" s="128"/>
      <c r="T620" s="128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</row>
    <row r="621" spans="1:38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126"/>
      <c r="P621" s="126"/>
      <c r="Q621" s="126"/>
      <c r="R621" s="128"/>
      <c r="S621" s="128"/>
      <c r="T621" s="128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</row>
    <row r="622" spans="1:38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126"/>
      <c r="P622" s="126"/>
      <c r="Q622" s="126"/>
      <c r="R622" s="128"/>
      <c r="S622" s="128"/>
      <c r="T622" s="128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</row>
    <row r="623" spans="1:38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126"/>
      <c r="P623" s="126"/>
      <c r="Q623" s="126"/>
      <c r="R623" s="128"/>
      <c r="S623" s="128"/>
      <c r="T623" s="128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</row>
    <row r="624" spans="1:38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126"/>
      <c r="P624" s="126"/>
      <c r="Q624" s="126"/>
      <c r="R624" s="128"/>
      <c r="S624" s="128"/>
      <c r="T624" s="128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</row>
    <row r="625" spans="1:38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126"/>
      <c r="P625" s="126"/>
      <c r="Q625" s="126"/>
      <c r="R625" s="128"/>
      <c r="S625" s="128"/>
      <c r="T625" s="128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</row>
    <row r="626" spans="1:38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126"/>
      <c r="P626" s="126"/>
      <c r="Q626" s="126"/>
      <c r="R626" s="128"/>
      <c r="S626" s="128"/>
      <c r="T626" s="128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</row>
    <row r="627" spans="1:38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126"/>
      <c r="P627" s="126"/>
      <c r="Q627" s="126"/>
      <c r="R627" s="128"/>
      <c r="S627" s="128"/>
      <c r="T627" s="128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</row>
    <row r="628" spans="1:38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126"/>
      <c r="P628" s="126"/>
      <c r="Q628" s="126"/>
      <c r="R628" s="128"/>
      <c r="S628" s="128"/>
      <c r="T628" s="128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</row>
    <row r="629" spans="1:38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126"/>
      <c r="P629" s="126"/>
      <c r="Q629" s="126"/>
      <c r="R629" s="128"/>
      <c r="S629" s="128"/>
      <c r="T629" s="128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</row>
    <row r="630" spans="1:38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126"/>
      <c r="P630" s="126"/>
      <c r="Q630" s="126"/>
      <c r="R630" s="128"/>
      <c r="S630" s="128"/>
      <c r="T630" s="128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</row>
    <row r="631" spans="1:38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126"/>
      <c r="P631" s="126"/>
      <c r="Q631" s="126"/>
      <c r="R631" s="128"/>
      <c r="S631" s="128"/>
      <c r="T631" s="128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</row>
    <row r="632" spans="1:38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126"/>
      <c r="P632" s="126"/>
      <c r="Q632" s="126"/>
      <c r="R632" s="128"/>
      <c r="S632" s="128"/>
      <c r="T632" s="128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</row>
    <row r="633" spans="1:38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126"/>
      <c r="P633" s="126"/>
      <c r="Q633" s="126"/>
      <c r="R633" s="128"/>
      <c r="S633" s="128"/>
      <c r="T633" s="128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</row>
    <row r="634" spans="1:38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126"/>
      <c r="P634" s="126"/>
      <c r="Q634" s="126"/>
      <c r="R634" s="128"/>
      <c r="S634" s="128"/>
      <c r="T634" s="128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</row>
    <row r="635" spans="1:38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126"/>
      <c r="P635" s="126"/>
      <c r="Q635" s="126"/>
      <c r="R635" s="128"/>
      <c r="S635" s="128"/>
      <c r="T635" s="128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</row>
    <row r="636" spans="1:38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126"/>
      <c r="P636" s="126"/>
      <c r="Q636" s="126"/>
      <c r="R636" s="128"/>
      <c r="S636" s="128"/>
      <c r="T636" s="128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</row>
    <row r="637" spans="1:38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126"/>
      <c r="P637" s="126"/>
      <c r="Q637" s="126"/>
      <c r="R637" s="128"/>
      <c r="S637" s="128"/>
      <c r="T637" s="128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</row>
    <row r="638" spans="1:38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126"/>
      <c r="P638" s="126"/>
      <c r="Q638" s="126"/>
      <c r="R638" s="128"/>
      <c r="S638" s="128"/>
      <c r="T638" s="128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</row>
    <row r="639" spans="1:38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126"/>
      <c r="P639" s="126"/>
      <c r="Q639" s="126"/>
      <c r="R639" s="128"/>
      <c r="S639" s="128"/>
      <c r="T639" s="128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</row>
    <row r="640" spans="1:38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126"/>
      <c r="P640" s="126"/>
      <c r="Q640" s="126"/>
      <c r="R640" s="128"/>
      <c r="S640" s="128"/>
      <c r="T640" s="128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</row>
    <row r="641" spans="1:38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126"/>
      <c r="P641" s="126"/>
      <c r="Q641" s="126"/>
      <c r="R641" s="128"/>
      <c r="S641" s="128"/>
      <c r="T641" s="128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</row>
    <row r="642" spans="1:38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126"/>
      <c r="P642" s="126"/>
      <c r="Q642" s="126"/>
      <c r="R642" s="128"/>
      <c r="S642" s="128"/>
      <c r="T642" s="128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</row>
    <row r="643" spans="1:38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126"/>
      <c r="P643" s="126"/>
      <c r="Q643" s="126"/>
      <c r="R643" s="128"/>
      <c r="S643" s="128"/>
      <c r="T643" s="128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</row>
    <row r="644" spans="1:38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126"/>
      <c r="P644" s="126"/>
      <c r="Q644" s="126"/>
      <c r="R644" s="128"/>
      <c r="S644" s="128"/>
      <c r="T644" s="128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</row>
    <row r="645" spans="1:38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126"/>
      <c r="P645" s="126"/>
      <c r="Q645" s="126"/>
      <c r="R645" s="128"/>
      <c r="S645" s="128"/>
      <c r="T645" s="128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</row>
    <row r="646" spans="1:38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126"/>
      <c r="P646" s="126"/>
      <c r="Q646" s="126"/>
      <c r="R646" s="128"/>
      <c r="S646" s="128"/>
      <c r="T646" s="128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</row>
    <row r="647" spans="1:38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126"/>
      <c r="P647" s="126"/>
      <c r="Q647" s="126"/>
      <c r="R647" s="128"/>
      <c r="S647" s="128"/>
      <c r="T647" s="128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</row>
    <row r="648" spans="1:38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126"/>
      <c r="P648" s="126"/>
      <c r="Q648" s="126"/>
      <c r="R648" s="128"/>
      <c r="S648" s="128"/>
      <c r="T648" s="128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</row>
    <row r="649" spans="1:38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126"/>
      <c r="P649" s="126"/>
      <c r="Q649" s="126"/>
      <c r="R649" s="128"/>
      <c r="S649" s="128"/>
      <c r="T649" s="128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</row>
    <row r="650" spans="1:38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126"/>
      <c r="P650" s="126"/>
      <c r="Q650" s="126"/>
      <c r="R650" s="128"/>
      <c r="S650" s="128"/>
      <c r="T650" s="128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</row>
    <row r="651" spans="1:38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126"/>
      <c r="P651" s="126"/>
      <c r="Q651" s="126"/>
      <c r="R651" s="128"/>
      <c r="S651" s="128"/>
      <c r="T651" s="128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</row>
    <row r="652" spans="1:38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126"/>
      <c r="P652" s="126"/>
      <c r="Q652" s="126"/>
      <c r="R652" s="128"/>
      <c r="S652" s="128"/>
      <c r="T652" s="128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</row>
    <row r="653" spans="1:38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126"/>
      <c r="P653" s="126"/>
      <c r="Q653" s="126"/>
      <c r="R653" s="128"/>
      <c r="S653" s="128"/>
      <c r="T653" s="128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</row>
    <row r="654" spans="1:38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126"/>
      <c r="P654" s="126"/>
      <c r="Q654" s="126"/>
      <c r="R654" s="128"/>
      <c r="S654" s="128"/>
      <c r="T654" s="128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</row>
    <row r="655" spans="1:38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126"/>
      <c r="P655" s="126"/>
      <c r="Q655" s="126"/>
      <c r="R655" s="128"/>
      <c r="S655" s="128"/>
      <c r="T655" s="128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</row>
    <row r="656" spans="1:38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126"/>
      <c r="P656" s="126"/>
      <c r="Q656" s="126"/>
      <c r="R656" s="128"/>
      <c r="S656" s="128"/>
      <c r="T656" s="128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</row>
    <row r="657" spans="1:38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126"/>
      <c r="P657" s="126"/>
      <c r="Q657" s="126"/>
      <c r="R657" s="128"/>
      <c r="S657" s="128"/>
      <c r="T657" s="128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</row>
    <row r="658" spans="1:38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126"/>
      <c r="P658" s="126"/>
      <c r="Q658" s="126"/>
      <c r="R658" s="128"/>
      <c r="S658" s="128"/>
      <c r="T658" s="128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</row>
    <row r="659" spans="1:38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126"/>
      <c r="P659" s="126"/>
      <c r="Q659" s="126"/>
      <c r="R659" s="128"/>
      <c r="S659" s="128"/>
      <c r="T659" s="128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</row>
    <row r="660" spans="1:38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126"/>
      <c r="P660" s="126"/>
      <c r="Q660" s="126"/>
      <c r="R660" s="128"/>
      <c r="S660" s="128"/>
      <c r="T660" s="128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</row>
    <row r="661" spans="1:38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126"/>
      <c r="P661" s="126"/>
      <c r="Q661" s="126"/>
      <c r="R661" s="128"/>
      <c r="S661" s="128"/>
      <c r="T661" s="128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</row>
    <row r="662" spans="1:38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126"/>
      <c r="P662" s="126"/>
      <c r="Q662" s="126"/>
      <c r="R662" s="128"/>
      <c r="S662" s="128"/>
      <c r="T662" s="128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</row>
    <row r="663" spans="1:38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126"/>
      <c r="P663" s="126"/>
      <c r="Q663" s="126"/>
      <c r="R663" s="128"/>
      <c r="S663" s="128"/>
      <c r="T663" s="128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</row>
    <row r="664" spans="1:38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126"/>
      <c r="P664" s="126"/>
      <c r="Q664" s="126"/>
      <c r="R664" s="128"/>
      <c r="S664" s="128"/>
      <c r="T664" s="128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</row>
    <row r="665" spans="1:38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126"/>
      <c r="P665" s="126"/>
      <c r="Q665" s="126"/>
      <c r="R665" s="128"/>
      <c r="S665" s="128"/>
      <c r="T665" s="128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</row>
    <row r="666" spans="1:38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126"/>
      <c r="P666" s="126"/>
      <c r="Q666" s="126"/>
      <c r="R666" s="128"/>
      <c r="S666" s="128"/>
      <c r="T666" s="128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</row>
    <row r="667" spans="1:38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126"/>
      <c r="P667" s="126"/>
      <c r="Q667" s="126"/>
      <c r="R667" s="128"/>
      <c r="S667" s="128"/>
      <c r="T667" s="128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</row>
    <row r="668" spans="1:38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126"/>
      <c r="P668" s="126"/>
      <c r="Q668" s="126"/>
      <c r="R668" s="128"/>
      <c r="S668" s="128"/>
      <c r="T668" s="128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</row>
    <row r="669" spans="1:38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126"/>
      <c r="P669" s="126"/>
      <c r="Q669" s="126"/>
      <c r="R669" s="128"/>
      <c r="S669" s="128"/>
      <c r="T669" s="128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</row>
    <row r="670" spans="1:38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126"/>
      <c r="P670" s="126"/>
      <c r="Q670" s="126"/>
      <c r="R670" s="128"/>
      <c r="S670" s="128"/>
      <c r="T670" s="128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</row>
    <row r="671" spans="1:38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126"/>
      <c r="P671" s="126"/>
      <c r="Q671" s="126"/>
      <c r="R671" s="128"/>
      <c r="S671" s="128"/>
      <c r="T671" s="128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</row>
    <row r="672" spans="1:38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126"/>
      <c r="P672" s="126"/>
      <c r="Q672" s="126"/>
      <c r="R672" s="128"/>
      <c r="S672" s="128"/>
      <c r="T672" s="128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</row>
    <row r="673" spans="1:38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126"/>
      <c r="P673" s="126"/>
      <c r="Q673" s="126"/>
      <c r="R673" s="128"/>
      <c r="S673" s="128"/>
      <c r="T673" s="128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</row>
    <row r="674" spans="1:38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126"/>
      <c r="P674" s="126"/>
      <c r="Q674" s="126"/>
      <c r="R674" s="128"/>
      <c r="S674" s="128"/>
      <c r="T674" s="128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</row>
    <row r="675" spans="1:38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126"/>
      <c r="P675" s="126"/>
      <c r="Q675" s="126"/>
      <c r="R675" s="128"/>
      <c r="S675" s="128"/>
      <c r="T675" s="128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</row>
    <row r="676" spans="1:38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126"/>
      <c r="P676" s="126"/>
      <c r="Q676" s="126"/>
      <c r="R676" s="128"/>
      <c r="S676" s="128"/>
      <c r="T676" s="128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</row>
    <row r="677" spans="1:38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126"/>
      <c r="P677" s="126"/>
      <c r="Q677" s="126"/>
      <c r="R677" s="128"/>
      <c r="S677" s="128"/>
      <c r="T677" s="128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</row>
    <row r="678" spans="1:38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126"/>
      <c r="P678" s="126"/>
      <c r="Q678" s="126"/>
      <c r="R678" s="128"/>
      <c r="S678" s="128"/>
      <c r="T678" s="128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</row>
    <row r="679" spans="1:38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126"/>
      <c r="P679" s="126"/>
      <c r="Q679" s="126"/>
      <c r="R679" s="128"/>
      <c r="S679" s="128"/>
      <c r="T679" s="128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</row>
    <row r="680" spans="1:38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126"/>
      <c r="P680" s="126"/>
      <c r="Q680" s="126"/>
      <c r="R680" s="128"/>
      <c r="S680" s="128"/>
      <c r="T680" s="128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</row>
    <row r="681" spans="1:38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126"/>
      <c r="P681" s="126"/>
      <c r="Q681" s="126"/>
      <c r="R681" s="128"/>
      <c r="S681" s="128"/>
      <c r="T681" s="128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</row>
    <row r="682" spans="1:38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126"/>
      <c r="P682" s="126"/>
      <c r="Q682" s="126"/>
      <c r="R682" s="128"/>
      <c r="S682" s="128"/>
      <c r="T682" s="128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</row>
    <row r="683" spans="1:38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126"/>
      <c r="P683" s="126"/>
      <c r="Q683" s="126"/>
      <c r="R683" s="128"/>
      <c r="S683" s="128"/>
      <c r="T683" s="128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</row>
    <row r="684" spans="1:38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126"/>
      <c r="P684" s="126"/>
      <c r="Q684" s="126"/>
      <c r="R684" s="128"/>
      <c r="S684" s="128"/>
      <c r="T684" s="128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</row>
    <row r="685" spans="1:38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126"/>
      <c r="P685" s="126"/>
      <c r="Q685" s="126"/>
      <c r="R685" s="128"/>
      <c r="S685" s="128"/>
      <c r="T685" s="128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</row>
    <row r="686" spans="1:38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126"/>
      <c r="P686" s="126"/>
      <c r="Q686" s="126"/>
      <c r="R686" s="128"/>
      <c r="S686" s="128"/>
      <c r="T686" s="128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</row>
    <row r="687" spans="1:38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126"/>
      <c r="P687" s="126"/>
      <c r="Q687" s="126"/>
      <c r="R687" s="128"/>
      <c r="S687" s="128"/>
      <c r="T687" s="128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</row>
    <row r="688" spans="1:38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126"/>
      <c r="P688" s="126"/>
      <c r="Q688" s="126"/>
      <c r="R688" s="128"/>
      <c r="S688" s="128"/>
      <c r="T688" s="128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</row>
    <row r="689" spans="1:38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126"/>
      <c r="P689" s="126"/>
      <c r="Q689" s="126"/>
      <c r="R689" s="128"/>
      <c r="S689" s="128"/>
      <c r="T689" s="128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</row>
    <row r="690" spans="1:38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126"/>
      <c r="P690" s="126"/>
      <c r="Q690" s="126"/>
      <c r="R690" s="128"/>
      <c r="S690" s="128"/>
      <c r="T690" s="128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</row>
    <row r="691" spans="1:38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126"/>
      <c r="P691" s="126"/>
      <c r="Q691" s="126"/>
      <c r="R691" s="128"/>
      <c r="S691" s="128"/>
      <c r="T691" s="128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</row>
    <row r="692" spans="1:38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126"/>
      <c r="P692" s="126"/>
      <c r="Q692" s="126"/>
      <c r="R692" s="128"/>
      <c r="S692" s="128"/>
      <c r="T692" s="128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</row>
    <row r="693" spans="1:38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126"/>
      <c r="P693" s="126"/>
      <c r="Q693" s="126"/>
      <c r="R693" s="128"/>
      <c r="S693" s="128"/>
      <c r="T693" s="128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</row>
    <row r="694" spans="1:38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126"/>
      <c r="P694" s="126"/>
      <c r="Q694" s="126"/>
      <c r="R694" s="128"/>
      <c r="S694" s="128"/>
      <c r="T694" s="128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</row>
    <row r="695" spans="1:38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126"/>
      <c r="P695" s="126"/>
      <c r="Q695" s="126"/>
      <c r="R695" s="128"/>
      <c r="S695" s="128"/>
      <c r="T695" s="128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</row>
    <row r="696" spans="1:38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126"/>
      <c r="P696" s="126"/>
      <c r="Q696" s="126"/>
      <c r="R696" s="128"/>
      <c r="S696" s="128"/>
      <c r="T696" s="128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</row>
    <row r="697" spans="1:38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126"/>
      <c r="P697" s="126"/>
      <c r="Q697" s="126"/>
      <c r="R697" s="128"/>
      <c r="S697" s="128"/>
      <c r="T697" s="128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</row>
    <row r="698" spans="1:38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126"/>
      <c r="P698" s="126"/>
      <c r="Q698" s="126"/>
      <c r="R698" s="128"/>
      <c r="S698" s="128"/>
      <c r="T698" s="128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</row>
    <row r="699" spans="1:38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126"/>
      <c r="P699" s="126"/>
      <c r="Q699" s="126"/>
      <c r="R699" s="128"/>
      <c r="S699" s="128"/>
      <c r="T699" s="128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</row>
    <row r="700" spans="1:38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126"/>
      <c r="P700" s="126"/>
      <c r="Q700" s="126"/>
      <c r="R700" s="128"/>
      <c r="S700" s="128"/>
      <c r="T700" s="128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</row>
    <row r="701" spans="1:38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126"/>
      <c r="P701" s="126"/>
      <c r="Q701" s="126"/>
      <c r="R701" s="128"/>
      <c r="S701" s="128"/>
      <c r="T701" s="128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</row>
    <row r="702" spans="1:38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126"/>
      <c r="P702" s="126"/>
      <c r="Q702" s="126"/>
      <c r="R702" s="128"/>
      <c r="S702" s="128"/>
      <c r="T702" s="128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</row>
    <row r="703" spans="1:38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126"/>
      <c r="P703" s="126"/>
      <c r="Q703" s="126"/>
      <c r="R703" s="128"/>
      <c r="S703" s="128"/>
      <c r="T703" s="128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</row>
    <row r="704" spans="1:38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126"/>
      <c r="P704" s="126"/>
      <c r="Q704" s="126"/>
      <c r="R704" s="128"/>
      <c r="S704" s="128"/>
      <c r="T704" s="128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</row>
    <row r="705" spans="1:38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126"/>
      <c r="P705" s="126"/>
      <c r="Q705" s="126"/>
      <c r="R705" s="128"/>
      <c r="S705" s="128"/>
      <c r="T705" s="128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</row>
    <row r="706" spans="1:38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126"/>
      <c r="P706" s="126"/>
      <c r="Q706" s="126"/>
      <c r="R706" s="128"/>
      <c r="S706" s="128"/>
      <c r="T706" s="128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</row>
    <row r="707" spans="1:38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126"/>
      <c r="P707" s="126"/>
      <c r="Q707" s="126"/>
      <c r="R707" s="128"/>
      <c r="S707" s="128"/>
      <c r="T707" s="128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</row>
    <row r="708" spans="1:38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126"/>
      <c r="P708" s="126"/>
      <c r="Q708" s="126"/>
      <c r="R708" s="128"/>
      <c r="S708" s="128"/>
      <c r="T708" s="128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</row>
    <row r="709" spans="1:38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126"/>
      <c r="P709" s="126"/>
      <c r="Q709" s="126"/>
      <c r="R709" s="128"/>
      <c r="S709" s="128"/>
      <c r="T709" s="128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</row>
    <row r="710" spans="1:38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126"/>
      <c r="P710" s="126"/>
      <c r="Q710" s="126"/>
      <c r="R710" s="128"/>
      <c r="S710" s="128"/>
      <c r="T710" s="128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</row>
    <row r="711" spans="1:38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126"/>
      <c r="P711" s="126"/>
      <c r="Q711" s="126"/>
      <c r="R711" s="128"/>
      <c r="S711" s="128"/>
      <c r="T711" s="128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</row>
    <row r="712" spans="1:38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126"/>
      <c r="P712" s="126"/>
      <c r="Q712" s="126"/>
      <c r="R712" s="128"/>
      <c r="S712" s="128"/>
      <c r="T712" s="128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</row>
    <row r="713" spans="1:38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126"/>
      <c r="P713" s="126"/>
      <c r="Q713" s="126"/>
      <c r="R713" s="128"/>
      <c r="S713" s="128"/>
      <c r="T713" s="128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</row>
    <row r="714" spans="1:38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126"/>
      <c r="P714" s="126"/>
      <c r="Q714" s="126"/>
      <c r="R714" s="128"/>
      <c r="S714" s="128"/>
      <c r="T714" s="128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</row>
    <row r="715" spans="1:38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126"/>
      <c r="P715" s="126"/>
      <c r="Q715" s="126"/>
      <c r="R715" s="128"/>
      <c r="S715" s="128"/>
      <c r="T715" s="128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</row>
    <row r="716" spans="1:38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126"/>
      <c r="P716" s="126"/>
      <c r="Q716" s="126"/>
      <c r="R716" s="128"/>
      <c r="S716" s="128"/>
      <c r="T716" s="128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</row>
    <row r="717" spans="1:38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126"/>
      <c r="P717" s="126"/>
      <c r="Q717" s="126"/>
      <c r="R717" s="128"/>
      <c r="S717" s="128"/>
      <c r="T717" s="128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</row>
    <row r="718" spans="1:38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126"/>
      <c r="P718" s="126"/>
      <c r="Q718" s="126"/>
      <c r="R718" s="128"/>
      <c r="S718" s="128"/>
      <c r="T718" s="128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</row>
    <row r="719" spans="1:38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126"/>
      <c r="P719" s="126"/>
      <c r="Q719" s="126"/>
      <c r="R719" s="128"/>
      <c r="S719" s="128"/>
      <c r="T719" s="128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</row>
    <row r="720" spans="1:38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126"/>
      <c r="P720" s="126"/>
      <c r="Q720" s="126"/>
      <c r="R720" s="128"/>
      <c r="S720" s="128"/>
      <c r="T720" s="128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</row>
    <row r="721" spans="1:38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126"/>
      <c r="P721" s="126"/>
      <c r="Q721" s="126"/>
      <c r="R721" s="128"/>
      <c r="S721" s="128"/>
      <c r="T721" s="128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</row>
    <row r="722" spans="1:38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126"/>
      <c r="P722" s="126"/>
      <c r="Q722" s="126"/>
      <c r="R722" s="128"/>
      <c r="S722" s="128"/>
      <c r="T722" s="128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</row>
    <row r="723" spans="1:38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126"/>
      <c r="P723" s="126"/>
      <c r="Q723" s="126"/>
      <c r="R723" s="128"/>
      <c r="S723" s="128"/>
      <c r="T723" s="128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</row>
    <row r="724" spans="1:38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126"/>
      <c r="P724" s="126"/>
      <c r="Q724" s="126"/>
      <c r="R724" s="128"/>
      <c r="S724" s="128"/>
      <c r="T724" s="128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</row>
    <row r="725" spans="1:38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126"/>
      <c r="P725" s="126"/>
      <c r="Q725" s="126"/>
      <c r="R725" s="128"/>
      <c r="S725" s="128"/>
      <c r="T725" s="128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</row>
    <row r="726" spans="1:38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126"/>
      <c r="P726" s="126"/>
      <c r="Q726" s="126"/>
      <c r="R726" s="128"/>
      <c r="S726" s="128"/>
      <c r="T726" s="128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</row>
    <row r="727" spans="1:38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126"/>
      <c r="P727" s="126"/>
      <c r="Q727" s="126"/>
      <c r="R727" s="128"/>
      <c r="S727" s="128"/>
      <c r="T727" s="128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</row>
    <row r="728" spans="1:38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126"/>
      <c r="P728" s="126"/>
      <c r="Q728" s="126"/>
      <c r="R728" s="128"/>
      <c r="S728" s="128"/>
      <c r="T728" s="128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</row>
    <row r="729" spans="1:38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126"/>
      <c r="P729" s="126"/>
      <c r="Q729" s="126"/>
      <c r="R729" s="128"/>
      <c r="S729" s="128"/>
      <c r="T729" s="128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</row>
    <row r="730" spans="1:38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126"/>
      <c r="P730" s="126"/>
      <c r="Q730" s="126"/>
      <c r="R730" s="128"/>
      <c r="S730" s="128"/>
      <c r="T730" s="128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</row>
    <row r="731" spans="1:38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126"/>
      <c r="P731" s="126"/>
      <c r="Q731" s="126"/>
      <c r="R731" s="128"/>
      <c r="S731" s="128"/>
      <c r="T731" s="128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</row>
    <row r="732" spans="1:38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126"/>
      <c r="P732" s="126"/>
      <c r="Q732" s="126"/>
      <c r="R732" s="128"/>
      <c r="S732" s="128"/>
      <c r="T732" s="128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</row>
    <row r="733" spans="1:38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126"/>
      <c r="P733" s="126"/>
      <c r="Q733" s="126"/>
      <c r="R733" s="128"/>
      <c r="S733" s="128"/>
      <c r="T733" s="128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</row>
    <row r="734" spans="1:38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126"/>
      <c r="P734" s="126"/>
      <c r="Q734" s="126"/>
      <c r="R734" s="128"/>
      <c r="S734" s="128"/>
      <c r="T734" s="128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</row>
    <row r="735" spans="1:38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126"/>
      <c r="P735" s="126"/>
      <c r="Q735" s="126"/>
      <c r="R735" s="128"/>
      <c r="S735" s="128"/>
      <c r="T735" s="128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</row>
    <row r="736" spans="1:38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126"/>
      <c r="P736" s="126"/>
      <c r="Q736" s="126"/>
      <c r="R736" s="128"/>
      <c r="S736" s="128"/>
      <c r="T736" s="128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</row>
    <row r="737" spans="1:38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126"/>
      <c r="P737" s="126"/>
      <c r="Q737" s="126"/>
      <c r="R737" s="128"/>
      <c r="S737" s="128"/>
      <c r="T737" s="128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</row>
    <row r="738" spans="1:38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126"/>
      <c r="P738" s="126"/>
      <c r="Q738" s="126"/>
      <c r="R738" s="128"/>
      <c r="S738" s="128"/>
      <c r="T738" s="128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</row>
    <row r="739" spans="1:38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126"/>
      <c r="P739" s="126"/>
      <c r="Q739" s="126"/>
      <c r="R739" s="128"/>
      <c r="S739" s="128"/>
      <c r="T739" s="128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</row>
    <row r="740" spans="1:38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126"/>
      <c r="P740" s="126"/>
      <c r="Q740" s="126"/>
      <c r="R740" s="128"/>
      <c r="S740" s="128"/>
      <c r="T740" s="128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</row>
    <row r="741" spans="1:38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126"/>
      <c r="P741" s="126"/>
      <c r="Q741" s="126"/>
      <c r="R741" s="128"/>
      <c r="S741" s="128"/>
      <c r="T741" s="128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</row>
    <row r="742" spans="1:38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126"/>
      <c r="P742" s="126"/>
      <c r="Q742" s="126"/>
      <c r="R742" s="128"/>
      <c r="S742" s="128"/>
      <c r="T742" s="128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</row>
    <row r="743" spans="1:38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126"/>
      <c r="P743" s="126"/>
      <c r="Q743" s="126"/>
      <c r="R743" s="128"/>
      <c r="S743" s="128"/>
      <c r="T743" s="128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</row>
    <row r="744" spans="1:38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126"/>
      <c r="P744" s="126"/>
      <c r="Q744" s="126"/>
      <c r="R744" s="128"/>
      <c r="S744" s="128"/>
      <c r="T744" s="128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</row>
    <row r="745" spans="1:38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126"/>
      <c r="P745" s="126"/>
      <c r="Q745" s="126"/>
      <c r="R745" s="128"/>
      <c r="S745" s="128"/>
      <c r="T745" s="128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</row>
    <row r="746" spans="1:38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126"/>
      <c r="P746" s="126"/>
      <c r="Q746" s="126"/>
      <c r="R746" s="128"/>
      <c r="S746" s="128"/>
      <c r="T746" s="128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</row>
    <row r="747" spans="1:38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126"/>
      <c r="P747" s="126"/>
      <c r="Q747" s="126"/>
      <c r="R747" s="128"/>
      <c r="S747" s="128"/>
      <c r="T747" s="128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</row>
    <row r="748" spans="1:38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126"/>
      <c r="P748" s="126"/>
      <c r="Q748" s="126"/>
      <c r="R748" s="128"/>
      <c r="S748" s="128"/>
      <c r="T748" s="128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</row>
    <row r="749" spans="1:38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126"/>
      <c r="P749" s="126"/>
      <c r="Q749" s="126"/>
      <c r="R749" s="128"/>
      <c r="S749" s="128"/>
      <c r="T749" s="128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</row>
    <row r="750" spans="1:38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126"/>
      <c r="P750" s="126"/>
      <c r="Q750" s="126"/>
      <c r="R750" s="128"/>
      <c r="S750" s="128"/>
      <c r="T750" s="128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</row>
    <row r="751" spans="1:38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126"/>
      <c r="P751" s="126"/>
      <c r="Q751" s="126"/>
      <c r="R751" s="128"/>
      <c r="S751" s="128"/>
      <c r="T751" s="128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</row>
    <row r="752" spans="1:38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126"/>
      <c r="P752" s="126"/>
      <c r="Q752" s="126"/>
      <c r="R752" s="128"/>
      <c r="S752" s="128"/>
      <c r="T752" s="128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</row>
    <row r="753" spans="1:38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126"/>
      <c r="P753" s="126"/>
      <c r="Q753" s="126"/>
      <c r="R753" s="128"/>
      <c r="S753" s="128"/>
      <c r="T753" s="128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</row>
    <row r="754" spans="1:38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126"/>
      <c r="P754" s="126"/>
      <c r="Q754" s="126"/>
      <c r="R754" s="128"/>
      <c r="S754" s="128"/>
      <c r="T754" s="128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</row>
    <row r="755" spans="1:38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126"/>
      <c r="P755" s="126"/>
      <c r="Q755" s="126"/>
      <c r="R755" s="128"/>
      <c r="S755" s="128"/>
      <c r="T755" s="128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</row>
    <row r="756" spans="1:38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126"/>
      <c r="P756" s="126"/>
      <c r="Q756" s="126"/>
      <c r="R756" s="128"/>
      <c r="S756" s="128"/>
      <c r="T756" s="128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</row>
    <row r="757" spans="1:38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126"/>
      <c r="P757" s="126"/>
      <c r="Q757" s="126"/>
      <c r="R757" s="128"/>
      <c r="S757" s="128"/>
      <c r="T757" s="128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</row>
    <row r="758" spans="1:38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126"/>
      <c r="P758" s="126"/>
      <c r="Q758" s="126"/>
      <c r="R758" s="128"/>
      <c r="S758" s="128"/>
      <c r="T758" s="128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</row>
    <row r="759" spans="1:38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126"/>
      <c r="P759" s="126"/>
      <c r="Q759" s="126"/>
      <c r="R759" s="128"/>
      <c r="S759" s="128"/>
      <c r="T759" s="128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</row>
    <row r="760" spans="1:38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126"/>
      <c r="P760" s="126"/>
      <c r="Q760" s="126"/>
      <c r="R760" s="128"/>
      <c r="S760" s="128"/>
      <c r="T760" s="128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</row>
    <row r="761" spans="1:38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126"/>
      <c r="P761" s="126"/>
      <c r="Q761" s="126"/>
      <c r="R761" s="128"/>
      <c r="S761" s="128"/>
      <c r="T761" s="128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</row>
    <row r="762" spans="1:38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126"/>
      <c r="P762" s="126"/>
      <c r="Q762" s="126"/>
      <c r="R762" s="128"/>
      <c r="S762" s="128"/>
      <c r="T762" s="128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</row>
    <row r="763" spans="1:38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126"/>
      <c r="P763" s="126"/>
      <c r="Q763" s="126"/>
      <c r="R763" s="128"/>
      <c r="S763" s="128"/>
      <c r="T763" s="128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</row>
    <row r="764" spans="1:38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126"/>
      <c r="P764" s="126"/>
      <c r="Q764" s="126"/>
      <c r="R764" s="128"/>
      <c r="S764" s="128"/>
      <c r="T764" s="128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</row>
    <row r="765" spans="1:38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126"/>
      <c r="P765" s="126"/>
      <c r="Q765" s="126"/>
      <c r="R765" s="128"/>
      <c r="S765" s="128"/>
      <c r="T765" s="128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</row>
    <row r="766" spans="1:38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126"/>
      <c r="P766" s="126"/>
      <c r="Q766" s="126"/>
      <c r="R766" s="128"/>
      <c r="S766" s="128"/>
      <c r="T766" s="128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</row>
    <row r="767" spans="1:38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126"/>
      <c r="P767" s="126"/>
      <c r="Q767" s="126"/>
      <c r="R767" s="128"/>
      <c r="S767" s="128"/>
      <c r="T767" s="128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</row>
    <row r="768" spans="1:38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126"/>
      <c r="P768" s="126"/>
      <c r="Q768" s="126"/>
      <c r="R768" s="128"/>
      <c r="S768" s="128"/>
      <c r="T768" s="128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</row>
    <row r="769" spans="1:38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126"/>
      <c r="P769" s="126"/>
      <c r="Q769" s="126"/>
      <c r="R769" s="128"/>
      <c r="S769" s="128"/>
      <c r="T769" s="128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</row>
    <row r="770" spans="1:38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126"/>
      <c r="P770" s="126"/>
      <c r="Q770" s="126"/>
      <c r="R770" s="128"/>
      <c r="S770" s="128"/>
      <c r="T770" s="128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</row>
    <row r="771" spans="1:38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126"/>
      <c r="P771" s="126"/>
      <c r="Q771" s="126"/>
      <c r="R771" s="128"/>
      <c r="S771" s="128"/>
      <c r="T771" s="128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</row>
    <row r="772" spans="1:38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126"/>
      <c r="P772" s="126"/>
      <c r="Q772" s="126"/>
      <c r="R772" s="128"/>
      <c r="S772" s="128"/>
      <c r="T772" s="128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</row>
    <row r="773" spans="1:38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126"/>
      <c r="P773" s="126"/>
      <c r="Q773" s="126"/>
      <c r="R773" s="128"/>
      <c r="S773" s="128"/>
      <c r="T773" s="128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</row>
    <row r="774" spans="1:38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126"/>
      <c r="P774" s="126"/>
      <c r="Q774" s="126"/>
      <c r="R774" s="128"/>
      <c r="S774" s="128"/>
      <c r="T774" s="128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</row>
    <row r="775" spans="1:38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126"/>
      <c r="P775" s="126"/>
      <c r="Q775" s="126"/>
      <c r="R775" s="128"/>
      <c r="S775" s="128"/>
      <c r="T775" s="128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</row>
    <row r="776" spans="1:38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126"/>
      <c r="P776" s="126"/>
      <c r="Q776" s="126"/>
      <c r="R776" s="128"/>
      <c r="S776" s="128"/>
      <c r="T776" s="128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</row>
    <row r="777" spans="1:38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126"/>
      <c r="P777" s="126"/>
      <c r="Q777" s="126"/>
      <c r="R777" s="128"/>
      <c r="S777" s="128"/>
      <c r="T777" s="128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</row>
    <row r="778" spans="1:38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126"/>
      <c r="P778" s="126"/>
      <c r="Q778" s="126"/>
      <c r="R778" s="128"/>
      <c r="S778" s="128"/>
      <c r="T778" s="128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</row>
    <row r="779" spans="1:38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126"/>
      <c r="P779" s="126"/>
      <c r="Q779" s="126"/>
      <c r="R779" s="128"/>
      <c r="S779" s="128"/>
      <c r="T779" s="128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</row>
    <row r="780" spans="1:38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126"/>
      <c r="P780" s="126"/>
      <c r="Q780" s="126"/>
      <c r="R780" s="128"/>
      <c r="S780" s="128"/>
      <c r="T780" s="128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</row>
    <row r="781" spans="1:38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126"/>
      <c r="P781" s="126"/>
      <c r="Q781" s="126"/>
      <c r="R781" s="128"/>
      <c r="S781" s="128"/>
      <c r="T781" s="128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</row>
    <row r="782" spans="1:38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126"/>
      <c r="P782" s="126"/>
      <c r="Q782" s="126"/>
      <c r="R782" s="128"/>
      <c r="S782" s="128"/>
      <c r="T782" s="128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</row>
    <row r="783" spans="1:38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126"/>
      <c r="P783" s="126"/>
      <c r="Q783" s="126"/>
      <c r="R783" s="128"/>
      <c r="S783" s="128"/>
      <c r="T783" s="128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</row>
    <row r="784" spans="1:38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126"/>
      <c r="P784" s="126"/>
      <c r="Q784" s="126"/>
      <c r="R784" s="128"/>
      <c r="S784" s="128"/>
      <c r="T784" s="128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</row>
    <row r="785" spans="1:38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126"/>
      <c r="P785" s="126"/>
      <c r="Q785" s="126"/>
      <c r="R785" s="128"/>
      <c r="S785" s="128"/>
      <c r="T785" s="128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</row>
    <row r="786" spans="1:38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126"/>
      <c r="P786" s="126"/>
      <c r="Q786" s="126"/>
      <c r="R786" s="128"/>
      <c r="S786" s="128"/>
      <c r="T786" s="128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</row>
    <row r="787" spans="1:38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126"/>
      <c r="P787" s="126"/>
      <c r="Q787" s="126"/>
      <c r="R787" s="128"/>
      <c r="S787" s="128"/>
      <c r="T787" s="128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</row>
    <row r="788" spans="1:38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126"/>
      <c r="P788" s="126"/>
      <c r="Q788" s="126"/>
      <c r="R788" s="128"/>
      <c r="S788" s="128"/>
      <c r="T788" s="128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</row>
    <row r="789" spans="1:38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126"/>
      <c r="P789" s="126"/>
      <c r="Q789" s="126"/>
      <c r="R789" s="128"/>
      <c r="S789" s="128"/>
      <c r="T789" s="128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</row>
    <row r="790" spans="1:38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126"/>
      <c r="P790" s="126"/>
      <c r="Q790" s="126"/>
      <c r="R790" s="128"/>
      <c r="S790" s="128"/>
      <c r="T790" s="128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</row>
    <row r="791" spans="1:38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126"/>
      <c r="P791" s="126"/>
      <c r="Q791" s="126"/>
      <c r="R791" s="128"/>
      <c r="S791" s="128"/>
      <c r="T791" s="128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</row>
    <row r="792" spans="1:38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126"/>
      <c r="P792" s="126"/>
      <c r="Q792" s="126"/>
      <c r="R792" s="128"/>
      <c r="S792" s="128"/>
      <c r="T792" s="128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</row>
    <row r="793" spans="1:38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126"/>
      <c r="P793" s="126"/>
      <c r="Q793" s="126"/>
      <c r="R793" s="128"/>
      <c r="S793" s="128"/>
      <c r="T793" s="128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</row>
    <row r="794" spans="1:38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126"/>
      <c r="P794" s="126"/>
      <c r="Q794" s="126"/>
      <c r="R794" s="128"/>
      <c r="S794" s="128"/>
      <c r="T794" s="128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</row>
    <row r="795" spans="1:38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126"/>
      <c r="P795" s="126"/>
      <c r="Q795" s="126"/>
      <c r="R795" s="128"/>
      <c r="S795" s="128"/>
      <c r="T795" s="128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</row>
    <row r="796" spans="1:38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126"/>
      <c r="P796" s="126"/>
      <c r="Q796" s="126"/>
      <c r="R796" s="128"/>
      <c r="S796" s="128"/>
      <c r="T796" s="128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</row>
    <row r="797" spans="1:38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126"/>
      <c r="P797" s="126"/>
      <c r="Q797" s="126"/>
      <c r="R797" s="128"/>
      <c r="S797" s="128"/>
      <c r="T797" s="128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</row>
    <row r="798" spans="1:38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126"/>
      <c r="P798" s="126"/>
      <c r="Q798" s="126"/>
      <c r="R798" s="128"/>
      <c r="S798" s="128"/>
      <c r="T798" s="128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</row>
    <row r="799" spans="1:38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126"/>
      <c r="P799" s="126"/>
      <c r="Q799" s="126"/>
      <c r="R799" s="128"/>
      <c r="S799" s="128"/>
      <c r="T799" s="128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</row>
    <row r="800" spans="1:38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126"/>
      <c r="P800" s="126"/>
      <c r="Q800" s="126"/>
      <c r="R800" s="128"/>
      <c r="S800" s="128"/>
      <c r="T800" s="128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</row>
    <row r="801" spans="1:38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126"/>
      <c r="P801" s="126"/>
      <c r="Q801" s="126"/>
      <c r="R801" s="128"/>
      <c r="S801" s="128"/>
      <c r="T801" s="128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</row>
    <row r="802" spans="1:38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126"/>
      <c r="P802" s="126"/>
      <c r="Q802" s="126"/>
      <c r="R802" s="128"/>
      <c r="S802" s="128"/>
      <c r="T802" s="128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</row>
    <row r="803" spans="1:38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126"/>
      <c r="P803" s="126"/>
      <c r="Q803" s="126"/>
      <c r="R803" s="128"/>
      <c r="S803" s="128"/>
      <c r="T803" s="128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</row>
    <row r="804" spans="1:38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126"/>
      <c r="P804" s="126"/>
      <c r="Q804" s="126"/>
      <c r="R804" s="128"/>
      <c r="S804" s="128"/>
      <c r="T804" s="128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</row>
    <row r="805" spans="1:38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126"/>
      <c r="P805" s="126"/>
      <c r="Q805" s="126"/>
      <c r="R805" s="128"/>
      <c r="S805" s="128"/>
      <c r="T805" s="128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</row>
    <row r="806" spans="1:38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126"/>
      <c r="P806" s="126"/>
      <c r="Q806" s="126"/>
      <c r="R806" s="128"/>
      <c r="S806" s="128"/>
      <c r="T806" s="128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</row>
    <row r="807" spans="1:38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126"/>
      <c r="P807" s="126"/>
      <c r="Q807" s="126"/>
      <c r="R807" s="128"/>
      <c r="S807" s="128"/>
      <c r="T807" s="128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</row>
    <row r="808" spans="1:38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126"/>
      <c r="P808" s="126"/>
      <c r="Q808" s="126"/>
      <c r="R808" s="128"/>
      <c r="S808" s="128"/>
      <c r="T808" s="128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</row>
    <row r="809" spans="1:38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126"/>
      <c r="P809" s="126"/>
      <c r="Q809" s="126"/>
      <c r="R809" s="128"/>
      <c r="S809" s="128"/>
      <c r="T809" s="128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</row>
    <row r="810" spans="1:38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126"/>
      <c r="P810" s="126"/>
      <c r="Q810" s="126"/>
      <c r="R810" s="128"/>
      <c r="S810" s="128"/>
      <c r="T810" s="128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</row>
    <row r="811" spans="1:38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126"/>
      <c r="P811" s="126"/>
      <c r="Q811" s="126"/>
      <c r="R811" s="128"/>
      <c r="S811" s="128"/>
      <c r="T811" s="128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</row>
    <row r="812" spans="1:38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126"/>
      <c r="P812" s="126"/>
      <c r="Q812" s="126"/>
      <c r="R812" s="128"/>
      <c r="S812" s="128"/>
      <c r="T812" s="128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</row>
    <row r="813" spans="1:38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126"/>
      <c r="P813" s="126"/>
      <c r="Q813" s="126"/>
      <c r="R813" s="128"/>
      <c r="S813" s="128"/>
      <c r="T813" s="128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</row>
    <row r="814" spans="1:38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126"/>
      <c r="P814" s="126"/>
      <c r="Q814" s="126"/>
      <c r="R814" s="128"/>
      <c r="S814" s="128"/>
      <c r="T814" s="128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</row>
    <row r="815" spans="1:38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126"/>
      <c r="P815" s="126"/>
      <c r="Q815" s="126"/>
      <c r="R815" s="128"/>
      <c r="S815" s="128"/>
      <c r="T815" s="128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</row>
    <row r="816" spans="1:38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126"/>
      <c r="P816" s="126"/>
      <c r="Q816" s="126"/>
      <c r="R816" s="128"/>
      <c r="S816" s="128"/>
      <c r="T816" s="128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</row>
    <row r="817" spans="1:38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126"/>
      <c r="P817" s="126"/>
      <c r="Q817" s="126"/>
      <c r="R817" s="128"/>
      <c r="S817" s="128"/>
      <c r="T817" s="128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</row>
    <row r="818" spans="1:38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126"/>
      <c r="P818" s="126"/>
      <c r="Q818" s="126"/>
      <c r="R818" s="128"/>
      <c r="S818" s="128"/>
      <c r="T818" s="128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</row>
    <row r="819" spans="1:38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126"/>
      <c r="P819" s="126"/>
      <c r="Q819" s="126"/>
      <c r="R819" s="128"/>
      <c r="S819" s="128"/>
      <c r="T819" s="128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</row>
    <row r="820" spans="1:38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126"/>
      <c r="P820" s="126"/>
      <c r="Q820" s="126"/>
      <c r="R820" s="128"/>
      <c r="S820" s="128"/>
      <c r="T820" s="128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</row>
    <row r="821" spans="1:38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126"/>
      <c r="P821" s="126"/>
      <c r="Q821" s="126"/>
      <c r="R821" s="128"/>
      <c r="S821" s="128"/>
      <c r="T821" s="128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</row>
    <row r="822" spans="1:38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126"/>
      <c r="P822" s="126"/>
      <c r="Q822" s="126"/>
      <c r="R822" s="128"/>
      <c r="S822" s="128"/>
      <c r="T822" s="128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</row>
    <row r="823" spans="1:38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126"/>
      <c r="P823" s="126"/>
      <c r="Q823" s="126"/>
      <c r="R823" s="128"/>
      <c r="S823" s="128"/>
      <c r="T823" s="128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</row>
    <row r="824" spans="1:38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126"/>
      <c r="P824" s="126"/>
      <c r="Q824" s="126"/>
      <c r="R824" s="128"/>
      <c r="S824" s="128"/>
      <c r="T824" s="128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</row>
    <row r="825" spans="1:38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126"/>
      <c r="P825" s="126"/>
      <c r="Q825" s="126"/>
      <c r="R825" s="128"/>
      <c r="S825" s="128"/>
      <c r="T825" s="128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</row>
    <row r="826" spans="1:38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126"/>
      <c r="P826" s="126"/>
      <c r="Q826" s="126"/>
      <c r="R826" s="128"/>
      <c r="S826" s="128"/>
      <c r="T826" s="128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</row>
    <row r="827" spans="1:38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126"/>
      <c r="P827" s="126"/>
      <c r="Q827" s="126"/>
      <c r="R827" s="128"/>
      <c r="S827" s="128"/>
      <c r="T827" s="128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</row>
    <row r="828" spans="1:38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126"/>
      <c r="P828" s="126"/>
      <c r="Q828" s="126"/>
      <c r="R828" s="128"/>
      <c r="S828" s="128"/>
      <c r="T828" s="128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</row>
    <row r="829" spans="1:38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126"/>
      <c r="P829" s="126"/>
      <c r="Q829" s="126"/>
      <c r="R829" s="128"/>
      <c r="S829" s="128"/>
      <c r="T829" s="128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</row>
    <row r="830" spans="1:38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126"/>
      <c r="P830" s="126"/>
      <c r="Q830" s="126"/>
      <c r="R830" s="128"/>
      <c r="S830" s="128"/>
      <c r="T830" s="128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</row>
    <row r="831" spans="1:38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126"/>
      <c r="P831" s="126"/>
      <c r="Q831" s="126"/>
      <c r="R831" s="128"/>
      <c r="S831" s="128"/>
      <c r="T831" s="128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</row>
    <row r="832" spans="1:38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126"/>
      <c r="P832" s="126"/>
      <c r="Q832" s="126"/>
      <c r="R832" s="128"/>
      <c r="S832" s="128"/>
      <c r="T832" s="128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</row>
    <row r="833" spans="1:38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126"/>
      <c r="P833" s="126"/>
      <c r="Q833" s="126"/>
      <c r="R833" s="128"/>
      <c r="S833" s="128"/>
      <c r="T833" s="128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</row>
    <row r="834" spans="1:38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126"/>
      <c r="P834" s="126"/>
      <c r="Q834" s="126"/>
      <c r="R834" s="128"/>
      <c r="S834" s="128"/>
      <c r="T834" s="128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</row>
    <row r="835" spans="1:38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126"/>
      <c r="P835" s="126"/>
      <c r="Q835" s="126"/>
      <c r="R835" s="128"/>
      <c r="S835" s="128"/>
      <c r="T835" s="128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</row>
    <row r="836" spans="1:38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126"/>
      <c r="P836" s="126"/>
      <c r="Q836" s="126"/>
      <c r="R836" s="128"/>
      <c r="S836" s="128"/>
      <c r="T836" s="128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</row>
    <row r="837" spans="1:38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126"/>
      <c r="P837" s="126"/>
      <c r="Q837" s="126"/>
      <c r="R837" s="128"/>
      <c r="S837" s="128"/>
      <c r="T837" s="128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</row>
    <row r="838" spans="1:38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126"/>
      <c r="P838" s="126"/>
      <c r="Q838" s="126"/>
      <c r="R838" s="128"/>
      <c r="S838" s="128"/>
      <c r="T838" s="128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</row>
    <row r="839" spans="1:38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126"/>
      <c r="P839" s="126"/>
      <c r="Q839" s="126"/>
      <c r="R839" s="128"/>
      <c r="S839" s="128"/>
      <c r="T839" s="128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</row>
    <row r="840" spans="1:38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126"/>
      <c r="P840" s="126"/>
      <c r="Q840" s="126"/>
      <c r="R840" s="128"/>
      <c r="S840" s="128"/>
      <c r="T840" s="128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</row>
    <row r="841" spans="1:38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126"/>
      <c r="P841" s="126"/>
      <c r="Q841" s="126"/>
      <c r="R841" s="128"/>
      <c r="S841" s="128"/>
      <c r="T841" s="128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</row>
    <row r="842" spans="1:38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126"/>
      <c r="P842" s="126"/>
      <c r="Q842" s="126"/>
      <c r="R842" s="128"/>
      <c r="S842" s="128"/>
      <c r="T842" s="128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</row>
    <row r="843" spans="1:38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126"/>
      <c r="P843" s="126"/>
      <c r="Q843" s="126"/>
      <c r="R843" s="128"/>
      <c r="S843" s="128"/>
      <c r="T843" s="128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</row>
    <row r="844" spans="1:38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126"/>
      <c r="P844" s="126"/>
      <c r="Q844" s="126"/>
      <c r="R844" s="128"/>
      <c r="S844" s="128"/>
      <c r="T844" s="128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</row>
    <row r="845" spans="1:38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126"/>
      <c r="P845" s="126"/>
      <c r="Q845" s="126"/>
      <c r="R845" s="128"/>
      <c r="S845" s="128"/>
      <c r="T845" s="128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</row>
    <row r="846" spans="1:38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126"/>
      <c r="P846" s="126"/>
      <c r="Q846" s="126"/>
      <c r="R846" s="128"/>
      <c r="S846" s="128"/>
      <c r="T846" s="128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</row>
    <row r="847" spans="1:38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126"/>
      <c r="P847" s="126"/>
      <c r="Q847" s="126"/>
      <c r="R847" s="128"/>
      <c r="S847" s="128"/>
      <c r="T847" s="128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</row>
    <row r="848" spans="1:38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126"/>
      <c r="P848" s="126"/>
      <c r="Q848" s="126"/>
      <c r="R848" s="128"/>
      <c r="S848" s="128"/>
      <c r="T848" s="128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</row>
    <row r="849" spans="1:38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126"/>
      <c r="P849" s="126"/>
      <c r="Q849" s="126"/>
      <c r="R849" s="128"/>
      <c r="S849" s="128"/>
      <c r="T849" s="128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</row>
    <row r="850" spans="1:38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126"/>
      <c r="P850" s="126"/>
      <c r="Q850" s="126"/>
      <c r="R850" s="128"/>
      <c r="S850" s="128"/>
      <c r="T850" s="128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</row>
    <row r="851" spans="1:38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126"/>
      <c r="P851" s="126"/>
      <c r="Q851" s="126"/>
      <c r="R851" s="128"/>
      <c r="S851" s="128"/>
      <c r="T851" s="128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</row>
    <row r="852" spans="1:38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126"/>
      <c r="P852" s="126"/>
      <c r="Q852" s="126"/>
      <c r="R852" s="128"/>
      <c r="S852" s="128"/>
      <c r="T852" s="128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</row>
    <row r="853" spans="1:38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126"/>
      <c r="P853" s="126"/>
      <c r="Q853" s="126"/>
      <c r="R853" s="128"/>
      <c r="S853" s="128"/>
      <c r="T853" s="128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</row>
    <row r="854" spans="1:38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126"/>
      <c r="P854" s="126"/>
      <c r="Q854" s="126"/>
      <c r="R854" s="128"/>
      <c r="S854" s="128"/>
      <c r="T854" s="128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</row>
    <row r="855" spans="1:38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126"/>
      <c r="P855" s="126"/>
      <c r="Q855" s="126"/>
      <c r="R855" s="128"/>
      <c r="S855" s="128"/>
      <c r="T855" s="128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</row>
    <row r="856" spans="1:38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126"/>
      <c r="P856" s="126"/>
      <c r="Q856" s="126"/>
      <c r="R856" s="128"/>
      <c r="S856" s="128"/>
      <c r="T856" s="128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</row>
    <row r="857" spans="1:38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126"/>
      <c r="P857" s="126"/>
      <c r="Q857" s="126"/>
      <c r="R857" s="128"/>
      <c r="S857" s="128"/>
      <c r="T857" s="128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</row>
    <row r="858" spans="1:38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126"/>
      <c r="P858" s="126"/>
      <c r="Q858" s="126"/>
      <c r="R858" s="128"/>
      <c r="S858" s="128"/>
      <c r="T858" s="128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</row>
    <row r="859" spans="1:38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126"/>
      <c r="P859" s="126"/>
      <c r="Q859" s="126"/>
      <c r="R859" s="128"/>
      <c r="S859" s="128"/>
      <c r="T859" s="128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</row>
    <row r="860" spans="1:38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126"/>
      <c r="P860" s="126"/>
      <c r="Q860" s="126"/>
      <c r="R860" s="128"/>
      <c r="S860" s="128"/>
      <c r="T860" s="128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</row>
    <row r="861" spans="1:38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126"/>
      <c r="P861" s="126"/>
      <c r="Q861" s="126"/>
      <c r="R861" s="128"/>
      <c r="S861" s="128"/>
      <c r="T861" s="128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</row>
    <row r="862" spans="1:38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126"/>
      <c r="P862" s="126"/>
      <c r="Q862" s="126"/>
      <c r="R862" s="128"/>
      <c r="S862" s="128"/>
      <c r="T862" s="128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</row>
    <row r="863" spans="1:38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126"/>
      <c r="P863" s="126"/>
      <c r="Q863" s="126"/>
      <c r="R863" s="128"/>
      <c r="S863" s="128"/>
      <c r="T863" s="128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</row>
    <row r="864" spans="1:38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126"/>
      <c r="P864" s="126"/>
      <c r="Q864" s="126"/>
      <c r="R864" s="128"/>
      <c r="S864" s="128"/>
      <c r="T864" s="128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</row>
    <row r="865" spans="1:38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126"/>
      <c r="P865" s="126"/>
      <c r="Q865" s="126"/>
      <c r="R865" s="128"/>
      <c r="S865" s="128"/>
      <c r="T865" s="128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</row>
    <row r="866" spans="1:38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126"/>
      <c r="P866" s="126"/>
      <c r="Q866" s="126"/>
      <c r="R866" s="128"/>
      <c r="S866" s="128"/>
      <c r="T866" s="128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</row>
    <row r="867" spans="1:38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126"/>
      <c r="P867" s="126"/>
      <c r="Q867" s="126"/>
      <c r="R867" s="128"/>
      <c r="S867" s="128"/>
      <c r="T867" s="128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</row>
    <row r="868" spans="1:38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126"/>
      <c r="P868" s="126"/>
      <c r="Q868" s="126"/>
      <c r="R868" s="128"/>
      <c r="S868" s="128"/>
      <c r="T868" s="128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</row>
    <row r="869" spans="1:38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126"/>
      <c r="P869" s="126"/>
      <c r="Q869" s="126"/>
      <c r="R869" s="128"/>
      <c r="S869" s="128"/>
      <c r="T869" s="128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</row>
    <row r="870" spans="1:38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126"/>
      <c r="P870" s="126"/>
      <c r="Q870" s="126"/>
      <c r="R870" s="128"/>
      <c r="S870" s="128"/>
      <c r="T870" s="128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</row>
    <row r="871" spans="1:38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126"/>
      <c r="P871" s="126"/>
      <c r="Q871" s="126"/>
      <c r="R871" s="128"/>
      <c r="S871" s="128"/>
      <c r="T871" s="128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</row>
    <row r="872" spans="1:38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126"/>
      <c r="P872" s="126"/>
      <c r="Q872" s="126"/>
      <c r="R872" s="128"/>
      <c r="S872" s="128"/>
      <c r="T872" s="128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</row>
    <row r="873" spans="1:38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126"/>
      <c r="P873" s="126"/>
      <c r="Q873" s="126"/>
      <c r="R873" s="128"/>
      <c r="S873" s="128"/>
      <c r="T873" s="128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</row>
    <row r="874" spans="1:38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126"/>
      <c r="P874" s="126"/>
      <c r="Q874" s="126"/>
      <c r="R874" s="128"/>
      <c r="S874" s="128"/>
      <c r="T874" s="128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</row>
    <row r="875" spans="1:38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126"/>
      <c r="P875" s="126"/>
      <c r="Q875" s="126"/>
      <c r="R875" s="128"/>
      <c r="S875" s="128"/>
      <c r="T875" s="128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</row>
    <row r="876" spans="1:38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126"/>
      <c r="P876" s="126"/>
      <c r="Q876" s="126"/>
      <c r="R876" s="128"/>
      <c r="S876" s="128"/>
      <c r="T876" s="128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</row>
    <row r="877" spans="1:38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126"/>
      <c r="P877" s="126"/>
      <c r="Q877" s="126"/>
      <c r="R877" s="128"/>
      <c r="S877" s="128"/>
      <c r="T877" s="128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</row>
    <row r="878" spans="1:38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126"/>
      <c r="P878" s="126"/>
      <c r="Q878" s="126"/>
      <c r="R878" s="128"/>
      <c r="S878" s="128"/>
      <c r="T878" s="128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</row>
    <row r="879" spans="1:38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126"/>
      <c r="P879" s="126"/>
      <c r="Q879" s="126"/>
      <c r="R879" s="128"/>
      <c r="S879" s="128"/>
      <c r="T879" s="128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</row>
    <row r="880" spans="1:38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126"/>
      <c r="P880" s="126"/>
      <c r="Q880" s="126"/>
      <c r="R880" s="128"/>
      <c r="S880" s="128"/>
      <c r="T880" s="128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</row>
    <row r="881" spans="1:38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126"/>
      <c r="P881" s="126"/>
      <c r="Q881" s="126"/>
      <c r="R881" s="128"/>
      <c r="S881" s="128"/>
      <c r="T881" s="128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</row>
    <row r="882" spans="1:38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126"/>
      <c r="P882" s="126"/>
      <c r="Q882" s="126"/>
      <c r="R882" s="128"/>
      <c r="S882" s="128"/>
      <c r="T882" s="128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</row>
    <row r="883" spans="1:38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126"/>
      <c r="P883" s="126"/>
      <c r="Q883" s="126"/>
      <c r="R883" s="128"/>
      <c r="S883" s="128"/>
      <c r="T883" s="128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</row>
    <row r="884" spans="1:38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126"/>
      <c r="P884" s="126"/>
      <c r="Q884" s="126"/>
      <c r="R884" s="128"/>
      <c r="S884" s="128"/>
      <c r="T884" s="128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</row>
    <row r="885" spans="1:38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126"/>
      <c r="P885" s="126"/>
      <c r="Q885" s="126"/>
      <c r="R885" s="128"/>
      <c r="S885" s="128"/>
      <c r="T885" s="128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</row>
    <row r="886" spans="1:38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126"/>
      <c r="P886" s="126"/>
      <c r="Q886" s="126"/>
      <c r="R886" s="128"/>
      <c r="S886" s="128"/>
      <c r="T886" s="128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</row>
    <row r="887" spans="1:38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126"/>
      <c r="P887" s="126"/>
      <c r="Q887" s="126"/>
      <c r="R887" s="128"/>
      <c r="S887" s="128"/>
      <c r="T887" s="128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</row>
    <row r="888" spans="1:38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126"/>
      <c r="P888" s="126"/>
      <c r="Q888" s="126"/>
      <c r="R888" s="128"/>
      <c r="S888" s="128"/>
      <c r="T888" s="128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</row>
    <row r="889" spans="1:38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126"/>
      <c r="P889" s="126"/>
      <c r="Q889" s="126"/>
      <c r="R889" s="128"/>
      <c r="S889" s="128"/>
      <c r="T889" s="128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</row>
    <row r="890" spans="1:38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126"/>
      <c r="P890" s="126"/>
      <c r="Q890" s="126"/>
      <c r="R890" s="128"/>
      <c r="S890" s="128"/>
      <c r="T890" s="128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</row>
    <row r="891" spans="1:38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126"/>
      <c r="P891" s="126"/>
      <c r="Q891" s="126"/>
      <c r="R891" s="128"/>
      <c r="S891" s="128"/>
      <c r="T891" s="128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</row>
    <row r="892" spans="1:38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126"/>
      <c r="P892" s="126"/>
      <c r="Q892" s="126"/>
      <c r="R892" s="128"/>
      <c r="S892" s="128"/>
      <c r="T892" s="128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</row>
    <row r="893" spans="1:38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126"/>
      <c r="P893" s="126"/>
      <c r="Q893" s="126"/>
      <c r="R893" s="128"/>
      <c r="S893" s="128"/>
      <c r="T893" s="128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</row>
    <row r="894" spans="1:38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126"/>
      <c r="P894" s="126"/>
      <c r="Q894" s="126"/>
      <c r="R894" s="128"/>
      <c r="S894" s="128"/>
      <c r="T894" s="128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</row>
    <row r="895" spans="1:38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126"/>
      <c r="P895" s="126"/>
      <c r="Q895" s="126"/>
      <c r="R895" s="128"/>
      <c r="S895" s="128"/>
      <c r="T895" s="128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</row>
    <row r="896" spans="1:38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126"/>
      <c r="P896" s="126"/>
      <c r="Q896" s="126"/>
      <c r="R896" s="128"/>
      <c r="S896" s="128"/>
      <c r="T896" s="128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</row>
    <row r="897" spans="1:38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126"/>
      <c r="P897" s="126"/>
      <c r="Q897" s="126"/>
      <c r="R897" s="128"/>
      <c r="S897" s="128"/>
      <c r="T897" s="128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</row>
    <row r="898" spans="1:38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126"/>
      <c r="P898" s="126"/>
      <c r="Q898" s="126"/>
      <c r="R898" s="128"/>
      <c r="S898" s="128"/>
      <c r="T898" s="128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</row>
    <row r="899" spans="1:38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126"/>
      <c r="P899" s="126"/>
      <c r="Q899" s="126"/>
      <c r="R899" s="128"/>
      <c r="S899" s="128"/>
      <c r="T899" s="128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</row>
    <row r="900" spans="1:38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126"/>
      <c r="P900" s="126"/>
      <c r="Q900" s="126"/>
      <c r="R900" s="128"/>
      <c r="S900" s="128"/>
      <c r="T900" s="128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</row>
    <row r="901" spans="1:38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126"/>
      <c r="P901" s="126"/>
      <c r="Q901" s="126"/>
      <c r="R901" s="128"/>
      <c r="S901" s="128"/>
      <c r="T901" s="128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</row>
    <row r="902" spans="1:38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126"/>
      <c r="P902" s="126"/>
      <c r="Q902" s="126"/>
      <c r="R902" s="128"/>
      <c r="S902" s="128"/>
      <c r="T902" s="128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</row>
    <row r="903" spans="1:38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126"/>
      <c r="P903" s="126"/>
      <c r="Q903" s="126"/>
      <c r="R903" s="128"/>
      <c r="S903" s="128"/>
      <c r="T903" s="128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</row>
    <row r="904" spans="1:38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126"/>
      <c r="P904" s="126"/>
      <c r="Q904" s="126"/>
      <c r="R904" s="128"/>
      <c r="S904" s="128"/>
      <c r="T904" s="128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</row>
    <row r="905" spans="1:38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126"/>
      <c r="P905" s="126"/>
      <c r="Q905" s="126"/>
      <c r="R905" s="128"/>
      <c r="S905" s="128"/>
      <c r="T905" s="128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</row>
    <row r="906" spans="1:38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126"/>
      <c r="P906" s="126"/>
      <c r="Q906" s="126"/>
      <c r="R906" s="128"/>
      <c r="S906" s="128"/>
      <c r="T906" s="128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</row>
    <row r="907" spans="1:38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126"/>
      <c r="P907" s="126"/>
      <c r="Q907" s="126"/>
      <c r="R907" s="128"/>
      <c r="S907" s="128"/>
      <c r="T907" s="128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</row>
    <row r="908" spans="1:38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126"/>
      <c r="P908" s="126"/>
      <c r="Q908" s="126"/>
      <c r="R908" s="128"/>
      <c r="S908" s="128"/>
      <c r="T908" s="128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</row>
    <row r="909" spans="1:38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126"/>
      <c r="P909" s="126"/>
      <c r="Q909" s="126"/>
      <c r="R909" s="128"/>
      <c r="S909" s="128"/>
      <c r="T909" s="128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</row>
    <row r="910" spans="1:38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126"/>
      <c r="P910" s="126"/>
      <c r="Q910" s="126"/>
      <c r="R910" s="128"/>
      <c r="S910" s="128"/>
      <c r="T910" s="128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</row>
    <row r="911" spans="1:38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126"/>
      <c r="P911" s="126"/>
      <c r="Q911" s="126"/>
      <c r="R911" s="128"/>
      <c r="S911" s="128"/>
      <c r="T911" s="128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</row>
    <row r="912" spans="1:38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126"/>
      <c r="P912" s="126"/>
      <c r="Q912" s="126"/>
      <c r="R912" s="128"/>
      <c r="S912" s="128"/>
      <c r="T912" s="128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</row>
    <row r="913" spans="1:38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126"/>
      <c r="P913" s="126"/>
      <c r="Q913" s="126"/>
      <c r="R913" s="128"/>
      <c r="S913" s="128"/>
      <c r="T913" s="128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</row>
    <row r="914" spans="1:38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126"/>
      <c r="P914" s="126"/>
      <c r="Q914" s="126"/>
      <c r="R914" s="128"/>
      <c r="S914" s="128"/>
      <c r="T914" s="128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</row>
    <row r="915" spans="1:38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126"/>
      <c r="P915" s="126"/>
      <c r="Q915" s="126"/>
      <c r="R915" s="128"/>
      <c r="S915" s="128"/>
      <c r="T915" s="128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</row>
    <row r="916" spans="1:38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126"/>
      <c r="P916" s="126"/>
      <c r="Q916" s="126"/>
      <c r="R916" s="128"/>
      <c r="S916" s="128"/>
      <c r="T916" s="128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</row>
    <row r="917" spans="1:38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126"/>
      <c r="P917" s="126"/>
      <c r="Q917" s="126"/>
      <c r="R917" s="128"/>
      <c r="S917" s="128"/>
      <c r="T917" s="128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</row>
    <row r="918" spans="1:38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126"/>
      <c r="P918" s="126"/>
      <c r="Q918" s="126"/>
      <c r="R918" s="128"/>
      <c r="S918" s="128"/>
      <c r="T918" s="128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</row>
    <row r="919" spans="1:38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126"/>
      <c r="P919" s="126"/>
      <c r="Q919" s="126"/>
      <c r="R919" s="128"/>
      <c r="S919" s="128"/>
      <c r="T919" s="128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</row>
    <row r="920" spans="1:38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126"/>
      <c r="P920" s="126"/>
      <c r="Q920" s="126"/>
      <c r="R920" s="128"/>
      <c r="S920" s="128"/>
      <c r="T920" s="128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</row>
    <row r="921" spans="1:38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126"/>
      <c r="P921" s="126"/>
      <c r="Q921" s="126"/>
      <c r="R921" s="128"/>
      <c r="S921" s="128"/>
      <c r="T921" s="128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</row>
    <row r="922" spans="1:38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126"/>
      <c r="P922" s="126"/>
      <c r="Q922" s="126"/>
      <c r="R922" s="128"/>
      <c r="S922" s="128"/>
      <c r="T922" s="128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</row>
    <row r="923" spans="1:38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126"/>
      <c r="P923" s="126"/>
      <c r="Q923" s="126"/>
      <c r="R923" s="128"/>
      <c r="S923" s="128"/>
      <c r="T923" s="128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</row>
    <row r="924" spans="1:38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126"/>
      <c r="P924" s="126"/>
      <c r="Q924" s="126"/>
      <c r="R924" s="128"/>
      <c r="S924" s="128"/>
      <c r="T924" s="128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</row>
    <row r="925" spans="1:38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126"/>
      <c r="P925" s="126"/>
      <c r="Q925" s="126"/>
      <c r="R925" s="128"/>
      <c r="S925" s="128"/>
      <c r="T925" s="128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</row>
    <row r="926" spans="1:38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126"/>
      <c r="P926" s="126"/>
      <c r="Q926" s="126"/>
      <c r="R926" s="128"/>
      <c r="S926" s="128"/>
      <c r="T926" s="128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</row>
    <row r="927" spans="1:38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126"/>
      <c r="P927" s="126"/>
      <c r="Q927" s="126"/>
      <c r="R927" s="128"/>
      <c r="S927" s="128"/>
      <c r="T927" s="128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</row>
    <row r="928" spans="1:38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126"/>
      <c r="P928" s="126"/>
      <c r="Q928" s="126"/>
      <c r="R928" s="128"/>
      <c r="S928" s="128"/>
      <c r="T928" s="128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</row>
    <row r="929" spans="1:38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126"/>
      <c r="P929" s="126"/>
      <c r="Q929" s="126"/>
      <c r="R929" s="128"/>
      <c r="S929" s="128"/>
      <c r="T929" s="128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</row>
    <row r="930" spans="1:38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126"/>
      <c r="P930" s="126"/>
      <c r="Q930" s="126"/>
      <c r="R930" s="128"/>
      <c r="S930" s="128"/>
      <c r="T930" s="128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</row>
    <row r="931" spans="1:38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126"/>
      <c r="P931" s="126"/>
      <c r="Q931" s="126"/>
      <c r="R931" s="128"/>
      <c r="S931" s="128"/>
      <c r="T931" s="128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</row>
    <row r="932" spans="1:38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126"/>
      <c r="P932" s="126"/>
      <c r="Q932" s="126"/>
      <c r="R932" s="128"/>
      <c r="S932" s="128"/>
      <c r="T932" s="128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</row>
    <row r="933" spans="1:38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126"/>
      <c r="P933" s="126"/>
      <c r="Q933" s="126"/>
      <c r="R933" s="128"/>
      <c r="S933" s="128"/>
      <c r="T933" s="128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</row>
    <row r="934" spans="1:38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126"/>
      <c r="P934" s="126"/>
      <c r="Q934" s="126"/>
      <c r="R934" s="128"/>
      <c r="S934" s="128"/>
      <c r="T934" s="128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</row>
    <row r="935" spans="1:38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126"/>
      <c r="P935" s="126"/>
      <c r="Q935" s="126"/>
      <c r="R935" s="128"/>
      <c r="S935" s="128"/>
      <c r="T935" s="128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</row>
    <row r="936" spans="1:38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126"/>
      <c r="P936" s="126"/>
      <c r="Q936" s="126"/>
      <c r="R936" s="128"/>
      <c r="S936" s="128"/>
      <c r="T936" s="128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</row>
    <row r="937" spans="1:38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126"/>
      <c r="P937" s="126"/>
      <c r="Q937" s="126"/>
      <c r="R937" s="128"/>
      <c r="S937" s="128"/>
      <c r="T937" s="128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</row>
    <row r="938" spans="1:38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126"/>
      <c r="P938" s="126"/>
      <c r="Q938" s="126"/>
      <c r="R938" s="128"/>
      <c r="S938" s="128"/>
      <c r="T938" s="128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</row>
    <row r="939" spans="1:38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126"/>
      <c r="P939" s="126"/>
      <c r="Q939" s="126"/>
      <c r="R939" s="128"/>
      <c r="S939" s="128"/>
      <c r="T939" s="128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</row>
    <row r="940" spans="1:38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126"/>
      <c r="P940" s="126"/>
      <c r="Q940" s="126"/>
      <c r="R940" s="128"/>
      <c r="S940" s="128"/>
      <c r="T940" s="128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</row>
    <row r="941" spans="1:38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126"/>
      <c r="P941" s="126"/>
      <c r="Q941" s="126"/>
      <c r="R941" s="128"/>
      <c r="S941" s="128"/>
      <c r="T941" s="128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</row>
    <row r="942" spans="1:38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126"/>
      <c r="P942" s="126"/>
      <c r="Q942" s="126"/>
      <c r="R942" s="128"/>
      <c r="S942" s="128"/>
      <c r="T942" s="128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</row>
    <row r="943" spans="1:38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126"/>
      <c r="P943" s="126"/>
      <c r="Q943" s="126"/>
      <c r="R943" s="128"/>
      <c r="S943" s="128"/>
      <c r="T943" s="128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</row>
    <row r="944" spans="1:38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126"/>
      <c r="P944" s="126"/>
      <c r="Q944" s="126"/>
      <c r="R944" s="128"/>
      <c r="S944" s="128"/>
      <c r="T944" s="128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</row>
    <row r="945" spans="1:38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126"/>
      <c r="P945" s="126"/>
      <c r="Q945" s="126"/>
      <c r="R945" s="128"/>
      <c r="S945" s="128"/>
      <c r="T945" s="128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</row>
    <row r="946" spans="1:38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126"/>
      <c r="P946" s="126"/>
      <c r="Q946" s="126"/>
      <c r="R946" s="128"/>
      <c r="S946" s="128"/>
      <c r="T946" s="128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</row>
    <row r="947" spans="1:38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126"/>
      <c r="P947" s="126"/>
      <c r="Q947" s="126"/>
      <c r="R947" s="128"/>
      <c r="S947" s="128"/>
      <c r="T947" s="128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</row>
    <row r="948" spans="1:38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126"/>
      <c r="P948" s="126"/>
      <c r="Q948" s="126"/>
      <c r="R948" s="128"/>
      <c r="S948" s="128"/>
      <c r="T948" s="128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</row>
    <row r="949" spans="1:38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126"/>
      <c r="P949" s="126"/>
      <c r="Q949" s="126"/>
      <c r="R949" s="128"/>
      <c r="S949" s="128"/>
      <c r="T949" s="128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</row>
    <row r="950" spans="1:38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126"/>
      <c r="P950" s="126"/>
      <c r="Q950" s="126"/>
      <c r="R950" s="128"/>
      <c r="S950" s="128"/>
      <c r="T950" s="128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</row>
    <row r="951" spans="1:38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126"/>
      <c r="P951" s="126"/>
      <c r="Q951" s="126"/>
      <c r="R951" s="128"/>
      <c r="S951" s="128"/>
      <c r="T951" s="128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</row>
    <row r="952" spans="1:38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126"/>
      <c r="P952" s="126"/>
      <c r="Q952" s="126"/>
      <c r="R952" s="128"/>
      <c r="S952" s="128"/>
      <c r="T952" s="128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</row>
    <row r="953" spans="1:38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126"/>
      <c r="P953" s="126"/>
      <c r="Q953" s="126"/>
      <c r="R953" s="128"/>
      <c r="S953" s="128"/>
      <c r="T953" s="128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</row>
    <row r="954" spans="1:38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126"/>
      <c r="P954" s="126"/>
      <c r="Q954" s="126"/>
      <c r="R954" s="128"/>
      <c r="S954" s="128"/>
      <c r="T954" s="128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</row>
    <row r="955" spans="1:38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126"/>
      <c r="P955" s="126"/>
      <c r="Q955" s="126"/>
      <c r="R955" s="128"/>
      <c r="S955" s="128"/>
      <c r="T955" s="128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</row>
    <row r="956" spans="1:38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126"/>
      <c r="P956" s="126"/>
      <c r="Q956" s="126"/>
      <c r="R956" s="128"/>
      <c r="S956" s="128"/>
      <c r="T956" s="128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</row>
    <row r="957" spans="1:38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126"/>
      <c r="P957" s="126"/>
      <c r="Q957" s="126"/>
      <c r="R957" s="128"/>
      <c r="S957" s="128"/>
      <c r="T957" s="128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</row>
    <row r="958" spans="1:38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126"/>
      <c r="P958" s="126"/>
      <c r="Q958" s="126"/>
      <c r="R958" s="128"/>
      <c r="S958" s="128"/>
      <c r="T958" s="128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</row>
    <row r="959" spans="1:38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126"/>
      <c r="P959" s="126"/>
      <c r="Q959" s="126"/>
      <c r="R959" s="128"/>
      <c r="S959" s="128"/>
      <c r="T959" s="128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</row>
    <row r="960" spans="1:38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126"/>
      <c r="P960" s="126"/>
      <c r="Q960" s="126"/>
      <c r="R960" s="128"/>
      <c r="S960" s="128"/>
      <c r="T960" s="128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</row>
    <row r="961" spans="1:38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126"/>
      <c r="P961" s="126"/>
      <c r="Q961" s="126"/>
      <c r="R961" s="128"/>
      <c r="S961" s="128"/>
      <c r="T961" s="128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</row>
    <row r="962" spans="1:38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126"/>
      <c r="P962" s="126"/>
      <c r="Q962" s="126"/>
      <c r="R962" s="128"/>
      <c r="S962" s="128"/>
      <c r="T962" s="128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</row>
    <row r="963" spans="1:38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126"/>
      <c r="P963" s="126"/>
      <c r="Q963" s="126"/>
      <c r="R963" s="128"/>
      <c r="S963" s="128"/>
      <c r="T963" s="128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</row>
    <row r="964" spans="1:38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126"/>
      <c r="P964" s="126"/>
      <c r="Q964" s="126"/>
      <c r="R964" s="128"/>
      <c r="S964" s="128"/>
      <c r="T964" s="128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</row>
    <row r="965" spans="1:38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126"/>
      <c r="P965" s="126"/>
      <c r="Q965" s="126"/>
      <c r="R965" s="128"/>
      <c r="S965" s="128"/>
      <c r="T965" s="128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</row>
    <row r="966" spans="1:38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126"/>
      <c r="P966" s="126"/>
      <c r="Q966" s="126"/>
      <c r="R966" s="128"/>
      <c r="S966" s="128"/>
      <c r="T966" s="128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</row>
    <row r="967" spans="1:38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126"/>
      <c r="P967" s="126"/>
      <c r="Q967" s="126"/>
      <c r="R967" s="128"/>
      <c r="S967" s="128"/>
      <c r="T967" s="128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</row>
    <row r="968" spans="1:38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126"/>
      <c r="P968" s="126"/>
      <c r="Q968" s="126"/>
      <c r="R968" s="128"/>
      <c r="S968" s="128"/>
      <c r="T968" s="128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</row>
    <row r="969" spans="1:38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126"/>
      <c r="P969" s="126"/>
      <c r="Q969" s="126"/>
      <c r="R969" s="128"/>
      <c r="S969" s="128"/>
      <c r="T969" s="128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</row>
    <row r="970" spans="1:38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126"/>
      <c r="P970" s="126"/>
      <c r="Q970" s="126"/>
      <c r="R970" s="128"/>
      <c r="S970" s="128"/>
      <c r="T970" s="128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</row>
    <row r="971" spans="1:38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126"/>
      <c r="P971" s="126"/>
      <c r="Q971" s="126"/>
      <c r="R971" s="128"/>
      <c r="S971" s="128"/>
      <c r="T971" s="128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</row>
    <row r="972" spans="1:38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126"/>
      <c r="P972" s="126"/>
      <c r="Q972" s="126"/>
      <c r="R972" s="128"/>
      <c r="S972" s="128"/>
      <c r="T972" s="128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</row>
    <row r="973" spans="1:38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126"/>
      <c r="P973" s="126"/>
      <c r="Q973" s="126"/>
      <c r="R973" s="128"/>
      <c r="S973" s="128"/>
      <c r="T973" s="128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</row>
    <row r="974" spans="1:38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126"/>
      <c r="P974" s="126"/>
      <c r="Q974" s="126"/>
      <c r="R974" s="128"/>
      <c r="S974" s="128"/>
      <c r="T974" s="128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</row>
    <row r="975" spans="1:38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126"/>
      <c r="P975" s="126"/>
      <c r="Q975" s="126"/>
      <c r="R975" s="128"/>
      <c r="S975" s="128"/>
      <c r="T975" s="128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</row>
    <row r="976" spans="1:38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126"/>
      <c r="P976" s="126"/>
      <c r="Q976" s="126"/>
      <c r="R976" s="128"/>
      <c r="S976" s="128"/>
      <c r="T976" s="128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</row>
    <row r="977" spans="1:38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126"/>
      <c r="P977" s="126"/>
      <c r="Q977" s="126"/>
      <c r="R977" s="128"/>
      <c r="S977" s="128"/>
      <c r="T977" s="128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</row>
    <row r="978" spans="1:38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126"/>
      <c r="P978" s="126"/>
      <c r="Q978" s="126"/>
      <c r="R978" s="128"/>
      <c r="S978" s="128"/>
      <c r="T978" s="128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</row>
    <row r="979" spans="1:38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126"/>
      <c r="P979" s="126"/>
      <c r="Q979" s="126"/>
      <c r="R979" s="128"/>
      <c r="S979" s="128"/>
      <c r="T979" s="128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</row>
    <row r="980" spans="1:38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126"/>
      <c r="P980" s="126"/>
      <c r="Q980" s="126"/>
      <c r="R980" s="128"/>
      <c r="S980" s="128"/>
      <c r="T980" s="128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</row>
    <row r="981" spans="1:38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126"/>
      <c r="P981" s="126"/>
      <c r="Q981" s="126"/>
      <c r="R981" s="128"/>
      <c r="S981" s="128"/>
      <c r="T981" s="128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</row>
    <row r="982" spans="1:38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126"/>
      <c r="P982" s="126"/>
      <c r="Q982" s="126"/>
      <c r="R982" s="128"/>
      <c r="S982" s="128"/>
      <c r="T982" s="128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</row>
    <row r="983" spans="1:38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126"/>
      <c r="P983" s="126"/>
      <c r="Q983" s="126"/>
      <c r="R983" s="128"/>
      <c r="S983" s="128"/>
      <c r="T983" s="128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</row>
    <row r="984" spans="1:38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126"/>
      <c r="P984" s="126"/>
      <c r="Q984" s="126"/>
      <c r="R984" s="128"/>
      <c r="S984" s="128"/>
      <c r="T984" s="128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</row>
    <row r="985" spans="1:38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126"/>
      <c r="P985" s="126"/>
      <c r="Q985" s="126"/>
      <c r="R985" s="128"/>
      <c r="S985" s="128"/>
      <c r="T985" s="128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</row>
    <row r="986" spans="1:38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126"/>
      <c r="P986" s="126"/>
      <c r="Q986" s="126"/>
      <c r="R986" s="128"/>
      <c r="S986" s="128"/>
      <c r="T986" s="128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</row>
    <row r="987" spans="1:38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126"/>
      <c r="P987" s="126"/>
      <c r="Q987" s="126"/>
      <c r="R987" s="128"/>
      <c r="S987" s="128"/>
      <c r="T987" s="128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</row>
    <row r="988" spans="1:38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126"/>
      <c r="P988" s="126"/>
      <c r="Q988" s="126"/>
      <c r="R988" s="128"/>
      <c r="S988" s="128"/>
      <c r="T988" s="128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</row>
    <row r="989" spans="1:38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126"/>
      <c r="P989" s="126"/>
      <c r="Q989" s="126"/>
      <c r="R989" s="128"/>
      <c r="S989" s="128"/>
      <c r="T989" s="128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</row>
    <row r="990" spans="1:38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126"/>
      <c r="P990" s="126"/>
      <c r="Q990" s="126"/>
      <c r="R990" s="128"/>
      <c r="S990" s="128"/>
      <c r="T990" s="128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</row>
    <row r="991" spans="1:38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126"/>
      <c r="P991" s="126"/>
      <c r="Q991" s="126"/>
      <c r="R991" s="128"/>
      <c r="S991" s="128"/>
      <c r="T991" s="128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</row>
    <row r="992" spans="1:38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126"/>
      <c r="P992" s="126"/>
      <c r="Q992" s="126"/>
      <c r="R992" s="128"/>
      <c r="S992" s="128"/>
      <c r="T992" s="128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</row>
    <row r="993" spans="1:38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126"/>
      <c r="P993" s="126"/>
      <c r="Q993" s="126"/>
      <c r="R993" s="128"/>
      <c r="S993" s="128"/>
      <c r="T993" s="128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</row>
    <row r="994" spans="1:38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126"/>
      <c r="P994" s="126"/>
      <c r="Q994" s="126"/>
      <c r="R994" s="128"/>
      <c r="S994" s="128"/>
      <c r="T994" s="128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</row>
    <row r="995" spans="1:38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126"/>
      <c r="P995" s="126"/>
      <c r="Q995" s="126"/>
      <c r="R995" s="128"/>
      <c r="S995" s="128"/>
      <c r="T995" s="128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</row>
    <row r="996" spans="1:38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126"/>
      <c r="P996" s="126"/>
      <c r="Q996" s="126"/>
      <c r="R996" s="128"/>
      <c r="S996" s="128"/>
      <c r="T996" s="128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</row>
    <row r="997" spans="1:38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126"/>
      <c r="P997" s="126"/>
      <c r="Q997" s="126"/>
      <c r="R997" s="128"/>
      <c r="S997" s="128"/>
      <c r="T997" s="128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</row>
    <row r="998" spans="1:38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126"/>
      <c r="P998" s="126"/>
      <c r="Q998" s="126"/>
      <c r="R998" s="128"/>
      <c r="S998" s="128"/>
      <c r="T998" s="128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</row>
    <row r="999" spans="1:38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126"/>
      <c r="P999" s="126"/>
      <c r="Q999" s="126"/>
      <c r="R999" s="128"/>
      <c r="S999" s="128"/>
      <c r="T999" s="128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</row>
    <row r="1000" spans="1:38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</row>
  </sheetData>
  <mergeCells count="30">
    <mergeCell ref="AJ3:AL4"/>
    <mergeCell ref="AK5:AL5"/>
    <mergeCell ref="AD5:AE5"/>
    <mergeCell ref="AF5:AI5"/>
    <mergeCell ref="A2:B6"/>
    <mergeCell ref="D2:Y2"/>
    <mergeCell ref="O3:T4"/>
    <mergeCell ref="U3:W4"/>
    <mergeCell ref="X3:AC4"/>
    <mergeCell ref="AD3:AI4"/>
    <mergeCell ref="O5:P5"/>
    <mergeCell ref="Q5:T5"/>
    <mergeCell ref="V5:W5"/>
    <mergeCell ref="X5:Y5"/>
    <mergeCell ref="Z5:AC5"/>
    <mergeCell ref="D3:N3"/>
    <mergeCell ref="C4:E4"/>
    <mergeCell ref="F4:N4"/>
    <mergeCell ref="E5:E6"/>
    <mergeCell ref="F5:G5"/>
    <mergeCell ref="M5:N5"/>
    <mergeCell ref="A89:B89"/>
    <mergeCell ref="A104:B104"/>
    <mergeCell ref="C5:C6"/>
    <mergeCell ref="D5:D6"/>
    <mergeCell ref="A7:B7"/>
    <mergeCell ref="A13:B13"/>
    <mergeCell ref="A31:B31"/>
    <mergeCell ref="A52:B52"/>
    <mergeCell ref="A74:B7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C1000"/>
  <sheetViews>
    <sheetView view="pageBreakPreview" zoomScale="60" zoomScaleNormal="100" workbookViewId="0">
      <pane xSplit="2" ySplit="7" topLeftCell="C8" activePane="bottomRight" state="frozen"/>
      <selection activeCell="P71" sqref="P71"/>
      <selection pane="topRight" activeCell="P71" sqref="P71"/>
      <selection pane="bottomLeft" activeCell="P71" sqref="P71"/>
      <selection pane="bottomRight" activeCell="O58" sqref="O5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2" width="15.140625" customWidth="1"/>
    <col min="13" max="13" width="10.7109375" customWidth="1"/>
    <col min="14" max="14" width="11.42578125" customWidth="1"/>
    <col min="15" max="15" width="13.42578125" bestFit="1" customWidth="1"/>
    <col min="16" max="16" width="10" customWidth="1"/>
    <col min="17" max="18" width="13.85546875" customWidth="1"/>
    <col min="19" max="19" width="10.85546875" bestFit="1" customWidth="1"/>
    <col min="20" max="21" width="13.85546875" customWidth="1"/>
    <col min="22" max="22" width="10.85546875" bestFit="1" customWidth="1"/>
    <col min="23" max="25" width="13.85546875" customWidth="1"/>
    <col min="26" max="26" width="10.85546875" bestFit="1" customWidth="1"/>
    <col min="27" max="27" width="13.28515625" bestFit="1" customWidth="1"/>
    <col min="28" max="28" width="9.42578125" customWidth="1"/>
    <col min="29" max="29" width="13.85546875" customWidth="1"/>
  </cols>
  <sheetData>
    <row r="1" spans="1:29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 x14ac:dyDescent="0.2">
      <c r="A2" s="316" t="s">
        <v>1</v>
      </c>
      <c r="B2" s="317"/>
      <c r="C2" s="320" t="s">
        <v>134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2"/>
    </row>
    <row r="3" spans="1:29" ht="30" customHeight="1" x14ac:dyDescent="0.2">
      <c r="A3" s="318"/>
      <c r="B3" s="312"/>
      <c r="C3" s="9"/>
      <c r="D3" s="308" t="s">
        <v>3</v>
      </c>
      <c r="E3" s="309"/>
      <c r="F3" s="309"/>
      <c r="G3" s="309"/>
      <c r="H3" s="309"/>
      <c r="I3" s="309"/>
      <c r="J3" s="309"/>
      <c r="K3" s="309"/>
      <c r="L3" s="309"/>
      <c r="M3" s="309"/>
      <c r="N3" s="299"/>
      <c r="O3" s="323" t="s">
        <v>135</v>
      </c>
      <c r="P3" s="324"/>
      <c r="Q3" s="317"/>
      <c r="R3" s="323" t="s">
        <v>136</v>
      </c>
      <c r="S3" s="324"/>
      <c r="T3" s="317"/>
      <c r="U3" s="323" t="s">
        <v>137</v>
      </c>
      <c r="V3" s="324"/>
      <c r="W3" s="317"/>
      <c r="X3" s="323" t="s">
        <v>138</v>
      </c>
      <c r="Y3" s="324"/>
      <c r="Z3" s="324"/>
      <c r="AA3" s="324"/>
      <c r="AB3" s="324"/>
      <c r="AC3" s="317"/>
    </row>
    <row r="4" spans="1:29" ht="56.25" customHeight="1" x14ac:dyDescent="0.2">
      <c r="A4" s="318"/>
      <c r="B4" s="312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19"/>
      <c r="P4" s="325"/>
      <c r="Q4" s="313"/>
      <c r="R4" s="319"/>
      <c r="S4" s="325"/>
      <c r="T4" s="313"/>
      <c r="U4" s="319"/>
      <c r="V4" s="325"/>
      <c r="W4" s="313"/>
      <c r="X4" s="319"/>
      <c r="Y4" s="325"/>
      <c r="Z4" s="325"/>
      <c r="AA4" s="325"/>
      <c r="AB4" s="325"/>
      <c r="AC4" s="313"/>
    </row>
    <row r="5" spans="1:29" ht="56.25" customHeight="1" x14ac:dyDescent="0.2">
      <c r="A5" s="318"/>
      <c r="B5" s="312"/>
      <c r="C5" s="405" t="s">
        <v>10</v>
      </c>
      <c r="D5" s="406" t="s">
        <v>11</v>
      </c>
      <c r="E5" s="407" t="s">
        <v>12</v>
      </c>
      <c r="F5" s="413" t="s">
        <v>13</v>
      </c>
      <c r="G5" s="414"/>
      <c r="H5" s="415" t="s">
        <v>14</v>
      </c>
      <c r="I5" s="416" t="s">
        <v>15</v>
      </c>
      <c r="J5" s="416" t="s">
        <v>16</v>
      </c>
      <c r="K5" s="416" t="s">
        <v>17</v>
      </c>
      <c r="L5" s="416" t="s">
        <v>18</v>
      </c>
      <c r="M5" s="417" t="s">
        <v>19</v>
      </c>
      <c r="N5" s="412"/>
      <c r="O5" s="10" t="s">
        <v>20</v>
      </c>
      <c r="P5" s="315" t="s">
        <v>21</v>
      </c>
      <c r="Q5" s="304"/>
      <c r="R5" s="10" t="s">
        <v>20</v>
      </c>
      <c r="S5" s="315" t="s">
        <v>21</v>
      </c>
      <c r="T5" s="304"/>
      <c r="U5" s="10" t="s">
        <v>20</v>
      </c>
      <c r="V5" s="315" t="s">
        <v>21</v>
      </c>
      <c r="W5" s="304"/>
      <c r="X5" s="314" t="s">
        <v>20</v>
      </c>
      <c r="Y5" s="304"/>
      <c r="Z5" s="315" t="s">
        <v>21</v>
      </c>
      <c r="AA5" s="309"/>
      <c r="AB5" s="309"/>
      <c r="AC5" s="304"/>
    </row>
    <row r="6" spans="1:29" ht="30" customHeight="1" x14ac:dyDescent="0.2">
      <c r="A6" s="319"/>
      <c r="B6" s="313"/>
      <c r="C6" s="408"/>
      <c r="D6" s="408"/>
      <c r="E6" s="408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" t="s">
        <v>24</v>
      </c>
      <c r="P6" s="21" t="s">
        <v>24</v>
      </c>
      <c r="Q6" s="20" t="s">
        <v>23</v>
      </c>
      <c r="R6" s="22" t="s">
        <v>24</v>
      </c>
      <c r="S6" s="21" t="s">
        <v>24</v>
      </c>
      <c r="T6" s="20" t="s">
        <v>23</v>
      </c>
      <c r="U6" s="22" t="s">
        <v>139</v>
      </c>
      <c r="V6" s="21" t="s">
        <v>139</v>
      </c>
      <c r="W6" s="20" t="s">
        <v>23</v>
      </c>
      <c r="X6" s="22" t="s">
        <v>139</v>
      </c>
      <c r="Y6" s="18" t="s">
        <v>24</v>
      </c>
      <c r="Z6" s="21" t="s">
        <v>139</v>
      </c>
      <c r="AA6" s="20" t="s">
        <v>23</v>
      </c>
      <c r="AB6" s="21" t="s">
        <v>24</v>
      </c>
      <c r="AC6" s="20" t="s">
        <v>23</v>
      </c>
    </row>
    <row r="7" spans="1:29" ht="24" customHeight="1" x14ac:dyDescent="0.2">
      <c r="A7" s="301" t="s">
        <v>248</v>
      </c>
      <c r="B7" s="302"/>
      <c r="C7" s="23">
        <f ca="1">C8+C9+C12</f>
        <v>19991880</v>
      </c>
      <c r="D7" s="24">
        <f t="shared" ref="D7:E7" ca="1" si="0">D8</f>
        <v>19991880</v>
      </c>
      <c r="E7" s="25">
        <f t="shared" ca="1" si="0"/>
        <v>0</v>
      </c>
      <c r="F7" s="26">
        <f t="shared" ref="F7:F116" ca="1" si="1">H7+M7</f>
        <v>6289190.9199999999</v>
      </c>
      <c r="G7" s="27">
        <f t="shared" ref="G7:G116" ca="1" si="2">IF(D7&gt;0,F7*100/D7,0)</f>
        <v>31.458726843098297</v>
      </c>
      <c r="H7" s="26">
        <f t="shared" ref="H7:M7" ca="1" si="3">H8</f>
        <v>6289190.9199999999</v>
      </c>
      <c r="I7" s="26">
        <f t="shared" ca="1" si="3"/>
        <v>2524060.27</v>
      </c>
      <c r="J7" s="26">
        <f t="shared" ca="1" si="3"/>
        <v>1384160</v>
      </c>
      <c r="K7" s="26">
        <f t="shared" ca="1" si="3"/>
        <v>1689741.75</v>
      </c>
      <c r="L7" s="26">
        <f t="shared" ca="1" si="3"/>
        <v>691228.9</v>
      </c>
      <c r="M7" s="28">
        <f t="shared" ca="1" si="3"/>
        <v>0</v>
      </c>
      <c r="N7" s="28">
        <f t="shared" ref="N7:N11" ca="1" si="4">IF(E7&gt;0,M7*100/E7,0)</f>
        <v>0</v>
      </c>
      <c r="O7" s="29">
        <f t="shared" ref="O7:P7" ca="1" si="5">O8</f>
        <v>0</v>
      </c>
      <c r="P7" s="30">
        <f t="shared" ca="1" si="5"/>
        <v>0</v>
      </c>
      <c r="Q7" s="31">
        <f t="shared" ref="Q7:Q8" ca="1" si="6">IF(O7&gt;0,P7*100/O7,0)</f>
        <v>0</v>
      </c>
      <c r="R7" s="29">
        <f t="shared" ref="R7:S7" ca="1" si="7">R8</f>
        <v>2800</v>
      </c>
      <c r="S7" s="30">
        <f t="shared" ca="1" si="7"/>
        <v>2291</v>
      </c>
      <c r="T7" s="31">
        <f t="shared" ref="T7:T8" ca="1" si="8">IF(R7&gt;0,S7*100/R7,0)</f>
        <v>81.821428571428569</v>
      </c>
      <c r="U7" s="29">
        <f t="shared" ref="U7:V7" ca="1" si="9">U8</f>
        <v>8480</v>
      </c>
      <c r="V7" s="30">
        <f t="shared" ca="1" si="9"/>
        <v>5546</v>
      </c>
      <c r="W7" s="31">
        <f t="shared" ref="W7:W8" ca="1" si="10">IF(U7&gt;0,V7*100/U7,0)</f>
        <v>65.40094339622641</v>
      </c>
      <c r="X7" s="29">
        <f t="shared" ref="X7:Z7" ca="1" si="11">X8</f>
        <v>8480</v>
      </c>
      <c r="Y7" s="29">
        <f t="shared" ca="1" si="11"/>
        <v>2800</v>
      </c>
      <c r="Z7" s="30">
        <f t="shared" ca="1" si="11"/>
        <v>1128</v>
      </c>
      <c r="AA7" s="31">
        <f t="shared" ref="AA7:AA8" ca="1" si="12">IF(X7&gt;0,Z7*100/X7,0)</f>
        <v>13.30188679245283</v>
      </c>
      <c r="AB7" s="30">
        <f ca="1">AB8</f>
        <v>426</v>
      </c>
      <c r="AC7" s="31">
        <f t="shared" ref="AC7:AC88" ca="1" si="13">IF(Y7&gt;0,AB7*100/Y7,0)</f>
        <v>15.214285714285714</v>
      </c>
    </row>
    <row r="8" spans="1:29" ht="28.5" customHeight="1" x14ac:dyDescent="0.2">
      <c r="A8" s="32" t="s">
        <v>26</v>
      </c>
      <c r="B8" s="33"/>
      <c r="C8" s="34">
        <f t="shared" ref="C8:E8" ca="1" si="14">+C13+C31+C52+C74</f>
        <v>19991880</v>
      </c>
      <c r="D8" s="35">
        <f t="shared" ca="1" si="14"/>
        <v>19991880</v>
      </c>
      <c r="E8" s="36">
        <f t="shared" ca="1" si="14"/>
        <v>0</v>
      </c>
      <c r="F8" s="36">
        <f t="shared" ca="1" si="1"/>
        <v>6289190.9199999999</v>
      </c>
      <c r="G8" s="37">
        <f t="shared" ca="1" si="2"/>
        <v>31.458726843098297</v>
      </c>
      <c r="H8" s="36">
        <f t="shared" ref="H8:M8" ca="1" si="15">+H13+H31+H52+H74</f>
        <v>6289190.9199999999</v>
      </c>
      <c r="I8" s="36">
        <f t="shared" ca="1" si="15"/>
        <v>2524060.27</v>
      </c>
      <c r="J8" s="36">
        <f t="shared" ca="1" si="15"/>
        <v>1384160</v>
      </c>
      <c r="K8" s="36">
        <f t="shared" ca="1" si="15"/>
        <v>1689741.75</v>
      </c>
      <c r="L8" s="36">
        <f t="shared" ca="1" si="15"/>
        <v>691228.9</v>
      </c>
      <c r="M8" s="38">
        <f t="shared" ca="1" si="15"/>
        <v>0</v>
      </c>
      <c r="N8" s="38">
        <f t="shared" ca="1" si="4"/>
        <v>0</v>
      </c>
      <c r="O8" s="36">
        <f t="shared" ref="O8:P8" ca="1" si="16">+O13+O31+O52+O74</f>
        <v>0</v>
      </c>
      <c r="P8" s="36">
        <f t="shared" ca="1" si="16"/>
        <v>0</v>
      </c>
      <c r="Q8" s="39">
        <f t="shared" ca="1" si="6"/>
        <v>0</v>
      </c>
      <c r="R8" s="36">
        <f t="shared" ref="R8:S8" ca="1" si="17">+R13+R31+R52+R74</f>
        <v>2800</v>
      </c>
      <c r="S8" s="36">
        <f t="shared" ca="1" si="17"/>
        <v>2291</v>
      </c>
      <c r="T8" s="39">
        <f t="shared" ca="1" si="8"/>
        <v>81.821428571428569</v>
      </c>
      <c r="U8" s="36">
        <f t="shared" ref="U8:V8" ca="1" si="18">+U13+U31+U52+U74</f>
        <v>8480</v>
      </c>
      <c r="V8" s="36">
        <f t="shared" ca="1" si="18"/>
        <v>5546</v>
      </c>
      <c r="W8" s="39">
        <f t="shared" ca="1" si="10"/>
        <v>65.40094339622641</v>
      </c>
      <c r="X8" s="36">
        <f t="shared" ref="X8:Z8" ca="1" si="19">+X13+X31+X52+X74</f>
        <v>8480</v>
      </c>
      <c r="Y8" s="36">
        <f t="shared" ca="1" si="19"/>
        <v>2800</v>
      </c>
      <c r="Z8" s="36">
        <f t="shared" ca="1" si="19"/>
        <v>1128</v>
      </c>
      <c r="AA8" s="39">
        <f t="shared" ca="1" si="12"/>
        <v>13.30188679245283</v>
      </c>
      <c r="AB8" s="36">
        <f ca="1">+AB13+AB31+AB52+AB74</f>
        <v>426</v>
      </c>
      <c r="AC8" s="39">
        <f t="shared" ca="1" si="13"/>
        <v>15.214285714285714</v>
      </c>
    </row>
    <row r="9" spans="1:29" ht="28.5" customHeight="1" x14ac:dyDescent="0.2">
      <c r="A9" s="40" t="s">
        <v>249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43"/>
      <c r="W9" s="46"/>
      <c r="X9" s="43"/>
      <c r="Y9" s="43"/>
      <c r="Z9" s="43"/>
      <c r="AA9" s="46"/>
      <c r="AB9" s="43"/>
      <c r="AC9" s="46">
        <f t="shared" si="13"/>
        <v>0</v>
      </c>
    </row>
    <row r="10" spans="1:29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43"/>
      <c r="W10" s="46"/>
      <c r="X10" s="43"/>
      <c r="Y10" s="43"/>
      <c r="Z10" s="43"/>
      <c r="AA10" s="46"/>
      <c r="AB10" s="43"/>
      <c r="AC10" s="46">
        <f t="shared" si="13"/>
        <v>0</v>
      </c>
    </row>
    <row r="11" spans="1:29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43"/>
      <c r="W11" s="46"/>
      <c r="X11" s="43"/>
      <c r="Y11" s="43"/>
      <c r="Z11" s="43"/>
      <c r="AA11" s="46"/>
      <c r="AB11" s="43"/>
      <c r="AC11" s="46">
        <f t="shared" si="13"/>
        <v>0</v>
      </c>
    </row>
    <row r="12" spans="1:29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0">IF(O12&gt;0,P12*100/O12,0)</f>
        <v>0</v>
      </c>
      <c r="R12" s="52">
        <v>0</v>
      </c>
      <c r="S12" s="52">
        <v>0</v>
      </c>
      <c r="T12" s="55">
        <f t="shared" ref="T12:T88" si="21">IF(R12&gt;0,S12*100/R12,0)</f>
        <v>0</v>
      </c>
      <c r="U12" s="52">
        <v>0</v>
      </c>
      <c r="V12" s="52">
        <v>0</v>
      </c>
      <c r="W12" s="55">
        <f t="shared" ref="W12:W88" si="22">IF(U12&gt;0,V12*100/U12,0)</f>
        <v>0</v>
      </c>
      <c r="X12" s="52">
        <v>0</v>
      </c>
      <c r="Y12" s="52">
        <v>0</v>
      </c>
      <c r="Z12" s="52">
        <v>0</v>
      </c>
      <c r="AA12" s="55">
        <f t="shared" ref="AA12:AA88" si="23">IF(X12&gt;0,Z12*100/X12,0)</f>
        <v>0</v>
      </c>
      <c r="AB12" s="52">
        <v>0</v>
      </c>
      <c r="AC12" s="55">
        <f t="shared" si="13"/>
        <v>0</v>
      </c>
    </row>
    <row r="13" spans="1:29" ht="28.5" customHeight="1" x14ac:dyDescent="0.2">
      <c r="A13" s="303" t="s">
        <v>30</v>
      </c>
      <c r="B13" s="304"/>
      <c r="C13" s="56">
        <f t="shared" ref="C13:E13" ca="1" si="24">SUM(C14:C30)</f>
        <v>5863196</v>
      </c>
      <c r="D13" s="57">
        <f t="shared" ca="1" si="24"/>
        <v>5863196</v>
      </c>
      <c r="E13" s="58">
        <f t="shared" ca="1" si="24"/>
        <v>0</v>
      </c>
      <c r="F13" s="58">
        <f t="shared" ca="1" si="1"/>
        <v>1673562.1600000001</v>
      </c>
      <c r="G13" s="59">
        <f t="shared" ca="1" si="2"/>
        <v>28.543513810556565</v>
      </c>
      <c r="H13" s="58">
        <f t="shared" ref="H13:M13" ca="1" si="25">SUM(H14:H30)</f>
        <v>1673562.1600000001</v>
      </c>
      <c r="I13" s="58">
        <f t="shared" ca="1" si="25"/>
        <v>774963</v>
      </c>
      <c r="J13" s="58">
        <f t="shared" ca="1" si="25"/>
        <v>248000</v>
      </c>
      <c r="K13" s="58">
        <f t="shared" ca="1" si="25"/>
        <v>504394.66000000003</v>
      </c>
      <c r="L13" s="58">
        <f t="shared" ca="1" si="25"/>
        <v>146204.5</v>
      </c>
      <c r="M13" s="60">
        <f t="shared" ca="1" si="25"/>
        <v>0</v>
      </c>
      <c r="N13" s="60">
        <f t="shared" ref="N13:N116" ca="1" si="26">IF(E13&gt;0,M13*100/E13,0)</f>
        <v>0</v>
      </c>
      <c r="O13" s="58">
        <f t="shared" ref="O13:P13" ca="1" si="27">SUM(O14:O30)</f>
        <v>0</v>
      </c>
      <c r="P13" s="58">
        <f t="shared" ca="1" si="27"/>
        <v>0</v>
      </c>
      <c r="Q13" s="61">
        <f t="shared" ca="1" si="20"/>
        <v>0</v>
      </c>
      <c r="R13" s="58">
        <f t="shared" ref="R13:S13" ca="1" si="28">SUM(R14:R30)</f>
        <v>860</v>
      </c>
      <c r="S13" s="58">
        <f t="shared" ca="1" si="28"/>
        <v>705</v>
      </c>
      <c r="T13" s="61">
        <f t="shared" ca="1" si="21"/>
        <v>81.976744186046517</v>
      </c>
      <c r="U13" s="58">
        <f t="shared" ref="U13:V13" ca="1" si="29">SUM(U14:U30)</f>
        <v>2205</v>
      </c>
      <c r="V13" s="58">
        <f t="shared" ca="1" si="29"/>
        <v>1167</v>
      </c>
      <c r="W13" s="61">
        <f t="shared" ca="1" si="22"/>
        <v>52.925170068027214</v>
      </c>
      <c r="X13" s="58">
        <f t="shared" ref="X13:Z13" ca="1" si="30">SUM(X14:X30)</f>
        <v>2205</v>
      </c>
      <c r="Y13" s="58">
        <f t="shared" ca="1" si="30"/>
        <v>860</v>
      </c>
      <c r="Z13" s="58">
        <f t="shared" ca="1" si="30"/>
        <v>260</v>
      </c>
      <c r="AA13" s="61">
        <f t="shared" ca="1" si="23"/>
        <v>11.791383219954648</v>
      </c>
      <c r="AB13" s="58">
        <f ca="1">SUM(AB14:AB30)</f>
        <v>150</v>
      </c>
      <c r="AC13" s="61">
        <f t="shared" ca="1" si="13"/>
        <v>17.441860465116278</v>
      </c>
    </row>
    <row r="14" spans="1:29" ht="24" customHeight="1" x14ac:dyDescent="0.2">
      <c r="A14" s="62">
        <v>1</v>
      </c>
      <c r="B14" s="63" t="s">
        <v>31</v>
      </c>
      <c r="C14" s="64">
        <f t="shared" ref="C14:C30" ca="1" si="31">D14+E14</f>
        <v>0</v>
      </c>
      <c r="D14" s="65">
        <f ca="1">IFERROR(__xludf.DUMMYFUNCTION("IMPORTRANGE(""https://docs.google.com/spreadsheets/d/1KxicF4apzSqm0-jIpmueT4kyZtE-Cwn5zskl7GD4loQ/edit?usp=sharing"",""กำแพงเพชร!L449"")"),0)</f>
        <v>0</v>
      </c>
      <c r="E14" s="66">
        <f ca="1">IFERROR(__xludf.DUMMYFUNCTION("IMPORTRANGE(""https://docs.google.com/spreadsheets/d/1KxicF4apzSqm0-jIpmueT4kyZtE-Cwn5zskl7GD4loQ/edit?usp=sharing"",""กำแพงเพชร!L456"")"),0)</f>
        <v>0</v>
      </c>
      <c r="F14" s="67">
        <f t="shared" ca="1" si="1"/>
        <v>0</v>
      </c>
      <c r="G14" s="68">
        <f t="shared" ca="1" si="2"/>
        <v>0</v>
      </c>
      <c r="H14" s="69">
        <f t="shared" ref="H14:H30" ca="1" si="32">I14+J14+K14+L14</f>
        <v>0</v>
      </c>
      <c r="I14" s="66">
        <f ca="1">IFERROR(__xludf.DUMMYFUNCTION("IMPORTRANGE(""https://docs.google.com/spreadsheets/d/1KxicF4apzSqm0-jIpmueT4kyZtE-Cwn5zskl7GD4loQ/edit?usp=sharing"",""กำแพงเพชร!N450"")"),0)</f>
        <v>0</v>
      </c>
      <c r="J14" s="66">
        <f ca="1">IFERROR(__xludf.DUMMYFUNCTION("IMPORTRANGE(""https://docs.google.com/spreadsheets/d/1KxicF4apzSqm0-jIpmueT4kyZtE-Cwn5zskl7GD4loQ/edit?usp=sharing"",""กำแพงเพชร!N451"")"),0)</f>
        <v>0</v>
      </c>
      <c r="K14" s="66">
        <f ca="1">IFERROR(__xludf.DUMMYFUNCTION("IMPORTRANGE(""https://docs.google.com/spreadsheets/d/1KxicF4apzSqm0-jIpmueT4kyZtE-Cwn5zskl7GD4loQ/edit?usp=sharing"",""กำแพงเพชร!N452"")"),0)</f>
        <v>0</v>
      </c>
      <c r="L14" s="66">
        <f ca="1">IFERROR(__xludf.DUMMYFUNCTION("IMPORTRANGE(""https://docs.google.com/spreadsheets/d/1KxicF4apzSqm0-jIpmueT4kyZtE-Cwn5zskl7GD4loQ/edit?usp=sharing"",""กำแพงเพชร!N453"")"),0)</f>
        <v>0</v>
      </c>
      <c r="M14" s="70">
        <f ca="1">IFERROR(__xludf.DUMMYFUNCTION("IMPORTRANGE(""https://docs.google.com/spreadsheets/d/1KxicF4apzSqm0-jIpmueT4kyZtE-Cwn5zskl7GD4loQ/edit?usp=sharing"",""กำแพงเพชร!N456"")"),0)</f>
        <v>0</v>
      </c>
      <c r="N14" s="70">
        <f t="shared" ca="1" si="26"/>
        <v>0</v>
      </c>
      <c r="O14" s="66">
        <f ca="1">IFERROR(__xludf.DUMMYFUNCTION("IMPORTRANGE(""https://docs.google.com/spreadsheets/d/1KxicF4apzSqm0-jIpmueT4kyZtE-Cwn5zskl7GD4loQ/edit?usp=sharing"",""กำแพงเพชร!I458"")"),0)</f>
        <v>0</v>
      </c>
      <c r="P14" s="66">
        <f ca="1">IFERROR(__xludf.DUMMYFUNCTION("IMPORTRANGE(""https://docs.google.com/spreadsheets/d/1KxicF4apzSqm0-jIpmueT4kyZtE-Cwn5zskl7GD4loQ/edit?usp=sharing"",""กำแพงเพชร!J458"")"),0)</f>
        <v>0</v>
      </c>
      <c r="Q14" s="71">
        <f t="shared" ca="1" si="20"/>
        <v>0</v>
      </c>
      <c r="R14" s="66">
        <f ca="1">IFERROR(__xludf.DUMMYFUNCTION("IMPORTRANGE(""https://docs.google.com/spreadsheets/d/1KxicF4apzSqm0-jIpmueT4kyZtE-Cwn5zskl7GD4loQ/edit?usp=sharing"",""กำแพงเพชร!I460"")"),0)</f>
        <v>0</v>
      </c>
      <c r="S14" s="66">
        <f ca="1">IFERROR(__xludf.DUMMYFUNCTION("IMPORTRANGE(""https://docs.google.com/spreadsheets/d/1KxicF4apzSqm0-jIpmueT4kyZtE-Cwn5zskl7GD4loQ/edit?usp=sharing"",""กำแพงเพชร!J460"")"),0)</f>
        <v>0</v>
      </c>
      <c r="T14" s="71">
        <f t="shared" ca="1" si="21"/>
        <v>0</v>
      </c>
      <c r="U14" s="66">
        <f ca="1">IFERROR(__xludf.DUMMYFUNCTION("IMPORTRANGE(""https://docs.google.com/spreadsheets/d/1KxicF4apzSqm0-jIpmueT4kyZtE-Cwn5zskl7GD4loQ/edit?usp=sharing"",""กำแพงเพชร!I462"")"),0)</f>
        <v>0</v>
      </c>
      <c r="V14" s="66">
        <f ca="1">IFERROR(__xludf.DUMMYFUNCTION("IMPORTRANGE(""https://docs.google.com/spreadsheets/d/1KxicF4apzSqm0-jIpmueT4kyZtE-Cwn5zskl7GD4loQ/edit?usp=sharing"",""กำแพงเพชร!J462"")"),0)</f>
        <v>0</v>
      </c>
      <c r="W14" s="71">
        <f t="shared" ca="1" si="22"/>
        <v>0</v>
      </c>
      <c r="X14" s="66">
        <f ca="1">IFERROR(__xludf.DUMMYFUNCTION("IMPORTRANGE(""https://docs.google.com/spreadsheets/d/1KxicF4apzSqm0-jIpmueT4kyZtE-Cwn5zskl7GD4loQ/edit?usp=sharing"",""กำแพงเพชร!I463"")"),0)</f>
        <v>0</v>
      </c>
      <c r="Y14" s="66">
        <f ca="1">IFERROR(__xludf.DUMMYFUNCTION("IMPORTRANGE(""https://docs.google.com/spreadsheets/d/1KxicF4apzSqm0-jIpmueT4kyZtE-Cwn5zskl7GD4loQ/edit?usp=sharing"",""กำแพงเพชร!I464"")"),0)</f>
        <v>0</v>
      </c>
      <c r="Z14" s="66">
        <f ca="1">IFERROR(__xludf.DUMMYFUNCTION("IMPORTRANGE(""https://docs.google.com/spreadsheets/d/1KxicF4apzSqm0-jIpmueT4kyZtE-Cwn5zskl7GD4loQ/edit?usp=sharing"",""กำแพงเพชร!J463"")"),0)</f>
        <v>0</v>
      </c>
      <c r="AA14" s="71">
        <f t="shared" ca="1" si="23"/>
        <v>0</v>
      </c>
      <c r="AB14" s="66">
        <f ca="1">IFERROR(__xludf.DUMMYFUNCTION("IMPORTRANGE(""https://docs.google.com/spreadsheets/d/1KxicF4apzSqm0-jIpmueT4kyZtE-Cwn5zskl7GD4loQ/edit?usp=sharing"",""กำแพงเพชร!J464"")"),0)</f>
        <v>0</v>
      </c>
      <c r="AC14" s="71">
        <f t="shared" ca="1" si="13"/>
        <v>0</v>
      </c>
    </row>
    <row r="15" spans="1:29" ht="24" customHeight="1" x14ac:dyDescent="0.2">
      <c r="A15" s="72">
        <v>2</v>
      </c>
      <c r="B15" s="73" t="s">
        <v>32</v>
      </c>
      <c r="C15" s="74">
        <f t="shared" ca="1" si="31"/>
        <v>714280</v>
      </c>
      <c r="D15" s="75">
        <f ca="1">IFERROR(__xludf.DUMMYFUNCTION("IMPORTRANGE(""https://docs.google.com/spreadsheets/d/1ZNYWeiFoFA1K1U4xKWqRX29MBvEyRHXORjo734Gnq_c/edit?usp=sharing"",""เชียงราย!L449"")"),714280)</f>
        <v>714280</v>
      </c>
      <c r="E15" s="76">
        <f ca="1">IFERROR(__xludf.DUMMYFUNCTION("IMPORTRANGE(""https://docs.google.com/spreadsheets/d/1ZNYWeiFoFA1K1U4xKWqRX29MBvEyRHXORjo734Gnq_c/edit?usp=sharing"",""เชียงราย!L456"")"),0)</f>
        <v>0</v>
      </c>
      <c r="F15" s="77">
        <f t="shared" ca="1" si="1"/>
        <v>150100</v>
      </c>
      <c r="G15" s="78">
        <f t="shared" ca="1" si="2"/>
        <v>21.014168113344908</v>
      </c>
      <c r="H15" s="79">
        <f t="shared" ca="1" si="32"/>
        <v>150100</v>
      </c>
      <c r="I15" s="76">
        <f ca="1">IFERROR(__xludf.DUMMYFUNCTION("IMPORTRANGE(""https://docs.google.com/spreadsheets/d/1ZNYWeiFoFA1K1U4xKWqRX29MBvEyRHXORjo734Gnq_c/edit?usp=sharing"",""เชียงราย!N450"")"),101220)</f>
        <v>101220</v>
      </c>
      <c r="J15" s="76">
        <f ca="1">IFERROR(__xludf.DUMMYFUNCTION("IMPORTRANGE(""https://docs.google.com/spreadsheets/d/1ZNYWeiFoFA1K1U4xKWqRX29MBvEyRHXORjo734Gnq_c/edit?usp=sharing"",""เชียงราย!N451"")"),0)</f>
        <v>0</v>
      </c>
      <c r="K15" s="76">
        <f ca="1">IFERROR(__xludf.DUMMYFUNCTION("IMPORTRANGE(""https://docs.google.com/spreadsheets/d/1ZNYWeiFoFA1K1U4xKWqRX29MBvEyRHXORjo734Gnq_c/edit?usp=sharing"",""เชียงราย!N452"")"),39000)</f>
        <v>39000</v>
      </c>
      <c r="L15" s="76">
        <f ca="1">IFERROR(__xludf.DUMMYFUNCTION("IMPORTRANGE(""https://docs.google.com/spreadsheets/d/1ZNYWeiFoFA1K1U4xKWqRX29MBvEyRHXORjo734Gnq_c/edit?usp=sharing"",""เชียงราย!N453"")"),9880)</f>
        <v>9880</v>
      </c>
      <c r="M15" s="80">
        <f ca="1">IFERROR(__xludf.DUMMYFUNCTION("IMPORTRANGE(""https://docs.google.com/spreadsheets/d/1ZNYWeiFoFA1K1U4xKWqRX29MBvEyRHXORjo734Gnq_c/edit?usp=sharing"",""เชียงราย!N456"")"),0)</f>
        <v>0</v>
      </c>
      <c r="N15" s="80">
        <f t="shared" ca="1" si="26"/>
        <v>0</v>
      </c>
      <c r="O15" s="81">
        <f ca="1">IFERROR(__xludf.DUMMYFUNCTION("IMPORTRANGE(""https://docs.google.com/spreadsheets/d/1ZNYWeiFoFA1K1U4xKWqRX29MBvEyRHXORjo734Gnq_c/edit?usp=sharing"",""เชียงราย!I458"")"),0)</f>
        <v>0</v>
      </c>
      <c r="P15" s="81">
        <f ca="1">IFERROR(__xludf.DUMMYFUNCTION("IMPORTRANGE(""https://docs.google.com/spreadsheets/d/1ZNYWeiFoFA1K1U4xKWqRX29MBvEyRHXORjo734Gnq_c/edit?usp=sharing"",""เชียงราย!J458"")"),0)</f>
        <v>0</v>
      </c>
      <c r="Q15" s="82">
        <f t="shared" ca="1" si="20"/>
        <v>0</v>
      </c>
      <c r="R15" s="81">
        <f ca="1">IFERROR(__xludf.DUMMYFUNCTION("IMPORTRANGE(""https://docs.google.com/spreadsheets/d/1ZNYWeiFoFA1K1U4xKWqRX29MBvEyRHXORjo734Gnq_c/edit?usp=sharing"",""เชียงราย!I460"")"),150)</f>
        <v>150</v>
      </c>
      <c r="S15" s="81">
        <f ca="1">IFERROR(__xludf.DUMMYFUNCTION("IMPORTRANGE(""https://docs.google.com/spreadsheets/d/1ZNYWeiFoFA1K1U4xKWqRX29MBvEyRHXORjo734Gnq_c/edit?usp=sharing"",""เชียงราย!J460"")"),100)</f>
        <v>100</v>
      </c>
      <c r="T15" s="82">
        <f t="shared" ca="1" si="21"/>
        <v>66.666666666666671</v>
      </c>
      <c r="U15" s="81">
        <f ca="1">IFERROR(__xludf.DUMMYFUNCTION("IMPORTRANGE(""https://docs.google.com/spreadsheets/d/1ZNYWeiFoFA1K1U4xKWqRX29MBvEyRHXORjo734Gnq_c/edit?usp=sharing"",""เชียงราย!I462"")"),300)</f>
        <v>300</v>
      </c>
      <c r="V15" s="81">
        <f ca="1">IFERROR(__xludf.DUMMYFUNCTION("IMPORTRANGE(""https://docs.google.com/spreadsheets/d/1ZNYWeiFoFA1K1U4xKWqRX29MBvEyRHXORjo734Gnq_c/edit?usp=sharing"",""เชียงราย!J462"")"),0)</f>
        <v>0</v>
      </c>
      <c r="W15" s="82">
        <f t="shared" ca="1" si="22"/>
        <v>0</v>
      </c>
      <c r="X15" s="81">
        <f ca="1">IFERROR(__xludf.DUMMYFUNCTION("IMPORTRANGE(""https://docs.google.com/spreadsheets/d/1ZNYWeiFoFA1K1U4xKWqRX29MBvEyRHXORjo734Gnq_c/edit?usp=sharing"",""เชียงราย!I463"")"),300)</f>
        <v>300</v>
      </c>
      <c r="Y15" s="81">
        <f ca="1">IFERROR(__xludf.DUMMYFUNCTION("IMPORTRANGE(""https://docs.google.com/spreadsheets/d/1ZNYWeiFoFA1K1U4xKWqRX29MBvEyRHXORjo734Gnq_c/edit?usp=sharing"",""เชียงราย!I464"")"),150)</f>
        <v>150</v>
      </c>
      <c r="Z15" s="81">
        <f ca="1">IFERROR(__xludf.DUMMYFUNCTION("IMPORTRANGE(""https://docs.google.com/spreadsheets/d/1ZNYWeiFoFA1K1U4xKWqRX29MBvEyRHXORjo734Gnq_c/edit?usp=sharing"",""เชียงราย!J463"")"),0)</f>
        <v>0</v>
      </c>
      <c r="AA15" s="82">
        <f t="shared" ca="1" si="23"/>
        <v>0</v>
      </c>
      <c r="AB15" s="81">
        <f ca="1">IFERROR(__xludf.DUMMYFUNCTION("IMPORTRANGE(""https://docs.google.com/spreadsheets/d/1ZNYWeiFoFA1K1U4xKWqRX29MBvEyRHXORjo734Gnq_c/edit?usp=sharing"",""เชียงราย!J464"")"),0)</f>
        <v>0</v>
      </c>
      <c r="AC15" s="82">
        <f t="shared" ca="1" si="13"/>
        <v>0</v>
      </c>
    </row>
    <row r="16" spans="1:29" ht="24" customHeight="1" x14ac:dyDescent="0.2">
      <c r="A16" s="72">
        <v>3</v>
      </c>
      <c r="B16" s="73" t="s">
        <v>33</v>
      </c>
      <c r="C16" s="74">
        <f t="shared" ca="1" si="31"/>
        <v>319880</v>
      </c>
      <c r="D16" s="75">
        <f ca="1">IFERROR(__xludf.DUMMYFUNCTION("IMPORTRANGE(""https://docs.google.com/spreadsheets/d/1Jgv0Y7YlHDtsiDawwp-uvifEJ8HVaSn0k2aGHG8-hwM/edit?usp=sharing"",""เชียงใหม่!L449"")"),319880)</f>
        <v>319880</v>
      </c>
      <c r="E16" s="76">
        <f ca="1">IFERROR(__xludf.DUMMYFUNCTION("IMPORTRANGE(""https://docs.google.com/spreadsheets/d/1Jgv0Y7YlHDtsiDawwp-uvifEJ8HVaSn0k2aGHG8-hwM/edit?usp=sharing"",""เชียงใหม่!L456"")"),0)</f>
        <v>0</v>
      </c>
      <c r="F16" s="77">
        <f t="shared" ca="1" si="1"/>
        <v>84070</v>
      </c>
      <c r="G16" s="78">
        <f t="shared" ca="1" si="2"/>
        <v>26.281730648993374</v>
      </c>
      <c r="H16" s="79">
        <f t="shared" ca="1" si="32"/>
        <v>84070</v>
      </c>
      <c r="I16" s="76">
        <f ca="1">IFERROR(__xludf.DUMMYFUNCTION("IMPORTRANGE(""https://docs.google.com/spreadsheets/d/1Jgv0Y7YlHDtsiDawwp-uvifEJ8HVaSn0k2aGHG8-hwM/edit?usp=sharing"",""เชียงใหม่!N450"")"),27200)</f>
        <v>27200</v>
      </c>
      <c r="J16" s="76">
        <f ca="1">IFERROR(__xludf.DUMMYFUNCTION("IMPORTRANGE(""https://docs.google.com/spreadsheets/d/1Jgv0Y7YlHDtsiDawwp-uvifEJ8HVaSn0k2aGHG8-hwM/edit?usp=sharing"",""เชียงใหม่!N451"")"),0)</f>
        <v>0</v>
      </c>
      <c r="K16" s="76">
        <f ca="1">IFERROR(__xludf.DUMMYFUNCTION("IMPORTRANGE(""https://docs.google.com/spreadsheets/d/1Jgv0Y7YlHDtsiDawwp-uvifEJ8HVaSn0k2aGHG8-hwM/edit?usp=sharing"",""เชียงใหม่!N452"")"),52000)</f>
        <v>52000</v>
      </c>
      <c r="L16" s="76">
        <f ca="1">IFERROR(__xludf.DUMMYFUNCTION("IMPORTRANGE(""https://docs.google.com/spreadsheets/d/1Jgv0Y7YlHDtsiDawwp-uvifEJ8HVaSn0k2aGHG8-hwM/edit?usp=sharing"",""เชียงใหม่!N453"")"),4870)</f>
        <v>4870</v>
      </c>
      <c r="M16" s="80">
        <f ca="1">IFERROR(__xludf.DUMMYFUNCTION("IMPORTRANGE(""https://docs.google.com/spreadsheets/d/1Jgv0Y7YlHDtsiDawwp-uvifEJ8HVaSn0k2aGHG8-hwM/edit?usp=sharing"",""เชียงใหม่!N456"")"),0)</f>
        <v>0</v>
      </c>
      <c r="N16" s="80">
        <f t="shared" ca="1" si="26"/>
        <v>0</v>
      </c>
      <c r="O16" s="81">
        <f ca="1">IFERROR(__xludf.DUMMYFUNCTION("IMPORTRANGE(""https://docs.google.com/spreadsheets/d/1Jgv0Y7YlHDtsiDawwp-uvifEJ8HVaSn0k2aGHG8-hwM/edit?usp=sharing"",""เชียงใหม่!I458"")"),0)</f>
        <v>0</v>
      </c>
      <c r="P16" s="81">
        <f ca="1">IFERROR(__xludf.DUMMYFUNCTION("IMPORTRANGE(""https://docs.google.com/spreadsheets/d/1Jgv0Y7YlHDtsiDawwp-uvifEJ8HVaSn0k2aGHG8-hwM/edit?usp=sharing"",""เชียงใหม่!J458"")"),0)</f>
        <v>0</v>
      </c>
      <c r="Q16" s="82">
        <f t="shared" ca="1" si="20"/>
        <v>0</v>
      </c>
      <c r="R16" s="81">
        <f ca="1">IFERROR(__xludf.DUMMYFUNCTION("IMPORTRANGE(""https://docs.google.com/spreadsheets/d/1Jgv0Y7YlHDtsiDawwp-uvifEJ8HVaSn0k2aGHG8-hwM/edit?usp=sharing"",""เชียงใหม่!I460"")"),40)</f>
        <v>40</v>
      </c>
      <c r="S16" s="81">
        <f ca="1">IFERROR(__xludf.DUMMYFUNCTION("IMPORTRANGE(""https://docs.google.com/spreadsheets/d/1Jgv0Y7YlHDtsiDawwp-uvifEJ8HVaSn0k2aGHG8-hwM/edit?usp=sharing"",""เชียงใหม่!J460"")"),20)</f>
        <v>20</v>
      </c>
      <c r="T16" s="82">
        <f t="shared" ca="1" si="21"/>
        <v>50</v>
      </c>
      <c r="U16" s="81">
        <f ca="1">IFERROR(__xludf.DUMMYFUNCTION("IMPORTRANGE(""https://docs.google.com/spreadsheets/d/1Jgv0Y7YlHDtsiDawwp-uvifEJ8HVaSn0k2aGHG8-hwM/edit?usp=sharing"",""เชียงใหม่!I462"")"),80)</f>
        <v>80</v>
      </c>
      <c r="V16" s="81">
        <f ca="1">IFERROR(__xludf.DUMMYFUNCTION("IMPORTRANGE(""https://docs.google.com/spreadsheets/d/1Jgv0Y7YlHDtsiDawwp-uvifEJ8HVaSn0k2aGHG8-hwM/edit?usp=sharing"",""เชียงใหม่!J462"")"),32)</f>
        <v>32</v>
      </c>
      <c r="W16" s="82">
        <f t="shared" ca="1" si="22"/>
        <v>40</v>
      </c>
      <c r="X16" s="81">
        <f ca="1">IFERROR(__xludf.DUMMYFUNCTION("IMPORTRANGE(""https://docs.google.com/spreadsheets/d/1Jgv0Y7YlHDtsiDawwp-uvifEJ8HVaSn0k2aGHG8-hwM/edit?usp=sharing"",""เชียงใหม่!I463"")"),80)</f>
        <v>80</v>
      </c>
      <c r="Y16" s="81">
        <f ca="1">IFERROR(__xludf.DUMMYFUNCTION("IMPORTRANGE(""https://docs.google.com/spreadsheets/d/1Jgv0Y7YlHDtsiDawwp-uvifEJ8HVaSn0k2aGHG8-hwM/edit?usp=sharing"",""เชียงใหม่!I464"")"),40)</f>
        <v>40</v>
      </c>
      <c r="Z16" s="81">
        <f ca="1">IFERROR(__xludf.DUMMYFUNCTION("IMPORTRANGE(""https://docs.google.com/spreadsheets/d/1Jgv0Y7YlHDtsiDawwp-uvifEJ8HVaSn0k2aGHG8-hwM/edit?usp=sharing"",""เชียงใหม่!J463"")"),0)</f>
        <v>0</v>
      </c>
      <c r="AA16" s="82">
        <f t="shared" ca="1" si="23"/>
        <v>0</v>
      </c>
      <c r="AB16" s="81">
        <f ca="1">IFERROR(__xludf.DUMMYFUNCTION("IMPORTRANGE(""https://docs.google.com/spreadsheets/d/1Jgv0Y7YlHDtsiDawwp-uvifEJ8HVaSn0k2aGHG8-hwM/edit?usp=sharing"",""เชียงใหม่!J464"")"),0)</f>
        <v>0</v>
      </c>
      <c r="AC16" s="82">
        <f t="shared" ca="1" si="13"/>
        <v>0</v>
      </c>
    </row>
    <row r="17" spans="1:29" ht="24" customHeight="1" x14ac:dyDescent="0.2">
      <c r="A17" s="72">
        <v>4</v>
      </c>
      <c r="B17" s="73" t="s">
        <v>34</v>
      </c>
      <c r="C17" s="74">
        <f t="shared" ca="1" si="31"/>
        <v>0</v>
      </c>
      <c r="D17" s="75">
        <f ca="1">IFERROR(__xludf.DUMMYFUNCTION("IMPORTRANGE(""https://docs.google.com/spreadsheets/d/1JWG2rZePOz9pe-f-ObA-yDr0VoOX2kSb0qIix2mTUo8/edit?usp=sharing"",""ตาก!L449"")"),0)</f>
        <v>0</v>
      </c>
      <c r="E17" s="76">
        <f ca="1">IFERROR(__xludf.DUMMYFUNCTION("IMPORTRANGE(""https://docs.google.com/spreadsheets/d/1JWG2rZePOz9pe-f-ObA-yDr0VoOX2kSb0qIix2mTUo8/edit?usp=sharing"",""ตาก!L456"")"),0)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32"/>
        <v>0</v>
      </c>
      <c r="I17" s="76">
        <f ca="1">IFERROR(__xludf.DUMMYFUNCTION("IMPORTRANGE(""https://docs.google.com/spreadsheets/d/1JWG2rZePOz9pe-f-ObA-yDr0VoOX2kSb0qIix2mTUo8/edit?usp=sharing"",""ตาก!N450"")"),0)</f>
        <v>0</v>
      </c>
      <c r="J17" s="76">
        <f ca="1">IFERROR(__xludf.DUMMYFUNCTION("IMPORTRANGE(""https://docs.google.com/spreadsheets/d/1JWG2rZePOz9pe-f-ObA-yDr0VoOX2kSb0qIix2mTUo8/edit?usp=sharing"",""ตาก!N451"")"),0)</f>
        <v>0</v>
      </c>
      <c r="K17" s="76">
        <f ca="1">IFERROR(__xludf.DUMMYFUNCTION("IMPORTRANGE(""https://docs.google.com/spreadsheets/d/1JWG2rZePOz9pe-f-ObA-yDr0VoOX2kSb0qIix2mTUo8/edit?usp=sharing"",""ตาก!N452"")"),0)</f>
        <v>0</v>
      </c>
      <c r="L17" s="76">
        <f ca="1">IFERROR(__xludf.DUMMYFUNCTION("IMPORTRANGE(""https://docs.google.com/spreadsheets/d/1JWG2rZePOz9pe-f-ObA-yDr0VoOX2kSb0qIix2mTUo8/edit?usp=sharing"",""ตาก!N453"")"),0)</f>
        <v>0</v>
      </c>
      <c r="M17" s="80">
        <f ca="1">IFERROR(__xludf.DUMMYFUNCTION("IMPORTRANGE(""https://docs.google.com/spreadsheets/d/1JWG2rZePOz9pe-f-ObA-yDr0VoOX2kSb0qIix2mTUo8/edit?usp=sharing"",""ตาก!N456"")"),0)</f>
        <v>0</v>
      </c>
      <c r="N17" s="80">
        <f t="shared" ca="1" si="26"/>
        <v>0</v>
      </c>
      <c r="O17" s="81">
        <f ca="1">IFERROR(__xludf.DUMMYFUNCTION("IMPORTRANGE(""https://docs.google.com/spreadsheets/d/1JWG2rZePOz9pe-f-ObA-yDr0VoOX2kSb0qIix2mTUo8/edit?usp=sharing"",""ตาก!I458"")"),0)</f>
        <v>0</v>
      </c>
      <c r="P17" s="81">
        <f ca="1">IFERROR(__xludf.DUMMYFUNCTION("IMPORTRANGE(""https://docs.google.com/spreadsheets/d/1JWG2rZePOz9pe-f-ObA-yDr0VoOX2kSb0qIix2mTUo8/edit?usp=sharing"",""ตาก!J458"")"),0)</f>
        <v>0</v>
      </c>
      <c r="Q17" s="82">
        <f t="shared" ca="1" si="20"/>
        <v>0</v>
      </c>
      <c r="R17" s="81">
        <f ca="1">IFERROR(__xludf.DUMMYFUNCTION("IMPORTRANGE(""https://docs.google.com/spreadsheets/d/1JWG2rZePOz9pe-f-ObA-yDr0VoOX2kSb0qIix2mTUo8/edit?usp=sharing"",""ตาก!I460"")"),0)</f>
        <v>0</v>
      </c>
      <c r="S17" s="81">
        <f ca="1">IFERROR(__xludf.DUMMYFUNCTION("IMPORTRANGE(""https://docs.google.com/spreadsheets/d/1JWG2rZePOz9pe-f-ObA-yDr0VoOX2kSb0qIix2mTUo8/edit?usp=sharing"",""ตาก!J460"")"),0)</f>
        <v>0</v>
      </c>
      <c r="T17" s="82">
        <f t="shared" ca="1" si="21"/>
        <v>0</v>
      </c>
      <c r="U17" s="81">
        <f ca="1">IFERROR(__xludf.DUMMYFUNCTION("IMPORTRANGE(""https://docs.google.com/spreadsheets/d/1JWG2rZePOz9pe-f-ObA-yDr0VoOX2kSb0qIix2mTUo8/edit?usp=sharing"",""ตาก!I462"")"),0)</f>
        <v>0</v>
      </c>
      <c r="V17" s="81">
        <f ca="1">IFERROR(__xludf.DUMMYFUNCTION("IMPORTRANGE(""https://docs.google.com/spreadsheets/d/1JWG2rZePOz9pe-f-ObA-yDr0VoOX2kSb0qIix2mTUo8/edit?usp=sharing"",""ตาก!J462"")"),0)</f>
        <v>0</v>
      </c>
      <c r="W17" s="82">
        <f t="shared" ca="1" si="22"/>
        <v>0</v>
      </c>
      <c r="X17" s="81">
        <f ca="1">IFERROR(__xludf.DUMMYFUNCTION("IMPORTRANGE(""https://docs.google.com/spreadsheets/d/1JWG2rZePOz9pe-f-ObA-yDr0VoOX2kSb0qIix2mTUo8/edit?usp=sharing"",""ตาก!I463"")"),0)</f>
        <v>0</v>
      </c>
      <c r="Y17" s="81">
        <f ca="1">IFERROR(__xludf.DUMMYFUNCTION("IMPORTRANGE(""https://docs.google.com/spreadsheets/d/1JWG2rZePOz9pe-f-ObA-yDr0VoOX2kSb0qIix2mTUo8/edit?usp=sharing"",""ตาก!I464"")"),0)</f>
        <v>0</v>
      </c>
      <c r="Z17" s="81">
        <f ca="1">IFERROR(__xludf.DUMMYFUNCTION("IMPORTRANGE(""https://docs.google.com/spreadsheets/d/1JWG2rZePOz9pe-f-ObA-yDr0VoOX2kSb0qIix2mTUo8/edit?usp=sharing"",""ตาก!J463"")"),0)</f>
        <v>0</v>
      </c>
      <c r="AA17" s="82">
        <f t="shared" ca="1" si="23"/>
        <v>0</v>
      </c>
      <c r="AB17" s="81">
        <f ca="1">IFERROR(__xludf.DUMMYFUNCTION("IMPORTRANGE(""https://docs.google.com/spreadsheets/d/1JWG2rZePOz9pe-f-ObA-yDr0VoOX2kSb0qIix2mTUo8/edit?usp=sharing"",""ตาก!J464"")"),0)</f>
        <v>0</v>
      </c>
      <c r="AC17" s="82">
        <f t="shared" ca="1" si="13"/>
        <v>0</v>
      </c>
    </row>
    <row r="18" spans="1:29" ht="24" customHeight="1" x14ac:dyDescent="0.2">
      <c r="A18" s="72">
        <v>5</v>
      </c>
      <c r="B18" s="73" t="s">
        <v>35</v>
      </c>
      <c r="C18" s="74">
        <f t="shared" ca="1" si="31"/>
        <v>355492</v>
      </c>
      <c r="D18" s="75">
        <f ca="1">IFERROR(__xludf.DUMMYFUNCTION("IMPORTRANGE(""https://docs.google.com/spreadsheets/d/10nSRjK08hx8Y6HgSOQKNw81lyY46Zc7U_Cj72hBMp9U/edit?usp=sharing"",""นครสวรรค์!L449"")"),355492)</f>
        <v>355492</v>
      </c>
      <c r="E18" s="76">
        <f ca="1">IFERROR(__xludf.DUMMYFUNCTION("IMPORTRANGE(""https://docs.google.com/spreadsheets/d/10nSRjK08hx8Y6HgSOQKNw81lyY46Zc7U_Cj72hBMp9U/edit?usp=sharing"",""นครสวรรค์!L456"")"),0)</f>
        <v>0</v>
      </c>
      <c r="F18" s="77">
        <f t="shared" ca="1" si="1"/>
        <v>99780</v>
      </c>
      <c r="G18" s="78">
        <f t="shared" ca="1" si="2"/>
        <v>28.06814218041475</v>
      </c>
      <c r="H18" s="79">
        <f t="shared" ca="1" si="32"/>
        <v>99780</v>
      </c>
      <c r="I18" s="76">
        <f ca="1">IFERROR(__xludf.DUMMYFUNCTION("IMPORTRANGE(""https://docs.google.com/spreadsheets/d/10nSRjK08hx8Y6HgSOQKNw81lyY46Zc7U_Cj72hBMp9U/edit?usp=sharing"",""นครสวรรค์!N450"")"),45620)</f>
        <v>45620</v>
      </c>
      <c r="J18" s="76">
        <f ca="1">IFERROR(__xludf.DUMMYFUNCTION("IMPORTRANGE(""https://docs.google.com/spreadsheets/d/10nSRjK08hx8Y6HgSOQKNw81lyY46Zc7U_Cj72hBMp9U/edit?usp=sharing"",""นครสวรรค์!N451"")"),0)</f>
        <v>0</v>
      </c>
      <c r="K18" s="76">
        <f ca="1">IFERROR(__xludf.DUMMYFUNCTION("IMPORTRANGE(""https://docs.google.com/spreadsheets/d/10nSRjK08hx8Y6HgSOQKNw81lyY46Zc7U_Cj72hBMp9U/edit?usp=sharing"",""นครสวรรค์!N452"")"),39000)</f>
        <v>39000</v>
      </c>
      <c r="L18" s="76">
        <f ca="1">IFERROR(__xludf.DUMMYFUNCTION("IMPORTRANGE(""https://docs.google.com/spreadsheets/d/10nSRjK08hx8Y6HgSOQKNw81lyY46Zc7U_Cj72hBMp9U/edit?usp=sharing"",""นครสวรรค์!N453"")"),15160)</f>
        <v>15160</v>
      </c>
      <c r="M18" s="80">
        <f ca="1">IFERROR(__xludf.DUMMYFUNCTION("IMPORTRANGE(""https://docs.google.com/spreadsheets/d/10nSRjK08hx8Y6HgSOQKNw81lyY46Zc7U_Cj72hBMp9U/edit?usp=sharing"",""นครสวรรค์!N456"")"),0)</f>
        <v>0</v>
      </c>
      <c r="N18" s="80">
        <f t="shared" ca="1" si="26"/>
        <v>0</v>
      </c>
      <c r="O18" s="81">
        <f ca="1">IFERROR(__xludf.DUMMYFUNCTION("IMPORTRANGE(""https://docs.google.com/spreadsheets/d/10nSRjK08hx8Y6HgSOQKNw81lyY46Zc7U_Cj72hBMp9U/edit?usp=sharing"",""นครสวรรค์!I458"")"),0)</f>
        <v>0</v>
      </c>
      <c r="P18" s="81">
        <f ca="1">IFERROR(__xludf.DUMMYFUNCTION("IMPORTRANGE(""https://docs.google.com/spreadsheets/d/10nSRjK08hx8Y6HgSOQKNw81lyY46Zc7U_Cj72hBMp9U/edit?usp=sharing"",""นครสวรรค์!J458"")"),0)</f>
        <v>0</v>
      </c>
      <c r="Q18" s="82">
        <f t="shared" ca="1" si="20"/>
        <v>0</v>
      </c>
      <c r="R18" s="81">
        <f ca="1">IFERROR(__xludf.DUMMYFUNCTION("IMPORTRANGE(""https://docs.google.com/spreadsheets/d/10nSRjK08hx8Y6HgSOQKNw81lyY46Zc7U_Cj72hBMp9U/edit?usp=sharing"",""นครสวรรค์!I460"")"),40)</f>
        <v>40</v>
      </c>
      <c r="S18" s="81">
        <f ca="1">IFERROR(__xludf.DUMMYFUNCTION("IMPORTRANGE(""https://docs.google.com/spreadsheets/d/10nSRjK08hx8Y6HgSOQKNw81lyY46Zc7U_Cj72hBMp9U/edit?usp=sharing"",""นครสวรรค์!J460"")"),40)</f>
        <v>40</v>
      </c>
      <c r="T18" s="82">
        <f t="shared" ca="1" si="21"/>
        <v>100</v>
      </c>
      <c r="U18" s="81">
        <f ca="1">IFERROR(__xludf.DUMMYFUNCTION("IMPORTRANGE(""https://docs.google.com/spreadsheets/d/10nSRjK08hx8Y6HgSOQKNw81lyY46Zc7U_Cj72hBMp9U/edit?usp=sharing"",""นครสวรรค์!I462"")"),80)</f>
        <v>80</v>
      </c>
      <c r="V18" s="81">
        <f ca="1">IFERROR(__xludf.DUMMYFUNCTION("IMPORTRANGE(""https://docs.google.com/spreadsheets/d/10nSRjK08hx8Y6HgSOQKNw81lyY46Zc7U_Cj72hBMp9U/edit?usp=sharing"",""นครสวรรค์!J462"")"),80)</f>
        <v>80</v>
      </c>
      <c r="W18" s="82">
        <f t="shared" ca="1" si="22"/>
        <v>100</v>
      </c>
      <c r="X18" s="81">
        <f ca="1">IFERROR(__xludf.DUMMYFUNCTION("IMPORTRANGE(""https://docs.google.com/spreadsheets/d/10nSRjK08hx8Y6HgSOQKNw81lyY46Zc7U_Cj72hBMp9U/edit?usp=sharing"",""นครสวรรค์!I463"")"),80)</f>
        <v>80</v>
      </c>
      <c r="Y18" s="81">
        <f ca="1">IFERROR(__xludf.DUMMYFUNCTION("IMPORTRANGE(""https://docs.google.com/spreadsheets/d/10nSRjK08hx8Y6HgSOQKNw81lyY46Zc7U_Cj72hBMp9U/edit?usp=sharing"",""นครสวรรค์!I464"")"),40)</f>
        <v>40</v>
      </c>
      <c r="Z18" s="81">
        <f ca="1">IFERROR(__xludf.DUMMYFUNCTION("IMPORTRANGE(""https://docs.google.com/spreadsheets/d/10nSRjK08hx8Y6HgSOQKNw81lyY46Zc7U_Cj72hBMp9U/edit?usp=sharing"",""นครสวรรค์!J463"")"),0)</f>
        <v>0</v>
      </c>
      <c r="AA18" s="82">
        <f t="shared" ca="1" si="23"/>
        <v>0</v>
      </c>
      <c r="AB18" s="81">
        <f ca="1">IFERROR(__xludf.DUMMYFUNCTION("IMPORTRANGE(""https://docs.google.com/spreadsheets/d/10nSRjK08hx8Y6HgSOQKNw81lyY46Zc7U_Cj72hBMp9U/edit?usp=sharing"",""นครสวรรค์!J464"")"),0)</f>
        <v>0</v>
      </c>
      <c r="AC18" s="82">
        <f t="shared" ca="1" si="13"/>
        <v>0</v>
      </c>
    </row>
    <row r="19" spans="1:29" ht="24" customHeight="1" x14ac:dyDescent="0.2">
      <c r="A19" s="72">
        <v>6</v>
      </c>
      <c r="B19" s="73" t="s">
        <v>36</v>
      </c>
      <c r="C19" s="74">
        <f t="shared" ca="1" si="31"/>
        <v>358780</v>
      </c>
      <c r="D19" s="75">
        <f ca="1">IFERROR(__xludf.DUMMYFUNCTION("IMPORTRANGE(""https://docs.google.com/spreadsheets/d/1gFVb7qd7amutrIxAAoM7lcy35hllxznovot8lyOfvDo/edit?usp=sharing"",""น่าน!L449"")"),358780)</f>
        <v>358780</v>
      </c>
      <c r="E19" s="76">
        <f ca="1">IFERROR(__xludf.DUMMYFUNCTION("IMPORTRANGE(""https://docs.google.com/spreadsheets/d/1gFVb7qd7amutrIxAAoM7lcy35hllxznovot8lyOfvDo/edit?usp=sharing"",""น่าน!L456"")"),0)</f>
        <v>0</v>
      </c>
      <c r="F19" s="77">
        <f t="shared" ca="1" si="1"/>
        <v>95528</v>
      </c>
      <c r="G19" s="78">
        <f t="shared" ca="1" si="2"/>
        <v>26.625787390601484</v>
      </c>
      <c r="H19" s="79">
        <f t="shared" ca="1" si="32"/>
        <v>95528</v>
      </c>
      <c r="I19" s="76">
        <f ca="1">IFERROR(__xludf.DUMMYFUNCTION("IMPORTRANGE(""https://docs.google.com/spreadsheets/d/1gFVb7qd7amutrIxAAoM7lcy35hllxznovot8lyOfvDo/edit?usp=sharing"",""น่าน!N450"")"),40548)</f>
        <v>40548</v>
      </c>
      <c r="J19" s="76">
        <f ca="1">IFERROR(__xludf.DUMMYFUNCTION("IMPORTRANGE(""https://docs.google.com/spreadsheets/d/1gFVb7qd7amutrIxAAoM7lcy35hllxznovot8lyOfvDo/edit?usp=sharing"",""น่าน!N451"")"),0)</f>
        <v>0</v>
      </c>
      <c r="K19" s="76">
        <f ca="1">IFERROR(__xludf.DUMMYFUNCTION("IMPORTRANGE(""https://docs.google.com/spreadsheets/d/1gFVb7qd7amutrIxAAoM7lcy35hllxznovot8lyOfvDo/edit?usp=sharing"",""น่าน!N452"")"),52000)</f>
        <v>52000</v>
      </c>
      <c r="L19" s="76">
        <f ca="1">IFERROR(__xludf.DUMMYFUNCTION("IMPORTRANGE(""https://docs.google.com/spreadsheets/d/1gFVb7qd7amutrIxAAoM7lcy35hllxznovot8lyOfvDo/edit?usp=sharing"",""น่าน!N453"")"),2980)</f>
        <v>2980</v>
      </c>
      <c r="M19" s="80">
        <f ca="1">IFERROR(__xludf.DUMMYFUNCTION("IMPORTRANGE(""https://docs.google.com/spreadsheets/d/1gFVb7qd7amutrIxAAoM7lcy35hllxznovot8lyOfvDo/edit?usp=sharing"",""น่าน!N456"")"),0)</f>
        <v>0</v>
      </c>
      <c r="N19" s="80">
        <f t="shared" ca="1" si="26"/>
        <v>0</v>
      </c>
      <c r="O19" s="81">
        <f ca="1">IFERROR(__xludf.DUMMYFUNCTION("IMPORTRANGE(""https://docs.google.com/spreadsheets/d/1gFVb7qd7amutrIxAAoM7lcy35hllxznovot8lyOfvDo/edit?usp=sharing"",""น่าน!I458"")"),0)</f>
        <v>0</v>
      </c>
      <c r="P19" s="81">
        <f ca="1">IFERROR(__xludf.DUMMYFUNCTION("IMPORTRANGE(""https://docs.google.com/spreadsheets/d/1gFVb7qd7amutrIxAAoM7lcy35hllxznovot8lyOfvDo/edit?usp=sharing"",""น่าน!J458"")"),0)</f>
        <v>0</v>
      </c>
      <c r="Q19" s="82">
        <f t="shared" ca="1" si="20"/>
        <v>0</v>
      </c>
      <c r="R19" s="81">
        <f ca="1">IFERROR(__xludf.DUMMYFUNCTION("IMPORTRANGE(""https://docs.google.com/spreadsheets/d/1gFVb7qd7amutrIxAAoM7lcy35hllxznovot8lyOfvDo/edit?usp=sharing"",""น่าน!I460"")"),45)</f>
        <v>45</v>
      </c>
      <c r="S19" s="81">
        <f ca="1">IFERROR(__xludf.DUMMYFUNCTION("IMPORTRANGE(""https://docs.google.com/spreadsheets/d/1gFVb7qd7amutrIxAAoM7lcy35hllxznovot8lyOfvDo/edit?usp=sharing"",""น่าน!J460"")"),45)</f>
        <v>45</v>
      </c>
      <c r="T19" s="82">
        <f t="shared" ca="1" si="21"/>
        <v>100</v>
      </c>
      <c r="U19" s="81">
        <f ca="1">IFERROR(__xludf.DUMMYFUNCTION("IMPORTRANGE(""https://docs.google.com/spreadsheets/d/1gFVb7qd7amutrIxAAoM7lcy35hllxznovot8lyOfvDo/edit?usp=sharing"",""น่าน!I462"")"),110)</f>
        <v>110</v>
      </c>
      <c r="V19" s="81">
        <f ca="1">IFERROR(__xludf.DUMMYFUNCTION("IMPORTRANGE(""https://docs.google.com/spreadsheets/d/1gFVb7qd7amutrIxAAoM7lcy35hllxznovot8lyOfvDo/edit?usp=sharing"",""น่าน!J462"")"),110)</f>
        <v>110</v>
      </c>
      <c r="W19" s="82">
        <f t="shared" ca="1" si="22"/>
        <v>100</v>
      </c>
      <c r="X19" s="81">
        <f ca="1">IFERROR(__xludf.DUMMYFUNCTION("IMPORTRANGE(""https://docs.google.com/spreadsheets/d/1gFVb7qd7amutrIxAAoM7lcy35hllxznovot8lyOfvDo/edit?usp=sharing"",""น่าน!I463"")"),110)</f>
        <v>110</v>
      </c>
      <c r="Y19" s="81">
        <f ca="1">IFERROR(__xludf.DUMMYFUNCTION("IMPORTRANGE(""https://docs.google.com/spreadsheets/d/1gFVb7qd7amutrIxAAoM7lcy35hllxznovot8lyOfvDo/edit?usp=sharing"",""น่าน!I464"")"),45)</f>
        <v>45</v>
      </c>
      <c r="Z19" s="81">
        <f ca="1">IFERROR(__xludf.DUMMYFUNCTION("IMPORTRANGE(""https://docs.google.com/spreadsheets/d/1gFVb7qd7amutrIxAAoM7lcy35hllxznovot8lyOfvDo/edit?usp=sharing"",""น่าน!J463"")"),0)</f>
        <v>0</v>
      </c>
      <c r="AA19" s="82">
        <f t="shared" ca="1" si="23"/>
        <v>0</v>
      </c>
      <c r="AB19" s="81">
        <f ca="1">IFERROR(__xludf.DUMMYFUNCTION("IMPORTRANGE(""https://docs.google.com/spreadsheets/d/1gFVb7qd7amutrIxAAoM7lcy35hllxznovot8lyOfvDo/edit?usp=sharing"",""น่าน!J464"")"),0)</f>
        <v>0</v>
      </c>
      <c r="AC19" s="82">
        <f t="shared" ca="1" si="13"/>
        <v>0</v>
      </c>
    </row>
    <row r="20" spans="1:29" ht="24" customHeight="1" x14ac:dyDescent="0.2">
      <c r="A20" s="72">
        <v>7</v>
      </c>
      <c r="B20" s="73" t="s">
        <v>37</v>
      </c>
      <c r="C20" s="74">
        <f t="shared" ca="1" si="31"/>
        <v>379600</v>
      </c>
      <c r="D20" s="75">
        <f ca="1">IFERROR(__xludf.DUMMYFUNCTION("IMPORTRANGE(""https://docs.google.com/spreadsheets/d/1K0Aa9s-6EuHE5M0FG1F9aHLXRCOV917xvycTdLdct0w/edit?usp=sharing"",""พะเยา!L449"")"),379600)</f>
        <v>379600</v>
      </c>
      <c r="E20" s="76">
        <f ca="1">IFERROR(__xludf.DUMMYFUNCTION("IMPORTRANGE(""https://docs.google.com/spreadsheets/d/1K0Aa9s-6EuHE5M0FG1F9aHLXRCOV917xvycTdLdct0w/edit?usp=sharing"",""พะเยา!L456"")"),0)</f>
        <v>0</v>
      </c>
      <c r="F20" s="77">
        <f t="shared" ca="1" si="1"/>
        <v>75900</v>
      </c>
      <c r="G20" s="78">
        <f t="shared" ca="1" si="2"/>
        <v>19.994731296101158</v>
      </c>
      <c r="H20" s="79">
        <f t="shared" ca="1" si="32"/>
        <v>75900</v>
      </c>
      <c r="I20" s="76">
        <f ca="1">IFERROR(__xludf.DUMMYFUNCTION("IMPORTRANGE(""https://docs.google.com/spreadsheets/d/1K0Aa9s-6EuHE5M0FG1F9aHLXRCOV917xvycTdLdct0w/edit?usp=sharing"",""พะเยา!N450"")"),35820)</f>
        <v>35820</v>
      </c>
      <c r="J20" s="76">
        <f ca="1">IFERROR(__xludf.DUMMYFUNCTION("IMPORTRANGE(""https://docs.google.com/spreadsheets/d/1K0Aa9s-6EuHE5M0FG1F9aHLXRCOV917xvycTdLdct0w/edit?usp=sharing"",""พะเยา!N451"")"),0)</f>
        <v>0</v>
      </c>
      <c r="K20" s="76">
        <f ca="1">IFERROR(__xludf.DUMMYFUNCTION("IMPORTRANGE(""https://docs.google.com/spreadsheets/d/1K0Aa9s-6EuHE5M0FG1F9aHLXRCOV917xvycTdLdct0w/edit?usp=sharing"",""พะเยา!N452"")"),39000)</f>
        <v>39000</v>
      </c>
      <c r="L20" s="76">
        <f ca="1">IFERROR(__xludf.DUMMYFUNCTION("IMPORTRANGE(""https://docs.google.com/spreadsheets/d/1K0Aa9s-6EuHE5M0FG1F9aHLXRCOV917xvycTdLdct0w/edit?usp=sharing"",""พะเยา!N453"")"),1080)</f>
        <v>1080</v>
      </c>
      <c r="M20" s="80">
        <f ca="1">IFERROR(__xludf.DUMMYFUNCTION("IMPORTRANGE(""https://docs.google.com/spreadsheets/d/1K0Aa9s-6EuHE5M0FG1F9aHLXRCOV917xvycTdLdct0w/edit?usp=sharing"",""พะเยา!N456"")"),0)</f>
        <v>0</v>
      </c>
      <c r="N20" s="80">
        <f t="shared" ca="1" si="26"/>
        <v>0</v>
      </c>
      <c r="O20" s="81">
        <f ca="1">IFERROR(__xludf.DUMMYFUNCTION("IMPORTRANGE(""https://docs.google.com/spreadsheets/d/1K0Aa9s-6EuHE5M0FG1F9aHLXRCOV917xvycTdLdct0w/edit?usp=sharing"",""พะเยา!I458"")"),0)</f>
        <v>0</v>
      </c>
      <c r="P20" s="81">
        <f ca="1">IFERROR(__xludf.DUMMYFUNCTION("IMPORTRANGE(""https://docs.google.com/spreadsheets/d/1K0Aa9s-6EuHE5M0FG1F9aHLXRCOV917xvycTdLdct0w/edit?usp=sharing"",""พะเยา!J458"")"),0)</f>
        <v>0</v>
      </c>
      <c r="Q20" s="82">
        <f t="shared" ca="1" si="20"/>
        <v>0</v>
      </c>
      <c r="R20" s="81">
        <f ca="1">IFERROR(__xludf.DUMMYFUNCTION("IMPORTRANGE(""https://docs.google.com/spreadsheets/d/1K0Aa9s-6EuHE5M0FG1F9aHLXRCOV917xvycTdLdct0w/edit?usp=sharing"",""พะเยา!I460"")"),60)</f>
        <v>60</v>
      </c>
      <c r="S20" s="81">
        <f ca="1">IFERROR(__xludf.DUMMYFUNCTION("IMPORTRANGE(""https://docs.google.com/spreadsheets/d/1K0Aa9s-6EuHE5M0FG1F9aHLXRCOV917xvycTdLdct0w/edit?usp=sharing"",""พะเยา!J460"")"),60)</f>
        <v>60</v>
      </c>
      <c r="T20" s="82">
        <f t="shared" ca="1" si="21"/>
        <v>100</v>
      </c>
      <c r="U20" s="81">
        <f ca="1">IFERROR(__xludf.DUMMYFUNCTION("IMPORTRANGE(""https://docs.google.com/spreadsheets/d/1K0Aa9s-6EuHE5M0FG1F9aHLXRCOV917xvycTdLdct0w/edit?usp=sharing"",""พะเยา!I462"")"),100)</f>
        <v>100</v>
      </c>
      <c r="V20" s="81">
        <f ca="1">IFERROR(__xludf.DUMMYFUNCTION("IMPORTRANGE(""https://docs.google.com/spreadsheets/d/1K0Aa9s-6EuHE5M0FG1F9aHLXRCOV917xvycTdLdct0w/edit?usp=sharing"",""พะเยา!J462"")"),0)</f>
        <v>0</v>
      </c>
      <c r="W20" s="82">
        <f t="shared" ca="1" si="22"/>
        <v>0</v>
      </c>
      <c r="X20" s="81">
        <f ca="1">IFERROR(__xludf.DUMMYFUNCTION("IMPORTRANGE(""https://docs.google.com/spreadsheets/d/1K0Aa9s-6EuHE5M0FG1F9aHLXRCOV917xvycTdLdct0w/edit?usp=sharing"",""พะเยา!I463"")"),100)</f>
        <v>100</v>
      </c>
      <c r="Y20" s="81">
        <f ca="1">IFERROR(__xludf.DUMMYFUNCTION("IMPORTRANGE(""https://docs.google.com/spreadsheets/d/1K0Aa9s-6EuHE5M0FG1F9aHLXRCOV917xvycTdLdct0w/edit?usp=sharing"",""พะเยา!I464"")"),60)</f>
        <v>60</v>
      </c>
      <c r="Z20" s="81">
        <f ca="1">IFERROR(__xludf.DUMMYFUNCTION("IMPORTRANGE(""https://docs.google.com/spreadsheets/d/1K0Aa9s-6EuHE5M0FG1F9aHLXRCOV917xvycTdLdct0w/edit?usp=sharing"",""พะเยา!J463"")"),0)</f>
        <v>0</v>
      </c>
      <c r="AA20" s="82">
        <f t="shared" ca="1" si="23"/>
        <v>0</v>
      </c>
      <c r="AB20" s="81">
        <f ca="1">IFERROR(__xludf.DUMMYFUNCTION("IMPORTRANGE(""https://docs.google.com/spreadsheets/d/1K0Aa9s-6EuHE5M0FG1F9aHLXRCOV917xvycTdLdct0w/edit?usp=sharing"",""พะเยา!J464"")"),0)</f>
        <v>0</v>
      </c>
      <c r="AC20" s="82">
        <f t="shared" ca="1" si="13"/>
        <v>0</v>
      </c>
    </row>
    <row r="21" spans="1:29" ht="24" customHeight="1" x14ac:dyDescent="0.2">
      <c r="A21" s="72">
        <v>8</v>
      </c>
      <c r="B21" s="73" t="s">
        <v>38</v>
      </c>
      <c r="C21" s="74">
        <f t="shared" ca="1" si="31"/>
        <v>382500</v>
      </c>
      <c r="D21" s="75">
        <f ca="1">IFERROR(__xludf.DUMMYFUNCTION("IMPORTRANGE(""https://docs.google.com/spreadsheets/d/1Y9LPKx95PyL5OKy09d-KbKJSuuEZCFdkhYjwC0XQjBA/edit?usp=sharing"",""พิจิตร!L449"")"),382500)</f>
        <v>382500</v>
      </c>
      <c r="E21" s="76">
        <f ca="1">IFERROR(__xludf.DUMMYFUNCTION("IMPORTRANGE(""https://docs.google.com/spreadsheets/d/1Y9LPKx95PyL5OKy09d-KbKJSuuEZCFdkhYjwC0XQjBA/edit?usp=sharing"",""พิจิตร!L456"")"),0)</f>
        <v>0</v>
      </c>
      <c r="F21" s="77">
        <f t="shared" ca="1" si="1"/>
        <v>38100.019999999997</v>
      </c>
      <c r="G21" s="78">
        <f t="shared" ca="1" si="2"/>
        <v>9.9607895424836581</v>
      </c>
      <c r="H21" s="79">
        <f t="shared" ca="1" si="32"/>
        <v>38100.019999999997</v>
      </c>
      <c r="I21" s="76">
        <f ca="1">IFERROR(__xludf.DUMMYFUNCTION("IMPORTRANGE(""https://docs.google.com/spreadsheets/d/1Y9LPKx95PyL5OKy09d-KbKJSuuEZCFdkhYjwC0XQjBA/edit?usp=sharing"",""พิจิตร!N450"")"),0)</f>
        <v>0</v>
      </c>
      <c r="J21" s="76">
        <f ca="1">IFERROR(__xludf.DUMMYFUNCTION("IMPORTRANGE(""https://docs.google.com/spreadsheets/d/1Y9LPKx95PyL5OKy09d-KbKJSuuEZCFdkhYjwC0XQjBA/edit?usp=sharing"",""พิจิตร!N451"")"),0)</f>
        <v>0</v>
      </c>
      <c r="K21" s="76">
        <f ca="1">IFERROR(__xludf.DUMMYFUNCTION("IMPORTRANGE(""https://docs.google.com/spreadsheets/d/1Y9LPKx95PyL5OKy09d-KbKJSuuEZCFdkhYjwC0XQjBA/edit?usp=sharing"",""พิจิตร!N452"")"),38100.02)</f>
        <v>38100.019999999997</v>
      </c>
      <c r="L21" s="76">
        <f ca="1">IFERROR(__xludf.DUMMYFUNCTION("IMPORTRANGE(""https://docs.google.com/spreadsheets/d/1Y9LPKx95PyL5OKy09d-KbKJSuuEZCFdkhYjwC0XQjBA/edit?usp=sharing"",""พิจิตร!N453"")"),0)</f>
        <v>0</v>
      </c>
      <c r="M21" s="80">
        <f ca="1">IFERROR(__xludf.DUMMYFUNCTION("IMPORTRANGE(""https://docs.google.com/spreadsheets/d/1Y9LPKx95PyL5OKy09d-KbKJSuuEZCFdkhYjwC0XQjBA/edit?usp=sharing"",""พิจิตร!N456"")"),0)</f>
        <v>0</v>
      </c>
      <c r="N21" s="80">
        <f t="shared" ca="1" si="26"/>
        <v>0</v>
      </c>
      <c r="O21" s="81">
        <f ca="1">IFERROR(__xludf.DUMMYFUNCTION("IMPORTRANGE(""https://docs.google.com/spreadsheets/d/1Y9LPKx95PyL5OKy09d-KbKJSuuEZCFdkhYjwC0XQjBA/edit?usp=sharing"",""พิจิตร!I458"")"),0)</f>
        <v>0</v>
      </c>
      <c r="P21" s="81">
        <f ca="1">IFERROR(__xludf.DUMMYFUNCTION("IMPORTRANGE(""https://docs.google.com/spreadsheets/d/1Y9LPKx95PyL5OKy09d-KbKJSuuEZCFdkhYjwC0XQjBA/edit?usp=sharing"",""พิจิตร!J458"")"),0)</f>
        <v>0</v>
      </c>
      <c r="Q21" s="82">
        <f t="shared" ca="1" si="20"/>
        <v>0</v>
      </c>
      <c r="R21" s="81">
        <f ca="1">IFERROR(__xludf.DUMMYFUNCTION("IMPORTRANGE(""https://docs.google.com/spreadsheets/d/1Y9LPKx95PyL5OKy09d-KbKJSuuEZCFdkhYjwC0XQjBA/edit?usp=sharing"",""พิจิตร!I460"")"),55)</f>
        <v>55</v>
      </c>
      <c r="S21" s="81">
        <f ca="1">IFERROR(__xludf.DUMMYFUNCTION("IMPORTRANGE(""https://docs.google.com/spreadsheets/d/1Y9LPKx95PyL5OKy09d-KbKJSuuEZCFdkhYjwC0XQjBA/edit?usp=sharing"",""พิจิตร!J460"")"),0)</f>
        <v>0</v>
      </c>
      <c r="T21" s="82">
        <f t="shared" ca="1" si="21"/>
        <v>0</v>
      </c>
      <c r="U21" s="81">
        <f ca="1">IFERROR(__xludf.DUMMYFUNCTION("IMPORTRANGE(""https://docs.google.com/spreadsheets/d/1Y9LPKx95PyL5OKy09d-KbKJSuuEZCFdkhYjwC0XQjBA/edit?usp=sharing"",""พิจิตร!I462"")"),110)</f>
        <v>110</v>
      </c>
      <c r="V21" s="81">
        <f ca="1">IFERROR(__xludf.DUMMYFUNCTION("IMPORTRANGE(""https://docs.google.com/spreadsheets/d/1Y9LPKx95PyL5OKy09d-KbKJSuuEZCFdkhYjwC0XQjBA/edit?usp=sharing"",""พิจิตร!J462"")"),0)</f>
        <v>0</v>
      </c>
      <c r="W21" s="82">
        <f t="shared" ca="1" si="22"/>
        <v>0</v>
      </c>
      <c r="X21" s="81">
        <f ca="1">IFERROR(__xludf.DUMMYFUNCTION("IMPORTRANGE(""https://docs.google.com/spreadsheets/d/1Y9LPKx95PyL5OKy09d-KbKJSuuEZCFdkhYjwC0XQjBA/edit?usp=sharing"",""พิจิตร!I463"")"),110)</f>
        <v>110</v>
      </c>
      <c r="Y21" s="81">
        <f ca="1">IFERROR(__xludf.DUMMYFUNCTION("IMPORTRANGE(""https://docs.google.com/spreadsheets/d/1Y9LPKx95PyL5OKy09d-KbKJSuuEZCFdkhYjwC0XQjBA/edit?usp=sharing"",""พิจิตร!I464"")"),55)</f>
        <v>55</v>
      </c>
      <c r="Z21" s="81">
        <f ca="1">IFERROR(__xludf.DUMMYFUNCTION("IMPORTRANGE(""https://docs.google.com/spreadsheets/d/1Y9LPKx95PyL5OKy09d-KbKJSuuEZCFdkhYjwC0XQjBA/edit?usp=sharing"",""พิจิตร!J463"")"),0)</f>
        <v>0</v>
      </c>
      <c r="AA21" s="82">
        <f t="shared" ca="1" si="23"/>
        <v>0</v>
      </c>
      <c r="AB21" s="81">
        <f ca="1">IFERROR(__xludf.DUMMYFUNCTION("IMPORTRANGE(""https://docs.google.com/spreadsheets/d/1Y9LPKx95PyL5OKy09d-KbKJSuuEZCFdkhYjwC0XQjBA/edit?usp=sharing"",""พิจิตร!J464"")"),0)</f>
        <v>0</v>
      </c>
      <c r="AC21" s="82">
        <f t="shared" ca="1" si="13"/>
        <v>0</v>
      </c>
    </row>
    <row r="22" spans="1:29" ht="24" customHeight="1" x14ac:dyDescent="0.2">
      <c r="A22" s="72">
        <v>9</v>
      </c>
      <c r="B22" s="73" t="s">
        <v>39</v>
      </c>
      <c r="C22" s="74">
        <f t="shared" ca="1" si="31"/>
        <v>0</v>
      </c>
      <c r="D22" s="75">
        <f ca="1">IFERROR(__xludf.DUMMYFUNCTION("IMPORTRANGE(""https://docs.google.com/spreadsheets/d/16OMuOwy2eVqZcYWOouQtTpa8X1L23h4660uVHc0C8os/edit?usp=sharing"",""พิษณุโลก!L449"")"),0)</f>
        <v>0</v>
      </c>
      <c r="E22" s="76">
        <f ca="1">IFERROR(__xludf.DUMMYFUNCTION("IMPORTRANGE(""https://docs.google.com/spreadsheets/d/16OMuOwy2eVqZcYWOouQtTpa8X1L23h4660uVHc0C8os/edit?usp=sharing"",""พิษณุโลก!L456"")"),0)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32"/>
        <v>0</v>
      </c>
      <c r="I22" s="76">
        <f ca="1">IFERROR(__xludf.DUMMYFUNCTION("IMPORTRANGE(""https://docs.google.com/spreadsheets/d/16OMuOwy2eVqZcYWOouQtTpa8X1L23h4660uVHc0C8os/edit?usp=sharing"",""พิษณุโลก!N450"")"),0)</f>
        <v>0</v>
      </c>
      <c r="J22" s="76">
        <f ca="1">IFERROR(__xludf.DUMMYFUNCTION("IMPORTRANGE(""https://docs.google.com/spreadsheets/d/16OMuOwy2eVqZcYWOouQtTpa8X1L23h4660uVHc0C8os/edit?usp=sharing"",""พิษณุโลก!N451"")"),0)</f>
        <v>0</v>
      </c>
      <c r="K22" s="76">
        <f ca="1">IFERROR(__xludf.DUMMYFUNCTION("IMPORTRANGE(""https://docs.google.com/spreadsheets/d/16OMuOwy2eVqZcYWOouQtTpa8X1L23h4660uVHc0C8os/edit?usp=sharing"",""พิษณุโลก!N452"")"),0)</f>
        <v>0</v>
      </c>
      <c r="L22" s="76">
        <f ca="1">IFERROR(__xludf.DUMMYFUNCTION("IMPORTRANGE(""https://docs.google.com/spreadsheets/d/16OMuOwy2eVqZcYWOouQtTpa8X1L23h4660uVHc0C8os/edit?usp=sharing"",""พิษณุโลก!N453"")"),0)</f>
        <v>0</v>
      </c>
      <c r="M22" s="80">
        <f ca="1">IFERROR(__xludf.DUMMYFUNCTION("IMPORTRANGE(""https://docs.google.com/spreadsheets/d/16OMuOwy2eVqZcYWOouQtTpa8X1L23h4660uVHc0C8os/edit?usp=sharing"",""พิษณุโลก!N456"")"),0)</f>
        <v>0</v>
      </c>
      <c r="N22" s="80">
        <f t="shared" ca="1" si="26"/>
        <v>0</v>
      </c>
      <c r="O22" s="81">
        <f ca="1">IFERROR(__xludf.DUMMYFUNCTION("IMPORTRANGE(""https://docs.google.com/spreadsheets/d/16OMuOwy2eVqZcYWOouQtTpa8X1L23h4660uVHc0C8os/edit?usp=sharing"",""พิษณุโลก!I458"")"),0)</f>
        <v>0</v>
      </c>
      <c r="P22" s="81">
        <f ca="1">IFERROR(__xludf.DUMMYFUNCTION("IMPORTRANGE(""https://docs.google.com/spreadsheets/d/16OMuOwy2eVqZcYWOouQtTpa8X1L23h4660uVHc0C8os/edit?usp=sharing"",""พิษณุโลก!J458"")"),0)</f>
        <v>0</v>
      </c>
      <c r="Q22" s="82">
        <f t="shared" ca="1" si="20"/>
        <v>0</v>
      </c>
      <c r="R22" s="81">
        <f ca="1">IFERROR(__xludf.DUMMYFUNCTION("IMPORTRANGE(""https://docs.google.com/spreadsheets/d/16OMuOwy2eVqZcYWOouQtTpa8X1L23h4660uVHc0C8os/edit?usp=sharing"",""พิษณุโลก!I460"")"),0)</f>
        <v>0</v>
      </c>
      <c r="S22" s="81">
        <f ca="1">IFERROR(__xludf.DUMMYFUNCTION("IMPORTRANGE(""https://docs.google.com/spreadsheets/d/16OMuOwy2eVqZcYWOouQtTpa8X1L23h4660uVHc0C8os/edit?usp=sharing"",""พิษณุโลก!J460"")"),0)</f>
        <v>0</v>
      </c>
      <c r="T22" s="82">
        <f t="shared" ca="1" si="21"/>
        <v>0</v>
      </c>
      <c r="U22" s="81">
        <f ca="1">IFERROR(__xludf.DUMMYFUNCTION("IMPORTRANGE(""https://docs.google.com/spreadsheets/d/16OMuOwy2eVqZcYWOouQtTpa8X1L23h4660uVHc0C8os/edit?usp=sharing"",""พิษณุโลก!I462"")"),0)</f>
        <v>0</v>
      </c>
      <c r="V22" s="81">
        <f ca="1">IFERROR(__xludf.DUMMYFUNCTION("IMPORTRANGE(""https://docs.google.com/spreadsheets/d/16OMuOwy2eVqZcYWOouQtTpa8X1L23h4660uVHc0C8os/edit?usp=sharing"",""พิษณุโลก!J462"")"),0)</f>
        <v>0</v>
      </c>
      <c r="W22" s="82">
        <f t="shared" ca="1" si="22"/>
        <v>0</v>
      </c>
      <c r="X22" s="81">
        <f ca="1">IFERROR(__xludf.DUMMYFUNCTION("IMPORTRANGE(""https://docs.google.com/spreadsheets/d/16OMuOwy2eVqZcYWOouQtTpa8X1L23h4660uVHc0C8os/edit?usp=sharing"",""พิษณุโลก!I463"")"),0)</f>
        <v>0</v>
      </c>
      <c r="Y22" s="81">
        <f ca="1">IFERROR(__xludf.DUMMYFUNCTION("IMPORTRANGE(""https://docs.google.com/spreadsheets/d/16OMuOwy2eVqZcYWOouQtTpa8X1L23h4660uVHc0C8os/edit?usp=sharing"",""พิษณุโลก!I464"")"),0)</f>
        <v>0</v>
      </c>
      <c r="Z22" s="81">
        <f ca="1">IFERROR(__xludf.DUMMYFUNCTION("IMPORTRANGE(""https://docs.google.com/spreadsheets/d/16OMuOwy2eVqZcYWOouQtTpa8X1L23h4660uVHc0C8os/edit?usp=sharing"",""พิษณุโลก!J463"")"),0)</f>
        <v>0</v>
      </c>
      <c r="AA22" s="82">
        <f t="shared" ca="1" si="23"/>
        <v>0</v>
      </c>
      <c r="AB22" s="81">
        <f ca="1">IFERROR(__xludf.DUMMYFUNCTION("IMPORTRANGE(""https://docs.google.com/spreadsheets/d/16OMuOwy2eVqZcYWOouQtTpa8X1L23h4660uVHc0C8os/edit?usp=sharing"",""พิษณุโลก!J464"")"),0)</f>
        <v>0</v>
      </c>
      <c r="AC22" s="82">
        <f t="shared" ca="1" si="13"/>
        <v>0</v>
      </c>
    </row>
    <row r="23" spans="1:29" ht="24" customHeight="1" x14ac:dyDescent="0.2">
      <c r="A23" s="72">
        <v>10</v>
      </c>
      <c r="B23" s="73" t="s">
        <v>40</v>
      </c>
      <c r="C23" s="74">
        <f t="shared" ca="1" si="31"/>
        <v>840780</v>
      </c>
      <c r="D23" s="75">
        <f ca="1">IFERROR(__xludf.DUMMYFUNCTION("IMPORTRANGE(""https://docs.google.com/spreadsheets/d/1GfgTldLG6k77HXaMQzaafODklYuucJZQNs_GAPEfZyY/edit?usp=sharing"",""เพชรบูรณ์!L449"")"),840780)</f>
        <v>840780</v>
      </c>
      <c r="E23" s="76">
        <f ca="1">IFERROR(__xludf.DUMMYFUNCTION("IMPORTRANGE(""https://docs.google.com/spreadsheets/d/1GfgTldLG6k77HXaMQzaafODklYuucJZQNs_GAPEfZyY/edit?usp=sharing"",""เพชรบูรณ์!L456"")"),0)</f>
        <v>0</v>
      </c>
      <c r="F23" s="77">
        <f t="shared" ca="1" si="1"/>
        <v>203100</v>
      </c>
      <c r="G23" s="78">
        <f t="shared" ca="1" si="2"/>
        <v>24.15614072646828</v>
      </c>
      <c r="H23" s="79">
        <f t="shared" ca="1" si="32"/>
        <v>203100</v>
      </c>
      <c r="I23" s="76">
        <f ca="1">IFERROR(__xludf.DUMMYFUNCTION("IMPORTRANGE(""https://docs.google.com/spreadsheets/d/1GfgTldLG6k77HXaMQzaafODklYuucJZQNs_GAPEfZyY/edit?usp=sharing"",""เพชรบูรณ์!N450"")"),144960)</f>
        <v>144960</v>
      </c>
      <c r="J23" s="76">
        <f ca="1">IFERROR(__xludf.DUMMYFUNCTION("IMPORTRANGE(""https://docs.google.com/spreadsheets/d/1GfgTldLG6k77HXaMQzaafODklYuucJZQNs_GAPEfZyY/edit?usp=sharing"",""เพชรบูรณ์!N451"")"),0)</f>
        <v>0</v>
      </c>
      <c r="K23" s="76">
        <f ca="1">IFERROR(__xludf.DUMMYFUNCTION("IMPORTRANGE(""https://docs.google.com/spreadsheets/d/1GfgTldLG6k77HXaMQzaafODklYuucJZQNs_GAPEfZyY/edit?usp=sharing"",""เพชรบูรณ์!N452"")"),52000)</f>
        <v>52000</v>
      </c>
      <c r="L23" s="76">
        <f ca="1">IFERROR(__xludf.DUMMYFUNCTION("IMPORTRANGE(""https://docs.google.com/spreadsheets/d/1GfgTldLG6k77HXaMQzaafODklYuucJZQNs_GAPEfZyY/edit?usp=sharing"",""เพชรบูรณ์!N453"")"),6140)</f>
        <v>6140</v>
      </c>
      <c r="M23" s="80">
        <f ca="1">IFERROR(__xludf.DUMMYFUNCTION("IMPORTRANGE(""https://docs.google.com/spreadsheets/d/1GfgTldLG6k77HXaMQzaafODklYuucJZQNs_GAPEfZyY/edit?usp=sharing"",""เพชรบูรณ์!N456"")"),0)</f>
        <v>0</v>
      </c>
      <c r="N23" s="80">
        <f t="shared" ca="1" si="26"/>
        <v>0</v>
      </c>
      <c r="O23" s="81">
        <f ca="1">IFERROR(__xludf.DUMMYFUNCTION("IMPORTRANGE(""https://docs.google.com/spreadsheets/d/1GfgTldLG6k77HXaMQzaafODklYuucJZQNs_GAPEfZyY/edit?usp=sharing"",""เพชรบูรณ์!I458"")"),0)</f>
        <v>0</v>
      </c>
      <c r="P23" s="81">
        <f ca="1">IFERROR(__xludf.DUMMYFUNCTION("IMPORTRANGE(""https://docs.google.com/spreadsheets/d/1GfgTldLG6k77HXaMQzaafODklYuucJZQNs_GAPEfZyY/edit?usp=sharing"",""เพชรบูรณ์!J458"")"),0)</f>
        <v>0</v>
      </c>
      <c r="Q23" s="82">
        <f t="shared" ca="1" si="20"/>
        <v>0</v>
      </c>
      <c r="R23" s="81">
        <f ca="1">IFERROR(__xludf.DUMMYFUNCTION("IMPORTRANGE(""https://docs.google.com/spreadsheets/d/1GfgTldLG6k77HXaMQzaafODklYuucJZQNs_GAPEfZyY/edit?usp=sharing"",""เพชรบูรณ์!I460"")"),100)</f>
        <v>100</v>
      </c>
      <c r="S23" s="81">
        <f ca="1">IFERROR(__xludf.DUMMYFUNCTION("IMPORTRANGE(""https://docs.google.com/spreadsheets/d/1GfgTldLG6k77HXaMQzaafODklYuucJZQNs_GAPEfZyY/edit?usp=sharing"",""เพชรบูรณ์!J460"")"),100)</f>
        <v>100</v>
      </c>
      <c r="T23" s="82">
        <f t="shared" ca="1" si="21"/>
        <v>100</v>
      </c>
      <c r="U23" s="81">
        <f ca="1">IFERROR(__xludf.DUMMYFUNCTION("IMPORTRANGE(""https://docs.google.com/spreadsheets/d/1GfgTldLG6k77HXaMQzaafODklYuucJZQNs_GAPEfZyY/edit?usp=sharing"",""เพชรบูรณ์!I462"")"),475)</f>
        <v>475</v>
      </c>
      <c r="V23" s="81">
        <f ca="1">IFERROR(__xludf.DUMMYFUNCTION("IMPORTRANGE(""https://docs.google.com/spreadsheets/d/1GfgTldLG6k77HXaMQzaafODklYuucJZQNs_GAPEfZyY/edit?usp=sharing"",""เพชรบูรณ์!J462"")"),475)</f>
        <v>475</v>
      </c>
      <c r="W23" s="82">
        <f t="shared" ca="1" si="22"/>
        <v>100</v>
      </c>
      <c r="X23" s="81">
        <f ca="1">IFERROR(__xludf.DUMMYFUNCTION("IMPORTRANGE(""https://docs.google.com/spreadsheets/d/1GfgTldLG6k77HXaMQzaafODklYuucJZQNs_GAPEfZyY/edit?usp=sharing"",""เพชรบูรณ์!I463"")"),475)</f>
        <v>475</v>
      </c>
      <c r="Y23" s="81">
        <f ca="1">IFERROR(__xludf.DUMMYFUNCTION("IMPORTRANGE(""https://docs.google.com/spreadsheets/d/1GfgTldLG6k77HXaMQzaafODklYuucJZQNs_GAPEfZyY/edit?usp=sharing"",""เพชรบูรณ์!I464"")"),100)</f>
        <v>100</v>
      </c>
      <c r="Z23" s="81">
        <f ca="1">IFERROR(__xludf.DUMMYFUNCTION("IMPORTRANGE(""https://docs.google.com/spreadsheets/d/1GfgTldLG6k77HXaMQzaafODklYuucJZQNs_GAPEfZyY/edit?usp=sharing"",""เพชรบูรณ์!J463"")"),0)</f>
        <v>0</v>
      </c>
      <c r="AA23" s="82">
        <f t="shared" ca="1" si="23"/>
        <v>0</v>
      </c>
      <c r="AB23" s="81">
        <f ca="1">IFERROR(__xludf.DUMMYFUNCTION("IMPORTRANGE(""https://docs.google.com/spreadsheets/d/1GfgTldLG6k77HXaMQzaafODklYuucJZQNs_GAPEfZyY/edit?usp=sharing"",""เพชรบูรณ์!J464"")"),0)</f>
        <v>0</v>
      </c>
      <c r="AC23" s="82">
        <f t="shared" ca="1" si="13"/>
        <v>0</v>
      </c>
    </row>
    <row r="24" spans="1:29" ht="24" customHeight="1" x14ac:dyDescent="0.2">
      <c r="A24" s="72">
        <v>11</v>
      </c>
      <c r="B24" s="73" t="s">
        <v>41</v>
      </c>
      <c r="C24" s="74">
        <f t="shared" ca="1" si="31"/>
        <v>365500</v>
      </c>
      <c r="D24" s="75">
        <f ca="1">IFERROR(__xludf.DUMMYFUNCTION("IMPORTRANGE(""https://docs.google.com/spreadsheets/d/1gvTMYAnm7v1yG1BKWFtr0DnaTsq59oW9dwWvFgq6hs0/edit?usp=sharing"",""แพร่!L449"")"),365500)</f>
        <v>365500</v>
      </c>
      <c r="E24" s="76">
        <f ca="1">IFERROR(__xludf.DUMMYFUNCTION("IMPORTRANGE(""https://docs.google.com/spreadsheets/d/1gvTMYAnm7v1yG1BKWFtr0DnaTsq59oW9dwWvFgq6hs0/edit?usp=sharing"",""แพร่!L456"")"),0)</f>
        <v>0</v>
      </c>
      <c r="F24" s="77">
        <f t="shared" ca="1" si="1"/>
        <v>85770</v>
      </c>
      <c r="G24" s="78">
        <f t="shared" ca="1" si="2"/>
        <v>23.466484268125853</v>
      </c>
      <c r="H24" s="79">
        <f t="shared" ca="1" si="32"/>
        <v>85770</v>
      </c>
      <c r="I24" s="76">
        <f ca="1">IFERROR(__xludf.DUMMYFUNCTION("IMPORTRANGE(""https://docs.google.com/spreadsheets/d/1gvTMYAnm7v1yG1BKWFtr0DnaTsq59oW9dwWvFgq6hs0/edit?usp=sharing"",""แพร่!N450"")"),44870)</f>
        <v>44870</v>
      </c>
      <c r="J24" s="76">
        <f ca="1">IFERROR(__xludf.DUMMYFUNCTION("IMPORTRANGE(""https://docs.google.com/spreadsheets/d/1gvTMYAnm7v1yG1BKWFtr0DnaTsq59oW9dwWvFgq6hs0/edit?usp=sharing"",""แพร่!N451"")"),0)</f>
        <v>0</v>
      </c>
      <c r="K24" s="76">
        <f ca="1">IFERROR(__xludf.DUMMYFUNCTION("IMPORTRANGE(""https://docs.google.com/spreadsheets/d/1gvTMYAnm7v1yG1BKWFtr0DnaTsq59oW9dwWvFgq6hs0/edit?usp=sharing"",""แพร่!N452"")"),39000)</f>
        <v>39000</v>
      </c>
      <c r="L24" s="76">
        <f ca="1">IFERROR(__xludf.DUMMYFUNCTION("IMPORTRANGE(""https://docs.google.com/spreadsheets/d/1gvTMYAnm7v1yG1BKWFtr0DnaTsq59oW9dwWvFgq6hs0/edit?usp=sharing"",""แพร่!N453"")"),1900)</f>
        <v>1900</v>
      </c>
      <c r="M24" s="80">
        <f ca="1">IFERROR(__xludf.DUMMYFUNCTION("IMPORTRANGE(""https://docs.google.com/spreadsheets/d/1gvTMYAnm7v1yG1BKWFtr0DnaTsq59oW9dwWvFgq6hs0/edit?usp=sharing"",""แพร่!N456"")"),0)</f>
        <v>0</v>
      </c>
      <c r="N24" s="80">
        <f t="shared" ca="1" si="26"/>
        <v>0</v>
      </c>
      <c r="O24" s="81">
        <f ca="1">IFERROR(__xludf.DUMMYFUNCTION("IMPORTRANGE(""https://docs.google.com/spreadsheets/d/1gvTMYAnm7v1yG1BKWFtr0DnaTsq59oW9dwWvFgq6hs0/edit?usp=sharing"",""แพร่!I458"")"),0)</f>
        <v>0</v>
      </c>
      <c r="P24" s="81">
        <f ca="1">IFERROR(__xludf.DUMMYFUNCTION("IMPORTRANGE(""https://docs.google.com/spreadsheets/d/1gvTMYAnm7v1yG1BKWFtr0DnaTsq59oW9dwWvFgq6hs0/edit?usp=sharing"",""แพร่!J458"")"),0)</f>
        <v>0</v>
      </c>
      <c r="Q24" s="82">
        <f t="shared" ca="1" si="20"/>
        <v>0</v>
      </c>
      <c r="R24" s="81">
        <f ca="1">IFERROR(__xludf.DUMMYFUNCTION("IMPORTRANGE(""https://docs.google.com/spreadsheets/d/1gvTMYAnm7v1yG1BKWFtr0DnaTsq59oW9dwWvFgq6hs0/edit?usp=sharing"",""แพร่!I460"")"),55)</f>
        <v>55</v>
      </c>
      <c r="S24" s="81">
        <f ca="1">IFERROR(__xludf.DUMMYFUNCTION("IMPORTRANGE(""https://docs.google.com/spreadsheets/d/1gvTMYAnm7v1yG1BKWFtr0DnaTsq59oW9dwWvFgq6hs0/edit?usp=sharing"",""แพร่!J460"")"),55)</f>
        <v>55</v>
      </c>
      <c r="T24" s="82">
        <f t="shared" ca="1" si="21"/>
        <v>100</v>
      </c>
      <c r="U24" s="81">
        <f ca="1">IFERROR(__xludf.DUMMYFUNCTION("IMPORTRANGE(""https://docs.google.com/spreadsheets/d/1gvTMYAnm7v1yG1BKWFtr0DnaTsq59oW9dwWvFgq6hs0/edit?usp=sharing"",""แพร่!I462"")"),110)</f>
        <v>110</v>
      </c>
      <c r="V24" s="81">
        <f ca="1">IFERROR(__xludf.DUMMYFUNCTION("IMPORTRANGE(""https://docs.google.com/spreadsheets/d/1gvTMYAnm7v1yG1BKWFtr0DnaTsq59oW9dwWvFgq6hs0/edit?usp=sharing"",""แพร่!J462"")"),110)</f>
        <v>110</v>
      </c>
      <c r="W24" s="82">
        <f t="shared" ca="1" si="22"/>
        <v>100</v>
      </c>
      <c r="X24" s="81">
        <f ca="1">IFERROR(__xludf.DUMMYFUNCTION("IMPORTRANGE(""https://docs.google.com/spreadsheets/d/1gvTMYAnm7v1yG1BKWFtr0DnaTsq59oW9dwWvFgq6hs0/edit?usp=sharing"",""แพร่!I463"")"),110)</f>
        <v>110</v>
      </c>
      <c r="Y24" s="81">
        <f ca="1">IFERROR(__xludf.DUMMYFUNCTION("IMPORTRANGE(""https://docs.google.com/spreadsheets/d/1gvTMYAnm7v1yG1BKWFtr0DnaTsq59oW9dwWvFgq6hs0/edit?usp=sharing"",""แพร่!I464"")"),55)</f>
        <v>55</v>
      </c>
      <c r="Z24" s="81">
        <f ca="1">IFERROR(__xludf.DUMMYFUNCTION("IMPORTRANGE(""https://docs.google.com/spreadsheets/d/1gvTMYAnm7v1yG1BKWFtr0DnaTsq59oW9dwWvFgq6hs0/edit?usp=sharing"",""แพร่!J463"")"),0)</f>
        <v>0</v>
      </c>
      <c r="AA24" s="82">
        <f t="shared" ca="1" si="23"/>
        <v>0</v>
      </c>
      <c r="AB24" s="81">
        <f ca="1">IFERROR(__xludf.DUMMYFUNCTION("IMPORTRANGE(""https://docs.google.com/spreadsheets/d/1gvTMYAnm7v1yG1BKWFtr0DnaTsq59oW9dwWvFgq6hs0/edit?usp=sharing"",""แพร่!J464"")"),0)</f>
        <v>0</v>
      </c>
      <c r="AC24" s="82">
        <f t="shared" ca="1" si="13"/>
        <v>0</v>
      </c>
    </row>
    <row r="25" spans="1:29" ht="24" customHeight="1" x14ac:dyDescent="0.2">
      <c r="A25" s="72">
        <v>12</v>
      </c>
      <c r="B25" s="73" t="s">
        <v>42</v>
      </c>
      <c r="C25" s="74">
        <f t="shared" ca="1" si="31"/>
        <v>354800</v>
      </c>
      <c r="D25" s="75">
        <f ca="1">IFERROR(__xludf.DUMMYFUNCTION("IMPORTRANGE(""https://docs.google.com/spreadsheets/d/1Wbcosgy-Xa1xXUArJSOenub6EfZHUSzc_bpJFWwQUf0/edit?usp=sharing"",""แม่ฮ่องสอน!L449"")"),354800)</f>
        <v>354800</v>
      </c>
      <c r="E25" s="76">
        <f ca="1">IFERROR(__xludf.DUMMYFUNCTION("IMPORTRANGE(""https://docs.google.com/spreadsheets/d/1Wbcosgy-Xa1xXUArJSOenub6EfZHUSzc_bpJFWwQUf0/edit?usp=sharing"",""แม่ฮ่องสอน!L456"")"),0)</f>
        <v>0</v>
      </c>
      <c r="F25" s="77">
        <f t="shared" ca="1" si="1"/>
        <v>225694</v>
      </c>
      <c r="G25" s="78">
        <f t="shared" ca="1" si="2"/>
        <v>63.611612175873731</v>
      </c>
      <c r="H25" s="79">
        <f t="shared" ca="1" si="32"/>
        <v>225694</v>
      </c>
      <c r="I25" s="76">
        <f ca="1">IFERROR(__xludf.DUMMYFUNCTION("IMPORTRANGE(""https://docs.google.com/spreadsheets/d/1Wbcosgy-Xa1xXUArJSOenub6EfZHUSzc_bpJFWwQUf0/edit?usp=sharing"",""แม่ฮ่องสอน!N450"")"),66800)</f>
        <v>66800</v>
      </c>
      <c r="J25" s="76">
        <f ca="1">IFERROR(__xludf.DUMMYFUNCTION("IMPORTRANGE(""https://docs.google.com/spreadsheets/d/1Wbcosgy-Xa1xXUArJSOenub6EfZHUSzc_bpJFWwQUf0/edit?usp=sharing"",""แม่ฮ่องสอน!N451"")"),98000)</f>
        <v>98000</v>
      </c>
      <c r="K25" s="76">
        <f ca="1">IFERROR(__xludf.DUMMYFUNCTION("IMPORTRANGE(""https://docs.google.com/spreadsheets/d/1Wbcosgy-Xa1xXUArJSOenub6EfZHUSzc_bpJFWwQUf0/edit?usp=sharing"",""แม่ฮ่องสอน!N452"")"),37714)</f>
        <v>37714</v>
      </c>
      <c r="L25" s="76">
        <f ca="1">IFERROR(__xludf.DUMMYFUNCTION("IMPORTRANGE(""https://docs.google.com/spreadsheets/d/1Wbcosgy-Xa1xXUArJSOenub6EfZHUSzc_bpJFWwQUf0/edit?usp=sharing"",""แม่ฮ่องสอน!N453"")"),23180)</f>
        <v>23180</v>
      </c>
      <c r="M25" s="80">
        <f ca="1">IFERROR(__xludf.DUMMYFUNCTION("IMPORTRANGE(""https://docs.google.com/spreadsheets/d/1Wbcosgy-Xa1xXUArJSOenub6EfZHUSzc_bpJFWwQUf0/edit?usp=sharing"",""แม่ฮ่องสอน!N456"")"),0)</f>
        <v>0</v>
      </c>
      <c r="N25" s="80">
        <f t="shared" ca="1" si="26"/>
        <v>0</v>
      </c>
      <c r="O25" s="81">
        <f ca="1">IFERROR(__xludf.DUMMYFUNCTION("IMPORTRANGE(""https://docs.google.com/spreadsheets/d/1Wbcosgy-Xa1xXUArJSOenub6EfZHUSzc_bpJFWwQUf0/edit?usp=sharing"",""แม่ฮ่องสอน!I458"")"),0)</f>
        <v>0</v>
      </c>
      <c r="P25" s="81">
        <f ca="1">IFERROR(__xludf.DUMMYFUNCTION("IMPORTRANGE(""https://docs.google.com/spreadsheets/d/1Wbcosgy-Xa1xXUArJSOenub6EfZHUSzc_bpJFWwQUf0/edit?usp=sharing"",""แม่ฮ่องสอน!J458"")"),0)</f>
        <v>0</v>
      </c>
      <c r="Q25" s="82">
        <f t="shared" ca="1" si="20"/>
        <v>0</v>
      </c>
      <c r="R25" s="81">
        <f ca="1">IFERROR(__xludf.DUMMYFUNCTION("IMPORTRANGE(""https://docs.google.com/spreadsheets/d/1Wbcosgy-Xa1xXUArJSOenub6EfZHUSzc_bpJFWwQUf0/edit?usp=sharing"",""แม่ฮ่องสอน!I460"")"),50)</f>
        <v>50</v>
      </c>
      <c r="S25" s="81">
        <f ca="1">IFERROR(__xludf.DUMMYFUNCTION("IMPORTRANGE(""https://docs.google.com/spreadsheets/d/1Wbcosgy-Xa1xXUArJSOenub6EfZHUSzc_bpJFWwQUf0/edit?usp=sharing"",""แม่ฮ่องสอน!J460"")"),50)</f>
        <v>50</v>
      </c>
      <c r="T25" s="82">
        <f t="shared" ca="1" si="21"/>
        <v>100</v>
      </c>
      <c r="U25" s="81">
        <f ca="1">IFERROR(__xludf.DUMMYFUNCTION("IMPORTRANGE(""https://docs.google.com/spreadsheets/d/1Wbcosgy-Xa1xXUArJSOenub6EfZHUSzc_bpJFWwQUf0/edit?usp=sharing"",""แม่ฮ่องสอน!I462"")"),110)</f>
        <v>110</v>
      </c>
      <c r="V25" s="81">
        <f ca="1">IFERROR(__xludf.DUMMYFUNCTION("IMPORTRANGE(""https://docs.google.com/spreadsheets/d/1Wbcosgy-Xa1xXUArJSOenub6EfZHUSzc_bpJFWwQUf0/edit?usp=sharing"",""แม่ฮ่องสอน!J462"")"),110)</f>
        <v>110</v>
      </c>
      <c r="W25" s="82">
        <f t="shared" ca="1" si="22"/>
        <v>100</v>
      </c>
      <c r="X25" s="81">
        <f ca="1">IFERROR(__xludf.DUMMYFUNCTION("IMPORTRANGE(""https://docs.google.com/spreadsheets/d/1Wbcosgy-Xa1xXUArJSOenub6EfZHUSzc_bpJFWwQUf0/edit?usp=sharing"",""แม่ฮ่องสอน!I463"")"),110)</f>
        <v>110</v>
      </c>
      <c r="Y25" s="81">
        <f ca="1">IFERROR(__xludf.DUMMYFUNCTION("IMPORTRANGE(""https://docs.google.com/spreadsheets/d/1Wbcosgy-Xa1xXUArJSOenub6EfZHUSzc_bpJFWwQUf0/edit?usp=sharing"",""แม่ฮ่องสอน!I464"")"),50)</f>
        <v>50</v>
      </c>
      <c r="Z25" s="81">
        <f ca="1">IFERROR(__xludf.DUMMYFUNCTION("IMPORTRANGE(""https://docs.google.com/spreadsheets/d/1Wbcosgy-Xa1xXUArJSOenub6EfZHUSzc_bpJFWwQUf0/edit?usp=sharing"",""แม่ฮ่องสอน!J463"")"),110)</f>
        <v>110</v>
      </c>
      <c r="AA25" s="82">
        <f t="shared" ca="1" si="23"/>
        <v>100</v>
      </c>
      <c r="AB25" s="81">
        <f ca="1">IFERROR(__xludf.DUMMYFUNCTION("IMPORTRANGE(""https://docs.google.com/spreadsheets/d/1Wbcosgy-Xa1xXUArJSOenub6EfZHUSzc_bpJFWwQUf0/edit?usp=sharing"",""แม่ฮ่องสอน!J464"")"),50)</f>
        <v>50</v>
      </c>
      <c r="AC25" s="82">
        <f t="shared" ca="1" si="13"/>
        <v>100</v>
      </c>
    </row>
    <row r="26" spans="1:29" ht="24" customHeight="1" x14ac:dyDescent="0.2">
      <c r="A26" s="72">
        <v>13</v>
      </c>
      <c r="B26" s="73" t="s">
        <v>43</v>
      </c>
      <c r="C26" s="74">
        <f t="shared" ca="1" si="31"/>
        <v>128460</v>
      </c>
      <c r="D26" s="75">
        <f ca="1">IFERROR(__xludf.DUMMYFUNCTION("IMPORTRANGE(""https://docs.google.com/spreadsheets/d/1p7ERhsr0qZeSn-KSOdeHS9r0heI-lHtkcn2OH7hP0jQ/edit?usp=sharing"",""ลำปาง!L449"")"),128460)</f>
        <v>128460</v>
      </c>
      <c r="E26" s="76">
        <f ca="1">IFERROR(__xludf.DUMMYFUNCTION("IMPORTRANGE(""https://docs.google.com/spreadsheets/d/1p7ERhsr0qZeSn-KSOdeHS9r0heI-lHtkcn2OH7hP0jQ/edit?usp=sharing"",""ลำปาง!L456"")"),0)</f>
        <v>0</v>
      </c>
      <c r="F26" s="77">
        <f t="shared" ca="1" si="1"/>
        <v>8060</v>
      </c>
      <c r="G26" s="78">
        <f t="shared" ca="1" si="2"/>
        <v>6.2743266386423793</v>
      </c>
      <c r="H26" s="79">
        <f t="shared" ca="1" si="32"/>
        <v>8060</v>
      </c>
      <c r="I26" s="76">
        <f ca="1">IFERROR(__xludf.DUMMYFUNCTION("IMPORTRANGE(""https://docs.google.com/spreadsheets/d/1p7ERhsr0qZeSn-KSOdeHS9r0heI-lHtkcn2OH7hP0jQ/edit?usp=sharing"",""ลำปาง!N450"")"),6820)</f>
        <v>6820</v>
      </c>
      <c r="J26" s="76">
        <f ca="1">IFERROR(__xludf.DUMMYFUNCTION("IMPORTRANGE(""https://docs.google.com/spreadsheets/d/1p7ERhsr0qZeSn-KSOdeHS9r0heI-lHtkcn2OH7hP0jQ/edit?usp=sharing"",""ลำปาง!N451"")"),0)</f>
        <v>0</v>
      </c>
      <c r="K26" s="76">
        <f ca="1">IFERROR(__xludf.DUMMYFUNCTION("IMPORTRANGE(""https://docs.google.com/spreadsheets/d/1p7ERhsr0qZeSn-KSOdeHS9r0heI-lHtkcn2OH7hP0jQ/edit?usp=sharing"",""ลำปาง!N452"")"),0)</f>
        <v>0</v>
      </c>
      <c r="L26" s="76">
        <f ca="1">IFERROR(__xludf.DUMMYFUNCTION("IMPORTRANGE(""https://docs.google.com/spreadsheets/d/1p7ERhsr0qZeSn-KSOdeHS9r0heI-lHtkcn2OH7hP0jQ/edit?usp=sharing"",""ลำปาง!N453"")"),1240)</f>
        <v>1240</v>
      </c>
      <c r="M26" s="80">
        <f ca="1">IFERROR(__xludf.DUMMYFUNCTION("IMPORTRANGE(""https://docs.google.com/spreadsheets/d/1p7ERhsr0qZeSn-KSOdeHS9r0heI-lHtkcn2OH7hP0jQ/edit?usp=sharing"",""ลำปาง!N456"")"),0)</f>
        <v>0</v>
      </c>
      <c r="N26" s="80">
        <f t="shared" ca="1" si="26"/>
        <v>0</v>
      </c>
      <c r="O26" s="81">
        <f ca="1">IFERROR(__xludf.DUMMYFUNCTION("IMPORTRANGE(""https://docs.google.com/spreadsheets/d/1p7ERhsr0qZeSn-KSOdeHS9r0heI-lHtkcn2OH7hP0jQ/edit?usp=sharing"",""ลำปาง!I458"")"),0)</f>
        <v>0</v>
      </c>
      <c r="P26" s="81">
        <f ca="1">IFERROR(__xludf.DUMMYFUNCTION("IMPORTRANGE(""https://docs.google.com/spreadsheets/d/1p7ERhsr0qZeSn-KSOdeHS9r0heI-lHtkcn2OH7hP0jQ/edit?usp=sharing"",""ลำปาง!J458"")"),0)</f>
        <v>0</v>
      </c>
      <c r="Q26" s="82">
        <f t="shared" ca="1" si="20"/>
        <v>0</v>
      </c>
      <c r="R26" s="81">
        <f ca="1">IFERROR(__xludf.DUMMYFUNCTION("IMPORTRANGE(""https://docs.google.com/spreadsheets/d/1p7ERhsr0qZeSn-KSOdeHS9r0heI-lHtkcn2OH7hP0jQ/edit?usp=sharing"",""ลำปาง!I460"")"),20)</f>
        <v>20</v>
      </c>
      <c r="S26" s="81">
        <f ca="1">IFERROR(__xludf.DUMMYFUNCTION("IMPORTRANGE(""https://docs.google.com/spreadsheets/d/1p7ERhsr0qZeSn-KSOdeHS9r0heI-lHtkcn2OH7hP0jQ/edit?usp=sharing"",""ลำปาง!J460"")"),20)</f>
        <v>20</v>
      </c>
      <c r="T26" s="82">
        <f t="shared" ca="1" si="21"/>
        <v>100</v>
      </c>
      <c r="U26" s="81">
        <f ca="1">IFERROR(__xludf.DUMMYFUNCTION("IMPORTRANGE(""https://docs.google.com/spreadsheets/d/1p7ERhsr0qZeSn-KSOdeHS9r0heI-lHtkcn2OH7hP0jQ/edit?usp=sharing"",""ลำปาง!I462"")"),70)</f>
        <v>70</v>
      </c>
      <c r="V26" s="81">
        <f ca="1">IFERROR(__xludf.DUMMYFUNCTION("IMPORTRANGE(""https://docs.google.com/spreadsheets/d/1p7ERhsr0qZeSn-KSOdeHS9r0heI-lHtkcn2OH7hP0jQ/edit?usp=sharing"",""ลำปาง!J462"")"),0)</f>
        <v>0</v>
      </c>
      <c r="W26" s="82">
        <f t="shared" ca="1" si="22"/>
        <v>0</v>
      </c>
      <c r="X26" s="81">
        <f ca="1">IFERROR(__xludf.DUMMYFUNCTION("IMPORTRANGE(""https://docs.google.com/spreadsheets/d/1p7ERhsr0qZeSn-KSOdeHS9r0heI-lHtkcn2OH7hP0jQ/edit?usp=sharing"",""ลำปาง!I463"")"),70)</f>
        <v>70</v>
      </c>
      <c r="Y26" s="81">
        <f ca="1">IFERROR(__xludf.DUMMYFUNCTION("IMPORTRANGE(""https://docs.google.com/spreadsheets/d/1p7ERhsr0qZeSn-KSOdeHS9r0heI-lHtkcn2OH7hP0jQ/edit?usp=sharing"",""ลำปาง!I464"")"),20)</f>
        <v>20</v>
      </c>
      <c r="Z26" s="81">
        <f ca="1">IFERROR(__xludf.DUMMYFUNCTION("IMPORTRANGE(""https://docs.google.com/spreadsheets/d/1p7ERhsr0qZeSn-KSOdeHS9r0heI-lHtkcn2OH7hP0jQ/edit?usp=sharing"",""ลำปาง!J463"")"),0)</f>
        <v>0</v>
      </c>
      <c r="AA26" s="82">
        <f t="shared" ca="1" si="23"/>
        <v>0</v>
      </c>
      <c r="AB26" s="81">
        <f ca="1">IFERROR(__xludf.DUMMYFUNCTION("IMPORTRANGE(""https://docs.google.com/spreadsheets/d/1p7ERhsr0qZeSn-KSOdeHS9r0heI-lHtkcn2OH7hP0jQ/edit?usp=sharing"",""ลำปาง!J464"")"),0)</f>
        <v>0</v>
      </c>
      <c r="AC26" s="82">
        <f t="shared" ca="1" si="13"/>
        <v>0</v>
      </c>
    </row>
    <row r="27" spans="1:29" ht="24" customHeight="1" x14ac:dyDescent="0.2">
      <c r="A27" s="72">
        <v>14</v>
      </c>
      <c r="B27" s="73" t="s">
        <v>44</v>
      </c>
      <c r="C27" s="74">
        <f t="shared" ca="1" si="31"/>
        <v>398000</v>
      </c>
      <c r="D27" s="75">
        <f ca="1">IFERROR(__xludf.DUMMYFUNCTION("IMPORTRANGE(""https://docs.google.com/spreadsheets/d/1-uUXvimVhiU2U0bMN-xi2te0tS4X7DI2GLPnMjzl8cA/edit?usp=sharing"",""ลำพูน!L449"")"),398000)</f>
        <v>398000</v>
      </c>
      <c r="E27" s="76">
        <f ca="1">IFERROR(__xludf.DUMMYFUNCTION("IMPORTRANGE(""https://docs.google.com/spreadsheets/d/1-uUXvimVhiU2U0bMN-xi2te0tS4X7DI2GLPnMjzl8cA/edit?usp=sharing"",""ลำพูน!L456"")"),0)</f>
        <v>0</v>
      </c>
      <c r="F27" s="77">
        <f t="shared" ca="1" si="1"/>
        <v>282850</v>
      </c>
      <c r="G27" s="78">
        <f t="shared" ca="1" si="2"/>
        <v>71.0678391959799</v>
      </c>
      <c r="H27" s="79">
        <f t="shared" ca="1" si="32"/>
        <v>282850</v>
      </c>
      <c r="I27" s="76">
        <f ca="1">IFERROR(__xludf.DUMMYFUNCTION("IMPORTRANGE(""https://docs.google.com/spreadsheets/d/1-uUXvimVhiU2U0bMN-xi2te0tS4X7DI2GLPnMjzl8cA/edit?usp=sharing"",""ลำพูน!N450"")"),54400)</f>
        <v>54400</v>
      </c>
      <c r="J27" s="76">
        <f ca="1">IFERROR(__xludf.DUMMYFUNCTION("IMPORTRANGE(""https://docs.google.com/spreadsheets/d/1-uUXvimVhiU2U0bMN-xi2te0tS4X7DI2GLPnMjzl8cA/edit?usp=sharing"",""ลำพูน!N451"")"),150000)</f>
        <v>150000</v>
      </c>
      <c r="K27" s="76">
        <f ca="1">IFERROR(__xludf.DUMMYFUNCTION("IMPORTRANGE(""https://docs.google.com/spreadsheets/d/1-uUXvimVhiU2U0bMN-xi2te0tS4X7DI2GLPnMjzl8cA/edit?usp=sharing"",""ลำพูน!N452"")"),52000)</f>
        <v>52000</v>
      </c>
      <c r="L27" s="76">
        <f ca="1">IFERROR(__xludf.DUMMYFUNCTION("IMPORTRANGE(""https://docs.google.com/spreadsheets/d/1-uUXvimVhiU2U0bMN-xi2te0tS4X7DI2GLPnMjzl8cA/edit?usp=sharing"",""ลำพูน!N453"")"),26450)</f>
        <v>26450</v>
      </c>
      <c r="M27" s="80">
        <f ca="1">IFERROR(__xludf.DUMMYFUNCTION("IMPORTRANGE(""https://docs.google.com/spreadsheets/d/1-uUXvimVhiU2U0bMN-xi2te0tS4X7DI2GLPnMjzl8cA/edit?usp=sharing"",""ลำพูน!N456"")"),0)</f>
        <v>0</v>
      </c>
      <c r="N27" s="80">
        <f t="shared" ca="1" si="26"/>
        <v>0</v>
      </c>
      <c r="O27" s="81">
        <f ca="1">IFERROR(__xludf.DUMMYFUNCTION("IMPORTRANGE(""https://docs.google.com/spreadsheets/d/1-uUXvimVhiU2U0bMN-xi2te0tS4X7DI2GLPnMjzl8cA/edit?usp=sharing"",""ลำพูน!I458"")"),0)</f>
        <v>0</v>
      </c>
      <c r="P27" s="81">
        <f ca="1">IFERROR(__xludf.DUMMYFUNCTION("IMPORTRANGE(""https://docs.google.com/spreadsheets/d/1-uUXvimVhiU2U0bMN-xi2te0tS4X7DI2GLPnMjzl8cA/edit?usp=sharing"",""ลำพูน!J458"")"),0)</f>
        <v>0</v>
      </c>
      <c r="Q27" s="82">
        <f t="shared" ca="1" si="20"/>
        <v>0</v>
      </c>
      <c r="R27" s="81">
        <f ca="1">IFERROR(__xludf.DUMMYFUNCTION("IMPORTRANGE(""https://docs.google.com/spreadsheets/d/1-uUXvimVhiU2U0bMN-xi2te0tS4X7DI2GLPnMjzl8cA/edit?usp=sharing"",""ลำพูน!I460"")"),40)</f>
        <v>40</v>
      </c>
      <c r="S27" s="81">
        <f ca="1">IFERROR(__xludf.DUMMYFUNCTION("IMPORTRANGE(""https://docs.google.com/spreadsheets/d/1-uUXvimVhiU2U0bMN-xi2te0tS4X7DI2GLPnMjzl8cA/edit?usp=sharing"",""ลำพูน!J460"")"),40)</f>
        <v>40</v>
      </c>
      <c r="T27" s="82">
        <f t="shared" ca="1" si="21"/>
        <v>100</v>
      </c>
      <c r="U27" s="81">
        <f ca="1">IFERROR(__xludf.DUMMYFUNCTION("IMPORTRANGE(""https://docs.google.com/spreadsheets/d/1-uUXvimVhiU2U0bMN-xi2te0tS4X7DI2GLPnMjzl8cA/edit?usp=sharing"",""ลำพูน!I462"")"),150)</f>
        <v>150</v>
      </c>
      <c r="V27" s="81">
        <f ca="1">IFERROR(__xludf.DUMMYFUNCTION("IMPORTRANGE(""https://docs.google.com/spreadsheets/d/1-uUXvimVhiU2U0bMN-xi2te0tS4X7DI2GLPnMjzl8cA/edit?usp=sharing"",""ลำพูน!J462"")"),150)</f>
        <v>150</v>
      </c>
      <c r="W27" s="82">
        <f t="shared" ca="1" si="22"/>
        <v>100</v>
      </c>
      <c r="X27" s="81">
        <f ca="1">IFERROR(__xludf.DUMMYFUNCTION("IMPORTRANGE(""https://docs.google.com/spreadsheets/d/1-uUXvimVhiU2U0bMN-xi2te0tS4X7DI2GLPnMjzl8cA/edit?usp=sharing"",""ลำพูน!I463"")"),150)</f>
        <v>150</v>
      </c>
      <c r="Y27" s="81">
        <f ca="1">IFERROR(__xludf.DUMMYFUNCTION("IMPORTRANGE(""https://docs.google.com/spreadsheets/d/1-uUXvimVhiU2U0bMN-xi2te0tS4X7DI2GLPnMjzl8cA/edit?usp=sharing"",""ลำพูน!I464"")"),40)</f>
        <v>40</v>
      </c>
      <c r="Z27" s="81">
        <f ca="1">IFERROR(__xludf.DUMMYFUNCTION("IMPORTRANGE(""https://docs.google.com/spreadsheets/d/1-uUXvimVhiU2U0bMN-xi2te0tS4X7DI2GLPnMjzl8cA/edit?usp=sharing"",""ลำพูน!J463"")"),150)</f>
        <v>150</v>
      </c>
      <c r="AA27" s="82">
        <f t="shared" ca="1" si="23"/>
        <v>100</v>
      </c>
      <c r="AB27" s="81">
        <f ca="1">IFERROR(__xludf.DUMMYFUNCTION("IMPORTRANGE(""https://docs.google.com/spreadsheets/d/1-uUXvimVhiU2U0bMN-xi2te0tS4X7DI2GLPnMjzl8cA/edit?usp=sharing"",""ลำพูน!J464"")"),40)</f>
        <v>40</v>
      </c>
      <c r="AC27" s="82">
        <f t="shared" ca="1" si="13"/>
        <v>100</v>
      </c>
    </row>
    <row r="28" spans="1:29" ht="24" customHeight="1" x14ac:dyDescent="0.2">
      <c r="A28" s="72">
        <v>15</v>
      </c>
      <c r="B28" s="73" t="s">
        <v>45</v>
      </c>
      <c r="C28" s="74">
        <f t="shared" ca="1" si="31"/>
        <v>757044</v>
      </c>
      <c r="D28" s="75">
        <f ca="1">IFERROR(__xludf.DUMMYFUNCTION("IMPORTRANGE(""https://docs.google.com/spreadsheets/d/17HrOaa5pBUI1onckFfumXB8xlg35qb2uBAFfF1D-Myo/edit?usp=sharing"",""สุโขทัย!L449"")"),757044)</f>
        <v>757044</v>
      </c>
      <c r="E28" s="76">
        <f ca="1">IFERROR(__xludf.DUMMYFUNCTION("IMPORTRANGE(""https://docs.google.com/spreadsheets/d/17HrOaa5pBUI1onckFfumXB8xlg35qb2uBAFfF1D-Myo/edit?usp=sharing"",""สุโขทัย!L456"")"),0)</f>
        <v>0</v>
      </c>
      <c r="F28" s="77">
        <f t="shared" ca="1" si="1"/>
        <v>158934.64000000001</v>
      </c>
      <c r="G28" s="78">
        <f t="shared" ca="1" si="2"/>
        <v>20.994108664753966</v>
      </c>
      <c r="H28" s="79">
        <f t="shared" ca="1" si="32"/>
        <v>158934.64000000001</v>
      </c>
      <c r="I28" s="76">
        <f ca="1">IFERROR(__xludf.DUMMYFUNCTION("IMPORTRANGE(""https://docs.google.com/spreadsheets/d/17HrOaa5pBUI1onckFfumXB8xlg35qb2uBAFfF1D-Myo/edit?usp=sharing"",""สุโขทัย!N450"")"),109070)</f>
        <v>109070</v>
      </c>
      <c r="J28" s="76">
        <f ca="1">IFERROR(__xludf.DUMMYFUNCTION("IMPORTRANGE(""https://docs.google.com/spreadsheets/d/17HrOaa5pBUI1onckFfumXB8xlg35qb2uBAFfF1D-Myo/edit?usp=sharing"",""สุโขทัย!N451"")"),0)</f>
        <v>0</v>
      </c>
      <c r="K28" s="76">
        <f ca="1">IFERROR(__xludf.DUMMYFUNCTION("IMPORTRANGE(""https://docs.google.com/spreadsheets/d/17HrOaa5pBUI1onckFfumXB8xlg35qb2uBAFfF1D-Myo/edit?usp=sharing"",""สุโขทัย!N452"")"),25580.64)</f>
        <v>25580.639999999999</v>
      </c>
      <c r="L28" s="76">
        <f ca="1">IFERROR(__xludf.DUMMYFUNCTION("IMPORTRANGE(""https://docs.google.com/spreadsheets/d/17HrOaa5pBUI1onckFfumXB8xlg35qb2uBAFfF1D-Myo/edit?usp=sharing"",""สุโขทัย!N453"")"),24284)</f>
        <v>24284</v>
      </c>
      <c r="M28" s="80">
        <f ca="1">IFERROR(__xludf.DUMMYFUNCTION("IMPORTRANGE(""https://docs.google.com/spreadsheets/d/17HrOaa5pBUI1onckFfumXB8xlg35qb2uBAFfF1D-Myo/edit?usp=sharing"",""สุโขทัย!N456"")"),0)</f>
        <v>0</v>
      </c>
      <c r="N28" s="80">
        <f t="shared" ca="1" si="26"/>
        <v>0</v>
      </c>
      <c r="O28" s="81">
        <f ca="1">IFERROR(__xludf.DUMMYFUNCTION("IMPORTRANGE(""https://docs.google.com/spreadsheets/d/17HrOaa5pBUI1onckFfumXB8xlg35qb2uBAFfF1D-Myo/edit?usp=sharing"",""สุโขทัย!I458"")"),0)</f>
        <v>0</v>
      </c>
      <c r="P28" s="81">
        <f ca="1">IFERROR(__xludf.DUMMYFUNCTION("IMPORTRANGE(""https://docs.google.com/spreadsheets/d/17HrOaa5pBUI1onckFfumXB8xlg35qb2uBAFfF1D-Myo/edit?usp=sharing"",""สุโขทัย!J458"")"),0)</f>
        <v>0</v>
      </c>
      <c r="Q28" s="82">
        <f t="shared" ca="1" si="20"/>
        <v>0</v>
      </c>
      <c r="R28" s="81">
        <f ca="1">IFERROR(__xludf.DUMMYFUNCTION("IMPORTRANGE(""https://docs.google.com/spreadsheets/d/17HrOaa5pBUI1onckFfumXB8xlg35qb2uBAFfF1D-Myo/edit?usp=sharing"",""สุโขทัย!I460"")"),115)</f>
        <v>115</v>
      </c>
      <c r="S28" s="81">
        <f ca="1">IFERROR(__xludf.DUMMYFUNCTION("IMPORTRANGE(""https://docs.google.com/spreadsheets/d/17HrOaa5pBUI1onckFfumXB8xlg35qb2uBAFfF1D-Myo/edit?usp=sharing"",""สุโขทัย!J460"")"),115)</f>
        <v>115</v>
      </c>
      <c r="T28" s="82">
        <f t="shared" ca="1" si="21"/>
        <v>100</v>
      </c>
      <c r="U28" s="81">
        <f ca="1">IFERROR(__xludf.DUMMYFUNCTION("IMPORTRANGE(""https://docs.google.com/spreadsheets/d/17HrOaa5pBUI1onckFfumXB8xlg35qb2uBAFfF1D-Myo/edit?usp=sharing"",""สุโขทัย!I462"")"),360)</f>
        <v>360</v>
      </c>
      <c r="V28" s="81">
        <f ca="1">IFERROR(__xludf.DUMMYFUNCTION("IMPORTRANGE(""https://docs.google.com/spreadsheets/d/17HrOaa5pBUI1onckFfumXB8xlg35qb2uBAFfF1D-Myo/edit?usp=sharing"",""สุโขทัย!J462"")"),0)</f>
        <v>0</v>
      </c>
      <c r="W28" s="82">
        <f t="shared" ca="1" si="22"/>
        <v>0</v>
      </c>
      <c r="X28" s="81">
        <f ca="1">IFERROR(__xludf.DUMMYFUNCTION("IMPORTRANGE(""https://docs.google.com/spreadsheets/d/17HrOaa5pBUI1onckFfumXB8xlg35qb2uBAFfF1D-Myo/edit?usp=sharing"",""สุโขทัย!I463"")"),360)</f>
        <v>360</v>
      </c>
      <c r="Y28" s="81">
        <f ca="1">IFERROR(__xludf.DUMMYFUNCTION("IMPORTRANGE(""https://docs.google.com/spreadsheets/d/17HrOaa5pBUI1onckFfumXB8xlg35qb2uBAFfF1D-Myo/edit?usp=sharing"",""สุโขทัย!I464"")"),115)</f>
        <v>115</v>
      </c>
      <c r="Z28" s="81">
        <f ca="1">IFERROR(__xludf.DUMMYFUNCTION("IMPORTRANGE(""https://docs.google.com/spreadsheets/d/17HrOaa5pBUI1onckFfumXB8xlg35qb2uBAFfF1D-Myo/edit?usp=sharing"",""สุโขทัย!J463"")"),0)</f>
        <v>0</v>
      </c>
      <c r="AA28" s="82">
        <f t="shared" ca="1" si="23"/>
        <v>0</v>
      </c>
      <c r="AB28" s="81">
        <f ca="1">IFERROR(__xludf.DUMMYFUNCTION("IMPORTRANGE(""https://docs.google.com/spreadsheets/d/17HrOaa5pBUI1onckFfumXB8xlg35qb2uBAFfF1D-Myo/edit?usp=sharing"",""สุโขทัย!J464"")"),0)</f>
        <v>0</v>
      </c>
      <c r="AC28" s="82">
        <f t="shared" ca="1" si="13"/>
        <v>0</v>
      </c>
    </row>
    <row r="29" spans="1:29" ht="24" customHeight="1" x14ac:dyDescent="0.2">
      <c r="A29" s="72">
        <v>16</v>
      </c>
      <c r="B29" s="73" t="s">
        <v>46</v>
      </c>
      <c r="C29" s="74">
        <f t="shared" ca="1" si="31"/>
        <v>137480</v>
      </c>
      <c r="D29" s="75">
        <f ca="1">IFERROR(__xludf.DUMMYFUNCTION("IMPORTRANGE(""https://docs.google.com/spreadsheets/d/1ubs5cl16eYL9gHbdHTJtmtYb9MGzHBs7CAphn8kNCgM/edit?usp=sharing"",""อุตรดิตถ์!L449"")"),137480)</f>
        <v>137480</v>
      </c>
      <c r="E29" s="76">
        <f ca="1">IFERROR(__xludf.DUMMYFUNCTION("IMPORTRANGE(""https://docs.google.com/spreadsheets/d/1ubs5cl16eYL9gHbdHTJtmtYb9MGzHBs7CAphn8kNCgM/edit?usp=sharing"",""อุตรดิตถ์!L456"")"),0)</f>
        <v>0</v>
      </c>
      <c r="F29" s="77">
        <f t="shared" ca="1" si="1"/>
        <v>55700.5</v>
      </c>
      <c r="G29" s="78">
        <f t="shared" ca="1" si="2"/>
        <v>40.515347686936281</v>
      </c>
      <c r="H29" s="79">
        <f t="shared" ca="1" si="32"/>
        <v>55700.5</v>
      </c>
      <c r="I29" s="76">
        <f ca="1">IFERROR(__xludf.DUMMYFUNCTION("IMPORTRANGE(""https://docs.google.com/spreadsheets/d/1ubs5cl16eYL9gHbdHTJtmtYb9MGzHBs7CAphn8kNCgM/edit?usp=sharing"",""อุตรดิตถ์!N450"")"),41540)</f>
        <v>41540</v>
      </c>
      <c r="J29" s="76">
        <f ca="1">IFERROR(__xludf.DUMMYFUNCTION("IMPORTRANGE(""https://docs.google.com/spreadsheets/d/1ubs5cl16eYL9gHbdHTJtmtYb9MGzHBs7CAphn8kNCgM/edit?usp=sharing"",""อุตรดิตถ์!N451"")"),0)</f>
        <v>0</v>
      </c>
      <c r="K29" s="76">
        <f ca="1">IFERROR(__xludf.DUMMYFUNCTION("IMPORTRANGE(""https://docs.google.com/spreadsheets/d/1ubs5cl16eYL9gHbdHTJtmtYb9MGzHBs7CAphn8kNCgM/edit?usp=sharing"",""อุตรดิตถ์!N452"")"),0)</f>
        <v>0</v>
      </c>
      <c r="L29" s="76">
        <f ca="1">IFERROR(__xludf.DUMMYFUNCTION("IMPORTRANGE(""https://docs.google.com/spreadsheets/d/1ubs5cl16eYL9gHbdHTJtmtYb9MGzHBs7CAphn8kNCgM/edit?usp=sharing"",""อุตรดิตถ์!N453"")"),14160.5)</f>
        <v>14160.5</v>
      </c>
      <c r="M29" s="80">
        <f ca="1">IFERROR(__xludf.DUMMYFUNCTION("IMPORTRANGE(""https://docs.google.com/spreadsheets/d/1ubs5cl16eYL9gHbdHTJtmtYb9MGzHBs7CAphn8kNCgM/edit?usp=sharing"",""อุตรดิตถ์!N456"")"),0)</f>
        <v>0</v>
      </c>
      <c r="N29" s="80">
        <f t="shared" ca="1" si="26"/>
        <v>0</v>
      </c>
      <c r="O29" s="81">
        <f ca="1">IFERROR(__xludf.DUMMYFUNCTION("IMPORTRANGE(""https://docs.google.com/spreadsheets/d/1ubs5cl16eYL9gHbdHTJtmtYb9MGzHBs7CAphn8kNCgM/edit?usp=sharing"",""อุตรดิตถ์!I458"")"),0)</f>
        <v>0</v>
      </c>
      <c r="P29" s="81">
        <f ca="1">IFERROR(__xludf.DUMMYFUNCTION("IMPORTRANGE(""https://docs.google.com/spreadsheets/d/1ubs5cl16eYL9gHbdHTJtmtYb9MGzHBs7CAphn8kNCgM/edit?usp=sharing"",""อุตรดิตถ์!J458"")"),0)</f>
        <v>0</v>
      </c>
      <c r="Q29" s="82">
        <f t="shared" ca="1" si="20"/>
        <v>0</v>
      </c>
      <c r="R29" s="81">
        <f ca="1">IFERROR(__xludf.DUMMYFUNCTION("IMPORTRANGE(""https://docs.google.com/spreadsheets/d/1ubs5cl16eYL9gHbdHTJtmtYb9MGzHBs7CAphn8kNCgM/edit?usp=sharing"",""อุตรดิตถ์!I460"")"),30)</f>
        <v>30</v>
      </c>
      <c r="S29" s="81">
        <f ca="1">IFERROR(__xludf.DUMMYFUNCTION("IMPORTRANGE(""https://docs.google.com/spreadsheets/d/1ubs5cl16eYL9gHbdHTJtmtYb9MGzHBs7CAphn8kNCgM/edit?usp=sharing"",""อุตรดิตถ์!J460"")"),0)</f>
        <v>0</v>
      </c>
      <c r="T29" s="82">
        <f t="shared" ca="1" si="21"/>
        <v>0</v>
      </c>
      <c r="U29" s="81">
        <f ca="1">IFERROR(__xludf.DUMMYFUNCTION("IMPORTRANGE(""https://docs.google.com/spreadsheets/d/1ubs5cl16eYL9gHbdHTJtmtYb9MGzHBs7CAphn8kNCgM/edit?usp=sharing"",""อุตรดิตถ์!I462"")"),50)</f>
        <v>50</v>
      </c>
      <c r="V29" s="81">
        <f ca="1">IFERROR(__xludf.DUMMYFUNCTION("IMPORTRANGE(""https://docs.google.com/spreadsheets/d/1ubs5cl16eYL9gHbdHTJtmtYb9MGzHBs7CAphn8kNCgM/edit?usp=sharing"",""อุตรดิตถ์!J462"")"),0)</f>
        <v>0</v>
      </c>
      <c r="W29" s="82">
        <f t="shared" ca="1" si="22"/>
        <v>0</v>
      </c>
      <c r="X29" s="81">
        <f ca="1">IFERROR(__xludf.DUMMYFUNCTION("IMPORTRANGE(""https://docs.google.com/spreadsheets/d/1ubs5cl16eYL9gHbdHTJtmtYb9MGzHBs7CAphn8kNCgM/edit?usp=sharing"",""อุตรดิตถ์!I463"")"),50)</f>
        <v>50</v>
      </c>
      <c r="Y29" s="81">
        <f ca="1">IFERROR(__xludf.DUMMYFUNCTION("IMPORTRANGE(""https://docs.google.com/spreadsheets/d/1ubs5cl16eYL9gHbdHTJtmtYb9MGzHBs7CAphn8kNCgM/edit?usp=sharing"",""อุตรดิตถ์!I464"")"),30)</f>
        <v>30</v>
      </c>
      <c r="Z29" s="81">
        <f ca="1">IFERROR(__xludf.DUMMYFUNCTION("IMPORTRANGE(""https://docs.google.com/spreadsheets/d/1ubs5cl16eYL9gHbdHTJtmtYb9MGzHBs7CAphn8kNCgM/edit?usp=sharing"",""อุตรดิตถ์!J463"")"),0)</f>
        <v>0</v>
      </c>
      <c r="AA29" s="82">
        <f t="shared" ca="1" si="23"/>
        <v>0</v>
      </c>
      <c r="AB29" s="81">
        <f ca="1">IFERROR(__xludf.DUMMYFUNCTION("IMPORTRANGE(""https://docs.google.com/spreadsheets/d/1ubs5cl16eYL9gHbdHTJtmtYb9MGzHBs7CAphn8kNCgM/edit?usp=sharing"",""อุตรดิตถ์!J464"")"),0)</f>
        <v>0</v>
      </c>
      <c r="AC29" s="82">
        <f t="shared" ca="1" si="13"/>
        <v>0</v>
      </c>
    </row>
    <row r="30" spans="1:29" ht="24" customHeight="1" x14ac:dyDescent="0.2">
      <c r="A30" s="83">
        <v>17</v>
      </c>
      <c r="B30" s="84" t="s">
        <v>47</v>
      </c>
      <c r="C30" s="85">
        <f t="shared" ca="1" si="31"/>
        <v>370600</v>
      </c>
      <c r="D30" s="86">
        <f ca="1">IFERROR(__xludf.DUMMYFUNCTION("IMPORTRANGE(""https://docs.google.com/spreadsheets/d/1kII0BjS6CtVrBvI8IrytgPdxDrlyQDyigzMsohRtDMs/edit?usp=sharing"",""อุทัยธานี!L449"")"),370600)</f>
        <v>370600</v>
      </c>
      <c r="E30" s="87">
        <f ca="1">IFERROR(__xludf.DUMMYFUNCTION("IMPORTRANGE(""https://docs.google.com/spreadsheets/d/1kII0BjS6CtVrBvI8IrytgPdxDrlyQDyigzMsohRtDMs/edit?usp=sharing"",""อุทัยธานี!L456"")"),0)</f>
        <v>0</v>
      </c>
      <c r="F30" s="88">
        <f t="shared" ca="1" si="1"/>
        <v>109975</v>
      </c>
      <c r="G30" s="89">
        <f t="shared" ca="1" si="2"/>
        <v>29.674851592012953</v>
      </c>
      <c r="H30" s="90">
        <f t="shared" ca="1" si="32"/>
        <v>109975</v>
      </c>
      <c r="I30" s="87">
        <f ca="1">IFERROR(__xludf.DUMMYFUNCTION("IMPORTRANGE(""https://docs.google.com/spreadsheets/d/1kII0BjS6CtVrBvI8IrytgPdxDrlyQDyigzMsohRtDMs/edit?usp=sharing"",""อุทัยธานี!N450"")"),56095)</f>
        <v>56095</v>
      </c>
      <c r="J30" s="87">
        <f ca="1">IFERROR(__xludf.DUMMYFUNCTION("IMPORTRANGE(""https://docs.google.com/spreadsheets/d/1kII0BjS6CtVrBvI8IrytgPdxDrlyQDyigzMsohRtDMs/edit?usp=sharing"",""อุทัยธานี!N451"")"),0)</f>
        <v>0</v>
      </c>
      <c r="K30" s="87">
        <f ca="1">IFERROR(__xludf.DUMMYFUNCTION("IMPORTRANGE(""https://docs.google.com/spreadsheets/d/1kII0BjS6CtVrBvI8IrytgPdxDrlyQDyigzMsohRtDMs/edit?usp=sharing"",""อุทัยธานี!N452"")"),39000)</f>
        <v>39000</v>
      </c>
      <c r="L30" s="87">
        <f ca="1">IFERROR(__xludf.DUMMYFUNCTION("IMPORTRANGE(""https://docs.google.com/spreadsheets/d/1kII0BjS6CtVrBvI8IrytgPdxDrlyQDyigzMsohRtDMs/edit?usp=sharing"",""อุทัยธานี!N453"")"),14880)</f>
        <v>14880</v>
      </c>
      <c r="M30" s="91">
        <f ca="1">IFERROR(__xludf.DUMMYFUNCTION("IMPORTRANGE(""https://docs.google.com/spreadsheets/d/1kII0BjS6CtVrBvI8IrytgPdxDrlyQDyigzMsohRtDMs/edit?usp=sharing"",""อุทัยธานี!N456"")"),0)</f>
        <v>0</v>
      </c>
      <c r="N30" s="91">
        <f t="shared" ca="1" si="26"/>
        <v>0</v>
      </c>
      <c r="O30" s="92">
        <f ca="1">IFERROR(__xludf.DUMMYFUNCTION("IMPORTRANGE(""https://docs.google.com/spreadsheets/d/1kII0BjS6CtVrBvI8IrytgPdxDrlyQDyigzMsohRtDMs/edit?usp=sharing"",""อุทัยธานี!I458"")"),0)</f>
        <v>0</v>
      </c>
      <c r="P30" s="92">
        <f ca="1">IFERROR(__xludf.DUMMYFUNCTION("IMPORTRANGE(""https://docs.google.com/spreadsheets/d/1kII0BjS6CtVrBvI8IrytgPdxDrlyQDyigzMsohRtDMs/edit?usp=sharing"",""อุทัยธานี!J458"")"),0)</f>
        <v>0</v>
      </c>
      <c r="Q30" s="93">
        <f t="shared" ca="1" si="20"/>
        <v>0</v>
      </c>
      <c r="R30" s="92">
        <f ca="1">IFERROR(__xludf.DUMMYFUNCTION("IMPORTRANGE(""https://docs.google.com/spreadsheets/d/1kII0BjS6CtVrBvI8IrytgPdxDrlyQDyigzMsohRtDMs/edit?usp=sharing"",""อุทัยธานี!I460"")"),60)</f>
        <v>60</v>
      </c>
      <c r="S30" s="92">
        <f ca="1">IFERROR(__xludf.DUMMYFUNCTION("IMPORTRANGE(""https://docs.google.com/spreadsheets/d/1kII0BjS6CtVrBvI8IrytgPdxDrlyQDyigzMsohRtDMs/edit?usp=sharing"",""อุทัยธานี!J460"")"),60)</f>
        <v>60</v>
      </c>
      <c r="T30" s="93">
        <f t="shared" ca="1" si="21"/>
        <v>100</v>
      </c>
      <c r="U30" s="92">
        <f ca="1">IFERROR(__xludf.DUMMYFUNCTION("IMPORTRANGE(""https://docs.google.com/spreadsheets/d/1kII0BjS6CtVrBvI8IrytgPdxDrlyQDyigzMsohRtDMs/edit?usp=sharing"",""อุทัยธานี!I462"")"),100)</f>
        <v>100</v>
      </c>
      <c r="V30" s="92">
        <f ca="1">IFERROR(__xludf.DUMMYFUNCTION("IMPORTRANGE(""https://docs.google.com/spreadsheets/d/1kII0BjS6CtVrBvI8IrytgPdxDrlyQDyigzMsohRtDMs/edit?usp=sharing"",""อุทัยธานี!J462"")"),100)</f>
        <v>100</v>
      </c>
      <c r="W30" s="93">
        <f t="shared" ca="1" si="22"/>
        <v>100</v>
      </c>
      <c r="X30" s="92">
        <f ca="1">IFERROR(__xludf.DUMMYFUNCTION("IMPORTRANGE(""https://docs.google.com/spreadsheets/d/1kII0BjS6CtVrBvI8IrytgPdxDrlyQDyigzMsohRtDMs/edit?usp=sharing"",""อุทัยธานี!I463"")"),100)</f>
        <v>100</v>
      </c>
      <c r="Y30" s="92">
        <f ca="1">IFERROR(__xludf.DUMMYFUNCTION("IMPORTRANGE(""https://docs.google.com/spreadsheets/d/1kII0BjS6CtVrBvI8IrytgPdxDrlyQDyigzMsohRtDMs/edit?usp=sharing"",""อุทัยธานี!I464"")"),60)</f>
        <v>60</v>
      </c>
      <c r="Z30" s="92">
        <f ca="1">IFERROR(__xludf.DUMMYFUNCTION("IMPORTRANGE(""https://docs.google.com/spreadsheets/d/1kII0BjS6CtVrBvI8IrytgPdxDrlyQDyigzMsohRtDMs/edit?usp=sharing"",""อุทัยธานี!J463"")"),0)</f>
        <v>0</v>
      </c>
      <c r="AA30" s="93">
        <f t="shared" ca="1" si="23"/>
        <v>0</v>
      </c>
      <c r="AB30" s="92">
        <f ca="1">IFERROR(__xludf.DUMMYFUNCTION("IMPORTRANGE(""https://docs.google.com/spreadsheets/d/1kII0BjS6CtVrBvI8IrytgPdxDrlyQDyigzMsohRtDMs/edit?usp=sharing"",""อุทัยธานี!J464"")"),60)</f>
        <v>60</v>
      </c>
      <c r="AC30" s="93">
        <f t="shared" ca="1" si="13"/>
        <v>100</v>
      </c>
    </row>
    <row r="31" spans="1:29" ht="21" customHeight="1" x14ac:dyDescent="0.2">
      <c r="A31" s="305" t="s">
        <v>48</v>
      </c>
      <c r="B31" s="306"/>
      <c r="C31" s="34">
        <f t="shared" ref="C31:E31" ca="1" si="33">SUM(C32:C51)</f>
        <v>9846828</v>
      </c>
      <c r="D31" s="34">
        <f t="shared" ca="1" si="33"/>
        <v>9846828</v>
      </c>
      <c r="E31" s="57">
        <f t="shared" ca="1" si="33"/>
        <v>0</v>
      </c>
      <c r="F31" s="57">
        <f t="shared" ca="1" si="1"/>
        <v>3225911.24</v>
      </c>
      <c r="G31" s="94">
        <f t="shared" ca="1" si="2"/>
        <v>32.760917932150335</v>
      </c>
      <c r="H31" s="57">
        <f t="shared" ref="H31:M31" ca="1" si="34">SUM(H32:H51)</f>
        <v>3225911.24</v>
      </c>
      <c r="I31" s="57">
        <f t="shared" ca="1" si="34"/>
        <v>1068111</v>
      </c>
      <c r="J31" s="57">
        <f t="shared" ca="1" si="34"/>
        <v>955160</v>
      </c>
      <c r="K31" s="57">
        <f t="shared" ca="1" si="34"/>
        <v>824366.24</v>
      </c>
      <c r="L31" s="57">
        <f t="shared" ca="1" si="34"/>
        <v>378274</v>
      </c>
      <c r="M31" s="95">
        <f t="shared" ca="1" si="34"/>
        <v>0</v>
      </c>
      <c r="N31" s="95">
        <f t="shared" ca="1" si="26"/>
        <v>0</v>
      </c>
      <c r="O31" s="57">
        <f t="shared" ref="O31:P31" ca="1" si="35">SUM(O32:O51)</f>
        <v>0</v>
      </c>
      <c r="P31" s="57">
        <f t="shared" ca="1" si="35"/>
        <v>0</v>
      </c>
      <c r="Q31" s="96">
        <f t="shared" ca="1" si="20"/>
        <v>0</v>
      </c>
      <c r="R31" s="57">
        <f t="shared" ref="R31:S31" ca="1" si="36">SUM(R32:R51)</f>
        <v>1355</v>
      </c>
      <c r="S31" s="57">
        <f t="shared" ca="1" si="36"/>
        <v>1109</v>
      </c>
      <c r="T31" s="96">
        <f t="shared" ca="1" si="21"/>
        <v>81.845018450184497</v>
      </c>
      <c r="U31" s="57">
        <f t="shared" ref="U31:V31" ca="1" si="37">SUM(U32:U51)</f>
        <v>4780</v>
      </c>
      <c r="V31" s="57">
        <f t="shared" ca="1" si="37"/>
        <v>3539</v>
      </c>
      <c r="W31" s="96">
        <f t="shared" ca="1" si="22"/>
        <v>74.037656903765694</v>
      </c>
      <c r="X31" s="57">
        <f t="shared" ref="X31:Z31" ca="1" si="38">SUM(X32:X51)</f>
        <v>4780</v>
      </c>
      <c r="Y31" s="57">
        <f t="shared" ca="1" si="38"/>
        <v>1355</v>
      </c>
      <c r="Z31" s="57">
        <f t="shared" ca="1" si="38"/>
        <v>503</v>
      </c>
      <c r="AA31" s="96">
        <f t="shared" ca="1" si="23"/>
        <v>10.523012552301255</v>
      </c>
      <c r="AB31" s="57">
        <f ca="1">SUM(AB32:AB51)</f>
        <v>181</v>
      </c>
      <c r="AC31" s="96">
        <f t="shared" ca="1" si="13"/>
        <v>13.357933579335793</v>
      </c>
    </row>
    <row r="32" spans="1:29" ht="21" customHeight="1" x14ac:dyDescent="0.2">
      <c r="A32" s="62">
        <v>1</v>
      </c>
      <c r="B32" s="63" t="s">
        <v>49</v>
      </c>
      <c r="C32" s="97">
        <f t="shared" ref="C32:C51" ca="1" si="39">D32+E32</f>
        <v>524600</v>
      </c>
      <c r="D32" s="98">
        <f ca="1">IFERROR(__xludf.DUMMYFUNCTION("IMPORTRANGE(""https://docs.google.com/spreadsheets/d/1fb2B9NLcpJgjIieIJvenUTNPn0TimZDUi0OtYeiSQ_s/edit?usp=sharing"",""กาฬสินธุ์!L449"")"),524600)</f>
        <v>524600</v>
      </c>
      <c r="E32" s="66">
        <f ca="1">IFERROR(__xludf.DUMMYFUNCTION("IMPORTRANGE(""https://docs.google.com/spreadsheets/d/1fb2B9NLcpJgjIieIJvenUTNPn0TimZDUi0OtYeiSQ_s/edit?usp=sharing"",""กาฬสินธุ์!L456"")"),0)</f>
        <v>0</v>
      </c>
      <c r="F32" s="67">
        <f t="shared" ca="1" si="1"/>
        <v>87360</v>
      </c>
      <c r="G32" s="68">
        <f t="shared" ca="1" si="2"/>
        <v>16.65268776210446</v>
      </c>
      <c r="H32" s="69">
        <f t="shared" ref="H32:H51" ca="1" si="40">I32+J32+K32+L32</f>
        <v>87360</v>
      </c>
      <c r="I32" s="66">
        <f ca="1">IFERROR(__xludf.DUMMYFUNCTION("IMPORTRANGE(""https://docs.google.com/spreadsheets/d/1fb2B9NLcpJgjIieIJvenUTNPn0TimZDUi0OtYeiSQ_s/edit?usp=sharing"",""กาฬสินธุ์!N450"")"),28600)</f>
        <v>28600</v>
      </c>
      <c r="J32" s="66">
        <f ca="1">IFERROR(__xludf.DUMMYFUNCTION("IMPORTRANGE(""https://docs.google.com/spreadsheets/d/1fb2B9NLcpJgjIieIJvenUTNPn0TimZDUi0OtYeiSQ_s/edit?usp=sharing"",""กาฬสินธุ์!N451"")"),0)</f>
        <v>0</v>
      </c>
      <c r="K32" s="66">
        <f ca="1">IFERROR(__xludf.DUMMYFUNCTION("IMPORTRANGE(""https://docs.google.com/spreadsheets/d/1fb2B9NLcpJgjIieIJvenUTNPn0TimZDUi0OtYeiSQ_s/edit?usp=sharing"",""กาฬสินธุ์!N452"")"),39000)</f>
        <v>39000</v>
      </c>
      <c r="L32" s="66">
        <f ca="1">IFERROR(__xludf.DUMMYFUNCTION("IMPORTRANGE(""https://docs.google.com/spreadsheets/d/1fb2B9NLcpJgjIieIJvenUTNPn0TimZDUi0OtYeiSQ_s/edit?usp=sharing"",""กาฬสินธุ์!N453"")"),19760)</f>
        <v>19760</v>
      </c>
      <c r="M32" s="70">
        <f ca="1">IFERROR(__xludf.DUMMYFUNCTION("IMPORTRANGE(""https://docs.google.com/spreadsheets/d/1fb2B9NLcpJgjIieIJvenUTNPn0TimZDUi0OtYeiSQ_s/edit?usp=sharing"",""กาฬสินธุ์!N456"")"),0)</f>
        <v>0</v>
      </c>
      <c r="N32" s="70">
        <f t="shared" ca="1" si="26"/>
        <v>0</v>
      </c>
      <c r="O32" s="66">
        <f ca="1">IFERROR(__xludf.DUMMYFUNCTION("IMPORTRANGE(""https://docs.google.com/spreadsheets/d/1fb2B9NLcpJgjIieIJvenUTNPn0TimZDUi0OtYeiSQ_s/edit?usp=sharing"",""กาฬสินธุ์!I458"")"),0)</f>
        <v>0</v>
      </c>
      <c r="P32" s="66">
        <f ca="1">IFERROR(__xludf.DUMMYFUNCTION("IMPORTRANGE(""https://docs.google.com/spreadsheets/d/1fb2B9NLcpJgjIieIJvenUTNPn0TimZDUi0OtYeiSQ_s/edit?usp=sharing"",""กาฬสินธุ์!J458"")"),0)</f>
        <v>0</v>
      </c>
      <c r="Q32" s="71">
        <f t="shared" ca="1" si="20"/>
        <v>0</v>
      </c>
      <c r="R32" s="66">
        <f ca="1">IFERROR(__xludf.DUMMYFUNCTION("IMPORTRANGE(""https://docs.google.com/spreadsheets/d/1fb2B9NLcpJgjIieIJvenUTNPn0TimZDUi0OtYeiSQ_s/edit?usp=sharing"",""กาฬสินธุ์!I460"")"),60)</f>
        <v>60</v>
      </c>
      <c r="S32" s="66">
        <f ca="1">IFERROR(__xludf.DUMMYFUNCTION("IMPORTRANGE(""https://docs.google.com/spreadsheets/d/1fb2B9NLcpJgjIieIJvenUTNPn0TimZDUi0OtYeiSQ_s/edit?usp=sharing"",""กาฬสินธุ์!J460"")"),60)</f>
        <v>60</v>
      </c>
      <c r="T32" s="71">
        <f t="shared" ca="1" si="21"/>
        <v>100</v>
      </c>
      <c r="U32" s="66">
        <f ca="1">IFERROR(__xludf.DUMMYFUNCTION("IMPORTRANGE(""https://docs.google.com/spreadsheets/d/1fb2B9NLcpJgjIieIJvenUTNPn0TimZDUi0OtYeiSQ_s/edit?usp=sharing"",""กาฬสินธุ์!I462"")"),300)</f>
        <v>300</v>
      </c>
      <c r="V32" s="66">
        <f ca="1">IFERROR(__xludf.DUMMYFUNCTION("IMPORTRANGE(""https://docs.google.com/spreadsheets/d/1fb2B9NLcpJgjIieIJvenUTNPn0TimZDUi0OtYeiSQ_s/edit?usp=sharing"",""กาฬสินธุ์!J462"")"),300)</f>
        <v>300</v>
      </c>
      <c r="W32" s="71">
        <f t="shared" ca="1" si="22"/>
        <v>100</v>
      </c>
      <c r="X32" s="66">
        <f ca="1">IFERROR(__xludf.DUMMYFUNCTION("IMPORTRANGE(""https://docs.google.com/spreadsheets/d/1fb2B9NLcpJgjIieIJvenUTNPn0TimZDUi0OtYeiSQ_s/edit?usp=sharing"",""กาฬสินธุ์!I463"")"),300)</f>
        <v>300</v>
      </c>
      <c r="Y32" s="66">
        <f ca="1">IFERROR(__xludf.DUMMYFUNCTION("IMPORTRANGE(""https://docs.google.com/spreadsheets/d/1fb2B9NLcpJgjIieIJvenUTNPn0TimZDUi0OtYeiSQ_s/edit?usp=sharing"",""กาฬสินธุ์!I464"")"),60)</f>
        <v>60</v>
      </c>
      <c r="Z32" s="66">
        <f ca="1">IFERROR(__xludf.DUMMYFUNCTION("IMPORTRANGE(""https://docs.google.com/spreadsheets/d/1fb2B9NLcpJgjIieIJvenUTNPn0TimZDUi0OtYeiSQ_s/edit?usp=sharing"",""กาฬสินธุ์!J463"")"),0)</f>
        <v>0</v>
      </c>
      <c r="AA32" s="71">
        <f t="shared" ca="1" si="23"/>
        <v>0</v>
      </c>
      <c r="AB32" s="66">
        <f ca="1">IFERROR(__xludf.DUMMYFUNCTION("IMPORTRANGE(""https://docs.google.com/spreadsheets/d/1fb2B9NLcpJgjIieIJvenUTNPn0TimZDUi0OtYeiSQ_s/edit?usp=sharing"",""กาฬสินธุ์!J464"")"),0)</f>
        <v>0</v>
      </c>
      <c r="AC32" s="71">
        <f t="shared" ca="1" si="13"/>
        <v>0</v>
      </c>
    </row>
    <row r="33" spans="1:29" ht="21" customHeight="1" x14ac:dyDescent="0.2">
      <c r="A33" s="72">
        <v>2</v>
      </c>
      <c r="B33" s="73" t="s">
        <v>50</v>
      </c>
      <c r="C33" s="74">
        <f t="shared" ca="1" si="39"/>
        <v>374350</v>
      </c>
      <c r="D33" s="75">
        <f ca="1">IFERROR(__xludf.DUMMYFUNCTION("IMPORTRANGE(""https://docs.google.com/spreadsheets/d/1SaMnqrwRGmFYNR0MhpWmHuL5niYUd5E7vDq8X7whAlI/edit?usp=sharing"",""ขอนแก่น!L449"")"),374350)</f>
        <v>374350</v>
      </c>
      <c r="E33" s="76">
        <f ca="1">IFERROR(__xludf.DUMMYFUNCTION("IMPORTRANGE(""https://docs.google.com/spreadsheets/d/1SaMnqrwRGmFYNR0MhpWmHuL5niYUd5E7vDq8X7whAlI/edit?usp=sharing"",""ขอนแก่น!L456"")"),0)</f>
        <v>0</v>
      </c>
      <c r="F33" s="77">
        <f t="shared" ca="1" si="1"/>
        <v>69713.98000000001</v>
      </c>
      <c r="G33" s="78">
        <f t="shared" ca="1" si="2"/>
        <v>18.622673968211569</v>
      </c>
      <c r="H33" s="79">
        <f t="shared" ca="1" si="40"/>
        <v>69713.98000000001</v>
      </c>
      <c r="I33" s="76">
        <f ca="1">IFERROR(__xludf.DUMMYFUNCTION("IMPORTRANGE(""https://docs.google.com/spreadsheets/d/1SaMnqrwRGmFYNR0MhpWmHuL5niYUd5E7vDq8X7whAlI/edit?usp=sharing"",""ขอนแก่น!N450"")"),0)</f>
        <v>0</v>
      </c>
      <c r="J33" s="76">
        <f ca="1">IFERROR(__xludf.DUMMYFUNCTION("IMPORTRANGE(""https://docs.google.com/spreadsheets/d/1SaMnqrwRGmFYNR0MhpWmHuL5niYUd5E7vDq8X7whAlI/edit?usp=sharing"",""ขอนแก่น!N451"")"),0)</f>
        <v>0</v>
      </c>
      <c r="K33" s="76">
        <f ca="1">IFERROR(__xludf.DUMMYFUNCTION("IMPORTRANGE(""https://docs.google.com/spreadsheets/d/1SaMnqrwRGmFYNR0MhpWmHuL5niYUd5E7vDq8X7whAlI/edit?usp=sharing"",""ขอนแก่น!N452"")"),50713.98)</f>
        <v>50713.98</v>
      </c>
      <c r="L33" s="76">
        <f ca="1">IFERROR(__xludf.DUMMYFUNCTION("IMPORTRANGE(""https://docs.google.com/spreadsheets/d/1SaMnqrwRGmFYNR0MhpWmHuL5niYUd5E7vDq8X7whAlI/edit?usp=sharing"",""ขอนแก่น!N453"")"),19000)</f>
        <v>19000</v>
      </c>
      <c r="M33" s="80">
        <f ca="1">IFERROR(__xludf.DUMMYFUNCTION("IMPORTRANGE(""https://docs.google.com/spreadsheets/d/1SaMnqrwRGmFYNR0MhpWmHuL5niYUd5E7vDq8X7whAlI/edit?usp=sharing"",""ขอนแก่น!N456"")"),0)</f>
        <v>0</v>
      </c>
      <c r="N33" s="80">
        <f t="shared" ca="1" si="26"/>
        <v>0</v>
      </c>
      <c r="O33" s="81">
        <f ca="1">IFERROR(__xludf.DUMMYFUNCTION("IMPORTRANGE(""https://docs.google.com/spreadsheets/d/1SaMnqrwRGmFYNR0MhpWmHuL5niYUd5E7vDq8X7whAlI/edit?usp=sharing"",""ขอนแก่น!I458"")"),0)</f>
        <v>0</v>
      </c>
      <c r="P33" s="81">
        <f ca="1">IFERROR(__xludf.DUMMYFUNCTION("IMPORTRANGE(""https://docs.google.com/spreadsheets/d/1SaMnqrwRGmFYNR0MhpWmHuL5niYUd5E7vDq8X7whAlI/edit?usp=sharing"",""ขอนแก่น!J458"")"),0)</f>
        <v>0</v>
      </c>
      <c r="Q33" s="82">
        <f t="shared" ca="1" si="20"/>
        <v>0</v>
      </c>
      <c r="R33" s="81">
        <f ca="1">IFERROR(__xludf.DUMMYFUNCTION("IMPORTRANGE(""https://docs.google.com/spreadsheets/d/1SaMnqrwRGmFYNR0MhpWmHuL5niYUd5E7vDq8X7whAlI/edit?usp=sharing"",""ขอนแก่น!I460"")"),55)</f>
        <v>55</v>
      </c>
      <c r="S33" s="81">
        <f ca="1">IFERROR(__xludf.DUMMYFUNCTION("IMPORTRANGE(""https://docs.google.com/spreadsheets/d/1SaMnqrwRGmFYNR0MhpWmHuL5niYUd5E7vDq8X7whAlI/edit?usp=sharing"",""ขอนแก่น!J460"")"),0)</f>
        <v>0</v>
      </c>
      <c r="T33" s="82">
        <f t="shared" ca="1" si="21"/>
        <v>0</v>
      </c>
      <c r="U33" s="81">
        <f ca="1">IFERROR(__xludf.DUMMYFUNCTION("IMPORTRANGE(""https://docs.google.com/spreadsheets/d/1SaMnqrwRGmFYNR0MhpWmHuL5niYUd5E7vDq8X7whAlI/edit?usp=sharing"",""ขอนแก่น!I462"")"),95)</f>
        <v>95</v>
      </c>
      <c r="V33" s="81">
        <f ca="1">IFERROR(__xludf.DUMMYFUNCTION("IMPORTRANGE(""https://docs.google.com/spreadsheets/d/1SaMnqrwRGmFYNR0MhpWmHuL5niYUd5E7vDq8X7whAlI/edit?usp=sharing"",""ขอนแก่น!J462"")"),0)</f>
        <v>0</v>
      </c>
      <c r="W33" s="82">
        <f t="shared" ca="1" si="22"/>
        <v>0</v>
      </c>
      <c r="X33" s="81">
        <f ca="1">IFERROR(__xludf.DUMMYFUNCTION("IMPORTRANGE(""https://docs.google.com/spreadsheets/d/1SaMnqrwRGmFYNR0MhpWmHuL5niYUd5E7vDq8X7whAlI/edit?usp=sharing"",""ขอนแก่น!I463"")"),95)</f>
        <v>95</v>
      </c>
      <c r="Y33" s="81">
        <f ca="1">IFERROR(__xludf.DUMMYFUNCTION("IMPORTRANGE(""https://docs.google.com/spreadsheets/d/1SaMnqrwRGmFYNR0MhpWmHuL5niYUd5E7vDq8X7whAlI/edit?usp=sharing"",""ขอนแก่น!I464"")"),55)</f>
        <v>55</v>
      </c>
      <c r="Z33" s="81">
        <f ca="1">IFERROR(__xludf.DUMMYFUNCTION("IMPORTRANGE(""https://docs.google.com/spreadsheets/d/1SaMnqrwRGmFYNR0MhpWmHuL5niYUd5E7vDq8X7whAlI/edit?usp=sharing"",""ขอนแก่น!J463"")"),0)</f>
        <v>0</v>
      </c>
      <c r="AA33" s="82">
        <f t="shared" ca="1" si="23"/>
        <v>0</v>
      </c>
      <c r="AB33" s="81">
        <f ca="1">IFERROR(__xludf.DUMMYFUNCTION("IMPORTRANGE(""https://docs.google.com/spreadsheets/d/1SaMnqrwRGmFYNR0MhpWmHuL5niYUd5E7vDq8X7whAlI/edit?usp=sharing"",""ขอนแก่น!J464"")"),0)</f>
        <v>0</v>
      </c>
      <c r="AC33" s="82">
        <f t="shared" ca="1" si="13"/>
        <v>0</v>
      </c>
    </row>
    <row r="34" spans="1:29" ht="21" customHeight="1" x14ac:dyDescent="0.2">
      <c r="A34" s="72">
        <v>3</v>
      </c>
      <c r="B34" s="73" t="s">
        <v>51</v>
      </c>
      <c r="C34" s="74">
        <f t="shared" ca="1" si="39"/>
        <v>0</v>
      </c>
      <c r="D34" s="75">
        <f ca="1">IFERROR(__xludf.DUMMYFUNCTION("IMPORTRANGE(""https://docs.google.com/spreadsheets/d/1xQzEtGHhTTgxHh6YUkKY1P4dRyjVhS74dGswLfAASA4/edit?usp=sharing"",""ชัยภูมิ!L449"")"),0)</f>
        <v>0</v>
      </c>
      <c r="E34" s="76">
        <f ca="1">IFERROR(__xludf.DUMMYFUNCTION("IMPORTRANGE(""https://docs.google.com/spreadsheets/d/1xQzEtGHhTTgxHh6YUkKY1P4dRyjVhS74dGswLfAASA4/edit?usp=sharing"",""ชัยภูมิ!L456"")"),0)</f>
        <v>0</v>
      </c>
      <c r="F34" s="77">
        <f t="shared" ca="1" si="1"/>
        <v>0</v>
      </c>
      <c r="G34" s="78">
        <f t="shared" ca="1" si="2"/>
        <v>0</v>
      </c>
      <c r="H34" s="79">
        <f t="shared" ca="1" si="40"/>
        <v>0</v>
      </c>
      <c r="I34" s="76">
        <f ca="1">IFERROR(__xludf.DUMMYFUNCTION("IMPORTRANGE(""https://docs.google.com/spreadsheets/d/1xQzEtGHhTTgxHh6YUkKY1P4dRyjVhS74dGswLfAASA4/edit?usp=sharing"",""ชัยภูมิ!N450"")"),0)</f>
        <v>0</v>
      </c>
      <c r="J34" s="76">
        <f ca="1">IFERROR(__xludf.DUMMYFUNCTION("IMPORTRANGE(""https://docs.google.com/spreadsheets/d/1xQzEtGHhTTgxHh6YUkKY1P4dRyjVhS74dGswLfAASA4/edit?usp=sharing"",""ชัยภูมิ!N451"")"),0)</f>
        <v>0</v>
      </c>
      <c r="K34" s="76">
        <f ca="1">IFERROR(__xludf.DUMMYFUNCTION("IMPORTRANGE(""https://docs.google.com/spreadsheets/d/1xQzEtGHhTTgxHh6YUkKY1P4dRyjVhS74dGswLfAASA4/edit?usp=sharing"",""ชัยภูมิ!N452"")"),0)</f>
        <v>0</v>
      </c>
      <c r="L34" s="76">
        <f ca="1">IFERROR(__xludf.DUMMYFUNCTION("IMPORTRANGE(""https://docs.google.com/spreadsheets/d/1xQzEtGHhTTgxHh6YUkKY1P4dRyjVhS74dGswLfAASA4/edit?usp=sharing"",""ชัยภูมิ!N453"")"),0)</f>
        <v>0</v>
      </c>
      <c r="M34" s="80">
        <f ca="1">IFERROR(__xludf.DUMMYFUNCTION("IMPORTRANGE(""https://docs.google.com/spreadsheets/d/1xQzEtGHhTTgxHh6YUkKY1P4dRyjVhS74dGswLfAASA4/edit?usp=sharing"",""ชัยภูมิ!N456"")"),0)</f>
        <v>0</v>
      </c>
      <c r="N34" s="80">
        <f t="shared" ca="1" si="26"/>
        <v>0</v>
      </c>
      <c r="O34" s="81">
        <f ca="1">IFERROR(__xludf.DUMMYFUNCTION("IMPORTRANGE(""https://docs.google.com/spreadsheets/d/1xQzEtGHhTTgxHh6YUkKY1P4dRyjVhS74dGswLfAASA4/edit?usp=sharing"",""ชัยภูมิ!I458"")"),0)</f>
        <v>0</v>
      </c>
      <c r="P34" s="81">
        <f ca="1">IFERROR(__xludf.DUMMYFUNCTION("IMPORTRANGE(""https://docs.google.com/spreadsheets/d/1xQzEtGHhTTgxHh6YUkKY1P4dRyjVhS74dGswLfAASA4/edit?usp=sharing"",""ชัยภูมิ!J458"")"),0)</f>
        <v>0</v>
      </c>
      <c r="Q34" s="82">
        <f t="shared" ca="1" si="20"/>
        <v>0</v>
      </c>
      <c r="R34" s="81">
        <f ca="1">IFERROR(__xludf.DUMMYFUNCTION("IMPORTRANGE(""https://docs.google.com/spreadsheets/d/1xQzEtGHhTTgxHh6YUkKY1P4dRyjVhS74dGswLfAASA4/edit?usp=sharing"",""ชัยภูมิ!I460"")"),0)</f>
        <v>0</v>
      </c>
      <c r="S34" s="81">
        <f ca="1">IFERROR(__xludf.DUMMYFUNCTION("IMPORTRANGE(""https://docs.google.com/spreadsheets/d/1xQzEtGHhTTgxHh6YUkKY1P4dRyjVhS74dGswLfAASA4/edit?usp=sharing"",""ชัยภูมิ!J460"")"),0)</f>
        <v>0</v>
      </c>
      <c r="T34" s="82">
        <f t="shared" ca="1" si="21"/>
        <v>0</v>
      </c>
      <c r="U34" s="81">
        <f ca="1">IFERROR(__xludf.DUMMYFUNCTION("IMPORTRANGE(""https://docs.google.com/spreadsheets/d/1xQzEtGHhTTgxHh6YUkKY1P4dRyjVhS74dGswLfAASA4/edit?usp=sharing"",""ชัยภูมิ!I462"")"),0)</f>
        <v>0</v>
      </c>
      <c r="V34" s="81">
        <f ca="1">IFERROR(__xludf.DUMMYFUNCTION("IMPORTRANGE(""https://docs.google.com/spreadsheets/d/1xQzEtGHhTTgxHh6YUkKY1P4dRyjVhS74dGswLfAASA4/edit?usp=sharing"",""ชัยภูมิ!J462"")"),0)</f>
        <v>0</v>
      </c>
      <c r="W34" s="82">
        <f t="shared" ca="1" si="22"/>
        <v>0</v>
      </c>
      <c r="X34" s="81">
        <f ca="1">IFERROR(__xludf.DUMMYFUNCTION("IMPORTRANGE(""https://docs.google.com/spreadsheets/d/1xQzEtGHhTTgxHh6YUkKY1P4dRyjVhS74dGswLfAASA4/edit?usp=sharing"",""ชัยภูมิ!I463"")"),0)</f>
        <v>0</v>
      </c>
      <c r="Y34" s="81">
        <f ca="1">IFERROR(__xludf.DUMMYFUNCTION("IMPORTRANGE(""https://docs.google.com/spreadsheets/d/1xQzEtGHhTTgxHh6YUkKY1P4dRyjVhS74dGswLfAASA4/edit?usp=sharing"",""ชัยภูมิ!I464"")"),0)</f>
        <v>0</v>
      </c>
      <c r="Z34" s="81">
        <f ca="1">IFERROR(__xludf.DUMMYFUNCTION("IMPORTRANGE(""https://docs.google.com/spreadsheets/d/1xQzEtGHhTTgxHh6YUkKY1P4dRyjVhS74dGswLfAASA4/edit?usp=sharing"",""ชัยภูมิ!J463"")"),0)</f>
        <v>0</v>
      </c>
      <c r="AA34" s="82">
        <f t="shared" ca="1" si="23"/>
        <v>0</v>
      </c>
      <c r="AB34" s="81">
        <f ca="1">IFERROR(__xludf.DUMMYFUNCTION("IMPORTRANGE(""https://docs.google.com/spreadsheets/d/1xQzEtGHhTTgxHh6YUkKY1P4dRyjVhS74dGswLfAASA4/edit?usp=sharing"",""ชัยภูมิ!J464"")"),0)</f>
        <v>0</v>
      </c>
      <c r="AC34" s="82">
        <f t="shared" ca="1" si="13"/>
        <v>0</v>
      </c>
    </row>
    <row r="35" spans="1:29" ht="21" customHeight="1" x14ac:dyDescent="0.2">
      <c r="A35" s="72">
        <v>4</v>
      </c>
      <c r="B35" s="73" t="s">
        <v>52</v>
      </c>
      <c r="C35" s="74">
        <f t="shared" ca="1" si="39"/>
        <v>312680</v>
      </c>
      <c r="D35" s="75">
        <f ca="1">IFERROR(__xludf.DUMMYFUNCTION("IMPORTRANGE(""https://docs.google.com/spreadsheets/d/1EXMBoBxU3OFbjT2TRpneM33qFjqDzrKmn9ydcflfI0o/edit?usp=sharing"",""นครพนม!L449"")"),312680)</f>
        <v>312680</v>
      </c>
      <c r="E35" s="76">
        <f ca="1">IFERROR(__xludf.DUMMYFUNCTION("IMPORTRANGE(""https://docs.google.com/spreadsheets/d/1EXMBoBxU3OFbjT2TRpneM33qFjqDzrKmn9ydcflfI0o/edit?usp=sharing"",""นครพนม!L456"")"),0)</f>
        <v>0</v>
      </c>
      <c r="F35" s="77">
        <f t="shared" ca="1" si="1"/>
        <v>94210</v>
      </c>
      <c r="G35" s="78">
        <f t="shared" ca="1" si="2"/>
        <v>30.129845209159523</v>
      </c>
      <c r="H35" s="79">
        <f t="shared" ca="1" si="40"/>
        <v>94210</v>
      </c>
      <c r="I35" s="76">
        <f ca="1">IFERROR(__xludf.DUMMYFUNCTION("IMPORTRANGE(""https://docs.google.com/spreadsheets/d/1EXMBoBxU3OFbjT2TRpneM33qFjqDzrKmn9ydcflfI0o/edit?usp=sharing"",""นครพนม!N450"")"),18530)</f>
        <v>18530</v>
      </c>
      <c r="J35" s="76">
        <f ca="1">IFERROR(__xludf.DUMMYFUNCTION("IMPORTRANGE(""https://docs.google.com/spreadsheets/d/1EXMBoBxU3OFbjT2TRpneM33qFjqDzrKmn9ydcflfI0o/edit?usp=sharing"",""นครพนม!N451"")"),24100)</f>
        <v>24100</v>
      </c>
      <c r="K35" s="76">
        <f ca="1">IFERROR(__xludf.DUMMYFUNCTION("IMPORTRANGE(""https://docs.google.com/spreadsheets/d/1EXMBoBxU3OFbjT2TRpneM33qFjqDzrKmn9ydcflfI0o/edit?usp=sharing"",""นครพนม!N452"")"),51580)</f>
        <v>51580</v>
      </c>
      <c r="L35" s="76">
        <f ca="1">IFERROR(__xludf.DUMMYFUNCTION("IMPORTRANGE(""https://docs.google.com/spreadsheets/d/1EXMBoBxU3OFbjT2TRpneM33qFjqDzrKmn9ydcflfI0o/edit?usp=sharing"",""นครพนม!N453"")"),0)</f>
        <v>0</v>
      </c>
      <c r="M35" s="80">
        <f ca="1">IFERROR(__xludf.DUMMYFUNCTION("IMPORTRANGE(""https://docs.google.com/spreadsheets/d/1EXMBoBxU3OFbjT2TRpneM33qFjqDzrKmn9ydcflfI0o/edit?usp=sharing"",""นครพนม!N456"")"),0)</f>
        <v>0</v>
      </c>
      <c r="N35" s="80">
        <f t="shared" ca="1" si="26"/>
        <v>0</v>
      </c>
      <c r="O35" s="81">
        <f ca="1">IFERROR(__xludf.DUMMYFUNCTION("IMPORTRANGE(""https://docs.google.com/spreadsheets/d/1EXMBoBxU3OFbjT2TRpneM33qFjqDzrKmn9ydcflfI0o/edit?usp=sharing"",""นครพนม!I458"")"),0)</f>
        <v>0</v>
      </c>
      <c r="P35" s="81">
        <f ca="1">IFERROR(__xludf.DUMMYFUNCTION("IMPORTRANGE(""https://docs.google.com/spreadsheets/d/1EXMBoBxU3OFbjT2TRpneM33qFjqDzrKmn9ydcflfI0o/edit?usp=sharing"",""นครพนม!J458"")"),0)</f>
        <v>0</v>
      </c>
      <c r="Q35" s="82">
        <f t="shared" ca="1" si="20"/>
        <v>0</v>
      </c>
      <c r="R35" s="81">
        <f ca="1">IFERROR(__xludf.DUMMYFUNCTION("IMPORTRANGE(""https://docs.google.com/spreadsheets/d/1EXMBoBxU3OFbjT2TRpneM33qFjqDzrKmn9ydcflfI0o/edit?usp=sharing"",""นครพนม!I460"")"),40)</f>
        <v>40</v>
      </c>
      <c r="S35" s="81">
        <f ca="1">IFERROR(__xludf.DUMMYFUNCTION("IMPORTRANGE(""https://docs.google.com/spreadsheets/d/1EXMBoBxU3OFbjT2TRpneM33qFjqDzrKmn9ydcflfI0o/edit?usp=sharing"",""นครพนม!J460"")"),40)</f>
        <v>40</v>
      </c>
      <c r="T35" s="82">
        <f t="shared" ca="1" si="21"/>
        <v>100</v>
      </c>
      <c r="U35" s="81">
        <f ca="1">IFERROR(__xludf.DUMMYFUNCTION("IMPORTRANGE(""https://docs.google.com/spreadsheets/d/1EXMBoBxU3OFbjT2TRpneM33qFjqDzrKmn9ydcflfI0o/edit?usp=sharing"",""นครพนม!I462"")"),80)</f>
        <v>80</v>
      </c>
      <c r="V35" s="81">
        <f ca="1">IFERROR(__xludf.DUMMYFUNCTION("IMPORTRANGE(""https://docs.google.com/spreadsheets/d/1EXMBoBxU3OFbjT2TRpneM33qFjqDzrKmn9ydcflfI0o/edit?usp=sharing"",""นครพนม!J462"")"),80)</f>
        <v>80</v>
      </c>
      <c r="W35" s="82">
        <f t="shared" ca="1" si="22"/>
        <v>100</v>
      </c>
      <c r="X35" s="81">
        <f ca="1">IFERROR(__xludf.DUMMYFUNCTION("IMPORTRANGE(""https://docs.google.com/spreadsheets/d/1EXMBoBxU3OFbjT2TRpneM33qFjqDzrKmn9ydcflfI0o/edit?usp=sharing"",""นครพนม!I463"")"),80)</f>
        <v>80</v>
      </c>
      <c r="Y35" s="81">
        <f ca="1">IFERROR(__xludf.DUMMYFUNCTION("IMPORTRANGE(""https://docs.google.com/spreadsheets/d/1EXMBoBxU3OFbjT2TRpneM33qFjqDzrKmn9ydcflfI0o/edit?usp=sharing"",""นครพนม!I464"")"),40)</f>
        <v>40</v>
      </c>
      <c r="Z35" s="81">
        <f ca="1">IFERROR(__xludf.DUMMYFUNCTION("IMPORTRANGE(""https://docs.google.com/spreadsheets/d/1EXMBoBxU3OFbjT2TRpneM33qFjqDzrKmn9ydcflfI0o/edit?usp=sharing"",""นครพนม!J463"")"),0)</f>
        <v>0</v>
      </c>
      <c r="AA35" s="82">
        <f t="shared" ca="1" si="23"/>
        <v>0</v>
      </c>
      <c r="AB35" s="81">
        <f ca="1">IFERROR(__xludf.DUMMYFUNCTION("IMPORTRANGE(""https://docs.google.com/spreadsheets/d/1EXMBoBxU3OFbjT2TRpneM33qFjqDzrKmn9ydcflfI0o/edit?usp=sharing"",""นครพนม!J464"")"),0)</f>
        <v>0</v>
      </c>
      <c r="AC35" s="82">
        <f t="shared" ca="1" si="13"/>
        <v>0</v>
      </c>
    </row>
    <row r="36" spans="1:29" ht="21" customHeight="1" x14ac:dyDescent="0.2">
      <c r="A36" s="72">
        <v>5</v>
      </c>
      <c r="B36" s="73" t="s">
        <v>53</v>
      </c>
      <c r="C36" s="74">
        <f t="shared" ca="1" si="39"/>
        <v>444200</v>
      </c>
      <c r="D36" s="75">
        <f ca="1">IFERROR(__xludf.DUMMYFUNCTION("IMPORTRANGE(""https://docs.google.com/spreadsheets/d/1bDQrolntRWtHumK8W-x-HXKntwxB9S3sF5aDeRS66Ko/edit?usp=sharing"",""นครราชสีมา!L449"")"),444200)</f>
        <v>444200</v>
      </c>
      <c r="E36" s="76">
        <f ca="1">IFERROR(__xludf.DUMMYFUNCTION("IMPORTRANGE(""https://docs.google.com/spreadsheets/d/1bDQrolntRWtHumK8W-x-HXKntwxB9S3sF5aDeRS66Ko/edit?usp=sharing"",""นครราชสีมา!L456"")"),0)</f>
        <v>0</v>
      </c>
      <c r="F36" s="77">
        <f t="shared" ca="1" si="1"/>
        <v>343945.01</v>
      </c>
      <c r="G36" s="78">
        <f t="shared" ca="1" si="2"/>
        <v>77.430213867627188</v>
      </c>
      <c r="H36" s="79">
        <f t="shared" ca="1" si="40"/>
        <v>343945.01</v>
      </c>
      <c r="I36" s="76">
        <f ca="1">IFERROR(__xludf.DUMMYFUNCTION("IMPORTRANGE(""https://docs.google.com/spreadsheets/d/1bDQrolntRWtHumK8W-x-HXKntwxB9S3sF5aDeRS66Ko/edit?usp=sharing"",""นครราชสีมา!N450"")"),126025)</f>
        <v>126025</v>
      </c>
      <c r="J36" s="76">
        <f ca="1">IFERROR(__xludf.DUMMYFUNCTION("IMPORTRANGE(""https://docs.google.com/spreadsheets/d/1bDQrolntRWtHumK8W-x-HXKntwxB9S3sF5aDeRS66Ko/edit?usp=sharing"",""นครราชสีมา!N451"")"),159000)</f>
        <v>159000</v>
      </c>
      <c r="K36" s="76">
        <f ca="1">IFERROR(__xludf.DUMMYFUNCTION("IMPORTRANGE(""https://docs.google.com/spreadsheets/d/1bDQrolntRWtHumK8W-x-HXKntwxB9S3sF5aDeRS66Ko/edit?usp=sharing"",""นครราชสีมา!N452"")"),50700.01)</f>
        <v>50700.01</v>
      </c>
      <c r="L36" s="76">
        <f ca="1">IFERROR(__xludf.DUMMYFUNCTION("IMPORTRANGE(""https://docs.google.com/spreadsheets/d/1bDQrolntRWtHumK8W-x-HXKntwxB9S3sF5aDeRS66Ko/edit?usp=sharing"",""นครราชสีมา!N453"")"),8220)</f>
        <v>8220</v>
      </c>
      <c r="M36" s="80">
        <f ca="1">IFERROR(__xludf.DUMMYFUNCTION("IMPORTRANGE(""https://docs.google.com/spreadsheets/d/1bDQrolntRWtHumK8W-x-HXKntwxB9S3sF5aDeRS66Ko/edit?usp=sharing"",""นครราชสีมา!N456"")"),0)</f>
        <v>0</v>
      </c>
      <c r="N36" s="80">
        <f t="shared" ca="1" si="26"/>
        <v>0</v>
      </c>
      <c r="O36" s="81">
        <f ca="1">IFERROR(__xludf.DUMMYFUNCTION("IMPORTRANGE(""https://docs.google.com/spreadsheets/d/1bDQrolntRWtHumK8W-x-HXKntwxB9S3sF5aDeRS66Ko/edit?usp=sharing"",""นครราชสีมา!I458"")"),0)</f>
        <v>0</v>
      </c>
      <c r="P36" s="81">
        <f ca="1">IFERROR(__xludf.DUMMYFUNCTION("IMPORTRANGE(""https://docs.google.com/spreadsheets/d/1bDQrolntRWtHumK8W-x-HXKntwxB9S3sF5aDeRS66Ko/edit?usp=sharing"",""นครราชสีมา!J458"")"),0)</f>
        <v>0</v>
      </c>
      <c r="Q36" s="82">
        <f t="shared" ca="1" si="20"/>
        <v>0</v>
      </c>
      <c r="R36" s="81">
        <f ca="1">IFERROR(__xludf.DUMMYFUNCTION("IMPORTRANGE(""https://docs.google.com/spreadsheets/d/1bDQrolntRWtHumK8W-x-HXKntwxB9S3sF5aDeRS66Ko/edit?usp=sharing"",""นครราชสีมา!I460"")"),70)</f>
        <v>70</v>
      </c>
      <c r="S36" s="81">
        <f ca="1">IFERROR(__xludf.DUMMYFUNCTION("IMPORTRANGE(""https://docs.google.com/spreadsheets/d/1bDQrolntRWtHumK8W-x-HXKntwxB9S3sF5aDeRS66Ko/edit?usp=sharing"",""นครราชสีมา!J460"")"),70)</f>
        <v>70</v>
      </c>
      <c r="T36" s="82">
        <f t="shared" ca="1" si="21"/>
        <v>100</v>
      </c>
      <c r="U36" s="81">
        <f ca="1">IFERROR(__xludf.DUMMYFUNCTION("IMPORTRANGE(""https://docs.google.com/spreadsheets/d/1bDQrolntRWtHumK8W-x-HXKntwxB9S3sF5aDeRS66Ko/edit?usp=sharing"",""นครราชสีมา!I462"")"),140)</f>
        <v>140</v>
      </c>
      <c r="V36" s="81">
        <f ca="1">IFERROR(__xludf.DUMMYFUNCTION("IMPORTRANGE(""https://docs.google.com/spreadsheets/d/1bDQrolntRWtHumK8W-x-HXKntwxB9S3sF5aDeRS66Ko/edit?usp=sharing"",""นครราชสีมา!J462"")"),140)</f>
        <v>140</v>
      </c>
      <c r="W36" s="82">
        <f t="shared" ca="1" si="22"/>
        <v>100</v>
      </c>
      <c r="X36" s="81">
        <f ca="1">IFERROR(__xludf.DUMMYFUNCTION("IMPORTRANGE(""https://docs.google.com/spreadsheets/d/1bDQrolntRWtHumK8W-x-HXKntwxB9S3sF5aDeRS66Ko/edit?usp=sharing"",""นครราชสีมา!I463"")"),140)</f>
        <v>140</v>
      </c>
      <c r="Y36" s="81">
        <f ca="1">IFERROR(__xludf.DUMMYFUNCTION("IMPORTRANGE(""https://docs.google.com/spreadsheets/d/1bDQrolntRWtHumK8W-x-HXKntwxB9S3sF5aDeRS66Ko/edit?usp=sharing"",""นครราชสีมา!I464"")"),70)</f>
        <v>70</v>
      </c>
      <c r="Z36" s="81">
        <f ca="1">IFERROR(__xludf.DUMMYFUNCTION("IMPORTRANGE(""https://docs.google.com/spreadsheets/d/1bDQrolntRWtHumK8W-x-HXKntwxB9S3sF5aDeRS66Ko/edit?usp=sharing"",""นครราชสีมา!J463"")"),140)</f>
        <v>140</v>
      </c>
      <c r="AA36" s="82">
        <f t="shared" ca="1" si="23"/>
        <v>100</v>
      </c>
      <c r="AB36" s="81">
        <f ca="1">IFERROR(__xludf.DUMMYFUNCTION("IMPORTRANGE(""https://docs.google.com/spreadsheets/d/1bDQrolntRWtHumK8W-x-HXKntwxB9S3sF5aDeRS66Ko/edit?usp=sharing"",""นครราชสีมา!J464"")"),70)</f>
        <v>70</v>
      </c>
      <c r="AC36" s="82">
        <f t="shared" ca="1" si="13"/>
        <v>100</v>
      </c>
    </row>
    <row r="37" spans="1:29" ht="21" customHeight="1" x14ac:dyDescent="0.2">
      <c r="A37" s="72">
        <v>6</v>
      </c>
      <c r="B37" s="73" t="s">
        <v>54</v>
      </c>
      <c r="C37" s="74">
        <f t="shared" ca="1" si="39"/>
        <v>503280</v>
      </c>
      <c r="D37" s="75">
        <f ca="1">IFERROR(__xludf.DUMMYFUNCTION("IMPORTRANGE(""https://docs.google.com/spreadsheets/d/1_MzZ-2gVPiCW-d2VcafoCmFJQTSrZ6SQyFcMqRRQQ2w/edit?usp=sharing"",""บึงกาฬ!L449"")"),503280)</f>
        <v>503280</v>
      </c>
      <c r="E37" s="76">
        <f ca="1">IFERROR(__xludf.DUMMYFUNCTION("IMPORTRANGE(""https://docs.google.com/spreadsheets/d/1_MzZ-2gVPiCW-d2VcafoCmFJQTSrZ6SQyFcMqRRQQ2w/edit?usp=sharing"",""บึงกาฬ!L456"")"),0)</f>
        <v>0</v>
      </c>
      <c r="F37" s="77">
        <f t="shared" ca="1" si="1"/>
        <v>84546</v>
      </c>
      <c r="G37" s="78">
        <f t="shared" ca="1" si="2"/>
        <v>16.798998569384835</v>
      </c>
      <c r="H37" s="79">
        <f t="shared" ca="1" si="40"/>
        <v>84546</v>
      </c>
      <c r="I37" s="76">
        <f ca="1">IFERROR(__xludf.DUMMYFUNCTION("IMPORTRANGE(""https://docs.google.com/spreadsheets/d/1_MzZ-2gVPiCW-d2VcafoCmFJQTSrZ6SQyFcMqRRQQ2w/edit?usp=sharing"",""บึงกาฬ!N450"")"),0)</f>
        <v>0</v>
      </c>
      <c r="J37" s="76">
        <f ca="1">IFERROR(__xludf.DUMMYFUNCTION("IMPORTRANGE(""https://docs.google.com/spreadsheets/d/1_MzZ-2gVPiCW-d2VcafoCmFJQTSrZ6SQyFcMqRRQQ2w/edit?usp=sharing"",""บึงกาฬ!N451"")"),0)</f>
        <v>0</v>
      </c>
      <c r="K37" s="76">
        <f ca="1">IFERROR(__xludf.DUMMYFUNCTION("IMPORTRANGE(""https://docs.google.com/spreadsheets/d/1_MzZ-2gVPiCW-d2VcafoCmFJQTSrZ6SQyFcMqRRQQ2w/edit?usp=sharing"",""บึงกาฬ!N452"")"),49886)</f>
        <v>49886</v>
      </c>
      <c r="L37" s="76">
        <f ca="1">IFERROR(__xludf.DUMMYFUNCTION("IMPORTRANGE(""https://docs.google.com/spreadsheets/d/1_MzZ-2gVPiCW-d2VcafoCmFJQTSrZ6SQyFcMqRRQQ2w/edit?usp=sharing"",""บึงกาฬ!N453"")"),34660)</f>
        <v>34660</v>
      </c>
      <c r="M37" s="80">
        <f ca="1">IFERROR(__xludf.DUMMYFUNCTION("IMPORTRANGE(""https://docs.google.com/spreadsheets/d/1_MzZ-2gVPiCW-d2VcafoCmFJQTSrZ6SQyFcMqRRQQ2w/edit?usp=sharing"",""บึงกาฬ!N456"")"),0)</f>
        <v>0</v>
      </c>
      <c r="N37" s="80">
        <f t="shared" ca="1" si="26"/>
        <v>0</v>
      </c>
      <c r="O37" s="81">
        <f ca="1">IFERROR(__xludf.DUMMYFUNCTION("IMPORTRANGE(""https://docs.google.com/spreadsheets/d/1_MzZ-2gVPiCW-d2VcafoCmFJQTSrZ6SQyFcMqRRQQ2w/edit?usp=sharing"",""บึงกาฬ!I458"")"),0)</f>
        <v>0</v>
      </c>
      <c r="P37" s="81">
        <f ca="1">IFERROR(__xludf.DUMMYFUNCTION("IMPORTRANGE(""https://docs.google.com/spreadsheets/d/1_MzZ-2gVPiCW-d2VcafoCmFJQTSrZ6SQyFcMqRRQQ2w/edit?usp=sharing"",""บึงกาฬ!J458"")"),0)</f>
        <v>0</v>
      </c>
      <c r="Q37" s="82">
        <f t="shared" ca="1" si="20"/>
        <v>0</v>
      </c>
      <c r="R37" s="81">
        <f ca="1">IFERROR(__xludf.DUMMYFUNCTION("IMPORTRANGE(""https://docs.google.com/spreadsheets/d/1_MzZ-2gVPiCW-d2VcafoCmFJQTSrZ6SQyFcMqRRQQ2w/edit?usp=sharing"",""บึงกาฬ!I460"")"),100)</f>
        <v>100</v>
      </c>
      <c r="S37" s="81">
        <f ca="1">IFERROR(__xludf.DUMMYFUNCTION("IMPORTRANGE(""https://docs.google.com/spreadsheets/d/1_MzZ-2gVPiCW-d2VcafoCmFJQTSrZ6SQyFcMqRRQQ2w/edit?usp=sharing"",""บึงกาฬ!J460"")"),50)</f>
        <v>50</v>
      </c>
      <c r="T37" s="82">
        <f t="shared" ca="1" si="21"/>
        <v>50</v>
      </c>
      <c r="U37" s="81">
        <f ca="1">IFERROR(__xludf.DUMMYFUNCTION("IMPORTRANGE(""https://docs.google.com/spreadsheets/d/1_MzZ-2gVPiCW-d2VcafoCmFJQTSrZ6SQyFcMqRRQQ2w/edit?usp=sharing"",""บึงกาฬ!I462"")"),150)</f>
        <v>150</v>
      </c>
      <c r="V37" s="81">
        <f ca="1">IFERROR(__xludf.DUMMYFUNCTION("IMPORTRANGE(""https://docs.google.com/spreadsheets/d/1_MzZ-2gVPiCW-d2VcafoCmFJQTSrZ6SQyFcMqRRQQ2w/edit?usp=sharing"",""บึงกาฬ!J462"")"),0)</f>
        <v>0</v>
      </c>
      <c r="W37" s="82">
        <f t="shared" ca="1" si="22"/>
        <v>0</v>
      </c>
      <c r="X37" s="81">
        <f ca="1">IFERROR(__xludf.DUMMYFUNCTION("IMPORTRANGE(""https://docs.google.com/spreadsheets/d/1_MzZ-2gVPiCW-d2VcafoCmFJQTSrZ6SQyFcMqRRQQ2w/edit?usp=sharing"",""บึงกาฬ!I463"")"),150)</f>
        <v>150</v>
      </c>
      <c r="Y37" s="81">
        <f ca="1">IFERROR(__xludf.DUMMYFUNCTION("IMPORTRANGE(""https://docs.google.com/spreadsheets/d/1_MzZ-2gVPiCW-d2VcafoCmFJQTSrZ6SQyFcMqRRQQ2w/edit?usp=sharing"",""บึงกาฬ!I464"")"),100)</f>
        <v>100</v>
      </c>
      <c r="Z37" s="81">
        <f ca="1">IFERROR(__xludf.DUMMYFUNCTION("IMPORTRANGE(""https://docs.google.com/spreadsheets/d/1_MzZ-2gVPiCW-d2VcafoCmFJQTSrZ6SQyFcMqRRQQ2w/edit?usp=sharing"",""บึงกาฬ!J463"")"),0)</f>
        <v>0</v>
      </c>
      <c r="AA37" s="82">
        <f t="shared" ca="1" si="23"/>
        <v>0</v>
      </c>
      <c r="AB37" s="81">
        <f ca="1">IFERROR(__xludf.DUMMYFUNCTION("IMPORTRANGE(""https://docs.google.com/spreadsheets/d/1_MzZ-2gVPiCW-d2VcafoCmFJQTSrZ6SQyFcMqRRQQ2w/edit?usp=sharing"",""บึงกาฬ!J464"")"),0)</f>
        <v>0</v>
      </c>
      <c r="AC37" s="82">
        <f t="shared" ca="1" si="13"/>
        <v>0</v>
      </c>
    </row>
    <row r="38" spans="1:29" ht="21" customHeight="1" x14ac:dyDescent="0.2">
      <c r="A38" s="72">
        <v>7</v>
      </c>
      <c r="B38" s="73" t="s">
        <v>55</v>
      </c>
      <c r="C38" s="74">
        <f t="shared" ca="1" si="39"/>
        <v>717500</v>
      </c>
      <c r="D38" s="75">
        <f ca="1">IFERROR(__xludf.DUMMYFUNCTION("IMPORTRANGE(""https://docs.google.com/spreadsheets/d/1B3lPpzOuaNwVItLwLEZYl_qEblfcx7dRnbRkAw0l-pE/edit?usp=sharing"",""บุรีรัมย์!L449"")"),717500)</f>
        <v>717500</v>
      </c>
      <c r="E38" s="76">
        <f ca="1">IFERROR(__xludf.DUMMYFUNCTION("IMPORTRANGE(""https://docs.google.com/spreadsheets/d/1B3lPpzOuaNwVItLwLEZYl_qEblfcx7dRnbRkAw0l-pE/edit?usp=sharing"",""บุรีรัมย์!L456"")"),0)</f>
        <v>0</v>
      </c>
      <c r="F38" s="77">
        <f t="shared" ca="1" si="1"/>
        <v>52000</v>
      </c>
      <c r="G38" s="78">
        <f t="shared" ca="1" si="2"/>
        <v>7.2473867595818815</v>
      </c>
      <c r="H38" s="79">
        <f t="shared" ca="1" si="40"/>
        <v>52000</v>
      </c>
      <c r="I38" s="76">
        <f ca="1">IFERROR(__xludf.DUMMYFUNCTION("IMPORTRANGE(""https://docs.google.com/spreadsheets/d/1B3lPpzOuaNwVItLwLEZYl_qEblfcx7dRnbRkAw0l-pE/edit?usp=sharing"",""บุรีรัมย์!N450"")"),0)</f>
        <v>0</v>
      </c>
      <c r="J38" s="76">
        <f ca="1">IFERROR(__xludf.DUMMYFUNCTION("IMPORTRANGE(""https://docs.google.com/spreadsheets/d/1B3lPpzOuaNwVItLwLEZYl_qEblfcx7dRnbRkAw0l-pE/edit?usp=sharing"",""บุรีรัมย์!N451"")"),0)</f>
        <v>0</v>
      </c>
      <c r="K38" s="76">
        <f ca="1">IFERROR(__xludf.DUMMYFUNCTION("IMPORTRANGE(""https://docs.google.com/spreadsheets/d/1B3lPpzOuaNwVItLwLEZYl_qEblfcx7dRnbRkAw0l-pE/edit?usp=sharing"",""บุรีรัมย์!N452"")"),52000)</f>
        <v>52000</v>
      </c>
      <c r="L38" s="76">
        <f ca="1">IFERROR(__xludf.DUMMYFUNCTION("IMPORTRANGE(""https://docs.google.com/spreadsheets/d/1B3lPpzOuaNwVItLwLEZYl_qEblfcx7dRnbRkAw0l-pE/edit?usp=sharing"",""บุรีรัมย์!N453"")"),0)</f>
        <v>0</v>
      </c>
      <c r="M38" s="80">
        <f ca="1">IFERROR(__xludf.DUMMYFUNCTION("IMPORTRANGE(""https://docs.google.com/spreadsheets/d/1B3lPpzOuaNwVItLwLEZYl_qEblfcx7dRnbRkAw0l-pE/edit?usp=sharing"",""บุรีรัมย์!N456"")"),0)</f>
        <v>0</v>
      </c>
      <c r="N38" s="80">
        <f t="shared" ca="1" si="26"/>
        <v>0</v>
      </c>
      <c r="O38" s="81">
        <f ca="1">IFERROR(__xludf.DUMMYFUNCTION("IMPORTRANGE(""https://docs.google.com/spreadsheets/d/1B3lPpzOuaNwVItLwLEZYl_qEblfcx7dRnbRkAw0l-pE/edit?usp=sharing"",""บุรีรัมย์!I458"")"),0)</f>
        <v>0</v>
      </c>
      <c r="P38" s="81">
        <f ca="1">IFERROR(__xludf.DUMMYFUNCTION("IMPORTRANGE(""https://docs.google.com/spreadsheets/d/1B3lPpzOuaNwVItLwLEZYl_qEblfcx7dRnbRkAw0l-pE/edit?usp=sharing"",""บุรีรัมย์!J458"")"),0)</f>
        <v>0</v>
      </c>
      <c r="Q38" s="82">
        <f t="shared" ca="1" si="20"/>
        <v>0</v>
      </c>
      <c r="R38" s="81">
        <f ca="1">IFERROR(__xludf.DUMMYFUNCTION("IMPORTRANGE(""https://docs.google.com/spreadsheets/d/1B3lPpzOuaNwVItLwLEZYl_qEblfcx7dRnbRkAw0l-pE/edit?usp=sharing"",""บุรีรัมย์!I460"")"),55)</f>
        <v>55</v>
      </c>
      <c r="S38" s="81">
        <f ca="1">IFERROR(__xludf.DUMMYFUNCTION("IMPORTRANGE(""https://docs.google.com/spreadsheets/d/1B3lPpzOuaNwVItLwLEZYl_qEblfcx7dRnbRkAw0l-pE/edit?usp=sharing"",""บุรีรัมย์!J460"")"),0)</f>
        <v>0</v>
      </c>
      <c r="T38" s="82">
        <f t="shared" ca="1" si="21"/>
        <v>0</v>
      </c>
      <c r="U38" s="81">
        <f ca="1">IFERROR(__xludf.DUMMYFUNCTION("IMPORTRANGE(""https://docs.google.com/spreadsheets/d/1B3lPpzOuaNwVItLwLEZYl_qEblfcx7dRnbRkAw0l-pE/edit?usp=sharing"",""บุรีรัมย์!I462"")"),550)</f>
        <v>550</v>
      </c>
      <c r="V38" s="81">
        <f ca="1">IFERROR(__xludf.DUMMYFUNCTION("IMPORTRANGE(""https://docs.google.com/spreadsheets/d/1B3lPpzOuaNwVItLwLEZYl_qEblfcx7dRnbRkAw0l-pE/edit?usp=sharing"",""บุรีรัมย์!J462"")"),0)</f>
        <v>0</v>
      </c>
      <c r="W38" s="82">
        <f t="shared" ca="1" si="22"/>
        <v>0</v>
      </c>
      <c r="X38" s="81">
        <f ca="1">IFERROR(__xludf.DUMMYFUNCTION("IMPORTRANGE(""https://docs.google.com/spreadsheets/d/1B3lPpzOuaNwVItLwLEZYl_qEblfcx7dRnbRkAw0l-pE/edit?usp=sharing"",""บุรีรัมย์!I463"")"),550)</f>
        <v>550</v>
      </c>
      <c r="Y38" s="81">
        <f ca="1">IFERROR(__xludf.DUMMYFUNCTION("IMPORTRANGE(""https://docs.google.com/spreadsheets/d/1B3lPpzOuaNwVItLwLEZYl_qEblfcx7dRnbRkAw0l-pE/edit?usp=sharing"",""บุรีรัมย์!I464"")"),55)</f>
        <v>55</v>
      </c>
      <c r="Z38" s="81">
        <f ca="1">IFERROR(__xludf.DUMMYFUNCTION("IMPORTRANGE(""https://docs.google.com/spreadsheets/d/1B3lPpzOuaNwVItLwLEZYl_qEblfcx7dRnbRkAw0l-pE/edit?usp=sharing"",""บุรีรัมย์!J463"")"),0)</f>
        <v>0</v>
      </c>
      <c r="AA38" s="82">
        <f t="shared" ca="1" si="23"/>
        <v>0</v>
      </c>
      <c r="AB38" s="81">
        <f ca="1">IFERROR(__xludf.DUMMYFUNCTION("IMPORTRANGE(""https://docs.google.com/spreadsheets/d/1B3lPpzOuaNwVItLwLEZYl_qEblfcx7dRnbRkAw0l-pE/edit?usp=sharing"",""บุรีรัมย์!J464"")"),0)</f>
        <v>0</v>
      </c>
      <c r="AC38" s="82">
        <f t="shared" ca="1" si="13"/>
        <v>0</v>
      </c>
    </row>
    <row r="39" spans="1:29" ht="21" customHeight="1" x14ac:dyDescent="0.2">
      <c r="A39" s="72">
        <v>8</v>
      </c>
      <c r="B39" s="73" t="s">
        <v>56</v>
      </c>
      <c r="C39" s="74">
        <f t="shared" ca="1" si="39"/>
        <v>614288</v>
      </c>
      <c r="D39" s="75">
        <f ca="1">IFERROR(__xludf.DUMMYFUNCTION("IMPORTRANGE(""https://docs.google.com/spreadsheets/d/19GOkiOqnzYbevLYWrMk4qFOXe3rX14BkSA8X-mq-a40/edit?usp=sharing"",""มหาสารคาม!L449"")"),614288)</f>
        <v>614288</v>
      </c>
      <c r="E39" s="76">
        <f ca="1">IFERROR(__xludf.DUMMYFUNCTION("IMPORTRANGE(""https://docs.google.com/spreadsheets/d/19GOkiOqnzYbevLYWrMk4qFOXe3rX14BkSA8X-mq-a40/edit?usp=sharing"",""มหาสารคาม!L456"")"),0)</f>
        <v>0</v>
      </c>
      <c r="F39" s="77">
        <f t="shared" ca="1" si="1"/>
        <v>159640</v>
      </c>
      <c r="G39" s="78">
        <f t="shared" ca="1" si="2"/>
        <v>25.987810277915244</v>
      </c>
      <c r="H39" s="79">
        <f t="shared" ca="1" si="40"/>
        <v>159640</v>
      </c>
      <c r="I39" s="76">
        <f ca="1">IFERROR(__xludf.DUMMYFUNCTION("IMPORTRANGE(""https://docs.google.com/spreadsheets/d/19GOkiOqnzYbevLYWrMk4qFOXe3rX14BkSA8X-mq-a40/edit?usp=sharing"",""มหาสารคาม!N450"")"),86180)</f>
        <v>86180</v>
      </c>
      <c r="J39" s="76">
        <f ca="1">IFERROR(__xludf.DUMMYFUNCTION("IMPORTRANGE(""https://docs.google.com/spreadsheets/d/19GOkiOqnzYbevLYWrMk4qFOXe3rX14BkSA8X-mq-a40/edit?usp=sharing"",""มหาสารคาม!N451"")"),3500)</f>
        <v>3500</v>
      </c>
      <c r="K39" s="76">
        <f ca="1">IFERROR(__xludf.DUMMYFUNCTION("IMPORTRANGE(""https://docs.google.com/spreadsheets/d/19GOkiOqnzYbevLYWrMk4qFOXe3rX14BkSA8X-mq-a40/edit?usp=sharing"",""มหาสารคาม!N452"")"),52000)</f>
        <v>52000</v>
      </c>
      <c r="L39" s="76">
        <f ca="1">IFERROR(__xludf.DUMMYFUNCTION("IMPORTRANGE(""https://docs.google.com/spreadsheets/d/19GOkiOqnzYbevLYWrMk4qFOXe3rX14BkSA8X-mq-a40/edit?usp=sharing"",""มหาสารคาม!N453"")"),17960)</f>
        <v>17960</v>
      </c>
      <c r="M39" s="80">
        <f ca="1">IFERROR(__xludf.DUMMYFUNCTION("IMPORTRANGE(""https://docs.google.com/spreadsheets/d/19GOkiOqnzYbevLYWrMk4qFOXe3rX14BkSA8X-mq-a40/edit?usp=sharing"",""มหาสารคาม!N456"")"),0)</f>
        <v>0</v>
      </c>
      <c r="N39" s="80">
        <f t="shared" ca="1" si="26"/>
        <v>0</v>
      </c>
      <c r="O39" s="81">
        <f ca="1">IFERROR(__xludf.DUMMYFUNCTION("IMPORTRANGE(""https://docs.google.com/spreadsheets/d/19GOkiOqnzYbevLYWrMk4qFOXe3rX14BkSA8X-mq-a40/edit?usp=sharing"",""มหาสารคาม!I458"")"),0)</f>
        <v>0</v>
      </c>
      <c r="P39" s="81">
        <f ca="1">IFERROR(__xludf.DUMMYFUNCTION("IMPORTRANGE(""https://docs.google.com/spreadsheets/d/19GOkiOqnzYbevLYWrMk4qFOXe3rX14BkSA8X-mq-a40/edit?usp=sharing"",""มหาสารคาม!J458"")"),0)</f>
        <v>0</v>
      </c>
      <c r="Q39" s="82">
        <f t="shared" ca="1" si="20"/>
        <v>0</v>
      </c>
      <c r="R39" s="81">
        <f ca="1">IFERROR(__xludf.DUMMYFUNCTION("IMPORTRANGE(""https://docs.google.com/spreadsheets/d/19GOkiOqnzYbevLYWrMk4qFOXe3rX14BkSA8X-mq-a40/edit?usp=sharing"",""มหาสารคาม!I460"")"),100)</f>
        <v>100</v>
      </c>
      <c r="S39" s="81">
        <f ca="1">IFERROR(__xludf.DUMMYFUNCTION("IMPORTRANGE(""https://docs.google.com/spreadsheets/d/19GOkiOqnzYbevLYWrMk4qFOXe3rX14BkSA8X-mq-a40/edit?usp=sharing"",""มหาสารคาม!J460"")"),80)</f>
        <v>80</v>
      </c>
      <c r="T39" s="82">
        <f t="shared" ca="1" si="21"/>
        <v>80</v>
      </c>
      <c r="U39" s="81">
        <f ca="1">IFERROR(__xludf.DUMMYFUNCTION("IMPORTRANGE(""https://docs.google.com/spreadsheets/d/19GOkiOqnzYbevLYWrMk4qFOXe3rX14BkSA8X-mq-a40/edit?usp=sharing"",""มหาสารคาม!I462"")"),240)</f>
        <v>240</v>
      </c>
      <c r="V39" s="81">
        <f ca="1">IFERROR(__xludf.DUMMYFUNCTION("IMPORTRANGE(""https://docs.google.com/spreadsheets/d/19GOkiOqnzYbevLYWrMk4qFOXe3rX14BkSA8X-mq-a40/edit?usp=sharing"",""มหาสารคาม!J462"")"),200)</f>
        <v>200</v>
      </c>
      <c r="W39" s="82">
        <f t="shared" ca="1" si="22"/>
        <v>83.333333333333329</v>
      </c>
      <c r="X39" s="81">
        <f ca="1">IFERROR(__xludf.DUMMYFUNCTION("IMPORTRANGE(""https://docs.google.com/spreadsheets/d/19GOkiOqnzYbevLYWrMk4qFOXe3rX14BkSA8X-mq-a40/edit?usp=sharing"",""มหาสารคาม!I463"")"),240)</f>
        <v>240</v>
      </c>
      <c r="Y39" s="81">
        <f ca="1">IFERROR(__xludf.DUMMYFUNCTION("IMPORTRANGE(""https://docs.google.com/spreadsheets/d/19GOkiOqnzYbevLYWrMk4qFOXe3rX14BkSA8X-mq-a40/edit?usp=sharing"",""มหาสารคาม!I464"")"),100)</f>
        <v>100</v>
      </c>
      <c r="Z39" s="81">
        <f ca="1">IFERROR(__xludf.DUMMYFUNCTION("IMPORTRANGE(""https://docs.google.com/spreadsheets/d/19GOkiOqnzYbevLYWrMk4qFOXe3rX14BkSA8X-mq-a40/edit?usp=sharing"",""มหาสารคาม!J463"")"),0)</f>
        <v>0</v>
      </c>
      <c r="AA39" s="82">
        <f t="shared" ca="1" si="23"/>
        <v>0</v>
      </c>
      <c r="AB39" s="81">
        <f ca="1">IFERROR(__xludf.DUMMYFUNCTION("IMPORTRANGE(""https://docs.google.com/spreadsheets/d/19GOkiOqnzYbevLYWrMk4qFOXe3rX14BkSA8X-mq-a40/edit?usp=sharing"",""มหาสารคาม!J464"")"),0)</f>
        <v>0</v>
      </c>
      <c r="AC39" s="82">
        <f t="shared" ca="1" si="13"/>
        <v>0</v>
      </c>
    </row>
    <row r="40" spans="1:29" ht="21" customHeight="1" x14ac:dyDescent="0.2">
      <c r="A40" s="72">
        <v>9</v>
      </c>
      <c r="B40" s="73" t="s">
        <v>57</v>
      </c>
      <c r="C40" s="74">
        <f t="shared" ca="1" si="39"/>
        <v>372400</v>
      </c>
      <c r="D40" s="75">
        <f ca="1">IFERROR(__xludf.DUMMYFUNCTION("IMPORTRANGE(""https://docs.google.com/spreadsheets/d/1uMKqWwuNQ-TCKboGA3Bb1qXb5uj2-faACNUINCz8PN4/edit?usp=sharing"",""มุกดาหาร!L449"")"),372400)</f>
        <v>372400</v>
      </c>
      <c r="E40" s="76">
        <f ca="1">IFERROR(__xludf.DUMMYFUNCTION("IMPORTRANGE(""https://docs.google.com/spreadsheets/d/1uMKqWwuNQ-TCKboGA3Bb1qXb5uj2-faACNUINCz8PN4/edit?usp=sharing"",""มุกดาหาร!L456"")"),0)</f>
        <v>0</v>
      </c>
      <c r="F40" s="77">
        <f t="shared" ca="1" si="1"/>
        <v>96640</v>
      </c>
      <c r="G40" s="78">
        <f t="shared" ca="1" si="2"/>
        <v>25.950590762620838</v>
      </c>
      <c r="H40" s="79">
        <f t="shared" ca="1" si="40"/>
        <v>96640</v>
      </c>
      <c r="I40" s="76">
        <f ca="1">IFERROR(__xludf.DUMMYFUNCTION("IMPORTRANGE(""https://docs.google.com/spreadsheets/d/1uMKqWwuNQ-TCKboGA3Bb1qXb5uj2-faACNUINCz8PN4/edit?usp=sharing"",""มุกดาหาร!N450"")"),38110)</f>
        <v>38110</v>
      </c>
      <c r="J40" s="76">
        <f ca="1">IFERROR(__xludf.DUMMYFUNCTION("IMPORTRANGE(""https://docs.google.com/spreadsheets/d/1uMKqWwuNQ-TCKboGA3Bb1qXb5uj2-faACNUINCz8PN4/edit?usp=sharing"",""มุกดาหาร!N451"")"),0)</f>
        <v>0</v>
      </c>
      <c r="K40" s="76">
        <f ca="1">IFERROR(__xludf.DUMMYFUNCTION("IMPORTRANGE(""https://docs.google.com/spreadsheets/d/1uMKqWwuNQ-TCKboGA3Bb1qXb5uj2-faACNUINCz8PN4/edit?usp=sharing"",""มุกดาหาร!N452"")"),52000)</f>
        <v>52000</v>
      </c>
      <c r="L40" s="76">
        <f ca="1">IFERROR(__xludf.DUMMYFUNCTION("IMPORTRANGE(""https://docs.google.com/spreadsheets/d/1uMKqWwuNQ-TCKboGA3Bb1qXb5uj2-faACNUINCz8PN4/edit?usp=sharing"",""มุกดาหาร!N453"")"),6530)</f>
        <v>6530</v>
      </c>
      <c r="M40" s="80">
        <f ca="1">IFERROR(__xludf.DUMMYFUNCTION("IMPORTRANGE(""https://docs.google.com/spreadsheets/d/1uMKqWwuNQ-TCKboGA3Bb1qXb5uj2-faACNUINCz8PN4/edit?usp=sharing"",""มุกดาหาร!N456"")"),0)</f>
        <v>0</v>
      </c>
      <c r="N40" s="80">
        <f t="shared" ca="1" si="26"/>
        <v>0</v>
      </c>
      <c r="O40" s="81">
        <f ca="1">IFERROR(__xludf.DUMMYFUNCTION("IMPORTRANGE(""https://docs.google.com/spreadsheets/d/1uMKqWwuNQ-TCKboGA3Bb1qXb5uj2-faACNUINCz8PN4/edit?usp=sharing"",""มุกดาหาร!I458"")"),0)</f>
        <v>0</v>
      </c>
      <c r="P40" s="81">
        <f ca="1">IFERROR(__xludf.DUMMYFUNCTION("IMPORTRANGE(""https://docs.google.com/spreadsheets/d/1uMKqWwuNQ-TCKboGA3Bb1qXb5uj2-faACNUINCz8PN4/edit?usp=sharing"",""มุกดาหาร!J458"")"),0)</f>
        <v>0</v>
      </c>
      <c r="Q40" s="82">
        <f t="shared" ca="1" si="20"/>
        <v>0</v>
      </c>
      <c r="R40" s="81">
        <f ca="1">IFERROR(__xludf.DUMMYFUNCTION("IMPORTRANGE(""https://docs.google.com/spreadsheets/d/1uMKqWwuNQ-TCKboGA3Bb1qXb5uj2-faACNUINCz8PN4/edit?usp=sharing"",""มุกดาหาร!I460"")"),50)</f>
        <v>50</v>
      </c>
      <c r="S40" s="81">
        <f ca="1">IFERROR(__xludf.DUMMYFUNCTION("IMPORTRANGE(""https://docs.google.com/spreadsheets/d/1uMKqWwuNQ-TCKboGA3Bb1qXb5uj2-faACNUINCz8PN4/edit?usp=sharing"",""มุกดาหาร!J460"")"),50)</f>
        <v>50</v>
      </c>
      <c r="T40" s="82">
        <f t="shared" ca="1" si="21"/>
        <v>100</v>
      </c>
      <c r="U40" s="81">
        <f ca="1">IFERROR(__xludf.DUMMYFUNCTION("IMPORTRANGE(""https://docs.google.com/spreadsheets/d/1uMKqWwuNQ-TCKboGA3Bb1qXb5uj2-faACNUINCz8PN4/edit?usp=sharing"",""มุกดาหาร!I462"")"),120)</f>
        <v>120</v>
      </c>
      <c r="V40" s="81">
        <f ca="1">IFERROR(__xludf.DUMMYFUNCTION("IMPORTRANGE(""https://docs.google.com/spreadsheets/d/1uMKqWwuNQ-TCKboGA3Bb1qXb5uj2-faACNUINCz8PN4/edit?usp=sharing"",""มุกดาหาร!J462"")"),120)</f>
        <v>120</v>
      </c>
      <c r="W40" s="82">
        <f t="shared" ca="1" si="22"/>
        <v>100</v>
      </c>
      <c r="X40" s="81">
        <f ca="1">IFERROR(__xludf.DUMMYFUNCTION("IMPORTRANGE(""https://docs.google.com/spreadsheets/d/1uMKqWwuNQ-TCKboGA3Bb1qXb5uj2-faACNUINCz8PN4/edit?usp=sharing"",""มุกดาหาร!I463"")"),120)</f>
        <v>120</v>
      </c>
      <c r="Y40" s="81">
        <f ca="1">IFERROR(__xludf.DUMMYFUNCTION("IMPORTRANGE(""https://docs.google.com/spreadsheets/d/1uMKqWwuNQ-TCKboGA3Bb1qXb5uj2-faACNUINCz8PN4/edit?usp=sharing"",""มุกดาหาร!I464"")"),50)</f>
        <v>50</v>
      </c>
      <c r="Z40" s="81">
        <f ca="1">IFERROR(__xludf.DUMMYFUNCTION("IMPORTRANGE(""https://docs.google.com/spreadsheets/d/1uMKqWwuNQ-TCKboGA3Bb1qXb5uj2-faACNUINCz8PN4/edit?usp=sharing"",""มุกดาหาร!J463"")"),0)</f>
        <v>0</v>
      </c>
      <c r="AA40" s="82">
        <f t="shared" ca="1" si="23"/>
        <v>0</v>
      </c>
      <c r="AB40" s="81">
        <f ca="1">IFERROR(__xludf.DUMMYFUNCTION("IMPORTRANGE(""https://docs.google.com/spreadsheets/d/1uMKqWwuNQ-TCKboGA3Bb1qXb5uj2-faACNUINCz8PN4/edit?usp=sharing"",""มุกดาหาร!J464"")"),0)</f>
        <v>0</v>
      </c>
      <c r="AC40" s="82">
        <f t="shared" ca="1" si="13"/>
        <v>0</v>
      </c>
    </row>
    <row r="41" spans="1:29" ht="21" customHeight="1" x14ac:dyDescent="0.2">
      <c r="A41" s="72">
        <v>10</v>
      </c>
      <c r="B41" s="73" t="s">
        <v>58</v>
      </c>
      <c r="C41" s="74">
        <f t="shared" ca="1" si="39"/>
        <v>616680</v>
      </c>
      <c r="D41" s="75">
        <f ca="1">IFERROR(__xludf.DUMMYFUNCTION("IMPORTRANGE(""https://docs.google.com/spreadsheets/d/1oKaccgDdQABndOzGr688Dbfxb_V3YcF67VqEPBtdzsc/edit?usp=sharing"",""ยโสธร!L449"")"),616680)</f>
        <v>616680</v>
      </c>
      <c r="E41" s="76">
        <f ca="1">IFERROR(__xludf.DUMMYFUNCTION("IMPORTRANGE(""https://docs.google.com/spreadsheets/d/1oKaccgDdQABndOzGr688Dbfxb_V3YcF67VqEPBtdzsc/edit?usp=sharing"",""ยโสธร!L456"")"),0)</f>
        <v>0</v>
      </c>
      <c r="F41" s="77">
        <f t="shared" ca="1" si="1"/>
        <v>103786</v>
      </c>
      <c r="G41" s="78">
        <f t="shared" ca="1" si="2"/>
        <v>16.829798274631901</v>
      </c>
      <c r="H41" s="79">
        <f t="shared" ca="1" si="40"/>
        <v>103786</v>
      </c>
      <c r="I41" s="76">
        <f ca="1">IFERROR(__xludf.DUMMYFUNCTION("IMPORTRANGE(""https://docs.google.com/spreadsheets/d/1oKaccgDdQABndOzGr688Dbfxb_V3YcF67VqEPBtdzsc/edit?usp=sharing"",""ยโสธร!N450"")"),49360)</f>
        <v>49360</v>
      </c>
      <c r="J41" s="76">
        <f ca="1">IFERROR(__xludf.DUMMYFUNCTION("IMPORTRANGE(""https://docs.google.com/spreadsheets/d/1oKaccgDdQABndOzGr688Dbfxb_V3YcF67VqEPBtdzsc/edit?usp=sharing"",""ยโสธร!N451"")"),0)</f>
        <v>0</v>
      </c>
      <c r="K41" s="76">
        <f ca="1">IFERROR(__xludf.DUMMYFUNCTION("IMPORTRANGE(""https://docs.google.com/spreadsheets/d/1oKaccgDdQABndOzGr688Dbfxb_V3YcF67VqEPBtdzsc/edit?usp=sharing"",""ยโสธร!N452"")"),38566)</f>
        <v>38566</v>
      </c>
      <c r="L41" s="76">
        <f ca="1">IFERROR(__xludf.DUMMYFUNCTION("IMPORTRANGE(""https://docs.google.com/spreadsheets/d/1oKaccgDdQABndOzGr688Dbfxb_V3YcF67VqEPBtdzsc/edit?usp=sharing"",""ยโสธร!N453"")"),15860)</f>
        <v>15860</v>
      </c>
      <c r="M41" s="80">
        <f ca="1">IFERROR(__xludf.DUMMYFUNCTION("IMPORTRANGE(""https://docs.google.com/spreadsheets/d/1oKaccgDdQABndOzGr688Dbfxb_V3YcF67VqEPBtdzsc/edit?usp=sharing"",""ยโสธร!N456"")"),0)</f>
        <v>0</v>
      </c>
      <c r="N41" s="80">
        <f t="shared" ca="1" si="26"/>
        <v>0</v>
      </c>
      <c r="O41" s="81">
        <f ca="1">IFERROR(__xludf.DUMMYFUNCTION("IMPORTRANGE(""https://docs.google.com/spreadsheets/d/1oKaccgDdQABndOzGr688Dbfxb_V3YcF67VqEPBtdzsc/edit?usp=sharing"",""ยโสธร!I458"")"),0)</f>
        <v>0</v>
      </c>
      <c r="P41" s="81">
        <f ca="1">IFERROR(__xludf.DUMMYFUNCTION("IMPORTRANGE(""https://docs.google.com/spreadsheets/d/1oKaccgDdQABndOzGr688Dbfxb_V3YcF67VqEPBtdzsc/edit?usp=sharing"",""ยโสธร!J458"")"),0)</f>
        <v>0</v>
      </c>
      <c r="Q41" s="82">
        <f t="shared" ca="1" si="20"/>
        <v>0</v>
      </c>
      <c r="R41" s="81">
        <f ca="1">IFERROR(__xludf.DUMMYFUNCTION("IMPORTRANGE(""https://docs.google.com/spreadsheets/d/1oKaccgDdQABndOzGr688Dbfxb_V3YcF67VqEPBtdzsc/edit?usp=sharing"",""ยโสธร!I460"")"),100)</f>
        <v>100</v>
      </c>
      <c r="S41" s="81">
        <f ca="1">IFERROR(__xludf.DUMMYFUNCTION("IMPORTRANGE(""https://docs.google.com/spreadsheets/d/1oKaccgDdQABndOzGr688Dbfxb_V3YcF67VqEPBtdzsc/edit?usp=sharing"",""ยโสธร!J460"")"),100)</f>
        <v>100</v>
      </c>
      <c r="T41" s="82">
        <f t="shared" ca="1" si="21"/>
        <v>100</v>
      </c>
      <c r="U41" s="81">
        <f ca="1">IFERROR(__xludf.DUMMYFUNCTION("IMPORTRANGE(""https://docs.google.com/spreadsheets/d/1oKaccgDdQABndOzGr688Dbfxb_V3YcF67VqEPBtdzsc/edit?usp=sharing"",""ยโสธร!I462"")"),280)</f>
        <v>280</v>
      </c>
      <c r="V41" s="81">
        <f ca="1">IFERROR(__xludf.DUMMYFUNCTION("IMPORTRANGE(""https://docs.google.com/spreadsheets/d/1oKaccgDdQABndOzGr688Dbfxb_V3YcF67VqEPBtdzsc/edit?usp=sharing"",""ยโสธร!J462"")"),280)</f>
        <v>280</v>
      </c>
      <c r="W41" s="82">
        <f t="shared" ca="1" si="22"/>
        <v>100</v>
      </c>
      <c r="X41" s="81">
        <f ca="1">IFERROR(__xludf.DUMMYFUNCTION("IMPORTRANGE(""https://docs.google.com/spreadsheets/d/1oKaccgDdQABndOzGr688Dbfxb_V3YcF67VqEPBtdzsc/edit?usp=sharing"",""ยโสธร!I463"")"),280)</f>
        <v>280</v>
      </c>
      <c r="Y41" s="81">
        <f ca="1">IFERROR(__xludf.DUMMYFUNCTION("IMPORTRANGE(""https://docs.google.com/spreadsheets/d/1oKaccgDdQABndOzGr688Dbfxb_V3YcF67VqEPBtdzsc/edit?usp=sharing"",""ยโสธร!I464"")"),100)</f>
        <v>100</v>
      </c>
      <c r="Z41" s="81">
        <f ca="1">IFERROR(__xludf.DUMMYFUNCTION("IMPORTRANGE(""https://docs.google.com/spreadsheets/d/1oKaccgDdQABndOzGr688Dbfxb_V3YcF67VqEPBtdzsc/edit?usp=sharing"",""ยโสธร!J463"")"),0)</f>
        <v>0</v>
      </c>
      <c r="AA41" s="82">
        <f t="shared" ca="1" si="23"/>
        <v>0</v>
      </c>
      <c r="AB41" s="81">
        <f ca="1">IFERROR(__xludf.DUMMYFUNCTION("IMPORTRANGE(""https://docs.google.com/spreadsheets/d/1oKaccgDdQABndOzGr688Dbfxb_V3YcF67VqEPBtdzsc/edit?usp=sharing"",""ยโสธร!J464"")"),0)</f>
        <v>0</v>
      </c>
      <c r="AC41" s="82">
        <f t="shared" ca="1" si="13"/>
        <v>0</v>
      </c>
    </row>
    <row r="42" spans="1:29" ht="21" customHeight="1" x14ac:dyDescent="0.2">
      <c r="A42" s="72">
        <v>11</v>
      </c>
      <c r="B42" s="73" t="s">
        <v>59</v>
      </c>
      <c r="C42" s="74">
        <f t="shared" ca="1" si="39"/>
        <v>688280</v>
      </c>
      <c r="D42" s="75">
        <f ca="1">IFERROR(__xludf.DUMMYFUNCTION("IMPORTRANGE(""https://docs.google.com/spreadsheets/d/1BRgc8xKpxZ0PX-gauieMVkV_IOxKSotf0yW8MabGprQ/edit?usp=sharing"",""ร้อยเอ็ด!L449"")"),688280)</f>
        <v>688280</v>
      </c>
      <c r="E42" s="76">
        <f ca="1">IFERROR(__xludf.DUMMYFUNCTION("IMPORTRANGE(""https://docs.google.com/spreadsheets/d/1BRgc8xKpxZ0PX-gauieMVkV_IOxKSotf0yW8MabGprQ/edit?usp=sharing"",""ร้อยเอ็ด!L456"")"),0)</f>
        <v>0</v>
      </c>
      <c r="F42" s="77">
        <f t="shared" ca="1" si="1"/>
        <v>584280</v>
      </c>
      <c r="G42" s="78">
        <f t="shared" ca="1" si="2"/>
        <v>84.889870401580751</v>
      </c>
      <c r="H42" s="79">
        <f t="shared" ca="1" si="40"/>
        <v>584280</v>
      </c>
      <c r="I42" s="76">
        <f ca="1">IFERROR(__xludf.DUMMYFUNCTION("IMPORTRANGE(""https://docs.google.com/spreadsheets/d/1BRgc8xKpxZ0PX-gauieMVkV_IOxKSotf0yW8MabGprQ/edit?usp=sharing"",""ร้อยเอ็ด!N450"")"),136677)</f>
        <v>136677</v>
      </c>
      <c r="J42" s="76">
        <f ca="1">IFERROR(__xludf.DUMMYFUNCTION("IMPORTRANGE(""https://docs.google.com/spreadsheets/d/1BRgc8xKpxZ0PX-gauieMVkV_IOxKSotf0yW8MabGprQ/edit?usp=sharing"",""ร้อยเอ็ด!N451"")"),350000)</f>
        <v>350000</v>
      </c>
      <c r="K42" s="76">
        <f ca="1">IFERROR(__xludf.DUMMYFUNCTION("IMPORTRANGE(""https://docs.google.com/spreadsheets/d/1BRgc8xKpxZ0PX-gauieMVkV_IOxKSotf0yW8MabGprQ/edit?usp=sharing"",""ร้อยเอ็ด!N452"")"),39000)</f>
        <v>39000</v>
      </c>
      <c r="L42" s="76">
        <f ca="1">IFERROR(__xludf.DUMMYFUNCTION("IMPORTRANGE(""https://docs.google.com/spreadsheets/d/1BRgc8xKpxZ0PX-gauieMVkV_IOxKSotf0yW8MabGprQ/edit?usp=sharing"",""ร้อยเอ็ด!N453"")"),58603)</f>
        <v>58603</v>
      </c>
      <c r="M42" s="80">
        <f ca="1">IFERROR(__xludf.DUMMYFUNCTION("IMPORTRANGE(""https://docs.google.com/spreadsheets/d/1BRgc8xKpxZ0PX-gauieMVkV_IOxKSotf0yW8MabGprQ/edit?usp=sharing"",""ร้อยเอ็ด!N456"")"),0)</f>
        <v>0</v>
      </c>
      <c r="N42" s="80">
        <f t="shared" ca="1" si="26"/>
        <v>0</v>
      </c>
      <c r="O42" s="81">
        <f ca="1">IFERROR(__xludf.DUMMYFUNCTION("IMPORTRANGE(""https://docs.google.com/spreadsheets/d/1BRgc8xKpxZ0PX-gauieMVkV_IOxKSotf0yW8MabGprQ/edit?usp=sharing"",""ร้อยเอ็ด!I458"")"),0)</f>
        <v>0</v>
      </c>
      <c r="P42" s="81">
        <f ca="1">IFERROR(__xludf.DUMMYFUNCTION("IMPORTRANGE(""https://docs.google.com/spreadsheets/d/1BRgc8xKpxZ0PX-gauieMVkV_IOxKSotf0yW8MabGprQ/edit?usp=sharing"",""ร้อยเอ็ด!J458"")"),0)</f>
        <v>0</v>
      </c>
      <c r="Q42" s="82">
        <f t="shared" ca="1" si="20"/>
        <v>0</v>
      </c>
      <c r="R42" s="81">
        <f ca="1">IFERROR(__xludf.DUMMYFUNCTION("IMPORTRANGE(""https://docs.google.com/spreadsheets/d/1BRgc8xKpxZ0PX-gauieMVkV_IOxKSotf0yW8MabGprQ/edit?usp=sharing"",""ร้อยเอ็ด!I460"")"),100)</f>
        <v>100</v>
      </c>
      <c r="S42" s="81">
        <f ca="1">IFERROR(__xludf.DUMMYFUNCTION("IMPORTRANGE(""https://docs.google.com/spreadsheets/d/1BRgc8xKpxZ0PX-gauieMVkV_IOxKSotf0yW8MabGprQ/edit?usp=sharing"",""ร้อยเอ็ด!J460"")"),100)</f>
        <v>100</v>
      </c>
      <c r="T42" s="82">
        <f t="shared" ca="1" si="21"/>
        <v>100</v>
      </c>
      <c r="U42" s="81">
        <f ca="1">IFERROR(__xludf.DUMMYFUNCTION("IMPORTRANGE(""https://docs.google.com/spreadsheets/d/1BRgc8xKpxZ0PX-gauieMVkV_IOxKSotf0yW8MabGprQ/edit?usp=sharing"",""ร้อยเอ็ด!I462"")"),400)</f>
        <v>400</v>
      </c>
      <c r="V42" s="81">
        <f ca="1">IFERROR(__xludf.DUMMYFUNCTION("IMPORTRANGE(""https://docs.google.com/spreadsheets/d/1BRgc8xKpxZ0PX-gauieMVkV_IOxKSotf0yW8MabGprQ/edit?usp=sharing"",""ร้อยเอ็ด!J462"")"),400)</f>
        <v>400</v>
      </c>
      <c r="W42" s="82">
        <f t="shared" ca="1" si="22"/>
        <v>100</v>
      </c>
      <c r="X42" s="81">
        <f ca="1">IFERROR(__xludf.DUMMYFUNCTION("IMPORTRANGE(""https://docs.google.com/spreadsheets/d/1BRgc8xKpxZ0PX-gauieMVkV_IOxKSotf0yW8MabGprQ/edit?usp=sharing"",""ร้อยเอ็ด!I463"")"),400)</f>
        <v>400</v>
      </c>
      <c r="Y42" s="81">
        <f ca="1">IFERROR(__xludf.DUMMYFUNCTION("IMPORTRANGE(""https://docs.google.com/spreadsheets/d/1BRgc8xKpxZ0PX-gauieMVkV_IOxKSotf0yW8MabGprQ/edit?usp=sharing"",""ร้อยเอ็ด!I464"")"),100)</f>
        <v>100</v>
      </c>
      <c r="Z42" s="81">
        <f ca="1">IFERROR(__xludf.DUMMYFUNCTION("IMPORTRANGE(""https://docs.google.com/spreadsheets/d/1BRgc8xKpxZ0PX-gauieMVkV_IOxKSotf0yW8MabGprQ/edit?usp=sharing"",""ร้อยเอ็ด!J463"")"),0)</f>
        <v>0</v>
      </c>
      <c r="AA42" s="82">
        <f t="shared" ca="1" si="23"/>
        <v>0</v>
      </c>
      <c r="AB42" s="81">
        <f ca="1">IFERROR(__xludf.DUMMYFUNCTION("IMPORTRANGE(""https://docs.google.com/spreadsheets/d/1BRgc8xKpxZ0PX-gauieMVkV_IOxKSotf0yW8MabGprQ/edit?usp=sharing"",""ร้อยเอ็ด!J464"")"),0)</f>
        <v>0</v>
      </c>
      <c r="AC42" s="82">
        <f t="shared" ca="1" si="13"/>
        <v>0</v>
      </c>
    </row>
    <row r="43" spans="1:29" ht="21" customHeight="1" x14ac:dyDescent="0.2">
      <c r="A43" s="72">
        <v>12</v>
      </c>
      <c r="B43" s="73" t="s">
        <v>60</v>
      </c>
      <c r="C43" s="74">
        <f t="shared" ca="1" si="39"/>
        <v>571280</v>
      </c>
      <c r="D43" s="75">
        <f ca="1">IFERROR(__xludf.DUMMYFUNCTION("IMPORTRANGE(""https://docs.google.com/spreadsheets/d/1IdolZc-dfdgMwAm_KZxYJl1sUOcIgnbGQzbWOlddedo/edit?usp=sharing"",""เลย!L449"")"),571280)</f>
        <v>571280</v>
      </c>
      <c r="E43" s="76">
        <f ca="1">IFERROR(__xludf.DUMMYFUNCTION("IMPORTRANGE(""https://docs.google.com/spreadsheets/d/1IdolZc-dfdgMwAm_KZxYJl1sUOcIgnbGQzbWOlddedo/edit?usp=sharing"",""เลย!L456"")"),0)</f>
        <v>0</v>
      </c>
      <c r="F43" s="77">
        <f t="shared" ca="1" si="1"/>
        <v>232250</v>
      </c>
      <c r="G43" s="78">
        <f t="shared" ca="1" si="2"/>
        <v>40.65432012323204</v>
      </c>
      <c r="H43" s="79">
        <f t="shared" ca="1" si="40"/>
        <v>232250</v>
      </c>
      <c r="I43" s="76">
        <f ca="1">IFERROR(__xludf.DUMMYFUNCTION("IMPORTRANGE(""https://docs.google.com/spreadsheets/d/1IdolZc-dfdgMwAm_KZxYJl1sUOcIgnbGQzbWOlddedo/edit?usp=sharing"",""เลย!N450"")"),128800)</f>
        <v>128800</v>
      </c>
      <c r="J43" s="76">
        <f ca="1">IFERROR(__xludf.DUMMYFUNCTION("IMPORTRANGE(""https://docs.google.com/spreadsheets/d/1IdolZc-dfdgMwAm_KZxYJl1sUOcIgnbGQzbWOlddedo/edit?usp=sharing"",""เลย!N451"")"),0)</f>
        <v>0</v>
      </c>
      <c r="K43" s="76">
        <f ca="1">IFERROR(__xludf.DUMMYFUNCTION("IMPORTRANGE(""https://docs.google.com/spreadsheets/d/1IdolZc-dfdgMwAm_KZxYJl1sUOcIgnbGQzbWOlddedo/edit?usp=sharing"",""เลย!N452"")"),52000)</f>
        <v>52000</v>
      </c>
      <c r="L43" s="76">
        <f ca="1">IFERROR(__xludf.DUMMYFUNCTION("IMPORTRANGE(""https://docs.google.com/spreadsheets/d/1IdolZc-dfdgMwAm_KZxYJl1sUOcIgnbGQzbWOlddedo/edit?usp=sharing"",""เลย!N453"")"),51450)</f>
        <v>51450</v>
      </c>
      <c r="M43" s="80">
        <f ca="1">IFERROR(__xludf.DUMMYFUNCTION("IMPORTRANGE(""https://docs.google.com/spreadsheets/d/1IdolZc-dfdgMwAm_KZxYJl1sUOcIgnbGQzbWOlddedo/edit?usp=sharing"",""เลย!N456"")"),0)</f>
        <v>0</v>
      </c>
      <c r="N43" s="80">
        <f t="shared" ca="1" si="26"/>
        <v>0</v>
      </c>
      <c r="O43" s="81">
        <f ca="1">IFERROR(__xludf.DUMMYFUNCTION("IMPORTRANGE(""https://docs.google.com/spreadsheets/d/1IdolZc-dfdgMwAm_KZxYJl1sUOcIgnbGQzbWOlddedo/edit?usp=sharing"",""เลย!I458"")"),0)</f>
        <v>0</v>
      </c>
      <c r="P43" s="81">
        <f ca="1">IFERROR(__xludf.DUMMYFUNCTION("IMPORTRANGE(""https://docs.google.com/spreadsheets/d/1IdolZc-dfdgMwAm_KZxYJl1sUOcIgnbGQzbWOlddedo/edit?usp=sharing"",""เลย!J458"")"),0)</f>
        <v>0</v>
      </c>
      <c r="Q43" s="82">
        <f t="shared" ca="1" si="20"/>
        <v>0</v>
      </c>
      <c r="R43" s="81">
        <f ca="1">IFERROR(__xludf.DUMMYFUNCTION("IMPORTRANGE(""https://docs.google.com/spreadsheets/d/1IdolZc-dfdgMwAm_KZxYJl1sUOcIgnbGQzbWOlddedo/edit?usp=sharing"",""เลย!I460"")"),100)</f>
        <v>100</v>
      </c>
      <c r="S43" s="81">
        <f ca="1">IFERROR(__xludf.DUMMYFUNCTION("IMPORTRANGE(""https://docs.google.com/spreadsheets/d/1IdolZc-dfdgMwAm_KZxYJl1sUOcIgnbGQzbWOlddedo/edit?usp=sharing"",""เลย!J460"")"),100)</f>
        <v>100</v>
      </c>
      <c r="T43" s="82">
        <f t="shared" ca="1" si="21"/>
        <v>100</v>
      </c>
      <c r="U43" s="81">
        <f ca="1">IFERROR(__xludf.DUMMYFUNCTION("IMPORTRANGE(""https://docs.google.com/spreadsheets/d/1IdolZc-dfdgMwAm_KZxYJl1sUOcIgnbGQzbWOlddedo/edit?usp=sharing"",""เลย!I462"")"),235)</f>
        <v>235</v>
      </c>
      <c r="V43" s="81">
        <f ca="1">IFERROR(__xludf.DUMMYFUNCTION("IMPORTRANGE(""https://docs.google.com/spreadsheets/d/1IdolZc-dfdgMwAm_KZxYJl1sUOcIgnbGQzbWOlddedo/edit?usp=sharing"",""เลย!J462"")"),235)</f>
        <v>235</v>
      </c>
      <c r="W43" s="82">
        <f t="shared" ca="1" si="22"/>
        <v>100</v>
      </c>
      <c r="X43" s="81">
        <f ca="1">IFERROR(__xludf.DUMMYFUNCTION("IMPORTRANGE(""https://docs.google.com/spreadsheets/d/1IdolZc-dfdgMwAm_KZxYJl1sUOcIgnbGQzbWOlddedo/edit?usp=sharing"",""เลย!I463"")"),235)</f>
        <v>235</v>
      </c>
      <c r="Y43" s="81">
        <f ca="1">IFERROR(__xludf.DUMMYFUNCTION("IMPORTRANGE(""https://docs.google.com/spreadsheets/d/1IdolZc-dfdgMwAm_KZxYJl1sUOcIgnbGQzbWOlddedo/edit?usp=sharing"",""เลย!I464"")"),100)</f>
        <v>100</v>
      </c>
      <c r="Z43" s="81">
        <f ca="1">IFERROR(__xludf.DUMMYFUNCTION("IMPORTRANGE(""https://docs.google.com/spreadsheets/d/1IdolZc-dfdgMwAm_KZxYJl1sUOcIgnbGQzbWOlddedo/edit?usp=sharing"",""เลย!J463"")"),0)</f>
        <v>0</v>
      </c>
      <c r="AA43" s="82">
        <f t="shared" ca="1" si="23"/>
        <v>0</v>
      </c>
      <c r="AB43" s="81">
        <f ca="1">IFERROR(__xludf.DUMMYFUNCTION("IMPORTRANGE(""https://docs.google.com/spreadsheets/d/1IdolZc-dfdgMwAm_KZxYJl1sUOcIgnbGQzbWOlddedo/edit?usp=sharing"",""เลย!J464"")"),0)</f>
        <v>0</v>
      </c>
      <c r="AC43" s="82">
        <f t="shared" ca="1" si="13"/>
        <v>0</v>
      </c>
    </row>
    <row r="44" spans="1:29" ht="21" customHeight="1" x14ac:dyDescent="0.2">
      <c r="A44" s="72">
        <v>13</v>
      </c>
      <c r="B44" s="73" t="s">
        <v>61</v>
      </c>
      <c r="C44" s="74">
        <f t="shared" ca="1" si="39"/>
        <v>403680</v>
      </c>
      <c r="D44" s="75">
        <f ca="1">IFERROR(__xludf.DUMMYFUNCTION("IMPORTRANGE(""https://docs.google.com/spreadsheets/d/1tZ0nmtGuIRCaGAMXHlQU8EpR9LOAJvyKfc4f7EFmE34/edit?usp=sharing"",""ศรีสะเกษ!L449"")"),403680)</f>
        <v>403680</v>
      </c>
      <c r="E44" s="76">
        <f ca="1">IFERROR(__xludf.DUMMYFUNCTION("IMPORTRANGE(""https://docs.google.com/spreadsheets/d/1tZ0nmtGuIRCaGAMXHlQU8EpR9LOAJvyKfc4f7EFmE34/edit?usp=sharing"",""ศรีสะเกษ!L456"")"),0)</f>
        <v>0</v>
      </c>
      <c r="F44" s="77">
        <f t="shared" ca="1" si="1"/>
        <v>151430</v>
      </c>
      <c r="G44" s="78">
        <f t="shared" ca="1" si="2"/>
        <v>37.512386048355133</v>
      </c>
      <c r="H44" s="79">
        <f t="shared" ca="1" si="40"/>
        <v>151430</v>
      </c>
      <c r="I44" s="76">
        <f ca="1">IFERROR(__xludf.DUMMYFUNCTION("IMPORTRANGE(""https://docs.google.com/spreadsheets/d/1tZ0nmtGuIRCaGAMXHlQU8EpR9LOAJvyKfc4f7EFmE34/edit?usp=sharing"",""ศรีสะเกษ!N450"")"),36190)</f>
        <v>36190</v>
      </c>
      <c r="J44" s="76">
        <f ca="1">IFERROR(__xludf.DUMMYFUNCTION("IMPORTRANGE(""https://docs.google.com/spreadsheets/d/1tZ0nmtGuIRCaGAMXHlQU8EpR9LOAJvyKfc4f7EFmE34/edit?usp=sharing"",""ศรีสะเกษ!N451"")"),61400)</f>
        <v>61400</v>
      </c>
      <c r="K44" s="76">
        <f ca="1">IFERROR(__xludf.DUMMYFUNCTION("IMPORTRANGE(""https://docs.google.com/spreadsheets/d/1tZ0nmtGuIRCaGAMXHlQU8EpR9LOAJvyKfc4f7EFmE34/edit?usp=sharing"",""ศรีสะเกษ!N452"")"),52000)</f>
        <v>52000</v>
      </c>
      <c r="L44" s="76">
        <f ca="1">IFERROR(__xludf.DUMMYFUNCTION("IMPORTRANGE(""https://docs.google.com/spreadsheets/d/1tZ0nmtGuIRCaGAMXHlQU8EpR9LOAJvyKfc4f7EFmE34/edit?usp=sharing"",""ศรีสะเกษ!N453"")"),1840)</f>
        <v>1840</v>
      </c>
      <c r="M44" s="80">
        <f ca="1">IFERROR(__xludf.DUMMYFUNCTION("IMPORTRANGE(""https://docs.google.com/spreadsheets/d/1tZ0nmtGuIRCaGAMXHlQU8EpR9LOAJvyKfc4f7EFmE34/edit?usp=sharing"",""ศรีสะเกษ!N456"")"),0)</f>
        <v>0</v>
      </c>
      <c r="N44" s="80">
        <f t="shared" ca="1" si="26"/>
        <v>0</v>
      </c>
      <c r="O44" s="81">
        <f ca="1">IFERROR(__xludf.DUMMYFUNCTION("IMPORTRANGE(""https://docs.google.com/spreadsheets/d/1tZ0nmtGuIRCaGAMXHlQU8EpR9LOAJvyKfc4f7EFmE34/edit?usp=sharing"",""ศรีสะเกษ!I458"")"),0)</f>
        <v>0</v>
      </c>
      <c r="P44" s="81">
        <f ca="1">IFERROR(__xludf.DUMMYFUNCTION("IMPORTRANGE(""https://docs.google.com/spreadsheets/d/1tZ0nmtGuIRCaGAMXHlQU8EpR9LOAJvyKfc4f7EFmE34/edit?usp=sharing"",""ศรีสะเกษ!J458"")"),0)</f>
        <v>0</v>
      </c>
      <c r="Q44" s="82">
        <f t="shared" ca="1" si="20"/>
        <v>0</v>
      </c>
      <c r="R44" s="81">
        <f ca="1">IFERROR(__xludf.DUMMYFUNCTION("IMPORTRANGE(""https://docs.google.com/spreadsheets/d/1tZ0nmtGuIRCaGAMXHlQU8EpR9LOAJvyKfc4f7EFmE34/edit?usp=sharing"",""ศรีสะเกษ!I460"")"),40)</f>
        <v>40</v>
      </c>
      <c r="S44" s="81">
        <f ca="1">IFERROR(__xludf.DUMMYFUNCTION("IMPORTRANGE(""https://docs.google.com/spreadsheets/d/1tZ0nmtGuIRCaGAMXHlQU8EpR9LOAJvyKfc4f7EFmE34/edit?usp=sharing"",""ศรีสะเกษ!J460"")"),40)</f>
        <v>40</v>
      </c>
      <c r="T44" s="82">
        <f t="shared" ca="1" si="21"/>
        <v>100</v>
      </c>
      <c r="U44" s="81">
        <f ca="1">IFERROR(__xludf.DUMMYFUNCTION("IMPORTRANGE(""https://docs.google.com/spreadsheets/d/1tZ0nmtGuIRCaGAMXHlQU8EpR9LOAJvyKfc4f7EFmE34/edit?usp=sharing"",""ศรีสะเกษ!I462"")"),200)</f>
        <v>200</v>
      </c>
      <c r="V44" s="81">
        <f ca="1">IFERROR(__xludf.DUMMYFUNCTION("IMPORTRANGE(""https://docs.google.com/spreadsheets/d/1tZ0nmtGuIRCaGAMXHlQU8EpR9LOAJvyKfc4f7EFmE34/edit?usp=sharing"",""ศรีสะเกษ!J462"")"),200)</f>
        <v>200</v>
      </c>
      <c r="W44" s="82">
        <f t="shared" ca="1" si="22"/>
        <v>100</v>
      </c>
      <c r="X44" s="81">
        <f ca="1">IFERROR(__xludf.DUMMYFUNCTION("IMPORTRANGE(""https://docs.google.com/spreadsheets/d/1tZ0nmtGuIRCaGAMXHlQU8EpR9LOAJvyKfc4f7EFmE34/edit?usp=sharing"",""ศรีสะเกษ!I463"")"),200)</f>
        <v>200</v>
      </c>
      <c r="Y44" s="81">
        <f ca="1">IFERROR(__xludf.DUMMYFUNCTION("IMPORTRANGE(""https://docs.google.com/spreadsheets/d/1tZ0nmtGuIRCaGAMXHlQU8EpR9LOAJvyKfc4f7EFmE34/edit?usp=sharing"",""ศรีสะเกษ!I464"")"),40)</f>
        <v>40</v>
      </c>
      <c r="Z44" s="81">
        <f ca="1">IFERROR(__xludf.DUMMYFUNCTION("IMPORTRANGE(""https://docs.google.com/spreadsheets/d/1tZ0nmtGuIRCaGAMXHlQU8EpR9LOAJvyKfc4f7EFmE34/edit?usp=sharing"",""ศรีสะเกษ!J463"")"),0)</f>
        <v>0</v>
      </c>
      <c r="AA44" s="82">
        <f t="shared" ca="1" si="23"/>
        <v>0</v>
      </c>
      <c r="AB44" s="81">
        <f ca="1">IFERROR(__xludf.DUMMYFUNCTION("IMPORTRANGE(""https://docs.google.com/spreadsheets/d/1tZ0nmtGuIRCaGAMXHlQU8EpR9LOAJvyKfc4f7EFmE34/edit?usp=sharing"",""ศรีสะเกษ!J464"")"),0)</f>
        <v>0</v>
      </c>
      <c r="AC44" s="82">
        <f t="shared" ca="1" si="13"/>
        <v>0</v>
      </c>
    </row>
    <row r="45" spans="1:29" ht="21" customHeight="1" x14ac:dyDescent="0.2">
      <c r="A45" s="72">
        <v>14</v>
      </c>
      <c r="B45" s="73" t="s">
        <v>62</v>
      </c>
      <c r="C45" s="74">
        <f t="shared" ca="1" si="39"/>
        <v>468800</v>
      </c>
      <c r="D45" s="75">
        <f ca="1">IFERROR(__xludf.DUMMYFUNCTION("IMPORTRANGE(""https://docs.google.com/spreadsheets/d/1QC8psz9w0f9IVE9Xuc2FT_btkaOzZbbUSgYObpBuetM/edit?usp=sharing"",""สกลนคร!L449"")"),468800)</f>
        <v>468800</v>
      </c>
      <c r="E45" s="76">
        <f ca="1">IFERROR(__xludf.DUMMYFUNCTION("IMPORTRANGE(""https://docs.google.com/spreadsheets/d/1QC8psz9w0f9IVE9Xuc2FT_btkaOzZbbUSgYObpBuetM/edit?usp=sharing"",""สกลนคร!L456"")"),0)</f>
        <v>0</v>
      </c>
      <c r="F45" s="77">
        <f t="shared" ca="1" si="1"/>
        <v>111280</v>
      </c>
      <c r="G45" s="78">
        <f t="shared" ca="1" si="2"/>
        <v>23.737201365187712</v>
      </c>
      <c r="H45" s="79">
        <f t="shared" ca="1" si="40"/>
        <v>111280</v>
      </c>
      <c r="I45" s="76">
        <f ca="1">IFERROR(__xludf.DUMMYFUNCTION("IMPORTRANGE(""https://docs.google.com/spreadsheets/d/1QC8psz9w0f9IVE9Xuc2FT_btkaOzZbbUSgYObpBuetM/edit?usp=sharing"",""สกลนคร!N450"")"),56000)</f>
        <v>56000</v>
      </c>
      <c r="J45" s="76">
        <f ca="1">IFERROR(__xludf.DUMMYFUNCTION("IMPORTRANGE(""https://docs.google.com/spreadsheets/d/1QC8psz9w0f9IVE9Xuc2FT_btkaOzZbbUSgYObpBuetM/edit?usp=sharing"",""สกลนคร!N451"")"),0)</f>
        <v>0</v>
      </c>
      <c r="K45" s="76">
        <f ca="1">IFERROR(__xludf.DUMMYFUNCTION("IMPORTRANGE(""https://docs.google.com/spreadsheets/d/1QC8psz9w0f9IVE9Xuc2FT_btkaOzZbbUSgYObpBuetM/edit?usp=sharing"",""สกลนคร!N452"")"),39000)</f>
        <v>39000</v>
      </c>
      <c r="L45" s="76">
        <f ca="1">IFERROR(__xludf.DUMMYFUNCTION("IMPORTRANGE(""https://docs.google.com/spreadsheets/d/1QC8psz9w0f9IVE9Xuc2FT_btkaOzZbbUSgYObpBuetM/edit?usp=sharing"",""สกลนคร!N453"")"),16280)</f>
        <v>16280</v>
      </c>
      <c r="M45" s="80">
        <f ca="1">IFERROR(__xludf.DUMMYFUNCTION("IMPORTRANGE(""https://docs.google.com/spreadsheets/d/1QC8psz9w0f9IVE9Xuc2FT_btkaOzZbbUSgYObpBuetM/edit?usp=sharing"",""สกลนคร!N456"")"),0)</f>
        <v>0</v>
      </c>
      <c r="N45" s="80">
        <f t="shared" ca="1" si="26"/>
        <v>0</v>
      </c>
      <c r="O45" s="81">
        <f ca="1">IFERROR(__xludf.DUMMYFUNCTION("IMPORTRANGE(""https://docs.google.com/spreadsheets/d/1QC8psz9w0f9IVE9Xuc2FT_btkaOzZbbUSgYObpBuetM/edit?usp=sharing"",""สกลนคร!I458"")"),0)</f>
        <v>0</v>
      </c>
      <c r="P45" s="81">
        <f ca="1">IFERROR(__xludf.DUMMYFUNCTION("IMPORTRANGE(""https://docs.google.com/spreadsheets/d/1QC8psz9w0f9IVE9Xuc2FT_btkaOzZbbUSgYObpBuetM/edit?usp=sharing"",""สกลนคร!J458"")"),0)</f>
        <v>0</v>
      </c>
      <c r="Q45" s="82">
        <f t="shared" ca="1" si="20"/>
        <v>0</v>
      </c>
      <c r="R45" s="81">
        <f ca="1">IFERROR(__xludf.DUMMYFUNCTION("IMPORTRANGE(""https://docs.google.com/spreadsheets/d/1QC8psz9w0f9IVE9Xuc2FT_btkaOzZbbUSgYObpBuetM/edit?usp=sharing"",""สกลนคร!I460"")"),70)</f>
        <v>70</v>
      </c>
      <c r="S45" s="81">
        <f ca="1">IFERROR(__xludf.DUMMYFUNCTION("IMPORTRANGE(""https://docs.google.com/spreadsheets/d/1QC8psz9w0f9IVE9Xuc2FT_btkaOzZbbUSgYObpBuetM/edit?usp=sharing"",""สกลนคร!J460"")"),48)</f>
        <v>48</v>
      </c>
      <c r="T45" s="82">
        <f t="shared" ca="1" si="21"/>
        <v>68.571428571428569</v>
      </c>
      <c r="U45" s="81">
        <f ca="1">IFERROR(__xludf.DUMMYFUNCTION("IMPORTRANGE(""https://docs.google.com/spreadsheets/d/1QC8psz9w0f9IVE9Xuc2FT_btkaOzZbbUSgYObpBuetM/edit?usp=sharing"",""สกลนคร!I462"")"),180)</f>
        <v>180</v>
      </c>
      <c r="V45" s="81">
        <f ca="1">IFERROR(__xludf.DUMMYFUNCTION("IMPORTRANGE(""https://docs.google.com/spreadsheets/d/1QC8psz9w0f9IVE9Xuc2FT_btkaOzZbbUSgYObpBuetM/edit?usp=sharing"",""สกลนคร!J462"")"),136)</f>
        <v>136</v>
      </c>
      <c r="W45" s="82">
        <f t="shared" ca="1" si="22"/>
        <v>75.555555555555557</v>
      </c>
      <c r="X45" s="81">
        <f ca="1">IFERROR(__xludf.DUMMYFUNCTION("IMPORTRANGE(""https://docs.google.com/spreadsheets/d/1QC8psz9w0f9IVE9Xuc2FT_btkaOzZbbUSgYObpBuetM/edit?usp=sharing"",""สกลนคร!I463"")"),180)</f>
        <v>180</v>
      </c>
      <c r="Y45" s="81">
        <f ca="1">IFERROR(__xludf.DUMMYFUNCTION("IMPORTRANGE(""https://docs.google.com/spreadsheets/d/1QC8psz9w0f9IVE9Xuc2FT_btkaOzZbbUSgYObpBuetM/edit?usp=sharing"",""สกลนคร!I464"")"),70)</f>
        <v>70</v>
      </c>
      <c r="Z45" s="81">
        <f ca="1">IFERROR(__xludf.DUMMYFUNCTION("IMPORTRANGE(""https://docs.google.com/spreadsheets/d/1QC8psz9w0f9IVE9Xuc2FT_btkaOzZbbUSgYObpBuetM/edit?usp=sharing"",""สกลนคร!J463"")"),0)</f>
        <v>0</v>
      </c>
      <c r="AA45" s="82">
        <f t="shared" ca="1" si="23"/>
        <v>0</v>
      </c>
      <c r="AB45" s="81">
        <f ca="1">IFERROR(__xludf.DUMMYFUNCTION("IMPORTRANGE(""https://docs.google.com/spreadsheets/d/1QC8psz9w0f9IVE9Xuc2FT_btkaOzZbbUSgYObpBuetM/edit?usp=sharing"",""สกลนคร!J464"")"),0)</f>
        <v>0</v>
      </c>
      <c r="AC45" s="82">
        <f t="shared" ca="1" si="13"/>
        <v>0</v>
      </c>
    </row>
    <row r="46" spans="1:29" ht="21" customHeight="1" x14ac:dyDescent="0.2">
      <c r="A46" s="72">
        <v>15</v>
      </c>
      <c r="B46" s="73" t="s">
        <v>63</v>
      </c>
      <c r="C46" s="74">
        <f t="shared" ca="1" si="39"/>
        <v>181560</v>
      </c>
      <c r="D46" s="75">
        <f ca="1">IFERROR(__xludf.DUMMYFUNCTION("IMPORTRANGE(""https://docs.google.com/spreadsheets/d/1wPdvRbu02d33MYVlbsCnyTiZpefEBs9NNktAnT1HZvw/edit?usp=sharing"",""สุรินทร์!L449"")"),181560)</f>
        <v>181560</v>
      </c>
      <c r="E46" s="76">
        <f ca="1">IFERROR(__xludf.DUMMYFUNCTION("IMPORTRANGE(""https://docs.google.com/spreadsheets/d/1wPdvRbu02d33MYVlbsCnyTiZpefEBs9NNktAnT1HZvw/edit?usp=sharing"",""สุรินทร์!L456"")"),0)</f>
        <v>0</v>
      </c>
      <c r="F46" s="77">
        <f t="shared" ca="1" si="1"/>
        <v>30425</v>
      </c>
      <c r="G46" s="78">
        <f t="shared" ca="1" si="2"/>
        <v>16.757545714915178</v>
      </c>
      <c r="H46" s="79">
        <f t="shared" ca="1" si="40"/>
        <v>30425</v>
      </c>
      <c r="I46" s="76">
        <f ca="1">IFERROR(__xludf.DUMMYFUNCTION("IMPORTRANGE(""https://docs.google.com/spreadsheets/d/1wPdvRbu02d33MYVlbsCnyTiZpefEBs9NNktAnT1HZvw/edit?usp=sharing"",""สุรินทร์!N450"")"),19120)</f>
        <v>19120</v>
      </c>
      <c r="J46" s="76">
        <f ca="1">IFERROR(__xludf.DUMMYFUNCTION("IMPORTRANGE(""https://docs.google.com/spreadsheets/d/1wPdvRbu02d33MYVlbsCnyTiZpefEBs9NNktAnT1HZvw/edit?usp=sharing"",""สุรินทร์!N451"")"),0)</f>
        <v>0</v>
      </c>
      <c r="K46" s="76">
        <f ca="1">IFERROR(__xludf.DUMMYFUNCTION("IMPORTRANGE(""https://docs.google.com/spreadsheets/d/1wPdvRbu02d33MYVlbsCnyTiZpefEBs9NNktAnT1HZvw/edit?usp=sharing"",""สุรินทร์!N452"")"),0)</f>
        <v>0</v>
      </c>
      <c r="L46" s="76">
        <f ca="1">IFERROR(__xludf.DUMMYFUNCTION("IMPORTRANGE(""https://docs.google.com/spreadsheets/d/1wPdvRbu02d33MYVlbsCnyTiZpefEBs9NNktAnT1HZvw/edit?usp=sharing"",""สุรินทร์!N453"")"),11305)</f>
        <v>11305</v>
      </c>
      <c r="M46" s="80">
        <f ca="1">IFERROR(__xludf.DUMMYFUNCTION("IMPORTRANGE(""https://docs.google.com/spreadsheets/d/1wPdvRbu02d33MYVlbsCnyTiZpefEBs9NNktAnT1HZvw/edit?usp=sharing"",""สุรินทร์!N456"")"),0)</f>
        <v>0</v>
      </c>
      <c r="N46" s="80">
        <f t="shared" ca="1" si="26"/>
        <v>0</v>
      </c>
      <c r="O46" s="81">
        <f ca="1">IFERROR(__xludf.DUMMYFUNCTION("IMPORTRANGE(""https://docs.google.com/spreadsheets/d/1wPdvRbu02d33MYVlbsCnyTiZpefEBs9NNktAnT1HZvw/edit?usp=sharing"",""สุรินทร์!I458"")"),0)</f>
        <v>0</v>
      </c>
      <c r="P46" s="81">
        <f ca="1">IFERROR(__xludf.DUMMYFUNCTION("IMPORTRANGE(""https://docs.google.com/spreadsheets/d/1wPdvRbu02d33MYVlbsCnyTiZpefEBs9NNktAnT1HZvw/edit?usp=sharing"",""สุรินทร์!J458"")"),0)</f>
        <v>0</v>
      </c>
      <c r="Q46" s="82">
        <f t="shared" ca="1" si="20"/>
        <v>0</v>
      </c>
      <c r="R46" s="81">
        <f ca="1">IFERROR(__xludf.DUMMYFUNCTION("IMPORTRANGE(""https://docs.google.com/spreadsheets/d/1wPdvRbu02d33MYVlbsCnyTiZpefEBs9NNktAnT1HZvw/edit?usp=sharing"",""สุรินทร์!I460"")"),15)</f>
        <v>15</v>
      </c>
      <c r="S46" s="81">
        <f ca="1">IFERROR(__xludf.DUMMYFUNCTION("IMPORTRANGE(""https://docs.google.com/spreadsheets/d/1wPdvRbu02d33MYVlbsCnyTiZpefEBs9NNktAnT1HZvw/edit?usp=sharing"",""สุรินทร์!J460"")"),15)</f>
        <v>15</v>
      </c>
      <c r="T46" s="82">
        <f t="shared" ca="1" si="21"/>
        <v>100</v>
      </c>
      <c r="U46" s="81">
        <f ca="1">IFERROR(__xludf.DUMMYFUNCTION("IMPORTRANGE(""https://docs.google.com/spreadsheets/d/1wPdvRbu02d33MYVlbsCnyTiZpefEBs9NNktAnT1HZvw/edit?usp=sharing"",""สุรินทร์!I462"")"),150)</f>
        <v>150</v>
      </c>
      <c r="V46" s="81">
        <f ca="1">IFERROR(__xludf.DUMMYFUNCTION("IMPORTRANGE(""https://docs.google.com/spreadsheets/d/1wPdvRbu02d33MYVlbsCnyTiZpefEBs9NNktAnT1HZvw/edit?usp=sharing"",""สุรินทร์!J462"")"),150)</f>
        <v>150</v>
      </c>
      <c r="W46" s="82">
        <f t="shared" ca="1" si="22"/>
        <v>100</v>
      </c>
      <c r="X46" s="81">
        <f ca="1">IFERROR(__xludf.DUMMYFUNCTION("IMPORTRANGE(""https://docs.google.com/spreadsheets/d/1wPdvRbu02d33MYVlbsCnyTiZpefEBs9NNktAnT1HZvw/edit?usp=sharing"",""สุรินทร์!I463"")"),150)</f>
        <v>150</v>
      </c>
      <c r="Y46" s="81">
        <f ca="1">IFERROR(__xludf.DUMMYFUNCTION("IMPORTRANGE(""https://docs.google.com/spreadsheets/d/1wPdvRbu02d33MYVlbsCnyTiZpefEBs9NNktAnT1HZvw/edit?usp=sharing"",""สุรินทร์!I464"")"),15)</f>
        <v>15</v>
      </c>
      <c r="Z46" s="81">
        <f ca="1">IFERROR(__xludf.DUMMYFUNCTION("IMPORTRANGE(""https://docs.google.com/spreadsheets/d/1wPdvRbu02d33MYVlbsCnyTiZpefEBs9NNktAnT1HZvw/edit?usp=sharing"",""สุรินทร์!J463"")"),0)</f>
        <v>0</v>
      </c>
      <c r="AA46" s="82">
        <f t="shared" ca="1" si="23"/>
        <v>0</v>
      </c>
      <c r="AB46" s="81">
        <f ca="1">IFERROR(__xludf.DUMMYFUNCTION("IMPORTRANGE(""https://docs.google.com/spreadsheets/d/1wPdvRbu02d33MYVlbsCnyTiZpefEBs9NNktAnT1HZvw/edit?usp=sharing"",""สุรินทร์!J464"")"),0)</f>
        <v>0</v>
      </c>
      <c r="AC46" s="82">
        <f t="shared" ca="1" si="13"/>
        <v>0</v>
      </c>
    </row>
    <row r="47" spans="1:29" ht="21" customHeight="1" x14ac:dyDescent="0.2">
      <c r="A47" s="72">
        <v>16</v>
      </c>
      <c r="B47" s="73" t="s">
        <v>64</v>
      </c>
      <c r="C47" s="74">
        <f t="shared" ca="1" si="39"/>
        <v>733184</v>
      </c>
      <c r="D47" s="75">
        <f ca="1">IFERROR(__xludf.DUMMYFUNCTION("IMPORTRANGE(""https://docs.google.com/spreadsheets/d/1GVExpf-Exi_2gmuqTYH28fseTB9MoKPXWcXCbSt_YrM/edit?usp=sharing"",""หนองคาย!L449"")"),733184)</f>
        <v>733184</v>
      </c>
      <c r="E47" s="76">
        <f ca="1">IFERROR(__xludf.DUMMYFUNCTION("IMPORTRANGE(""https://docs.google.com/spreadsheets/d/1GVExpf-Exi_2gmuqTYH28fseTB9MoKPXWcXCbSt_YrM/edit?usp=sharing"",""หนองคาย!L456"")"),0)</f>
        <v>0</v>
      </c>
      <c r="F47" s="77">
        <f t="shared" ca="1" si="1"/>
        <v>116713.25</v>
      </c>
      <c r="G47" s="78">
        <f t="shared" ca="1" si="2"/>
        <v>15.918684804905727</v>
      </c>
      <c r="H47" s="79">
        <f t="shared" ca="1" si="40"/>
        <v>116713.25</v>
      </c>
      <c r="I47" s="76">
        <f ca="1">IFERROR(__xludf.DUMMYFUNCTION("IMPORTRANGE(""https://docs.google.com/spreadsheets/d/1GVExpf-Exi_2gmuqTYH28fseTB9MoKPXWcXCbSt_YrM/edit?usp=sharing"",""หนองคาย!N450"")"),30830)</f>
        <v>30830</v>
      </c>
      <c r="J47" s="76">
        <f ca="1">IFERROR(__xludf.DUMMYFUNCTION("IMPORTRANGE(""https://docs.google.com/spreadsheets/d/1GVExpf-Exi_2gmuqTYH28fseTB9MoKPXWcXCbSt_YrM/edit?usp=sharing"",""หนองคาย!N451"")"),0)</f>
        <v>0</v>
      </c>
      <c r="K47" s="76">
        <f ca="1">IFERROR(__xludf.DUMMYFUNCTION("IMPORTRANGE(""https://docs.google.com/spreadsheets/d/1GVExpf-Exi_2gmuqTYH28fseTB9MoKPXWcXCbSt_YrM/edit?usp=sharing"",""หนองคาย!N452"")"),49903.25)</f>
        <v>49903.25</v>
      </c>
      <c r="L47" s="76">
        <f ca="1">IFERROR(__xludf.DUMMYFUNCTION("IMPORTRANGE(""https://docs.google.com/spreadsheets/d/1GVExpf-Exi_2gmuqTYH28fseTB9MoKPXWcXCbSt_YrM/edit?usp=sharing"",""หนองคาย!N453"")"),35980)</f>
        <v>35980</v>
      </c>
      <c r="M47" s="80">
        <f ca="1">IFERROR(__xludf.DUMMYFUNCTION("IMPORTRANGE(""https://docs.google.com/spreadsheets/d/1GVExpf-Exi_2gmuqTYH28fseTB9MoKPXWcXCbSt_YrM/edit?usp=sharing"",""หนองคาย!N456"")"),0)</f>
        <v>0</v>
      </c>
      <c r="N47" s="80">
        <f t="shared" ca="1" si="26"/>
        <v>0</v>
      </c>
      <c r="O47" s="81">
        <f ca="1">IFERROR(__xludf.DUMMYFUNCTION("IMPORTRANGE(""https://docs.google.com/spreadsheets/d/1GVExpf-Exi_2gmuqTYH28fseTB9MoKPXWcXCbSt_YrM/edit?usp=sharing"",""หนองคาย!I458"")"),0)</f>
        <v>0</v>
      </c>
      <c r="P47" s="81">
        <f ca="1">IFERROR(__xludf.DUMMYFUNCTION("IMPORTRANGE(""https://docs.google.com/spreadsheets/d/1GVExpf-Exi_2gmuqTYH28fseTB9MoKPXWcXCbSt_YrM/edit?usp=sharing"",""หนองคาย!J458"")"),0)</f>
        <v>0</v>
      </c>
      <c r="Q47" s="82">
        <f t="shared" ca="1" si="20"/>
        <v>0</v>
      </c>
      <c r="R47" s="81">
        <f ca="1">IFERROR(__xludf.DUMMYFUNCTION("IMPORTRANGE(""https://docs.google.com/spreadsheets/d/1GVExpf-Exi_2gmuqTYH28fseTB9MoKPXWcXCbSt_YrM/edit?usp=sharing"",""หนองคาย!I460"")"),90)</f>
        <v>90</v>
      </c>
      <c r="S47" s="81">
        <f ca="1">IFERROR(__xludf.DUMMYFUNCTION("IMPORTRANGE(""https://docs.google.com/spreadsheets/d/1GVExpf-Exi_2gmuqTYH28fseTB9MoKPXWcXCbSt_YrM/edit?usp=sharing"",""หนองคาย!J460"")"),90)</f>
        <v>90</v>
      </c>
      <c r="T47" s="82">
        <f t="shared" ca="1" si="21"/>
        <v>100</v>
      </c>
      <c r="U47" s="81">
        <f ca="1">IFERROR(__xludf.DUMMYFUNCTION("IMPORTRANGE(""https://docs.google.com/spreadsheets/d/1GVExpf-Exi_2gmuqTYH28fseTB9MoKPXWcXCbSt_YrM/edit?usp=sharing"",""หนองคาย!I462"")"),400)</f>
        <v>400</v>
      </c>
      <c r="V47" s="81">
        <f ca="1">IFERROR(__xludf.DUMMYFUNCTION("IMPORTRANGE(""https://docs.google.com/spreadsheets/d/1GVExpf-Exi_2gmuqTYH28fseTB9MoKPXWcXCbSt_YrM/edit?usp=sharing"",""หนองคาย!J462"")"),200)</f>
        <v>200</v>
      </c>
      <c r="W47" s="82">
        <f t="shared" ca="1" si="22"/>
        <v>50</v>
      </c>
      <c r="X47" s="81">
        <f ca="1">IFERROR(__xludf.DUMMYFUNCTION("IMPORTRANGE(""https://docs.google.com/spreadsheets/d/1GVExpf-Exi_2gmuqTYH28fseTB9MoKPXWcXCbSt_YrM/edit?usp=sharing"",""หนองคาย!I463"")"),400)</f>
        <v>400</v>
      </c>
      <c r="Y47" s="81">
        <f ca="1">IFERROR(__xludf.DUMMYFUNCTION("IMPORTRANGE(""https://docs.google.com/spreadsheets/d/1GVExpf-Exi_2gmuqTYH28fseTB9MoKPXWcXCbSt_YrM/edit?usp=sharing"",""หนองคาย!I464"")"),90)</f>
        <v>90</v>
      </c>
      <c r="Z47" s="81">
        <f ca="1">IFERROR(__xludf.DUMMYFUNCTION("IMPORTRANGE(""https://docs.google.com/spreadsheets/d/1GVExpf-Exi_2gmuqTYH28fseTB9MoKPXWcXCbSt_YrM/edit?usp=sharing"",""หนองคาย!J463"")"),0)</f>
        <v>0</v>
      </c>
      <c r="AA47" s="82">
        <f t="shared" ca="1" si="23"/>
        <v>0</v>
      </c>
      <c r="AB47" s="81">
        <f ca="1">IFERROR(__xludf.DUMMYFUNCTION("IMPORTRANGE(""https://docs.google.com/spreadsheets/d/1GVExpf-Exi_2gmuqTYH28fseTB9MoKPXWcXCbSt_YrM/edit?usp=sharing"",""หนองคาย!J464"")"),0)</f>
        <v>0</v>
      </c>
      <c r="AC47" s="82">
        <f t="shared" ca="1" si="13"/>
        <v>0</v>
      </c>
    </row>
    <row r="48" spans="1:29" ht="21" customHeight="1" x14ac:dyDescent="0.2">
      <c r="A48" s="72">
        <v>17</v>
      </c>
      <c r="B48" s="73" t="s">
        <v>65</v>
      </c>
      <c r="C48" s="74">
        <f t="shared" ca="1" si="39"/>
        <v>460706</v>
      </c>
      <c r="D48" s="75">
        <f ca="1">IFERROR(__xludf.DUMMYFUNCTION("IMPORTRANGE(""https://docs.google.com/spreadsheets/d/16UeMz0UgOB5BZcoxP75eYGcLFtGYRn9GoesD4OX9m5U/edit?usp=sharing"",""หนองบัวลำภู!L449"")"),460706)</f>
        <v>460706</v>
      </c>
      <c r="E48" s="76">
        <f ca="1">IFERROR(__xludf.DUMMYFUNCTION("IMPORTRANGE(""https://docs.google.com/spreadsheets/d/16UeMz0UgOB5BZcoxP75eYGcLFtGYRn9GoesD4OX9m5U/edit?usp=sharing"",""หนองบัวลำภู!L456"")"),0)</f>
        <v>0</v>
      </c>
      <c r="F48" s="77">
        <f t="shared" ca="1" si="1"/>
        <v>173800</v>
      </c>
      <c r="G48" s="78">
        <f t="shared" ca="1" si="2"/>
        <v>37.724709467643137</v>
      </c>
      <c r="H48" s="79">
        <f t="shared" ca="1" si="40"/>
        <v>173800</v>
      </c>
      <c r="I48" s="76">
        <f ca="1">IFERROR(__xludf.DUMMYFUNCTION("IMPORTRANGE(""https://docs.google.com/spreadsheets/d/16UeMz0UgOB5BZcoxP75eYGcLFtGYRn9GoesD4OX9m5U/edit?usp=sharing"",""หนองบัวลำภู!N450"")"),44100)</f>
        <v>44100</v>
      </c>
      <c r="J48" s="76">
        <f ca="1">IFERROR(__xludf.DUMMYFUNCTION("IMPORTRANGE(""https://docs.google.com/spreadsheets/d/16UeMz0UgOB5BZcoxP75eYGcLFtGYRn9GoesD4OX9m5U/edit?usp=sharing"",""หนองบัวลำภู!N451"")"),72160)</f>
        <v>72160</v>
      </c>
      <c r="K48" s="76">
        <f ca="1">IFERROR(__xludf.DUMMYFUNCTION("IMPORTRANGE(""https://docs.google.com/spreadsheets/d/16UeMz0UgOB5BZcoxP75eYGcLFtGYRn9GoesD4OX9m5U/edit?usp=sharing"",""หนองบัวลำภู!N452"")"),52000)</f>
        <v>52000</v>
      </c>
      <c r="L48" s="76">
        <f ca="1">IFERROR(__xludf.DUMMYFUNCTION("IMPORTRANGE(""https://docs.google.com/spreadsheets/d/16UeMz0UgOB5BZcoxP75eYGcLFtGYRn9GoesD4OX9m5U/edit?usp=sharing"",""หนองบัวลำภู!N453"")"),5540)</f>
        <v>5540</v>
      </c>
      <c r="M48" s="80">
        <f ca="1">IFERROR(__xludf.DUMMYFUNCTION("IMPORTRANGE(""https://docs.google.com/spreadsheets/d/16UeMz0UgOB5BZcoxP75eYGcLFtGYRn9GoesD4OX9m5U/edit?usp=sharing"",""หนองบัวลำภู!N456"")"),0)</f>
        <v>0</v>
      </c>
      <c r="N48" s="80">
        <f t="shared" ca="1" si="26"/>
        <v>0</v>
      </c>
      <c r="O48" s="81">
        <f ca="1">IFERROR(__xludf.DUMMYFUNCTION("IMPORTRANGE(""https://docs.google.com/spreadsheets/d/16UeMz0UgOB5BZcoxP75eYGcLFtGYRn9GoesD4OX9m5U/edit?usp=sharing"",""หนองบัวลำภู!I458"")"),0)</f>
        <v>0</v>
      </c>
      <c r="P48" s="81">
        <f ca="1">IFERROR(__xludf.DUMMYFUNCTION("IMPORTRANGE(""https://docs.google.com/spreadsheets/d/16UeMz0UgOB5BZcoxP75eYGcLFtGYRn9GoesD4OX9m5U/edit?usp=sharing"",""หนองบัวลำภู!J458"")"),0)</f>
        <v>0</v>
      </c>
      <c r="Q48" s="82">
        <f t="shared" ca="1" si="20"/>
        <v>0</v>
      </c>
      <c r="R48" s="81">
        <f ca="1">IFERROR(__xludf.DUMMYFUNCTION("IMPORTRANGE(""https://docs.google.com/spreadsheets/d/16UeMz0UgOB5BZcoxP75eYGcLFtGYRn9GoesD4OX9m5U/edit?usp=sharing"",""หนองบัวลำภู!I460"")"),50)</f>
        <v>50</v>
      </c>
      <c r="S48" s="81">
        <f ca="1">IFERROR(__xludf.DUMMYFUNCTION("IMPORTRANGE(""https://docs.google.com/spreadsheets/d/16UeMz0UgOB5BZcoxP75eYGcLFtGYRn9GoesD4OX9m5U/edit?usp=sharing"",""หนองบัวลำภู!J460"")"),21)</f>
        <v>21</v>
      </c>
      <c r="T48" s="82">
        <f t="shared" ca="1" si="21"/>
        <v>42</v>
      </c>
      <c r="U48" s="81">
        <f ca="1">IFERROR(__xludf.DUMMYFUNCTION("IMPORTRANGE(""https://docs.google.com/spreadsheets/d/16UeMz0UgOB5BZcoxP75eYGcLFtGYRn9GoesD4OX9m5U/edit?usp=sharing"",""หนองบัวลำภู!I462"")"),150)</f>
        <v>150</v>
      </c>
      <c r="V48" s="81">
        <f ca="1">IFERROR(__xludf.DUMMYFUNCTION("IMPORTRANGE(""https://docs.google.com/spreadsheets/d/16UeMz0UgOB5BZcoxP75eYGcLFtGYRn9GoesD4OX9m5U/edit?usp=sharing"",""หนองบัวลำภู!J462"")"),63)</f>
        <v>63</v>
      </c>
      <c r="W48" s="82">
        <f t="shared" ca="1" si="22"/>
        <v>42</v>
      </c>
      <c r="X48" s="81">
        <f ca="1">IFERROR(__xludf.DUMMYFUNCTION("IMPORTRANGE(""https://docs.google.com/spreadsheets/d/16UeMz0UgOB5BZcoxP75eYGcLFtGYRn9GoesD4OX9m5U/edit?usp=sharing"",""หนองบัวลำภู!I463"")"),150)</f>
        <v>150</v>
      </c>
      <c r="Y48" s="81">
        <f ca="1">IFERROR(__xludf.DUMMYFUNCTION("IMPORTRANGE(""https://docs.google.com/spreadsheets/d/16UeMz0UgOB5BZcoxP75eYGcLFtGYRn9GoesD4OX9m5U/edit?usp=sharing"",""หนองบัวลำภู!I464"")"),50)</f>
        <v>50</v>
      </c>
      <c r="Z48" s="81">
        <f ca="1">IFERROR(__xludf.DUMMYFUNCTION("IMPORTRANGE(""https://docs.google.com/spreadsheets/d/16UeMz0UgOB5BZcoxP75eYGcLFtGYRn9GoesD4OX9m5U/edit?usp=sharing"",""หนองบัวลำภู!J463"")"),63)</f>
        <v>63</v>
      </c>
      <c r="AA48" s="82">
        <f t="shared" ca="1" si="23"/>
        <v>42</v>
      </c>
      <c r="AB48" s="81">
        <f ca="1">IFERROR(__xludf.DUMMYFUNCTION("IMPORTRANGE(""https://docs.google.com/spreadsheets/d/16UeMz0UgOB5BZcoxP75eYGcLFtGYRn9GoesD4OX9m5U/edit?usp=sharing"",""หนองบัวลำภู!J464"")"),21)</f>
        <v>21</v>
      </c>
      <c r="AC48" s="82">
        <f t="shared" ca="1" si="13"/>
        <v>42</v>
      </c>
    </row>
    <row r="49" spans="1:29" ht="21" customHeight="1" x14ac:dyDescent="0.2">
      <c r="A49" s="72">
        <v>18</v>
      </c>
      <c r="B49" s="73" t="s">
        <v>66</v>
      </c>
      <c r="C49" s="74">
        <f t="shared" ca="1" si="39"/>
        <v>211480</v>
      </c>
      <c r="D49" s="75">
        <f ca="1">IFERROR(__xludf.DUMMYFUNCTION("IMPORTRANGE(""https://docs.google.com/spreadsheets/d/1uUP8Zo1-qaJLuIkRU0qlwLSE3DHkbdrrj2JGJiWBQZE/edit?usp=sharing"",""อำนาจเจริญ!L449"")"),211480)</f>
        <v>211480</v>
      </c>
      <c r="E49" s="76">
        <f ca="1">IFERROR(__xludf.DUMMYFUNCTION("IMPORTRANGE(""https://docs.google.com/spreadsheets/d/1uUP8Zo1-qaJLuIkRU0qlwLSE3DHkbdrrj2JGJiWBQZE/edit?usp=sharing"",""อำนาจเจริญ!L456"")"),0)</f>
        <v>0</v>
      </c>
      <c r="F49" s="77">
        <f t="shared" ca="1" si="1"/>
        <v>26325</v>
      </c>
      <c r="G49" s="78">
        <f t="shared" ca="1" si="2"/>
        <v>12.447985625118214</v>
      </c>
      <c r="H49" s="79">
        <f t="shared" ca="1" si="40"/>
        <v>26325</v>
      </c>
      <c r="I49" s="76">
        <f ca="1">IFERROR(__xludf.DUMMYFUNCTION("IMPORTRANGE(""https://docs.google.com/spreadsheets/d/1uUP8Zo1-qaJLuIkRU0qlwLSE3DHkbdrrj2JGJiWBQZE/edit?usp=sharing"",""อำนาจเจริญ!N450"")"),23635)</f>
        <v>23635</v>
      </c>
      <c r="J49" s="76">
        <f ca="1">IFERROR(__xludf.DUMMYFUNCTION("IMPORTRANGE(""https://docs.google.com/spreadsheets/d/1uUP8Zo1-qaJLuIkRU0qlwLSE3DHkbdrrj2JGJiWBQZE/edit?usp=sharing"",""อำนาจเจริญ!N451"")"),0)</f>
        <v>0</v>
      </c>
      <c r="K49" s="76">
        <f ca="1">IFERROR(__xludf.DUMMYFUNCTION("IMPORTRANGE(""https://docs.google.com/spreadsheets/d/1uUP8Zo1-qaJLuIkRU0qlwLSE3DHkbdrrj2JGJiWBQZE/edit?usp=sharing"",""อำนาจเจริญ!N452"")"),450)</f>
        <v>450</v>
      </c>
      <c r="L49" s="76">
        <f ca="1">IFERROR(__xludf.DUMMYFUNCTION("IMPORTRANGE(""https://docs.google.com/spreadsheets/d/1uUP8Zo1-qaJLuIkRU0qlwLSE3DHkbdrrj2JGJiWBQZE/edit?usp=sharing"",""อำนาจเจริญ!N453"")"),2240)</f>
        <v>2240</v>
      </c>
      <c r="M49" s="80">
        <f ca="1">IFERROR(__xludf.DUMMYFUNCTION("IMPORTRANGE(""https://docs.google.com/spreadsheets/d/1uUP8Zo1-qaJLuIkRU0qlwLSE3DHkbdrrj2JGJiWBQZE/edit?usp=sharing"",""อำนาจเจริญ!N456"")"),0)</f>
        <v>0</v>
      </c>
      <c r="N49" s="80">
        <f t="shared" ca="1" si="26"/>
        <v>0</v>
      </c>
      <c r="O49" s="81">
        <f ca="1">IFERROR(__xludf.DUMMYFUNCTION("IMPORTRANGE(""https://docs.google.com/spreadsheets/d/1uUP8Zo1-qaJLuIkRU0qlwLSE3DHkbdrrj2JGJiWBQZE/edit?usp=sharing"",""อำนาจเจริญ!I458"")"),0)</f>
        <v>0</v>
      </c>
      <c r="P49" s="81">
        <f ca="1">IFERROR(__xludf.DUMMYFUNCTION("IMPORTRANGE(""https://docs.google.com/spreadsheets/d/1uUP8Zo1-qaJLuIkRU0qlwLSE3DHkbdrrj2JGJiWBQZE/edit?usp=sharing"",""อำนาจเจริญ!J458"")"),0)</f>
        <v>0</v>
      </c>
      <c r="Q49" s="82">
        <f t="shared" ca="1" si="20"/>
        <v>0</v>
      </c>
      <c r="R49" s="81">
        <f ca="1">IFERROR(__xludf.DUMMYFUNCTION("IMPORTRANGE(""https://docs.google.com/spreadsheets/d/1uUP8Zo1-qaJLuIkRU0qlwLSE3DHkbdrrj2JGJiWBQZE/edit?usp=sharing"",""อำนาจเจริญ!I460"")"),30)</f>
        <v>30</v>
      </c>
      <c r="S49" s="81">
        <f ca="1">IFERROR(__xludf.DUMMYFUNCTION("IMPORTRANGE(""https://docs.google.com/spreadsheets/d/1uUP8Zo1-qaJLuIkRU0qlwLSE3DHkbdrrj2JGJiWBQZE/edit?usp=sharing"",""อำนาจเจริญ!J460"")"),15)</f>
        <v>15</v>
      </c>
      <c r="T49" s="82">
        <f t="shared" ca="1" si="21"/>
        <v>50</v>
      </c>
      <c r="U49" s="81">
        <f ca="1">IFERROR(__xludf.DUMMYFUNCTION("IMPORTRANGE(""https://docs.google.com/spreadsheets/d/1uUP8Zo1-qaJLuIkRU0qlwLSE3DHkbdrrj2JGJiWBQZE/edit?usp=sharing"",""อำนาจเจริญ!I462"")"),150)</f>
        <v>150</v>
      </c>
      <c r="V49" s="81">
        <f ca="1">IFERROR(__xludf.DUMMYFUNCTION("IMPORTRANGE(""https://docs.google.com/spreadsheets/d/1uUP8Zo1-qaJLuIkRU0qlwLSE3DHkbdrrj2JGJiWBQZE/edit?usp=sharing"",""อำนาจเจริญ!J462"")"),75)</f>
        <v>75</v>
      </c>
      <c r="W49" s="82">
        <f t="shared" ca="1" si="22"/>
        <v>50</v>
      </c>
      <c r="X49" s="81">
        <f ca="1">IFERROR(__xludf.DUMMYFUNCTION("IMPORTRANGE(""https://docs.google.com/spreadsheets/d/1uUP8Zo1-qaJLuIkRU0qlwLSE3DHkbdrrj2JGJiWBQZE/edit?usp=sharing"",""อำนาจเจริญ!I463"")"),150)</f>
        <v>150</v>
      </c>
      <c r="Y49" s="81">
        <f ca="1">IFERROR(__xludf.DUMMYFUNCTION("IMPORTRANGE(""https://docs.google.com/spreadsheets/d/1uUP8Zo1-qaJLuIkRU0qlwLSE3DHkbdrrj2JGJiWBQZE/edit?usp=sharing"",""อำนาจเจริญ!I464"")"),30)</f>
        <v>30</v>
      </c>
      <c r="Z49" s="81">
        <f ca="1">IFERROR(__xludf.DUMMYFUNCTION("IMPORTRANGE(""https://docs.google.com/spreadsheets/d/1uUP8Zo1-qaJLuIkRU0qlwLSE3DHkbdrrj2JGJiWBQZE/edit?usp=sharing"",""อำนาจเจริญ!J463"")"),0)</f>
        <v>0</v>
      </c>
      <c r="AA49" s="82">
        <f t="shared" ca="1" si="23"/>
        <v>0</v>
      </c>
      <c r="AB49" s="81">
        <f ca="1">IFERROR(__xludf.DUMMYFUNCTION("IMPORTRANGE(""https://docs.google.com/spreadsheets/d/1uUP8Zo1-qaJLuIkRU0qlwLSE3DHkbdrrj2JGJiWBQZE/edit?usp=sharing"",""อำนาจเจริญ!J464"")"),0)</f>
        <v>0</v>
      </c>
      <c r="AC49" s="82">
        <f t="shared" ca="1" si="13"/>
        <v>0</v>
      </c>
    </row>
    <row r="50" spans="1:29" ht="21" customHeight="1" x14ac:dyDescent="0.2">
      <c r="A50" s="72">
        <v>19</v>
      </c>
      <c r="B50" s="73" t="s">
        <v>67</v>
      </c>
      <c r="C50" s="74">
        <f t="shared" ca="1" si="39"/>
        <v>1043880</v>
      </c>
      <c r="D50" s="75">
        <f ca="1">IFERROR(__xludf.DUMMYFUNCTION("IMPORTRANGE(""https://docs.google.com/spreadsheets/d/1hb_taSOHanzRjqfzWPiFo8yiT83VV1L7vvUCLhOiHKc/edit?usp=sharing"",""อุดรธานี!L449"")"),1043880)</f>
        <v>1043880</v>
      </c>
      <c r="E50" s="76">
        <f ca="1">IFERROR(__xludf.DUMMYFUNCTION("IMPORTRANGE(""https://docs.google.com/spreadsheets/d/1hb_taSOHanzRjqfzWPiFo8yiT83VV1L7vvUCLhOiHKc/edit?usp=sharing"",""อุดรธานี!L456"")"),0)</f>
        <v>0</v>
      </c>
      <c r="F50" s="77">
        <f t="shared" ca="1" si="1"/>
        <v>242050</v>
      </c>
      <c r="G50" s="78">
        <f t="shared" ca="1" si="2"/>
        <v>23.187531133846804</v>
      </c>
      <c r="H50" s="79">
        <f t="shared" ca="1" si="40"/>
        <v>242050</v>
      </c>
      <c r="I50" s="76">
        <f ca="1">IFERROR(__xludf.DUMMYFUNCTION("IMPORTRANGE(""https://docs.google.com/spreadsheets/d/1hb_taSOHanzRjqfzWPiFo8yiT83VV1L7vvUCLhOiHKc/edit?usp=sharing"",""อุดรธานี!N450"")"),130774)</f>
        <v>130774</v>
      </c>
      <c r="J50" s="76">
        <f ca="1">IFERROR(__xludf.DUMMYFUNCTION("IMPORTRANGE(""https://docs.google.com/spreadsheets/d/1hb_taSOHanzRjqfzWPiFo8yiT83VV1L7vvUCLhOiHKc/edit?usp=sharing"",""อุดรธานี!N451"")"),0)</f>
        <v>0</v>
      </c>
      <c r="K50" s="76">
        <f ca="1">IFERROR(__xludf.DUMMYFUNCTION("IMPORTRANGE(""https://docs.google.com/spreadsheets/d/1hb_taSOHanzRjqfzWPiFo8yiT83VV1L7vvUCLhOiHKc/edit?usp=sharing"",""อุดรธานี!N452"")"),52000)</f>
        <v>52000</v>
      </c>
      <c r="L50" s="76">
        <f ca="1">IFERROR(__xludf.DUMMYFUNCTION("IMPORTRANGE(""https://docs.google.com/spreadsheets/d/1hb_taSOHanzRjqfzWPiFo8yiT83VV1L7vvUCLhOiHKc/edit?usp=sharing"",""อุดรธานี!N453"")"),59276)</f>
        <v>59276</v>
      </c>
      <c r="M50" s="80">
        <f ca="1">IFERROR(__xludf.DUMMYFUNCTION("IMPORTRANGE(""https://docs.google.com/spreadsheets/d/1hb_taSOHanzRjqfzWPiFo8yiT83VV1L7vvUCLhOiHKc/edit?usp=sharing"",""อุดรธานี!N456"")"),0)</f>
        <v>0</v>
      </c>
      <c r="N50" s="80">
        <f t="shared" ca="1" si="26"/>
        <v>0</v>
      </c>
      <c r="O50" s="81">
        <f ca="1">IFERROR(__xludf.DUMMYFUNCTION("IMPORTRANGE(""https://docs.google.com/spreadsheets/d/1hb_taSOHanzRjqfzWPiFo8yiT83VV1L7vvUCLhOiHKc/edit?usp=sharing"",""อุดรธานี!I458"")"),0)</f>
        <v>0</v>
      </c>
      <c r="P50" s="81">
        <f ca="1">IFERROR(__xludf.DUMMYFUNCTION("IMPORTRANGE(""https://docs.google.com/spreadsheets/d/1hb_taSOHanzRjqfzWPiFo8yiT83VV1L7vvUCLhOiHKc/edit?usp=sharing"",""อุดรธานี!J458"")"),0)</f>
        <v>0</v>
      </c>
      <c r="Q50" s="82">
        <f t="shared" ca="1" si="20"/>
        <v>0</v>
      </c>
      <c r="R50" s="81">
        <f ca="1">IFERROR(__xludf.DUMMYFUNCTION("IMPORTRANGE(""https://docs.google.com/spreadsheets/d/1hb_taSOHanzRjqfzWPiFo8yiT83VV1L7vvUCLhOiHKc/edit?usp=sharing"",""อุดรธานี!I460"")"),140)</f>
        <v>140</v>
      </c>
      <c r="S50" s="81">
        <f ca="1">IFERROR(__xludf.DUMMYFUNCTION("IMPORTRANGE(""https://docs.google.com/spreadsheets/d/1hb_taSOHanzRjqfzWPiFo8yiT83VV1L7vvUCLhOiHKc/edit?usp=sharing"",""อุดรธานี!J460"")"),140)</f>
        <v>140</v>
      </c>
      <c r="T50" s="82">
        <f t="shared" ca="1" si="21"/>
        <v>100</v>
      </c>
      <c r="U50" s="81">
        <f ca="1">IFERROR(__xludf.DUMMYFUNCTION("IMPORTRANGE(""https://docs.google.com/spreadsheets/d/1hb_taSOHanzRjqfzWPiFo8yiT83VV1L7vvUCLhOiHKc/edit?usp=sharing"",""อุดรธานี!I462"")"),660)</f>
        <v>660</v>
      </c>
      <c r="V50" s="81">
        <f ca="1">IFERROR(__xludf.DUMMYFUNCTION("IMPORTRANGE(""https://docs.google.com/spreadsheets/d/1hb_taSOHanzRjqfzWPiFo8yiT83VV1L7vvUCLhOiHKc/edit?usp=sharing"",""อุดรธานี!J462"")"),660)</f>
        <v>660</v>
      </c>
      <c r="W50" s="82">
        <f t="shared" ca="1" si="22"/>
        <v>100</v>
      </c>
      <c r="X50" s="81">
        <f ca="1">IFERROR(__xludf.DUMMYFUNCTION("IMPORTRANGE(""https://docs.google.com/spreadsheets/d/1hb_taSOHanzRjqfzWPiFo8yiT83VV1L7vvUCLhOiHKc/edit?usp=sharing"",""อุดรธานี!I463"")"),660)</f>
        <v>660</v>
      </c>
      <c r="Y50" s="81">
        <f ca="1">IFERROR(__xludf.DUMMYFUNCTION("IMPORTRANGE(""https://docs.google.com/spreadsheets/d/1hb_taSOHanzRjqfzWPiFo8yiT83VV1L7vvUCLhOiHKc/edit?usp=sharing"",""อุดรธานี!I464"")"),140)</f>
        <v>140</v>
      </c>
      <c r="Z50" s="81">
        <f ca="1">IFERROR(__xludf.DUMMYFUNCTION("IMPORTRANGE(""https://docs.google.com/spreadsheets/d/1hb_taSOHanzRjqfzWPiFo8yiT83VV1L7vvUCLhOiHKc/edit?usp=sharing"",""อุดรธานี!J463"")"),0)</f>
        <v>0</v>
      </c>
      <c r="AA50" s="82">
        <f t="shared" ca="1" si="23"/>
        <v>0</v>
      </c>
      <c r="AB50" s="81">
        <f ca="1">IFERROR(__xludf.DUMMYFUNCTION("IMPORTRANGE(""https://docs.google.com/spreadsheets/d/1hb_taSOHanzRjqfzWPiFo8yiT83VV1L7vvUCLhOiHKc/edit?usp=sharing"",""อุดรธานี!J464"")"),0)</f>
        <v>0</v>
      </c>
      <c r="AC50" s="82">
        <f t="shared" ca="1" si="13"/>
        <v>0</v>
      </c>
    </row>
    <row r="51" spans="1:29" ht="21" customHeight="1" x14ac:dyDescent="0.2">
      <c r="A51" s="83">
        <v>20</v>
      </c>
      <c r="B51" s="84" t="s">
        <v>68</v>
      </c>
      <c r="C51" s="85">
        <f t="shared" ca="1" si="39"/>
        <v>604000</v>
      </c>
      <c r="D51" s="86">
        <f ca="1">IFERROR(__xludf.DUMMYFUNCTION("IMPORTRANGE(""https://docs.google.com/spreadsheets/d/17IOkEwkUd63EGNfyNDnM5de9YlZ7rwzTiW6-dokVjKI/edit?usp=sharing"",""อุบลราชธานี!L449"")"),604000)</f>
        <v>604000</v>
      </c>
      <c r="E51" s="87">
        <f ca="1">IFERROR(__xludf.DUMMYFUNCTION("IMPORTRANGE(""https://docs.google.com/spreadsheets/d/17IOkEwkUd63EGNfyNDnM5de9YlZ7rwzTiW6-dokVjKI/edit?usp=sharing"",""อุบลราชธานี!L456"")"),0)</f>
        <v>0</v>
      </c>
      <c r="F51" s="88">
        <f t="shared" ca="1" si="1"/>
        <v>465517</v>
      </c>
      <c r="G51" s="89">
        <f t="shared" ca="1" si="2"/>
        <v>77.072350993377484</v>
      </c>
      <c r="H51" s="90">
        <f t="shared" ca="1" si="40"/>
        <v>465517</v>
      </c>
      <c r="I51" s="87">
        <f ca="1">IFERROR(__xludf.DUMMYFUNCTION("IMPORTRANGE(""https://docs.google.com/spreadsheets/d/17IOkEwkUd63EGNfyNDnM5de9YlZ7rwzTiW6-dokVjKI/edit?usp=sharing"",""อุบลราชธานี!N450"")"),115180)</f>
        <v>115180</v>
      </c>
      <c r="J51" s="87">
        <f ca="1">IFERROR(__xludf.DUMMYFUNCTION("IMPORTRANGE(""https://docs.google.com/spreadsheets/d/17IOkEwkUd63EGNfyNDnM5de9YlZ7rwzTiW6-dokVjKI/edit?usp=sharing"",""อุบลราชธานี!N451"")"),285000)</f>
        <v>285000</v>
      </c>
      <c r="K51" s="87">
        <f ca="1">IFERROR(__xludf.DUMMYFUNCTION("IMPORTRANGE(""https://docs.google.com/spreadsheets/d/17IOkEwkUd63EGNfyNDnM5de9YlZ7rwzTiW6-dokVjKI/edit?usp=sharing"",""อุบลราชธานี!N452"")"),51567)</f>
        <v>51567</v>
      </c>
      <c r="L51" s="87">
        <f ca="1">IFERROR(__xludf.DUMMYFUNCTION("IMPORTRANGE(""https://docs.google.com/spreadsheets/d/17IOkEwkUd63EGNfyNDnM5de9YlZ7rwzTiW6-dokVjKI/edit?usp=sharing"",""อุบลราชธานี!N453"")"),13770)</f>
        <v>13770</v>
      </c>
      <c r="M51" s="91">
        <f ca="1">IFERROR(__xludf.DUMMYFUNCTION("IMPORTRANGE(""https://docs.google.com/spreadsheets/d/17IOkEwkUd63EGNfyNDnM5de9YlZ7rwzTiW6-dokVjKI/edit?usp=sharing"",""อุบลราชธานี!N456"")"),0)</f>
        <v>0</v>
      </c>
      <c r="N51" s="91">
        <f t="shared" ca="1" si="26"/>
        <v>0</v>
      </c>
      <c r="O51" s="92">
        <f ca="1">IFERROR(__xludf.DUMMYFUNCTION("IMPORTRANGE(""https://docs.google.com/spreadsheets/d/17IOkEwkUd63EGNfyNDnM5de9YlZ7rwzTiW6-dokVjKI/edit?usp=sharing"",""อุบลราชธานี!I458"")"),0)</f>
        <v>0</v>
      </c>
      <c r="P51" s="92">
        <f ca="1">IFERROR(__xludf.DUMMYFUNCTION("IMPORTRANGE(""https://docs.google.com/spreadsheets/d/17IOkEwkUd63EGNfyNDnM5de9YlZ7rwzTiW6-dokVjKI/edit?usp=sharing"",""อุบลราชธานี!J458"")"),0)</f>
        <v>0</v>
      </c>
      <c r="Q51" s="93">
        <f t="shared" ca="1" si="20"/>
        <v>0</v>
      </c>
      <c r="R51" s="92">
        <f ca="1">IFERROR(__xludf.DUMMYFUNCTION("IMPORTRANGE(""https://docs.google.com/spreadsheets/d/17IOkEwkUd63EGNfyNDnM5de9YlZ7rwzTiW6-dokVjKI/edit?usp=sharing"",""อุบลราชธานี!I460"")"),90)</f>
        <v>90</v>
      </c>
      <c r="S51" s="92">
        <f ca="1">IFERROR(__xludf.DUMMYFUNCTION("IMPORTRANGE(""https://docs.google.com/spreadsheets/d/17IOkEwkUd63EGNfyNDnM5de9YlZ7rwzTiW6-dokVjKI/edit?usp=sharing"",""อุบลราชธานี!J460"")"),90)</f>
        <v>90</v>
      </c>
      <c r="T51" s="93">
        <f t="shared" ca="1" si="21"/>
        <v>100</v>
      </c>
      <c r="U51" s="92">
        <f ca="1">IFERROR(__xludf.DUMMYFUNCTION("IMPORTRANGE(""https://docs.google.com/spreadsheets/d/17IOkEwkUd63EGNfyNDnM5de9YlZ7rwzTiW6-dokVjKI/edit?usp=sharing"",""อุบลราชธานี!I462"")"),300)</f>
        <v>300</v>
      </c>
      <c r="V51" s="92">
        <f ca="1">IFERROR(__xludf.DUMMYFUNCTION("IMPORTRANGE(""https://docs.google.com/spreadsheets/d/17IOkEwkUd63EGNfyNDnM5de9YlZ7rwzTiW6-dokVjKI/edit?usp=sharing"",""อุบลราชธานี!J462"")"),300)</f>
        <v>300</v>
      </c>
      <c r="W51" s="93">
        <f t="shared" ca="1" si="22"/>
        <v>100</v>
      </c>
      <c r="X51" s="92">
        <f ca="1">IFERROR(__xludf.DUMMYFUNCTION("IMPORTRANGE(""https://docs.google.com/spreadsheets/d/17IOkEwkUd63EGNfyNDnM5de9YlZ7rwzTiW6-dokVjKI/edit?usp=sharing"",""อุบลราชธานี!I463"")"),300)</f>
        <v>300</v>
      </c>
      <c r="Y51" s="92">
        <f ca="1">IFERROR(__xludf.DUMMYFUNCTION("IMPORTRANGE(""https://docs.google.com/spreadsheets/d/17IOkEwkUd63EGNfyNDnM5de9YlZ7rwzTiW6-dokVjKI/edit?usp=sharing"",""อุบลราชธานี!I464"")"),90)</f>
        <v>90</v>
      </c>
      <c r="Z51" s="92">
        <f ca="1">IFERROR(__xludf.DUMMYFUNCTION("IMPORTRANGE(""https://docs.google.com/spreadsheets/d/17IOkEwkUd63EGNfyNDnM5de9YlZ7rwzTiW6-dokVjKI/edit?usp=sharing"",""อุบลราชธานี!J463"")"),300)</f>
        <v>300</v>
      </c>
      <c r="AA51" s="93">
        <f t="shared" ca="1" si="23"/>
        <v>100</v>
      </c>
      <c r="AB51" s="92">
        <f ca="1">IFERROR(__xludf.DUMMYFUNCTION("IMPORTRANGE(""https://docs.google.com/spreadsheets/d/17IOkEwkUd63EGNfyNDnM5de9YlZ7rwzTiW6-dokVjKI/edit?usp=sharing"",""อุบลราชธานี!J464"")"),90)</f>
        <v>90</v>
      </c>
      <c r="AC51" s="93">
        <f t="shared" ca="1" si="13"/>
        <v>100</v>
      </c>
    </row>
    <row r="52" spans="1:29" ht="21" customHeight="1" x14ac:dyDescent="0.2">
      <c r="A52" s="307" t="s">
        <v>69</v>
      </c>
      <c r="B52" s="306"/>
      <c r="C52" s="34">
        <f t="shared" ref="C52:E52" ca="1" si="41">SUM(C53:C73)</f>
        <v>2190696</v>
      </c>
      <c r="D52" s="34">
        <f t="shared" ca="1" si="41"/>
        <v>2190696</v>
      </c>
      <c r="E52" s="57">
        <f t="shared" ca="1" si="41"/>
        <v>0</v>
      </c>
      <c r="F52" s="57">
        <f t="shared" ca="1" si="1"/>
        <v>868011.27</v>
      </c>
      <c r="G52" s="94">
        <f t="shared" ca="1" si="2"/>
        <v>39.62262541219777</v>
      </c>
      <c r="H52" s="57">
        <f t="shared" ref="H52:M52" ca="1" si="42">SUM(H53:H73)</f>
        <v>868011.27</v>
      </c>
      <c r="I52" s="57">
        <f t="shared" ca="1" si="42"/>
        <v>434946.27</v>
      </c>
      <c r="J52" s="57">
        <f t="shared" ca="1" si="42"/>
        <v>155000</v>
      </c>
      <c r="K52" s="57">
        <f t="shared" ca="1" si="42"/>
        <v>182000</v>
      </c>
      <c r="L52" s="57">
        <f t="shared" ca="1" si="42"/>
        <v>96065</v>
      </c>
      <c r="M52" s="95">
        <f t="shared" ca="1" si="42"/>
        <v>0</v>
      </c>
      <c r="N52" s="95">
        <f t="shared" ca="1" si="26"/>
        <v>0</v>
      </c>
      <c r="O52" s="57">
        <f t="shared" ref="O52:P52" ca="1" si="43">SUM(O53:O73)</f>
        <v>0</v>
      </c>
      <c r="P52" s="57">
        <f t="shared" ca="1" si="43"/>
        <v>0</v>
      </c>
      <c r="Q52" s="96">
        <f t="shared" ca="1" si="20"/>
        <v>0</v>
      </c>
      <c r="R52" s="57">
        <f t="shared" ref="R52:S52" ca="1" si="44">SUM(R53:R73)</f>
        <v>330</v>
      </c>
      <c r="S52" s="57">
        <f t="shared" ca="1" si="44"/>
        <v>302</v>
      </c>
      <c r="T52" s="96">
        <f t="shared" ca="1" si="21"/>
        <v>91.515151515151516</v>
      </c>
      <c r="U52" s="57">
        <f t="shared" ref="U52:V52" ca="1" si="45">SUM(U53:U73)</f>
        <v>675</v>
      </c>
      <c r="V52" s="57">
        <f t="shared" ca="1" si="45"/>
        <v>550</v>
      </c>
      <c r="W52" s="96">
        <f t="shared" ca="1" si="22"/>
        <v>81.481481481481481</v>
      </c>
      <c r="X52" s="57">
        <f t="shared" ref="X52:Z52" ca="1" si="46">SUM(X53:X73)</f>
        <v>675</v>
      </c>
      <c r="Y52" s="57">
        <f t="shared" ca="1" si="46"/>
        <v>330</v>
      </c>
      <c r="Z52" s="57">
        <f t="shared" ca="1" si="46"/>
        <v>345</v>
      </c>
      <c r="AA52" s="96">
        <f t="shared" ca="1" si="23"/>
        <v>51.111111111111114</v>
      </c>
      <c r="AB52" s="57">
        <f ca="1">SUM(AB53:AB73)</f>
        <v>85</v>
      </c>
      <c r="AC52" s="96">
        <f t="shared" ca="1" si="13"/>
        <v>25.757575757575758</v>
      </c>
    </row>
    <row r="53" spans="1:29" ht="21" customHeight="1" x14ac:dyDescent="0.2">
      <c r="A53" s="62">
        <v>1</v>
      </c>
      <c r="B53" s="63" t="s">
        <v>70</v>
      </c>
      <c r="C53" s="97">
        <f t="shared" ref="C53:C73" ca="1" si="47">D53+E53</f>
        <v>486400</v>
      </c>
      <c r="D53" s="98">
        <f ca="1">IFERROR(__xludf.DUMMYFUNCTION("IMPORTRANGE(""https://docs.google.com/spreadsheets/d/1hKO5uv94SSRZWOvrh72HRcpyoEQF9TsE_Cvxl77XNU4/edit?usp=sharing"",""กาญจนบุรี!L449"")"),486400)</f>
        <v>486400</v>
      </c>
      <c r="E53" s="66">
        <f ca="1">IFERROR(__xludf.DUMMYFUNCTION("IMPORTRANGE(""https://docs.google.com/spreadsheets/d/1hKO5uv94SSRZWOvrh72HRcpyoEQF9TsE_Cvxl77XNU4/edit?usp=sharing"",""กาญจนบุรี!L456"")"),0)</f>
        <v>0</v>
      </c>
      <c r="F53" s="67">
        <f t="shared" ca="1" si="1"/>
        <v>142520</v>
      </c>
      <c r="G53" s="68">
        <f t="shared" ca="1" si="2"/>
        <v>29.300986842105264</v>
      </c>
      <c r="H53" s="69">
        <f t="shared" ref="H53:H73" ca="1" si="48">I53+J53+K53+L53</f>
        <v>142520</v>
      </c>
      <c r="I53" s="66">
        <f ca="1">IFERROR(__xludf.DUMMYFUNCTION("IMPORTRANGE(""https://docs.google.com/spreadsheets/d/1hKO5uv94SSRZWOvrh72HRcpyoEQF9TsE_Cvxl77XNU4/edit?usp=sharing"",""กาญจนบุรี!N450"")"),75960)</f>
        <v>75960</v>
      </c>
      <c r="J53" s="66">
        <f ca="1">IFERROR(__xludf.DUMMYFUNCTION("IMPORTRANGE(""https://docs.google.com/spreadsheets/d/1hKO5uv94SSRZWOvrh72HRcpyoEQF9TsE_Cvxl77XNU4/edit?usp=sharing"",""กาญจนบุรี!N451"")"),0)</f>
        <v>0</v>
      </c>
      <c r="K53" s="66">
        <f ca="1">IFERROR(__xludf.DUMMYFUNCTION("IMPORTRANGE(""https://docs.google.com/spreadsheets/d/1hKO5uv94SSRZWOvrh72HRcpyoEQF9TsE_Cvxl77XNU4/edit?usp=sharing"",""กาญจนบุรี!N452"")"),52000)</f>
        <v>52000</v>
      </c>
      <c r="L53" s="66">
        <f ca="1">IFERROR(__xludf.DUMMYFUNCTION("IMPORTRANGE(""https://docs.google.com/spreadsheets/d/1hKO5uv94SSRZWOvrh72HRcpyoEQF9TsE_Cvxl77XNU4/edit?usp=sharing"",""กาญจนบุรี!N453"")"),14560)</f>
        <v>14560</v>
      </c>
      <c r="M53" s="70">
        <f ca="1">IFERROR(__xludf.DUMMYFUNCTION("IMPORTRANGE(""https://docs.google.com/spreadsheets/d/1hKO5uv94SSRZWOvrh72HRcpyoEQF9TsE_Cvxl77XNU4/edit?usp=sharing"",""กาญจนบุรี!N456"")"),0)</f>
        <v>0</v>
      </c>
      <c r="N53" s="70">
        <f t="shared" ca="1" si="26"/>
        <v>0</v>
      </c>
      <c r="O53" s="66">
        <f ca="1">IFERROR(__xludf.DUMMYFUNCTION("IMPORTRANGE(""https://docs.google.com/spreadsheets/d/1hKO5uv94SSRZWOvrh72HRcpyoEQF9TsE_Cvxl77XNU4/edit?usp=sharing"",""กาญจนบุรี!I458"")"),0)</f>
        <v>0</v>
      </c>
      <c r="P53" s="66">
        <f ca="1">IFERROR(__xludf.DUMMYFUNCTION("IMPORTRANGE(""https://docs.google.com/spreadsheets/d/1hKO5uv94SSRZWOvrh72HRcpyoEQF9TsE_Cvxl77XNU4/edit?usp=sharing"",""กาญจนบุรี!J458"")"),0)</f>
        <v>0</v>
      </c>
      <c r="Q53" s="71">
        <f t="shared" ca="1" si="20"/>
        <v>0</v>
      </c>
      <c r="R53" s="66">
        <f ca="1">IFERROR(__xludf.DUMMYFUNCTION("IMPORTRANGE(""https://docs.google.com/spreadsheets/d/1hKO5uv94SSRZWOvrh72HRcpyoEQF9TsE_Cvxl77XNU4/edit?usp=sharing"",""กาญจนบุรี!I460"")"),75)</f>
        <v>75</v>
      </c>
      <c r="S53" s="66">
        <f ca="1">IFERROR(__xludf.DUMMYFUNCTION("IMPORTRANGE(""https://docs.google.com/spreadsheets/d/1hKO5uv94SSRZWOvrh72HRcpyoEQF9TsE_Cvxl77XNU4/edit?usp=sharing"",""กาญจนบุรี!J460"")"),75)</f>
        <v>75</v>
      </c>
      <c r="T53" s="71">
        <f t="shared" ca="1" si="21"/>
        <v>100</v>
      </c>
      <c r="U53" s="66">
        <f ca="1">IFERROR(__xludf.DUMMYFUNCTION("IMPORTRANGE(""https://docs.google.com/spreadsheets/d/1hKO5uv94SSRZWOvrh72HRcpyoEQF9TsE_Cvxl77XNU4/edit?usp=sharing"",""กาญจนบุรี!I462"")"),200)</f>
        <v>200</v>
      </c>
      <c r="V53" s="66">
        <f ca="1">IFERROR(__xludf.DUMMYFUNCTION("IMPORTRANGE(""https://docs.google.com/spreadsheets/d/1hKO5uv94SSRZWOvrh72HRcpyoEQF9TsE_Cvxl77XNU4/edit?usp=sharing"",""กาญจนบุรี!J462"")"),200)</f>
        <v>200</v>
      </c>
      <c r="W53" s="71">
        <f t="shared" ca="1" si="22"/>
        <v>100</v>
      </c>
      <c r="X53" s="66">
        <f ca="1">IFERROR(__xludf.DUMMYFUNCTION("IMPORTRANGE(""https://docs.google.com/spreadsheets/d/1hKO5uv94SSRZWOvrh72HRcpyoEQF9TsE_Cvxl77XNU4/edit?usp=sharing"",""กาญจนบุรี!I463"")"),200)</f>
        <v>200</v>
      </c>
      <c r="Y53" s="66">
        <f ca="1">IFERROR(__xludf.DUMMYFUNCTION("IMPORTRANGE(""https://docs.google.com/spreadsheets/d/1hKO5uv94SSRZWOvrh72HRcpyoEQF9TsE_Cvxl77XNU4/edit?usp=sharing"",""กาญจนบุรี!I464"")"),75)</f>
        <v>75</v>
      </c>
      <c r="Z53" s="66">
        <f ca="1">IFERROR(__xludf.DUMMYFUNCTION("IMPORTRANGE(""https://docs.google.com/spreadsheets/d/1hKO5uv94SSRZWOvrh72HRcpyoEQF9TsE_Cvxl77XNU4/edit?usp=sharing"",""กาญจนบุรี!J463"")"),200)</f>
        <v>200</v>
      </c>
      <c r="AA53" s="71">
        <f t="shared" ca="1" si="23"/>
        <v>100</v>
      </c>
      <c r="AB53" s="66">
        <f ca="1">IFERROR(__xludf.DUMMYFUNCTION("IMPORTRANGE(""https://docs.google.com/spreadsheets/d/1hKO5uv94SSRZWOvrh72HRcpyoEQF9TsE_Cvxl77XNU4/edit?usp=sharing"",""กาญจนบุรี!J464"")"),0)</f>
        <v>0</v>
      </c>
      <c r="AC53" s="71">
        <f t="shared" ca="1" si="13"/>
        <v>0</v>
      </c>
    </row>
    <row r="54" spans="1:29" ht="21" customHeight="1" x14ac:dyDescent="0.2">
      <c r="A54" s="72">
        <v>2</v>
      </c>
      <c r="B54" s="73" t="s">
        <v>71</v>
      </c>
      <c r="C54" s="74">
        <f t="shared" ca="1" si="47"/>
        <v>0</v>
      </c>
      <c r="D54" s="75">
        <f ca="1">IFERROR(__xludf.DUMMYFUNCTION("IMPORTRANGE(""https://docs.google.com/spreadsheets/d/1njBaP_xXd-Uotvo2D9zb01TTCFkLJLDK97Tk1l9Qux0/edit?usp=sharing"",""จันทบุรี!L449"")"),0)</f>
        <v>0</v>
      </c>
      <c r="E54" s="76">
        <f ca="1">IFERROR(__xludf.DUMMYFUNCTION("IMPORTRANGE(""https://docs.google.com/spreadsheets/d/1njBaP_xXd-Uotvo2D9zb01TTCFkLJLDK97Tk1l9Qux0/edit?usp=sharing"",""จันทบุรี!L456"")"),0)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48"/>
        <v>0</v>
      </c>
      <c r="I54" s="76">
        <f ca="1">IFERROR(__xludf.DUMMYFUNCTION("IMPORTRANGE(""https://docs.google.com/spreadsheets/d/1njBaP_xXd-Uotvo2D9zb01TTCFkLJLDK97Tk1l9Qux0/edit?usp=sharing"",""จันทบุรี!N450"")"),0)</f>
        <v>0</v>
      </c>
      <c r="J54" s="76">
        <f ca="1">IFERROR(__xludf.DUMMYFUNCTION("IMPORTRANGE(""https://docs.google.com/spreadsheets/d/1njBaP_xXd-Uotvo2D9zb01TTCFkLJLDK97Tk1l9Qux0/edit?usp=sharing"",""จันทบุรี!N451"")"),0)</f>
        <v>0</v>
      </c>
      <c r="K54" s="76">
        <f ca="1">IFERROR(__xludf.DUMMYFUNCTION("IMPORTRANGE(""https://docs.google.com/spreadsheets/d/1njBaP_xXd-Uotvo2D9zb01TTCFkLJLDK97Tk1l9Qux0/edit?usp=sharing"",""จันทบุรี!N452"")"),0)</f>
        <v>0</v>
      </c>
      <c r="L54" s="76">
        <f ca="1">IFERROR(__xludf.DUMMYFUNCTION("IMPORTRANGE(""https://docs.google.com/spreadsheets/d/1njBaP_xXd-Uotvo2D9zb01TTCFkLJLDK97Tk1l9Qux0/edit?usp=sharing"",""จันทบุรี!N453"")"),0)</f>
        <v>0</v>
      </c>
      <c r="M54" s="80">
        <f ca="1">IFERROR(__xludf.DUMMYFUNCTION("IMPORTRANGE(""https://docs.google.com/spreadsheets/d/1njBaP_xXd-Uotvo2D9zb01TTCFkLJLDK97Tk1l9Qux0/edit?usp=sharing"",""จันทบุรี!N456"")"),0)</f>
        <v>0</v>
      </c>
      <c r="N54" s="80">
        <f t="shared" ca="1" si="26"/>
        <v>0</v>
      </c>
      <c r="O54" s="81">
        <f ca="1">IFERROR(__xludf.DUMMYFUNCTION("IMPORTRANGE(""https://docs.google.com/spreadsheets/d/1njBaP_xXd-Uotvo2D9zb01TTCFkLJLDK97Tk1l9Qux0/edit?usp=sharing"",""จันทบุรี!I458"")"),0)</f>
        <v>0</v>
      </c>
      <c r="P54" s="81">
        <f ca="1">IFERROR(__xludf.DUMMYFUNCTION("IMPORTRANGE(""https://docs.google.com/spreadsheets/d/1njBaP_xXd-Uotvo2D9zb01TTCFkLJLDK97Tk1l9Qux0/edit?usp=sharing"",""จันทบุรี!J458"")"),0)</f>
        <v>0</v>
      </c>
      <c r="Q54" s="82">
        <f t="shared" ca="1" si="20"/>
        <v>0</v>
      </c>
      <c r="R54" s="81">
        <f ca="1">IFERROR(__xludf.DUMMYFUNCTION("IMPORTRANGE(""https://docs.google.com/spreadsheets/d/1njBaP_xXd-Uotvo2D9zb01TTCFkLJLDK97Tk1l9Qux0/edit?usp=sharing"",""จันทบุรี!I460"")"),0)</f>
        <v>0</v>
      </c>
      <c r="S54" s="81">
        <f ca="1">IFERROR(__xludf.DUMMYFUNCTION("IMPORTRANGE(""https://docs.google.com/spreadsheets/d/1njBaP_xXd-Uotvo2D9zb01TTCFkLJLDK97Tk1l9Qux0/edit?usp=sharing"",""จันทบุรี!J460"")"),0)</f>
        <v>0</v>
      </c>
      <c r="T54" s="82">
        <f t="shared" ca="1" si="21"/>
        <v>0</v>
      </c>
      <c r="U54" s="81">
        <f ca="1">IFERROR(__xludf.DUMMYFUNCTION("IMPORTRANGE(""https://docs.google.com/spreadsheets/d/1njBaP_xXd-Uotvo2D9zb01TTCFkLJLDK97Tk1l9Qux0/edit?usp=sharing"",""จันทบุรี!I462"")"),0)</f>
        <v>0</v>
      </c>
      <c r="V54" s="81">
        <f ca="1">IFERROR(__xludf.DUMMYFUNCTION("IMPORTRANGE(""https://docs.google.com/spreadsheets/d/1njBaP_xXd-Uotvo2D9zb01TTCFkLJLDK97Tk1l9Qux0/edit?usp=sharing"",""จันทบุรี!J462"")"),0)</f>
        <v>0</v>
      </c>
      <c r="W54" s="82">
        <f t="shared" ca="1" si="22"/>
        <v>0</v>
      </c>
      <c r="X54" s="81">
        <f ca="1">IFERROR(__xludf.DUMMYFUNCTION("IMPORTRANGE(""https://docs.google.com/spreadsheets/d/1njBaP_xXd-Uotvo2D9zb01TTCFkLJLDK97Tk1l9Qux0/edit?usp=sharing"",""จันทบุรี!I463"")"),0)</f>
        <v>0</v>
      </c>
      <c r="Y54" s="81">
        <f ca="1">IFERROR(__xludf.DUMMYFUNCTION("IMPORTRANGE(""https://docs.google.com/spreadsheets/d/1njBaP_xXd-Uotvo2D9zb01TTCFkLJLDK97Tk1l9Qux0/edit?usp=sharing"",""จันทบุรี!I464"")"),0)</f>
        <v>0</v>
      </c>
      <c r="Z54" s="81">
        <f ca="1">IFERROR(__xludf.DUMMYFUNCTION("IMPORTRANGE(""https://docs.google.com/spreadsheets/d/1njBaP_xXd-Uotvo2D9zb01TTCFkLJLDK97Tk1l9Qux0/edit?usp=sharing"",""จันทบุรี!J463"")"),0)</f>
        <v>0</v>
      </c>
      <c r="AA54" s="82">
        <f t="shared" ca="1" si="23"/>
        <v>0</v>
      </c>
      <c r="AB54" s="81">
        <f ca="1">IFERROR(__xludf.DUMMYFUNCTION("IMPORTRANGE(""https://docs.google.com/spreadsheets/d/1njBaP_xXd-Uotvo2D9zb01TTCFkLJLDK97Tk1l9Qux0/edit?usp=sharing"",""จันทบุรี!J464"")"),0)</f>
        <v>0</v>
      </c>
      <c r="AC54" s="82">
        <f t="shared" ca="1" si="13"/>
        <v>0</v>
      </c>
    </row>
    <row r="55" spans="1:29" ht="21" customHeight="1" x14ac:dyDescent="0.2">
      <c r="A55" s="72">
        <v>3</v>
      </c>
      <c r="B55" s="73" t="s">
        <v>72</v>
      </c>
      <c r="C55" s="74">
        <f t="shared" ca="1" si="47"/>
        <v>331500</v>
      </c>
      <c r="D55" s="75">
        <f ca="1">IFERROR(__xludf.DUMMYFUNCTION("IMPORTRANGE(""https://docs.google.com/spreadsheets/d/14xp6qUzrGFnUk_qnc1eEmfiaNRd4_grkhpfQH_46fa8/edit?usp=sharing"",""ฉะเชิงเทรา!L449"")"),331500)</f>
        <v>331500</v>
      </c>
      <c r="E55" s="76">
        <f ca="1">IFERROR(__xludf.DUMMYFUNCTION("IMPORTRANGE(""https://docs.google.com/spreadsheets/d/14xp6qUzrGFnUk_qnc1eEmfiaNRd4_grkhpfQH_46fa8/edit?usp=sharing"",""ฉะเชิงเทรา!L456"")"),0)</f>
        <v>0</v>
      </c>
      <c r="F55" s="77">
        <f t="shared" ca="1" si="1"/>
        <v>211840</v>
      </c>
      <c r="G55" s="78">
        <f t="shared" ca="1" si="2"/>
        <v>63.903469079939669</v>
      </c>
      <c r="H55" s="79">
        <f t="shared" ca="1" si="48"/>
        <v>211840</v>
      </c>
      <c r="I55" s="76">
        <f ca="1">IFERROR(__xludf.DUMMYFUNCTION("IMPORTRANGE(""https://docs.google.com/spreadsheets/d/14xp6qUzrGFnUk_qnc1eEmfiaNRd4_grkhpfQH_46fa8/edit?usp=sharing"",""ฉะเชิงเทรา!N450"")"),73000)</f>
        <v>73000</v>
      </c>
      <c r="J55" s="76">
        <f ca="1">IFERROR(__xludf.DUMMYFUNCTION("IMPORTRANGE(""https://docs.google.com/spreadsheets/d/14xp6qUzrGFnUk_qnc1eEmfiaNRd4_grkhpfQH_46fa8/edit?usp=sharing"",""ฉะเชิงเทรา!N451"")"),64000)</f>
        <v>64000</v>
      </c>
      <c r="K55" s="76">
        <f ca="1">IFERROR(__xludf.DUMMYFUNCTION("IMPORTRANGE(""https://docs.google.com/spreadsheets/d/14xp6qUzrGFnUk_qnc1eEmfiaNRd4_grkhpfQH_46fa8/edit?usp=sharing"",""ฉะเชิงเทรา!N452"")"),52000)</f>
        <v>52000</v>
      </c>
      <c r="L55" s="76">
        <f ca="1">IFERROR(__xludf.DUMMYFUNCTION("IMPORTRANGE(""https://docs.google.com/spreadsheets/d/14xp6qUzrGFnUk_qnc1eEmfiaNRd4_grkhpfQH_46fa8/edit?usp=sharing"",""ฉะเชิงเทรา!N453"")"),22840)</f>
        <v>22840</v>
      </c>
      <c r="M55" s="80">
        <f ca="1">IFERROR(__xludf.DUMMYFUNCTION("IMPORTRANGE(""https://docs.google.com/spreadsheets/d/14xp6qUzrGFnUk_qnc1eEmfiaNRd4_grkhpfQH_46fa8/edit?usp=sharing"",""ฉะเชิงเทรา!N456"")"),0)</f>
        <v>0</v>
      </c>
      <c r="N55" s="80">
        <f t="shared" ca="1" si="26"/>
        <v>0</v>
      </c>
      <c r="O55" s="81">
        <f ca="1">IFERROR(__xludf.DUMMYFUNCTION("IMPORTRANGE(""https://docs.google.com/spreadsheets/d/14xp6qUzrGFnUk_qnc1eEmfiaNRd4_grkhpfQH_46fa8/edit?usp=sharing"",""ฉะเชิงเทรา!I458"")"),0)</f>
        <v>0</v>
      </c>
      <c r="P55" s="81">
        <f ca="1">IFERROR(__xludf.DUMMYFUNCTION("IMPORTRANGE(""https://docs.google.com/spreadsheets/d/14xp6qUzrGFnUk_qnc1eEmfiaNRd4_grkhpfQH_46fa8/edit?usp=sharing"",""ฉะเชิงเทรา!J458"")"),0)</f>
        <v>0</v>
      </c>
      <c r="Q55" s="82">
        <f t="shared" ca="1" si="20"/>
        <v>0</v>
      </c>
      <c r="R55" s="81">
        <f ca="1">IFERROR(__xludf.DUMMYFUNCTION("IMPORTRANGE(""https://docs.google.com/spreadsheets/d/14xp6qUzrGFnUk_qnc1eEmfiaNRd4_grkhpfQH_46fa8/edit?usp=sharing"",""ฉะเชิงเทรา!I460"")"),55)</f>
        <v>55</v>
      </c>
      <c r="S55" s="81">
        <f ca="1">IFERROR(__xludf.DUMMYFUNCTION("IMPORTRANGE(""https://docs.google.com/spreadsheets/d/14xp6qUzrGFnUk_qnc1eEmfiaNRd4_grkhpfQH_46fa8/edit?usp=sharing"",""ฉะเชิงเทรา!J460"")"),55)</f>
        <v>55</v>
      </c>
      <c r="T55" s="82">
        <f t="shared" ca="1" si="21"/>
        <v>100</v>
      </c>
      <c r="U55" s="81">
        <f ca="1">IFERROR(__xludf.DUMMYFUNCTION("IMPORTRANGE(""https://docs.google.com/spreadsheets/d/14xp6qUzrGFnUk_qnc1eEmfiaNRd4_grkhpfQH_46fa8/edit?usp=sharing"",""ฉะเชิงเทรา!I462"")"),55)</f>
        <v>55</v>
      </c>
      <c r="V55" s="81">
        <f ca="1">IFERROR(__xludf.DUMMYFUNCTION("IMPORTRANGE(""https://docs.google.com/spreadsheets/d/14xp6qUzrGFnUk_qnc1eEmfiaNRd4_grkhpfQH_46fa8/edit?usp=sharing"",""ฉะเชิงเทรา!J462"")"),55)</f>
        <v>55</v>
      </c>
      <c r="W55" s="82">
        <f t="shared" ca="1" si="22"/>
        <v>100</v>
      </c>
      <c r="X55" s="81">
        <f ca="1">IFERROR(__xludf.DUMMYFUNCTION("IMPORTRANGE(""https://docs.google.com/spreadsheets/d/14xp6qUzrGFnUk_qnc1eEmfiaNRd4_grkhpfQH_46fa8/edit?usp=sharing"",""ฉะเชิงเทรา!I463"")"),55)</f>
        <v>55</v>
      </c>
      <c r="Y55" s="81">
        <f ca="1">IFERROR(__xludf.DUMMYFUNCTION("IMPORTRANGE(""https://docs.google.com/spreadsheets/d/14xp6qUzrGFnUk_qnc1eEmfiaNRd4_grkhpfQH_46fa8/edit?usp=sharing"",""ฉะเชิงเทรา!I464"")"),55)</f>
        <v>55</v>
      </c>
      <c r="Z55" s="81">
        <f ca="1">IFERROR(__xludf.DUMMYFUNCTION("IMPORTRANGE(""https://docs.google.com/spreadsheets/d/14xp6qUzrGFnUk_qnc1eEmfiaNRd4_grkhpfQH_46fa8/edit?usp=sharing"",""ฉะเชิงเทรา!J463"")"),55)</f>
        <v>55</v>
      </c>
      <c r="AA55" s="82">
        <f t="shared" ca="1" si="23"/>
        <v>100</v>
      </c>
      <c r="AB55" s="81">
        <f ca="1">IFERROR(__xludf.DUMMYFUNCTION("IMPORTRANGE(""https://docs.google.com/spreadsheets/d/14xp6qUzrGFnUk_qnc1eEmfiaNRd4_grkhpfQH_46fa8/edit?usp=sharing"",""ฉะเชิงเทรา!J464"")"),55)</f>
        <v>55</v>
      </c>
      <c r="AC55" s="82">
        <f t="shared" ca="1" si="13"/>
        <v>100</v>
      </c>
    </row>
    <row r="56" spans="1:29" ht="21" customHeight="1" x14ac:dyDescent="0.2">
      <c r="A56" s="72">
        <v>4</v>
      </c>
      <c r="B56" s="73" t="s">
        <v>73</v>
      </c>
      <c r="C56" s="74">
        <f t="shared" ca="1" si="47"/>
        <v>68160</v>
      </c>
      <c r="D56" s="75">
        <f ca="1">IFERROR(__xludf.DUMMYFUNCTION("IMPORTRANGE(""https://docs.google.com/spreadsheets/d/1_Zwps30dlVa-pZFsorjVf1Pil6WXwzCsJU0U2whO3NI/edit?usp=sharing"",""ชลบุรี!L449"")"),68160)</f>
        <v>68160</v>
      </c>
      <c r="E56" s="76">
        <f ca="1">IFERROR(__xludf.DUMMYFUNCTION("IMPORTRANGE(""https://docs.google.com/spreadsheets/d/1_Zwps30dlVa-pZFsorjVf1Pil6WXwzCsJU0U2whO3NI/edit?usp=sharing"",""ชลบุรี!L456"")"),0)</f>
        <v>0</v>
      </c>
      <c r="F56" s="77">
        <f t="shared" ca="1" si="1"/>
        <v>27225</v>
      </c>
      <c r="G56" s="78">
        <f t="shared" ca="1" si="2"/>
        <v>39.942781690140848</v>
      </c>
      <c r="H56" s="79">
        <f t="shared" ca="1" si="48"/>
        <v>27225</v>
      </c>
      <c r="I56" s="76">
        <f ca="1">IFERROR(__xludf.DUMMYFUNCTION("IMPORTRANGE(""https://docs.google.com/spreadsheets/d/1_Zwps30dlVa-pZFsorjVf1Pil6WXwzCsJU0U2whO3NI/edit?usp=sharing"",""ชลบุรี!N450"")"),22950)</f>
        <v>22950</v>
      </c>
      <c r="J56" s="76">
        <f ca="1">IFERROR(__xludf.DUMMYFUNCTION("IMPORTRANGE(""https://docs.google.com/spreadsheets/d/1_Zwps30dlVa-pZFsorjVf1Pil6WXwzCsJU0U2whO3NI/edit?usp=sharing"",""ชลบุรี!N451"")"),0)</f>
        <v>0</v>
      </c>
      <c r="K56" s="76">
        <f ca="1">IFERROR(__xludf.DUMMYFUNCTION("IMPORTRANGE(""https://docs.google.com/spreadsheets/d/1_Zwps30dlVa-pZFsorjVf1Pil6WXwzCsJU0U2whO3NI/edit?usp=sharing"",""ชลบุรี!N452"")"),0)</f>
        <v>0</v>
      </c>
      <c r="L56" s="76">
        <f ca="1">IFERROR(__xludf.DUMMYFUNCTION("IMPORTRANGE(""https://docs.google.com/spreadsheets/d/1_Zwps30dlVa-pZFsorjVf1Pil6WXwzCsJU0U2whO3NI/edit?usp=sharing"",""ชลบุรี!N453"")"),4275)</f>
        <v>4275</v>
      </c>
      <c r="M56" s="80">
        <f ca="1">IFERROR(__xludf.DUMMYFUNCTION("IMPORTRANGE(""https://docs.google.com/spreadsheets/d/1_Zwps30dlVa-pZFsorjVf1Pil6WXwzCsJU0U2whO3NI/edit?usp=sharing"",""ชลบุรี!N456"")"),0)</f>
        <v>0</v>
      </c>
      <c r="N56" s="80">
        <f t="shared" ca="1" si="26"/>
        <v>0</v>
      </c>
      <c r="O56" s="81">
        <f ca="1">IFERROR(__xludf.DUMMYFUNCTION("IMPORTRANGE(""https://docs.google.com/spreadsheets/d/1_Zwps30dlVa-pZFsorjVf1Pil6WXwzCsJU0U2whO3NI/edit?usp=sharing"",""ชลบุรี!I458"")"),0)</f>
        <v>0</v>
      </c>
      <c r="P56" s="81">
        <f ca="1">IFERROR(__xludf.DUMMYFUNCTION("IMPORTRANGE(""https://docs.google.com/spreadsheets/d/1_Zwps30dlVa-pZFsorjVf1Pil6WXwzCsJU0U2whO3NI/edit?usp=sharing"",""ชลบุรี!J458"")"),0)</f>
        <v>0</v>
      </c>
      <c r="Q56" s="82">
        <f t="shared" ca="1" si="20"/>
        <v>0</v>
      </c>
      <c r="R56" s="81">
        <f ca="1">IFERROR(__xludf.DUMMYFUNCTION("IMPORTRANGE(""https://docs.google.com/spreadsheets/d/1_Zwps30dlVa-pZFsorjVf1Pil6WXwzCsJU0U2whO3NI/edit?usp=sharing"",""ชลบุรี!I460"")"),15)</f>
        <v>15</v>
      </c>
      <c r="S56" s="81">
        <f ca="1">IFERROR(__xludf.DUMMYFUNCTION("IMPORTRANGE(""https://docs.google.com/spreadsheets/d/1_Zwps30dlVa-pZFsorjVf1Pil6WXwzCsJU0U2whO3NI/edit?usp=sharing"",""ชลบุรี!J460"")"),15)</f>
        <v>15</v>
      </c>
      <c r="T56" s="82">
        <f t="shared" ca="1" si="21"/>
        <v>100</v>
      </c>
      <c r="U56" s="81">
        <f ca="1">IFERROR(__xludf.DUMMYFUNCTION("IMPORTRANGE(""https://docs.google.com/spreadsheets/d/1_Zwps30dlVa-pZFsorjVf1Pil6WXwzCsJU0U2whO3NI/edit?usp=sharing"",""ชลบุรี!I462"")"),15)</f>
        <v>15</v>
      </c>
      <c r="V56" s="81">
        <f ca="1">IFERROR(__xludf.DUMMYFUNCTION("IMPORTRANGE(""https://docs.google.com/spreadsheets/d/1_Zwps30dlVa-pZFsorjVf1Pil6WXwzCsJU0U2whO3NI/edit?usp=sharing"",""ชลบุรี!J462"")"),15)</f>
        <v>15</v>
      </c>
      <c r="W56" s="82">
        <f t="shared" ca="1" si="22"/>
        <v>100</v>
      </c>
      <c r="X56" s="81">
        <f ca="1">IFERROR(__xludf.DUMMYFUNCTION("IMPORTRANGE(""https://docs.google.com/spreadsheets/d/1_Zwps30dlVa-pZFsorjVf1Pil6WXwzCsJU0U2whO3NI/edit?usp=sharing"",""ชลบุรี!I463"")"),15)</f>
        <v>15</v>
      </c>
      <c r="Y56" s="81">
        <f ca="1">IFERROR(__xludf.DUMMYFUNCTION("IMPORTRANGE(""https://docs.google.com/spreadsheets/d/1_Zwps30dlVa-pZFsorjVf1Pil6WXwzCsJU0U2whO3NI/edit?usp=sharing"",""ชลบุรี!I464"")"),15)</f>
        <v>15</v>
      </c>
      <c r="Z56" s="81">
        <f ca="1">IFERROR(__xludf.DUMMYFUNCTION("IMPORTRANGE(""https://docs.google.com/spreadsheets/d/1_Zwps30dlVa-pZFsorjVf1Pil6WXwzCsJU0U2whO3NI/edit?usp=sharing"",""ชลบุรี!J463"")"),0)</f>
        <v>0</v>
      </c>
      <c r="AA56" s="82">
        <f t="shared" ca="1" si="23"/>
        <v>0</v>
      </c>
      <c r="AB56" s="81">
        <f ca="1">IFERROR(__xludf.DUMMYFUNCTION("IMPORTRANGE(""https://docs.google.com/spreadsheets/d/1_Zwps30dlVa-pZFsorjVf1Pil6WXwzCsJU0U2whO3NI/edit?usp=sharing"",""ชลบุรี!J464"")"),0)</f>
        <v>0</v>
      </c>
      <c r="AC56" s="82">
        <f t="shared" ca="1" si="13"/>
        <v>0</v>
      </c>
    </row>
    <row r="57" spans="1:29" ht="21" customHeight="1" x14ac:dyDescent="0.2">
      <c r="A57" s="72">
        <v>5</v>
      </c>
      <c r="B57" s="73" t="s">
        <v>74</v>
      </c>
      <c r="C57" s="74">
        <f t="shared" ca="1" si="47"/>
        <v>0</v>
      </c>
      <c r="D57" s="75">
        <f ca="1">IFERROR(__xludf.DUMMYFUNCTION("IMPORTRANGE(""https://docs.google.com/spreadsheets/d/1xAsT4sUbBlom7l0acStESh_15nvjZcXjZM7fK5uZSq8/edit?usp=sharing"",""ชัยนาท!L449"")"),0)</f>
        <v>0</v>
      </c>
      <c r="E57" s="76">
        <f ca="1">IFERROR(__xludf.DUMMYFUNCTION("IMPORTRANGE(""https://docs.google.com/spreadsheets/d/1xAsT4sUbBlom7l0acStESh_15nvjZcXjZM7fK5uZSq8/edit?usp=sharing"",""ชัยนาท!L456"")"),0)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48"/>
        <v>0</v>
      </c>
      <c r="I57" s="76">
        <f ca="1">IFERROR(__xludf.DUMMYFUNCTION("IMPORTRANGE(""https://docs.google.com/spreadsheets/d/1xAsT4sUbBlom7l0acStESh_15nvjZcXjZM7fK5uZSq8/edit?usp=sharing"",""ชัยนาท!N450"")"),0)</f>
        <v>0</v>
      </c>
      <c r="J57" s="76">
        <f ca="1">IFERROR(__xludf.DUMMYFUNCTION("IMPORTRANGE(""https://docs.google.com/spreadsheets/d/1xAsT4sUbBlom7l0acStESh_15nvjZcXjZM7fK5uZSq8/edit?usp=sharing"",""ชัยนาท!N451"")"),0)</f>
        <v>0</v>
      </c>
      <c r="K57" s="76">
        <f ca="1">IFERROR(__xludf.DUMMYFUNCTION("IMPORTRANGE(""https://docs.google.com/spreadsheets/d/1xAsT4sUbBlom7l0acStESh_15nvjZcXjZM7fK5uZSq8/edit?usp=sharing"",""ชัยนาท!N452"")"),0)</f>
        <v>0</v>
      </c>
      <c r="L57" s="76">
        <f ca="1">IFERROR(__xludf.DUMMYFUNCTION("IMPORTRANGE(""https://docs.google.com/spreadsheets/d/1xAsT4sUbBlom7l0acStESh_15nvjZcXjZM7fK5uZSq8/edit?usp=sharing"",""ชัยนาท!N453"")"),0)</f>
        <v>0</v>
      </c>
      <c r="M57" s="80">
        <f ca="1">IFERROR(__xludf.DUMMYFUNCTION("IMPORTRANGE(""https://docs.google.com/spreadsheets/d/1xAsT4sUbBlom7l0acStESh_15nvjZcXjZM7fK5uZSq8/edit?usp=sharing"",""ชัยนาท!N456"")"),0)</f>
        <v>0</v>
      </c>
      <c r="N57" s="80">
        <f t="shared" ca="1" si="26"/>
        <v>0</v>
      </c>
      <c r="O57" s="81">
        <f ca="1">IFERROR(__xludf.DUMMYFUNCTION("IMPORTRANGE(""https://docs.google.com/spreadsheets/d/1xAsT4sUbBlom7l0acStESh_15nvjZcXjZM7fK5uZSq8/edit?usp=sharing"",""ชัยนาท!I458"")"),0)</f>
        <v>0</v>
      </c>
      <c r="P57" s="81">
        <f ca="1">IFERROR(__xludf.DUMMYFUNCTION("IMPORTRANGE(""https://docs.google.com/spreadsheets/d/1xAsT4sUbBlom7l0acStESh_15nvjZcXjZM7fK5uZSq8/edit?usp=sharing"",""ชัยนาท!J458"")"),0)</f>
        <v>0</v>
      </c>
      <c r="Q57" s="82">
        <f t="shared" ca="1" si="20"/>
        <v>0</v>
      </c>
      <c r="R57" s="81">
        <f ca="1">IFERROR(__xludf.DUMMYFUNCTION("IMPORTRANGE(""https://docs.google.com/spreadsheets/d/1xAsT4sUbBlom7l0acStESh_15nvjZcXjZM7fK5uZSq8/edit?usp=sharing"",""ชัยนาท!I460"")"),0)</f>
        <v>0</v>
      </c>
      <c r="S57" s="81">
        <f ca="1">IFERROR(__xludf.DUMMYFUNCTION("IMPORTRANGE(""https://docs.google.com/spreadsheets/d/1xAsT4sUbBlom7l0acStESh_15nvjZcXjZM7fK5uZSq8/edit?usp=sharing"",""ชัยนาท!J460"")"),0)</f>
        <v>0</v>
      </c>
      <c r="T57" s="82">
        <f t="shared" ca="1" si="21"/>
        <v>0</v>
      </c>
      <c r="U57" s="81">
        <f ca="1">IFERROR(__xludf.DUMMYFUNCTION("IMPORTRANGE(""https://docs.google.com/spreadsheets/d/1xAsT4sUbBlom7l0acStESh_15nvjZcXjZM7fK5uZSq8/edit?usp=sharing"",""ชัยนาท!I462"")"),0)</f>
        <v>0</v>
      </c>
      <c r="V57" s="81">
        <f ca="1">IFERROR(__xludf.DUMMYFUNCTION("IMPORTRANGE(""https://docs.google.com/spreadsheets/d/1xAsT4sUbBlom7l0acStESh_15nvjZcXjZM7fK5uZSq8/edit?usp=sharing"",""ชัยนาท!J462"")"),0)</f>
        <v>0</v>
      </c>
      <c r="W57" s="82">
        <f t="shared" ca="1" si="22"/>
        <v>0</v>
      </c>
      <c r="X57" s="81">
        <f ca="1">IFERROR(__xludf.DUMMYFUNCTION("IMPORTRANGE(""https://docs.google.com/spreadsheets/d/1xAsT4sUbBlom7l0acStESh_15nvjZcXjZM7fK5uZSq8/edit?usp=sharing"",""ชัยนาท!I463"")"),0)</f>
        <v>0</v>
      </c>
      <c r="Y57" s="81">
        <f ca="1">IFERROR(__xludf.DUMMYFUNCTION("IMPORTRANGE(""https://docs.google.com/spreadsheets/d/1xAsT4sUbBlom7l0acStESh_15nvjZcXjZM7fK5uZSq8/edit?usp=sharing"",""ชัยนาท!I464"")"),0)</f>
        <v>0</v>
      </c>
      <c r="Z57" s="81">
        <f ca="1">IFERROR(__xludf.DUMMYFUNCTION("IMPORTRANGE(""https://docs.google.com/spreadsheets/d/1xAsT4sUbBlom7l0acStESh_15nvjZcXjZM7fK5uZSq8/edit?usp=sharing"",""ชัยนาท!J463"")"),0)</f>
        <v>0</v>
      </c>
      <c r="AA57" s="82">
        <f t="shared" ca="1" si="23"/>
        <v>0</v>
      </c>
      <c r="AB57" s="81">
        <f ca="1">IFERROR(__xludf.DUMMYFUNCTION("IMPORTRANGE(""https://docs.google.com/spreadsheets/d/1xAsT4sUbBlom7l0acStESh_15nvjZcXjZM7fK5uZSq8/edit?usp=sharing"",""ชัยนาท!J464"")"),0)</f>
        <v>0</v>
      </c>
      <c r="AC57" s="82">
        <f t="shared" ca="1" si="13"/>
        <v>0</v>
      </c>
    </row>
    <row r="58" spans="1:29" ht="21" customHeight="1" x14ac:dyDescent="0.2">
      <c r="A58" s="72">
        <v>6</v>
      </c>
      <c r="B58" s="73" t="s">
        <v>75</v>
      </c>
      <c r="C58" s="74">
        <f t="shared" ca="1" si="47"/>
        <v>0</v>
      </c>
      <c r="D58" s="75">
        <f ca="1">IFERROR(__xludf.DUMMYFUNCTION("IMPORTRANGE(""https://docs.google.com/spreadsheets/d/1vWPVBOAaZ6mHSI8yf95DNqHwTJ1cpeFsvqt6cxV34QA/edit?usp=sharing"",""ตราด!L449"")"),0)</f>
        <v>0</v>
      </c>
      <c r="E58" s="76">
        <f ca="1">IFERROR(__xludf.DUMMYFUNCTION("IMPORTRANGE(""https://docs.google.com/spreadsheets/d/1vWPVBOAaZ6mHSI8yf95DNqHwTJ1cpeFsvqt6cxV34QA/edit?usp=sharing"",""ตราด!L456"")"),0)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48"/>
        <v>0</v>
      </c>
      <c r="I58" s="76">
        <f ca="1">IFERROR(__xludf.DUMMYFUNCTION("IMPORTRANGE(""https://docs.google.com/spreadsheets/d/1vWPVBOAaZ6mHSI8yf95DNqHwTJ1cpeFsvqt6cxV34QA/edit?usp=sharing"",""ตราด!N450"")"),0)</f>
        <v>0</v>
      </c>
      <c r="J58" s="76">
        <f ca="1">IFERROR(__xludf.DUMMYFUNCTION("IMPORTRANGE(""https://docs.google.com/spreadsheets/d/1vWPVBOAaZ6mHSI8yf95DNqHwTJ1cpeFsvqt6cxV34QA/edit?usp=sharing"",""ตราด!N451"")"),0)</f>
        <v>0</v>
      </c>
      <c r="K58" s="76">
        <f ca="1">IFERROR(__xludf.DUMMYFUNCTION("IMPORTRANGE(""https://docs.google.com/spreadsheets/d/1vWPVBOAaZ6mHSI8yf95DNqHwTJ1cpeFsvqt6cxV34QA/edit?usp=sharing"",""ตราด!N452"")"),0)</f>
        <v>0</v>
      </c>
      <c r="L58" s="76">
        <f ca="1">IFERROR(__xludf.DUMMYFUNCTION("IMPORTRANGE(""https://docs.google.com/spreadsheets/d/1vWPVBOAaZ6mHSI8yf95DNqHwTJ1cpeFsvqt6cxV34QA/edit?usp=sharing"",""ตราด!N453"")"),0)</f>
        <v>0</v>
      </c>
      <c r="M58" s="80">
        <f ca="1">IFERROR(__xludf.DUMMYFUNCTION("IMPORTRANGE(""https://docs.google.com/spreadsheets/d/1vWPVBOAaZ6mHSI8yf95DNqHwTJ1cpeFsvqt6cxV34QA/edit?usp=sharing"",""ตราด!N456"")"),0)</f>
        <v>0</v>
      </c>
      <c r="N58" s="80">
        <f t="shared" ca="1" si="26"/>
        <v>0</v>
      </c>
      <c r="O58" s="81">
        <f ca="1">IFERROR(__xludf.DUMMYFUNCTION("IMPORTRANGE(""https://docs.google.com/spreadsheets/d/1vWPVBOAaZ6mHSI8yf95DNqHwTJ1cpeFsvqt6cxV34QA/edit?usp=sharing"",""ตราด!I458"")"),0)</f>
        <v>0</v>
      </c>
      <c r="P58" s="81">
        <f ca="1">IFERROR(__xludf.DUMMYFUNCTION("IMPORTRANGE(""https://docs.google.com/spreadsheets/d/1vWPVBOAaZ6mHSI8yf95DNqHwTJ1cpeFsvqt6cxV34QA/edit?usp=sharing"",""ตราด!J458"")"),0)</f>
        <v>0</v>
      </c>
      <c r="Q58" s="82">
        <f t="shared" ca="1" si="20"/>
        <v>0</v>
      </c>
      <c r="R58" s="81">
        <f ca="1">IFERROR(__xludf.DUMMYFUNCTION("IMPORTRANGE(""https://docs.google.com/spreadsheets/d/1vWPVBOAaZ6mHSI8yf95DNqHwTJ1cpeFsvqt6cxV34QA/edit?usp=sharing"",""ตราด!I460"")"),0)</f>
        <v>0</v>
      </c>
      <c r="S58" s="81">
        <f ca="1">IFERROR(__xludf.DUMMYFUNCTION("IMPORTRANGE(""https://docs.google.com/spreadsheets/d/1vWPVBOAaZ6mHSI8yf95DNqHwTJ1cpeFsvqt6cxV34QA/edit?usp=sharing"",""ตราด!J460"")"),0)</f>
        <v>0</v>
      </c>
      <c r="T58" s="82">
        <f t="shared" ca="1" si="21"/>
        <v>0</v>
      </c>
      <c r="U58" s="81">
        <f ca="1">IFERROR(__xludf.DUMMYFUNCTION("IMPORTRANGE(""https://docs.google.com/spreadsheets/d/1vWPVBOAaZ6mHSI8yf95DNqHwTJ1cpeFsvqt6cxV34QA/edit?usp=sharing"",""ตราด!I462"")"),0)</f>
        <v>0</v>
      </c>
      <c r="V58" s="81">
        <f ca="1">IFERROR(__xludf.DUMMYFUNCTION("IMPORTRANGE(""https://docs.google.com/spreadsheets/d/1vWPVBOAaZ6mHSI8yf95DNqHwTJ1cpeFsvqt6cxV34QA/edit?usp=sharing"",""ตราด!J462"")"),0)</f>
        <v>0</v>
      </c>
      <c r="W58" s="82">
        <f t="shared" ca="1" si="22"/>
        <v>0</v>
      </c>
      <c r="X58" s="81">
        <f ca="1">IFERROR(__xludf.DUMMYFUNCTION("IMPORTRANGE(""https://docs.google.com/spreadsheets/d/1vWPVBOAaZ6mHSI8yf95DNqHwTJ1cpeFsvqt6cxV34QA/edit?usp=sharing"",""ตราด!I463"")"),0)</f>
        <v>0</v>
      </c>
      <c r="Y58" s="81">
        <f ca="1">IFERROR(__xludf.DUMMYFUNCTION("IMPORTRANGE(""https://docs.google.com/spreadsheets/d/1vWPVBOAaZ6mHSI8yf95DNqHwTJ1cpeFsvqt6cxV34QA/edit?usp=sharing"",""ตราด!I464"")"),0)</f>
        <v>0</v>
      </c>
      <c r="Z58" s="81">
        <f ca="1">IFERROR(__xludf.DUMMYFUNCTION("IMPORTRANGE(""https://docs.google.com/spreadsheets/d/1vWPVBOAaZ6mHSI8yf95DNqHwTJ1cpeFsvqt6cxV34QA/edit?usp=sharing"",""ตราด!J463"")"),0)</f>
        <v>0</v>
      </c>
      <c r="AA58" s="82">
        <f t="shared" ca="1" si="23"/>
        <v>0</v>
      </c>
      <c r="AB58" s="81">
        <f ca="1">IFERROR(__xludf.DUMMYFUNCTION("IMPORTRANGE(""https://docs.google.com/spreadsheets/d/1vWPVBOAaZ6mHSI8yf95DNqHwTJ1cpeFsvqt6cxV34QA/edit?usp=sharing"",""ตราด!J464"")"),0)</f>
        <v>0</v>
      </c>
      <c r="AC58" s="82">
        <f t="shared" ca="1" si="13"/>
        <v>0</v>
      </c>
    </row>
    <row r="59" spans="1:29" ht="21" customHeight="1" x14ac:dyDescent="0.2">
      <c r="A59" s="72">
        <v>7</v>
      </c>
      <c r="B59" s="73" t="s">
        <v>76</v>
      </c>
      <c r="C59" s="74">
        <f t="shared" ca="1" si="47"/>
        <v>70060</v>
      </c>
      <c r="D59" s="75">
        <f ca="1">IFERROR(__xludf.DUMMYFUNCTION("IMPORTRANGE(""https://docs.google.com/spreadsheets/d/1phaeSb9lTGgzDpbvVqI9hfmOQQzUom07-HEvpbARzEg/edit?usp=sharing"",""นครนายก!L449"")"),70060)</f>
        <v>70060</v>
      </c>
      <c r="E59" s="76">
        <f ca="1">IFERROR(__xludf.DUMMYFUNCTION("IMPORTRANGE(""https://docs.google.com/spreadsheets/d/1phaeSb9lTGgzDpbvVqI9hfmOQQzUom07-HEvpbARzEg/edit?usp=sharing"",""นครนายก!L456"")"),0)</f>
        <v>0</v>
      </c>
      <c r="F59" s="77">
        <f t="shared" ca="1" si="1"/>
        <v>17805</v>
      </c>
      <c r="G59" s="78">
        <f t="shared" ca="1" si="2"/>
        <v>25.413930916357408</v>
      </c>
      <c r="H59" s="79">
        <f t="shared" ca="1" si="48"/>
        <v>17805</v>
      </c>
      <c r="I59" s="76">
        <f ca="1">IFERROR(__xludf.DUMMYFUNCTION("IMPORTRANGE(""https://docs.google.com/spreadsheets/d/1phaeSb9lTGgzDpbvVqI9hfmOQQzUom07-HEvpbARzEg/edit?usp=sharing"",""นครนายก!N450"")"),15825)</f>
        <v>15825</v>
      </c>
      <c r="J59" s="76">
        <f ca="1">IFERROR(__xludf.DUMMYFUNCTION("IMPORTRANGE(""https://docs.google.com/spreadsheets/d/1phaeSb9lTGgzDpbvVqI9hfmOQQzUom07-HEvpbARzEg/edit?usp=sharing"",""นครนายก!N451"")"),0)</f>
        <v>0</v>
      </c>
      <c r="K59" s="76">
        <f ca="1">IFERROR(__xludf.DUMMYFUNCTION("IMPORTRANGE(""https://docs.google.com/spreadsheets/d/1phaeSb9lTGgzDpbvVqI9hfmOQQzUom07-HEvpbARzEg/edit?usp=sharing"",""นครนายก!N452"")"),0)</f>
        <v>0</v>
      </c>
      <c r="L59" s="76">
        <f ca="1">IFERROR(__xludf.DUMMYFUNCTION("IMPORTRANGE(""https://docs.google.com/spreadsheets/d/1phaeSb9lTGgzDpbvVqI9hfmOQQzUom07-HEvpbARzEg/edit?usp=sharing"",""นครนายก!N453"")"),1980)</f>
        <v>1980</v>
      </c>
      <c r="M59" s="80">
        <f ca="1">IFERROR(__xludf.DUMMYFUNCTION("IMPORTRANGE(""https://docs.google.com/spreadsheets/d/1phaeSb9lTGgzDpbvVqI9hfmOQQzUom07-HEvpbARzEg/edit?usp=sharing"",""นครนายก!N456"")"),0)</f>
        <v>0</v>
      </c>
      <c r="N59" s="80">
        <f t="shared" ca="1" si="26"/>
        <v>0</v>
      </c>
      <c r="O59" s="81">
        <f ca="1">IFERROR(__xludf.DUMMYFUNCTION("IMPORTRANGE(""https://docs.google.com/spreadsheets/d/1phaeSb9lTGgzDpbvVqI9hfmOQQzUom07-HEvpbARzEg/edit?usp=sharing"",""นครนายก!I458"")"),0)</f>
        <v>0</v>
      </c>
      <c r="P59" s="81">
        <f ca="1">IFERROR(__xludf.DUMMYFUNCTION("IMPORTRANGE(""https://docs.google.com/spreadsheets/d/1phaeSb9lTGgzDpbvVqI9hfmOQQzUom07-HEvpbARzEg/edit?usp=sharing"",""นครนายก!J458"")"),0)</f>
        <v>0</v>
      </c>
      <c r="Q59" s="82">
        <f t="shared" ca="1" si="20"/>
        <v>0</v>
      </c>
      <c r="R59" s="81">
        <f ca="1">IFERROR(__xludf.DUMMYFUNCTION("IMPORTRANGE(""https://docs.google.com/spreadsheets/d/1phaeSb9lTGgzDpbvVqI9hfmOQQzUom07-HEvpbARzEg/edit?usp=sharing"",""นครนายก!I460"")"),10)</f>
        <v>10</v>
      </c>
      <c r="S59" s="81">
        <f ca="1">IFERROR(__xludf.DUMMYFUNCTION("IMPORTRANGE(""https://docs.google.com/spreadsheets/d/1phaeSb9lTGgzDpbvVqI9hfmOQQzUom07-HEvpbARzEg/edit?usp=sharing"",""นครนายก!J460"")"),10)</f>
        <v>10</v>
      </c>
      <c r="T59" s="82">
        <f t="shared" ca="1" si="21"/>
        <v>100</v>
      </c>
      <c r="U59" s="81">
        <f ca="1">IFERROR(__xludf.DUMMYFUNCTION("IMPORTRANGE(""https://docs.google.com/spreadsheets/d/1phaeSb9lTGgzDpbvVqI9hfmOQQzUom07-HEvpbARzEg/edit?usp=sharing"",""นครนายก!I462"")"),20)</f>
        <v>20</v>
      </c>
      <c r="V59" s="81">
        <f ca="1">IFERROR(__xludf.DUMMYFUNCTION("IMPORTRANGE(""https://docs.google.com/spreadsheets/d/1phaeSb9lTGgzDpbvVqI9hfmOQQzUom07-HEvpbARzEg/edit?usp=sharing"",""นครนายก!J462"")"),20)</f>
        <v>20</v>
      </c>
      <c r="W59" s="82">
        <f t="shared" ca="1" si="22"/>
        <v>100</v>
      </c>
      <c r="X59" s="81">
        <f ca="1">IFERROR(__xludf.DUMMYFUNCTION("IMPORTRANGE(""https://docs.google.com/spreadsheets/d/1phaeSb9lTGgzDpbvVqI9hfmOQQzUom07-HEvpbARzEg/edit?usp=sharing"",""นครนายก!I463"")"),20)</f>
        <v>20</v>
      </c>
      <c r="Y59" s="81">
        <f ca="1">IFERROR(__xludf.DUMMYFUNCTION("IMPORTRANGE(""https://docs.google.com/spreadsheets/d/1phaeSb9lTGgzDpbvVqI9hfmOQQzUom07-HEvpbARzEg/edit?usp=sharing"",""นครนายก!I464"")"),10)</f>
        <v>10</v>
      </c>
      <c r="Z59" s="81">
        <f ca="1">IFERROR(__xludf.DUMMYFUNCTION("IMPORTRANGE(""https://docs.google.com/spreadsheets/d/1phaeSb9lTGgzDpbvVqI9hfmOQQzUom07-HEvpbARzEg/edit?usp=sharing"",""นครนายก!J463"")"),0)</f>
        <v>0</v>
      </c>
      <c r="AA59" s="82">
        <f t="shared" ca="1" si="23"/>
        <v>0</v>
      </c>
      <c r="AB59" s="81">
        <f ca="1">IFERROR(__xludf.DUMMYFUNCTION("IMPORTRANGE(""https://docs.google.com/spreadsheets/d/1phaeSb9lTGgzDpbvVqI9hfmOQQzUom07-HEvpbARzEg/edit?usp=sharing"",""นครนายก!J464"")"),0)</f>
        <v>0</v>
      </c>
      <c r="AC59" s="82">
        <f t="shared" ca="1" si="13"/>
        <v>0</v>
      </c>
    </row>
    <row r="60" spans="1:29" ht="21" customHeight="1" x14ac:dyDescent="0.2">
      <c r="A60" s="72">
        <v>8</v>
      </c>
      <c r="B60" s="73" t="s">
        <v>77</v>
      </c>
      <c r="C60" s="74">
        <f t="shared" ca="1" si="47"/>
        <v>0</v>
      </c>
      <c r="D60" s="75">
        <f ca="1">IFERROR(__xludf.DUMMYFUNCTION("IMPORTRANGE(""https://docs.google.com/spreadsheets/d/1tpwhWwkqkBeiSWCcfB5f2fbwPRbM9hHOEDSDHpl2MIc/edit?usp=sharing"",""นครปฐม!L449"")"),0)</f>
        <v>0</v>
      </c>
      <c r="E60" s="76">
        <f ca="1">IFERROR(__xludf.DUMMYFUNCTION("IMPORTRANGE(""https://docs.google.com/spreadsheets/d/1tpwhWwkqkBeiSWCcfB5f2fbwPRbM9hHOEDSDHpl2MIc/edit?usp=sharing"",""นครปฐม!L456"")"),0)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48"/>
        <v>0</v>
      </c>
      <c r="I60" s="76">
        <f ca="1">IFERROR(__xludf.DUMMYFUNCTION("IMPORTRANGE(""https://docs.google.com/spreadsheets/d/1tpwhWwkqkBeiSWCcfB5f2fbwPRbM9hHOEDSDHpl2MIc/edit?usp=sharing"",""นครปฐม!N450"")"),0)</f>
        <v>0</v>
      </c>
      <c r="J60" s="76">
        <f ca="1">IFERROR(__xludf.DUMMYFUNCTION("IMPORTRANGE(""https://docs.google.com/spreadsheets/d/1tpwhWwkqkBeiSWCcfB5f2fbwPRbM9hHOEDSDHpl2MIc/edit?usp=sharing"",""นครปฐม!N451"")"),0)</f>
        <v>0</v>
      </c>
      <c r="K60" s="76">
        <f ca="1">IFERROR(__xludf.DUMMYFUNCTION("IMPORTRANGE(""https://docs.google.com/spreadsheets/d/1tpwhWwkqkBeiSWCcfB5f2fbwPRbM9hHOEDSDHpl2MIc/edit?usp=sharing"",""นครปฐม!N452"")"),0)</f>
        <v>0</v>
      </c>
      <c r="L60" s="76">
        <f ca="1">IFERROR(__xludf.DUMMYFUNCTION("IMPORTRANGE(""https://docs.google.com/spreadsheets/d/1tpwhWwkqkBeiSWCcfB5f2fbwPRbM9hHOEDSDHpl2MIc/edit?usp=sharing"",""นครปฐม!N453"")"),0)</f>
        <v>0</v>
      </c>
      <c r="M60" s="80">
        <f ca="1">IFERROR(__xludf.DUMMYFUNCTION("IMPORTRANGE(""https://docs.google.com/spreadsheets/d/1tpwhWwkqkBeiSWCcfB5f2fbwPRbM9hHOEDSDHpl2MIc/edit?usp=sharing"",""นครปฐม!N456"")"),0)</f>
        <v>0</v>
      </c>
      <c r="N60" s="80">
        <f t="shared" ca="1" si="26"/>
        <v>0</v>
      </c>
      <c r="O60" s="81">
        <f ca="1">IFERROR(__xludf.DUMMYFUNCTION("IMPORTRANGE(""https://docs.google.com/spreadsheets/d/1tpwhWwkqkBeiSWCcfB5f2fbwPRbM9hHOEDSDHpl2MIc/edit?usp=sharing"",""นครปฐม!I458"")"),0)</f>
        <v>0</v>
      </c>
      <c r="P60" s="81">
        <f ca="1">IFERROR(__xludf.DUMMYFUNCTION("IMPORTRANGE(""https://docs.google.com/spreadsheets/d/1tpwhWwkqkBeiSWCcfB5f2fbwPRbM9hHOEDSDHpl2MIc/edit?usp=sharing"",""นครปฐม!J458"")"),0)</f>
        <v>0</v>
      </c>
      <c r="Q60" s="82">
        <f t="shared" ca="1" si="20"/>
        <v>0</v>
      </c>
      <c r="R60" s="81">
        <f ca="1">IFERROR(__xludf.DUMMYFUNCTION("IMPORTRANGE(""https://docs.google.com/spreadsheets/d/1tpwhWwkqkBeiSWCcfB5f2fbwPRbM9hHOEDSDHpl2MIc/edit?usp=sharing"",""นครปฐม!I460"")"),0)</f>
        <v>0</v>
      </c>
      <c r="S60" s="81">
        <f ca="1">IFERROR(__xludf.DUMMYFUNCTION("IMPORTRANGE(""https://docs.google.com/spreadsheets/d/1tpwhWwkqkBeiSWCcfB5f2fbwPRbM9hHOEDSDHpl2MIc/edit?usp=sharing"",""นครปฐม!J460"")"),0)</f>
        <v>0</v>
      </c>
      <c r="T60" s="82">
        <f t="shared" ca="1" si="21"/>
        <v>0</v>
      </c>
      <c r="U60" s="81">
        <f ca="1">IFERROR(__xludf.DUMMYFUNCTION("IMPORTRANGE(""https://docs.google.com/spreadsheets/d/1tpwhWwkqkBeiSWCcfB5f2fbwPRbM9hHOEDSDHpl2MIc/edit?usp=sharing"",""นครปฐม!I462"")"),0)</f>
        <v>0</v>
      </c>
      <c r="V60" s="81">
        <f ca="1">IFERROR(__xludf.DUMMYFUNCTION("IMPORTRANGE(""https://docs.google.com/spreadsheets/d/1tpwhWwkqkBeiSWCcfB5f2fbwPRbM9hHOEDSDHpl2MIc/edit?usp=sharing"",""นครปฐม!J462"")"),0)</f>
        <v>0</v>
      </c>
      <c r="W60" s="82">
        <f t="shared" ca="1" si="22"/>
        <v>0</v>
      </c>
      <c r="X60" s="81">
        <f ca="1">IFERROR(__xludf.DUMMYFUNCTION("IMPORTRANGE(""https://docs.google.com/spreadsheets/d/1tpwhWwkqkBeiSWCcfB5f2fbwPRbM9hHOEDSDHpl2MIc/edit?usp=sharing"",""นครปฐม!I463"")"),0)</f>
        <v>0</v>
      </c>
      <c r="Y60" s="81">
        <f ca="1">IFERROR(__xludf.DUMMYFUNCTION("IMPORTRANGE(""https://docs.google.com/spreadsheets/d/1tpwhWwkqkBeiSWCcfB5f2fbwPRbM9hHOEDSDHpl2MIc/edit?usp=sharing"",""นครปฐม!I464"")"),0)</f>
        <v>0</v>
      </c>
      <c r="Z60" s="81">
        <f ca="1">IFERROR(__xludf.DUMMYFUNCTION("IMPORTRANGE(""https://docs.google.com/spreadsheets/d/1tpwhWwkqkBeiSWCcfB5f2fbwPRbM9hHOEDSDHpl2MIc/edit?usp=sharing"",""นครปฐม!J463"")"),0)</f>
        <v>0</v>
      </c>
      <c r="AA60" s="82">
        <f t="shared" ca="1" si="23"/>
        <v>0</v>
      </c>
      <c r="AB60" s="81">
        <f ca="1">IFERROR(__xludf.DUMMYFUNCTION("IMPORTRANGE(""https://docs.google.com/spreadsheets/d/1tpwhWwkqkBeiSWCcfB5f2fbwPRbM9hHOEDSDHpl2MIc/edit?usp=sharing"",""นครปฐม!J464"")"),0)</f>
        <v>0</v>
      </c>
      <c r="AC60" s="82">
        <f t="shared" ca="1" si="13"/>
        <v>0</v>
      </c>
    </row>
    <row r="61" spans="1:29" ht="21" customHeight="1" x14ac:dyDescent="0.2">
      <c r="A61" s="72">
        <v>9</v>
      </c>
      <c r="B61" s="73" t="s">
        <v>78</v>
      </c>
      <c r="C61" s="74">
        <f t="shared" ca="1" si="47"/>
        <v>70660</v>
      </c>
      <c r="D61" s="75">
        <f ca="1">IFERROR(__xludf.DUMMYFUNCTION("IMPORTRANGE(""https://docs.google.com/spreadsheets/d/1fJJCVBkBnhriyv0Cp5ZFMr0I_yrfdEITNpb4zILJgUQ/edit?usp=sharing"",""ปทุมธานี!L449"")"),70660)</f>
        <v>70660</v>
      </c>
      <c r="E61" s="76">
        <f ca="1">IFERROR(__xludf.DUMMYFUNCTION("IMPORTRANGE(""https://docs.google.com/spreadsheets/d/1fJJCVBkBnhriyv0Cp5ZFMr0I_yrfdEITNpb4zILJgUQ/edit?usp=sharing"",""ปทุมธานี!L456"")"),0)</f>
        <v>0</v>
      </c>
      <c r="F61" s="77">
        <f t="shared" ca="1" si="1"/>
        <v>21540</v>
      </c>
      <c r="G61" s="78">
        <f t="shared" ca="1" si="2"/>
        <v>30.484007925275968</v>
      </c>
      <c r="H61" s="79">
        <f t="shared" ca="1" si="48"/>
        <v>21540</v>
      </c>
      <c r="I61" s="76">
        <f ca="1">IFERROR(__xludf.DUMMYFUNCTION("IMPORTRANGE(""https://docs.google.com/spreadsheets/d/1fJJCVBkBnhriyv0Cp5ZFMr0I_yrfdEITNpb4zILJgUQ/edit?usp=sharing"",""ปทุมธานี!N450"")"),21540)</f>
        <v>21540</v>
      </c>
      <c r="J61" s="76">
        <f ca="1">IFERROR(__xludf.DUMMYFUNCTION("IMPORTRANGE(""https://docs.google.com/spreadsheets/d/1fJJCVBkBnhriyv0Cp5ZFMr0I_yrfdEITNpb4zILJgUQ/edit?usp=sharing"",""ปทุมธานี!N451"")"),0)</f>
        <v>0</v>
      </c>
      <c r="K61" s="76">
        <f ca="1">IFERROR(__xludf.DUMMYFUNCTION("IMPORTRANGE(""https://docs.google.com/spreadsheets/d/1fJJCVBkBnhriyv0Cp5ZFMr0I_yrfdEITNpb4zILJgUQ/edit?usp=sharing"",""ปทุมธานี!N452"")"),0)</f>
        <v>0</v>
      </c>
      <c r="L61" s="76">
        <f ca="1">IFERROR(__xludf.DUMMYFUNCTION("IMPORTRANGE(""https://docs.google.com/spreadsheets/d/1fJJCVBkBnhriyv0Cp5ZFMr0I_yrfdEITNpb4zILJgUQ/edit?usp=sharing"",""ปทุมธานี!N453"")"),0)</f>
        <v>0</v>
      </c>
      <c r="M61" s="80">
        <f ca="1">IFERROR(__xludf.DUMMYFUNCTION("IMPORTRANGE(""https://docs.google.com/spreadsheets/d/1fJJCVBkBnhriyv0Cp5ZFMr0I_yrfdEITNpb4zILJgUQ/edit?usp=sharing"",""ปทุมธานี!N456"")"),0)</f>
        <v>0</v>
      </c>
      <c r="N61" s="80">
        <f t="shared" ca="1" si="26"/>
        <v>0</v>
      </c>
      <c r="O61" s="81">
        <f ca="1">IFERROR(__xludf.DUMMYFUNCTION("IMPORTRANGE(""https://docs.google.com/spreadsheets/d/1fJJCVBkBnhriyv0Cp5ZFMr0I_yrfdEITNpb4zILJgUQ/edit?usp=sharing"",""ปทุมธานี!I458"")"),0)</f>
        <v>0</v>
      </c>
      <c r="P61" s="81">
        <f ca="1">IFERROR(__xludf.DUMMYFUNCTION("IMPORTRANGE(""https://docs.google.com/spreadsheets/d/1fJJCVBkBnhriyv0Cp5ZFMr0I_yrfdEITNpb4zILJgUQ/edit?usp=sharing"",""ปทุมธานี!J458"")"),0)</f>
        <v>0</v>
      </c>
      <c r="Q61" s="82">
        <f t="shared" ca="1" si="20"/>
        <v>0</v>
      </c>
      <c r="R61" s="81">
        <f ca="1">IFERROR(__xludf.DUMMYFUNCTION("IMPORTRANGE(""https://docs.google.com/spreadsheets/d/1fJJCVBkBnhriyv0Cp5ZFMr0I_yrfdEITNpb4zILJgUQ/edit?usp=sharing"",""ปทุมธานี!I460"")"),10)</f>
        <v>10</v>
      </c>
      <c r="S61" s="81">
        <f ca="1">IFERROR(__xludf.DUMMYFUNCTION("IMPORTRANGE(""https://docs.google.com/spreadsheets/d/1fJJCVBkBnhriyv0Cp5ZFMr0I_yrfdEITNpb4zILJgUQ/edit?usp=sharing"",""ปทุมธานี!J460"")"),10)</f>
        <v>10</v>
      </c>
      <c r="T61" s="82">
        <f t="shared" ca="1" si="21"/>
        <v>100</v>
      </c>
      <c r="U61" s="81">
        <f ca="1">IFERROR(__xludf.DUMMYFUNCTION("IMPORTRANGE(""https://docs.google.com/spreadsheets/d/1fJJCVBkBnhriyv0Cp5ZFMr0I_yrfdEITNpb4zILJgUQ/edit?usp=sharing"",""ปทุมธานี!I462"")"),20)</f>
        <v>20</v>
      </c>
      <c r="V61" s="81">
        <f ca="1">IFERROR(__xludf.DUMMYFUNCTION("IMPORTRANGE(""https://docs.google.com/spreadsheets/d/1fJJCVBkBnhriyv0Cp5ZFMr0I_yrfdEITNpb4zILJgUQ/edit?usp=sharing"",""ปทุมธานี!J462"")"),0)</f>
        <v>0</v>
      </c>
      <c r="W61" s="82">
        <f t="shared" ca="1" si="22"/>
        <v>0</v>
      </c>
      <c r="X61" s="81">
        <f ca="1">IFERROR(__xludf.DUMMYFUNCTION("IMPORTRANGE(""https://docs.google.com/spreadsheets/d/1fJJCVBkBnhriyv0Cp5ZFMr0I_yrfdEITNpb4zILJgUQ/edit?usp=sharing"",""ปทุมธานี!I463"")"),20)</f>
        <v>20</v>
      </c>
      <c r="Y61" s="81">
        <f ca="1">IFERROR(__xludf.DUMMYFUNCTION("IMPORTRANGE(""https://docs.google.com/spreadsheets/d/1fJJCVBkBnhriyv0Cp5ZFMr0I_yrfdEITNpb4zILJgUQ/edit?usp=sharing"",""ปทุมธานี!I464"")"),10)</f>
        <v>10</v>
      </c>
      <c r="Z61" s="81">
        <f ca="1">IFERROR(__xludf.DUMMYFUNCTION("IMPORTRANGE(""https://docs.google.com/spreadsheets/d/1fJJCVBkBnhriyv0Cp5ZFMr0I_yrfdEITNpb4zILJgUQ/edit?usp=sharing"",""ปทุมธานี!J463"")"),0)</f>
        <v>0</v>
      </c>
      <c r="AA61" s="82">
        <f t="shared" ca="1" si="23"/>
        <v>0</v>
      </c>
      <c r="AB61" s="81">
        <f ca="1">IFERROR(__xludf.DUMMYFUNCTION("IMPORTRANGE(""https://docs.google.com/spreadsheets/d/1fJJCVBkBnhriyv0Cp5ZFMr0I_yrfdEITNpb4zILJgUQ/edit?usp=sharing"",""ปทุมธานี!J464"")"),0)</f>
        <v>0</v>
      </c>
      <c r="AC61" s="82">
        <f t="shared" ca="1" si="13"/>
        <v>0</v>
      </c>
    </row>
    <row r="62" spans="1:29" ht="21" customHeight="1" x14ac:dyDescent="0.2">
      <c r="A62" s="72">
        <v>10</v>
      </c>
      <c r="B62" s="73" t="s">
        <v>79</v>
      </c>
      <c r="C62" s="74">
        <f t="shared" ca="1" si="47"/>
        <v>0</v>
      </c>
      <c r="D62" s="75">
        <f ca="1">IFERROR(__xludf.DUMMYFUNCTION("IMPORTRANGE(""https://docs.google.com/spreadsheets/d/1W5Jj_S0gYw6wSO7QcMI02YgyOBDKYgmm0NSUk-AQEac/edit?usp=sharing"",""ประจวบคีรีขันธ์!L449"")"),0)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IFERROR(__xludf.DUMMYFUNCTION("IMPORTRANGE(""https://docs.google.com/spreadsheets/d/1W5Jj_S0gYw6wSO7QcMI02YgyOBDKYgmm0NSUk-AQEac/edit?usp=sharing"",""ประจวบคีรีขันธ์!L456"")"),0)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48"/>
        <v>0</v>
      </c>
      <c r="I62" s="76">
        <f ca="1">IFERROR(__xludf.DUMMYFUNCTION("IMPORTRANGE(""https://docs.google.com/spreadsheets/d/1W5Jj_S0gYw6wSO7QcMI02YgyOBDKYgmm0NSUk-AQEac/edit?usp=sharing"",""ประจวบคีรีขันธ์!N450"")"),0)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IFERROR(__xludf.DUMMYFUNCTION("IMPORTRANGE(""https://docs.google.com/spreadsheets/d/1W5Jj_S0gYw6wSO7QcMI02YgyOBDKYgmm0NSUk-AQEac/edit?usp=sharing"",""ประจวบคีรีขันธ์!N451"")"),0)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IFERROR(__xludf.DUMMYFUNCTION("IMPORTRANGE(""https://docs.google.com/spreadsheets/d/1W5Jj_S0gYw6wSO7QcMI02YgyOBDKYgmm0NSUk-AQEac/edit?usp=sharing"",""ประจวบคีรีขันธ์!N452"")"),0)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IFERROR(__xludf.DUMMYFUNCTION("IMPORTRANGE(""https://docs.google.com/spreadsheets/d/1W5Jj_S0gYw6wSO7QcMI02YgyOBDKYgmm0NSUk-AQEac/edit?usp=sharing"",""ประจวบคีรีขันธ์!N453"")"),0)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IFERROR(__xludf.DUMMYFUNCTION("IMPORTRANGE(""https://docs.google.com/spreadsheets/d/1W5Jj_S0gYw6wSO7QcMI02YgyOBDKYgmm0NSUk-AQEac/edit?usp=sharing"",""ประจวบคีรีขันธ์!N456"")"),0)</f>
        <v>0</v>
      </c>
      <c r="N62" s="80">
        <f t="shared" ca="1" si="26"/>
        <v>0</v>
      </c>
      <c r="O62" s="81">
        <f ca="1">IFERROR(__xludf.DUMMYFUNCTION("IMPORTRANGE(""https://docs.google.com/spreadsheets/d/1W5Jj_S0gYw6wSO7QcMI02YgyOBDKYgmm0NSUk-AQEac/edit?usp=sharing"",""ประจวบคีรีขันธ์!I458"")"),0)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IFERROR(__xludf.DUMMYFUNCTION("IMPORTRANGE(""https://docs.google.com/spreadsheets/d/1W5Jj_S0gYw6wSO7QcMI02YgyOBDKYgmm0NSUk-AQEac/edit?usp=sharing"",""ประจวบคีรีขันธ์!J458"")"),0)</f>
        <v>0</v>
      </c>
      <c r="Q62" s="82">
        <f t="shared" ca="1" si="20"/>
        <v>0</v>
      </c>
      <c r="R62" s="81">
        <f ca="1">IFERROR(__xludf.DUMMYFUNCTION("IMPORTRANGE(""https://docs.google.com/spreadsheets/d/1W5Jj_S0gYw6wSO7QcMI02YgyOBDKYgmm0NSUk-AQEac/edit?usp=sharing"",""ประจวบคีรีขันธ์!I460"")"),0)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IFERROR(__xludf.DUMMYFUNCTION("IMPORTRANGE(""https://docs.google.com/spreadsheets/d/1W5Jj_S0gYw6wSO7QcMI02YgyOBDKYgmm0NSUk-AQEac/edit?usp=sharing"",""ประจวบคีรีขันธ์!J460"")"),0)</f>
        <v>0</v>
      </c>
      <c r="T62" s="82">
        <f t="shared" ca="1" si="21"/>
        <v>0</v>
      </c>
      <c r="U62" s="81">
        <f ca="1">IFERROR(__xludf.DUMMYFUNCTION("IMPORTRANGE(""https://docs.google.com/spreadsheets/d/1W5Jj_S0gYw6wSO7QcMI02YgyOBDKYgmm0NSUk-AQEac/edit?usp=sharing"",""ประจวบคีรีขันธ์!I462"")"),0)</f>
        <v>0</v>
      </c>
      <c r="V62" s="81">
        <f ca="1">IFERROR(__xludf.DUMMYFUNCTION("IMPORTRANGE(""https://docs.google.com/spreadsheets/d/1W5Jj_S0gYw6wSO7QcMI02YgyOBDKYgmm0NSUk-AQEac/edit?usp=sharing"",""ประจวบคีรีขันธ์!J462"")"),0)</f>
        <v>0</v>
      </c>
      <c r="W62" s="82">
        <f t="shared" ca="1" si="22"/>
        <v>0</v>
      </c>
      <c r="X62" s="81">
        <f ca="1">IFERROR(__xludf.DUMMYFUNCTION("IMPORTRANGE(""https://docs.google.com/spreadsheets/d/1W5Jj_S0gYw6wSO7QcMI02YgyOBDKYgmm0NSUk-AQEac/edit?usp=sharing"",""ประจวบคีรีขันธ์!I463"")"),0)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IFERROR(__xludf.DUMMYFUNCTION("IMPORTRANGE(""https://docs.google.com/spreadsheets/d/1W5Jj_S0gYw6wSO7QcMI02YgyOBDKYgmm0NSUk-AQEac/edit?usp=sharing"",""ประจวบคีรีขันธ์!I464"")"),0)</f>
        <v>0</v>
      </c>
      <c r="Z62" s="81">
        <f ca="1">IFERROR(__xludf.DUMMYFUNCTION("IMPORTRANGE(""https://docs.google.com/spreadsheets/d/1W5Jj_S0gYw6wSO7QcMI02YgyOBDKYgmm0NSUk-AQEac/edit?usp=sharing"",""ประจวบคีรีขันธ์!J463"")"),0)</f>
        <v>0</v>
      </c>
      <c r="AA62" s="82">
        <f t="shared" ca="1" si="23"/>
        <v>0</v>
      </c>
      <c r="AB62" s="81">
        <f ca="1">IFERROR(__xludf.DUMMYFUNCTION("IMPORTRANGE(""https://docs.google.com/spreadsheets/d/1W5Jj_S0gYw6wSO7QcMI02YgyOBDKYgmm0NSUk-AQEac/edit?usp=sharing"",""ประจวบคีรีขันธ์!J464"")"),0)</f>
        <v>0</v>
      </c>
      <c r="AC62" s="82">
        <f t="shared" ca="1" si="13"/>
        <v>0</v>
      </c>
    </row>
    <row r="63" spans="1:29" ht="21" customHeight="1" x14ac:dyDescent="0.2">
      <c r="A63" s="72">
        <v>11</v>
      </c>
      <c r="B63" s="73" t="s">
        <v>80</v>
      </c>
      <c r="C63" s="74">
        <f t="shared" ca="1" si="47"/>
        <v>172480</v>
      </c>
      <c r="D63" s="75">
        <f ca="1">IFERROR(__xludf.DUMMYFUNCTION("IMPORTRANGE(""https://docs.google.com/spreadsheets/d/1nYxRXgnCfTXtqUY1otYuTlnrzE0Tn-Y0YRsW5pkRVqo/edit?usp=sharing"",""ปราจีนบุรี!L449"")"),172480)</f>
        <v>172480</v>
      </c>
      <c r="E63" s="76">
        <f ca="1">IFERROR(__xludf.DUMMYFUNCTION("IMPORTRANGE(""https://docs.google.com/spreadsheets/d/1nYxRXgnCfTXtqUY1otYuTlnrzE0Tn-Y0YRsW5pkRVqo/edit?usp=sharing"",""ปราจีนบุรี!L456"")"),0)</f>
        <v>0</v>
      </c>
      <c r="F63" s="77">
        <f t="shared" ca="1" si="1"/>
        <v>169553.27000000002</v>
      </c>
      <c r="G63" s="78">
        <f t="shared" ca="1" si="2"/>
        <v>98.303148191094621</v>
      </c>
      <c r="H63" s="79">
        <f t="shared" ca="1" si="48"/>
        <v>169553.27000000002</v>
      </c>
      <c r="I63" s="76">
        <f ca="1">IFERROR(__xludf.DUMMYFUNCTION("IMPORTRANGE(""https://docs.google.com/spreadsheets/d/1nYxRXgnCfTXtqUY1otYuTlnrzE0Tn-Y0YRsW5pkRVqo/edit?usp=sharing"",""ปราจีนบุรี!N450"")"),78553.27)</f>
        <v>78553.27</v>
      </c>
      <c r="J63" s="76">
        <f ca="1">IFERROR(__xludf.DUMMYFUNCTION("IMPORTRANGE(""https://docs.google.com/spreadsheets/d/1nYxRXgnCfTXtqUY1otYuTlnrzE0Tn-Y0YRsW5pkRVqo/edit?usp=sharing"",""ปราจีนบุรี!N451"")"),91000)</f>
        <v>91000</v>
      </c>
      <c r="K63" s="76">
        <f ca="1">IFERROR(__xludf.DUMMYFUNCTION("IMPORTRANGE(""https://docs.google.com/spreadsheets/d/1nYxRXgnCfTXtqUY1otYuTlnrzE0Tn-Y0YRsW5pkRVqo/edit?usp=sharing"",""ปราจีนบุรี!N452"")"),0)</f>
        <v>0</v>
      </c>
      <c r="L63" s="76">
        <f ca="1">IFERROR(__xludf.DUMMYFUNCTION("IMPORTRANGE(""https://docs.google.com/spreadsheets/d/1nYxRXgnCfTXtqUY1otYuTlnrzE0Tn-Y0YRsW5pkRVqo/edit?usp=sharing"",""ปราจีนบุรี!N453"")"),0)</f>
        <v>0</v>
      </c>
      <c r="M63" s="80">
        <f ca="1">IFERROR(__xludf.DUMMYFUNCTION("IMPORTRANGE(""https://docs.google.com/spreadsheets/d/1nYxRXgnCfTXtqUY1otYuTlnrzE0Tn-Y0YRsW5pkRVqo/edit?usp=sharing"",""ปราจีนบุรี!N456"")"),0)</f>
        <v>0</v>
      </c>
      <c r="N63" s="80">
        <f t="shared" ca="1" si="26"/>
        <v>0</v>
      </c>
      <c r="O63" s="81">
        <f ca="1">IFERROR(__xludf.DUMMYFUNCTION("IMPORTRANGE(""https://docs.google.com/spreadsheets/d/1nYxRXgnCfTXtqUY1otYuTlnrzE0Tn-Y0YRsW5pkRVqo/edit?usp=sharing"",""ปราจีนบุรี!I458"")"),0)</f>
        <v>0</v>
      </c>
      <c r="P63" s="81">
        <f ca="1">IFERROR(__xludf.DUMMYFUNCTION("IMPORTRANGE(""https://docs.google.com/spreadsheets/d/1nYxRXgnCfTXtqUY1otYuTlnrzE0Tn-Y0YRsW5pkRVqo/edit?usp=sharing"",""ปราจีนบุรี!J458"")"),0)</f>
        <v>0</v>
      </c>
      <c r="Q63" s="82">
        <f t="shared" ca="1" si="20"/>
        <v>0</v>
      </c>
      <c r="R63" s="81">
        <f ca="1">IFERROR(__xludf.DUMMYFUNCTION("IMPORTRANGE(""https://docs.google.com/spreadsheets/d/1nYxRXgnCfTXtqUY1otYuTlnrzE0Tn-Y0YRsW5pkRVqo/edit?usp=sharing"",""ปราจีนบุรี!I460"")"),30)</f>
        <v>30</v>
      </c>
      <c r="S63" s="81">
        <f ca="1">IFERROR(__xludf.DUMMYFUNCTION("IMPORTRANGE(""https://docs.google.com/spreadsheets/d/1nYxRXgnCfTXtqUY1otYuTlnrzE0Tn-Y0YRsW5pkRVqo/edit?usp=sharing"",""ปราจีนบุรี!J460"")"),30)</f>
        <v>30</v>
      </c>
      <c r="T63" s="82">
        <f t="shared" ca="1" si="21"/>
        <v>100</v>
      </c>
      <c r="U63" s="81">
        <f ca="1">IFERROR(__xludf.DUMMYFUNCTION("IMPORTRANGE(""https://docs.google.com/spreadsheets/d/1nYxRXgnCfTXtqUY1otYuTlnrzE0Tn-Y0YRsW5pkRVqo/edit?usp=sharing"",""ปราจีนบุรี!I462"")"),90)</f>
        <v>90</v>
      </c>
      <c r="V63" s="81">
        <f ca="1">IFERROR(__xludf.DUMMYFUNCTION("IMPORTRANGE(""https://docs.google.com/spreadsheets/d/1nYxRXgnCfTXtqUY1otYuTlnrzE0Tn-Y0YRsW5pkRVqo/edit?usp=sharing"",""ปราจีนบุรี!J462"")"),90)</f>
        <v>90</v>
      </c>
      <c r="W63" s="82">
        <f t="shared" ca="1" si="22"/>
        <v>100</v>
      </c>
      <c r="X63" s="81">
        <f ca="1">IFERROR(__xludf.DUMMYFUNCTION("IMPORTRANGE(""https://docs.google.com/spreadsheets/d/1nYxRXgnCfTXtqUY1otYuTlnrzE0Tn-Y0YRsW5pkRVqo/edit?usp=sharing"",""ปราจีนบุรี!I463"")"),90)</f>
        <v>90</v>
      </c>
      <c r="Y63" s="81">
        <f ca="1">IFERROR(__xludf.DUMMYFUNCTION("IMPORTRANGE(""https://docs.google.com/spreadsheets/d/1nYxRXgnCfTXtqUY1otYuTlnrzE0Tn-Y0YRsW5pkRVqo/edit?usp=sharing"",""ปราจีนบุรี!I464"")"),30)</f>
        <v>30</v>
      </c>
      <c r="Z63" s="81">
        <f ca="1">IFERROR(__xludf.DUMMYFUNCTION("IMPORTRANGE(""https://docs.google.com/spreadsheets/d/1nYxRXgnCfTXtqUY1otYuTlnrzE0Tn-Y0YRsW5pkRVqo/edit?usp=sharing"",""ปราจีนบุรี!J463"")"),90)</f>
        <v>90</v>
      </c>
      <c r="AA63" s="82">
        <f t="shared" ca="1" si="23"/>
        <v>100</v>
      </c>
      <c r="AB63" s="81">
        <f ca="1">IFERROR(__xludf.DUMMYFUNCTION("IMPORTRANGE(""https://docs.google.com/spreadsheets/d/1nYxRXgnCfTXtqUY1otYuTlnrzE0Tn-Y0YRsW5pkRVqo/edit?usp=sharing"",""ปราจีนบุรี!J464"")"),30)</f>
        <v>30</v>
      </c>
      <c r="AC63" s="82">
        <f t="shared" ca="1" si="13"/>
        <v>100</v>
      </c>
    </row>
    <row r="64" spans="1:29" ht="21" customHeight="1" x14ac:dyDescent="0.2">
      <c r="A64" s="72">
        <v>12</v>
      </c>
      <c r="B64" s="73" t="s">
        <v>81</v>
      </c>
      <c r="C64" s="74">
        <f t="shared" ca="1" si="47"/>
        <v>0</v>
      </c>
      <c r="D64" s="75">
        <f ca="1">IFERROR(__xludf.DUMMYFUNCTION("IMPORTRANGE(""https://docs.google.com/spreadsheets/d/1nNHCLO8ZAXOMfQvxux7cf_hrzPAh8FAvaHq_ClKbZNo/edit?usp=sharing"",""พระนครศรีอยุธยา!L449"")"),0)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IFERROR(__xludf.DUMMYFUNCTION("IMPORTRANGE(""https://docs.google.com/spreadsheets/d/1nNHCLO8ZAXOMfQvxux7cf_hrzPAh8FAvaHq_ClKbZNo/edit?usp=sharing"",""พระนครศรีอยุธยา!L456"")"),0)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48"/>
        <v>0</v>
      </c>
      <c r="I64" s="76">
        <f ca="1">IFERROR(__xludf.DUMMYFUNCTION("IMPORTRANGE(""https://docs.google.com/spreadsheets/d/1nNHCLO8ZAXOMfQvxux7cf_hrzPAh8FAvaHq_ClKbZNo/edit?usp=sharing"",""พระนครศรีอยุธยา!N450"")"),0)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IFERROR(__xludf.DUMMYFUNCTION("IMPORTRANGE(""https://docs.google.com/spreadsheets/d/1nNHCLO8ZAXOMfQvxux7cf_hrzPAh8FAvaHq_ClKbZNo/edit?usp=sharing"",""พระนครศรีอยุธยา!N451"")"),0)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IFERROR(__xludf.DUMMYFUNCTION("IMPORTRANGE(""https://docs.google.com/spreadsheets/d/1nNHCLO8ZAXOMfQvxux7cf_hrzPAh8FAvaHq_ClKbZNo/edit?usp=sharing"",""พระนครศรีอยุธยา!N452"")"),0)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IFERROR(__xludf.DUMMYFUNCTION("IMPORTRANGE(""https://docs.google.com/spreadsheets/d/1nNHCLO8ZAXOMfQvxux7cf_hrzPAh8FAvaHq_ClKbZNo/edit?usp=sharing"",""พระนครศรีอยุธยา!N453"")"),0)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IFERROR(__xludf.DUMMYFUNCTION("IMPORTRANGE(""https://docs.google.com/spreadsheets/d/1nNHCLO8ZAXOMfQvxux7cf_hrzPAh8FAvaHq_ClKbZNo/edit?usp=sharing"",""พระนครศรีอยุธยา!N456"")"),0)</f>
        <v>0</v>
      </c>
      <c r="N64" s="80">
        <f t="shared" ca="1" si="26"/>
        <v>0</v>
      </c>
      <c r="O64" s="81">
        <f ca="1">IFERROR(__xludf.DUMMYFUNCTION("IMPORTRANGE(""https://docs.google.com/spreadsheets/d/1nNHCLO8ZAXOMfQvxux7cf_hrzPAh8FAvaHq_ClKbZNo/edit?usp=sharing"",""พระนครศรีอยุธยา!I458"")"),0)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IFERROR(__xludf.DUMMYFUNCTION("IMPORTRANGE(""https://docs.google.com/spreadsheets/d/1nNHCLO8ZAXOMfQvxux7cf_hrzPAh8FAvaHq_ClKbZNo/edit?usp=sharing"",""พระนครศรีอยุธยา!J458"")"),0)</f>
        <v>0</v>
      </c>
      <c r="Q64" s="82">
        <f t="shared" ca="1" si="20"/>
        <v>0</v>
      </c>
      <c r="R64" s="81">
        <f ca="1">IFERROR(__xludf.DUMMYFUNCTION("IMPORTRANGE(""https://docs.google.com/spreadsheets/d/1nNHCLO8ZAXOMfQvxux7cf_hrzPAh8FAvaHq_ClKbZNo/edit?usp=sharing"",""พระนครศรีอยุธยา!I460"")"),0)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IFERROR(__xludf.DUMMYFUNCTION("IMPORTRANGE(""https://docs.google.com/spreadsheets/d/1nNHCLO8ZAXOMfQvxux7cf_hrzPAh8FAvaHq_ClKbZNo/edit?usp=sharing"",""พระนครศรีอยุธยา!J460"")"),0)</f>
        <v>0</v>
      </c>
      <c r="T64" s="82">
        <f t="shared" ca="1" si="21"/>
        <v>0</v>
      </c>
      <c r="U64" s="81">
        <f ca="1">IFERROR(__xludf.DUMMYFUNCTION("IMPORTRANGE(""https://docs.google.com/spreadsheets/d/1nNHCLO8ZAXOMfQvxux7cf_hrzPAh8FAvaHq_ClKbZNo/edit?usp=sharing"",""พระนครศรีอยุธยา!I462"")"),0)</f>
        <v>0</v>
      </c>
      <c r="V64" s="81">
        <f ca="1">IFERROR(__xludf.DUMMYFUNCTION("IMPORTRANGE(""https://docs.google.com/spreadsheets/d/1nNHCLO8ZAXOMfQvxux7cf_hrzPAh8FAvaHq_ClKbZNo/edit?usp=sharing"",""พระนครศรีอยุธยา!J462"")"),0)</f>
        <v>0</v>
      </c>
      <c r="W64" s="82">
        <f t="shared" ca="1" si="22"/>
        <v>0</v>
      </c>
      <c r="X64" s="81">
        <f ca="1">IFERROR(__xludf.DUMMYFUNCTION("IMPORTRANGE(""https://docs.google.com/spreadsheets/d/1nNHCLO8ZAXOMfQvxux7cf_hrzPAh8FAvaHq_ClKbZNo/edit?usp=sharing"",""พระนครศรีอยุธยา!I463"")"),0)</f>
        <v>0</v>
      </c>
      <c r="Y64" s="81">
        <f ca="1">IFERROR(__xludf.DUMMYFUNCTION("IMPORTRANGE(""https://docs.google.com/spreadsheets/d/1nNHCLO8ZAXOMfQvxux7cf_hrzPAh8FAvaHq_ClKbZNo/edit?usp=sharing"",""พระนครศรีอยุธยา!I464"")"),0)</f>
        <v>0</v>
      </c>
      <c r="Z64" s="81">
        <f ca="1">IFERROR(__xludf.DUMMYFUNCTION("IMPORTRANGE(""https://docs.google.com/spreadsheets/d/1nNHCLO8ZAXOMfQvxux7cf_hrzPAh8FAvaHq_ClKbZNo/edit?usp=sharing"",""พระนครศรีอยุธยา!J463"")"),0)</f>
        <v>0</v>
      </c>
      <c r="AA64" s="82">
        <f t="shared" ca="1" si="23"/>
        <v>0</v>
      </c>
      <c r="AB64" s="81">
        <f ca="1">IFERROR(__xludf.DUMMYFUNCTION("IMPORTRANGE(""https://docs.google.com/spreadsheets/d/1nNHCLO8ZAXOMfQvxux7cf_hrzPAh8FAvaHq_ClKbZNo/edit?usp=sharing"",""พระนครศรีอยุธยา!J464"")"),0)</f>
        <v>0</v>
      </c>
      <c r="AC64" s="82">
        <f t="shared" ca="1" si="13"/>
        <v>0</v>
      </c>
    </row>
    <row r="65" spans="1:29" ht="21" customHeight="1" x14ac:dyDescent="0.2">
      <c r="A65" s="72">
        <v>13</v>
      </c>
      <c r="B65" s="73" t="s">
        <v>82</v>
      </c>
      <c r="C65" s="74">
        <f t="shared" ca="1" si="47"/>
        <v>0</v>
      </c>
      <c r="D65" s="75">
        <f ca="1">IFERROR(__xludf.DUMMYFUNCTION("IMPORTRANGE(""https://docs.google.com/spreadsheets/d/1CdNicvf3i6yt4tJlCePe3V1Va76wYqW0QzMzTsaGRrA/edit?usp=sharing"",""เพชรบุรี!L449"")"),0)</f>
        <v>0</v>
      </c>
      <c r="E65" s="76">
        <f ca="1">IFERROR(__xludf.DUMMYFUNCTION("IMPORTRANGE(""https://docs.google.com/spreadsheets/d/1CdNicvf3i6yt4tJlCePe3V1Va76wYqW0QzMzTsaGRrA/edit?usp=sharing"",""เพชรบุรี!L456"")"),0)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48"/>
        <v>0</v>
      </c>
      <c r="I65" s="76">
        <f ca="1">IFERROR(__xludf.DUMMYFUNCTION("IMPORTRANGE(""https://docs.google.com/spreadsheets/d/1CdNicvf3i6yt4tJlCePe3V1Va76wYqW0QzMzTsaGRrA/edit?usp=sharing"",""เพชรบุรี!N450"")"),0)</f>
        <v>0</v>
      </c>
      <c r="J65" s="76">
        <f ca="1">IFERROR(__xludf.DUMMYFUNCTION("IMPORTRANGE(""https://docs.google.com/spreadsheets/d/1CdNicvf3i6yt4tJlCePe3V1Va76wYqW0QzMzTsaGRrA/edit?usp=sharing"",""เพชรบุรี!N451"")"),0)</f>
        <v>0</v>
      </c>
      <c r="K65" s="76">
        <f ca="1">IFERROR(__xludf.DUMMYFUNCTION("IMPORTRANGE(""https://docs.google.com/spreadsheets/d/1CdNicvf3i6yt4tJlCePe3V1Va76wYqW0QzMzTsaGRrA/edit?usp=sharing"",""เพชรบุรี!N452"")"),0)</f>
        <v>0</v>
      </c>
      <c r="L65" s="76">
        <f ca="1">IFERROR(__xludf.DUMMYFUNCTION("IMPORTRANGE(""https://docs.google.com/spreadsheets/d/1CdNicvf3i6yt4tJlCePe3V1Va76wYqW0QzMzTsaGRrA/edit?usp=sharing"",""เพชรบุรี!N453"")"),0)</f>
        <v>0</v>
      </c>
      <c r="M65" s="80">
        <f ca="1">IFERROR(__xludf.DUMMYFUNCTION("IMPORTRANGE(""https://docs.google.com/spreadsheets/d/1CdNicvf3i6yt4tJlCePe3V1Va76wYqW0QzMzTsaGRrA/edit?usp=sharing"",""เพชรบุรี!N456"")"),0)</f>
        <v>0</v>
      </c>
      <c r="N65" s="80">
        <f t="shared" ca="1" si="26"/>
        <v>0</v>
      </c>
      <c r="O65" s="81">
        <f ca="1">IFERROR(__xludf.DUMMYFUNCTION("IMPORTRANGE(""https://docs.google.com/spreadsheets/d/1CdNicvf3i6yt4tJlCePe3V1Va76wYqW0QzMzTsaGRrA/edit?usp=sharing"",""เพชรบุรี!I458"")"),0)</f>
        <v>0</v>
      </c>
      <c r="P65" s="81">
        <f ca="1">IFERROR(__xludf.DUMMYFUNCTION("IMPORTRANGE(""https://docs.google.com/spreadsheets/d/1CdNicvf3i6yt4tJlCePe3V1Va76wYqW0QzMzTsaGRrA/edit?usp=sharing"",""เพชรบุรี!J458"")"),0)</f>
        <v>0</v>
      </c>
      <c r="Q65" s="82">
        <f t="shared" ca="1" si="20"/>
        <v>0</v>
      </c>
      <c r="R65" s="81">
        <f ca="1">IFERROR(__xludf.DUMMYFUNCTION("IMPORTRANGE(""https://docs.google.com/spreadsheets/d/1CdNicvf3i6yt4tJlCePe3V1Va76wYqW0QzMzTsaGRrA/edit?usp=sharing"",""เพชรบุรี!I460"")"),0)</f>
        <v>0</v>
      </c>
      <c r="S65" s="81">
        <f ca="1">IFERROR(__xludf.DUMMYFUNCTION("IMPORTRANGE(""https://docs.google.com/spreadsheets/d/1CdNicvf3i6yt4tJlCePe3V1Va76wYqW0QzMzTsaGRrA/edit?usp=sharing"",""เพชรบุรี!J460"")"),0)</f>
        <v>0</v>
      </c>
      <c r="T65" s="82">
        <f t="shared" ca="1" si="21"/>
        <v>0</v>
      </c>
      <c r="U65" s="81">
        <f ca="1">IFERROR(__xludf.DUMMYFUNCTION("IMPORTRANGE(""https://docs.google.com/spreadsheets/d/1CdNicvf3i6yt4tJlCePe3V1Va76wYqW0QzMzTsaGRrA/edit?usp=sharing"",""เพชรบุรี!I462"")"),0)</f>
        <v>0</v>
      </c>
      <c r="V65" s="81">
        <f ca="1">IFERROR(__xludf.DUMMYFUNCTION("IMPORTRANGE(""https://docs.google.com/spreadsheets/d/1CdNicvf3i6yt4tJlCePe3V1Va76wYqW0QzMzTsaGRrA/edit?usp=sharing"",""เพชรบุรี!J462"")"),0)</f>
        <v>0</v>
      </c>
      <c r="W65" s="82">
        <f t="shared" ca="1" si="22"/>
        <v>0</v>
      </c>
      <c r="X65" s="81">
        <f ca="1">IFERROR(__xludf.DUMMYFUNCTION("IMPORTRANGE(""https://docs.google.com/spreadsheets/d/1CdNicvf3i6yt4tJlCePe3V1Va76wYqW0QzMzTsaGRrA/edit?usp=sharing"",""เพชรบุรี!I463"")"),0)</f>
        <v>0</v>
      </c>
      <c r="Y65" s="81">
        <f ca="1">IFERROR(__xludf.DUMMYFUNCTION("IMPORTRANGE(""https://docs.google.com/spreadsheets/d/1CdNicvf3i6yt4tJlCePe3V1Va76wYqW0QzMzTsaGRrA/edit?usp=sharing"",""เพชรบุรี!I464"")"),0)</f>
        <v>0</v>
      </c>
      <c r="Z65" s="81">
        <f ca="1">IFERROR(__xludf.DUMMYFUNCTION("IMPORTRANGE(""https://docs.google.com/spreadsheets/d/1CdNicvf3i6yt4tJlCePe3V1Va76wYqW0QzMzTsaGRrA/edit?usp=sharing"",""เพชรบุรี!J463"")"),0)</f>
        <v>0</v>
      </c>
      <c r="AA65" s="82">
        <f t="shared" ca="1" si="23"/>
        <v>0</v>
      </c>
      <c r="AB65" s="81">
        <f ca="1">IFERROR(__xludf.DUMMYFUNCTION("IMPORTRANGE(""https://docs.google.com/spreadsheets/d/1CdNicvf3i6yt4tJlCePe3V1Va76wYqW0QzMzTsaGRrA/edit?usp=sharing"",""เพชรบุรี!J464"")"),0)</f>
        <v>0</v>
      </c>
      <c r="AC65" s="82">
        <f t="shared" ca="1" si="13"/>
        <v>0</v>
      </c>
    </row>
    <row r="66" spans="1:29" ht="21" customHeight="1" x14ac:dyDescent="0.2">
      <c r="A66" s="72">
        <v>14</v>
      </c>
      <c r="B66" s="73" t="s">
        <v>83</v>
      </c>
      <c r="C66" s="74">
        <f t="shared" ca="1" si="47"/>
        <v>180080</v>
      </c>
      <c r="D66" s="75">
        <f ca="1">IFERROR(__xludf.DUMMYFUNCTION("IMPORTRANGE(""https://docs.google.com/spreadsheets/d/1XiF77UIVHV0Kjc6xbXuOuJ10WgJYxd4p_22ngKVV5oM/edit?usp=sharing"",""ระยอง!L449"")"),180080)</f>
        <v>180080</v>
      </c>
      <c r="E66" s="76">
        <f ca="1">IFERROR(__xludf.DUMMYFUNCTION("IMPORTRANGE(""https://docs.google.com/spreadsheets/d/1XiF77UIVHV0Kjc6xbXuOuJ10WgJYxd4p_22ngKVV5oM/edit?usp=sharing"",""ระยอง!L456"")"),0)</f>
        <v>0</v>
      </c>
      <c r="F66" s="77">
        <f t="shared" ca="1" si="1"/>
        <v>31510</v>
      </c>
      <c r="G66" s="78">
        <f t="shared" ca="1" si="2"/>
        <v>17.497778764993335</v>
      </c>
      <c r="H66" s="79">
        <f t="shared" ca="1" si="48"/>
        <v>31510</v>
      </c>
      <c r="I66" s="76">
        <f ca="1">IFERROR(__xludf.DUMMYFUNCTION("IMPORTRANGE(""https://docs.google.com/spreadsheets/d/1XiF77UIVHV0Kjc6xbXuOuJ10WgJYxd4p_22ngKVV5oM/edit?usp=sharing"",""ระยอง!N450"")"),29610)</f>
        <v>29610</v>
      </c>
      <c r="J66" s="76">
        <f ca="1">IFERROR(__xludf.DUMMYFUNCTION("IMPORTRANGE(""https://docs.google.com/spreadsheets/d/1XiF77UIVHV0Kjc6xbXuOuJ10WgJYxd4p_22ngKVV5oM/edit?usp=sharing"",""ระยอง!N451"")"),0)</f>
        <v>0</v>
      </c>
      <c r="K66" s="76">
        <f ca="1">IFERROR(__xludf.DUMMYFUNCTION("IMPORTRANGE(""https://docs.google.com/spreadsheets/d/1XiF77UIVHV0Kjc6xbXuOuJ10WgJYxd4p_22ngKVV5oM/edit?usp=sharing"",""ระยอง!N452"")"),0)</f>
        <v>0</v>
      </c>
      <c r="L66" s="76">
        <f ca="1">IFERROR(__xludf.DUMMYFUNCTION("IMPORTRANGE(""https://docs.google.com/spreadsheets/d/1XiF77UIVHV0Kjc6xbXuOuJ10WgJYxd4p_22ngKVV5oM/edit?usp=sharing"",""ระยอง!N453"")"),1900)</f>
        <v>1900</v>
      </c>
      <c r="M66" s="80">
        <f ca="1">IFERROR(__xludf.DUMMYFUNCTION("IMPORTRANGE(""https://docs.google.com/spreadsheets/d/1XiF77UIVHV0Kjc6xbXuOuJ10WgJYxd4p_22ngKVV5oM/edit?usp=sharing"",""ระยอง!N456"")"),0)</f>
        <v>0</v>
      </c>
      <c r="N66" s="80">
        <f t="shared" ca="1" si="26"/>
        <v>0</v>
      </c>
      <c r="O66" s="81">
        <f ca="1">IFERROR(__xludf.DUMMYFUNCTION("IMPORTRANGE(""https://docs.google.com/spreadsheets/d/1XiF77UIVHV0Kjc6xbXuOuJ10WgJYxd4p_22ngKVV5oM/edit?usp=sharing"",""ระยอง!I458"")"),0)</f>
        <v>0</v>
      </c>
      <c r="P66" s="81">
        <f ca="1">IFERROR(__xludf.DUMMYFUNCTION("IMPORTRANGE(""https://docs.google.com/spreadsheets/d/1XiF77UIVHV0Kjc6xbXuOuJ10WgJYxd4p_22ngKVV5oM/edit?usp=sharing"",""ระยอง!J458"")"),0)</f>
        <v>0</v>
      </c>
      <c r="Q66" s="82">
        <f t="shared" ca="1" si="20"/>
        <v>0</v>
      </c>
      <c r="R66" s="81">
        <f ca="1">IFERROR(__xludf.DUMMYFUNCTION("IMPORTRANGE(""https://docs.google.com/spreadsheets/d/1XiF77UIVHV0Kjc6xbXuOuJ10WgJYxd4p_22ngKVV5oM/edit?usp=sharing"",""ระยอง!I460"")"),30)</f>
        <v>30</v>
      </c>
      <c r="S66" s="81">
        <f ca="1">IFERROR(__xludf.DUMMYFUNCTION("IMPORTRANGE(""https://docs.google.com/spreadsheets/d/1XiF77UIVHV0Kjc6xbXuOuJ10WgJYxd4p_22ngKVV5oM/edit?usp=sharing"",""ระยอง!J460"")"),25)</f>
        <v>25</v>
      </c>
      <c r="T66" s="82">
        <f t="shared" ca="1" si="21"/>
        <v>83.333333333333329</v>
      </c>
      <c r="U66" s="81">
        <f ca="1">IFERROR(__xludf.DUMMYFUNCTION("IMPORTRANGE(""https://docs.google.com/spreadsheets/d/1XiF77UIVHV0Kjc6xbXuOuJ10WgJYxd4p_22ngKVV5oM/edit?usp=sharing"",""ระยอง!I462"")"),100)</f>
        <v>100</v>
      </c>
      <c r="V66" s="81">
        <f ca="1">IFERROR(__xludf.DUMMYFUNCTION("IMPORTRANGE(""https://docs.google.com/spreadsheets/d/1XiF77UIVHV0Kjc6xbXuOuJ10WgJYxd4p_22ngKVV5oM/edit?usp=sharing"",""ระยอง!J462"")"),85)</f>
        <v>85</v>
      </c>
      <c r="W66" s="82">
        <f t="shared" ca="1" si="22"/>
        <v>85</v>
      </c>
      <c r="X66" s="81">
        <f ca="1">IFERROR(__xludf.DUMMYFUNCTION("IMPORTRANGE(""https://docs.google.com/spreadsheets/d/1XiF77UIVHV0Kjc6xbXuOuJ10WgJYxd4p_22ngKVV5oM/edit?usp=sharing"",""ระยอง!I463"")"),100)</f>
        <v>100</v>
      </c>
      <c r="Y66" s="81">
        <f ca="1">IFERROR(__xludf.DUMMYFUNCTION("IMPORTRANGE(""https://docs.google.com/spreadsheets/d/1XiF77UIVHV0Kjc6xbXuOuJ10WgJYxd4p_22ngKVV5oM/edit?usp=sharing"",""ระยอง!I464"")"),30)</f>
        <v>30</v>
      </c>
      <c r="Z66" s="81">
        <f ca="1">IFERROR(__xludf.DUMMYFUNCTION("IMPORTRANGE(""https://docs.google.com/spreadsheets/d/1XiF77UIVHV0Kjc6xbXuOuJ10WgJYxd4p_22ngKVV5oM/edit?usp=sharing"",""ระยอง!J463"")"),0)</f>
        <v>0</v>
      </c>
      <c r="AA66" s="82">
        <f t="shared" ca="1" si="23"/>
        <v>0</v>
      </c>
      <c r="AB66" s="81">
        <f ca="1">IFERROR(__xludf.DUMMYFUNCTION("IMPORTRANGE(""https://docs.google.com/spreadsheets/d/1XiF77UIVHV0Kjc6xbXuOuJ10WgJYxd4p_22ngKVV5oM/edit?usp=sharing"",""ระยอง!J464"")"),0)</f>
        <v>0</v>
      </c>
      <c r="AC66" s="82">
        <f t="shared" ca="1" si="13"/>
        <v>0</v>
      </c>
    </row>
    <row r="67" spans="1:29" ht="21" customHeight="1" x14ac:dyDescent="0.2">
      <c r="A67" s="72">
        <v>15</v>
      </c>
      <c r="B67" s="73" t="s">
        <v>84</v>
      </c>
      <c r="C67" s="74">
        <f t="shared" ca="1" si="47"/>
        <v>0</v>
      </c>
      <c r="D67" s="75">
        <f ca="1">IFERROR(__xludf.DUMMYFUNCTION("IMPORTRANGE(""https://docs.google.com/spreadsheets/d/1qU-W_9MCQD1pgIVXGEOjCFo9QqlmJywuebyGgaN92r8/edit?usp=sharing"",""ราชบุรี!L449"")"),0)</f>
        <v>0</v>
      </c>
      <c r="E67" s="76">
        <f ca="1">IFERROR(__xludf.DUMMYFUNCTION("IMPORTRANGE(""https://docs.google.com/spreadsheets/d/1qU-W_9MCQD1pgIVXGEOjCFo9QqlmJywuebyGgaN92r8/edit?usp=sharing"",""ราชบุรี!L456"")"),0)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48"/>
        <v>0</v>
      </c>
      <c r="I67" s="76">
        <f ca="1">IFERROR(__xludf.DUMMYFUNCTION("IMPORTRANGE(""https://docs.google.com/spreadsheets/d/1qU-W_9MCQD1pgIVXGEOjCFo9QqlmJywuebyGgaN92r8/edit?usp=sharing"",""ราชบุรี!N450"")"),0)</f>
        <v>0</v>
      </c>
      <c r="J67" s="76">
        <f ca="1">IFERROR(__xludf.DUMMYFUNCTION("IMPORTRANGE(""https://docs.google.com/spreadsheets/d/1qU-W_9MCQD1pgIVXGEOjCFo9QqlmJywuebyGgaN92r8/edit?usp=sharing"",""ราชบุรี!N451"")"),0)</f>
        <v>0</v>
      </c>
      <c r="K67" s="76">
        <f ca="1">IFERROR(__xludf.DUMMYFUNCTION("IMPORTRANGE(""https://docs.google.com/spreadsheets/d/1qU-W_9MCQD1pgIVXGEOjCFo9QqlmJywuebyGgaN92r8/edit?usp=sharing"",""ราชบุรี!N452"")"),0)</f>
        <v>0</v>
      </c>
      <c r="L67" s="76">
        <f ca="1">IFERROR(__xludf.DUMMYFUNCTION("IMPORTRANGE(""https://docs.google.com/spreadsheets/d/1qU-W_9MCQD1pgIVXGEOjCFo9QqlmJywuebyGgaN92r8/edit?usp=sharing"",""ราชบุรี!N453"")"),0)</f>
        <v>0</v>
      </c>
      <c r="M67" s="80">
        <f ca="1">IFERROR(__xludf.DUMMYFUNCTION("IMPORTRANGE(""https://docs.google.com/spreadsheets/d/1qU-W_9MCQD1pgIVXGEOjCFo9QqlmJywuebyGgaN92r8/edit?usp=sharing"",""ราชบุรี!N456"")"),0)</f>
        <v>0</v>
      </c>
      <c r="N67" s="80">
        <f t="shared" ca="1" si="26"/>
        <v>0</v>
      </c>
      <c r="O67" s="81">
        <f ca="1">IFERROR(__xludf.DUMMYFUNCTION("IMPORTRANGE(""https://docs.google.com/spreadsheets/d/1qU-W_9MCQD1pgIVXGEOjCFo9QqlmJywuebyGgaN92r8/edit?usp=sharing"",""ราชบุรี!I458"")"),0)</f>
        <v>0</v>
      </c>
      <c r="P67" s="81">
        <f ca="1">IFERROR(__xludf.DUMMYFUNCTION("IMPORTRANGE(""https://docs.google.com/spreadsheets/d/1qU-W_9MCQD1pgIVXGEOjCFo9QqlmJywuebyGgaN92r8/edit?usp=sharing"",""ราชบุรี!J458"")"),0)</f>
        <v>0</v>
      </c>
      <c r="Q67" s="82">
        <f t="shared" ca="1" si="20"/>
        <v>0</v>
      </c>
      <c r="R67" s="81">
        <f ca="1">IFERROR(__xludf.DUMMYFUNCTION("IMPORTRANGE(""https://docs.google.com/spreadsheets/d/1qU-W_9MCQD1pgIVXGEOjCFo9QqlmJywuebyGgaN92r8/edit?usp=sharing"",""ราชบุรี!I460"")"),0)</f>
        <v>0</v>
      </c>
      <c r="S67" s="81">
        <f ca="1">IFERROR(__xludf.DUMMYFUNCTION("IMPORTRANGE(""https://docs.google.com/spreadsheets/d/1qU-W_9MCQD1pgIVXGEOjCFo9QqlmJywuebyGgaN92r8/edit?usp=sharing"",""ราชบุรี!J460"")"),0)</f>
        <v>0</v>
      </c>
      <c r="T67" s="82">
        <f t="shared" ca="1" si="21"/>
        <v>0</v>
      </c>
      <c r="U67" s="81">
        <f ca="1">IFERROR(__xludf.DUMMYFUNCTION("IMPORTRANGE(""https://docs.google.com/spreadsheets/d/1qU-W_9MCQD1pgIVXGEOjCFo9QqlmJywuebyGgaN92r8/edit?usp=sharing"",""ราชบุรี!I462"")"),0)</f>
        <v>0</v>
      </c>
      <c r="V67" s="81">
        <f ca="1">IFERROR(__xludf.DUMMYFUNCTION("IMPORTRANGE(""https://docs.google.com/spreadsheets/d/1qU-W_9MCQD1pgIVXGEOjCFo9QqlmJywuebyGgaN92r8/edit?usp=sharing"",""ราชบุรี!J462"")"),0)</f>
        <v>0</v>
      </c>
      <c r="W67" s="82">
        <f t="shared" ca="1" si="22"/>
        <v>0</v>
      </c>
      <c r="X67" s="81">
        <f ca="1">IFERROR(__xludf.DUMMYFUNCTION("IMPORTRANGE(""https://docs.google.com/spreadsheets/d/1qU-W_9MCQD1pgIVXGEOjCFo9QqlmJywuebyGgaN92r8/edit?usp=sharing"",""ราชบุรี!I463"")"),0)</f>
        <v>0</v>
      </c>
      <c r="Y67" s="81">
        <f ca="1">IFERROR(__xludf.DUMMYFUNCTION("IMPORTRANGE(""https://docs.google.com/spreadsheets/d/1qU-W_9MCQD1pgIVXGEOjCFo9QqlmJywuebyGgaN92r8/edit?usp=sharing"",""ราชบุรี!I464"")"),0)</f>
        <v>0</v>
      </c>
      <c r="Z67" s="81">
        <f ca="1">IFERROR(__xludf.DUMMYFUNCTION("IMPORTRANGE(""https://docs.google.com/spreadsheets/d/1qU-W_9MCQD1pgIVXGEOjCFo9QqlmJywuebyGgaN92r8/edit?usp=sharing"",""ราชบุรี!J463"")"),0)</f>
        <v>0</v>
      </c>
      <c r="AA67" s="82">
        <f t="shared" ca="1" si="23"/>
        <v>0</v>
      </c>
      <c r="AB67" s="81">
        <f ca="1">IFERROR(__xludf.DUMMYFUNCTION("IMPORTRANGE(""https://docs.google.com/spreadsheets/d/1qU-W_9MCQD1pgIVXGEOjCFo9QqlmJywuebyGgaN92r8/edit?usp=sharing"",""ราชบุรี!J464"")"),0)</f>
        <v>0</v>
      </c>
      <c r="AC67" s="82">
        <f t="shared" ca="1" si="13"/>
        <v>0</v>
      </c>
    </row>
    <row r="68" spans="1:29" ht="24" customHeight="1" x14ac:dyDescent="0.2">
      <c r="A68" s="72">
        <v>16</v>
      </c>
      <c r="B68" s="73" t="s">
        <v>85</v>
      </c>
      <c r="C68" s="74">
        <f t="shared" ca="1" si="47"/>
        <v>312380</v>
      </c>
      <c r="D68" s="75">
        <f ca="1">IFERROR(__xludf.DUMMYFUNCTION("IMPORTRANGE(""https://docs.google.com/spreadsheets/d/1xYFIxIM_CspAP5Q-5Zx_V0T_Ut3cjryrjd2hss28vGk/edit?usp=sharing"",""ลพบุรี!L449"")"),312380)</f>
        <v>312380</v>
      </c>
      <c r="E68" s="76">
        <f ca="1">IFERROR(__xludf.DUMMYFUNCTION("IMPORTRANGE(""https://docs.google.com/spreadsheets/d/1xYFIxIM_CspAP5Q-5Zx_V0T_Ut3cjryrjd2hss28vGk/edit?usp=sharing"",""ลพบุรี!L456"")"),0)</f>
        <v>0</v>
      </c>
      <c r="F68" s="77">
        <f t="shared" ca="1" si="1"/>
        <v>61020</v>
      </c>
      <c r="G68" s="78">
        <f t="shared" ca="1" si="2"/>
        <v>19.53390101799091</v>
      </c>
      <c r="H68" s="79">
        <f t="shared" ca="1" si="48"/>
        <v>61020</v>
      </c>
      <c r="I68" s="76">
        <f ca="1">IFERROR(__xludf.DUMMYFUNCTION("IMPORTRANGE(""https://docs.google.com/spreadsheets/d/1xYFIxIM_CspAP5Q-5Zx_V0T_Ut3cjryrjd2hss28vGk/edit?usp=sharing"",""ลพบุรี!N450"")"),32270)</f>
        <v>32270</v>
      </c>
      <c r="J68" s="76">
        <f ca="1">IFERROR(__xludf.DUMMYFUNCTION("IMPORTRANGE(""https://docs.google.com/spreadsheets/d/1xYFIxIM_CspAP5Q-5Zx_V0T_Ut3cjryrjd2hss28vGk/edit?usp=sharing"",""ลพบุรี!N451"")"),0)</f>
        <v>0</v>
      </c>
      <c r="K68" s="76">
        <f ca="1">IFERROR(__xludf.DUMMYFUNCTION("IMPORTRANGE(""https://docs.google.com/spreadsheets/d/1xYFIxIM_CspAP5Q-5Zx_V0T_Ut3cjryrjd2hss28vGk/edit?usp=sharing"",""ลพบุรี!N452"")"),26000)</f>
        <v>26000</v>
      </c>
      <c r="L68" s="76">
        <f ca="1">IFERROR(__xludf.DUMMYFUNCTION("IMPORTRANGE(""https://docs.google.com/spreadsheets/d/1xYFIxIM_CspAP5Q-5Zx_V0T_Ut3cjryrjd2hss28vGk/edit?usp=sharing"",""ลพบุรี!N453"")"),2750)</f>
        <v>2750</v>
      </c>
      <c r="M68" s="80">
        <f ca="1">IFERROR(__xludf.DUMMYFUNCTION("IMPORTRANGE(""https://docs.google.com/spreadsheets/d/1xYFIxIM_CspAP5Q-5Zx_V0T_Ut3cjryrjd2hss28vGk/edit?usp=sharing"",""ลพบุรี!N456"")"),0)</f>
        <v>0</v>
      </c>
      <c r="N68" s="80">
        <f t="shared" ca="1" si="26"/>
        <v>0</v>
      </c>
      <c r="O68" s="81">
        <f ca="1">IFERROR(__xludf.DUMMYFUNCTION("IMPORTRANGE(""https://docs.google.com/spreadsheets/d/1xYFIxIM_CspAP5Q-5Zx_V0T_Ut3cjryrjd2hss28vGk/edit?usp=sharing"",""ลพบุรี!I458"")"),0)</f>
        <v>0</v>
      </c>
      <c r="P68" s="81">
        <f ca="1">IFERROR(__xludf.DUMMYFUNCTION("IMPORTRANGE(""https://docs.google.com/spreadsheets/d/1xYFIxIM_CspAP5Q-5Zx_V0T_Ut3cjryrjd2hss28vGk/edit?usp=sharing"",""ลพบุรี!J458"")"),0)</f>
        <v>0</v>
      </c>
      <c r="Q68" s="82">
        <f t="shared" ca="1" si="20"/>
        <v>0</v>
      </c>
      <c r="R68" s="81">
        <f ca="1">IFERROR(__xludf.DUMMYFUNCTION("IMPORTRANGE(""https://docs.google.com/spreadsheets/d/1xYFIxIM_CspAP5Q-5Zx_V0T_Ut3cjryrjd2hss28vGk/edit?usp=sharing"",""ลพบุรี!I460"")"),40)</f>
        <v>40</v>
      </c>
      <c r="S68" s="81">
        <f ca="1">IFERROR(__xludf.DUMMYFUNCTION("IMPORTRANGE(""https://docs.google.com/spreadsheets/d/1xYFIxIM_CspAP5Q-5Zx_V0T_Ut3cjryrjd2hss28vGk/edit?usp=sharing"",""ลพบุรี!J460"")"),40)</f>
        <v>40</v>
      </c>
      <c r="T68" s="82">
        <f t="shared" ca="1" si="21"/>
        <v>100</v>
      </c>
      <c r="U68" s="81">
        <f ca="1">IFERROR(__xludf.DUMMYFUNCTION("IMPORTRANGE(""https://docs.google.com/spreadsheets/d/1xYFIxIM_CspAP5Q-5Zx_V0T_Ut3cjryrjd2hss28vGk/edit?usp=sharing"",""ลพบุรี!I462"")"),65)</f>
        <v>65</v>
      </c>
      <c r="V68" s="81">
        <f ca="1">IFERROR(__xludf.DUMMYFUNCTION("IMPORTRANGE(""https://docs.google.com/spreadsheets/d/1xYFIxIM_CspAP5Q-5Zx_V0T_Ut3cjryrjd2hss28vGk/edit?usp=sharing"",""ลพบุรี!J462"")"),65)</f>
        <v>65</v>
      </c>
      <c r="W68" s="82">
        <f t="shared" ca="1" si="22"/>
        <v>100</v>
      </c>
      <c r="X68" s="81">
        <f ca="1">IFERROR(__xludf.DUMMYFUNCTION("IMPORTRANGE(""https://docs.google.com/spreadsheets/d/1xYFIxIM_CspAP5Q-5Zx_V0T_Ut3cjryrjd2hss28vGk/edit?usp=sharing"",""ลพบุรี!I463"")"),65)</f>
        <v>65</v>
      </c>
      <c r="Y68" s="81">
        <f ca="1">IFERROR(__xludf.DUMMYFUNCTION("IMPORTRANGE(""https://docs.google.com/spreadsheets/d/1xYFIxIM_CspAP5Q-5Zx_V0T_Ut3cjryrjd2hss28vGk/edit?usp=sharing"",""ลพบุรี!I464"")"),40)</f>
        <v>40</v>
      </c>
      <c r="Z68" s="81">
        <f ca="1">IFERROR(__xludf.DUMMYFUNCTION("IMPORTRANGE(""https://docs.google.com/spreadsheets/d/1xYFIxIM_CspAP5Q-5Zx_V0T_Ut3cjryrjd2hss28vGk/edit?usp=sharing"",""ลพบุรี!J463"")"),0)</f>
        <v>0</v>
      </c>
      <c r="AA68" s="82">
        <f t="shared" ca="1" si="23"/>
        <v>0</v>
      </c>
      <c r="AB68" s="81">
        <f ca="1">IFERROR(__xludf.DUMMYFUNCTION("IMPORTRANGE(""https://docs.google.com/spreadsheets/d/1xYFIxIM_CspAP5Q-5Zx_V0T_Ut3cjryrjd2hss28vGk/edit?usp=sharing"",""ลพบุรี!J464"")"),0)</f>
        <v>0</v>
      </c>
      <c r="AC68" s="82">
        <f t="shared" ca="1" si="13"/>
        <v>0</v>
      </c>
    </row>
    <row r="69" spans="1:29" ht="21" customHeight="1" x14ac:dyDescent="0.2">
      <c r="A69" s="72">
        <v>17</v>
      </c>
      <c r="B69" s="73" t="s">
        <v>86</v>
      </c>
      <c r="C69" s="74">
        <f t="shared" ca="1" si="47"/>
        <v>0</v>
      </c>
      <c r="D69" s="75">
        <f ca="1">IFERROR(__xludf.DUMMYFUNCTION("IMPORTRANGE(""https://docs.google.com/spreadsheets/d/11s9m3tKsCBdPWq6syhZm27eBGbKneDLZc75co106bio/edit?usp=sharing"",""สระแก้ว!L449"")"),0)</f>
        <v>0</v>
      </c>
      <c r="E69" s="76">
        <f ca="1">IFERROR(__xludf.DUMMYFUNCTION("IMPORTRANGE(""https://docs.google.com/spreadsheets/d/11s9m3tKsCBdPWq6syhZm27eBGbKneDLZc75co106bio/edit?usp=sharing"",""สระแก้ว!L456"")"),0)</f>
        <v>0</v>
      </c>
      <c r="F69" s="77">
        <f t="shared" ca="1" si="1"/>
        <v>0</v>
      </c>
      <c r="G69" s="78">
        <f t="shared" ca="1" si="2"/>
        <v>0</v>
      </c>
      <c r="H69" s="79">
        <f t="shared" ca="1" si="48"/>
        <v>0</v>
      </c>
      <c r="I69" s="76">
        <f ca="1">IFERROR(__xludf.DUMMYFUNCTION("IMPORTRANGE(""https://docs.google.com/spreadsheets/d/11s9m3tKsCBdPWq6syhZm27eBGbKneDLZc75co106bio/edit?usp=sharing"",""สระแก้ว!N450"")"),0)</f>
        <v>0</v>
      </c>
      <c r="J69" s="76">
        <f ca="1">IFERROR(__xludf.DUMMYFUNCTION("IMPORTRANGE(""https://docs.google.com/spreadsheets/d/11s9m3tKsCBdPWq6syhZm27eBGbKneDLZc75co106bio/edit?usp=sharing"",""สระแก้ว!N451"")"),0)</f>
        <v>0</v>
      </c>
      <c r="K69" s="76">
        <f ca="1">IFERROR(__xludf.DUMMYFUNCTION("IMPORTRANGE(""https://docs.google.com/spreadsheets/d/11s9m3tKsCBdPWq6syhZm27eBGbKneDLZc75co106bio/edit?usp=sharing"",""สระแก้ว!N452"")"),0)</f>
        <v>0</v>
      </c>
      <c r="L69" s="76">
        <f ca="1">IFERROR(__xludf.DUMMYFUNCTION("IMPORTRANGE(""https://docs.google.com/spreadsheets/d/11s9m3tKsCBdPWq6syhZm27eBGbKneDLZc75co106bio/edit?usp=sharing"",""สระแก้ว!N453"")"),0)</f>
        <v>0</v>
      </c>
      <c r="M69" s="80">
        <f ca="1">IFERROR(__xludf.DUMMYFUNCTION("IMPORTRANGE(""https://docs.google.com/spreadsheets/d/11s9m3tKsCBdPWq6syhZm27eBGbKneDLZc75co106bio/edit?usp=sharing"",""สระแก้ว!N456"")"),0)</f>
        <v>0</v>
      </c>
      <c r="N69" s="80">
        <f t="shared" ca="1" si="26"/>
        <v>0</v>
      </c>
      <c r="O69" s="81">
        <f ca="1">IFERROR(__xludf.DUMMYFUNCTION("IMPORTRANGE(""https://docs.google.com/spreadsheets/d/11s9m3tKsCBdPWq6syhZm27eBGbKneDLZc75co106bio/edit?usp=sharing"",""สระแก้ว!I458"")"),0)</f>
        <v>0</v>
      </c>
      <c r="P69" s="81">
        <f ca="1">IFERROR(__xludf.DUMMYFUNCTION("IMPORTRANGE(""https://docs.google.com/spreadsheets/d/11s9m3tKsCBdPWq6syhZm27eBGbKneDLZc75co106bio/edit?usp=sharing"",""สระแก้ว!J458"")"),0)</f>
        <v>0</v>
      </c>
      <c r="Q69" s="82">
        <f t="shared" ca="1" si="20"/>
        <v>0</v>
      </c>
      <c r="R69" s="81">
        <f ca="1">IFERROR(__xludf.DUMMYFUNCTION("IMPORTRANGE(""https://docs.google.com/spreadsheets/d/11s9m3tKsCBdPWq6syhZm27eBGbKneDLZc75co106bio/edit?usp=sharing"",""สระแก้ว!I460"")"),0)</f>
        <v>0</v>
      </c>
      <c r="S69" s="81">
        <f ca="1">IFERROR(__xludf.DUMMYFUNCTION("IMPORTRANGE(""https://docs.google.com/spreadsheets/d/11s9m3tKsCBdPWq6syhZm27eBGbKneDLZc75co106bio/edit?usp=sharing"",""สระแก้ว!J460"")"),0)</f>
        <v>0</v>
      </c>
      <c r="T69" s="82">
        <f t="shared" ca="1" si="21"/>
        <v>0</v>
      </c>
      <c r="U69" s="81">
        <f ca="1">IFERROR(__xludf.DUMMYFUNCTION("IMPORTRANGE(""https://docs.google.com/spreadsheets/d/11s9m3tKsCBdPWq6syhZm27eBGbKneDLZc75co106bio/edit?usp=sharing"",""สระแก้ว!I462"")"),0)</f>
        <v>0</v>
      </c>
      <c r="V69" s="81">
        <f ca="1">IFERROR(__xludf.DUMMYFUNCTION("IMPORTRANGE(""https://docs.google.com/spreadsheets/d/11s9m3tKsCBdPWq6syhZm27eBGbKneDLZc75co106bio/edit?usp=sharing"",""สระแก้ว!J462"")"),0)</f>
        <v>0</v>
      </c>
      <c r="W69" s="82">
        <f t="shared" ca="1" si="22"/>
        <v>0</v>
      </c>
      <c r="X69" s="81">
        <f ca="1">IFERROR(__xludf.DUMMYFUNCTION("IMPORTRANGE(""https://docs.google.com/spreadsheets/d/11s9m3tKsCBdPWq6syhZm27eBGbKneDLZc75co106bio/edit?usp=sharing"",""สระแก้ว!I463"")"),0)</f>
        <v>0</v>
      </c>
      <c r="Y69" s="81">
        <f ca="1">IFERROR(__xludf.DUMMYFUNCTION("IMPORTRANGE(""https://docs.google.com/spreadsheets/d/11s9m3tKsCBdPWq6syhZm27eBGbKneDLZc75co106bio/edit?usp=sharing"",""สระแก้ว!I464"")"),0)</f>
        <v>0</v>
      </c>
      <c r="Z69" s="81">
        <f ca="1">IFERROR(__xludf.DUMMYFUNCTION("IMPORTRANGE(""https://docs.google.com/spreadsheets/d/11s9m3tKsCBdPWq6syhZm27eBGbKneDLZc75co106bio/edit?usp=sharing"",""สระแก้ว!J463"")"),0)</f>
        <v>0</v>
      </c>
      <c r="AA69" s="82">
        <f t="shared" ca="1" si="23"/>
        <v>0</v>
      </c>
      <c r="AB69" s="81">
        <f ca="1">IFERROR(__xludf.DUMMYFUNCTION("IMPORTRANGE(""https://docs.google.com/spreadsheets/d/11s9m3tKsCBdPWq6syhZm27eBGbKneDLZc75co106bio/edit?usp=sharing"",""สระแก้ว!J464"")"),0)</f>
        <v>0</v>
      </c>
      <c r="AC69" s="82">
        <f t="shared" ca="1" si="13"/>
        <v>0</v>
      </c>
    </row>
    <row r="70" spans="1:29" ht="21" customHeight="1" x14ac:dyDescent="0.2">
      <c r="A70" s="72">
        <v>18</v>
      </c>
      <c r="B70" s="73" t="s">
        <v>87</v>
      </c>
      <c r="C70" s="74">
        <f t="shared" ca="1" si="47"/>
        <v>103436</v>
      </c>
      <c r="D70" s="75">
        <f ca="1">IFERROR(__xludf.DUMMYFUNCTION("IMPORTRANGE(""https://docs.google.com/spreadsheets/d/1Nn1EvsFPtXldgpgVb3Rcng2K2cls68LFQsBh2FyW0Bg/edit?usp=sharing"",""สระบุรี!L449"")"),103436)</f>
        <v>103436</v>
      </c>
      <c r="E70" s="76">
        <f ca="1">IFERROR(__xludf.DUMMYFUNCTION("IMPORTRANGE(""https://docs.google.com/spreadsheets/d/1Nn1EvsFPtXldgpgVb3Rcng2K2cls68LFQsBh2FyW0Bg/edit?usp=sharing"",""สระบุรี!L456"")"),0)</f>
        <v>0</v>
      </c>
      <c r="F70" s="77">
        <f t="shared" ca="1" si="1"/>
        <v>36550</v>
      </c>
      <c r="G70" s="78">
        <f t="shared" ca="1" si="2"/>
        <v>35.335859855369506</v>
      </c>
      <c r="H70" s="79">
        <f t="shared" ca="1" si="48"/>
        <v>36550</v>
      </c>
      <c r="I70" s="76">
        <f ca="1">IFERROR(__xludf.DUMMYFUNCTION("IMPORTRANGE(""https://docs.google.com/spreadsheets/d/1Nn1EvsFPtXldgpgVb3Rcng2K2cls68LFQsBh2FyW0Bg/edit?usp=sharing"",""สระบุรี!N450"")"),12690)</f>
        <v>12690</v>
      </c>
      <c r="J70" s="76">
        <f ca="1">IFERROR(__xludf.DUMMYFUNCTION("IMPORTRANGE(""https://docs.google.com/spreadsheets/d/1Nn1EvsFPtXldgpgVb3Rcng2K2cls68LFQsBh2FyW0Bg/edit?usp=sharing"",""สระบุรี!N451"")"),0)</f>
        <v>0</v>
      </c>
      <c r="K70" s="76">
        <f ca="1">IFERROR(__xludf.DUMMYFUNCTION("IMPORTRANGE(""https://docs.google.com/spreadsheets/d/1Nn1EvsFPtXldgpgVb3Rcng2K2cls68LFQsBh2FyW0Bg/edit?usp=sharing"",""สระบุรี!N452"")"),0)</f>
        <v>0</v>
      </c>
      <c r="L70" s="76">
        <f ca="1">IFERROR(__xludf.DUMMYFUNCTION("IMPORTRANGE(""https://docs.google.com/spreadsheets/d/1Nn1EvsFPtXldgpgVb3Rcng2K2cls68LFQsBh2FyW0Bg/edit?usp=sharing"",""สระบุรี!N453"")"),23860)</f>
        <v>23860</v>
      </c>
      <c r="M70" s="80">
        <f ca="1">IFERROR(__xludf.DUMMYFUNCTION("IMPORTRANGE(""https://docs.google.com/spreadsheets/d/1Nn1EvsFPtXldgpgVb3Rcng2K2cls68LFQsBh2FyW0Bg/edit?usp=sharing"",""สระบุรี!N456"")"),0)</f>
        <v>0</v>
      </c>
      <c r="N70" s="80">
        <f t="shared" ca="1" si="26"/>
        <v>0</v>
      </c>
      <c r="O70" s="81">
        <f ca="1">IFERROR(__xludf.DUMMYFUNCTION("IMPORTRANGE(""https://docs.google.com/spreadsheets/d/1Nn1EvsFPtXldgpgVb3Rcng2K2cls68LFQsBh2FyW0Bg/edit?usp=sharing"",""สระบุรี!I458"")"),0)</f>
        <v>0</v>
      </c>
      <c r="P70" s="81">
        <f ca="1">IFERROR(__xludf.DUMMYFUNCTION("IMPORTRANGE(""https://docs.google.com/spreadsheets/d/1Nn1EvsFPtXldgpgVb3Rcng2K2cls68LFQsBh2FyW0Bg/edit?usp=sharing"",""สระบุรี!J458"")"),0)</f>
        <v>0</v>
      </c>
      <c r="Q70" s="82">
        <f t="shared" ca="1" si="20"/>
        <v>0</v>
      </c>
      <c r="R70" s="81">
        <f ca="1">IFERROR(__xludf.DUMMYFUNCTION("IMPORTRANGE(""https://docs.google.com/spreadsheets/d/1Nn1EvsFPtXldgpgVb3Rcng2K2cls68LFQsBh2FyW0Bg/edit?usp=sharing"",""สระบุรี!I460"")"),10)</f>
        <v>10</v>
      </c>
      <c r="S70" s="81">
        <f ca="1">IFERROR(__xludf.DUMMYFUNCTION("IMPORTRANGE(""https://docs.google.com/spreadsheets/d/1Nn1EvsFPtXldgpgVb3Rcng2K2cls68LFQsBh2FyW0Bg/edit?usp=sharing"",""สระบุรี!J460"")"),10)</f>
        <v>10</v>
      </c>
      <c r="T70" s="82">
        <f t="shared" ca="1" si="21"/>
        <v>100</v>
      </c>
      <c r="U70" s="81">
        <f ca="1">IFERROR(__xludf.DUMMYFUNCTION("IMPORTRANGE(""https://docs.google.com/spreadsheets/d/1Nn1EvsFPtXldgpgVb3Rcng2K2cls68LFQsBh2FyW0Bg/edit?usp=sharing"",""สระบุรี!I462"")"),20)</f>
        <v>20</v>
      </c>
      <c r="V70" s="81">
        <f ca="1">IFERROR(__xludf.DUMMYFUNCTION("IMPORTRANGE(""https://docs.google.com/spreadsheets/d/1Nn1EvsFPtXldgpgVb3Rcng2K2cls68LFQsBh2FyW0Bg/edit?usp=sharing"",""สระบุรี!J462"")"),20)</f>
        <v>20</v>
      </c>
      <c r="W70" s="82">
        <f t="shared" ca="1" si="22"/>
        <v>100</v>
      </c>
      <c r="X70" s="81">
        <f ca="1">IFERROR(__xludf.DUMMYFUNCTION("IMPORTRANGE(""https://docs.google.com/spreadsheets/d/1Nn1EvsFPtXldgpgVb3Rcng2K2cls68LFQsBh2FyW0Bg/edit?usp=sharing"",""สระบุรี!I463"")"),20)</f>
        <v>20</v>
      </c>
      <c r="Y70" s="81">
        <f ca="1">IFERROR(__xludf.DUMMYFUNCTION("IMPORTRANGE(""https://docs.google.com/spreadsheets/d/1Nn1EvsFPtXldgpgVb3Rcng2K2cls68LFQsBh2FyW0Bg/edit?usp=sharing"",""สระบุรี!I464"")"),10)</f>
        <v>10</v>
      </c>
      <c r="Z70" s="81">
        <f ca="1">IFERROR(__xludf.DUMMYFUNCTION("IMPORTRANGE(""https://docs.google.com/spreadsheets/d/1Nn1EvsFPtXldgpgVb3Rcng2K2cls68LFQsBh2FyW0Bg/edit?usp=sharing"",""สระบุรี!J463"")"),0)</f>
        <v>0</v>
      </c>
      <c r="AA70" s="82">
        <f t="shared" ca="1" si="23"/>
        <v>0</v>
      </c>
      <c r="AB70" s="81">
        <f ca="1">IFERROR(__xludf.DUMMYFUNCTION("IMPORTRANGE(""https://docs.google.com/spreadsheets/d/1Nn1EvsFPtXldgpgVb3Rcng2K2cls68LFQsBh2FyW0Bg/edit?usp=sharing"",""สระบุรี!J464"")"),0)</f>
        <v>0</v>
      </c>
      <c r="AC70" s="82">
        <f t="shared" ca="1" si="13"/>
        <v>0</v>
      </c>
    </row>
    <row r="71" spans="1:29" ht="21" customHeight="1" x14ac:dyDescent="0.2">
      <c r="A71" s="72">
        <v>19</v>
      </c>
      <c r="B71" s="73" t="s">
        <v>88</v>
      </c>
      <c r="C71" s="74">
        <f t="shared" ca="1" si="47"/>
        <v>0</v>
      </c>
      <c r="D71" s="75">
        <f ca="1">IFERROR(__xludf.DUMMYFUNCTION("IMPORTRANGE(""https://docs.google.com/spreadsheets/d/149xufxukrnEciK3WPbNpHwUK8BKEJxp3UcBG3Al6dA4/edit?usp=sharing"",""สิงห์บุรี!L449"")"),0)</f>
        <v>0</v>
      </c>
      <c r="E71" s="76">
        <f ca="1">IFERROR(__xludf.DUMMYFUNCTION("IMPORTRANGE(""https://docs.google.com/spreadsheets/d/149xufxukrnEciK3WPbNpHwUK8BKEJxp3UcBG3Al6dA4/edit?usp=sharing"",""สิงห์บุรี!L456"")"),0)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48"/>
        <v>0</v>
      </c>
      <c r="I71" s="76">
        <f ca="1">IFERROR(__xludf.DUMMYFUNCTION("IMPORTRANGE(""https://docs.google.com/spreadsheets/d/149xufxukrnEciK3WPbNpHwUK8BKEJxp3UcBG3Al6dA4/edit?usp=sharing"",""สิงห์บุรี!N450"")"),0)</f>
        <v>0</v>
      </c>
      <c r="J71" s="76">
        <f ca="1">IFERROR(__xludf.DUMMYFUNCTION("IMPORTRANGE(""https://docs.google.com/spreadsheets/d/149xufxukrnEciK3WPbNpHwUK8BKEJxp3UcBG3Al6dA4/edit?usp=sharing"",""สิงห์บุรี!N451"")"),0)</f>
        <v>0</v>
      </c>
      <c r="K71" s="76">
        <f ca="1">IFERROR(__xludf.DUMMYFUNCTION("IMPORTRANGE(""https://docs.google.com/spreadsheets/d/149xufxukrnEciK3WPbNpHwUK8BKEJxp3UcBG3Al6dA4/edit?usp=sharing"",""สิงห์บุรี!N452"")"),0)</f>
        <v>0</v>
      </c>
      <c r="L71" s="76">
        <f ca="1">IFERROR(__xludf.DUMMYFUNCTION("IMPORTRANGE(""https://docs.google.com/spreadsheets/d/149xufxukrnEciK3WPbNpHwUK8BKEJxp3UcBG3Al6dA4/edit?usp=sharing"",""สิงห์บุรี!N453"")"),0)</f>
        <v>0</v>
      </c>
      <c r="M71" s="80">
        <f ca="1">IFERROR(__xludf.DUMMYFUNCTION("IMPORTRANGE(""https://docs.google.com/spreadsheets/d/149xufxukrnEciK3WPbNpHwUK8BKEJxp3UcBG3Al6dA4/edit?usp=sharing"",""สิงห์บุรี!N456"")"),0)</f>
        <v>0</v>
      </c>
      <c r="N71" s="80">
        <f t="shared" ca="1" si="26"/>
        <v>0</v>
      </c>
      <c r="O71" s="81">
        <f ca="1">IFERROR(__xludf.DUMMYFUNCTION("IMPORTRANGE(""https://docs.google.com/spreadsheets/d/149xufxukrnEciK3WPbNpHwUK8BKEJxp3UcBG3Al6dA4/edit?usp=sharing"",""สิงห์บุรี!I458"")"),0)</f>
        <v>0</v>
      </c>
      <c r="P71" s="81">
        <f ca="1">IFERROR(__xludf.DUMMYFUNCTION("IMPORTRANGE(""https://docs.google.com/spreadsheets/d/149xufxukrnEciK3WPbNpHwUK8BKEJxp3UcBG3Al6dA4/edit?usp=sharing"",""สิงห์บุรี!J458"")"),0)</f>
        <v>0</v>
      </c>
      <c r="Q71" s="82">
        <f t="shared" ca="1" si="20"/>
        <v>0</v>
      </c>
      <c r="R71" s="81">
        <f ca="1">IFERROR(__xludf.DUMMYFUNCTION("IMPORTRANGE(""https://docs.google.com/spreadsheets/d/149xufxukrnEciK3WPbNpHwUK8BKEJxp3UcBG3Al6dA4/edit?usp=sharing"",""สิงห์บุรี!I460"")"),0)</f>
        <v>0</v>
      </c>
      <c r="S71" s="81">
        <f ca="1">IFERROR(__xludf.DUMMYFUNCTION("IMPORTRANGE(""https://docs.google.com/spreadsheets/d/149xufxukrnEciK3WPbNpHwUK8BKEJxp3UcBG3Al6dA4/edit?usp=sharing"",""สิงห์บุรี!J460"")"),0)</f>
        <v>0</v>
      </c>
      <c r="T71" s="82">
        <f t="shared" ca="1" si="21"/>
        <v>0</v>
      </c>
      <c r="U71" s="81">
        <f ca="1">IFERROR(__xludf.DUMMYFUNCTION("IMPORTRANGE(""https://docs.google.com/spreadsheets/d/149xufxukrnEciK3WPbNpHwUK8BKEJxp3UcBG3Al6dA4/edit?usp=sharing"",""สิงห์บุรี!I462"")"),0)</f>
        <v>0</v>
      </c>
      <c r="V71" s="81">
        <f ca="1">IFERROR(__xludf.DUMMYFUNCTION("IMPORTRANGE(""https://docs.google.com/spreadsheets/d/149xufxukrnEciK3WPbNpHwUK8BKEJxp3UcBG3Al6dA4/edit?usp=sharing"",""สิงห์บุรี!J462"")"),0)</f>
        <v>0</v>
      </c>
      <c r="W71" s="82">
        <f t="shared" ca="1" si="22"/>
        <v>0</v>
      </c>
      <c r="X71" s="81">
        <f ca="1">IFERROR(__xludf.DUMMYFUNCTION("IMPORTRANGE(""https://docs.google.com/spreadsheets/d/149xufxukrnEciK3WPbNpHwUK8BKEJxp3UcBG3Al6dA4/edit?usp=sharing"",""สิงห์บุรี!I463"")"),0)</f>
        <v>0</v>
      </c>
      <c r="Y71" s="81">
        <f ca="1">IFERROR(__xludf.DUMMYFUNCTION("IMPORTRANGE(""https://docs.google.com/spreadsheets/d/149xufxukrnEciK3WPbNpHwUK8BKEJxp3UcBG3Al6dA4/edit?usp=sharing"",""สิงห์บุรี!I464"")"),0)</f>
        <v>0</v>
      </c>
      <c r="Z71" s="81">
        <f ca="1">IFERROR(__xludf.DUMMYFUNCTION("IMPORTRANGE(""https://docs.google.com/spreadsheets/d/149xufxukrnEciK3WPbNpHwUK8BKEJxp3UcBG3Al6dA4/edit?usp=sharing"",""สิงห์บุรี!J463"")"),0)</f>
        <v>0</v>
      </c>
      <c r="AA71" s="82">
        <f t="shared" ca="1" si="23"/>
        <v>0</v>
      </c>
      <c r="AB71" s="81">
        <f ca="1">IFERROR(__xludf.DUMMYFUNCTION("IMPORTRANGE(""https://docs.google.com/spreadsheets/d/149xufxukrnEciK3WPbNpHwUK8BKEJxp3UcBG3Al6dA4/edit?usp=sharing"",""สิงห์บุรี!J464"")"),0)</f>
        <v>0</v>
      </c>
      <c r="AC71" s="82">
        <f t="shared" ca="1" si="13"/>
        <v>0</v>
      </c>
    </row>
    <row r="72" spans="1:29" ht="21" customHeight="1" x14ac:dyDescent="0.2">
      <c r="A72" s="72">
        <v>20</v>
      </c>
      <c r="B72" s="73" t="s">
        <v>89</v>
      </c>
      <c r="C72" s="74">
        <f t="shared" ca="1" si="47"/>
        <v>309180</v>
      </c>
      <c r="D72" s="75">
        <f ca="1">IFERROR(__xludf.DUMMYFUNCTION("IMPORTRANGE(""https://docs.google.com/spreadsheets/d/132g-zJpz2uMKimp17uOIx8A7o3w1Z25zwJyXnwsB56c/edit?usp=sharing"",""สุพรรณบุรี!L449"")"),309180)</f>
        <v>309180</v>
      </c>
      <c r="E72" s="76">
        <f ca="1">IFERROR(__xludf.DUMMYFUNCTION("IMPORTRANGE(""https://docs.google.com/spreadsheets/d/132g-zJpz2uMKimp17uOIx8A7o3w1Z25zwJyXnwsB56c/edit?usp=sharing"",""สุพรรณบุรี!L456"")"),0)</f>
        <v>0</v>
      </c>
      <c r="F72" s="77">
        <f t="shared" ca="1" si="1"/>
        <v>113940</v>
      </c>
      <c r="G72" s="78">
        <f t="shared" ca="1" si="2"/>
        <v>36.85231903745391</v>
      </c>
      <c r="H72" s="79">
        <f t="shared" ca="1" si="48"/>
        <v>113940</v>
      </c>
      <c r="I72" s="76">
        <f ca="1">IFERROR(__xludf.DUMMYFUNCTION("IMPORTRANGE(""https://docs.google.com/spreadsheets/d/132g-zJpz2uMKimp17uOIx8A7o3w1Z25zwJyXnwsB56c/edit?usp=sharing"",""สุพรรณบุรี!N450"")"),38040)</f>
        <v>38040</v>
      </c>
      <c r="J72" s="76">
        <f ca="1">IFERROR(__xludf.DUMMYFUNCTION("IMPORTRANGE(""https://docs.google.com/spreadsheets/d/132g-zJpz2uMKimp17uOIx8A7o3w1Z25zwJyXnwsB56c/edit?usp=sharing"",""สุพรรณบุรี!N451"")"),0)</f>
        <v>0</v>
      </c>
      <c r="K72" s="76">
        <f ca="1">IFERROR(__xludf.DUMMYFUNCTION("IMPORTRANGE(""https://docs.google.com/spreadsheets/d/132g-zJpz2uMKimp17uOIx8A7o3w1Z25zwJyXnwsB56c/edit?usp=sharing"",""สุพรรณบุรี!N452"")"),52000)</f>
        <v>52000</v>
      </c>
      <c r="L72" s="76">
        <f ca="1">IFERROR(__xludf.DUMMYFUNCTION("IMPORTRANGE(""https://docs.google.com/spreadsheets/d/132g-zJpz2uMKimp17uOIx8A7o3w1Z25zwJyXnwsB56c/edit?usp=sharing"",""สุพรรณบุรี!N453"")"),23900)</f>
        <v>23900</v>
      </c>
      <c r="M72" s="80">
        <f ca="1">IFERROR(__xludf.DUMMYFUNCTION("IMPORTRANGE(""https://docs.google.com/spreadsheets/d/132g-zJpz2uMKimp17uOIx8A7o3w1Z25zwJyXnwsB56c/edit?usp=sharing"",""สุพรรณบุรี!N456"")"),0)</f>
        <v>0</v>
      </c>
      <c r="N72" s="80">
        <f t="shared" ca="1" si="26"/>
        <v>0</v>
      </c>
      <c r="O72" s="81">
        <f ca="1">IFERROR(__xludf.DUMMYFUNCTION("IMPORTRANGE(""https://docs.google.com/spreadsheets/d/132g-zJpz2uMKimp17uOIx8A7o3w1Z25zwJyXnwsB56c/edit?usp=sharing"",""สุพรรณบุรี!I458"")"),0)</f>
        <v>0</v>
      </c>
      <c r="P72" s="81">
        <f ca="1">IFERROR(__xludf.DUMMYFUNCTION("IMPORTRANGE(""https://docs.google.com/spreadsheets/d/132g-zJpz2uMKimp17uOIx8A7o3w1Z25zwJyXnwsB56c/edit?usp=sharing"",""สุพรรณบุรี!J458"")"),0)</f>
        <v>0</v>
      </c>
      <c r="Q72" s="82">
        <f t="shared" ca="1" si="20"/>
        <v>0</v>
      </c>
      <c r="R72" s="81">
        <f ca="1">IFERROR(__xludf.DUMMYFUNCTION("IMPORTRANGE(""https://docs.google.com/spreadsheets/d/132g-zJpz2uMKimp17uOIx8A7o3w1Z25zwJyXnwsB56c/edit?usp=sharing"",""สุพรรณบุรี!I460"")"),40)</f>
        <v>40</v>
      </c>
      <c r="S72" s="81">
        <f ca="1">IFERROR(__xludf.DUMMYFUNCTION("IMPORTRANGE(""https://docs.google.com/spreadsheets/d/132g-zJpz2uMKimp17uOIx8A7o3w1Z25zwJyXnwsB56c/edit?usp=sharing"",""สุพรรณบุรี!J460"")"),32)</f>
        <v>32</v>
      </c>
      <c r="T72" s="82">
        <f t="shared" ca="1" si="21"/>
        <v>80</v>
      </c>
      <c r="U72" s="81">
        <f ca="1">IFERROR(__xludf.DUMMYFUNCTION("IMPORTRANGE(""https://docs.google.com/spreadsheets/d/132g-zJpz2uMKimp17uOIx8A7o3w1Z25zwJyXnwsB56c/edit?usp=sharing"",""สุพรรณบุรี!I462"")"),60)</f>
        <v>60</v>
      </c>
      <c r="V72" s="81">
        <f ca="1">IFERROR(__xludf.DUMMYFUNCTION("IMPORTRANGE(""https://docs.google.com/spreadsheets/d/132g-zJpz2uMKimp17uOIx8A7o3w1Z25zwJyXnwsB56c/edit?usp=sharing"",""สุพรรณบุรี!J462"")"),0)</f>
        <v>0</v>
      </c>
      <c r="W72" s="82">
        <f t="shared" ca="1" si="22"/>
        <v>0</v>
      </c>
      <c r="X72" s="81">
        <f ca="1">IFERROR(__xludf.DUMMYFUNCTION("IMPORTRANGE(""https://docs.google.com/spreadsheets/d/132g-zJpz2uMKimp17uOIx8A7o3w1Z25zwJyXnwsB56c/edit?usp=sharing"",""สุพรรณบุรี!I463"")"),60)</f>
        <v>60</v>
      </c>
      <c r="Y72" s="81">
        <f ca="1">IFERROR(__xludf.DUMMYFUNCTION("IMPORTRANGE(""https://docs.google.com/spreadsheets/d/132g-zJpz2uMKimp17uOIx8A7o3w1Z25zwJyXnwsB56c/edit?usp=sharing"",""สุพรรณบุรี!I464"")"),40)</f>
        <v>40</v>
      </c>
      <c r="Z72" s="81">
        <f ca="1">IFERROR(__xludf.DUMMYFUNCTION("IMPORTRANGE(""https://docs.google.com/spreadsheets/d/132g-zJpz2uMKimp17uOIx8A7o3w1Z25zwJyXnwsB56c/edit?usp=sharing"",""สุพรรณบุรี!J463"")"),0)</f>
        <v>0</v>
      </c>
      <c r="AA72" s="82">
        <f t="shared" ca="1" si="23"/>
        <v>0</v>
      </c>
      <c r="AB72" s="81">
        <f ca="1">IFERROR(__xludf.DUMMYFUNCTION("IMPORTRANGE(""https://docs.google.com/spreadsheets/d/132g-zJpz2uMKimp17uOIx8A7o3w1Z25zwJyXnwsB56c/edit?usp=sharing"",""สุพรรณบุรี!J464"")"),0)</f>
        <v>0</v>
      </c>
      <c r="AC72" s="82">
        <f t="shared" ca="1" si="13"/>
        <v>0</v>
      </c>
    </row>
    <row r="73" spans="1:29" ht="21" customHeight="1" x14ac:dyDescent="0.2">
      <c r="A73" s="83">
        <v>21</v>
      </c>
      <c r="B73" s="84" t="s">
        <v>90</v>
      </c>
      <c r="C73" s="85">
        <f t="shared" ca="1" si="47"/>
        <v>86360</v>
      </c>
      <c r="D73" s="86">
        <f ca="1">IFERROR(__xludf.DUMMYFUNCTION("IMPORTRANGE(""https://docs.google.com/spreadsheets/d/12Q_U0nVnFdxDFwa0pej9xvx8ZvLC9Dpi_vRro_aiG5g/edit?usp=sharing"",""อ่างทอง!L449"")"),86360)</f>
        <v>86360</v>
      </c>
      <c r="E73" s="87">
        <f ca="1">IFERROR(__xludf.DUMMYFUNCTION("IMPORTRANGE(""https://docs.google.com/spreadsheets/d/12Q_U0nVnFdxDFwa0pej9xvx8ZvLC9Dpi_vRro_aiG5g/edit?usp=sharing"",""อ่างทอง!L456"")"),0)</f>
        <v>0</v>
      </c>
      <c r="F73" s="88">
        <f t="shared" ca="1" si="1"/>
        <v>34508</v>
      </c>
      <c r="G73" s="89">
        <f t="shared" ca="1" si="2"/>
        <v>39.958314034275126</v>
      </c>
      <c r="H73" s="90">
        <f t="shared" ca="1" si="48"/>
        <v>34508</v>
      </c>
      <c r="I73" s="87">
        <f ca="1">IFERROR(__xludf.DUMMYFUNCTION("IMPORTRANGE(""https://docs.google.com/spreadsheets/d/12Q_U0nVnFdxDFwa0pej9xvx8ZvLC9Dpi_vRro_aiG5g/edit?usp=sharing"",""อ่างทอง!N450"")"),34508)</f>
        <v>34508</v>
      </c>
      <c r="J73" s="87">
        <f ca="1">IFERROR(__xludf.DUMMYFUNCTION("IMPORTRANGE(""https://docs.google.com/spreadsheets/d/12Q_U0nVnFdxDFwa0pej9xvx8ZvLC9Dpi_vRro_aiG5g/edit?usp=sharing"",""อ่างทอง!N451"")"),0)</f>
        <v>0</v>
      </c>
      <c r="K73" s="87">
        <f ca="1">IFERROR(__xludf.DUMMYFUNCTION("IMPORTRANGE(""https://docs.google.com/spreadsheets/d/12Q_U0nVnFdxDFwa0pej9xvx8ZvLC9Dpi_vRro_aiG5g/edit?usp=sharing"",""อ่างทอง!N452"")"),0)</f>
        <v>0</v>
      </c>
      <c r="L73" s="87">
        <f ca="1">IFERROR(__xludf.DUMMYFUNCTION("IMPORTRANGE(""https://docs.google.com/spreadsheets/d/12Q_U0nVnFdxDFwa0pej9xvx8ZvLC9Dpi_vRro_aiG5g/edit?usp=sharing"",""อ่างทอง!N453"")"),0)</f>
        <v>0</v>
      </c>
      <c r="M73" s="91">
        <f ca="1">IFERROR(__xludf.DUMMYFUNCTION("IMPORTRANGE(""https://docs.google.com/spreadsheets/d/12Q_U0nVnFdxDFwa0pej9xvx8ZvLC9Dpi_vRro_aiG5g/edit?usp=sharing"",""อ่างทอง!N456"")"),0)</f>
        <v>0</v>
      </c>
      <c r="N73" s="91">
        <f t="shared" ca="1" si="26"/>
        <v>0</v>
      </c>
      <c r="O73" s="92">
        <f ca="1">IFERROR(__xludf.DUMMYFUNCTION("IMPORTRANGE(""https://docs.google.com/spreadsheets/d/12Q_U0nVnFdxDFwa0pej9xvx8ZvLC9Dpi_vRro_aiG5g/edit?usp=sharing"",""อ่างทอง!I458"")"),0)</f>
        <v>0</v>
      </c>
      <c r="P73" s="92">
        <f ca="1">IFERROR(__xludf.DUMMYFUNCTION("IMPORTRANGE(""https://docs.google.com/spreadsheets/d/12Q_U0nVnFdxDFwa0pej9xvx8ZvLC9Dpi_vRro_aiG5g/edit?usp=sharing"",""อ่างทอง!J458"")"),0)</f>
        <v>0</v>
      </c>
      <c r="Q73" s="93">
        <f t="shared" ca="1" si="20"/>
        <v>0</v>
      </c>
      <c r="R73" s="92">
        <f ca="1">IFERROR(__xludf.DUMMYFUNCTION("IMPORTRANGE(""https://docs.google.com/spreadsheets/d/12Q_U0nVnFdxDFwa0pej9xvx8ZvLC9Dpi_vRro_aiG5g/edit?usp=sharing"",""อ่างทอง!I460"")"),15)</f>
        <v>15</v>
      </c>
      <c r="S73" s="92">
        <f ca="1">IFERROR(__xludf.DUMMYFUNCTION("IMPORTRANGE(""https://docs.google.com/spreadsheets/d/12Q_U0nVnFdxDFwa0pej9xvx8ZvLC9Dpi_vRro_aiG5g/edit?usp=sharing"",""อ่างทอง!J460"")"),0)</f>
        <v>0</v>
      </c>
      <c r="T73" s="93">
        <f t="shared" ca="1" si="21"/>
        <v>0</v>
      </c>
      <c r="U73" s="92">
        <f ca="1">IFERROR(__xludf.DUMMYFUNCTION("IMPORTRANGE(""https://docs.google.com/spreadsheets/d/12Q_U0nVnFdxDFwa0pej9xvx8ZvLC9Dpi_vRro_aiG5g/edit?usp=sharing"",""อ่างทอง!I462"")"),30)</f>
        <v>30</v>
      </c>
      <c r="V73" s="92">
        <f ca="1">IFERROR(__xludf.DUMMYFUNCTION("IMPORTRANGE(""https://docs.google.com/spreadsheets/d/12Q_U0nVnFdxDFwa0pej9xvx8ZvLC9Dpi_vRro_aiG5g/edit?usp=sharing"",""อ่างทอง!J462"")"),0)</f>
        <v>0</v>
      </c>
      <c r="W73" s="93">
        <f t="shared" ca="1" si="22"/>
        <v>0</v>
      </c>
      <c r="X73" s="92">
        <f ca="1">IFERROR(__xludf.DUMMYFUNCTION("IMPORTRANGE(""https://docs.google.com/spreadsheets/d/12Q_U0nVnFdxDFwa0pej9xvx8ZvLC9Dpi_vRro_aiG5g/edit?usp=sharing"",""อ่างทอง!I463"")"),30)</f>
        <v>30</v>
      </c>
      <c r="Y73" s="92">
        <f ca="1">IFERROR(__xludf.DUMMYFUNCTION("IMPORTRANGE(""https://docs.google.com/spreadsheets/d/12Q_U0nVnFdxDFwa0pej9xvx8ZvLC9Dpi_vRro_aiG5g/edit?usp=sharing"",""อ่างทอง!I464"")"),15)</f>
        <v>15</v>
      </c>
      <c r="Z73" s="92">
        <f ca="1">IFERROR(__xludf.DUMMYFUNCTION("IMPORTRANGE(""https://docs.google.com/spreadsheets/d/12Q_U0nVnFdxDFwa0pej9xvx8ZvLC9Dpi_vRro_aiG5g/edit?usp=sharing"",""อ่างทอง!J463"")"),0)</f>
        <v>0</v>
      </c>
      <c r="AA73" s="93">
        <f t="shared" ca="1" si="23"/>
        <v>0</v>
      </c>
      <c r="AB73" s="92">
        <f ca="1">IFERROR(__xludf.DUMMYFUNCTION("IMPORTRANGE(""https://docs.google.com/spreadsheets/d/12Q_U0nVnFdxDFwa0pej9xvx8ZvLC9Dpi_vRro_aiG5g/edit?usp=sharing"",""อ่างทอง!J464"")"),0)</f>
        <v>0</v>
      </c>
      <c r="AC73" s="93">
        <f t="shared" ca="1" si="13"/>
        <v>0</v>
      </c>
    </row>
    <row r="74" spans="1:29" ht="21" customHeight="1" x14ac:dyDescent="0.2">
      <c r="A74" s="303" t="s">
        <v>91</v>
      </c>
      <c r="B74" s="299"/>
      <c r="C74" s="99">
        <f t="shared" ref="C74:E74" ca="1" si="49">SUM(C75:C88)</f>
        <v>2091160</v>
      </c>
      <c r="D74" s="99">
        <f t="shared" ca="1" si="49"/>
        <v>2091160</v>
      </c>
      <c r="E74" s="57">
        <f t="shared" ca="1" si="49"/>
        <v>0</v>
      </c>
      <c r="F74" s="57">
        <f t="shared" ca="1" si="1"/>
        <v>521706.25</v>
      </c>
      <c r="G74" s="94">
        <f t="shared" ca="1" si="2"/>
        <v>24.948174697297194</v>
      </c>
      <c r="H74" s="57">
        <f t="shared" ref="H74:M74" ca="1" si="50">SUM(H75:H88)</f>
        <v>521706.25</v>
      </c>
      <c r="I74" s="57">
        <f t="shared" ca="1" si="50"/>
        <v>246040</v>
      </c>
      <c r="J74" s="57">
        <f t="shared" ca="1" si="50"/>
        <v>26000</v>
      </c>
      <c r="K74" s="57">
        <f t="shared" ca="1" si="50"/>
        <v>178980.85</v>
      </c>
      <c r="L74" s="57">
        <f t="shared" ca="1" si="50"/>
        <v>70685.399999999994</v>
      </c>
      <c r="M74" s="95">
        <f t="shared" ca="1" si="50"/>
        <v>0</v>
      </c>
      <c r="N74" s="95">
        <f t="shared" ca="1" si="26"/>
        <v>0</v>
      </c>
      <c r="O74" s="57">
        <f t="shared" ref="O74:P74" ca="1" si="51">SUM(O75:O88)</f>
        <v>0</v>
      </c>
      <c r="P74" s="57">
        <f t="shared" ca="1" si="51"/>
        <v>0</v>
      </c>
      <c r="Q74" s="96">
        <f t="shared" ca="1" si="20"/>
        <v>0</v>
      </c>
      <c r="R74" s="57">
        <f t="shared" ref="R74:S74" ca="1" si="52">SUM(R75:R88)</f>
        <v>255</v>
      </c>
      <c r="S74" s="57">
        <f t="shared" ca="1" si="52"/>
        <v>175</v>
      </c>
      <c r="T74" s="96">
        <f t="shared" ca="1" si="21"/>
        <v>68.627450980392155</v>
      </c>
      <c r="U74" s="57">
        <f t="shared" ref="U74:V74" ca="1" si="53">SUM(U75:U88)</f>
        <v>820</v>
      </c>
      <c r="V74" s="57">
        <f t="shared" ca="1" si="53"/>
        <v>290</v>
      </c>
      <c r="W74" s="96">
        <f t="shared" ca="1" si="22"/>
        <v>35.365853658536587</v>
      </c>
      <c r="X74" s="57">
        <f t="shared" ref="X74:Z74" ca="1" si="54">SUM(X75:X88)</f>
        <v>820</v>
      </c>
      <c r="Y74" s="57">
        <f t="shared" ca="1" si="54"/>
        <v>255</v>
      </c>
      <c r="Z74" s="57">
        <f t="shared" ca="1" si="54"/>
        <v>20</v>
      </c>
      <c r="AA74" s="96">
        <f t="shared" ca="1" si="23"/>
        <v>2.4390243902439024</v>
      </c>
      <c r="AB74" s="57">
        <f ca="1">SUM(AB75:AB88)</f>
        <v>10</v>
      </c>
      <c r="AC74" s="96">
        <f t="shared" ca="1" si="13"/>
        <v>3.9215686274509802</v>
      </c>
    </row>
    <row r="75" spans="1:29" ht="21" customHeight="1" x14ac:dyDescent="0.2">
      <c r="A75" s="62">
        <v>1</v>
      </c>
      <c r="B75" s="63" t="s">
        <v>92</v>
      </c>
      <c r="C75" s="97">
        <f t="shared" ref="C75:C88" ca="1" si="55">D75+E75</f>
        <v>0</v>
      </c>
      <c r="D75" s="98">
        <f ca="1">IFERROR(__xludf.DUMMYFUNCTION("IMPORTRANGE(""https://docs.google.com/spreadsheets/d/1kC41EOXpGBFOW658Fs3oD8beYlym0-zO54WY-2Qnp9I/edit?usp=sharing"",""กระบี่!L449"")"),0)</f>
        <v>0</v>
      </c>
      <c r="E75" s="100">
        <f ca="1">IFERROR(__xludf.DUMMYFUNCTION("IMPORTRANGE(""https://docs.google.com/spreadsheets/d/1kC41EOXpGBFOW658Fs3oD8beYlym0-zO54WY-2Qnp9I/edit?usp=sharing"",""กระบี่!L456"")"),0)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56">I75+J75+K75+L75</f>
        <v>0</v>
      </c>
      <c r="I75" s="100">
        <f ca="1">IFERROR(__xludf.DUMMYFUNCTION("IMPORTRANGE(""https://docs.google.com/spreadsheets/d/1kC41EOXpGBFOW658Fs3oD8beYlym0-zO54WY-2Qnp9I/edit?usp=sharing"",""กระบี่!N450"")"),0)</f>
        <v>0</v>
      </c>
      <c r="J75" s="100">
        <f ca="1">IFERROR(__xludf.DUMMYFUNCTION("IMPORTRANGE(""https://docs.google.com/spreadsheets/d/1kC41EOXpGBFOW658Fs3oD8beYlym0-zO54WY-2Qnp9I/edit?usp=sharing"",""กระบี่!N451"")"),0)</f>
        <v>0</v>
      </c>
      <c r="K75" s="100">
        <f ca="1">IFERROR(__xludf.DUMMYFUNCTION("IMPORTRANGE(""https://docs.google.com/spreadsheets/d/1kC41EOXpGBFOW658Fs3oD8beYlym0-zO54WY-2Qnp9I/edit?usp=sharing"",""กระบี่!N452"")"),0)</f>
        <v>0</v>
      </c>
      <c r="L75" s="100">
        <f ca="1">IFERROR(__xludf.DUMMYFUNCTION("IMPORTRANGE(""https://docs.google.com/spreadsheets/d/1kC41EOXpGBFOW658Fs3oD8beYlym0-zO54WY-2Qnp9I/edit?usp=sharing"",""กระบี่!N453"")"),0)</f>
        <v>0</v>
      </c>
      <c r="M75" s="70">
        <f ca="1">IFERROR(__xludf.DUMMYFUNCTION("IMPORTRANGE(""https://docs.google.com/spreadsheets/d/1kC41EOXpGBFOW658Fs3oD8beYlym0-zO54WY-2Qnp9I/edit?usp=sharing"",""กระบี่!N456"")"),0)</f>
        <v>0</v>
      </c>
      <c r="N75" s="70">
        <f t="shared" ca="1" si="26"/>
        <v>0</v>
      </c>
      <c r="O75" s="66">
        <f ca="1">IFERROR(__xludf.DUMMYFUNCTION("IMPORTRANGE(""https://docs.google.com/spreadsheets/d/1kC41EOXpGBFOW658Fs3oD8beYlym0-zO54WY-2Qnp9I/edit?usp=sharing"",""กระบี่!I458"")"),0)</f>
        <v>0</v>
      </c>
      <c r="P75" s="66">
        <f ca="1">IFERROR(__xludf.DUMMYFUNCTION("IMPORTRANGE(""https://docs.google.com/spreadsheets/d/1kC41EOXpGBFOW658Fs3oD8beYlym0-zO54WY-2Qnp9I/edit?usp=sharing"",""กระบี่!J458"")"),0)</f>
        <v>0</v>
      </c>
      <c r="Q75" s="71">
        <f t="shared" ca="1" si="20"/>
        <v>0</v>
      </c>
      <c r="R75" s="66">
        <f ca="1">IFERROR(__xludf.DUMMYFUNCTION("IMPORTRANGE(""https://docs.google.com/spreadsheets/d/1kC41EOXpGBFOW658Fs3oD8beYlym0-zO54WY-2Qnp9I/edit?usp=sharing"",""กระบี่!I460"")"),0)</f>
        <v>0</v>
      </c>
      <c r="S75" s="66">
        <f ca="1">IFERROR(__xludf.DUMMYFUNCTION("IMPORTRANGE(""https://docs.google.com/spreadsheets/d/1kC41EOXpGBFOW658Fs3oD8beYlym0-zO54WY-2Qnp9I/edit?usp=sharing"",""กระบี่!J460"")"),0)</f>
        <v>0</v>
      </c>
      <c r="T75" s="71">
        <f t="shared" ca="1" si="21"/>
        <v>0</v>
      </c>
      <c r="U75" s="66">
        <f ca="1">IFERROR(__xludf.DUMMYFUNCTION("IMPORTRANGE(""https://docs.google.com/spreadsheets/d/1kC41EOXpGBFOW658Fs3oD8beYlym0-zO54WY-2Qnp9I/edit?usp=sharing"",""กระบี่!I462"")"),0)</f>
        <v>0</v>
      </c>
      <c r="V75" s="66">
        <f ca="1">IFERROR(__xludf.DUMMYFUNCTION("IMPORTRANGE(""https://docs.google.com/spreadsheets/d/1kC41EOXpGBFOW658Fs3oD8beYlym0-zO54WY-2Qnp9I/edit?usp=sharing"",""กระบี่!J462"")"),0)</f>
        <v>0</v>
      </c>
      <c r="W75" s="71">
        <f t="shared" ca="1" si="22"/>
        <v>0</v>
      </c>
      <c r="X75" s="66">
        <f ca="1">IFERROR(__xludf.DUMMYFUNCTION("IMPORTRANGE(""https://docs.google.com/spreadsheets/d/1kC41EOXpGBFOW658Fs3oD8beYlym0-zO54WY-2Qnp9I/edit?usp=sharing"",""กระบี่!I463"")"),0)</f>
        <v>0</v>
      </c>
      <c r="Y75" s="66">
        <f ca="1">IFERROR(__xludf.DUMMYFUNCTION("IMPORTRANGE(""https://docs.google.com/spreadsheets/d/1kC41EOXpGBFOW658Fs3oD8beYlym0-zO54WY-2Qnp9I/edit?usp=sharing"",""กระบี่!I464"")"),0)</f>
        <v>0</v>
      </c>
      <c r="Z75" s="66">
        <f ca="1">IFERROR(__xludf.DUMMYFUNCTION("IMPORTRANGE(""https://docs.google.com/spreadsheets/d/1kC41EOXpGBFOW658Fs3oD8beYlym0-zO54WY-2Qnp9I/edit?usp=sharing"",""กระบี่!J463"")"),0)</f>
        <v>0</v>
      </c>
      <c r="AA75" s="71">
        <f t="shared" ca="1" si="23"/>
        <v>0</v>
      </c>
      <c r="AB75" s="66">
        <f ca="1">IFERROR(__xludf.DUMMYFUNCTION("IMPORTRANGE(""https://docs.google.com/spreadsheets/d/1kC41EOXpGBFOW658Fs3oD8beYlym0-zO54WY-2Qnp9I/edit?usp=sharing"",""กระบี่!J464"")"),0)</f>
        <v>0</v>
      </c>
      <c r="AC75" s="71">
        <f t="shared" ca="1" si="13"/>
        <v>0</v>
      </c>
    </row>
    <row r="76" spans="1:29" ht="21" customHeight="1" x14ac:dyDescent="0.2">
      <c r="A76" s="72">
        <v>2</v>
      </c>
      <c r="B76" s="73" t="s">
        <v>93</v>
      </c>
      <c r="C76" s="74">
        <f t="shared" ca="1" si="55"/>
        <v>428280</v>
      </c>
      <c r="D76" s="75">
        <f ca="1">IFERROR(__xludf.DUMMYFUNCTION("IMPORTRANGE(""https://docs.google.com/spreadsheets/d/1FbzMZY_f3MDiEuK7RpCQKrilJ_kpX0Wm7QBZ1L7EjIU/edit?usp=sharing"",""ชุมพร!L449"")"),428280)</f>
        <v>428280</v>
      </c>
      <c r="E76" s="76">
        <f ca="1">IFERROR(__xludf.DUMMYFUNCTION("IMPORTRANGE(""https://docs.google.com/spreadsheets/d/1FbzMZY_f3MDiEuK7RpCQKrilJ_kpX0Wm7QBZ1L7EjIU/edit?usp=sharing"",""ชุมพร!L456"")"),0)</f>
        <v>0</v>
      </c>
      <c r="F76" s="77">
        <f t="shared" ca="1" si="1"/>
        <v>86947</v>
      </c>
      <c r="G76" s="78">
        <f t="shared" ca="1" si="2"/>
        <v>20.301438311385077</v>
      </c>
      <c r="H76" s="79">
        <f t="shared" ca="1" si="56"/>
        <v>86947</v>
      </c>
      <c r="I76" s="76">
        <f ca="1">IFERROR(__xludf.DUMMYFUNCTION("IMPORTRANGE(""https://docs.google.com/spreadsheets/d/1FbzMZY_f3MDiEuK7RpCQKrilJ_kpX0Wm7QBZ1L7EjIU/edit?usp=sharing"",""ชุมพร!N450"")"),45020)</f>
        <v>45020</v>
      </c>
      <c r="J76" s="76">
        <f ca="1">IFERROR(__xludf.DUMMYFUNCTION("IMPORTRANGE(""https://docs.google.com/spreadsheets/d/1FbzMZY_f3MDiEuK7RpCQKrilJ_kpX0Wm7QBZ1L7EjIU/edit?usp=sharing"",""ชุมพร!N451"")"),0)</f>
        <v>0</v>
      </c>
      <c r="K76" s="76">
        <f ca="1">IFERROR(__xludf.DUMMYFUNCTION("IMPORTRANGE(""https://docs.google.com/spreadsheets/d/1FbzMZY_f3MDiEuK7RpCQKrilJ_kpX0Wm7QBZ1L7EjIU/edit?usp=sharing"",""ชุมพร!N452"")"),38567)</f>
        <v>38567</v>
      </c>
      <c r="L76" s="76">
        <f ca="1">IFERROR(__xludf.DUMMYFUNCTION("IMPORTRANGE(""https://docs.google.com/spreadsheets/d/1FbzMZY_f3MDiEuK7RpCQKrilJ_kpX0Wm7QBZ1L7EjIU/edit?usp=sharing"",""ชุมพร!N453"")"),3360)</f>
        <v>3360</v>
      </c>
      <c r="M76" s="80">
        <f ca="1">IFERROR(__xludf.DUMMYFUNCTION("IMPORTRANGE(""https://docs.google.com/spreadsheets/d/1FbzMZY_f3MDiEuK7RpCQKrilJ_kpX0Wm7QBZ1L7EjIU/edit?usp=sharing"",""ชุมพร!N456"")"),0)</f>
        <v>0</v>
      </c>
      <c r="N76" s="80">
        <f t="shared" ca="1" si="26"/>
        <v>0</v>
      </c>
      <c r="O76" s="81">
        <f ca="1">IFERROR(__xludf.DUMMYFUNCTION("IMPORTRANGE(""https://docs.google.com/spreadsheets/d/1FbzMZY_f3MDiEuK7RpCQKrilJ_kpX0Wm7QBZ1L7EjIU/edit?usp=sharing"",""ชุมพร!I458"")"),0)</f>
        <v>0</v>
      </c>
      <c r="P76" s="81">
        <f ca="1">IFERROR(__xludf.DUMMYFUNCTION("IMPORTRANGE(""https://docs.google.com/spreadsheets/d/1FbzMZY_f3MDiEuK7RpCQKrilJ_kpX0Wm7QBZ1L7EjIU/edit?usp=sharing"",""ชุมพร!J458"")"),0)</f>
        <v>0</v>
      </c>
      <c r="Q76" s="82">
        <f t="shared" ca="1" si="20"/>
        <v>0</v>
      </c>
      <c r="R76" s="81">
        <f ca="1">IFERROR(__xludf.DUMMYFUNCTION("IMPORTRANGE(""https://docs.google.com/spreadsheets/d/1FbzMZY_f3MDiEuK7RpCQKrilJ_kpX0Wm7QBZ1L7EjIU/edit?usp=sharing"",""ชุมพร!I460"")"),45)</f>
        <v>45</v>
      </c>
      <c r="S76" s="81">
        <f ca="1">IFERROR(__xludf.DUMMYFUNCTION("IMPORTRANGE(""https://docs.google.com/spreadsheets/d/1FbzMZY_f3MDiEuK7RpCQKrilJ_kpX0Wm7QBZ1L7EjIU/edit?usp=sharing"",""ชุมพร!J460"")"),45)</f>
        <v>45</v>
      </c>
      <c r="T76" s="82">
        <f t="shared" ca="1" si="21"/>
        <v>100</v>
      </c>
      <c r="U76" s="81">
        <f ca="1">IFERROR(__xludf.DUMMYFUNCTION("IMPORTRANGE(""https://docs.google.com/spreadsheets/d/1FbzMZY_f3MDiEuK7RpCQKrilJ_kpX0Wm7QBZ1L7EjIU/edit?usp=sharing"",""ชุมพร!I462"")"),200)</f>
        <v>200</v>
      </c>
      <c r="V76" s="81">
        <f ca="1">IFERROR(__xludf.DUMMYFUNCTION("IMPORTRANGE(""https://docs.google.com/spreadsheets/d/1FbzMZY_f3MDiEuK7RpCQKrilJ_kpX0Wm7QBZ1L7EjIU/edit?usp=sharing"",""ชุมพร!J462"")"),150)</f>
        <v>150</v>
      </c>
      <c r="W76" s="82">
        <f t="shared" ca="1" si="22"/>
        <v>75</v>
      </c>
      <c r="X76" s="81">
        <f ca="1">IFERROR(__xludf.DUMMYFUNCTION("IMPORTRANGE(""https://docs.google.com/spreadsheets/d/1FbzMZY_f3MDiEuK7RpCQKrilJ_kpX0Wm7QBZ1L7EjIU/edit?usp=sharing"",""ชุมพร!I463"")"),200)</f>
        <v>200</v>
      </c>
      <c r="Y76" s="81">
        <f ca="1">IFERROR(__xludf.DUMMYFUNCTION("IMPORTRANGE(""https://docs.google.com/spreadsheets/d/1FbzMZY_f3MDiEuK7RpCQKrilJ_kpX0Wm7QBZ1L7EjIU/edit?usp=sharing"",""ชุมพร!I464"")"),45)</f>
        <v>45</v>
      </c>
      <c r="Z76" s="81">
        <f ca="1">IFERROR(__xludf.DUMMYFUNCTION("IMPORTRANGE(""https://docs.google.com/spreadsheets/d/1FbzMZY_f3MDiEuK7RpCQKrilJ_kpX0Wm7QBZ1L7EjIU/edit?usp=sharing"",""ชุมพร!J463"")"),0)</f>
        <v>0</v>
      </c>
      <c r="AA76" s="82">
        <f t="shared" ca="1" si="23"/>
        <v>0</v>
      </c>
      <c r="AB76" s="81">
        <f ca="1">IFERROR(__xludf.DUMMYFUNCTION("IMPORTRANGE(""https://docs.google.com/spreadsheets/d/1FbzMZY_f3MDiEuK7RpCQKrilJ_kpX0Wm7QBZ1L7EjIU/edit?usp=sharing"",""ชุมพร!J464"")"),0)</f>
        <v>0</v>
      </c>
      <c r="AC76" s="82">
        <f t="shared" ca="1" si="13"/>
        <v>0</v>
      </c>
    </row>
    <row r="77" spans="1:29" ht="21" customHeight="1" x14ac:dyDescent="0.2">
      <c r="A77" s="72">
        <v>3</v>
      </c>
      <c r="B77" s="73" t="s">
        <v>94</v>
      </c>
      <c r="C77" s="74">
        <f t="shared" ca="1" si="55"/>
        <v>87960</v>
      </c>
      <c r="D77" s="75">
        <f ca="1">IFERROR(__xludf.DUMMYFUNCTION("IMPORTRANGE(""https://docs.google.com/spreadsheets/d/1v5sN-00LrXuhBxw4dkh2GrG_z4l5oAqOdJRBCsUyMaM/edit?usp=sharing"",""ตรัง!L449"")"),87960)</f>
        <v>87960</v>
      </c>
      <c r="E77" s="76">
        <f ca="1">IFERROR(__xludf.DUMMYFUNCTION("IMPORTRANGE(""https://docs.google.com/spreadsheets/d/1v5sN-00LrXuhBxw4dkh2GrG_z4l5oAqOdJRBCsUyMaM/edit?usp=sharing"",""ตรัง!L456"")"),0)</f>
        <v>0</v>
      </c>
      <c r="F77" s="77">
        <f t="shared" ca="1" si="1"/>
        <v>15925.4</v>
      </c>
      <c r="G77" s="78">
        <f t="shared" ca="1" si="2"/>
        <v>18.105275125056846</v>
      </c>
      <c r="H77" s="79">
        <f t="shared" ca="1" si="56"/>
        <v>15925.4</v>
      </c>
      <c r="I77" s="76">
        <f ca="1">IFERROR(__xludf.DUMMYFUNCTION("IMPORTRANGE(""https://docs.google.com/spreadsheets/d/1v5sN-00LrXuhBxw4dkh2GrG_z4l5oAqOdJRBCsUyMaM/edit?usp=sharing"",""ตรัง!N450"")"),12480)</f>
        <v>12480</v>
      </c>
      <c r="J77" s="76">
        <f ca="1">IFERROR(__xludf.DUMMYFUNCTION("IMPORTRANGE(""https://docs.google.com/spreadsheets/d/1v5sN-00LrXuhBxw4dkh2GrG_z4l5oAqOdJRBCsUyMaM/edit?usp=sharing"",""ตรัง!N451"")"),0)</f>
        <v>0</v>
      </c>
      <c r="K77" s="76">
        <f ca="1">IFERROR(__xludf.DUMMYFUNCTION("IMPORTRANGE(""https://docs.google.com/spreadsheets/d/1v5sN-00LrXuhBxw4dkh2GrG_z4l5oAqOdJRBCsUyMaM/edit?usp=sharing"",""ตรัง!N452"")"),0)</f>
        <v>0</v>
      </c>
      <c r="L77" s="76">
        <f ca="1">IFERROR(__xludf.DUMMYFUNCTION("IMPORTRANGE(""https://docs.google.com/spreadsheets/d/1v5sN-00LrXuhBxw4dkh2GrG_z4l5oAqOdJRBCsUyMaM/edit?usp=sharing"",""ตรัง!N453"")"),3445.4)</f>
        <v>3445.4</v>
      </c>
      <c r="M77" s="80">
        <f ca="1">IFERROR(__xludf.DUMMYFUNCTION("IMPORTRANGE(""https://docs.google.com/spreadsheets/d/1v5sN-00LrXuhBxw4dkh2GrG_z4l5oAqOdJRBCsUyMaM/edit?usp=sharing"",""ตรัง!N456"")"),0)</f>
        <v>0</v>
      </c>
      <c r="N77" s="80">
        <f t="shared" ca="1" si="26"/>
        <v>0</v>
      </c>
      <c r="O77" s="81">
        <f ca="1">IFERROR(__xludf.DUMMYFUNCTION("IMPORTRANGE(""https://docs.google.com/spreadsheets/d/1v5sN-00LrXuhBxw4dkh2GrG_z4l5oAqOdJRBCsUyMaM/edit?usp=sharing"",""ตรัง!I458"")"),0)</f>
        <v>0</v>
      </c>
      <c r="P77" s="81">
        <f ca="1">IFERROR(__xludf.DUMMYFUNCTION("IMPORTRANGE(""https://docs.google.com/spreadsheets/d/1v5sN-00LrXuhBxw4dkh2GrG_z4l5oAqOdJRBCsUyMaM/edit?usp=sharing"",""ตรัง!J458"")"),0)</f>
        <v>0</v>
      </c>
      <c r="Q77" s="82">
        <f t="shared" ca="1" si="20"/>
        <v>0</v>
      </c>
      <c r="R77" s="81">
        <f ca="1">IFERROR(__xludf.DUMMYFUNCTION("IMPORTRANGE(""https://docs.google.com/spreadsheets/d/1v5sN-00LrXuhBxw4dkh2GrG_z4l5oAqOdJRBCsUyMaM/edit?usp=sharing"",""ตรัง!I460"")"),10)</f>
        <v>10</v>
      </c>
      <c r="S77" s="81">
        <f ca="1">IFERROR(__xludf.DUMMYFUNCTION("IMPORTRANGE(""https://docs.google.com/spreadsheets/d/1v5sN-00LrXuhBxw4dkh2GrG_z4l5oAqOdJRBCsUyMaM/edit?usp=sharing"",""ตรัง!J460"")"),0)</f>
        <v>0</v>
      </c>
      <c r="T77" s="82">
        <f t="shared" ca="1" si="21"/>
        <v>0</v>
      </c>
      <c r="U77" s="81">
        <f ca="1">IFERROR(__xludf.DUMMYFUNCTION("IMPORTRANGE(""https://docs.google.com/spreadsheets/d/1v5sN-00LrXuhBxw4dkh2GrG_z4l5oAqOdJRBCsUyMaM/edit?usp=sharing"",""ตรัง!I462"")"),30)</f>
        <v>30</v>
      </c>
      <c r="V77" s="81">
        <f ca="1">IFERROR(__xludf.DUMMYFUNCTION("IMPORTRANGE(""https://docs.google.com/spreadsheets/d/1v5sN-00LrXuhBxw4dkh2GrG_z4l5oAqOdJRBCsUyMaM/edit?usp=sharing"",""ตรัง!J462"")"),0)</f>
        <v>0</v>
      </c>
      <c r="W77" s="82">
        <f t="shared" ca="1" si="22"/>
        <v>0</v>
      </c>
      <c r="X77" s="81">
        <f ca="1">IFERROR(__xludf.DUMMYFUNCTION("IMPORTRANGE(""https://docs.google.com/spreadsheets/d/1v5sN-00LrXuhBxw4dkh2GrG_z4l5oAqOdJRBCsUyMaM/edit?usp=sharing"",""ตรัง!I463"")"),30)</f>
        <v>30</v>
      </c>
      <c r="Y77" s="81">
        <f ca="1">IFERROR(__xludf.DUMMYFUNCTION("IMPORTRANGE(""https://docs.google.com/spreadsheets/d/1v5sN-00LrXuhBxw4dkh2GrG_z4l5oAqOdJRBCsUyMaM/edit?usp=sharing"",""ตรัง!I464"")"),10)</f>
        <v>10</v>
      </c>
      <c r="Z77" s="81">
        <f ca="1">IFERROR(__xludf.DUMMYFUNCTION("IMPORTRANGE(""https://docs.google.com/spreadsheets/d/1v5sN-00LrXuhBxw4dkh2GrG_z4l5oAqOdJRBCsUyMaM/edit?usp=sharing"",""ตรัง!J463"")"),0)</f>
        <v>0</v>
      </c>
      <c r="AA77" s="82">
        <f t="shared" ca="1" si="23"/>
        <v>0</v>
      </c>
      <c r="AB77" s="81">
        <f ca="1">IFERROR(__xludf.DUMMYFUNCTION("IMPORTRANGE(""https://docs.google.com/spreadsheets/d/1v5sN-00LrXuhBxw4dkh2GrG_z4l5oAqOdJRBCsUyMaM/edit?usp=sharing"",""ตรัง!J464"")"),0)</f>
        <v>0</v>
      </c>
      <c r="AC77" s="82">
        <f t="shared" ca="1" si="13"/>
        <v>0</v>
      </c>
    </row>
    <row r="78" spans="1:29" ht="21" customHeight="1" x14ac:dyDescent="0.2">
      <c r="A78" s="72">
        <v>4</v>
      </c>
      <c r="B78" s="73" t="s">
        <v>95</v>
      </c>
      <c r="C78" s="74">
        <f t="shared" ca="1" si="55"/>
        <v>0</v>
      </c>
      <c r="D78" s="75">
        <f ca="1">IFERROR(__xludf.DUMMYFUNCTION("IMPORTRANGE(""https://docs.google.com/spreadsheets/d/1T5rRTzFc79aSIvqnzkZNvwPstq829QYz_xALlO1Z0s8/edit?usp=sharing"",""นครศรีธรรมราช!L449"")"),0)</f>
        <v>0</v>
      </c>
      <c r="E78" s="76">
        <f ca="1">IFERROR(__xludf.DUMMYFUNCTION("IMPORTRANGE(""https://docs.google.com/spreadsheets/d/1T5rRTzFc79aSIvqnzkZNvwPstq829QYz_xALlO1Z0s8/edit?usp=sharing"",""นครศรีธรรมราช!L456"")"),0)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56"/>
        <v>0</v>
      </c>
      <c r="I78" s="76">
        <f ca="1">IFERROR(__xludf.DUMMYFUNCTION("IMPORTRANGE(""https://docs.google.com/spreadsheets/d/1T5rRTzFc79aSIvqnzkZNvwPstq829QYz_xALlO1Z0s8/edit?usp=sharing"",""นครศรีธรรมราช!N450"")"),0)</f>
        <v>0</v>
      </c>
      <c r="J78" s="76">
        <f ca="1">IFERROR(__xludf.DUMMYFUNCTION("IMPORTRANGE(""https://docs.google.com/spreadsheets/d/1T5rRTzFc79aSIvqnzkZNvwPstq829QYz_xALlO1Z0s8/edit?usp=sharing"",""นครศรีธรรมราช!N451"")"),0)</f>
        <v>0</v>
      </c>
      <c r="K78" s="76">
        <f ca="1">IFERROR(__xludf.DUMMYFUNCTION("IMPORTRANGE(""https://docs.google.com/spreadsheets/d/1T5rRTzFc79aSIvqnzkZNvwPstq829QYz_xALlO1Z0s8/edit?usp=sharing"",""นครศรีธรรมราช!N452"")"),0)</f>
        <v>0</v>
      </c>
      <c r="L78" s="76">
        <f ca="1">IFERROR(__xludf.DUMMYFUNCTION("IMPORTRANGE(""https://docs.google.com/spreadsheets/d/1T5rRTzFc79aSIvqnzkZNvwPstq829QYz_xALlO1Z0s8/edit?usp=sharing"",""นครศรีธรรมราช!N453"")"),0)</f>
        <v>0</v>
      </c>
      <c r="M78" s="80">
        <f ca="1">IFERROR(__xludf.DUMMYFUNCTION("IMPORTRANGE(""https://docs.google.com/spreadsheets/d/1T5rRTzFc79aSIvqnzkZNvwPstq829QYz_xALlO1Z0s8/edit?usp=sharing"",""นครศรีธรรมราช!N456"")"),0)</f>
        <v>0</v>
      </c>
      <c r="N78" s="80">
        <f t="shared" ca="1" si="26"/>
        <v>0</v>
      </c>
      <c r="O78" s="81">
        <f ca="1">IFERROR(__xludf.DUMMYFUNCTION("IMPORTRANGE(""https://docs.google.com/spreadsheets/d/1T5rRTzFc79aSIvqnzkZNvwPstq829QYz_xALlO1Z0s8/edit?usp=sharing"",""นครศรีธรรมราช!I458"")"),0)</f>
        <v>0</v>
      </c>
      <c r="P78" s="81">
        <f ca="1">IFERROR(__xludf.DUMMYFUNCTION("IMPORTRANGE(""https://docs.google.com/spreadsheets/d/1T5rRTzFc79aSIvqnzkZNvwPstq829QYz_xALlO1Z0s8/edit?usp=sharing"",""นครศรีธรรมราช!J458"")"),0)</f>
        <v>0</v>
      </c>
      <c r="Q78" s="82">
        <f t="shared" ca="1" si="20"/>
        <v>0</v>
      </c>
      <c r="R78" s="81">
        <f ca="1">IFERROR(__xludf.DUMMYFUNCTION("IMPORTRANGE(""https://docs.google.com/spreadsheets/d/1T5rRTzFc79aSIvqnzkZNvwPstq829QYz_xALlO1Z0s8/edit?usp=sharing"",""นครศรีธรรมราช!I460"")"),0)</f>
        <v>0</v>
      </c>
      <c r="S78" s="81">
        <f ca="1">IFERROR(__xludf.DUMMYFUNCTION("IMPORTRANGE(""https://docs.google.com/spreadsheets/d/1T5rRTzFc79aSIvqnzkZNvwPstq829QYz_xALlO1Z0s8/edit?usp=sharing"",""นครศรีธรรมราช!J460"")"),0)</f>
        <v>0</v>
      </c>
      <c r="T78" s="82">
        <f t="shared" ca="1" si="21"/>
        <v>0</v>
      </c>
      <c r="U78" s="81">
        <f ca="1">IFERROR(__xludf.DUMMYFUNCTION("IMPORTRANGE(""https://docs.google.com/spreadsheets/d/1T5rRTzFc79aSIvqnzkZNvwPstq829QYz_xALlO1Z0s8/edit?usp=sharing"",""นครศรีธรรมราช!I462"")"),0)</f>
        <v>0</v>
      </c>
      <c r="V78" s="81">
        <f ca="1">IFERROR(__xludf.DUMMYFUNCTION("IMPORTRANGE(""https://docs.google.com/spreadsheets/d/1T5rRTzFc79aSIvqnzkZNvwPstq829QYz_xALlO1Z0s8/edit?usp=sharing"",""นครศรีธรรมราช!J462"")"),0)</f>
        <v>0</v>
      </c>
      <c r="W78" s="82">
        <f t="shared" ca="1" si="22"/>
        <v>0</v>
      </c>
      <c r="X78" s="81">
        <f ca="1">IFERROR(__xludf.DUMMYFUNCTION("IMPORTRANGE(""https://docs.google.com/spreadsheets/d/1T5rRTzFc79aSIvqnzkZNvwPstq829QYz_xALlO1Z0s8/edit?usp=sharing"",""นครศรีธรรมราช!I463"")"),0)</f>
        <v>0</v>
      </c>
      <c r="Y78" s="81">
        <f ca="1">IFERROR(__xludf.DUMMYFUNCTION("IMPORTRANGE(""https://docs.google.com/spreadsheets/d/1T5rRTzFc79aSIvqnzkZNvwPstq829QYz_xALlO1Z0s8/edit?usp=sharing"",""นครศรีธรรมราช!I464"")"),0)</f>
        <v>0</v>
      </c>
      <c r="Z78" s="81">
        <f ca="1">IFERROR(__xludf.DUMMYFUNCTION("IMPORTRANGE(""https://docs.google.com/spreadsheets/d/1T5rRTzFc79aSIvqnzkZNvwPstq829QYz_xALlO1Z0s8/edit?usp=sharing"",""นครศรีธรรมราช!J463"")"),0)</f>
        <v>0</v>
      </c>
      <c r="AA78" s="82">
        <f t="shared" ca="1" si="23"/>
        <v>0</v>
      </c>
      <c r="AB78" s="81">
        <f ca="1">IFERROR(__xludf.DUMMYFUNCTION("IMPORTRANGE(""https://docs.google.com/spreadsheets/d/1T5rRTzFc79aSIvqnzkZNvwPstq829QYz_xALlO1Z0s8/edit?usp=sharing"",""นครศรีธรรมราช!J464"")"),0)</f>
        <v>0</v>
      </c>
      <c r="AC78" s="82">
        <f t="shared" ca="1" si="13"/>
        <v>0</v>
      </c>
    </row>
    <row r="79" spans="1:29" ht="21" customHeight="1" x14ac:dyDescent="0.2">
      <c r="A79" s="72">
        <v>5</v>
      </c>
      <c r="B79" s="73" t="s">
        <v>96</v>
      </c>
      <c r="C79" s="74">
        <f t="shared" ca="1" si="55"/>
        <v>0</v>
      </c>
      <c r="D79" s="75">
        <f ca="1">IFERROR(__xludf.DUMMYFUNCTION("IMPORTRANGE(""https://docs.google.com/spreadsheets/d/1BeghqumK0IvCmRd2QOy6_afsZq7ZtAGrSnVJy2u7WmY/edit?usp=sharing"",""นราธิวาส!L449"")"),0)</f>
        <v>0</v>
      </c>
      <c r="E79" s="76">
        <f ca="1">IFERROR(__xludf.DUMMYFUNCTION("IMPORTRANGE(""https://docs.google.com/spreadsheets/d/1BeghqumK0IvCmRd2QOy6_afsZq7ZtAGrSnVJy2u7WmY/edit?usp=sharing"",""นราธิวาส!L456"")"),0)</f>
        <v>0</v>
      </c>
      <c r="F79" s="77">
        <f t="shared" ca="1" si="1"/>
        <v>0</v>
      </c>
      <c r="G79" s="78">
        <f t="shared" ca="1" si="2"/>
        <v>0</v>
      </c>
      <c r="H79" s="79">
        <f t="shared" ca="1" si="56"/>
        <v>0</v>
      </c>
      <c r="I79" s="76">
        <f ca="1">IFERROR(__xludf.DUMMYFUNCTION("IMPORTRANGE(""https://docs.google.com/spreadsheets/d/1BeghqumK0IvCmRd2QOy6_afsZq7ZtAGrSnVJy2u7WmY/edit?usp=sharing"",""นราธิวาส!N450"")"),0)</f>
        <v>0</v>
      </c>
      <c r="J79" s="76">
        <f ca="1">IFERROR(__xludf.DUMMYFUNCTION("IMPORTRANGE(""https://docs.google.com/spreadsheets/d/1BeghqumK0IvCmRd2QOy6_afsZq7ZtAGrSnVJy2u7WmY/edit?usp=sharing"",""นราธิวาส!N451"")"),0)</f>
        <v>0</v>
      </c>
      <c r="K79" s="76">
        <f ca="1">IFERROR(__xludf.DUMMYFUNCTION("IMPORTRANGE(""https://docs.google.com/spreadsheets/d/1BeghqumK0IvCmRd2QOy6_afsZq7ZtAGrSnVJy2u7WmY/edit?usp=sharing"",""นราธิวาส!N452"")"),0)</f>
        <v>0</v>
      </c>
      <c r="L79" s="76">
        <f ca="1">IFERROR(__xludf.DUMMYFUNCTION("IMPORTRANGE(""https://docs.google.com/spreadsheets/d/1BeghqumK0IvCmRd2QOy6_afsZq7ZtAGrSnVJy2u7WmY/edit?usp=sharing"",""นราธิวาส!N453"")"),0)</f>
        <v>0</v>
      </c>
      <c r="M79" s="80">
        <f ca="1">IFERROR(__xludf.DUMMYFUNCTION("IMPORTRANGE(""https://docs.google.com/spreadsheets/d/1BeghqumK0IvCmRd2QOy6_afsZq7ZtAGrSnVJy2u7WmY/edit?usp=sharing"",""นราธิวาส!N456"")"),0)</f>
        <v>0</v>
      </c>
      <c r="N79" s="80">
        <f t="shared" ca="1" si="26"/>
        <v>0</v>
      </c>
      <c r="O79" s="81">
        <f ca="1">IFERROR(__xludf.DUMMYFUNCTION("IMPORTRANGE(""https://docs.google.com/spreadsheets/d/1BeghqumK0IvCmRd2QOy6_afsZq7ZtAGrSnVJy2u7WmY/edit?usp=sharing"",""นราธิวาส!I458"")"),0)</f>
        <v>0</v>
      </c>
      <c r="P79" s="81">
        <f ca="1">IFERROR(__xludf.DUMMYFUNCTION("IMPORTRANGE(""https://docs.google.com/spreadsheets/d/1BeghqumK0IvCmRd2QOy6_afsZq7ZtAGrSnVJy2u7WmY/edit?usp=sharing"",""นราธิวาส!J458"")"),0)</f>
        <v>0</v>
      </c>
      <c r="Q79" s="82">
        <f t="shared" ca="1" si="20"/>
        <v>0</v>
      </c>
      <c r="R79" s="81">
        <f ca="1">IFERROR(__xludf.DUMMYFUNCTION("IMPORTRANGE(""https://docs.google.com/spreadsheets/d/1BeghqumK0IvCmRd2QOy6_afsZq7ZtAGrSnVJy2u7WmY/edit?usp=sharing"",""นราธิวาส!I460"")"),0)</f>
        <v>0</v>
      </c>
      <c r="S79" s="81">
        <f ca="1">IFERROR(__xludf.DUMMYFUNCTION("IMPORTRANGE(""https://docs.google.com/spreadsheets/d/1BeghqumK0IvCmRd2QOy6_afsZq7ZtAGrSnVJy2u7WmY/edit?usp=sharing"",""นราธิวาส!J460"")"),0)</f>
        <v>0</v>
      </c>
      <c r="T79" s="82">
        <f t="shared" ca="1" si="21"/>
        <v>0</v>
      </c>
      <c r="U79" s="81">
        <f ca="1">IFERROR(__xludf.DUMMYFUNCTION("IMPORTRANGE(""https://docs.google.com/spreadsheets/d/1BeghqumK0IvCmRd2QOy6_afsZq7ZtAGrSnVJy2u7WmY/edit?usp=sharing"",""นราธิวาส!I462"")"),0)</f>
        <v>0</v>
      </c>
      <c r="V79" s="81">
        <f ca="1">IFERROR(__xludf.DUMMYFUNCTION("IMPORTRANGE(""https://docs.google.com/spreadsheets/d/1BeghqumK0IvCmRd2QOy6_afsZq7ZtAGrSnVJy2u7WmY/edit?usp=sharing"",""นราธิวาส!J462"")"),0)</f>
        <v>0</v>
      </c>
      <c r="W79" s="82">
        <f t="shared" ca="1" si="22"/>
        <v>0</v>
      </c>
      <c r="X79" s="81">
        <f ca="1">IFERROR(__xludf.DUMMYFUNCTION("IMPORTRANGE(""https://docs.google.com/spreadsheets/d/1BeghqumK0IvCmRd2QOy6_afsZq7ZtAGrSnVJy2u7WmY/edit?usp=sharing"",""นราธิวาส!I463"")"),0)</f>
        <v>0</v>
      </c>
      <c r="Y79" s="81">
        <f ca="1">IFERROR(__xludf.DUMMYFUNCTION("IMPORTRANGE(""https://docs.google.com/spreadsheets/d/1BeghqumK0IvCmRd2QOy6_afsZq7ZtAGrSnVJy2u7WmY/edit?usp=sharing"",""นราธิวาส!I464"")"),0)</f>
        <v>0</v>
      </c>
      <c r="Z79" s="81">
        <f ca="1">IFERROR(__xludf.DUMMYFUNCTION("IMPORTRANGE(""https://docs.google.com/spreadsheets/d/1BeghqumK0IvCmRd2QOy6_afsZq7ZtAGrSnVJy2u7WmY/edit?usp=sharing"",""นราธิวาส!J463"")"),0)</f>
        <v>0</v>
      </c>
      <c r="AA79" s="82">
        <f t="shared" ca="1" si="23"/>
        <v>0</v>
      </c>
      <c r="AB79" s="81">
        <f ca="1">IFERROR(__xludf.DUMMYFUNCTION("IMPORTRANGE(""https://docs.google.com/spreadsheets/d/1BeghqumK0IvCmRd2QOy6_afsZq7ZtAGrSnVJy2u7WmY/edit?usp=sharing"",""นราธิวาส!J464"")"),0)</f>
        <v>0</v>
      </c>
      <c r="AC79" s="82">
        <f t="shared" ca="1" si="13"/>
        <v>0</v>
      </c>
    </row>
    <row r="80" spans="1:29" ht="21" customHeight="1" x14ac:dyDescent="0.2">
      <c r="A80" s="72">
        <v>6</v>
      </c>
      <c r="B80" s="73" t="s">
        <v>97</v>
      </c>
      <c r="C80" s="74">
        <f t="shared" ca="1" si="55"/>
        <v>69160</v>
      </c>
      <c r="D80" s="75">
        <f ca="1">IFERROR(__xludf.DUMMYFUNCTION("IMPORTRANGE(""https://docs.google.com/spreadsheets/d/1IwnW3-jjRf74MCLW-6PiFwMUffRQXZwZA7YM609NmRc/edit?usp=sharing"",""ปัตตานี!L449"")"),69160)</f>
        <v>69160</v>
      </c>
      <c r="E80" s="76">
        <f ca="1">IFERROR(__xludf.DUMMYFUNCTION("IMPORTRANGE(""https://docs.google.com/spreadsheets/d/1IwnW3-jjRf74MCLW-6PiFwMUffRQXZwZA7YM609NmRc/edit?usp=sharing"",""ปัตตานี!L456"")"),0)</f>
        <v>0</v>
      </c>
      <c r="F80" s="77">
        <f t="shared" ca="1" si="1"/>
        <v>55700</v>
      </c>
      <c r="G80" s="78">
        <f t="shared" ca="1" si="2"/>
        <v>80.53788316946212</v>
      </c>
      <c r="H80" s="79">
        <f t="shared" ca="1" si="56"/>
        <v>55700</v>
      </c>
      <c r="I80" s="76">
        <f ca="1">IFERROR(__xludf.DUMMYFUNCTION("IMPORTRANGE(""https://docs.google.com/spreadsheets/d/1IwnW3-jjRf74MCLW-6PiFwMUffRQXZwZA7YM609NmRc/edit?usp=sharing"",""ปัตตานี!N450"")"),17200)</f>
        <v>17200</v>
      </c>
      <c r="J80" s="76">
        <f ca="1">IFERROR(__xludf.DUMMYFUNCTION("IMPORTRANGE(""https://docs.google.com/spreadsheets/d/1IwnW3-jjRf74MCLW-6PiFwMUffRQXZwZA7YM609NmRc/edit?usp=sharing"",""ปัตตานี!N451"")"),26000)</f>
        <v>26000</v>
      </c>
      <c r="K80" s="76">
        <f ca="1">IFERROR(__xludf.DUMMYFUNCTION("IMPORTRANGE(""https://docs.google.com/spreadsheets/d/1IwnW3-jjRf74MCLW-6PiFwMUffRQXZwZA7YM609NmRc/edit?usp=sharing"",""ปัตตานี!N452"")"),0)</f>
        <v>0</v>
      </c>
      <c r="L80" s="76">
        <f ca="1">IFERROR(__xludf.DUMMYFUNCTION("IMPORTRANGE(""https://docs.google.com/spreadsheets/d/1IwnW3-jjRf74MCLW-6PiFwMUffRQXZwZA7YM609NmRc/edit?usp=sharing"",""ปัตตานี!N453"")"),12500)</f>
        <v>12500</v>
      </c>
      <c r="M80" s="80">
        <f ca="1">IFERROR(__xludf.DUMMYFUNCTION("IMPORTRANGE(""https://docs.google.com/spreadsheets/d/1IwnW3-jjRf74MCLW-6PiFwMUffRQXZwZA7YM609NmRc/edit?usp=sharing"",""ปัตตานี!N456"")"),0)</f>
        <v>0</v>
      </c>
      <c r="N80" s="80">
        <f t="shared" ca="1" si="26"/>
        <v>0</v>
      </c>
      <c r="O80" s="81">
        <f ca="1">IFERROR(__xludf.DUMMYFUNCTION("IMPORTRANGE(""https://docs.google.com/spreadsheets/d/1IwnW3-jjRf74MCLW-6PiFwMUffRQXZwZA7YM609NmRc/edit?usp=sharing"",""ปัตตานี!I458"")"),0)</f>
        <v>0</v>
      </c>
      <c r="P80" s="81">
        <f ca="1">IFERROR(__xludf.DUMMYFUNCTION("IMPORTRANGE(""https://docs.google.com/spreadsheets/d/1IwnW3-jjRf74MCLW-6PiFwMUffRQXZwZA7YM609NmRc/edit?usp=sharing"",""ปัตตานี!J458"")"),0)</f>
        <v>0</v>
      </c>
      <c r="Q80" s="82">
        <f t="shared" ca="1" si="20"/>
        <v>0</v>
      </c>
      <c r="R80" s="81">
        <f ca="1">IFERROR(__xludf.DUMMYFUNCTION("IMPORTRANGE(""https://docs.google.com/spreadsheets/d/1IwnW3-jjRf74MCLW-6PiFwMUffRQXZwZA7YM609NmRc/edit?usp=sharing"",""ปัตตานี!I460"")"),10)</f>
        <v>10</v>
      </c>
      <c r="S80" s="81">
        <f ca="1">IFERROR(__xludf.DUMMYFUNCTION("IMPORTRANGE(""https://docs.google.com/spreadsheets/d/1IwnW3-jjRf74MCLW-6PiFwMUffRQXZwZA7YM609NmRc/edit?usp=sharing"",""ปัตตานี!J460"")"),10)</f>
        <v>10</v>
      </c>
      <c r="T80" s="82">
        <f t="shared" ca="1" si="21"/>
        <v>100</v>
      </c>
      <c r="U80" s="81">
        <f ca="1">IFERROR(__xludf.DUMMYFUNCTION("IMPORTRANGE(""https://docs.google.com/spreadsheets/d/1IwnW3-jjRf74MCLW-6PiFwMUffRQXZwZA7YM609NmRc/edit?usp=sharing"",""ปัตตานี!I462"")"),20)</f>
        <v>20</v>
      </c>
      <c r="V80" s="81">
        <f ca="1">IFERROR(__xludf.DUMMYFUNCTION("IMPORTRANGE(""https://docs.google.com/spreadsheets/d/1IwnW3-jjRf74MCLW-6PiFwMUffRQXZwZA7YM609NmRc/edit?usp=sharing"",""ปัตตานี!J462"")"),20)</f>
        <v>20</v>
      </c>
      <c r="W80" s="82">
        <f t="shared" ca="1" si="22"/>
        <v>100</v>
      </c>
      <c r="X80" s="81">
        <f ca="1">IFERROR(__xludf.DUMMYFUNCTION("IMPORTRANGE(""https://docs.google.com/spreadsheets/d/1IwnW3-jjRf74MCLW-6PiFwMUffRQXZwZA7YM609NmRc/edit?usp=sharing"",""ปัตตานี!I463"")"),20)</f>
        <v>20</v>
      </c>
      <c r="Y80" s="81">
        <f ca="1">IFERROR(__xludf.DUMMYFUNCTION("IMPORTRANGE(""https://docs.google.com/spreadsheets/d/1IwnW3-jjRf74MCLW-6PiFwMUffRQXZwZA7YM609NmRc/edit?usp=sharing"",""ปัตตานี!I464"")"),10)</f>
        <v>10</v>
      </c>
      <c r="Z80" s="81">
        <f ca="1">IFERROR(__xludf.DUMMYFUNCTION("IMPORTRANGE(""https://docs.google.com/spreadsheets/d/1IwnW3-jjRf74MCLW-6PiFwMUffRQXZwZA7YM609NmRc/edit?usp=sharing"",""ปัตตานี!J463"")"),20)</f>
        <v>20</v>
      </c>
      <c r="AA80" s="82">
        <f t="shared" ca="1" si="23"/>
        <v>100</v>
      </c>
      <c r="AB80" s="81">
        <f ca="1">IFERROR(__xludf.DUMMYFUNCTION("IMPORTRANGE(""https://docs.google.com/spreadsheets/d/1IwnW3-jjRf74MCLW-6PiFwMUffRQXZwZA7YM609NmRc/edit?usp=sharing"",""ปัตตานี!J464"")"),10)</f>
        <v>10</v>
      </c>
      <c r="AC80" s="82">
        <f t="shared" ca="1" si="13"/>
        <v>100</v>
      </c>
    </row>
    <row r="81" spans="1:29" ht="21" customHeight="1" x14ac:dyDescent="0.2">
      <c r="A81" s="72">
        <v>7</v>
      </c>
      <c r="B81" s="73" t="s">
        <v>98</v>
      </c>
      <c r="C81" s="74">
        <f t="shared" ca="1" si="55"/>
        <v>77160</v>
      </c>
      <c r="D81" s="75">
        <f ca="1">IFERROR(__xludf.DUMMYFUNCTION("IMPORTRANGE(""https://docs.google.com/spreadsheets/d/1vl4QWbWdFruual5o_wdo6ZSqXZ_it806oja4CctTLKs/edit?usp=sharing"",""พังงา!L449"")"),77160)</f>
        <v>77160</v>
      </c>
      <c r="E81" s="76">
        <f ca="1">IFERROR(__xludf.DUMMYFUNCTION("IMPORTRANGE(""https://docs.google.com/spreadsheets/d/1vl4QWbWdFruual5o_wdo6ZSqXZ_it806oja4CctTLKs/edit?usp=sharing"",""พังงา!L456"")"),0)</f>
        <v>0</v>
      </c>
      <c r="F81" s="77">
        <f t="shared" ca="1" si="1"/>
        <v>16290</v>
      </c>
      <c r="G81" s="78">
        <f t="shared" ca="1" si="2"/>
        <v>21.111975116640746</v>
      </c>
      <c r="H81" s="79">
        <f t="shared" ca="1" si="56"/>
        <v>16290</v>
      </c>
      <c r="I81" s="76">
        <f ca="1">IFERROR(__xludf.DUMMYFUNCTION("IMPORTRANGE(""https://docs.google.com/spreadsheets/d/1vl4QWbWdFruual5o_wdo6ZSqXZ_it806oja4CctTLKs/edit?usp=sharing"",""พังงา!N450"")"),11320)</f>
        <v>11320</v>
      </c>
      <c r="J81" s="76">
        <f ca="1">IFERROR(__xludf.DUMMYFUNCTION("IMPORTRANGE(""https://docs.google.com/spreadsheets/d/1vl4QWbWdFruual5o_wdo6ZSqXZ_it806oja4CctTLKs/edit?usp=sharing"",""พังงา!N451"")"),0)</f>
        <v>0</v>
      </c>
      <c r="K81" s="76">
        <f ca="1">IFERROR(__xludf.DUMMYFUNCTION("IMPORTRANGE(""https://docs.google.com/spreadsheets/d/1vl4QWbWdFruual5o_wdo6ZSqXZ_it806oja4CctTLKs/edit?usp=sharing"",""พังงา!N452"")"),0)</f>
        <v>0</v>
      </c>
      <c r="L81" s="76">
        <f ca="1">IFERROR(__xludf.DUMMYFUNCTION("IMPORTRANGE(""https://docs.google.com/spreadsheets/d/1vl4QWbWdFruual5o_wdo6ZSqXZ_it806oja4CctTLKs/edit?usp=sharing"",""พังงา!N453"")"),4970)</f>
        <v>4970</v>
      </c>
      <c r="M81" s="80">
        <f ca="1">IFERROR(__xludf.DUMMYFUNCTION("IMPORTRANGE(""https://docs.google.com/spreadsheets/d/1vl4QWbWdFruual5o_wdo6ZSqXZ_it806oja4CctTLKs/edit?usp=sharing"",""พังงา!N456"")"),0)</f>
        <v>0</v>
      </c>
      <c r="N81" s="80">
        <f t="shared" ca="1" si="26"/>
        <v>0</v>
      </c>
      <c r="O81" s="81">
        <f ca="1">IFERROR(__xludf.DUMMYFUNCTION("IMPORTRANGE(""https://docs.google.com/spreadsheets/d/1vl4QWbWdFruual5o_wdo6ZSqXZ_it806oja4CctTLKs/edit?usp=sharing"",""พังงา!I458"")"),0)</f>
        <v>0</v>
      </c>
      <c r="P81" s="81">
        <f ca="1">IFERROR(__xludf.DUMMYFUNCTION("IMPORTRANGE(""https://docs.google.com/spreadsheets/d/1vl4QWbWdFruual5o_wdo6ZSqXZ_it806oja4CctTLKs/edit?usp=sharing"",""พังงา!J458"")"),0)</f>
        <v>0</v>
      </c>
      <c r="Q81" s="82">
        <f t="shared" ca="1" si="20"/>
        <v>0</v>
      </c>
      <c r="R81" s="81">
        <f ca="1">IFERROR(__xludf.DUMMYFUNCTION("IMPORTRANGE(""https://docs.google.com/spreadsheets/d/1vl4QWbWdFruual5o_wdo6ZSqXZ_it806oja4CctTLKs/edit?usp=sharing"",""พังงา!I460"")"),10)</f>
        <v>10</v>
      </c>
      <c r="S81" s="81">
        <f ca="1">IFERROR(__xludf.DUMMYFUNCTION("IMPORTRANGE(""https://docs.google.com/spreadsheets/d/1vl4QWbWdFruual5o_wdo6ZSqXZ_it806oja4CctTLKs/edit?usp=sharing"",""พังงา!J460"")"),10)</f>
        <v>10</v>
      </c>
      <c r="T81" s="82">
        <f t="shared" ca="1" si="21"/>
        <v>100</v>
      </c>
      <c r="U81" s="81">
        <f ca="1">IFERROR(__xludf.DUMMYFUNCTION("IMPORTRANGE(""https://docs.google.com/spreadsheets/d/1vl4QWbWdFruual5o_wdo6ZSqXZ_it806oja4CctTLKs/edit?usp=sharing"",""พังงา!I462"")"),30)</f>
        <v>30</v>
      </c>
      <c r="V81" s="81">
        <f ca="1">IFERROR(__xludf.DUMMYFUNCTION("IMPORTRANGE(""https://docs.google.com/spreadsheets/d/1vl4QWbWdFruual5o_wdo6ZSqXZ_it806oja4CctTLKs/edit?usp=sharing"",""พังงา!J462"")"),0)</f>
        <v>0</v>
      </c>
      <c r="W81" s="82">
        <f t="shared" ca="1" si="22"/>
        <v>0</v>
      </c>
      <c r="X81" s="81">
        <f ca="1">IFERROR(__xludf.DUMMYFUNCTION("IMPORTRANGE(""https://docs.google.com/spreadsheets/d/1vl4QWbWdFruual5o_wdo6ZSqXZ_it806oja4CctTLKs/edit?usp=sharing"",""พังงา!I463"")"),30)</f>
        <v>30</v>
      </c>
      <c r="Y81" s="81">
        <f ca="1">IFERROR(__xludf.DUMMYFUNCTION("IMPORTRANGE(""https://docs.google.com/spreadsheets/d/1vl4QWbWdFruual5o_wdo6ZSqXZ_it806oja4CctTLKs/edit?usp=sharing"",""พังงา!I464"")"),10)</f>
        <v>10</v>
      </c>
      <c r="Z81" s="81">
        <f ca="1">IFERROR(__xludf.DUMMYFUNCTION("IMPORTRANGE(""https://docs.google.com/spreadsheets/d/1vl4QWbWdFruual5o_wdo6ZSqXZ_it806oja4CctTLKs/edit?usp=sharing"",""พังงา!J463"")"),0)</f>
        <v>0</v>
      </c>
      <c r="AA81" s="82">
        <f t="shared" ca="1" si="23"/>
        <v>0</v>
      </c>
      <c r="AB81" s="81">
        <f ca="1">IFERROR(__xludf.DUMMYFUNCTION("IMPORTRANGE(""https://docs.google.com/spreadsheets/d/1vl4QWbWdFruual5o_wdo6ZSqXZ_it806oja4CctTLKs/edit?usp=sharing"",""พังงา!J464"")"),0)</f>
        <v>0</v>
      </c>
      <c r="AC81" s="82">
        <f t="shared" ca="1" si="13"/>
        <v>0</v>
      </c>
    </row>
    <row r="82" spans="1:29" ht="21" customHeight="1" x14ac:dyDescent="0.2">
      <c r="A82" s="72">
        <v>8</v>
      </c>
      <c r="B82" s="73" t="s">
        <v>99</v>
      </c>
      <c r="C82" s="74">
        <f t="shared" ca="1" si="55"/>
        <v>367400</v>
      </c>
      <c r="D82" s="75">
        <f ca="1">IFERROR(__xludf.DUMMYFUNCTION("IMPORTRANGE(""https://docs.google.com/spreadsheets/d/1b6QssHQp2FoAPSMKHOy273KNzAomaIKhtdlvuZ_zDNE/edit?usp=sharing"",""พัทลุง!L449"")"),367400)</f>
        <v>367400</v>
      </c>
      <c r="E82" s="76">
        <f ca="1">IFERROR(__xludf.DUMMYFUNCTION("IMPORTRANGE(""https://docs.google.com/spreadsheets/d/1b6QssHQp2FoAPSMKHOy273KNzAomaIKhtdlvuZ_zDNE/edit?usp=sharing"",""พัทลุง!L456"")"),0)</f>
        <v>0</v>
      </c>
      <c r="F82" s="77">
        <f t="shared" ca="1" si="1"/>
        <v>103450.5</v>
      </c>
      <c r="G82" s="78">
        <f t="shared" ca="1" si="2"/>
        <v>28.157457811649429</v>
      </c>
      <c r="H82" s="79">
        <f t="shared" ca="1" si="56"/>
        <v>103450.5</v>
      </c>
      <c r="I82" s="76">
        <f ca="1">IFERROR(__xludf.DUMMYFUNCTION("IMPORTRANGE(""https://docs.google.com/spreadsheets/d/1b6QssHQp2FoAPSMKHOy273KNzAomaIKhtdlvuZ_zDNE/edit?usp=sharing"",""พัทลุง!N450"")"),54400)</f>
        <v>54400</v>
      </c>
      <c r="J82" s="76">
        <f ca="1">IFERROR(__xludf.DUMMYFUNCTION("IMPORTRANGE(""https://docs.google.com/spreadsheets/d/1b6QssHQp2FoAPSMKHOy273KNzAomaIKhtdlvuZ_zDNE/edit?usp=sharing"",""พัทลุง!N451"")"),0)</f>
        <v>0</v>
      </c>
      <c r="K82" s="76">
        <f ca="1">IFERROR(__xludf.DUMMYFUNCTION("IMPORTRANGE(""https://docs.google.com/spreadsheets/d/1b6QssHQp2FoAPSMKHOy273KNzAomaIKhtdlvuZ_zDNE/edit?usp=sharing"",""พัทลุง!N452"")"),38580.5)</f>
        <v>38580.5</v>
      </c>
      <c r="L82" s="76">
        <f ca="1">IFERROR(__xludf.DUMMYFUNCTION("IMPORTRANGE(""https://docs.google.com/spreadsheets/d/1b6QssHQp2FoAPSMKHOy273KNzAomaIKhtdlvuZ_zDNE/edit?usp=sharing"",""พัทลุง!N453"")"),10470)</f>
        <v>10470</v>
      </c>
      <c r="M82" s="80">
        <f ca="1">IFERROR(__xludf.DUMMYFUNCTION("IMPORTRANGE(""https://docs.google.com/spreadsheets/d/1b6QssHQp2FoAPSMKHOy273KNzAomaIKhtdlvuZ_zDNE/edit?usp=sharing"",""พัทลุง!N456"")"),0)</f>
        <v>0</v>
      </c>
      <c r="N82" s="80">
        <f t="shared" ca="1" si="26"/>
        <v>0</v>
      </c>
      <c r="O82" s="81">
        <f ca="1">IFERROR(__xludf.DUMMYFUNCTION("IMPORTRANGE(""https://docs.google.com/spreadsheets/d/1b6QssHQp2FoAPSMKHOy273KNzAomaIKhtdlvuZ_zDNE/edit?usp=sharing"",""พัทลุง!I458"")"),0)</f>
        <v>0</v>
      </c>
      <c r="P82" s="81">
        <f ca="1">IFERROR(__xludf.DUMMYFUNCTION("IMPORTRANGE(""https://docs.google.com/spreadsheets/d/1b6QssHQp2FoAPSMKHOy273KNzAomaIKhtdlvuZ_zDNE/edit?usp=sharing"",""พัทลุง!J458"")"),0)</f>
        <v>0</v>
      </c>
      <c r="Q82" s="82">
        <f t="shared" ca="1" si="20"/>
        <v>0</v>
      </c>
      <c r="R82" s="81">
        <f ca="1">IFERROR(__xludf.DUMMYFUNCTION("IMPORTRANGE(""https://docs.google.com/spreadsheets/d/1b6QssHQp2FoAPSMKHOy273KNzAomaIKhtdlvuZ_zDNE/edit?usp=sharing"",""พัทลุง!I460"")"),40)</f>
        <v>40</v>
      </c>
      <c r="S82" s="81">
        <f ca="1">IFERROR(__xludf.DUMMYFUNCTION("IMPORTRANGE(""https://docs.google.com/spreadsheets/d/1b6QssHQp2FoAPSMKHOy273KNzAomaIKhtdlvuZ_zDNE/edit?usp=sharing"",""พัทลุง!J460"")"),40)</f>
        <v>40</v>
      </c>
      <c r="T82" s="82">
        <f t="shared" ca="1" si="21"/>
        <v>100</v>
      </c>
      <c r="U82" s="81">
        <f ca="1">IFERROR(__xludf.DUMMYFUNCTION("IMPORTRANGE(""https://docs.google.com/spreadsheets/d/1b6QssHQp2FoAPSMKHOy273KNzAomaIKhtdlvuZ_zDNE/edit?usp=sharing"",""พัทลุง!I462"")"),120)</f>
        <v>120</v>
      </c>
      <c r="V82" s="81">
        <f ca="1">IFERROR(__xludf.DUMMYFUNCTION("IMPORTRANGE(""https://docs.google.com/spreadsheets/d/1b6QssHQp2FoAPSMKHOy273KNzAomaIKhtdlvuZ_zDNE/edit?usp=sharing"",""พัทลุง!J462"")"),120)</f>
        <v>120</v>
      </c>
      <c r="W82" s="82">
        <f t="shared" ca="1" si="22"/>
        <v>100</v>
      </c>
      <c r="X82" s="81">
        <f ca="1">IFERROR(__xludf.DUMMYFUNCTION("IMPORTRANGE(""https://docs.google.com/spreadsheets/d/1b6QssHQp2FoAPSMKHOy273KNzAomaIKhtdlvuZ_zDNE/edit?usp=sharing"",""พัทลุง!I463"")"),120)</f>
        <v>120</v>
      </c>
      <c r="Y82" s="81">
        <f ca="1">IFERROR(__xludf.DUMMYFUNCTION("IMPORTRANGE(""https://docs.google.com/spreadsheets/d/1b6QssHQp2FoAPSMKHOy273KNzAomaIKhtdlvuZ_zDNE/edit?usp=sharing"",""พัทลุง!I464"")"),40)</f>
        <v>40</v>
      </c>
      <c r="Z82" s="81">
        <f ca="1">IFERROR(__xludf.DUMMYFUNCTION("IMPORTRANGE(""https://docs.google.com/spreadsheets/d/1b6QssHQp2FoAPSMKHOy273KNzAomaIKhtdlvuZ_zDNE/edit?usp=sharing"",""พัทลุง!J463"")"),0)</f>
        <v>0</v>
      </c>
      <c r="AA82" s="82">
        <f t="shared" ca="1" si="23"/>
        <v>0</v>
      </c>
      <c r="AB82" s="81">
        <f ca="1">IFERROR(__xludf.DUMMYFUNCTION("IMPORTRANGE(""https://docs.google.com/spreadsheets/d/1b6QssHQp2FoAPSMKHOy273KNzAomaIKhtdlvuZ_zDNE/edit?usp=sharing"",""พัทลุง!J464"")"),0)</f>
        <v>0</v>
      </c>
      <c r="AC82" s="82">
        <f t="shared" ca="1" si="13"/>
        <v>0</v>
      </c>
    </row>
    <row r="83" spans="1:29" ht="21" customHeight="1" x14ac:dyDescent="0.2">
      <c r="A83" s="72">
        <v>9</v>
      </c>
      <c r="B83" s="73" t="s">
        <v>100</v>
      </c>
      <c r="C83" s="74">
        <f t="shared" ca="1" si="55"/>
        <v>109560</v>
      </c>
      <c r="D83" s="75">
        <f ca="1">IFERROR(__xludf.DUMMYFUNCTION("IMPORTRANGE(""https://docs.google.com/spreadsheets/d/1o7UZe4_OqlqtLDHrj01Z2YFRSZDf1DMy1n3XViHaxRc/edit?usp=sharing"",""ภูเก็ต!L449"")"),109560)</f>
        <v>109560</v>
      </c>
      <c r="E83" s="76">
        <f ca="1">IFERROR(__xludf.DUMMYFUNCTION("IMPORTRANGE(""https://docs.google.com/spreadsheets/d/1o7UZe4_OqlqtLDHrj01Z2YFRSZDf1DMy1n3XViHaxRc/edit?usp=sharing"",""ภูเก็ต!L456"")"),0)</f>
        <v>0</v>
      </c>
      <c r="F83" s="77">
        <f t="shared" ca="1" si="1"/>
        <v>8270</v>
      </c>
      <c r="G83" s="78">
        <f t="shared" ca="1" si="2"/>
        <v>7.548375319459657</v>
      </c>
      <c r="H83" s="79">
        <f t="shared" ca="1" si="56"/>
        <v>8270</v>
      </c>
      <c r="I83" s="76">
        <f ca="1">IFERROR(__xludf.DUMMYFUNCTION("IMPORTRANGE(""https://docs.google.com/spreadsheets/d/1o7UZe4_OqlqtLDHrj01Z2YFRSZDf1DMy1n3XViHaxRc/edit?usp=sharing"",""ภูเก็ต!N450"")"),0)</f>
        <v>0</v>
      </c>
      <c r="J83" s="76">
        <f ca="1">IFERROR(__xludf.DUMMYFUNCTION("IMPORTRANGE(""https://docs.google.com/spreadsheets/d/1o7UZe4_OqlqtLDHrj01Z2YFRSZDf1DMy1n3XViHaxRc/edit?usp=sharing"",""ภูเก็ต!N451"")"),0)</f>
        <v>0</v>
      </c>
      <c r="K83" s="76">
        <f ca="1">IFERROR(__xludf.DUMMYFUNCTION("IMPORTRANGE(""https://docs.google.com/spreadsheets/d/1o7UZe4_OqlqtLDHrj01Z2YFRSZDf1DMy1n3XViHaxRc/edit?usp=sharing"",""ภูเก็ต!N452"")"),0)</f>
        <v>0</v>
      </c>
      <c r="L83" s="76">
        <f ca="1">IFERROR(__xludf.DUMMYFUNCTION("IMPORTRANGE(""https://docs.google.com/spreadsheets/d/1o7UZe4_OqlqtLDHrj01Z2YFRSZDf1DMy1n3XViHaxRc/edit?usp=sharing"",""ภูเก็ต!N453"")"),8270)</f>
        <v>8270</v>
      </c>
      <c r="M83" s="80">
        <f ca="1">IFERROR(__xludf.DUMMYFUNCTION("IMPORTRANGE(""https://docs.google.com/spreadsheets/d/1o7UZe4_OqlqtLDHrj01Z2YFRSZDf1DMy1n3XViHaxRc/edit?usp=sharing"",""ภูเก็ต!N456"")"),0)</f>
        <v>0</v>
      </c>
      <c r="N83" s="80">
        <f t="shared" ca="1" si="26"/>
        <v>0</v>
      </c>
      <c r="O83" s="81">
        <f ca="1">IFERROR(__xludf.DUMMYFUNCTION("IMPORTRANGE(""https://docs.google.com/spreadsheets/d/1o7UZe4_OqlqtLDHrj01Z2YFRSZDf1DMy1n3XViHaxRc/edit?usp=sharing"",""ภูเก็ต!I458"")"),0)</f>
        <v>0</v>
      </c>
      <c r="P83" s="81">
        <f ca="1">IFERROR(__xludf.DUMMYFUNCTION("IMPORTRANGE(""https://docs.google.com/spreadsheets/d/1o7UZe4_OqlqtLDHrj01Z2YFRSZDf1DMy1n3XViHaxRc/edit?usp=sharing"",""ภูเก็ต!J458"")"),0)</f>
        <v>0</v>
      </c>
      <c r="Q83" s="82">
        <f t="shared" ca="1" si="20"/>
        <v>0</v>
      </c>
      <c r="R83" s="81">
        <f ca="1">IFERROR(__xludf.DUMMYFUNCTION("IMPORTRANGE(""https://docs.google.com/spreadsheets/d/1o7UZe4_OqlqtLDHrj01Z2YFRSZDf1DMy1n3XViHaxRc/edit?usp=sharing"",""ภูเก็ต!I460"")"),20)</f>
        <v>20</v>
      </c>
      <c r="S83" s="81">
        <f ca="1">IFERROR(__xludf.DUMMYFUNCTION("IMPORTRANGE(""https://docs.google.com/spreadsheets/d/1o7UZe4_OqlqtLDHrj01Z2YFRSZDf1DMy1n3XViHaxRc/edit?usp=sharing"",""ภูเก็ต!J460"")"),0)</f>
        <v>0</v>
      </c>
      <c r="T83" s="82">
        <f t="shared" ca="1" si="21"/>
        <v>0</v>
      </c>
      <c r="U83" s="81">
        <f ca="1">IFERROR(__xludf.DUMMYFUNCTION("IMPORTRANGE(""https://docs.google.com/spreadsheets/d/1o7UZe4_OqlqtLDHrj01Z2YFRSZDf1DMy1n3XViHaxRc/edit?usp=sharing"",""ภูเก็ต!I462"")"),40)</f>
        <v>40</v>
      </c>
      <c r="V83" s="81">
        <f ca="1">IFERROR(__xludf.DUMMYFUNCTION("IMPORTRANGE(""https://docs.google.com/spreadsheets/d/1o7UZe4_OqlqtLDHrj01Z2YFRSZDf1DMy1n3XViHaxRc/edit?usp=sharing"",""ภูเก็ต!J462"")"),0)</f>
        <v>0</v>
      </c>
      <c r="W83" s="82">
        <f t="shared" ca="1" si="22"/>
        <v>0</v>
      </c>
      <c r="X83" s="81">
        <f ca="1">IFERROR(__xludf.DUMMYFUNCTION("IMPORTRANGE(""https://docs.google.com/spreadsheets/d/1o7UZe4_OqlqtLDHrj01Z2YFRSZDf1DMy1n3XViHaxRc/edit?usp=sharing"",""ภูเก็ต!I463"")"),40)</f>
        <v>40</v>
      </c>
      <c r="Y83" s="81">
        <f ca="1">IFERROR(__xludf.DUMMYFUNCTION("IMPORTRANGE(""https://docs.google.com/spreadsheets/d/1o7UZe4_OqlqtLDHrj01Z2YFRSZDf1DMy1n3XViHaxRc/edit?usp=sharing"",""ภูเก็ต!I464"")"),20)</f>
        <v>20</v>
      </c>
      <c r="Z83" s="81">
        <f ca="1">IFERROR(__xludf.DUMMYFUNCTION("IMPORTRANGE(""https://docs.google.com/spreadsheets/d/1o7UZe4_OqlqtLDHrj01Z2YFRSZDf1DMy1n3XViHaxRc/edit?usp=sharing"",""ภูเก็ต!J463"")"),0)</f>
        <v>0</v>
      </c>
      <c r="AA83" s="82">
        <f t="shared" ca="1" si="23"/>
        <v>0</v>
      </c>
      <c r="AB83" s="81">
        <f ca="1">IFERROR(__xludf.DUMMYFUNCTION("IMPORTRANGE(""https://docs.google.com/spreadsheets/d/1o7UZe4_OqlqtLDHrj01Z2YFRSZDf1DMy1n3XViHaxRc/edit?usp=sharing"",""ภูเก็ต!J464"")"),0)</f>
        <v>0</v>
      </c>
      <c r="AC83" s="82">
        <f t="shared" ca="1" si="13"/>
        <v>0</v>
      </c>
    </row>
    <row r="84" spans="1:29" ht="21" customHeight="1" x14ac:dyDescent="0.2">
      <c r="A84" s="72">
        <v>10</v>
      </c>
      <c r="B84" s="73" t="s">
        <v>101</v>
      </c>
      <c r="C84" s="74">
        <f t="shared" ca="1" si="55"/>
        <v>0</v>
      </c>
      <c r="D84" s="75">
        <f ca="1">IFERROR(__xludf.DUMMYFUNCTION("IMPORTRANGE(""https://docs.google.com/spreadsheets/d/1ctPm1vUzcUCPuOj9-eoHUD85PqINFqUB0TjdSWmR5-c/edit?usp=sharing"",""ยะลา!L449"")"),0)</f>
        <v>0</v>
      </c>
      <c r="E84" s="76">
        <f ca="1">IFERROR(__xludf.DUMMYFUNCTION("IMPORTRANGE(""https://docs.google.com/spreadsheets/d/1ctPm1vUzcUCPuOj9-eoHUD85PqINFqUB0TjdSWmR5-c/edit?usp=sharing"",""ยะลา!L456"")"),0)</f>
        <v>0</v>
      </c>
      <c r="F84" s="77">
        <f t="shared" ca="1" si="1"/>
        <v>0</v>
      </c>
      <c r="G84" s="78">
        <f t="shared" ca="1" si="2"/>
        <v>0</v>
      </c>
      <c r="H84" s="79">
        <f t="shared" ca="1" si="56"/>
        <v>0</v>
      </c>
      <c r="I84" s="76">
        <f ca="1">IFERROR(__xludf.DUMMYFUNCTION("IMPORTRANGE(""https://docs.google.com/spreadsheets/d/1ctPm1vUzcUCPuOj9-eoHUD85PqINFqUB0TjdSWmR5-c/edit?usp=sharing"",""ยะลา!N450"")"),0)</f>
        <v>0</v>
      </c>
      <c r="J84" s="76">
        <f ca="1">IFERROR(__xludf.DUMMYFUNCTION("IMPORTRANGE(""https://docs.google.com/spreadsheets/d/1ctPm1vUzcUCPuOj9-eoHUD85PqINFqUB0TjdSWmR5-c/edit?usp=sharing"",""ยะลา!N451"")"),0)</f>
        <v>0</v>
      </c>
      <c r="K84" s="76">
        <f ca="1">IFERROR(__xludf.DUMMYFUNCTION("IMPORTRANGE(""https://docs.google.com/spreadsheets/d/1ctPm1vUzcUCPuOj9-eoHUD85PqINFqUB0TjdSWmR5-c/edit?usp=sharing"",""ยะลา!N452"")"),0)</f>
        <v>0</v>
      </c>
      <c r="L84" s="76">
        <f ca="1">IFERROR(__xludf.DUMMYFUNCTION("IMPORTRANGE(""https://docs.google.com/spreadsheets/d/1ctPm1vUzcUCPuOj9-eoHUD85PqINFqUB0TjdSWmR5-c/edit?usp=sharing"",""ยะลา!N453"")"),0)</f>
        <v>0</v>
      </c>
      <c r="M84" s="80">
        <f ca="1">IFERROR(__xludf.DUMMYFUNCTION("IMPORTRANGE(""https://docs.google.com/spreadsheets/d/1ctPm1vUzcUCPuOj9-eoHUD85PqINFqUB0TjdSWmR5-c/edit?usp=sharing"",""ยะลา!N456"")"),0)</f>
        <v>0</v>
      </c>
      <c r="N84" s="80">
        <f t="shared" ca="1" si="26"/>
        <v>0</v>
      </c>
      <c r="O84" s="81">
        <f ca="1">IFERROR(__xludf.DUMMYFUNCTION("IMPORTRANGE(""https://docs.google.com/spreadsheets/d/1ctPm1vUzcUCPuOj9-eoHUD85PqINFqUB0TjdSWmR5-c/edit?usp=sharing"",""ยะลา!I458"")"),0)</f>
        <v>0</v>
      </c>
      <c r="P84" s="81">
        <f ca="1">IFERROR(__xludf.DUMMYFUNCTION("IMPORTRANGE(""https://docs.google.com/spreadsheets/d/1ctPm1vUzcUCPuOj9-eoHUD85PqINFqUB0TjdSWmR5-c/edit?usp=sharing"",""ยะลา!J458"")"),0)</f>
        <v>0</v>
      </c>
      <c r="Q84" s="82">
        <f t="shared" ca="1" si="20"/>
        <v>0</v>
      </c>
      <c r="R84" s="81">
        <f ca="1">IFERROR(__xludf.DUMMYFUNCTION("IMPORTRANGE(""https://docs.google.com/spreadsheets/d/1ctPm1vUzcUCPuOj9-eoHUD85PqINFqUB0TjdSWmR5-c/edit?usp=sharing"",""ยะลา!I460"")"),0)</f>
        <v>0</v>
      </c>
      <c r="S84" s="81">
        <f ca="1">IFERROR(__xludf.DUMMYFUNCTION("IMPORTRANGE(""https://docs.google.com/spreadsheets/d/1ctPm1vUzcUCPuOj9-eoHUD85PqINFqUB0TjdSWmR5-c/edit?usp=sharing"",""ยะลา!J460"")"),0)</f>
        <v>0</v>
      </c>
      <c r="T84" s="82">
        <f t="shared" ca="1" si="21"/>
        <v>0</v>
      </c>
      <c r="U84" s="81">
        <f ca="1">IFERROR(__xludf.DUMMYFUNCTION("IMPORTRANGE(""https://docs.google.com/spreadsheets/d/1ctPm1vUzcUCPuOj9-eoHUD85PqINFqUB0TjdSWmR5-c/edit?usp=sharing"",""ยะลา!I462"")"),0)</f>
        <v>0</v>
      </c>
      <c r="V84" s="81">
        <f ca="1">IFERROR(__xludf.DUMMYFUNCTION("IMPORTRANGE(""https://docs.google.com/spreadsheets/d/1ctPm1vUzcUCPuOj9-eoHUD85PqINFqUB0TjdSWmR5-c/edit?usp=sharing"",""ยะลา!J462"")"),0)</f>
        <v>0</v>
      </c>
      <c r="W84" s="82">
        <f t="shared" ca="1" si="22"/>
        <v>0</v>
      </c>
      <c r="X84" s="81">
        <f ca="1">IFERROR(__xludf.DUMMYFUNCTION("IMPORTRANGE(""https://docs.google.com/spreadsheets/d/1ctPm1vUzcUCPuOj9-eoHUD85PqINFqUB0TjdSWmR5-c/edit?usp=sharing"",""ยะลา!I463"")"),0)</f>
        <v>0</v>
      </c>
      <c r="Y84" s="81">
        <f ca="1">IFERROR(__xludf.DUMMYFUNCTION("IMPORTRANGE(""https://docs.google.com/spreadsheets/d/1ctPm1vUzcUCPuOj9-eoHUD85PqINFqUB0TjdSWmR5-c/edit?usp=sharing"",""ยะลา!I464"")"),0)</f>
        <v>0</v>
      </c>
      <c r="Z84" s="81">
        <f ca="1">IFERROR(__xludf.DUMMYFUNCTION("IMPORTRANGE(""https://docs.google.com/spreadsheets/d/1ctPm1vUzcUCPuOj9-eoHUD85PqINFqUB0TjdSWmR5-c/edit?usp=sharing"",""ยะลา!J463"")"),0)</f>
        <v>0</v>
      </c>
      <c r="AA84" s="82">
        <f t="shared" ca="1" si="23"/>
        <v>0</v>
      </c>
      <c r="AB84" s="81">
        <f ca="1">IFERROR(__xludf.DUMMYFUNCTION("IMPORTRANGE(""https://docs.google.com/spreadsheets/d/1ctPm1vUzcUCPuOj9-eoHUD85PqINFqUB0TjdSWmR5-c/edit?usp=sharing"",""ยะลา!J464"")"),0)</f>
        <v>0</v>
      </c>
      <c r="AC84" s="82">
        <f t="shared" ca="1" si="13"/>
        <v>0</v>
      </c>
    </row>
    <row r="85" spans="1:29" ht="21" customHeight="1" x14ac:dyDescent="0.2">
      <c r="A85" s="72">
        <v>11</v>
      </c>
      <c r="B85" s="73" t="s">
        <v>102</v>
      </c>
      <c r="C85" s="74">
        <f t="shared" ca="1" si="55"/>
        <v>78360</v>
      </c>
      <c r="D85" s="75">
        <f ca="1">IFERROR(__xludf.DUMMYFUNCTION("IMPORTRANGE(""https://docs.google.com/spreadsheets/d/1YiDIE7Klmt8osgdapRqYWNr7iPGFSsiJqq46S7PYRE0/edit?usp=sharing"",""ระนอง!L449"")"),78360)</f>
        <v>78360</v>
      </c>
      <c r="E85" s="76">
        <f ca="1">IFERROR(__xludf.DUMMYFUNCTION("IMPORTRANGE(""https://docs.google.com/spreadsheets/d/1YiDIE7Klmt8osgdapRqYWNr7iPGFSsiJqq46S7PYRE0/edit?usp=sharing"",""ระนอง!L456"")"),0)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56"/>
        <v>0</v>
      </c>
      <c r="I85" s="76">
        <f ca="1">IFERROR(__xludf.DUMMYFUNCTION("IMPORTRANGE(""https://docs.google.com/spreadsheets/d/1YiDIE7Klmt8osgdapRqYWNr7iPGFSsiJqq46S7PYRE0/edit?usp=sharing"",""ระนอง!N450"")"),0)</f>
        <v>0</v>
      </c>
      <c r="J85" s="76">
        <f ca="1">IFERROR(__xludf.DUMMYFUNCTION("IMPORTRANGE(""https://docs.google.com/spreadsheets/d/1YiDIE7Klmt8osgdapRqYWNr7iPGFSsiJqq46S7PYRE0/edit?usp=sharing"",""ระนอง!N451"")"),0)</f>
        <v>0</v>
      </c>
      <c r="K85" s="76">
        <f ca="1">IFERROR(__xludf.DUMMYFUNCTION("IMPORTRANGE(""https://docs.google.com/spreadsheets/d/1YiDIE7Klmt8osgdapRqYWNr7iPGFSsiJqq46S7PYRE0/edit?usp=sharing"",""ระนอง!N452"")"),0)</f>
        <v>0</v>
      </c>
      <c r="L85" s="76">
        <f ca="1">IFERROR(__xludf.DUMMYFUNCTION("IMPORTRANGE(""https://docs.google.com/spreadsheets/d/1YiDIE7Klmt8osgdapRqYWNr7iPGFSsiJqq46S7PYRE0/edit?usp=sharing"",""ระนอง!N453"")"),0)</f>
        <v>0</v>
      </c>
      <c r="M85" s="80">
        <f ca="1">IFERROR(__xludf.DUMMYFUNCTION("IMPORTRANGE(""https://docs.google.com/spreadsheets/d/1YiDIE7Klmt8osgdapRqYWNr7iPGFSsiJqq46S7PYRE0/edit?usp=sharing"",""ระนอง!N456"")"),0)</f>
        <v>0</v>
      </c>
      <c r="N85" s="80">
        <f t="shared" ca="1" si="26"/>
        <v>0</v>
      </c>
      <c r="O85" s="81">
        <f ca="1">IFERROR(__xludf.DUMMYFUNCTION("IMPORTRANGE(""https://docs.google.com/spreadsheets/d/1YiDIE7Klmt8osgdapRqYWNr7iPGFSsiJqq46S7PYRE0/edit?usp=sharing"",""ระนอง!I458"")"),0)</f>
        <v>0</v>
      </c>
      <c r="P85" s="81">
        <f ca="1">IFERROR(__xludf.DUMMYFUNCTION("IMPORTRANGE(""https://docs.google.com/spreadsheets/d/1YiDIE7Klmt8osgdapRqYWNr7iPGFSsiJqq46S7PYRE0/edit?usp=sharing"",""ระนอง!J458"")"),0)</f>
        <v>0</v>
      </c>
      <c r="Q85" s="82">
        <f t="shared" ca="1" si="20"/>
        <v>0</v>
      </c>
      <c r="R85" s="81">
        <f ca="1">IFERROR(__xludf.DUMMYFUNCTION("IMPORTRANGE(""https://docs.google.com/spreadsheets/d/1YiDIE7Klmt8osgdapRqYWNr7iPGFSsiJqq46S7PYRE0/edit?usp=sharing"",""ระนอง!I460"")"),20)</f>
        <v>20</v>
      </c>
      <c r="S85" s="81">
        <f ca="1">IFERROR(__xludf.DUMMYFUNCTION("IMPORTRANGE(""https://docs.google.com/spreadsheets/d/1YiDIE7Klmt8osgdapRqYWNr7iPGFSsiJqq46S7PYRE0/edit?usp=sharing"",""ระนอง!J460"")"),0)</f>
        <v>0</v>
      </c>
      <c r="T85" s="82">
        <f t="shared" ca="1" si="21"/>
        <v>0</v>
      </c>
      <c r="U85" s="81">
        <f ca="1">IFERROR(__xludf.DUMMYFUNCTION("IMPORTRANGE(""https://docs.google.com/spreadsheets/d/1YiDIE7Klmt8osgdapRqYWNr7iPGFSsiJqq46S7PYRE0/edit?usp=sharing"",""ระนอง!I462"")"),20)</f>
        <v>20</v>
      </c>
      <c r="V85" s="81">
        <f ca="1">IFERROR(__xludf.DUMMYFUNCTION("IMPORTRANGE(""https://docs.google.com/spreadsheets/d/1YiDIE7Klmt8osgdapRqYWNr7iPGFSsiJqq46S7PYRE0/edit?usp=sharing"",""ระนอง!J462"")"),0)</f>
        <v>0</v>
      </c>
      <c r="W85" s="82">
        <f t="shared" ca="1" si="22"/>
        <v>0</v>
      </c>
      <c r="X85" s="81">
        <f ca="1">IFERROR(__xludf.DUMMYFUNCTION("IMPORTRANGE(""https://docs.google.com/spreadsheets/d/1YiDIE7Klmt8osgdapRqYWNr7iPGFSsiJqq46S7PYRE0/edit?usp=sharing"",""ระนอง!I463"")"),20)</f>
        <v>20</v>
      </c>
      <c r="Y85" s="81">
        <f ca="1">IFERROR(__xludf.DUMMYFUNCTION("IMPORTRANGE(""https://docs.google.com/spreadsheets/d/1YiDIE7Klmt8osgdapRqYWNr7iPGFSsiJqq46S7PYRE0/edit?usp=sharing"",""ระนอง!I464"")"),20)</f>
        <v>20</v>
      </c>
      <c r="Z85" s="81">
        <f ca="1">IFERROR(__xludf.DUMMYFUNCTION("IMPORTRANGE(""https://docs.google.com/spreadsheets/d/1YiDIE7Klmt8osgdapRqYWNr7iPGFSsiJqq46S7PYRE0/edit?usp=sharing"",""ระนอง!J463"")"),0)</f>
        <v>0</v>
      </c>
      <c r="AA85" s="82">
        <f t="shared" ca="1" si="23"/>
        <v>0</v>
      </c>
      <c r="AB85" s="81">
        <f ca="1">IFERROR(__xludf.DUMMYFUNCTION("IMPORTRANGE(""https://docs.google.com/spreadsheets/d/1YiDIE7Klmt8osgdapRqYWNr7iPGFSsiJqq46S7PYRE0/edit?usp=sharing"",""ระนอง!J464"")"),0)</f>
        <v>0</v>
      </c>
      <c r="AC85" s="82">
        <f t="shared" ca="1" si="13"/>
        <v>0</v>
      </c>
    </row>
    <row r="86" spans="1:29" ht="24" customHeight="1" x14ac:dyDescent="0.2">
      <c r="A86" s="72">
        <v>12</v>
      </c>
      <c r="B86" s="73" t="s">
        <v>103</v>
      </c>
      <c r="C86" s="74">
        <f t="shared" ca="1" si="55"/>
        <v>555600</v>
      </c>
      <c r="D86" s="75">
        <f ca="1">IFERROR(__xludf.DUMMYFUNCTION("IMPORTRANGE(""https://docs.google.com/spreadsheets/d/16o_4B-V7AWw_6E93bSpXj_XxVv1oVQctk-B6z1dNEWU/edit?usp=sharing"",""สงขลา!L449"")"),555600)</f>
        <v>555600</v>
      </c>
      <c r="E86" s="76">
        <f ca="1">IFERROR(__xludf.DUMMYFUNCTION("IMPORTRANGE(""https://docs.google.com/spreadsheets/d/16o_4B-V7AWw_6E93bSpXj_XxVv1oVQctk-B6z1dNEWU/edit?usp=sharing"",""สงขลา!L456"")"),0)</f>
        <v>0</v>
      </c>
      <c r="F86" s="77">
        <f t="shared" ca="1" si="1"/>
        <v>123200</v>
      </c>
      <c r="G86" s="78">
        <f t="shared" ca="1" si="2"/>
        <v>22.174226061915046</v>
      </c>
      <c r="H86" s="79">
        <f t="shared" ca="1" si="56"/>
        <v>123200</v>
      </c>
      <c r="I86" s="76">
        <f ca="1">IFERROR(__xludf.DUMMYFUNCTION("IMPORTRANGE(""https://docs.google.com/spreadsheets/d/16o_4B-V7AWw_6E93bSpXj_XxVv1oVQctk-B6z1dNEWU/edit?usp=sharing"",""สงขลา!N450"")"),51220)</f>
        <v>51220</v>
      </c>
      <c r="J86" s="76">
        <f ca="1">IFERROR(__xludf.DUMMYFUNCTION("IMPORTRANGE(""https://docs.google.com/spreadsheets/d/16o_4B-V7AWw_6E93bSpXj_XxVv1oVQctk-B6z1dNEWU/edit?usp=sharing"",""สงขลา!N451"")"),0)</f>
        <v>0</v>
      </c>
      <c r="K86" s="76">
        <f ca="1">IFERROR(__xludf.DUMMYFUNCTION("IMPORTRANGE(""https://docs.google.com/spreadsheets/d/16o_4B-V7AWw_6E93bSpXj_XxVv1oVQctk-B6z1dNEWU/edit?usp=sharing"",""สงขลา!N452"")"),52000)</f>
        <v>52000</v>
      </c>
      <c r="L86" s="76">
        <f ca="1">IFERROR(__xludf.DUMMYFUNCTION("IMPORTRANGE(""https://docs.google.com/spreadsheets/d/16o_4B-V7AWw_6E93bSpXj_XxVv1oVQctk-B6z1dNEWU/edit?usp=sharing"",""สงขลา!N453"")"),19980)</f>
        <v>19980</v>
      </c>
      <c r="M86" s="80">
        <f ca="1">IFERROR(__xludf.DUMMYFUNCTION("IMPORTRANGE(""https://docs.google.com/spreadsheets/d/16o_4B-V7AWw_6E93bSpXj_XxVv1oVQctk-B6z1dNEWU/edit?usp=sharing"",""สงขลา!N456"")"),0)</f>
        <v>0</v>
      </c>
      <c r="N86" s="80">
        <f t="shared" ca="1" si="26"/>
        <v>0</v>
      </c>
      <c r="O86" s="81">
        <f ca="1">IFERROR(__xludf.DUMMYFUNCTION("IMPORTRANGE(""https://docs.google.com/spreadsheets/d/16o_4B-V7AWw_6E93bSpXj_XxVv1oVQctk-B6z1dNEWU/edit?usp=sharing"",""สงขลา!I458"")"),0)</f>
        <v>0</v>
      </c>
      <c r="P86" s="81">
        <f ca="1">IFERROR(__xludf.DUMMYFUNCTION("IMPORTRANGE(""https://docs.google.com/spreadsheets/d/16o_4B-V7AWw_6E93bSpXj_XxVv1oVQctk-B6z1dNEWU/edit?usp=sharing"",""สงขลา!J458"")"),0)</f>
        <v>0</v>
      </c>
      <c r="Q86" s="82">
        <f t="shared" ca="1" si="20"/>
        <v>0</v>
      </c>
      <c r="R86" s="81">
        <f ca="1">IFERROR(__xludf.DUMMYFUNCTION("IMPORTRANGE(""https://docs.google.com/spreadsheets/d/16o_4B-V7AWw_6E93bSpXj_XxVv1oVQctk-B6z1dNEWU/edit?usp=sharing"",""สงขลา!I460"")"),60)</f>
        <v>60</v>
      </c>
      <c r="S86" s="81">
        <f ca="1">IFERROR(__xludf.DUMMYFUNCTION("IMPORTRANGE(""https://docs.google.com/spreadsheets/d/16o_4B-V7AWw_6E93bSpXj_XxVv1oVQctk-B6z1dNEWU/edit?usp=sharing"",""สงขลา!J460"")"),30)</f>
        <v>30</v>
      </c>
      <c r="T86" s="82">
        <f t="shared" ca="1" si="21"/>
        <v>50</v>
      </c>
      <c r="U86" s="81">
        <f ca="1">IFERROR(__xludf.DUMMYFUNCTION("IMPORTRANGE(""https://docs.google.com/spreadsheets/d/16o_4B-V7AWw_6E93bSpXj_XxVv1oVQctk-B6z1dNEWU/edit?usp=sharing"",""สงขลา!I462"")"),280)</f>
        <v>280</v>
      </c>
      <c r="V86" s="81">
        <f ca="1">IFERROR(__xludf.DUMMYFUNCTION("IMPORTRANGE(""https://docs.google.com/spreadsheets/d/16o_4B-V7AWw_6E93bSpXj_XxVv1oVQctk-B6z1dNEWU/edit?usp=sharing"",""สงขลา!J462"")"),0)</f>
        <v>0</v>
      </c>
      <c r="W86" s="82">
        <f t="shared" ca="1" si="22"/>
        <v>0</v>
      </c>
      <c r="X86" s="81">
        <f ca="1">IFERROR(__xludf.DUMMYFUNCTION("IMPORTRANGE(""https://docs.google.com/spreadsheets/d/16o_4B-V7AWw_6E93bSpXj_XxVv1oVQctk-B6z1dNEWU/edit?usp=sharing"",""สงขลา!I463"")"),280)</f>
        <v>280</v>
      </c>
      <c r="Y86" s="81">
        <f ca="1">IFERROR(__xludf.DUMMYFUNCTION("IMPORTRANGE(""https://docs.google.com/spreadsheets/d/16o_4B-V7AWw_6E93bSpXj_XxVv1oVQctk-B6z1dNEWU/edit?usp=sharing"",""สงขลา!I464"")"),60)</f>
        <v>60</v>
      </c>
      <c r="Z86" s="81">
        <f ca="1">IFERROR(__xludf.DUMMYFUNCTION("IMPORTRANGE(""https://docs.google.com/spreadsheets/d/16o_4B-V7AWw_6E93bSpXj_XxVv1oVQctk-B6z1dNEWU/edit?usp=sharing"",""สงขลา!J463"")"),0)</f>
        <v>0</v>
      </c>
      <c r="AA86" s="82">
        <f t="shared" ca="1" si="23"/>
        <v>0</v>
      </c>
      <c r="AB86" s="81">
        <f ca="1">IFERROR(__xludf.DUMMYFUNCTION("IMPORTRANGE(""https://docs.google.com/spreadsheets/d/16o_4B-V7AWw_6E93bSpXj_XxVv1oVQctk-B6z1dNEWU/edit?usp=sharing"",""สงขลา!J464"")"),0)</f>
        <v>0</v>
      </c>
      <c r="AC86" s="82">
        <f t="shared" ca="1" si="13"/>
        <v>0</v>
      </c>
    </row>
    <row r="87" spans="1:29" ht="24" customHeight="1" x14ac:dyDescent="0.2">
      <c r="A87" s="72">
        <v>13</v>
      </c>
      <c r="B87" s="73" t="s">
        <v>104</v>
      </c>
      <c r="C87" s="74">
        <f t="shared" ca="1" si="55"/>
        <v>0</v>
      </c>
      <c r="D87" s="75">
        <f ca="1">IFERROR(__xludf.DUMMYFUNCTION("IMPORTRANGE(""https://docs.google.com/spreadsheets/d/16cywr71Fj4fA5OGRHsZh30ZG2gwJhMAQv69oVBzYHv0/edit?usp=sharing"",""สตูล!L449"")"),0)</f>
        <v>0</v>
      </c>
      <c r="E87" s="76">
        <f ca="1">IFERROR(__xludf.DUMMYFUNCTION("IMPORTRANGE(""https://docs.google.com/spreadsheets/d/16cywr71Fj4fA5OGRHsZh30ZG2gwJhMAQv69oVBzYHv0/edit?usp=sharing"",""สตูล!L456"")"),0)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56"/>
        <v>0</v>
      </c>
      <c r="I87" s="76">
        <f ca="1">IFERROR(__xludf.DUMMYFUNCTION("IMPORTRANGE(""https://docs.google.com/spreadsheets/d/16cywr71Fj4fA5OGRHsZh30ZG2gwJhMAQv69oVBzYHv0/edit?usp=sharing"",""สตูล!N450"")"),0)</f>
        <v>0</v>
      </c>
      <c r="J87" s="76">
        <f ca="1">IFERROR(__xludf.DUMMYFUNCTION("IMPORTRANGE(""https://docs.google.com/spreadsheets/d/16cywr71Fj4fA5OGRHsZh30ZG2gwJhMAQv69oVBzYHv0/edit?usp=sharing"",""สตูล!N451"")"),0)</f>
        <v>0</v>
      </c>
      <c r="K87" s="76">
        <f ca="1">IFERROR(__xludf.DUMMYFUNCTION("IMPORTRANGE(""https://docs.google.com/spreadsheets/d/16cywr71Fj4fA5OGRHsZh30ZG2gwJhMAQv69oVBzYHv0/edit?usp=sharing"",""สตูล!N452"")"),0)</f>
        <v>0</v>
      </c>
      <c r="L87" s="76">
        <f ca="1">IFERROR(__xludf.DUMMYFUNCTION("IMPORTRANGE(""https://docs.google.com/spreadsheets/d/16cywr71Fj4fA5OGRHsZh30ZG2gwJhMAQv69oVBzYHv0/edit?usp=sharing"",""สตูล!N453"")"),0)</f>
        <v>0</v>
      </c>
      <c r="M87" s="80">
        <f ca="1">IFERROR(__xludf.DUMMYFUNCTION("IMPORTRANGE(""https://docs.google.com/spreadsheets/d/16cywr71Fj4fA5OGRHsZh30ZG2gwJhMAQv69oVBzYHv0/edit?usp=sharing"",""สตูล!N456"")"),0)</f>
        <v>0</v>
      </c>
      <c r="N87" s="80">
        <f t="shared" ca="1" si="26"/>
        <v>0</v>
      </c>
      <c r="O87" s="81">
        <f ca="1">IFERROR(__xludf.DUMMYFUNCTION("IMPORTRANGE(""https://docs.google.com/spreadsheets/d/16cywr71Fj4fA5OGRHsZh30ZG2gwJhMAQv69oVBzYHv0/edit?usp=sharing"",""สตูล!I458"")"),0)</f>
        <v>0</v>
      </c>
      <c r="P87" s="81">
        <f ca="1">IFERROR(__xludf.DUMMYFUNCTION("IMPORTRANGE(""https://docs.google.com/spreadsheets/d/16cywr71Fj4fA5OGRHsZh30ZG2gwJhMAQv69oVBzYHv0/edit?usp=sharing"",""สตูล!J458"")"),0)</f>
        <v>0</v>
      </c>
      <c r="Q87" s="82">
        <f t="shared" ca="1" si="20"/>
        <v>0</v>
      </c>
      <c r="R87" s="81">
        <f ca="1">IFERROR(__xludf.DUMMYFUNCTION("IMPORTRANGE(""https://docs.google.com/spreadsheets/d/16cywr71Fj4fA5OGRHsZh30ZG2gwJhMAQv69oVBzYHv0/edit?usp=sharing"",""สตูล!I460"")"),0)</f>
        <v>0</v>
      </c>
      <c r="S87" s="81">
        <f ca="1">IFERROR(__xludf.DUMMYFUNCTION("IMPORTRANGE(""https://docs.google.com/spreadsheets/d/16cywr71Fj4fA5OGRHsZh30ZG2gwJhMAQv69oVBzYHv0/edit?usp=sharing"",""สตูล!J460"")"),0)</f>
        <v>0</v>
      </c>
      <c r="T87" s="82">
        <f t="shared" ca="1" si="21"/>
        <v>0</v>
      </c>
      <c r="U87" s="81">
        <f ca="1">IFERROR(__xludf.DUMMYFUNCTION("IMPORTRANGE(""https://docs.google.com/spreadsheets/d/16cywr71Fj4fA5OGRHsZh30ZG2gwJhMAQv69oVBzYHv0/edit?usp=sharing"",""สตูล!I462"")"),0)</f>
        <v>0</v>
      </c>
      <c r="V87" s="81">
        <f ca="1">IFERROR(__xludf.DUMMYFUNCTION("IMPORTRANGE(""https://docs.google.com/spreadsheets/d/16cywr71Fj4fA5OGRHsZh30ZG2gwJhMAQv69oVBzYHv0/edit?usp=sharing"",""สตูล!J462"")"),0)</f>
        <v>0</v>
      </c>
      <c r="W87" s="82">
        <f t="shared" ca="1" si="22"/>
        <v>0</v>
      </c>
      <c r="X87" s="81">
        <f ca="1">IFERROR(__xludf.DUMMYFUNCTION("IMPORTRANGE(""https://docs.google.com/spreadsheets/d/16cywr71Fj4fA5OGRHsZh30ZG2gwJhMAQv69oVBzYHv0/edit?usp=sharing"",""สตูล!I463"")"),0)</f>
        <v>0</v>
      </c>
      <c r="Y87" s="81">
        <f ca="1">IFERROR(__xludf.DUMMYFUNCTION("IMPORTRANGE(""https://docs.google.com/spreadsheets/d/16cywr71Fj4fA5OGRHsZh30ZG2gwJhMAQv69oVBzYHv0/edit?usp=sharing"",""สตูล!I464"")"),0)</f>
        <v>0</v>
      </c>
      <c r="Z87" s="81">
        <f ca="1">IFERROR(__xludf.DUMMYFUNCTION("IMPORTRANGE(""https://docs.google.com/spreadsheets/d/16cywr71Fj4fA5OGRHsZh30ZG2gwJhMAQv69oVBzYHv0/edit?usp=sharing"",""สตูล!J463"")"),0)</f>
        <v>0</v>
      </c>
      <c r="AA87" s="82">
        <f t="shared" ca="1" si="23"/>
        <v>0</v>
      </c>
      <c r="AB87" s="81">
        <f ca="1">IFERROR(__xludf.DUMMYFUNCTION("IMPORTRANGE(""https://docs.google.com/spreadsheets/d/16cywr71Fj4fA5OGRHsZh30ZG2gwJhMAQv69oVBzYHv0/edit?usp=sharing"",""สตูล!J464"")"),0)</f>
        <v>0</v>
      </c>
      <c r="AC87" s="82">
        <f t="shared" ca="1" si="13"/>
        <v>0</v>
      </c>
    </row>
    <row r="88" spans="1:29" ht="24" customHeight="1" x14ac:dyDescent="0.2">
      <c r="A88" s="83">
        <v>14</v>
      </c>
      <c r="B88" s="84" t="s">
        <v>105</v>
      </c>
      <c r="C88" s="85">
        <f t="shared" ca="1" si="55"/>
        <v>317680</v>
      </c>
      <c r="D88" s="86">
        <f ca="1">IFERROR(__xludf.DUMMYFUNCTION("IMPORTRANGE(""https://docs.google.com/spreadsheets/d/1vO9Sws6kMtrVtyvrAJptINXjK8TFBoX9xLYOVK_C8bQ/edit?usp=sharing"",""สุราษฎร์ธานี!L449"")"),317680)</f>
        <v>317680</v>
      </c>
      <c r="E88" s="87">
        <f ca="1">IFERROR(__xludf.DUMMYFUNCTION("IMPORTRANGE(""https://docs.google.com/spreadsheets/d/1vO9Sws6kMtrVtyvrAJptINXjK8TFBoX9xLYOVK_C8bQ/edit?usp=sharing"",""สุราษฎร์ธานี!L456"")"),0)</f>
        <v>0</v>
      </c>
      <c r="F88" s="88">
        <f t="shared" ca="1" si="1"/>
        <v>111923.35</v>
      </c>
      <c r="G88" s="89">
        <f t="shared" ca="1" si="2"/>
        <v>35.231475069252078</v>
      </c>
      <c r="H88" s="90">
        <f t="shared" ca="1" si="56"/>
        <v>111923.35</v>
      </c>
      <c r="I88" s="87">
        <f ca="1">IFERROR(__xludf.DUMMYFUNCTION("IMPORTRANGE(""https://docs.google.com/spreadsheets/d/1vO9Sws6kMtrVtyvrAJptINXjK8TFBoX9xLYOVK_C8bQ/edit?usp=sharing"",""สุราษฎร์ธานี!N450"")"),54400)</f>
        <v>54400</v>
      </c>
      <c r="J88" s="87">
        <f ca="1">IFERROR(__xludf.DUMMYFUNCTION("IMPORTRANGE(""https://docs.google.com/spreadsheets/d/1vO9Sws6kMtrVtyvrAJptINXjK8TFBoX9xLYOVK_C8bQ/edit?usp=sharing"",""สุราษฎร์ธานี!N451"")"),0)</f>
        <v>0</v>
      </c>
      <c r="K88" s="87">
        <f ca="1">IFERROR(__xludf.DUMMYFUNCTION("IMPORTRANGE(""https://docs.google.com/spreadsheets/d/1vO9Sws6kMtrVtyvrAJptINXjK8TFBoX9xLYOVK_C8bQ/edit?usp=sharing"",""สุราษฎร์ธานี!N452"")"),49833.35)</f>
        <v>49833.35</v>
      </c>
      <c r="L88" s="87">
        <f ca="1">IFERROR(__xludf.DUMMYFUNCTION("IMPORTRANGE(""https://docs.google.com/spreadsheets/d/1vO9Sws6kMtrVtyvrAJptINXjK8TFBoX9xLYOVK_C8bQ/edit?usp=sharing"",""สุราษฎร์ธานี!N453"")"),7690)</f>
        <v>7690</v>
      </c>
      <c r="M88" s="91">
        <f ca="1">IFERROR(__xludf.DUMMYFUNCTION("IMPORTRANGE(""https://docs.google.com/spreadsheets/d/1vO9Sws6kMtrVtyvrAJptINXjK8TFBoX9xLYOVK_C8bQ/edit?usp=sharing"",""สุราษฎร์ธานี!N456"")"),0)</f>
        <v>0</v>
      </c>
      <c r="N88" s="91">
        <f t="shared" ca="1" si="26"/>
        <v>0</v>
      </c>
      <c r="O88" s="92">
        <f ca="1">IFERROR(__xludf.DUMMYFUNCTION("IMPORTRANGE(""https://docs.google.com/spreadsheets/d/1vO9Sws6kMtrVtyvrAJptINXjK8TFBoX9xLYOVK_C8bQ/edit?usp=sharing"",""สุราษฎร์ธานี!I458"")"),0)</f>
        <v>0</v>
      </c>
      <c r="P88" s="92">
        <f ca="1">IFERROR(__xludf.DUMMYFUNCTION("IMPORTRANGE(""https://docs.google.com/spreadsheets/d/1vO9Sws6kMtrVtyvrAJptINXjK8TFBoX9xLYOVK_C8bQ/edit?usp=sharing"",""สุราษฎร์ธานี!J458"")"),0)</f>
        <v>0</v>
      </c>
      <c r="Q88" s="93">
        <f t="shared" ca="1" si="20"/>
        <v>0</v>
      </c>
      <c r="R88" s="92">
        <f ca="1">IFERROR(__xludf.DUMMYFUNCTION("IMPORTRANGE(""https://docs.google.com/spreadsheets/d/1vO9Sws6kMtrVtyvrAJptINXjK8TFBoX9xLYOVK_C8bQ/edit?usp=sharing"",""สุราษฎร์ธานี!I460"")"),40)</f>
        <v>40</v>
      </c>
      <c r="S88" s="92">
        <f ca="1">IFERROR(__xludf.DUMMYFUNCTION("IMPORTRANGE(""https://docs.google.com/spreadsheets/d/1vO9Sws6kMtrVtyvrAJptINXjK8TFBoX9xLYOVK_C8bQ/edit?usp=sharing"",""สุราษฎร์ธานี!J460"")"),40)</f>
        <v>40</v>
      </c>
      <c r="T88" s="93">
        <f t="shared" ca="1" si="21"/>
        <v>100</v>
      </c>
      <c r="U88" s="92">
        <f ca="1">IFERROR(__xludf.DUMMYFUNCTION("IMPORTRANGE(""https://docs.google.com/spreadsheets/d/1vO9Sws6kMtrVtyvrAJptINXjK8TFBoX9xLYOVK_C8bQ/edit?usp=sharing"",""สุราษฎร์ธานี!I462"")"),80)</f>
        <v>80</v>
      </c>
      <c r="V88" s="92">
        <f ca="1">IFERROR(__xludf.DUMMYFUNCTION("IMPORTRANGE(""https://docs.google.com/spreadsheets/d/1vO9Sws6kMtrVtyvrAJptINXjK8TFBoX9xLYOVK_C8bQ/edit?usp=sharing"",""สุราษฎร์ธานี!J462"")"),0)</f>
        <v>0</v>
      </c>
      <c r="W88" s="93">
        <f t="shared" ca="1" si="22"/>
        <v>0</v>
      </c>
      <c r="X88" s="92">
        <f ca="1">IFERROR(__xludf.DUMMYFUNCTION("IMPORTRANGE(""https://docs.google.com/spreadsheets/d/1vO9Sws6kMtrVtyvrAJptINXjK8TFBoX9xLYOVK_C8bQ/edit?usp=sharing"",""สุราษฎร์ธานี!I463"")"),80)</f>
        <v>80</v>
      </c>
      <c r="Y88" s="92">
        <f ca="1">IFERROR(__xludf.DUMMYFUNCTION("IMPORTRANGE(""https://docs.google.com/spreadsheets/d/1vO9Sws6kMtrVtyvrAJptINXjK8TFBoX9xLYOVK_C8bQ/edit?usp=sharing"",""สุราษฎร์ธานี!I464"")"),40)</f>
        <v>40</v>
      </c>
      <c r="Z88" s="92">
        <f ca="1">IFERROR(__xludf.DUMMYFUNCTION("IMPORTRANGE(""https://docs.google.com/spreadsheets/d/1vO9Sws6kMtrVtyvrAJptINXjK8TFBoX9xLYOVK_C8bQ/edit?usp=sharing"",""สุราษฎร์ธานี!J463"")"),0)</f>
        <v>0</v>
      </c>
      <c r="AA88" s="93">
        <f t="shared" ca="1" si="23"/>
        <v>0</v>
      </c>
      <c r="AB88" s="92">
        <f ca="1">IFERROR(__xludf.DUMMYFUNCTION("IMPORTRANGE(""https://docs.google.com/spreadsheets/d/1vO9Sws6kMtrVtyvrAJptINXjK8TFBoX9xLYOVK_C8bQ/edit?usp=sharing"",""สุราษฎร์ธานี!J464"")"),0)</f>
        <v>0</v>
      </c>
      <c r="AC88" s="93">
        <f t="shared" ca="1" si="13"/>
        <v>0</v>
      </c>
    </row>
    <row r="89" spans="1:29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26"/>
        <v>0</v>
      </c>
      <c r="O89" s="43"/>
      <c r="P89" s="43"/>
      <c r="Q89" s="46"/>
      <c r="R89" s="43"/>
      <c r="S89" s="43"/>
      <c r="T89" s="46"/>
      <c r="U89" s="43"/>
      <c r="V89" s="43"/>
      <c r="W89" s="46"/>
      <c r="X89" s="43"/>
      <c r="Y89" s="43"/>
      <c r="Z89" s="43"/>
      <c r="AA89" s="46"/>
      <c r="AB89" s="43"/>
      <c r="AC89" s="46"/>
    </row>
    <row r="90" spans="1:29" ht="24" hidden="1" customHeight="1" x14ac:dyDescent="0.2">
      <c r="A90" s="103">
        <v>1</v>
      </c>
      <c r="B90" s="104" t="s">
        <v>107</v>
      </c>
      <c r="C90" s="97">
        <f t="shared" ref="C90:C103" si="57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58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26"/>
        <v>0</v>
      </c>
      <c r="O90" s="107"/>
      <c r="P90" s="107"/>
      <c r="Q90" s="108"/>
      <c r="R90" s="107"/>
      <c r="S90" s="107"/>
      <c r="T90" s="108"/>
      <c r="U90" s="107"/>
      <c r="V90" s="107"/>
      <c r="W90" s="108"/>
      <c r="X90" s="107"/>
      <c r="Y90" s="107"/>
      <c r="Z90" s="107"/>
      <c r="AA90" s="108"/>
      <c r="AB90" s="107"/>
      <c r="AC90" s="108"/>
    </row>
    <row r="91" spans="1:29" ht="24" hidden="1" customHeight="1" x14ac:dyDescent="0.2">
      <c r="A91" s="109">
        <v>2</v>
      </c>
      <c r="B91" s="110" t="s">
        <v>108</v>
      </c>
      <c r="C91" s="74">
        <f t="shared" si="57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58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26"/>
        <v>0</v>
      </c>
      <c r="O91" s="76"/>
      <c r="P91" s="76"/>
      <c r="Q91" s="113"/>
      <c r="R91" s="76"/>
      <c r="S91" s="76"/>
      <c r="T91" s="113"/>
      <c r="U91" s="76"/>
      <c r="V91" s="76"/>
      <c r="W91" s="113"/>
      <c r="X91" s="76"/>
      <c r="Y91" s="76"/>
      <c r="Z91" s="76"/>
      <c r="AA91" s="113"/>
      <c r="AB91" s="76"/>
      <c r="AC91" s="113"/>
    </row>
    <row r="92" spans="1:29" ht="24" hidden="1" customHeight="1" x14ac:dyDescent="0.2">
      <c r="A92" s="109">
        <v>3</v>
      </c>
      <c r="B92" s="110" t="s">
        <v>109</v>
      </c>
      <c r="C92" s="74">
        <f t="shared" si="57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58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26"/>
        <v>0</v>
      </c>
      <c r="O92" s="76"/>
      <c r="P92" s="76"/>
      <c r="Q92" s="113"/>
      <c r="R92" s="76"/>
      <c r="S92" s="76"/>
      <c r="T92" s="113"/>
      <c r="U92" s="76"/>
      <c r="V92" s="76"/>
      <c r="W92" s="113"/>
      <c r="X92" s="76"/>
      <c r="Y92" s="76"/>
      <c r="Z92" s="76"/>
      <c r="AA92" s="113"/>
      <c r="AB92" s="76"/>
      <c r="AC92" s="113"/>
    </row>
    <row r="93" spans="1:29" ht="24" hidden="1" customHeight="1" x14ac:dyDescent="0.2">
      <c r="A93" s="109">
        <f t="shared" ref="A93:A103" si="59">+A92+1</f>
        <v>4</v>
      </c>
      <c r="B93" s="110" t="s">
        <v>110</v>
      </c>
      <c r="C93" s="74">
        <f t="shared" si="57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58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26"/>
        <v>0</v>
      </c>
      <c r="O93" s="76"/>
      <c r="P93" s="76"/>
      <c r="Q93" s="113"/>
      <c r="R93" s="76"/>
      <c r="S93" s="76"/>
      <c r="T93" s="113"/>
      <c r="U93" s="76"/>
      <c r="V93" s="76"/>
      <c r="W93" s="113"/>
      <c r="X93" s="76"/>
      <c r="Y93" s="76"/>
      <c r="Z93" s="76"/>
      <c r="AA93" s="113"/>
      <c r="AB93" s="76"/>
      <c r="AC93" s="113"/>
    </row>
    <row r="94" spans="1:29" ht="24" hidden="1" customHeight="1" x14ac:dyDescent="0.2">
      <c r="A94" s="109">
        <f t="shared" si="59"/>
        <v>5</v>
      </c>
      <c r="B94" s="110" t="s">
        <v>111</v>
      </c>
      <c r="C94" s="74">
        <f t="shared" si="57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58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26"/>
        <v>0</v>
      </c>
      <c r="O94" s="76"/>
      <c r="P94" s="76"/>
      <c r="Q94" s="113"/>
      <c r="R94" s="76"/>
      <c r="S94" s="76"/>
      <c r="T94" s="113"/>
      <c r="U94" s="76"/>
      <c r="V94" s="76"/>
      <c r="W94" s="113"/>
      <c r="X94" s="76"/>
      <c r="Y94" s="76"/>
      <c r="Z94" s="76"/>
      <c r="AA94" s="113"/>
      <c r="AB94" s="76"/>
      <c r="AC94" s="113"/>
    </row>
    <row r="95" spans="1:29" ht="24" hidden="1" customHeight="1" x14ac:dyDescent="0.2">
      <c r="A95" s="109">
        <f t="shared" si="59"/>
        <v>6</v>
      </c>
      <c r="B95" s="110" t="s">
        <v>112</v>
      </c>
      <c r="C95" s="74">
        <f t="shared" si="57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58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26"/>
        <v>0</v>
      </c>
      <c r="O95" s="76"/>
      <c r="P95" s="76"/>
      <c r="Q95" s="113"/>
      <c r="R95" s="76"/>
      <c r="S95" s="76"/>
      <c r="T95" s="113"/>
      <c r="U95" s="76"/>
      <c r="V95" s="76"/>
      <c r="W95" s="113"/>
      <c r="X95" s="76"/>
      <c r="Y95" s="76"/>
      <c r="Z95" s="76"/>
      <c r="AA95" s="113"/>
      <c r="AB95" s="76"/>
      <c r="AC95" s="113"/>
    </row>
    <row r="96" spans="1:29" ht="24" hidden="1" customHeight="1" x14ac:dyDescent="0.2">
      <c r="A96" s="109">
        <f t="shared" si="59"/>
        <v>7</v>
      </c>
      <c r="B96" s="110" t="s">
        <v>113</v>
      </c>
      <c r="C96" s="74">
        <f t="shared" si="57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58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26"/>
        <v>0</v>
      </c>
      <c r="O96" s="76"/>
      <c r="P96" s="76"/>
      <c r="Q96" s="113"/>
      <c r="R96" s="76"/>
      <c r="S96" s="76"/>
      <c r="T96" s="113"/>
      <c r="U96" s="76"/>
      <c r="V96" s="76"/>
      <c r="W96" s="113"/>
      <c r="X96" s="76"/>
      <c r="Y96" s="76"/>
      <c r="Z96" s="76"/>
      <c r="AA96" s="113"/>
      <c r="AB96" s="76"/>
      <c r="AC96" s="113"/>
    </row>
    <row r="97" spans="1:29" ht="24" hidden="1" customHeight="1" x14ac:dyDescent="0.2">
      <c r="A97" s="109">
        <f t="shared" si="59"/>
        <v>8</v>
      </c>
      <c r="B97" s="110" t="s">
        <v>114</v>
      </c>
      <c r="C97" s="74">
        <f t="shared" si="57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58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26"/>
        <v>0</v>
      </c>
      <c r="O97" s="76"/>
      <c r="P97" s="76"/>
      <c r="Q97" s="113"/>
      <c r="R97" s="76"/>
      <c r="S97" s="76"/>
      <c r="T97" s="113"/>
      <c r="U97" s="76"/>
      <c r="V97" s="76"/>
      <c r="W97" s="113"/>
      <c r="X97" s="76"/>
      <c r="Y97" s="76"/>
      <c r="Z97" s="76"/>
      <c r="AA97" s="113"/>
      <c r="AB97" s="76"/>
      <c r="AC97" s="113"/>
    </row>
    <row r="98" spans="1:29" ht="24" hidden="1" customHeight="1" x14ac:dyDescent="0.2">
      <c r="A98" s="109">
        <f t="shared" si="59"/>
        <v>9</v>
      </c>
      <c r="B98" s="110" t="s">
        <v>115</v>
      </c>
      <c r="C98" s="74">
        <f t="shared" si="57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58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26"/>
        <v>0</v>
      </c>
      <c r="O98" s="76"/>
      <c r="P98" s="76"/>
      <c r="Q98" s="113"/>
      <c r="R98" s="76"/>
      <c r="S98" s="76"/>
      <c r="T98" s="113"/>
      <c r="U98" s="76"/>
      <c r="V98" s="76"/>
      <c r="W98" s="113"/>
      <c r="X98" s="76"/>
      <c r="Y98" s="76"/>
      <c r="Z98" s="76"/>
      <c r="AA98" s="113"/>
      <c r="AB98" s="76"/>
      <c r="AC98" s="113"/>
    </row>
    <row r="99" spans="1:29" ht="24" hidden="1" customHeight="1" x14ac:dyDescent="0.2">
      <c r="A99" s="109">
        <f t="shared" si="59"/>
        <v>10</v>
      </c>
      <c r="B99" s="110" t="s">
        <v>116</v>
      </c>
      <c r="C99" s="74">
        <f t="shared" si="57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58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26"/>
        <v>0</v>
      </c>
      <c r="O99" s="76"/>
      <c r="P99" s="76"/>
      <c r="Q99" s="113"/>
      <c r="R99" s="76"/>
      <c r="S99" s="76"/>
      <c r="T99" s="113"/>
      <c r="U99" s="76"/>
      <c r="V99" s="76"/>
      <c r="W99" s="113"/>
      <c r="X99" s="76"/>
      <c r="Y99" s="76"/>
      <c r="Z99" s="76"/>
      <c r="AA99" s="113"/>
      <c r="AB99" s="76"/>
      <c r="AC99" s="113"/>
    </row>
    <row r="100" spans="1:29" ht="24" hidden="1" customHeight="1" x14ac:dyDescent="0.2">
      <c r="A100" s="109">
        <f t="shared" si="59"/>
        <v>11</v>
      </c>
      <c r="B100" s="110" t="s">
        <v>117</v>
      </c>
      <c r="C100" s="74">
        <f t="shared" si="57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58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26"/>
        <v>0</v>
      </c>
      <c r="O100" s="76"/>
      <c r="P100" s="76"/>
      <c r="Q100" s="113"/>
      <c r="R100" s="76"/>
      <c r="S100" s="76"/>
      <c r="T100" s="113"/>
      <c r="U100" s="76"/>
      <c r="V100" s="76"/>
      <c r="W100" s="113"/>
      <c r="X100" s="76"/>
      <c r="Y100" s="76"/>
      <c r="Z100" s="76"/>
      <c r="AA100" s="113"/>
      <c r="AB100" s="76"/>
      <c r="AC100" s="113"/>
    </row>
    <row r="101" spans="1:29" ht="24" hidden="1" customHeight="1" x14ac:dyDescent="0.2">
      <c r="A101" s="109">
        <f t="shared" si="59"/>
        <v>12</v>
      </c>
      <c r="B101" s="110" t="s">
        <v>118</v>
      </c>
      <c r="C101" s="74">
        <f t="shared" si="57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58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26"/>
        <v>0</v>
      </c>
      <c r="O101" s="76"/>
      <c r="P101" s="76"/>
      <c r="Q101" s="113"/>
      <c r="R101" s="76"/>
      <c r="S101" s="76"/>
      <c r="T101" s="113"/>
      <c r="U101" s="76"/>
      <c r="V101" s="76"/>
      <c r="W101" s="113"/>
      <c r="X101" s="76"/>
      <c r="Y101" s="76"/>
      <c r="Z101" s="76"/>
      <c r="AA101" s="113"/>
      <c r="AB101" s="76"/>
      <c r="AC101" s="113"/>
    </row>
    <row r="102" spans="1:29" ht="24" hidden="1" customHeight="1" x14ac:dyDescent="0.2">
      <c r="A102" s="109">
        <f t="shared" si="59"/>
        <v>13</v>
      </c>
      <c r="B102" s="110" t="s">
        <v>119</v>
      </c>
      <c r="C102" s="74">
        <f t="shared" si="57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58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26"/>
        <v>0</v>
      </c>
      <c r="O102" s="76"/>
      <c r="P102" s="76"/>
      <c r="Q102" s="113"/>
      <c r="R102" s="76"/>
      <c r="S102" s="76"/>
      <c r="T102" s="113"/>
      <c r="U102" s="76"/>
      <c r="V102" s="76"/>
      <c r="W102" s="113"/>
      <c r="X102" s="76"/>
      <c r="Y102" s="76"/>
      <c r="Z102" s="76"/>
      <c r="AA102" s="113"/>
      <c r="AB102" s="76"/>
      <c r="AC102" s="113"/>
    </row>
    <row r="103" spans="1:29" ht="24" hidden="1" customHeight="1" x14ac:dyDescent="0.2">
      <c r="A103" s="114">
        <f t="shared" si="59"/>
        <v>14</v>
      </c>
      <c r="B103" s="115" t="s">
        <v>120</v>
      </c>
      <c r="C103" s="85">
        <f t="shared" si="57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58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26"/>
        <v>0</v>
      </c>
      <c r="O103" s="87"/>
      <c r="P103" s="87"/>
      <c r="Q103" s="118"/>
      <c r="R103" s="87"/>
      <c r="S103" s="87"/>
      <c r="T103" s="118"/>
      <c r="U103" s="87"/>
      <c r="V103" s="87"/>
      <c r="W103" s="118"/>
      <c r="X103" s="87"/>
      <c r="Y103" s="87"/>
      <c r="Z103" s="87"/>
      <c r="AA103" s="118"/>
      <c r="AB103" s="87"/>
      <c r="AC103" s="118"/>
    </row>
    <row r="104" spans="1:29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26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</row>
    <row r="105" spans="1:29" ht="24" hidden="1" customHeight="1" x14ac:dyDescent="0.2">
      <c r="A105" s="103">
        <v>1</v>
      </c>
      <c r="B105" s="119" t="s">
        <v>122</v>
      </c>
      <c r="C105" s="120">
        <f t="shared" ref="C105:C116" si="60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61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26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</row>
    <row r="106" spans="1:29" ht="24" hidden="1" customHeight="1" x14ac:dyDescent="0.2">
      <c r="A106" s="109">
        <v>2</v>
      </c>
      <c r="B106" s="122" t="s">
        <v>123</v>
      </c>
      <c r="C106" s="123">
        <f t="shared" si="60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61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26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</row>
    <row r="107" spans="1:29" ht="24" hidden="1" customHeight="1" x14ac:dyDescent="0.2">
      <c r="A107" s="109">
        <v>3</v>
      </c>
      <c r="B107" s="122" t="s">
        <v>124</v>
      </c>
      <c r="C107" s="123">
        <f t="shared" si="60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61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26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</row>
    <row r="108" spans="1:29" ht="24" hidden="1" customHeight="1" x14ac:dyDescent="0.2">
      <c r="A108" s="125">
        <v>4</v>
      </c>
      <c r="B108" s="122" t="s">
        <v>125</v>
      </c>
      <c r="C108" s="123">
        <f t="shared" si="60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61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26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</row>
    <row r="109" spans="1:29" ht="24" hidden="1" customHeight="1" x14ac:dyDescent="0.2">
      <c r="A109" s="125">
        <v>5</v>
      </c>
      <c r="B109" s="122" t="s">
        <v>126</v>
      </c>
      <c r="C109" s="123">
        <f t="shared" si="60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61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26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</row>
    <row r="110" spans="1:29" ht="24" hidden="1" customHeight="1" x14ac:dyDescent="0.2">
      <c r="A110" s="125">
        <v>6</v>
      </c>
      <c r="B110" s="122" t="s">
        <v>127</v>
      </c>
      <c r="C110" s="123">
        <f t="shared" si="60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61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26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</row>
    <row r="111" spans="1:29" ht="24" hidden="1" customHeight="1" x14ac:dyDescent="0.2">
      <c r="A111" s="125">
        <v>7</v>
      </c>
      <c r="B111" s="122" t="s">
        <v>128</v>
      </c>
      <c r="C111" s="123">
        <f t="shared" si="60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61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26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</row>
    <row r="112" spans="1:29" ht="24" hidden="1" customHeight="1" x14ac:dyDescent="0.2">
      <c r="A112" s="125">
        <v>8</v>
      </c>
      <c r="B112" s="122" t="s">
        <v>129</v>
      </c>
      <c r="C112" s="123">
        <f t="shared" si="60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61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26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</row>
    <row r="113" spans="1:29" ht="24" hidden="1" customHeight="1" x14ac:dyDescent="0.2">
      <c r="A113" s="125">
        <v>9</v>
      </c>
      <c r="B113" s="122" t="s">
        <v>130</v>
      </c>
      <c r="C113" s="123">
        <f t="shared" si="60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61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26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</row>
    <row r="114" spans="1:29" ht="24" hidden="1" customHeight="1" x14ac:dyDescent="0.2">
      <c r="A114" s="125">
        <v>10</v>
      </c>
      <c r="B114" s="122" t="s">
        <v>131</v>
      </c>
      <c r="C114" s="123">
        <f t="shared" si="60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61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26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</row>
    <row r="115" spans="1:29" ht="24" hidden="1" customHeight="1" x14ac:dyDescent="0.2">
      <c r="A115" s="125">
        <v>11</v>
      </c>
      <c r="B115" s="122" t="s">
        <v>132</v>
      </c>
      <c r="C115" s="123">
        <f t="shared" si="60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61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26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</row>
    <row r="116" spans="1:29" ht="24" hidden="1" customHeight="1" x14ac:dyDescent="0.2">
      <c r="A116" s="125">
        <v>12</v>
      </c>
      <c r="B116" s="122" t="s">
        <v>133</v>
      </c>
      <c r="C116" s="123">
        <f t="shared" si="60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61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26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</row>
    <row r="117" spans="1:29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  <row r="280" spans="1:29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</row>
    <row r="281" spans="1:29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</row>
    <row r="282" spans="1:29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</row>
    <row r="283" spans="1:29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</row>
    <row r="284" spans="1:29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</row>
    <row r="285" spans="1:29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</row>
    <row r="286" spans="1:29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</row>
    <row r="287" spans="1:29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</row>
    <row r="288" spans="1:29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</row>
    <row r="289" spans="1:29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</row>
    <row r="290" spans="1:29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</row>
    <row r="291" spans="1:29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</row>
    <row r="292" spans="1:29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</row>
    <row r="293" spans="1:29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</row>
    <row r="294" spans="1:29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</row>
    <row r="295" spans="1:29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</row>
    <row r="296" spans="1:29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</row>
    <row r="297" spans="1:29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</row>
    <row r="298" spans="1:29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</row>
    <row r="299" spans="1:29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</row>
    <row r="300" spans="1:29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</row>
    <row r="301" spans="1:29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</row>
    <row r="302" spans="1:29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</row>
    <row r="303" spans="1:29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</row>
    <row r="304" spans="1:29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</row>
    <row r="305" spans="1:29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</row>
    <row r="306" spans="1:29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</row>
    <row r="307" spans="1:29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</row>
    <row r="308" spans="1:29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</row>
    <row r="309" spans="1:29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</row>
    <row r="310" spans="1:29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</row>
    <row r="311" spans="1:29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</row>
    <row r="312" spans="1:29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</row>
    <row r="313" spans="1:29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</row>
    <row r="314" spans="1:29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</row>
    <row r="315" spans="1:29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</row>
    <row r="316" spans="1:29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</row>
    <row r="317" spans="1:29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</row>
    <row r="318" spans="1:29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</row>
    <row r="319" spans="1:29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</row>
    <row r="320" spans="1:29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</row>
    <row r="321" spans="1:29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</row>
    <row r="322" spans="1:29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</row>
    <row r="323" spans="1:29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</row>
    <row r="324" spans="1:29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</row>
    <row r="325" spans="1:29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</row>
    <row r="326" spans="1:29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</row>
    <row r="327" spans="1:29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</row>
    <row r="328" spans="1:29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</row>
    <row r="329" spans="1:29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</row>
    <row r="330" spans="1:29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</row>
    <row r="331" spans="1:29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</row>
    <row r="332" spans="1:29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</row>
    <row r="333" spans="1:29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</row>
    <row r="334" spans="1:29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</row>
    <row r="335" spans="1:29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</row>
    <row r="336" spans="1:29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</row>
    <row r="337" spans="1:29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</row>
    <row r="338" spans="1:29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</row>
    <row r="339" spans="1:29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</row>
    <row r="340" spans="1:29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</row>
    <row r="341" spans="1:29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</row>
    <row r="342" spans="1:29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</row>
    <row r="343" spans="1:29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</row>
    <row r="344" spans="1:29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</row>
    <row r="345" spans="1:29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</row>
    <row r="346" spans="1:29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</row>
    <row r="347" spans="1:29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</row>
    <row r="348" spans="1:29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</row>
    <row r="349" spans="1:29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</row>
    <row r="350" spans="1:29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</row>
    <row r="351" spans="1:29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</row>
    <row r="352" spans="1:29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</row>
    <row r="353" spans="1:29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</row>
    <row r="354" spans="1:29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</row>
    <row r="355" spans="1:29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</row>
    <row r="356" spans="1:29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</row>
    <row r="357" spans="1:29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</row>
    <row r="358" spans="1:29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</row>
    <row r="359" spans="1:29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</row>
    <row r="360" spans="1:29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</row>
    <row r="361" spans="1:29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</row>
    <row r="362" spans="1:29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</row>
    <row r="363" spans="1:29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</row>
    <row r="364" spans="1:29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</row>
    <row r="365" spans="1:29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</row>
    <row r="366" spans="1:29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</row>
    <row r="367" spans="1:29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</row>
    <row r="368" spans="1:29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</row>
    <row r="369" spans="1:29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</row>
    <row r="370" spans="1:29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</row>
    <row r="371" spans="1:29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</row>
    <row r="372" spans="1:29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</row>
    <row r="373" spans="1:29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</row>
    <row r="374" spans="1:29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</row>
    <row r="375" spans="1:29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</row>
    <row r="376" spans="1:29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</row>
    <row r="377" spans="1:29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</row>
    <row r="378" spans="1:29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</row>
    <row r="379" spans="1:29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</row>
    <row r="380" spans="1:29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</row>
    <row r="381" spans="1:29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</row>
    <row r="382" spans="1:29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</row>
    <row r="383" spans="1:29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</row>
    <row r="384" spans="1:29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</row>
    <row r="385" spans="1:29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</row>
    <row r="386" spans="1:29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</row>
    <row r="387" spans="1:29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</row>
    <row r="388" spans="1:29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</row>
    <row r="389" spans="1:29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</row>
    <row r="390" spans="1:29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</row>
    <row r="391" spans="1:29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</row>
    <row r="392" spans="1:29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</row>
    <row r="393" spans="1:29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</row>
    <row r="394" spans="1:29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</row>
    <row r="395" spans="1:29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</row>
    <row r="396" spans="1:29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</row>
    <row r="397" spans="1:29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</row>
    <row r="398" spans="1:29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</row>
    <row r="399" spans="1:29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</row>
    <row r="400" spans="1:29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</row>
    <row r="401" spans="1:29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</row>
    <row r="402" spans="1:29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</row>
    <row r="403" spans="1:29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</row>
    <row r="404" spans="1:29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</row>
    <row r="405" spans="1:29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</row>
    <row r="406" spans="1:29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</row>
    <row r="407" spans="1:29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</row>
    <row r="408" spans="1:29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</row>
    <row r="409" spans="1:29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</row>
    <row r="410" spans="1:29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</row>
    <row r="411" spans="1:29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</row>
    <row r="412" spans="1:29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</row>
    <row r="413" spans="1:29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</row>
    <row r="414" spans="1:29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</row>
    <row r="415" spans="1:29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</row>
    <row r="416" spans="1:29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</row>
    <row r="417" spans="1:29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</row>
    <row r="418" spans="1:29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</row>
    <row r="419" spans="1:29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</row>
    <row r="420" spans="1:29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</row>
    <row r="421" spans="1:29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</row>
    <row r="422" spans="1:29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</row>
    <row r="423" spans="1:29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</row>
    <row r="424" spans="1:29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</row>
    <row r="425" spans="1:29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</row>
    <row r="426" spans="1:29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</row>
    <row r="427" spans="1:29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</row>
    <row r="428" spans="1:29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</row>
    <row r="429" spans="1:29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</row>
    <row r="430" spans="1:29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</row>
    <row r="431" spans="1:29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</row>
    <row r="432" spans="1:29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</row>
    <row r="433" spans="1:29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</row>
    <row r="434" spans="1:29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</row>
    <row r="435" spans="1:29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</row>
    <row r="436" spans="1:29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</row>
    <row r="437" spans="1:29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</row>
    <row r="438" spans="1:29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</row>
    <row r="439" spans="1:29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</row>
    <row r="440" spans="1:29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</row>
    <row r="441" spans="1:29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</row>
    <row r="442" spans="1:29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</row>
    <row r="443" spans="1:29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</row>
    <row r="444" spans="1:29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</row>
    <row r="445" spans="1:29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</row>
    <row r="446" spans="1:29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</row>
    <row r="447" spans="1:29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</row>
    <row r="448" spans="1:29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</row>
    <row r="449" spans="1:29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</row>
    <row r="450" spans="1:29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</row>
    <row r="451" spans="1:29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</row>
    <row r="452" spans="1:29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</row>
    <row r="453" spans="1:29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</row>
    <row r="454" spans="1:29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</row>
    <row r="455" spans="1:29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</row>
    <row r="456" spans="1:29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</row>
    <row r="457" spans="1:29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</row>
    <row r="458" spans="1:29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</row>
    <row r="459" spans="1:29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</row>
    <row r="460" spans="1:29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</row>
    <row r="461" spans="1:29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</row>
    <row r="462" spans="1:29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</row>
    <row r="463" spans="1:29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</row>
    <row r="464" spans="1:29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</row>
    <row r="465" spans="1:29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</row>
    <row r="466" spans="1:29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</row>
    <row r="467" spans="1:29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</row>
    <row r="468" spans="1:29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</row>
    <row r="469" spans="1:29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</row>
    <row r="470" spans="1:29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</row>
    <row r="471" spans="1:29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</row>
    <row r="472" spans="1:29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</row>
    <row r="473" spans="1:29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</row>
    <row r="474" spans="1:29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</row>
    <row r="475" spans="1:29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</row>
    <row r="476" spans="1:29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</row>
    <row r="477" spans="1:29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</row>
    <row r="478" spans="1:29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</row>
    <row r="479" spans="1:29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</row>
    <row r="480" spans="1:29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</row>
    <row r="481" spans="1:29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</row>
    <row r="482" spans="1:29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</row>
    <row r="483" spans="1:29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</row>
    <row r="484" spans="1:29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</row>
    <row r="485" spans="1:29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</row>
    <row r="486" spans="1:29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</row>
    <row r="487" spans="1:29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</row>
    <row r="488" spans="1:29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</row>
    <row r="489" spans="1:29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</row>
    <row r="490" spans="1:29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</row>
    <row r="491" spans="1:29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</row>
    <row r="492" spans="1:29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</row>
    <row r="493" spans="1:29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</row>
    <row r="494" spans="1:29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</row>
    <row r="495" spans="1:29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</row>
    <row r="496" spans="1:29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</row>
    <row r="497" spans="1:29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</row>
    <row r="498" spans="1:29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</row>
    <row r="499" spans="1:29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</row>
    <row r="500" spans="1:29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</row>
    <row r="501" spans="1:29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</row>
    <row r="502" spans="1:29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</row>
    <row r="503" spans="1:29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</row>
    <row r="504" spans="1:29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</row>
    <row r="505" spans="1:29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</row>
    <row r="506" spans="1:29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</row>
    <row r="507" spans="1:29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</row>
    <row r="508" spans="1:29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</row>
    <row r="509" spans="1:29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</row>
    <row r="510" spans="1:29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</row>
    <row r="511" spans="1:29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</row>
    <row r="512" spans="1:29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</row>
    <row r="513" spans="1:29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</row>
    <row r="514" spans="1:29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</row>
    <row r="515" spans="1:29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</row>
    <row r="516" spans="1:29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</row>
    <row r="517" spans="1:29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</row>
    <row r="518" spans="1:29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</row>
    <row r="519" spans="1:29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</row>
    <row r="520" spans="1:29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</row>
    <row r="521" spans="1:29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</row>
    <row r="522" spans="1:29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</row>
    <row r="523" spans="1:29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</row>
    <row r="524" spans="1:29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</row>
    <row r="525" spans="1:29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</row>
    <row r="526" spans="1:29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</row>
    <row r="527" spans="1:29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</row>
    <row r="528" spans="1:29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</row>
    <row r="529" spans="1:29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</row>
    <row r="530" spans="1:29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</row>
    <row r="531" spans="1:29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</row>
    <row r="532" spans="1:29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</row>
    <row r="533" spans="1:29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</row>
    <row r="534" spans="1:29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</row>
    <row r="535" spans="1:29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</row>
    <row r="536" spans="1:29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</row>
    <row r="537" spans="1:29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</row>
    <row r="538" spans="1:29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</row>
    <row r="539" spans="1:29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</row>
    <row r="540" spans="1:29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</row>
    <row r="541" spans="1:29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</row>
    <row r="542" spans="1:29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</row>
    <row r="543" spans="1:29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</row>
    <row r="544" spans="1:29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</row>
    <row r="545" spans="1:29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</row>
    <row r="546" spans="1:29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</row>
    <row r="547" spans="1:29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</row>
    <row r="548" spans="1:29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</row>
    <row r="549" spans="1:29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</row>
    <row r="550" spans="1:29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</row>
    <row r="551" spans="1:29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</row>
    <row r="552" spans="1:29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</row>
    <row r="553" spans="1:29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</row>
    <row r="554" spans="1:29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</row>
    <row r="555" spans="1:29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</row>
    <row r="556" spans="1:29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</row>
    <row r="557" spans="1:29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</row>
    <row r="558" spans="1:29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</row>
    <row r="559" spans="1:29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</row>
    <row r="560" spans="1:29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</row>
    <row r="561" spans="1:29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</row>
    <row r="562" spans="1:29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</row>
    <row r="563" spans="1:29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</row>
    <row r="564" spans="1:29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</row>
    <row r="565" spans="1:29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</row>
    <row r="566" spans="1:29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</row>
    <row r="567" spans="1:29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</row>
    <row r="568" spans="1:29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</row>
    <row r="569" spans="1:29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</row>
    <row r="570" spans="1:29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</row>
    <row r="571" spans="1:29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</row>
    <row r="572" spans="1:29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</row>
    <row r="573" spans="1:29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</row>
    <row r="574" spans="1:29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</row>
    <row r="575" spans="1:29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</row>
    <row r="576" spans="1:29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</row>
    <row r="577" spans="1:29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</row>
    <row r="578" spans="1:29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</row>
    <row r="579" spans="1:29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</row>
    <row r="580" spans="1:29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</row>
    <row r="581" spans="1:29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</row>
    <row r="582" spans="1:29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</row>
    <row r="583" spans="1:29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</row>
    <row r="584" spans="1:29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</row>
    <row r="585" spans="1:29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</row>
    <row r="586" spans="1:29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</row>
    <row r="587" spans="1:29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</row>
    <row r="588" spans="1:29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</row>
    <row r="589" spans="1:29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</row>
    <row r="590" spans="1:29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</row>
    <row r="591" spans="1:29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</row>
    <row r="592" spans="1:29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</row>
    <row r="593" spans="1:29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</row>
    <row r="594" spans="1:29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</row>
    <row r="595" spans="1:29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</row>
    <row r="596" spans="1:29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</row>
    <row r="597" spans="1:29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</row>
    <row r="598" spans="1:29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</row>
    <row r="599" spans="1:29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</row>
    <row r="600" spans="1:29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</row>
    <row r="601" spans="1:29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</row>
    <row r="602" spans="1:29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</row>
    <row r="603" spans="1:29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</row>
    <row r="604" spans="1:29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</row>
    <row r="605" spans="1:29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</row>
    <row r="606" spans="1:29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</row>
    <row r="607" spans="1:29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</row>
    <row r="608" spans="1:29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</row>
    <row r="609" spans="1:29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</row>
    <row r="610" spans="1:29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</row>
    <row r="611" spans="1:29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</row>
    <row r="612" spans="1:29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</row>
    <row r="613" spans="1:29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</row>
    <row r="614" spans="1:29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</row>
    <row r="615" spans="1:29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</row>
    <row r="616" spans="1:29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</row>
    <row r="617" spans="1:29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</row>
    <row r="618" spans="1:29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</row>
    <row r="619" spans="1:29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</row>
    <row r="620" spans="1:29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</row>
    <row r="621" spans="1:29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</row>
    <row r="622" spans="1:29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</row>
    <row r="623" spans="1:29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</row>
    <row r="624" spans="1:29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</row>
    <row r="625" spans="1:29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</row>
    <row r="626" spans="1:29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</row>
    <row r="627" spans="1:29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</row>
    <row r="628" spans="1:29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</row>
    <row r="629" spans="1:29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</row>
    <row r="630" spans="1:29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</row>
    <row r="631" spans="1:29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</row>
    <row r="632" spans="1:29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</row>
    <row r="633" spans="1:29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</row>
    <row r="634" spans="1:29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</row>
    <row r="635" spans="1:29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</row>
    <row r="636" spans="1:29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</row>
    <row r="637" spans="1:29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</row>
    <row r="638" spans="1:29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</row>
    <row r="639" spans="1:29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</row>
    <row r="640" spans="1:29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</row>
    <row r="641" spans="1:29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</row>
    <row r="642" spans="1:29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</row>
    <row r="643" spans="1:29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</row>
    <row r="644" spans="1:29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</row>
    <row r="645" spans="1:29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</row>
    <row r="646" spans="1:29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</row>
    <row r="647" spans="1:29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</row>
    <row r="648" spans="1:29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</row>
    <row r="649" spans="1:29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</row>
    <row r="650" spans="1:29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</row>
    <row r="651" spans="1:29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</row>
    <row r="652" spans="1:29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</row>
    <row r="653" spans="1:29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</row>
    <row r="654" spans="1:29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</row>
    <row r="655" spans="1:29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</row>
    <row r="656" spans="1:29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</row>
    <row r="657" spans="1:29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</row>
    <row r="658" spans="1:29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</row>
    <row r="659" spans="1:29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</row>
    <row r="660" spans="1:29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</row>
    <row r="661" spans="1:29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</row>
    <row r="662" spans="1:29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</row>
    <row r="663" spans="1:29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</row>
    <row r="664" spans="1:29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</row>
    <row r="665" spans="1:29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</row>
    <row r="666" spans="1:29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</row>
    <row r="667" spans="1:29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</row>
    <row r="668" spans="1:29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</row>
    <row r="669" spans="1:29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</row>
    <row r="670" spans="1:29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</row>
    <row r="671" spans="1:29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</row>
    <row r="672" spans="1:29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</row>
    <row r="673" spans="1:29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</row>
    <row r="674" spans="1:29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</row>
    <row r="675" spans="1:29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</row>
    <row r="676" spans="1:29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</row>
    <row r="677" spans="1:29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</row>
    <row r="678" spans="1:29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</row>
    <row r="679" spans="1:29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</row>
    <row r="680" spans="1:29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</row>
    <row r="681" spans="1:29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</row>
    <row r="682" spans="1:29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</row>
    <row r="683" spans="1:29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</row>
    <row r="684" spans="1:29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</row>
    <row r="685" spans="1:29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</row>
    <row r="686" spans="1:29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</row>
    <row r="687" spans="1:29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</row>
    <row r="688" spans="1:29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</row>
    <row r="689" spans="1:29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</row>
    <row r="690" spans="1:29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</row>
    <row r="691" spans="1:29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</row>
    <row r="692" spans="1:29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</row>
    <row r="693" spans="1:29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</row>
    <row r="694" spans="1:29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</row>
    <row r="695" spans="1:29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</row>
    <row r="696" spans="1:29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</row>
    <row r="697" spans="1:29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</row>
    <row r="698" spans="1:29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</row>
    <row r="699" spans="1:29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</row>
    <row r="700" spans="1:29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</row>
    <row r="701" spans="1:29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</row>
    <row r="702" spans="1:29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</row>
    <row r="703" spans="1:29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</row>
    <row r="704" spans="1:29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</row>
    <row r="705" spans="1:29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</row>
    <row r="706" spans="1:29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</row>
    <row r="707" spans="1:29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</row>
    <row r="708" spans="1:29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</row>
    <row r="709" spans="1:29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</row>
    <row r="710" spans="1:29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</row>
    <row r="711" spans="1:29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</row>
    <row r="712" spans="1:29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</row>
    <row r="713" spans="1:29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</row>
    <row r="714" spans="1:29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</row>
    <row r="715" spans="1:29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</row>
    <row r="716" spans="1:29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</row>
    <row r="717" spans="1:29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</row>
    <row r="718" spans="1:29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</row>
    <row r="719" spans="1:29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</row>
    <row r="720" spans="1:29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</row>
    <row r="721" spans="1:29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</row>
    <row r="722" spans="1:29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</row>
    <row r="723" spans="1:29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</row>
    <row r="724" spans="1:29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</row>
    <row r="725" spans="1:29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</row>
    <row r="726" spans="1:29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</row>
    <row r="727" spans="1:29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</row>
    <row r="728" spans="1:29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</row>
    <row r="729" spans="1:29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</row>
    <row r="730" spans="1:29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</row>
    <row r="731" spans="1:29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</row>
    <row r="732" spans="1:29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</row>
    <row r="733" spans="1:29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</row>
    <row r="734" spans="1:29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</row>
    <row r="735" spans="1:29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</row>
    <row r="736" spans="1:29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</row>
    <row r="737" spans="1:29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</row>
    <row r="738" spans="1:29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</row>
    <row r="739" spans="1:29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</row>
    <row r="740" spans="1:29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</row>
    <row r="741" spans="1:29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</row>
    <row r="742" spans="1:29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</row>
    <row r="743" spans="1:29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</row>
    <row r="744" spans="1:29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</row>
    <row r="745" spans="1:29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</row>
    <row r="746" spans="1:29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</row>
    <row r="747" spans="1:29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</row>
    <row r="748" spans="1:29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</row>
    <row r="749" spans="1:29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</row>
    <row r="750" spans="1:29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</row>
    <row r="751" spans="1:29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</row>
    <row r="752" spans="1:29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</row>
    <row r="753" spans="1:29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</row>
    <row r="754" spans="1:29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</row>
    <row r="755" spans="1:29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</row>
    <row r="756" spans="1:29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</row>
    <row r="757" spans="1:29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</row>
    <row r="758" spans="1:29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</row>
    <row r="759" spans="1:29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</row>
    <row r="760" spans="1:29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</row>
    <row r="761" spans="1:29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</row>
    <row r="762" spans="1:29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</row>
    <row r="763" spans="1:29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</row>
    <row r="764" spans="1:29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</row>
    <row r="765" spans="1:29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</row>
    <row r="766" spans="1:29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</row>
    <row r="767" spans="1:29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</row>
    <row r="768" spans="1:29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</row>
    <row r="769" spans="1:29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</row>
    <row r="770" spans="1:29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</row>
    <row r="771" spans="1:29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</row>
    <row r="772" spans="1:29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</row>
    <row r="773" spans="1:29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</row>
    <row r="774" spans="1:29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</row>
    <row r="775" spans="1:29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</row>
    <row r="776" spans="1:29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</row>
    <row r="777" spans="1:29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</row>
    <row r="778" spans="1:29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</row>
    <row r="779" spans="1:29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</row>
    <row r="780" spans="1:29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</row>
    <row r="781" spans="1:29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</row>
    <row r="782" spans="1:29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</row>
    <row r="783" spans="1:29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</row>
    <row r="784" spans="1:29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</row>
    <row r="785" spans="1:29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</row>
    <row r="786" spans="1:29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</row>
    <row r="787" spans="1:29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</row>
    <row r="788" spans="1:29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</row>
    <row r="789" spans="1:29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</row>
    <row r="790" spans="1:29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</row>
    <row r="791" spans="1:29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</row>
    <row r="792" spans="1:29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</row>
    <row r="793" spans="1:29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</row>
    <row r="794" spans="1:29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</row>
    <row r="795" spans="1:29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</row>
    <row r="796" spans="1:29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</row>
    <row r="797" spans="1:29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</row>
    <row r="798" spans="1:29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</row>
    <row r="799" spans="1:29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</row>
    <row r="800" spans="1:29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</row>
    <row r="801" spans="1:29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</row>
    <row r="802" spans="1:29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</row>
    <row r="803" spans="1:29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</row>
    <row r="804" spans="1:29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</row>
    <row r="805" spans="1:29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</row>
    <row r="806" spans="1:29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</row>
    <row r="807" spans="1:29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</row>
    <row r="808" spans="1:29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</row>
    <row r="809" spans="1:29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</row>
    <row r="810" spans="1:29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</row>
    <row r="811" spans="1:29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</row>
    <row r="812" spans="1:29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</row>
    <row r="813" spans="1:29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</row>
    <row r="814" spans="1:29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</row>
    <row r="815" spans="1:29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</row>
    <row r="816" spans="1:29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</row>
    <row r="817" spans="1:29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</row>
    <row r="818" spans="1:29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</row>
    <row r="819" spans="1:29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</row>
    <row r="820" spans="1:29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</row>
    <row r="821" spans="1:29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</row>
    <row r="822" spans="1:29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</row>
    <row r="823" spans="1:29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</row>
    <row r="824" spans="1:29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</row>
    <row r="825" spans="1:29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</row>
    <row r="826" spans="1:29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</row>
    <row r="827" spans="1:29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</row>
    <row r="828" spans="1:29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</row>
    <row r="829" spans="1:29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</row>
    <row r="830" spans="1:29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</row>
    <row r="831" spans="1:29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</row>
    <row r="832" spans="1:29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</row>
    <row r="833" spans="1:29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</row>
    <row r="834" spans="1:29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</row>
    <row r="835" spans="1:29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</row>
    <row r="836" spans="1:29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</row>
    <row r="837" spans="1:29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</row>
    <row r="838" spans="1:29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</row>
    <row r="839" spans="1:29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</row>
    <row r="840" spans="1:29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</row>
    <row r="841" spans="1:29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</row>
    <row r="842" spans="1:29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</row>
    <row r="843" spans="1:29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</row>
    <row r="844" spans="1:29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</row>
    <row r="845" spans="1:29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</row>
    <row r="846" spans="1:29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</row>
    <row r="847" spans="1:29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</row>
    <row r="848" spans="1:29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</row>
    <row r="849" spans="1:29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</row>
    <row r="850" spans="1:29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</row>
    <row r="851" spans="1:29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</row>
    <row r="852" spans="1:29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</row>
    <row r="853" spans="1:29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</row>
    <row r="854" spans="1:29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</row>
    <row r="855" spans="1:29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</row>
    <row r="856" spans="1:29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</row>
    <row r="857" spans="1:29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</row>
    <row r="858" spans="1:29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</row>
    <row r="859" spans="1:29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</row>
    <row r="860" spans="1:29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</row>
    <row r="861" spans="1:29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</row>
    <row r="862" spans="1:29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</row>
    <row r="863" spans="1:29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</row>
    <row r="864" spans="1:29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</row>
    <row r="865" spans="1:29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</row>
    <row r="866" spans="1:29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</row>
    <row r="867" spans="1:29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</row>
    <row r="868" spans="1:29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</row>
    <row r="869" spans="1:29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</row>
    <row r="870" spans="1:29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</row>
    <row r="871" spans="1:29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</row>
    <row r="872" spans="1:29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</row>
    <row r="873" spans="1:29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</row>
    <row r="874" spans="1:29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</row>
    <row r="875" spans="1:29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</row>
    <row r="876" spans="1:29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</row>
    <row r="877" spans="1:29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</row>
    <row r="878" spans="1:29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</row>
    <row r="879" spans="1:29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</row>
    <row r="880" spans="1:29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</row>
    <row r="881" spans="1:29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</row>
    <row r="882" spans="1:29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</row>
    <row r="883" spans="1:29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</row>
    <row r="884" spans="1:29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</row>
    <row r="885" spans="1:29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</row>
    <row r="886" spans="1:29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</row>
    <row r="887" spans="1:29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</row>
    <row r="888" spans="1:29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</row>
    <row r="889" spans="1:29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</row>
    <row r="890" spans="1:29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</row>
    <row r="891" spans="1:29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</row>
    <row r="892" spans="1:29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</row>
    <row r="893" spans="1:29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</row>
    <row r="894" spans="1:29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</row>
    <row r="895" spans="1:29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</row>
    <row r="896" spans="1:29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</row>
    <row r="897" spans="1:29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</row>
    <row r="898" spans="1:29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</row>
    <row r="899" spans="1:29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</row>
    <row r="900" spans="1:29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</row>
    <row r="901" spans="1:29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</row>
    <row r="902" spans="1:29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</row>
    <row r="903" spans="1:29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</row>
    <row r="904" spans="1:29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</row>
    <row r="905" spans="1:29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</row>
    <row r="906" spans="1:29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</row>
    <row r="907" spans="1:29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</row>
    <row r="908" spans="1:29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</row>
    <row r="909" spans="1:29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</row>
    <row r="910" spans="1:29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</row>
    <row r="911" spans="1:29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</row>
    <row r="912" spans="1:29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</row>
    <row r="913" spans="1:29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</row>
    <row r="914" spans="1:29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</row>
    <row r="915" spans="1:29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</row>
    <row r="916" spans="1:29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</row>
    <row r="917" spans="1:29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</row>
    <row r="918" spans="1:29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</row>
    <row r="919" spans="1:29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</row>
    <row r="920" spans="1:29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</row>
    <row r="921" spans="1:29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</row>
    <row r="922" spans="1:29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</row>
    <row r="923" spans="1:29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</row>
    <row r="924" spans="1:29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</row>
    <row r="925" spans="1:29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</row>
    <row r="926" spans="1:29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</row>
    <row r="927" spans="1:29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</row>
    <row r="928" spans="1:29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</row>
    <row r="929" spans="1:29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</row>
    <row r="930" spans="1:29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</row>
    <row r="931" spans="1:29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</row>
    <row r="932" spans="1:29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</row>
    <row r="933" spans="1:29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</row>
    <row r="934" spans="1:29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</row>
    <row r="935" spans="1:29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</row>
    <row r="936" spans="1:29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</row>
    <row r="937" spans="1:29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</row>
    <row r="938" spans="1:29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</row>
    <row r="939" spans="1:29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</row>
    <row r="940" spans="1:29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</row>
    <row r="941" spans="1:29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</row>
    <row r="942" spans="1:29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</row>
    <row r="943" spans="1:29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</row>
    <row r="944" spans="1:29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</row>
    <row r="945" spans="1:29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</row>
    <row r="946" spans="1:29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</row>
    <row r="947" spans="1:29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</row>
    <row r="948" spans="1:29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</row>
    <row r="949" spans="1:29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</row>
    <row r="950" spans="1:29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</row>
    <row r="951" spans="1:29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</row>
    <row r="952" spans="1:29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</row>
    <row r="953" spans="1:29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</row>
    <row r="954" spans="1:29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</row>
    <row r="955" spans="1:29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</row>
    <row r="956" spans="1:29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</row>
    <row r="957" spans="1:29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</row>
    <row r="958" spans="1:29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</row>
    <row r="959" spans="1:29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</row>
    <row r="960" spans="1:29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</row>
    <row r="961" spans="1:29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</row>
    <row r="962" spans="1:29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</row>
    <row r="963" spans="1:29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</row>
    <row r="964" spans="1:29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</row>
    <row r="965" spans="1:29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</row>
    <row r="966" spans="1:29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</row>
    <row r="967" spans="1:29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</row>
    <row r="968" spans="1:29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</row>
    <row r="969" spans="1:29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</row>
    <row r="970" spans="1:29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</row>
    <row r="971" spans="1:29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</row>
    <row r="972" spans="1:29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</row>
    <row r="973" spans="1:29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</row>
    <row r="974" spans="1:29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</row>
    <row r="975" spans="1:29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</row>
    <row r="976" spans="1:29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</row>
    <row r="977" spans="1:29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</row>
    <row r="978" spans="1:29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</row>
    <row r="979" spans="1:29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</row>
    <row r="980" spans="1:29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</row>
    <row r="981" spans="1:29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</row>
    <row r="982" spans="1:29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</row>
    <row r="983" spans="1:29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</row>
    <row r="984" spans="1:29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</row>
    <row r="985" spans="1:29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</row>
    <row r="986" spans="1:29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</row>
    <row r="987" spans="1:29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</row>
    <row r="988" spans="1:29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</row>
    <row r="989" spans="1:29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</row>
    <row r="990" spans="1:29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</row>
    <row r="991" spans="1:29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</row>
    <row r="992" spans="1:29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</row>
    <row r="993" spans="1:29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</row>
    <row r="994" spans="1:29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</row>
    <row r="995" spans="1:29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</row>
    <row r="996" spans="1:29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</row>
    <row r="997" spans="1:29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</row>
    <row r="998" spans="1:29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</row>
    <row r="999" spans="1:29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</row>
    <row r="1000" spans="1:29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</row>
  </sheetData>
  <mergeCells count="26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A2:B6"/>
    <mergeCell ref="C2:AC2"/>
    <mergeCell ref="D3:N3"/>
    <mergeCell ref="O3:Q4"/>
    <mergeCell ref="R3:T4"/>
    <mergeCell ref="U3:W4"/>
    <mergeCell ref="X3:AC4"/>
    <mergeCell ref="P5:Q5"/>
    <mergeCell ref="S5:T5"/>
    <mergeCell ref="V5:W5"/>
    <mergeCell ref="X5:Y5"/>
    <mergeCell ref="Z5:AC5"/>
    <mergeCell ref="C4:E4"/>
    <mergeCell ref="F4:N4"/>
    <mergeCell ref="E5:E6"/>
    <mergeCell ref="F5:G5"/>
    <mergeCell ref="M5:N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36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T1000"/>
  <sheetViews>
    <sheetView view="pageBreakPreview" zoomScale="60" zoomScaleNormal="100" workbookViewId="0">
      <pane xSplit="2" ySplit="7" topLeftCell="C8" activePane="bottomRight" state="frozen"/>
      <selection activeCell="P71" sqref="P71"/>
      <selection pane="topRight" activeCell="P71" sqref="P71"/>
      <selection pane="bottomLeft" activeCell="P71" sqref="P71"/>
      <selection pane="bottomRight" activeCell="AP24" sqref="AP24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7.5703125" customWidth="1"/>
    <col min="6" max="6" width="16.140625" customWidth="1"/>
    <col min="7" max="7" width="12.5703125" customWidth="1"/>
    <col min="8" max="8" width="17.5703125" customWidth="1"/>
    <col min="9" max="9" width="16.42578125" customWidth="1"/>
    <col min="10" max="10" width="15.140625" customWidth="1"/>
    <col min="11" max="11" width="16.85546875" bestFit="1" customWidth="1"/>
    <col min="12" max="12" width="15.140625" customWidth="1"/>
    <col min="13" max="13" width="13.28515625" customWidth="1"/>
    <col min="14" max="14" width="13.7109375" customWidth="1"/>
    <col min="15" max="17" width="13.85546875" customWidth="1"/>
    <col min="18" max="18" width="12.5703125" bestFit="1" customWidth="1"/>
    <col min="19" max="19" width="11.85546875" customWidth="1"/>
    <col min="20" max="24" width="13.85546875" customWidth="1"/>
    <col min="25" max="25" width="21.42578125" customWidth="1"/>
    <col min="26" max="28" width="13.85546875" customWidth="1"/>
    <col min="29" max="29" width="21.42578125" customWidth="1"/>
    <col min="30" max="35" width="13.85546875" customWidth="1"/>
    <col min="36" max="36" width="18.140625" customWidth="1"/>
    <col min="37" max="38" width="13.85546875" customWidth="1"/>
    <col min="39" max="39" width="19.5703125" customWidth="1"/>
    <col min="40" max="40" width="14.85546875" customWidth="1"/>
    <col min="41" max="41" width="16.42578125" customWidth="1"/>
    <col min="42" max="43" width="21.42578125" customWidth="1"/>
    <col min="44" max="44" width="16.42578125" customWidth="1"/>
    <col min="45" max="45" width="18.140625" customWidth="1"/>
    <col min="46" max="46" width="21.42578125" customWidth="1"/>
  </cols>
  <sheetData>
    <row r="1" spans="1:46" ht="24" customHeight="1" x14ac:dyDescent="0.3">
      <c r="A1" s="1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131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</row>
    <row r="2" spans="1:46" ht="24" customHeight="1" x14ac:dyDescent="0.2">
      <c r="A2" s="342" t="s">
        <v>1</v>
      </c>
      <c r="B2" s="343"/>
      <c r="C2" s="334" t="s">
        <v>140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13"/>
    </row>
    <row r="3" spans="1:46" ht="30" customHeight="1" x14ac:dyDescent="0.2">
      <c r="A3" s="344"/>
      <c r="B3" s="343"/>
      <c r="C3" s="335" t="s">
        <v>3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13"/>
      <c r="O3" s="336" t="s">
        <v>141</v>
      </c>
      <c r="P3" s="337"/>
      <c r="Q3" s="337"/>
      <c r="R3" s="337"/>
      <c r="S3" s="337"/>
      <c r="T3" s="312"/>
      <c r="U3" s="332" t="s">
        <v>142</v>
      </c>
      <c r="V3" s="325"/>
      <c r="W3" s="325"/>
      <c r="X3" s="325"/>
      <c r="Y3" s="325"/>
      <c r="Z3" s="325"/>
      <c r="AA3" s="313"/>
      <c r="AB3" s="332" t="s">
        <v>143</v>
      </c>
      <c r="AC3" s="325"/>
      <c r="AD3" s="325"/>
      <c r="AE3" s="325"/>
      <c r="AF3" s="325"/>
      <c r="AG3" s="325"/>
      <c r="AH3" s="313"/>
      <c r="AI3" s="332" t="s">
        <v>144</v>
      </c>
      <c r="AJ3" s="325"/>
      <c r="AK3" s="325"/>
      <c r="AL3" s="313"/>
      <c r="AM3" s="326" t="s">
        <v>145</v>
      </c>
      <c r="AN3" s="325"/>
      <c r="AO3" s="325"/>
      <c r="AP3" s="313"/>
      <c r="AQ3" s="326" t="s">
        <v>146</v>
      </c>
      <c r="AR3" s="325"/>
      <c r="AS3" s="325"/>
      <c r="AT3" s="313"/>
    </row>
    <row r="4" spans="1:46" ht="67.5" customHeight="1" x14ac:dyDescent="0.3">
      <c r="A4" s="344"/>
      <c r="B4" s="343"/>
      <c r="C4" s="327" t="s">
        <v>8</v>
      </c>
      <c r="D4" s="325"/>
      <c r="E4" s="313"/>
      <c r="F4" s="328" t="s">
        <v>9</v>
      </c>
      <c r="G4" s="325"/>
      <c r="H4" s="325"/>
      <c r="I4" s="325"/>
      <c r="J4" s="325"/>
      <c r="K4" s="325"/>
      <c r="L4" s="325"/>
      <c r="M4" s="325"/>
      <c r="N4" s="313"/>
      <c r="O4" s="325"/>
      <c r="P4" s="325"/>
      <c r="Q4" s="325"/>
      <c r="R4" s="325"/>
      <c r="S4" s="325"/>
      <c r="T4" s="313"/>
      <c r="U4" s="332" t="s">
        <v>147</v>
      </c>
      <c r="V4" s="325"/>
      <c r="W4" s="313"/>
      <c r="X4" s="134" t="s">
        <v>148</v>
      </c>
      <c r="Y4" s="332" t="s">
        <v>149</v>
      </c>
      <c r="Z4" s="325"/>
      <c r="AA4" s="313"/>
      <c r="AB4" s="332" t="s">
        <v>147</v>
      </c>
      <c r="AC4" s="325"/>
      <c r="AD4" s="313"/>
      <c r="AE4" s="134" t="s">
        <v>150</v>
      </c>
      <c r="AF4" s="332" t="s">
        <v>151</v>
      </c>
      <c r="AG4" s="325"/>
      <c r="AH4" s="313"/>
      <c r="AI4" s="134" t="s">
        <v>152</v>
      </c>
      <c r="AJ4" s="332" t="s">
        <v>153</v>
      </c>
      <c r="AK4" s="325"/>
      <c r="AL4" s="313"/>
      <c r="AM4" s="326" t="s">
        <v>154</v>
      </c>
      <c r="AN4" s="325"/>
      <c r="AO4" s="313"/>
      <c r="AP4" s="135" t="s">
        <v>155</v>
      </c>
      <c r="AQ4" s="326" t="s">
        <v>156</v>
      </c>
      <c r="AR4" s="325"/>
      <c r="AS4" s="313"/>
      <c r="AT4" s="135" t="s">
        <v>157</v>
      </c>
    </row>
    <row r="5" spans="1:46" ht="56.25" customHeight="1" x14ac:dyDescent="0.3">
      <c r="A5" s="344"/>
      <c r="B5" s="343"/>
      <c r="C5" s="409" t="s">
        <v>10</v>
      </c>
      <c r="D5" s="410" t="s">
        <v>11</v>
      </c>
      <c r="E5" s="411" t="s">
        <v>12</v>
      </c>
      <c r="F5" s="418" t="s">
        <v>13</v>
      </c>
      <c r="G5" s="412"/>
      <c r="H5" s="419" t="s">
        <v>14</v>
      </c>
      <c r="I5" s="420" t="s">
        <v>15</v>
      </c>
      <c r="J5" s="420" t="s">
        <v>16</v>
      </c>
      <c r="K5" s="420" t="s">
        <v>17</v>
      </c>
      <c r="L5" s="420" t="s">
        <v>18</v>
      </c>
      <c r="M5" s="421" t="s">
        <v>19</v>
      </c>
      <c r="N5" s="412"/>
      <c r="O5" s="329" t="s">
        <v>20</v>
      </c>
      <c r="P5" s="313"/>
      <c r="Q5" s="330" t="s">
        <v>21</v>
      </c>
      <c r="R5" s="325"/>
      <c r="S5" s="325"/>
      <c r="T5" s="313"/>
      <c r="U5" s="136" t="s">
        <v>20</v>
      </c>
      <c r="V5" s="331" t="s">
        <v>21</v>
      </c>
      <c r="W5" s="313"/>
      <c r="X5" s="137" t="s">
        <v>21</v>
      </c>
      <c r="Y5" s="136" t="s">
        <v>20</v>
      </c>
      <c r="Z5" s="331" t="s">
        <v>21</v>
      </c>
      <c r="AA5" s="313"/>
      <c r="AB5" s="136" t="s">
        <v>20</v>
      </c>
      <c r="AC5" s="333" t="s">
        <v>21</v>
      </c>
      <c r="AD5" s="313"/>
      <c r="AE5" s="137" t="s">
        <v>21</v>
      </c>
      <c r="AF5" s="136" t="s">
        <v>20</v>
      </c>
      <c r="AG5" s="331" t="s">
        <v>21</v>
      </c>
      <c r="AH5" s="313"/>
      <c r="AI5" s="137" t="s">
        <v>21</v>
      </c>
      <c r="AJ5" s="136" t="s">
        <v>20</v>
      </c>
      <c r="AK5" s="331" t="s">
        <v>21</v>
      </c>
      <c r="AL5" s="313"/>
      <c r="AM5" s="136" t="s">
        <v>20</v>
      </c>
      <c r="AN5" s="331" t="s">
        <v>21</v>
      </c>
      <c r="AO5" s="313"/>
      <c r="AP5" s="137" t="s">
        <v>21</v>
      </c>
      <c r="AQ5" s="136" t="s">
        <v>20</v>
      </c>
      <c r="AR5" s="331" t="s">
        <v>21</v>
      </c>
      <c r="AS5" s="313"/>
      <c r="AT5" s="137" t="s">
        <v>21</v>
      </c>
    </row>
    <row r="6" spans="1:46" ht="30" customHeight="1" x14ac:dyDescent="0.3">
      <c r="A6" s="345"/>
      <c r="B6" s="346"/>
      <c r="C6" s="412"/>
      <c r="D6" s="412"/>
      <c r="E6" s="412"/>
      <c r="F6" s="138" t="s">
        <v>22</v>
      </c>
      <c r="G6" s="139" t="s">
        <v>23</v>
      </c>
      <c r="H6" s="140" t="s">
        <v>22</v>
      </c>
      <c r="I6" s="141" t="s">
        <v>22</v>
      </c>
      <c r="J6" s="141" t="s">
        <v>22</v>
      </c>
      <c r="K6" s="141" t="s">
        <v>22</v>
      </c>
      <c r="L6" s="141" t="s">
        <v>22</v>
      </c>
      <c r="M6" s="142" t="s">
        <v>22</v>
      </c>
      <c r="N6" s="143" t="s">
        <v>23</v>
      </c>
      <c r="O6" s="144" t="s">
        <v>24</v>
      </c>
      <c r="P6" s="144" t="s">
        <v>139</v>
      </c>
      <c r="Q6" s="145" t="s">
        <v>24</v>
      </c>
      <c r="R6" s="146" t="s">
        <v>23</v>
      </c>
      <c r="S6" s="145" t="s">
        <v>139</v>
      </c>
      <c r="T6" s="146" t="s">
        <v>23</v>
      </c>
      <c r="U6" s="144" t="s">
        <v>139</v>
      </c>
      <c r="V6" s="145" t="s">
        <v>139</v>
      </c>
      <c r="W6" s="146" t="s">
        <v>23</v>
      </c>
      <c r="X6" s="145" t="s">
        <v>24</v>
      </c>
      <c r="Y6" s="144" t="s">
        <v>24</v>
      </c>
      <c r="Z6" s="145" t="s">
        <v>24</v>
      </c>
      <c r="AA6" s="146" t="s">
        <v>23</v>
      </c>
      <c r="AB6" s="144" t="s">
        <v>139</v>
      </c>
      <c r="AC6" s="145" t="s">
        <v>139</v>
      </c>
      <c r="AD6" s="146" t="s">
        <v>23</v>
      </c>
      <c r="AE6" s="145" t="s">
        <v>24</v>
      </c>
      <c r="AF6" s="144" t="s">
        <v>24</v>
      </c>
      <c r="AG6" s="145" t="s">
        <v>24</v>
      </c>
      <c r="AH6" s="146" t="s">
        <v>23</v>
      </c>
      <c r="AI6" s="145" t="s">
        <v>24</v>
      </c>
      <c r="AJ6" s="144" t="s">
        <v>24</v>
      </c>
      <c r="AK6" s="145" t="s">
        <v>24</v>
      </c>
      <c r="AL6" s="146" t="s">
        <v>23</v>
      </c>
      <c r="AM6" s="144" t="s">
        <v>139</v>
      </c>
      <c r="AN6" s="145" t="s">
        <v>139</v>
      </c>
      <c r="AO6" s="146" t="s">
        <v>23</v>
      </c>
      <c r="AP6" s="145" t="s">
        <v>24</v>
      </c>
      <c r="AQ6" s="144" t="s">
        <v>139</v>
      </c>
      <c r="AR6" s="145" t="s">
        <v>139</v>
      </c>
      <c r="AS6" s="146" t="s">
        <v>23</v>
      </c>
      <c r="AT6" s="145" t="s">
        <v>24</v>
      </c>
    </row>
    <row r="7" spans="1:46" ht="24" customHeight="1" x14ac:dyDescent="0.3">
      <c r="A7" s="347" t="s">
        <v>248</v>
      </c>
      <c r="B7" s="348"/>
      <c r="C7" s="147">
        <f ca="1">C8+C9+C12</f>
        <v>39661090</v>
      </c>
      <c r="D7" s="148">
        <f t="shared" ref="D7:E7" ca="1" si="0">D8</f>
        <v>39661090</v>
      </c>
      <c r="E7" s="149">
        <f t="shared" ca="1" si="0"/>
        <v>0</v>
      </c>
      <c r="F7" s="150">
        <f t="shared" ref="F7:F116" ca="1" si="1">H7+M7</f>
        <v>6329679.9800000004</v>
      </c>
      <c r="G7" s="151">
        <f t="shared" ref="G7:G116" ca="1" si="2">IF(D7&gt;0,F7*100/D7,0)</f>
        <v>15.959420126880023</v>
      </c>
      <c r="H7" s="150">
        <f t="shared" ref="H7:M7" ca="1" si="3">H8</f>
        <v>6329679.9800000004</v>
      </c>
      <c r="I7" s="150">
        <f t="shared" ca="1" si="3"/>
        <v>3892456.7199999997</v>
      </c>
      <c r="J7" s="150">
        <f t="shared" ca="1" si="3"/>
        <v>461685</v>
      </c>
      <c r="K7" s="150">
        <f t="shared" ca="1" si="3"/>
        <v>1010035.38</v>
      </c>
      <c r="L7" s="150">
        <f t="shared" ca="1" si="3"/>
        <v>965502.87999999989</v>
      </c>
      <c r="M7" s="152">
        <f t="shared" ca="1" si="3"/>
        <v>0</v>
      </c>
      <c r="N7" s="152">
        <f t="shared" ref="N7:N11" ca="1" si="4">IF(E7&gt;0,M7*100/E7,0)</f>
        <v>0</v>
      </c>
      <c r="O7" s="153">
        <f t="shared" ref="O7:Q7" ca="1" si="5">O8</f>
        <v>4566</v>
      </c>
      <c r="P7" s="153">
        <f t="shared" ca="1" si="5"/>
        <v>45000</v>
      </c>
      <c r="Q7" s="154">
        <f t="shared" ca="1" si="5"/>
        <v>3542</v>
      </c>
      <c r="R7" s="155">
        <f t="shared" ref="R7:R88" ca="1" si="6">IF(O7&gt;0,Q7*100/O7,0)</f>
        <v>77.573368374945247</v>
      </c>
      <c r="S7" s="154">
        <f ca="1">S8</f>
        <v>660</v>
      </c>
      <c r="T7" s="155">
        <f t="shared" ref="T7:T88" ca="1" si="7">IF(P7&gt;0,S7*100/P7,0)</f>
        <v>1.4666666666666666</v>
      </c>
      <c r="U7" s="153">
        <f t="shared" ref="U7:V7" ca="1" si="8">U8</f>
        <v>40500</v>
      </c>
      <c r="V7" s="154">
        <f t="shared" ca="1" si="8"/>
        <v>26432</v>
      </c>
      <c r="W7" s="155">
        <f t="shared" ref="W7:W8" ca="1" si="9">IF(U7&gt;0,V7*100/U7,0)</f>
        <v>65.264197530864195</v>
      </c>
      <c r="X7" s="154">
        <f t="shared" ref="X7:Z7" ca="1" si="10">X8</f>
        <v>1378</v>
      </c>
      <c r="Y7" s="153">
        <f t="shared" ca="1" si="10"/>
        <v>4050</v>
      </c>
      <c r="Z7" s="154">
        <f t="shared" ca="1" si="10"/>
        <v>3168</v>
      </c>
      <c r="AA7" s="155">
        <f t="shared" ref="AA7:AA8" ca="1" si="11">IF(Y7&gt;0,Z7*100/Y7,0)</f>
        <v>78.222222222222229</v>
      </c>
      <c r="AB7" s="153">
        <f t="shared" ref="AB7:AC7" ca="1" si="12">AB8</f>
        <v>4500</v>
      </c>
      <c r="AC7" s="154">
        <f t="shared" ca="1" si="12"/>
        <v>2499</v>
      </c>
      <c r="AD7" s="155">
        <f t="shared" ref="AD7:AD8" ca="1" si="13">IF(AB7&gt;0,AC7*100/AB7,0)</f>
        <v>55.533333333333331</v>
      </c>
      <c r="AE7" s="154">
        <f t="shared" ref="AE7:AG7" ca="1" si="14">AE8</f>
        <v>150</v>
      </c>
      <c r="AF7" s="153">
        <f t="shared" ca="1" si="14"/>
        <v>450</v>
      </c>
      <c r="AG7" s="154">
        <f t="shared" ca="1" si="14"/>
        <v>328</v>
      </c>
      <c r="AH7" s="155">
        <f t="shared" ref="AH7:AH8" ca="1" si="15">IF(AF7&gt;0,AG7*100/AF7,0)</f>
        <v>72.888888888888886</v>
      </c>
      <c r="AI7" s="154">
        <f t="shared" ref="AI7:AK7" ca="1" si="16">AI8</f>
        <v>19</v>
      </c>
      <c r="AJ7" s="153">
        <f t="shared" ca="1" si="16"/>
        <v>66</v>
      </c>
      <c r="AK7" s="154">
        <f t="shared" ca="1" si="16"/>
        <v>46</v>
      </c>
      <c r="AL7" s="155">
        <f t="shared" ref="AL7:AL8" ca="1" si="17">IF(AJ7&gt;0,AK7*100/AJ7,0)</f>
        <v>69.696969696969703</v>
      </c>
      <c r="AM7" s="153">
        <f t="shared" ref="AM7:AN7" ca="1" si="18">AM8</f>
        <v>40500</v>
      </c>
      <c r="AN7" s="154">
        <f t="shared" ca="1" si="18"/>
        <v>540</v>
      </c>
      <c r="AO7" s="155">
        <f t="shared" ref="AO7:AO8" ca="1" si="19">IF(AM7&gt;0,AN7*100/AM7,0)</f>
        <v>1.3333333333333333</v>
      </c>
      <c r="AP7" s="154">
        <f t="shared" ref="AP7:AR7" ca="1" si="20">AP8</f>
        <v>0</v>
      </c>
      <c r="AQ7" s="153">
        <f t="shared" ca="1" si="20"/>
        <v>4500</v>
      </c>
      <c r="AR7" s="154">
        <f t="shared" ca="1" si="20"/>
        <v>120</v>
      </c>
      <c r="AS7" s="155">
        <f t="shared" ref="AS7:AS8" ca="1" si="21">IF(AQ7&gt;0,AR7*100/AQ7,0)</f>
        <v>2.6666666666666665</v>
      </c>
      <c r="AT7" s="154">
        <f ca="1">AT8</f>
        <v>5</v>
      </c>
    </row>
    <row r="8" spans="1:46" ht="28.5" customHeight="1" x14ac:dyDescent="0.3">
      <c r="A8" s="156" t="s">
        <v>26</v>
      </c>
      <c r="B8" s="157"/>
      <c r="C8" s="158">
        <f t="shared" ref="C8:E8" ca="1" si="22">+C13+C31+C52+C74</f>
        <v>39661090</v>
      </c>
      <c r="D8" s="158">
        <f t="shared" ca="1" si="22"/>
        <v>39661090</v>
      </c>
      <c r="E8" s="158">
        <f t="shared" ca="1" si="22"/>
        <v>0</v>
      </c>
      <c r="F8" s="159">
        <f t="shared" ca="1" si="1"/>
        <v>6329679.9800000004</v>
      </c>
      <c r="G8" s="160">
        <f t="shared" ca="1" si="2"/>
        <v>15.959420126880023</v>
      </c>
      <c r="H8" s="159">
        <f t="shared" ref="H8:M8" ca="1" si="23">+H13+H31+H52+H74</f>
        <v>6329679.9800000004</v>
      </c>
      <c r="I8" s="159">
        <f t="shared" ca="1" si="23"/>
        <v>3892456.7199999997</v>
      </c>
      <c r="J8" s="159">
        <f t="shared" ca="1" si="23"/>
        <v>461685</v>
      </c>
      <c r="K8" s="159">
        <f t="shared" ca="1" si="23"/>
        <v>1010035.38</v>
      </c>
      <c r="L8" s="159">
        <f t="shared" ca="1" si="23"/>
        <v>965502.87999999989</v>
      </c>
      <c r="M8" s="161">
        <f t="shared" ca="1" si="23"/>
        <v>0</v>
      </c>
      <c r="N8" s="161">
        <f t="shared" ca="1" si="4"/>
        <v>0</v>
      </c>
      <c r="O8" s="158">
        <f t="shared" ref="O8:Q8" ca="1" si="24">+O13+O31+O52+O74</f>
        <v>4566</v>
      </c>
      <c r="P8" s="158">
        <f t="shared" ca="1" si="24"/>
        <v>45000</v>
      </c>
      <c r="Q8" s="159">
        <f t="shared" ca="1" si="24"/>
        <v>3542</v>
      </c>
      <c r="R8" s="162">
        <f t="shared" ca="1" si="6"/>
        <v>77.573368374945247</v>
      </c>
      <c r="S8" s="159">
        <f ca="1">+S13+S31+S52+S74</f>
        <v>660</v>
      </c>
      <c r="T8" s="162">
        <f t="shared" ca="1" si="7"/>
        <v>1.4666666666666666</v>
      </c>
      <c r="U8" s="158">
        <f t="shared" ref="U8:V8" ca="1" si="25">+U13+U31+U52+U74</f>
        <v>40500</v>
      </c>
      <c r="V8" s="159">
        <f t="shared" ca="1" si="25"/>
        <v>26432</v>
      </c>
      <c r="W8" s="162">
        <f t="shared" ca="1" si="9"/>
        <v>65.264197530864195</v>
      </c>
      <c r="X8" s="159">
        <f t="shared" ref="X8:Z8" ca="1" si="26">+X13+X31+X52+X74</f>
        <v>1378</v>
      </c>
      <c r="Y8" s="158">
        <f t="shared" ca="1" si="26"/>
        <v>4050</v>
      </c>
      <c r="Z8" s="159">
        <f t="shared" ca="1" si="26"/>
        <v>3168</v>
      </c>
      <c r="AA8" s="162">
        <f t="shared" ca="1" si="11"/>
        <v>78.222222222222229</v>
      </c>
      <c r="AB8" s="158">
        <f t="shared" ref="AB8:AC8" ca="1" si="27">+AB13+AB31+AB52+AB74</f>
        <v>4500</v>
      </c>
      <c r="AC8" s="159">
        <f t="shared" ca="1" si="27"/>
        <v>2499</v>
      </c>
      <c r="AD8" s="162">
        <f t="shared" ca="1" si="13"/>
        <v>55.533333333333331</v>
      </c>
      <c r="AE8" s="159">
        <f t="shared" ref="AE8:AG8" ca="1" si="28">+AE13+AE31+AE52+AE74</f>
        <v>150</v>
      </c>
      <c r="AF8" s="158">
        <f t="shared" ca="1" si="28"/>
        <v>450</v>
      </c>
      <c r="AG8" s="159">
        <f t="shared" ca="1" si="28"/>
        <v>328</v>
      </c>
      <c r="AH8" s="162">
        <f t="shared" ca="1" si="15"/>
        <v>72.888888888888886</v>
      </c>
      <c r="AI8" s="159">
        <f t="shared" ref="AI8:AK8" ca="1" si="29">+AI13+AI31+AI52+AI74</f>
        <v>19</v>
      </c>
      <c r="AJ8" s="158">
        <f t="shared" ca="1" si="29"/>
        <v>66</v>
      </c>
      <c r="AK8" s="159">
        <f t="shared" ca="1" si="29"/>
        <v>46</v>
      </c>
      <c r="AL8" s="162">
        <f t="shared" ca="1" si="17"/>
        <v>69.696969696969703</v>
      </c>
      <c r="AM8" s="158">
        <f t="shared" ref="AM8:AN8" ca="1" si="30">+AM13+AM31+AM52+AM74</f>
        <v>40500</v>
      </c>
      <c r="AN8" s="159">
        <f t="shared" ca="1" si="30"/>
        <v>540</v>
      </c>
      <c r="AO8" s="162">
        <f t="shared" ca="1" si="19"/>
        <v>1.3333333333333333</v>
      </c>
      <c r="AP8" s="159">
        <f t="shared" ref="AP8:AR8" ca="1" si="31">+AP13+AP31+AP52+AP74</f>
        <v>0</v>
      </c>
      <c r="AQ8" s="158">
        <f t="shared" ca="1" si="31"/>
        <v>4500</v>
      </c>
      <c r="AR8" s="159">
        <f t="shared" ca="1" si="31"/>
        <v>120</v>
      </c>
      <c r="AS8" s="162">
        <f t="shared" ca="1" si="21"/>
        <v>2.6666666666666665</v>
      </c>
      <c r="AT8" s="159">
        <f ca="1">+AT13+AT31+AT52+AT74</f>
        <v>5</v>
      </c>
    </row>
    <row r="9" spans="1:46" ht="28.5" customHeight="1" x14ac:dyDescent="0.3">
      <c r="A9" s="163" t="s">
        <v>249</v>
      </c>
      <c r="B9" s="164"/>
      <c r="C9" s="165">
        <f>+C10+C11</f>
        <v>0</v>
      </c>
      <c r="D9" s="166"/>
      <c r="E9" s="166"/>
      <c r="F9" s="165">
        <f t="shared" si="1"/>
        <v>0</v>
      </c>
      <c r="G9" s="167">
        <f t="shared" si="2"/>
        <v>0</v>
      </c>
      <c r="H9" s="166"/>
      <c r="I9" s="166"/>
      <c r="J9" s="166"/>
      <c r="K9" s="166"/>
      <c r="L9" s="166"/>
      <c r="M9" s="168"/>
      <c r="N9" s="168">
        <f t="shared" si="4"/>
        <v>0</v>
      </c>
      <c r="O9" s="166"/>
      <c r="P9" s="166"/>
      <c r="Q9" s="166"/>
      <c r="R9" s="169">
        <f t="shared" si="6"/>
        <v>0</v>
      </c>
      <c r="S9" s="166"/>
      <c r="T9" s="169">
        <f t="shared" si="7"/>
        <v>0</v>
      </c>
      <c r="U9" s="166"/>
      <c r="V9" s="166"/>
      <c r="W9" s="170"/>
      <c r="X9" s="166"/>
      <c r="Y9" s="166"/>
      <c r="Z9" s="166"/>
      <c r="AA9" s="170"/>
      <c r="AB9" s="166"/>
      <c r="AC9" s="166"/>
      <c r="AD9" s="170"/>
      <c r="AE9" s="166"/>
      <c r="AF9" s="166"/>
      <c r="AG9" s="166"/>
      <c r="AH9" s="170"/>
      <c r="AI9" s="166"/>
      <c r="AJ9" s="166"/>
      <c r="AK9" s="166"/>
      <c r="AL9" s="170"/>
      <c r="AM9" s="166"/>
      <c r="AN9" s="166"/>
      <c r="AO9" s="170"/>
      <c r="AP9" s="166"/>
      <c r="AQ9" s="166"/>
      <c r="AR9" s="166"/>
      <c r="AS9" s="170"/>
      <c r="AT9" s="166"/>
    </row>
    <row r="10" spans="1:46" ht="28.5" hidden="1" customHeight="1" x14ac:dyDescent="0.3">
      <c r="A10" s="163" t="s">
        <v>27</v>
      </c>
      <c r="B10" s="164"/>
      <c r="C10" s="165">
        <f>+C89</f>
        <v>0</v>
      </c>
      <c r="D10" s="166"/>
      <c r="E10" s="166"/>
      <c r="F10" s="165">
        <f t="shared" si="1"/>
        <v>0</v>
      </c>
      <c r="G10" s="167">
        <f t="shared" si="2"/>
        <v>0</v>
      </c>
      <c r="H10" s="166"/>
      <c r="I10" s="166"/>
      <c r="J10" s="166"/>
      <c r="K10" s="166"/>
      <c r="L10" s="166"/>
      <c r="M10" s="168"/>
      <c r="N10" s="168">
        <f t="shared" si="4"/>
        <v>0</v>
      </c>
      <c r="O10" s="166"/>
      <c r="P10" s="166"/>
      <c r="Q10" s="166"/>
      <c r="R10" s="169">
        <f t="shared" si="6"/>
        <v>0</v>
      </c>
      <c r="S10" s="166"/>
      <c r="T10" s="169">
        <f t="shared" si="7"/>
        <v>0</v>
      </c>
      <c r="U10" s="166"/>
      <c r="V10" s="166"/>
      <c r="W10" s="170"/>
      <c r="X10" s="166"/>
      <c r="Y10" s="166"/>
      <c r="Z10" s="166"/>
      <c r="AA10" s="170"/>
      <c r="AB10" s="166"/>
      <c r="AC10" s="166"/>
      <c r="AD10" s="170"/>
      <c r="AE10" s="166"/>
      <c r="AF10" s="166"/>
      <c r="AG10" s="166"/>
      <c r="AH10" s="170"/>
      <c r="AI10" s="166"/>
      <c r="AJ10" s="166"/>
      <c r="AK10" s="166"/>
      <c r="AL10" s="170"/>
      <c r="AM10" s="166"/>
      <c r="AN10" s="166"/>
      <c r="AO10" s="170"/>
      <c r="AP10" s="166"/>
      <c r="AQ10" s="166"/>
      <c r="AR10" s="166"/>
      <c r="AS10" s="170"/>
      <c r="AT10" s="166"/>
    </row>
    <row r="11" spans="1:46" ht="28.5" hidden="1" customHeight="1" x14ac:dyDescent="0.3">
      <c r="A11" s="171" t="s">
        <v>28</v>
      </c>
      <c r="B11" s="164"/>
      <c r="C11" s="165">
        <f>+C104</f>
        <v>0</v>
      </c>
      <c r="D11" s="166"/>
      <c r="E11" s="166"/>
      <c r="F11" s="165">
        <f t="shared" si="1"/>
        <v>0</v>
      </c>
      <c r="G11" s="167">
        <f t="shared" si="2"/>
        <v>0</v>
      </c>
      <c r="H11" s="166"/>
      <c r="I11" s="166"/>
      <c r="J11" s="166"/>
      <c r="K11" s="166"/>
      <c r="L11" s="166"/>
      <c r="M11" s="168"/>
      <c r="N11" s="168">
        <f t="shared" si="4"/>
        <v>0</v>
      </c>
      <c r="O11" s="166"/>
      <c r="P11" s="166"/>
      <c r="Q11" s="166"/>
      <c r="R11" s="169">
        <f t="shared" si="6"/>
        <v>0</v>
      </c>
      <c r="S11" s="166"/>
      <c r="T11" s="169">
        <f t="shared" si="7"/>
        <v>0</v>
      </c>
      <c r="U11" s="166"/>
      <c r="V11" s="166"/>
      <c r="W11" s="170"/>
      <c r="X11" s="166"/>
      <c r="Y11" s="166"/>
      <c r="Z11" s="166"/>
      <c r="AA11" s="170"/>
      <c r="AB11" s="166"/>
      <c r="AC11" s="166"/>
      <c r="AD11" s="170"/>
      <c r="AE11" s="166"/>
      <c r="AF11" s="166"/>
      <c r="AG11" s="166"/>
      <c r="AH11" s="170"/>
      <c r="AI11" s="166"/>
      <c r="AJ11" s="166"/>
      <c r="AK11" s="166"/>
      <c r="AL11" s="170"/>
      <c r="AM11" s="166"/>
      <c r="AN11" s="166"/>
      <c r="AO11" s="170"/>
      <c r="AP11" s="166"/>
      <c r="AQ11" s="166"/>
      <c r="AR11" s="166"/>
      <c r="AS11" s="170"/>
      <c r="AT11" s="166"/>
    </row>
    <row r="12" spans="1:46" ht="28.5" hidden="1" customHeight="1" x14ac:dyDescent="0.3">
      <c r="A12" s="172" t="s">
        <v>29</v>
      </c>
      <c r="B12" s="173"/>
      <c r="C12" s="174">
        <v>0</v>
      </c>
      <c r="D12" s="174">
        <v>0</v>
      </c>
      <c r="E12" s="174">
        <v>0</v>
      </c>
      <c r="F12" s="174">
        <f t="shared" si="1"/>
        <v>0</v>
      </c>
      <c r="G12" s="175">
        <f t="shared" si="2"/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6">
        <v>0</v>
      </c>
      <c r="N12" s="176"/>
      <c r="O12" s="174">
        <v>0</v>
      </c>
      <c r="P12" s="174">
        <v>0</v>
      </c>
      <c r="Q12" s="174">
        <v>0</v>
      </c>
      <c r="R12" s="177">
        <f t="shared" si="6"/>
        <v>0</v>
      </c>
      <c r="S12" s="174">
        <v>0</v>
      </c>
      <c r="T12" s="177">
        <f t="shared" si="7"/>
        <v>0</v>
      </c>
      <c r="U12" s="174">
        <v>0</v>
      </c>
      <c r="V12" s="174">
        <v>0</v>
      </c>
      <c r="W12" s="177">
        <f t="shared" ref="W12:W88" si="32">IF(U12&gt;0,V12*100/U12,0)</f>
        <v>0</v>
      </c>
      <c r="X12" s="174">
        <v>0</v>
      </c>
      <c r="Y12" s="174">
        <v>0</v>
      </c>
      <c r="Z12" s="174">
        <v>0</v>
      </c>
      <c r="AA12" s="177">
        <f t="shared" ref="AA12:AA88" si="33">IF(Y12&gt;0,Z12*100/Y12,0)</f>
        <v>0</v>
      </c>
      <c r="AB12" s="174">
        <v>0</v>
      </c>
      <c r="AC12" s="174">
        <v>0</v>
      </c>
      <c r="AD12" s="177">
        <f t="shared" ref="AD12:AD88" si="34">IF(AB12&gt;0,AC12*100/AB12,0)</f>
        <v>0</v>
      </c>
      <c r="AE12" s="174">
        <v>0</v>
      </c>
      <c r="AF12" s="174">
        <v>0</v>
      </c>
      <c r="AG12" s="174">
        <v>0</v>
      </c>
      <c r="AH12" s="177">
        <f t="shared" ref="AH12:AH88" si="35">IF(AF12&gt;0,AG12*100/AF12,0)</f>
        <v>0</v>
      </c>
      <c r="AI12" s="174">
        <v>0</v>
      </c>
      <c r="AJ12" s="174">
        <v>0</v>
      </c>
      <c r="AK12" s="174">
        <v>0</v>
      </c>
      <c r="AL12" s="177">
        <f t="shared" ref="AL12:AL88" si="36">IF(AJ12&gt;0,AK12*100/AJ12,0)</f>
        <v>0</v>
      </c>
      <c r="AM12" s="174">
        <v>0</v>
      </c>
      <c r="AN12" s="174">
        <v>0</v>
      </c>
      <c r="AO12" s="177">
        <f t="shared" ref="AO12:AO88" si="37">IF(AM12&gt;0,AN12*100/AM12,0)</f>
        <v>0</v>
      </c>
      <c r="AP12" s="174">
        <v>0</v>
      </c>
      <c r="AQ12" s="174">
        <v>0</v>
      </c>
      <c r="AR12" s="174">
        <v>0</v>
      </c>
      <c r="AS12" s="177">
        <f t="shared" ref="AS12:AS88" si="38">IF(AQ12&gt;0,AR12*100/AQ12,0)</f>
        <v>0</v>
      </c>
      <c r="AT12" s="174">
        <v>0</v>
      </c>
    </row>
    <row r="13" spans="1:46" ht="28.5" customHeight="1" x14ac:dyDescent="0.3">
      <c r="A13" s="338" t="s">
        <v>30</v>
      </c>
      <c r="B13" s="339"/>
      <c r="C13" s="158">
        <f t="shared" ref="C13:E13" ca="1" si="39">SUM(C14:C30)</f>
        <v>11550678</v>
      </c>
      <c r="D13" s="158">
        <f t="shared" ca="1" si="39"/>
        <v>11550678</v>
      </c>
      <c r="E13" s="158">
        <f t="shared" ca="1" si="39"/>
        <v>0</v>
      </c>
      <c r="F13" s="159">
        <f t="shared" ca="1" si="1"/>
        <v>1627503.69</v>
      </c>
      <c r="G13" s="160">
        <f t="shared" ca="1" si="2"/>
        <v>14.090113930974441</v>
      </c>
      <c r="H13" s="159">
        <f t="shared" ref="H13:M13" ca="1" si="40">SUM(H14:H30)</f>
        <v>1627503.69</v>
      </c>
      <c r="I13" s="159">
        <f t="shared" ca="1" si="40"/>
        <v>1037704</v>
      </c>
      <c r="J13" s="159">
        <f t="shared" ca="1" si="40"/>
        <v>43000</v>
      </c>
      <c r="K13" s="159">
        <f t="shared" ca="1" si="40"/>
        <v>290786.69</v>
      </c>
      <c r="L13" s="159">
        <f t="shared" ca="1" si="40"/>
        <v>256013</v>
      </c>
      <c r="M13" s="161">
        <f t="shared" ca="1" si="40"/>
        <v>0</v>
      </c>
      <c r="N13" s="161">
        <f t="shared" ref="N13:N116" ca="1" si="41">IF(E13&gt;0,M13*100/E13,0)</f>
        <v>0</v>
      </c>
      <c r="O13" s="158">
        <f t="shared" ref="O13:Q13" ca="1" si="42">SUM(O14:O30)</f>
        <v>1327</v>
      </c>
      <c r="P13" s="158">
        <f t="shared" ca="1" si="42"/>
        <v>13100</v>
      </c>
      <c r="Q13" s="159">
        <f t="shared" ca="1" si="42"/>
        <v>1097</v>
      </c>
      <c r="R13" s="162">
        <f t="shared" ca="1" si="6"/>
        <v>82.667671439336857</v>
      </c>
      <c r="S13" s="159">
        <f ca="1">SUM(S14:S30)</f>
        <v>50</v>
      </c>
      <c r="T13" s="162">
        <f t="shared" ca="1" si="7"/>
        <v>0.38167938931297712</v>
      </c>
      <c r="U13" s="158">
        <f t="shared" ref="U13:V13" ca="1" si="43">SUM(U14:U30)</f>
        <v>11790</v>
      </c>
      <c r="V13" s="159">
        <f t="shared" ca="1" si="43"/>
        <v>8480</v>
      </c>
      <c r="W13" s="162">
        <f t="shared" ca="1" si="32"/>
        <v>71.925360474978802</v>
      </c>
      <c r="X13" s="159">
        <f t="shared" ref="X13:Z13" ca="1" si="44">SUM(X14:X30)</f>
        <v>602</v>
      </c>
      <c r="Y13" s="158">
        <f t="shared" ca="1" si="44"/>
        <v>1179</v>
      </c>
      <c r="Z13" s="159">
        <f t="shared" ca="1" si="44"/>
        <v>1002</v>
      </c>
      <c r="AA13" s="162">
        <f t="shared" ca="1" si="33"/>
        <v>84.987277353689564</v>
      </c>
      <c r="AB13" s="158">
        <f t="shared" ref="AB13:AC13" ca="1" si="45">SUM(AB14:AB30)</f>
        <v>1310</v>
      </c>
      <c r="AC13" s="159">
        <f t="shared" ca="1" si="45"/>
        <v>660</v>
      </c>
      <c r="AD13" s="162">
        <f t="shared" ca="1" si="34"/>
        <v>50.381679389312978</v>
      </c>
      <c r="AE13" s="159">
        <f t="shared" ref="AE13:AG13" ca="1" si="46">SUM(AE14:AE30)</f>
        <v>39</v>
      </c>
      <c r="AF13" s="158">
        <f t="shared" ca="1" si="46"/>
        <v>131</v>
      </c>
      <c r="AG13" s="159">
        <f t="shared" ca="1" si="46"/>
        <v>85</v>
      </c>
      <c r="AH13" s="162">
        <f t="shared" ca="1" si="35"/>
        <v>64.885496183206101</v>
      </c>
      <c r="AI13" s="159">
        <f t="shared" ref="AI13:AK13" ca="1" si="47">SUM(AI14:AI30)</f>
        <v>5</v>
      </c>
      <c r="AJ13" s="158">
        <f t="shared" ca="1" si="47"/>
        <v>17</v>
      </c>
      <c r="AK13" s="159">
        <f t="shared" ca="1" si="47"/>
        <v>10</v>
      </c>
      <c r="AL13" s="162">
        <f t="shared" ca="1" si="36"/>
        <v>58.823529411764703</v>
      </c>
      <c r="AM13" s="158">
        <f t="shared" ref="AM13:AN13" ca="1" si="48">SUM(AM14:AM30)</f>
        <v>11790</v>
      </c>
      <c r="AN13" s="159">
        <f t="shared" ca="1" si="48"/>
        <v>0</v>
      </c>
      <c r="AO13" s="162">
        <f t="shared" ca="1" si="37"/>
        <v>0</v>
      </c>
      <c r="AP13" s="159">
        <f t="shared" ref="AP13:AR13" ca="1" si="49">SUM(AP14:AP30)</f>
        <v>0</v>
      </c>
      <c r="AQ13" s="158">
        <f t="shared" ca="1" si="49"/>
        <v>1310</v>
      </c>
      <c r="AR13" s="159">
        <f t="shared" ca="1" si="49"/>
        <v>50</v>
      </c>
      <c r="AS13" s="162">
        <f t="shared" ca="1" si="38"/>
        <v>3.8167938931297711</v>
      </c>
      <c r="AT13" s="159">
        <f ca="1">SUM(AT14:AT30)</f>
        <v>5</v>
      </c>
    </row>
    <row r="14" spans="1:46" ht="24" customHeight="1" x14ac:dyDescent="0.3">
      <c r="A14" s="178">
        <v>1</v>
      </c>
      <c r="B14" s="179" t="s">
        <v>31</v>
      </c>
      <c r="C14" s="180">
        <f t="shared" ref="C14:C30" ca="1" si="50">D14+E14</f>
        <v>1167958</v>
      </c>
      <c r="D14" s="181">
        <f ca="1">IFERROR(__xludf.DUMMYFUNCTION("IMPORTRANGE(""https://docs.google.com/spreadsheets/d/1KxicF4apzSqm0-jIpmueT4kyZtE-Cwn5zskl7GD4loQ/edit?usp=sharing"",""กำแพงเพชร!L472"")"),1167958)</f>
        <v>1167958</v>
      </c>
      <c r="E14" s="181">
        <f ca="1">IFERROR(__xludf.DUMMYFUNCTION("IMPORTRANGE(""https://docs.google.com/spreadsheets/d/1KxicF4apzSqm0-jIpmueT4kyZtE-Cwn5zskl7GD4loQ/edit?usp=sharing"",""กำแพงเพชร!L479"")"),0)</f>
        <v>0</v>
      </c>
      <c r="F14" s="182">
        <f t="shared" ca="1" si="1"/>
        <v>203691</v>
      </c>
      <c r="G14" s="183">
        <f t="shared" ca="1" si="2"/>
        <v>17.439925065798597</v>
      </c>
      <c r="H14" s="184">
        <f t="shared" ref="H14:H30" ca="1" si="51">I14+J14+K14+L14</f>
        <v>203691</v>
      </c>
      <c r="I14" s="181">
        <f ca="1">IFERROR(__xludf.DUMMYFUNCTION("IMPORTRANGE(""https://docs.google.com/spreadsheets/d/1KxicF4apzSqm0-jIpmueT4kyZtE-Cwn5zskl7GD4loQ/edit?usp=sharing"",""กำแพงเพชร!N473"")"),152451)</f>
        <v>152451</v>
      </c>
      <c r="J14" s="181">
        <f ca="1">IFERROR(__xludf.DUMMYFUNCTION("IMPORTRANGE(""https://docs.google.com/spreadsheets/d/1KxicF4apzSqm0-jIpmueT4kyZtE-Cwn5zskl7GD4loQ/edit?usp=sharing"",""กำแพงเพชร!N474"")"),0)</f>
        <v>0</v>
      </c>
      <c r="K14" s="181">
        <f ca="1">IFERROR(__xludf.DUMMYFUNCTION("IMPORTRANGE(""https://docs.google.com/spreadsheets/d/1KxicF4apzSqm0-jIpmueT4kyZtE-Cwn5zskl7GD4loQ/edit?usp=sharing"",""กำแพงเพชร!N475"")"),39000)</f>
        <v>39000</v>
      </c>
      <c r="L14" s="181">
        <f ca="1">IFERROR(__xludf.DUMMYFUNCTION("IMPORTRANGE(""https://docs.google.com/spreadsheets/d/1KxicF4apzSqm0-jIpmueT4kyZtE-Cwn5zskl7GD4loQ/edit?usp=sharing"",""กำแพงเพชร!N476"")"),12240)</f>
        <v>12240</v>
      </c>
      <c r="M14" s="185">
        <f ca="1">IFERROR(__xludf.DUMMYFUNCTION("IMPORTRANGE(""https://docs.google.com/spreadsheets/d/1KxicF4apzSqm0-jIpmueT4kyZtE-Cwn5zskl7GD4loQ/edit?usp=sharing"",""กำแพงเพชร!N479"")"),0)</f>
        <v>0</v>
      </c>
      <c r="N14" s="185">
        <f t="shared" ca="1" si="41"/>
        <v>0</v>
      </c>
      <c r="O14" s="181">
        <f ca="1">IFERROR(__xludf.DUMMYFUNCTION("IMPORTRANGE(""https://docs.google.com/spreadsheets/d/1KxicF4apzSqm0-jIpmueT4kyZtE-Cwn5zskl7GD4loQ/edit?usp=sharing"",""กำแพงเพชร!I465"")"),131)</f>
        <v>131</v>
      </c>
      <c r="P14" s="181">
        <f ca="1">IFERROR(__xludf.DUMMYFUNCTION("IMPORTRANGE(""https://docs.google.com/spreadsheets/d/1KxicF4apzSqm0-jIpmueT4kyZtE-Cwn5zskl7GD4loQ/edit?usp=sharing"",""กำแพงเพชร!I466"")"),1300)</f>
        <v>1300</v>
      </c>
      <c r="Q14" s="181">
        <f ca="1">IFERROR(__xludf.DUMMYFUNCTION("IMPORTRANGE(""https://docs.google.com/spreadsheets/d/1KxicF4apzSqm0-jIpmueT4kyZtE-Cwn5zskl7GD4loQ/edit?usp=sharing"",""กำแพงเพชร!J465"")"),118)</f>
        <v>118</v>
      </c>
      <c r="R14" s="186">
        <f t="shared" ca="1" si="6"/>
        <v>90.07633587786259</v>
      </c>
      <c r="S14" s="181">
        <f ca="1">IFERROR(__xludf.DUMMYFUNCTION("IMPORTRANGE(""https://docs.google.com/spreadsheets/d/1KxicF4apzSqm0-jIpmueT4kyZtE-Cwn5zskl7GD4loQ/edit?usp=sharing"",""กำแพงเพชร!J466"")"),0)</f>
        <v>0</v>
      </c>
      <c r="T14" s="186">
        <f t="shared" ca="1" si="7"/>
        <v>0</v>
      </c>
      <c r="U14" s="181">
        <f ca="1">IFERROR(__xludf.DUMMYFUNCTION("IMPORTRANGE(""https://docs.google.com/spreadsheets/d/1KxicF4apzSqm0-jIpmueT4kyZtE-Cwn5zskl7GD4loQ/edit?usp=sharing"",""กำแพงเพชร!I483"")"),1170)</f>
        <v>1170</v>
      </c>
      <c r="V14" s="181">
        <f ca="1">IFERROR(__xludf.DUMMYFUNCTION("IMPORTRANGE(""https://docs.google.com/spreadsheets/d/1KxicF4apzSqm0-jIpmueT4kyZtE-Cwn5zskl7GD4loQ/edit?usp=sharing"",""กำแพงเพชร!J483"")"),1170)</f>
        <v>1170</v>
      </c>
      <c r="W14" s="186">
        <f t="shared" ca="1" si="32"/>
        <v>100</v>
      </c>
      <c r="X14" s="181">
        <f ca="1">IFERROR(__xludf.DUMMYFUNCTION("IMPORTRANGE(""https://docs.google.com/spreadsheets/d/1KxicF4apzSqm0-jIpmueT4kyZtE-Cwn5zskl7GD4loQ/edit?usp=sharing"",""กำแพงเพชร!J484"")"),117)</f>
        <v>117</v>
      </c>
      <c r="Y14" s="181">
        <f ca="1">IFERROR(__xludf.DUMMYFUNCTION("IMPORTRANGE(""https://docs.google.com/spreadsheets/d/1KxicF4apzSqm0-jIpmueT4kyZtE-Cwn5zskl7GD4loQ/edit?usp=sharing"",""กำแพงเพชร!I485"")"),117)</f>
        <v>117</v>
      </c>
      <c r="Z14" s="181">
        <f ca="1">IFERROR(__xludf.DUMMYFUNCTION("IMPORTRANGE(""https://docs.google.com/spreadsheets/d/1KxicF4apzSqm0-jIpmueT4kyZtE-Cwn5zskl7GD4loQ/edit?usp=sharing"",""กำแพงเพชร!J485"")"),117)</f>
        <v>117</v>
      </c>
      <c r="AA14" s="186">
        <f t="shared" ca="1" si="33"/>
        <v>100</v>
      </c>
      <c r="AB14" s="181">
        <f ca="1">IFERROR(__xludf.DUMMYFUNCTION("IMPORTRANGE(""https://docs.google.com/spreadsheets/d/1KxicF4apzSqm0-jIpmueT4kyZtE-Cwn5zskl7GD4loQ/edit?usp=sharing"",""กำแพงเพชร!I487"")"),130)</f>
        <v>130</v>
      </c>
      <c r="AC14" s="181">
        <f ca="1">IFERROR(__xludf.DUMMYFUNCTION("IMPORTRANGE(""https://docs.google.com/spreadsheets/d/1KxicF4apzSqm0-jIpmueT4kyZtE-Cwn5zskl7GD4loQ/edit?usp=sharing"",""กำแพงเพชร!J487"")"),0)</f>
        <v>0</v>
      </c>
      <c r="AD14" s="186">
        <f t="shared" ca="1" si="34"/>
        <v>0</v>
      </c>
      <c r="AE14" s="181">
        <f ca="1">IFERROR(__xludf.DUMMYFUNCTION("IMPORTRANGE(""https://docs.google.com/spreadsheets/d/1KxicF4apzSqm0-jIpmueT4kyZtE-Cwn5zskl7GD4loQ/edit?usp=sharing"",""กำแพงเพชร!J488"")"),0)</f>
        <v>0</v>
      </c>
      <c r="AF14" s="181">
        <f ca="1">IFERROR(__xludf.DUMMYFUNCTION("IMPORTRANGE(""https://docs.google.com/spreadsheets/d/1KxicF4apzSqm0-jIpmueT4kyZtE-Cwn5zskl7GD4loQ/edit?usp=sharing"",""กำแพงเพชร!I489"")"),13)</f>
        <v>13</v>
      </c>
      <c r="AG14" s="181">
        <f ca="1">IFERROR(__xludf.DUMMYFUNCTION("IMPORTRANGE(""https://docs.google.com/spreadsheets/d/1KxicF4apzSqm0-jIpmueT4kyZtE-Cwn5zskl7GD4loQ/edit?usp=sharing"",""กำแพงเพชร!J489"")"),0)</f>
        <v>0</v>
      </c>
      <c r="AH14" s="186">
        <f t="shared" ca="1" si="35"/>
        <v>0</v>
      </c>
      <c r="AI14" s="181">
        <f ca="1">IFERROR(__xludf.DUMMYFUNCTION("IMPORTRANGE(""https://docs.google.com/spreadsheets/d/1KxicF4apzSqm0-jIpmueT4kyZtE-Cwn5zskl7GD4loQ/edit?usp=sharing"",""กำแพงเพชร!J491"")"),1)</f>
        <v>1</v>
      </c>
      <c r="AJ14" s="181">
        <f ca="1">IFERROR(__xludf.DUMMYFUNCTION("IMPORTRANGE(""https://docs.google.com/spreadsheets/d/1KxicF4apzSqm0-jIpmueT4kyZtE-Cwn5zskl7GD4loQ/edit?usp=sharing"",""กำแพงเพชร!I492"")"),1)</f>
        <v>1</v>
      </c>
      <c r="AK14" s="181">
        <f ca="1">IFERROR(__xludf.DUMMYFUNCTION("IMPORTRANGE(""https://docs.google.com/spreadsheets/d/1KxicF4apzSqm0-jIpmueT4kyZtE-Cwn5zskl7GD4loQ/edit?usp=sharing"",""กำแพงเพชร!J492"")"),1)</f>
        <v>1</v>
      </c>
      <c r="AL14" s="186">
        <f t="shared" ca="1" si="36"/>
        <v>100</v>
      </c>
      <c r="AM14" s="181">
        <f ca="1">IFERROR(__xludf.DUMMYFUNCTION("IMPORTRANGE(""https://docs.google.com/spreadsheets/d/1KxicF4apzSqm0-jIpmueT4kyZtE-Cwn5zskl7GD4loQ/edit?usp=sharing"",""กำแพงเพชร!I495"")"),1170)</f>
        <v>1170</v>
      </c>
      <c r="AN14" s="181">
        <f ca="1">IFERROR(__xludf.DUMMYFUNCTION("IMPORTRANGE(""https://docs.google.com/spreadsheets/d/1KxicF4apzSqm0-jIpmueT4kyZtE-Cwn5zskl7GD4loQ/edit?usp=sharing"",""กำแพงเพชร!J495"")"),0)</f>
        <v>0</v>
      </c>
      <c r="AO14" s="186">
        <f t="shared" ca="1" si="37"/>
        <v>0</v>
      </c>
      <c r="AP14" s="181">
        <f ca="1">IFERROR(__xludf.DUMMYFUNCTION("IMPORTRANGE(""https://docs.google.com/spreadsheets/d/1KxicF4apzSqm0-jIpmueT4kyZtE-Cwn5zskl7GD4loQ/edit?usp=sharing"",""กำแพงเพชร!J496"")"),0)</f>
        <v>0</v>
      </c>
      <c r="AQ14" s="181">
        <f ca="1">IFERROR(__xludf.DUMMYFUNCTION("IMPORTRANGE(""https://docs.google.com/spreadsheets/d/1KxicF4apzSqm0-jIpmueT4kyZtE-Cwn5zskl7GD4loQ/edit?usp=sharing"",""กำแพงเพชร!I498"")"),130)</f>
        <v>130</v>
      </c>
      <c r="AR14" s="181">
        <f ca="1">IFERROR(__xludf.DUMMYFUNCTION("IMPORTRANGE(""https://docs.google.com/spreadsheets/d/1KxicF4apzSqm0-jIpmueT4kyZtE-Cwn5zskl7GD4loQ/edit?usp=sharing"",""กำแพงเพชร!J498"")"),0)</f>
        <v>0</v>
      </c>
      <c r="AS14" s="186">
        <f t="shared" ca="1" si="38"/>
        <v>0</v>
      </c>
      <c r="AT14" s="181">
        <f ca="1">IFERROR(__xludf.DUMMYFUNCTION("IMPORTRANGE(""https://docs.google.com/spreadsheets/d/1KxicF4apzSqm0-jIpmueT4kyZtE-Cwn5zskl7GD4loQ/edit?usp=sharing"",""กำแพงเพชร!J499"")"),0)</f>
        <v>0</v>
      </c>
    </row>
    <row r="15" spans="1:46" ht="24" customHeight="1" x14ac:dyDescent="0.3">
      <c r="A15" s="178">
        <v>2</v>
      </c>
      <c r="B15" s="179" t="s">
        <v>32</v>
      </c>
      <c r="C15" s="180">
        <f t="shared" ca="1" si="50"/>
        <v>416253</v>
      </c>
      <c r="D15" s="181">
        <f ca="1">IFERROR(__xludf.DUMMYFUNCTION("IMPORTRANGE(""https://docs.google.com/spreadsheets/d/1ZNYWeiFoFA1K1U4xKWqRX29MBvEyRHXORjo734Gnq_c/edit?usp=sharing"",""เชียงราย!L472"")"),416253)</f>
        <v>416253</v>
      </c>
      <c r="E15" s="187">
        <f ca="1">IFERROR(__xludf.DUMMYFUNCTION("IMPORTRANGE(""https://docs.google.com/spreadsheets/d/1ZNYWeiFoFA1K1U4xKWqRX29MBvEyRHXORjo734Gnq_c/edit?usp=sharing"",""เชียงราย!L479"")"),0)</f>
        <v>0</v>
      </c>
      <c r="F15" s="182">
        <f t="shared" ca="1" si="1"/>
        <v>16220</v>
      </c>
      <c r="G15" s="183">
        <f t="shared" ca="1" si="2"/>
        <v>3.8966686125985879</v>
      </c>
      <c r="H15" s="184">
        <f t="shared" ca="1" si="51"/>
        <v>16220</v>
      </c>
      <c r="I15" s="187">
        <f ca="1">IFERROR(__xludf.DUMMYFUNCTION("IMPORTRANGE(""https://docs.google.com/spreadsheets/d/1ZNYWeiFoFA1K1U4xKWqRX29MBvEyRHXORjo734Gnq_c/edit?usp=sharing"",""เชียงราย!N473"")"),0)</f>
        <v>0</v>
      </c>
      <c r="J15" s="187">
        <f ca="1">IFERROR(__xludf.DUMMYFUNCTION("IMPORTRANGE(""https://docs.google.com/spreadsheets/d/1ZNYWeiFoFA1K1U4xKWqRX29MBvEyRHXORjo734Gnq_c/edit?usp=sharing"",""เชียงราย!N474"")"),0)</f>
        <v>0</v>
      </c>
      <c r="K15" s="187">
        <f ca="1">IFERROR(__xludf.DUMMYFUNCTION("IMPORTRANGE(""https://docs.google.com/spreadsheets/d/1ZNYWeiFoFA1K1U4xKWqRX29MBvEyRHXORjo734Gnq_c/edit?usp=sharing"",""เชียงราย!N475"")"),0)</f>
        <v>0</v>
      </c>
      <c r="L15" s="187">
        <f ca="1">IFERROR(__xludf.DUMMYFUNCTION("IMPORTRANGE(""https://docs.google.com/spreadsheets/d/1ZNYWeiFoFA1K1U4xKWqRX29MBvEyRHXORjo734Gnq_c/edit?usp=sharing"",""เชียงราย!N476"")"),16220)</f>
        <v>16220</v>
      </c>
      <c r="M15" s="185">
        <f ca="1">IFERROR(__xludf.DUMMYFUNCTION("IMPORTRANGE(""https://docs.google.com/spreadsheets/d/1ZNYWeiFoFA1K1U4xKWqRX29MBvEyRHXORjo734Gnq_c/edit?usp=sharing"",""เชียงราย!N479"")"),0)</f>
        <v>0</v>
      </c>
      <c r="N15" s="185">
        <f t="shared" ca="1" si="41"/>
        <v>0</v>
      </c>
      <c r="O15" s="181">
        <f ca="1">IFERROR(__xludf.DUMMYFUNCTION("IMPORTRANGE(""https://docs.google.com/spreadsheets/d/1ZNYWeiFoFA1K1U4xKWqRX29MBvEyRHXORjo734Gnq_c/edit?usp=sharing"",""เชียงราย!I465"")"),51)</f>
        <v>51</v>
      </c>
      <c r="P15" s="181">
        <f ca="1">IFERROR(__xludf.DUMMYFUNCTION("IMPORTRANGE(""https://docs.google.com/spreadsheets/d/1ZNYWeiFoFA1K1U4xKWqRX29MBvEyRHXORjo734Gnq_c/edit?usp=sharing"",""เชียงราย!I466"")"),500)</f>
        <v>500</v>
      </c>
      <c r="Q15" s="181">
        <f ca="1">IFERROR(__xludf.DUMMYFUNCTION("IMPORTRANGE(""https://docs.google.com/spreadsheets/d/1ZNYWeiFoFA1K1U4xKWqRX29MBvEyRHXORjo734Gnq_c/edit?usp=sharing"",""เชียงราย!J465"")"),0)</f>
        <v>0</v>
      </c>
      <c r="R15" s="186">
        <f t="shared" ca="1" si="6"/>
        <v>0</v>
      </c>
      <c r="S15" s="181">
        <f ca="1">IFERROR(__xludf.DUMMYFUNCTION("IMPORTRANGE(""https://docs.google.com/spreadsheets/d/1ZNYWeiFoFA1K1U4xKWqRX29MBvEyRHXORjo734Gnq_c/edit?usp=sharing"",""เชียงราย!J466"")"),0)</f>
        <v>0</v>
      </c>
      <c r="T15" s="186">
        <f t="shared" ca="1" si="7"/>
        <v>0</v>
      </c>
      <c r="U15" s="181">
        <f ca="1">IFERROR(__xludf.DUMMYFUNCTION("IMPORTRANGE(""https://docs.google.com/spreadsheets/d/1ZNYWeiFoFA1K1U4xKWqRX29MBvEyRHXORjo734Gnq_c/edit?usp=sharing"",""เชียงราย!I483"")"),450)</f>
        <v>450</v>
      </c>
      <c r="V15" s="181">
        <f ca="1">IFERROR(__xludf.DUMMYFUNCTION("IMPORTRANGE(""https://docs.google.com/spreadsheets/d/1ZNYWeiFoFA1K1U4xKWqRX29MBvEyRHXORjo734Gnq_c/edit?usp=sharing"",""เชียงราย!J483"")"),0)</f>
        <v>0</v>
      </c>
      <c r="W15" s="186">
        <f t="shared" ca="1" si="32"/>
        <v>0</v>
      </c>
      <c r="X15" s="181">
        <f ca="1">IFERROR(__xludf.DUMMYFUNCTION("IMPORTRANGE(""https://docs.google.com/spreadsheets/d/1ZNYWeiFoFA1K1U4xKWqRX29MBvEyRHXORjo734Gnq_c/edit?usp=sharing"",""เชียงราย!J484"")"),0)</f>
        <v>0</v>
      </c>
      <c r="Y15" s="181">
        <f ca="1">IFERROR(__xludf.DUMMYFUNCTION("IMPORTRANGE(""https://docs.google.com/spreadsheets/d/1ZNYWeiFoFA1K1U4xKWqRX29MBvEyRHXORjo734Gnq_c/edit?usp=sharing"",""เชียงราย!I485"")"),45)</f>
        <v>45</v>
      </c>
      <c r="Z15" s="181">
        <f ca="1">IFERROR(__xludf.DUMMYFUNCTION("IMPORTRANGE(""https://docs.google.com/spreadsheets/d/1ZNYWeiFoFA1K1U4xKWqRX29MBvEyRHXORjo734Gnq_c/edit?usp=sharing"",""เชียงราย!J485"")"),0)</f>
        <v>0</v>
      </c>
      <c r="AA15" s="186">
        <f t="shared" ca="1" si="33"/>
        <v>0</v>
      </c>
      <c r="AB15" s="181">
        <f ca="1">IFERROR(__xludf.DUMMYFUNCTION("IMPORTRANGE(""https://docs.google.com/spreadsheets/d/1ZNYWeiFoFA1K1U4xKWqRX29MBvEyRHXORjo734Gnq_c/edit?usp=sharing"",""เชียงราย!I487"")"),50)</f>
        <v>50</v>
      </c>
      <c r="AC15" s="181">
        <f ca="1">IFERROR(__xludf.DUMMYFUNCTION("IMPORTRANGE(""https://docs.google.com/spreadsheets/d/1ZNYWeiFoFA1K1U4xKWqRX29MBvEyRHXORjo734Gnq_c/edit?usp=sharing"",""เชียงราย!J487"")"),0)</f>
        <v>0</v>
      </c>
      <c r="AD15" s="186">
        <f t="shared" ca="1" si="34"/>
        <v>0</v>
      </c>
      <c r="AE15" s="181">
        <f ca="1">IFERROR(__xludf.DUMMYFUNCTION("IMPORTRANGE(""https://docs.google.com/spreadsheets/d/1ZNYWeiFoFA1K1U4xKWqRX29MBvEyRHXORjo734Gnq_c/edit?usp=sharing"",""เชียงราย!J488"")"),0)</f>
        <v>0</v>
      </c>
      <c r="AF15" s="181">
        <f ca="1">IFERROR(__xludf.DUMMYFUNCTION("IMPORTRANGE(""https://docs.google.com/spreadsheets/d/1ZNYWeiFoFA1K1U4xKWqRX29MBvEyRHXORjo734Gnq_c/edit?usp=sharing"",""เชียงราย!I489"")"),5)</f>
        <v>5</v>
      </c>
      <c r="AG15" s="181">
        <f ca="1">IFERROR(__xludf.DUMMYFUNCTION("IMPORTRANGE(""https://docs.google.com/spreadsheets/d/1ZNYWeiFoFA1K1U4xKWqRX29MBvEyRHXORjo734Gnq_c/edit?usp=sharing"",""เชียงราย!J489"")"),0)</f>
        <v>0</v>
      </c>
      <c r="AH15" s="186">
        <f t="shared" ca="1" si="35"/>
        <v>0</v>
      </c>
      <c r="AI15" s="181">
        <f ca="1">IFERROR(__xludf.DUMMYFUNCTION("IMPORTRANGE(""https://docs.google.com/spreadsheets/d/1ZNYWeiFoFA1K1U4xKWqRX29MBvEyRHXORjo734Gnq_c/edit?usp=sharing"",""เชียงราย!J491"")"),0)</f>
        <v>0</v>
      </c>
      <c r="AJ15" s="181">
        <f ca="1">IFERROR(__xludf.DUMMYFUNCTION("IMPORTRANGE(""https://docs.google.com/spreadsheets/d/1ZNYWeiFoFA1K1U4xKWqRX29MBvEyRHXORjo734Gnq_c/edit?usp=sharing"",""เชียงราย!I492"")"),1)</f>
        <v>1</v>
      </c>
      <c r="AK15" s="181">
        <f ca="1">IFERROR(__xludf.DUMMYFUNCTION("IMPORTRANGE(""https://docs.google.com/spreadsheets/d/1ZNYWeiFoFA1K1U4xKWqRX29MBvEyRHXORjo734Gnq_c/edit?usp=sharing"",""เชียงราย!J492"")"),0)</f>
        <v>0</v>
      </c>
      <c r="AL15" s="186">
        <f t="shared" ca="1" si="36"/>
        <v>0</v>
      </c>
      <c r="AM15" s="181">
        <f ca="1">IFERROR(__xludf.DUMMYFUNCTION("IMPORTRANGE(""https://docs.google.com/spreadsheets/d/1ZNYWeiFoFA1K1U4xKWqRX29MBvEyRHXORjo734Gnq_c/edit?usp=sharing"",""เชียงราย!I495"")"),450)</f>
        <v>450</v>
      </c>
      <c r="AN15" s="181">
        <f ca="1">IFERROR(__xludf.DUMMYFUNCTION("IMPORTRANGE(""https://docs.google.com/spreadsheets/d/1ZNYWeiFoFA1K1U4xKWqRX29MBvEyRHXORjo734Gnq_c/edit?usp=sharing"",""เชียงราย!J495"")"),0)</f>
        <v>0</v>
      </c>
      <c r="AO15" s="186">
        <f t="shared" ca="1" si="37"/>
        <v>0</v>
      </c>
      <c r="AP15" s="181">
        <f ca="1">IFERROR(__xludf.DUMMYFUNCTION("IMPORTRANGE(""https://docs.google.com/spreadsheets/d/1ZNYWeiFoFA1K1U4xKWqRX29MBvEyRHXORjo734Gnq_c/edit?usp=sharing"",""เชียงราย!J496"")"),0)</f>
        <v>0</v>
      </c>
      <c r="AQ15" s="181">
        <f ca="1">IFERROR(__xludf.DUMMYFUNCTION("IMPORTRANGE(""https://docs.google.com/spreadsheets/d/1ZNYWeiFoFA1K1U4xKWqRX29MBvEyRHXORjo734Gnq_c/edit?usp=sharing"",""เชียงราย!I498"")"),50)</f>
        <v>50</v>
      </c>
      <c r="AR15" s="181">
        <f ca="1">IFERROR(__xludf.DUMMYFUNCTION("IMPORTRANGE(""https://docs.google.com/spreadsheets/d/1ZNYWeiFoFA1K1U4xKWqRX29MBvEyRHXORjo734Gnq_c/edit?usp=sharing"",""เชียงราย!J498"")"),0)</f>
        <v>0</v>
      </c>
      <c r="AS15" s="186">
        <f t="shared" ca="1" si="38"/>
        <v>0</v>
      </c>
      <c r="AT15" s="181">
        <f ca="1">IFERROR(__xludf.DUMMYFUNCTION("IMPORTRANGE(""https://docs.google.com/spreadsheets/d/1ZNYWeiFoFA1K1U4xKWqRX29MBvEyRHXORjo734Gnq_c/edit?usp=sharing"",""เชียงราย!J499"")"),0)</f>
        <v>0</v>
      </c>
    </row>
    <row r="16" spans="1:46" ht="24" customHeight="1" x14ac:dyDescent="0.3">
      <c r="A16" s="178">
        <v>3</v>
      </c>
      <c r="B16" s="179" t="s">
        <v>33</v>
      </c>
      <c r="C16" s="180">
        <f t="shared" ca="1" si="50"/>
        <v>1171728</v>
      </c>
      <c r="D16" s="181">
        <f ca="1">IFERROR(__xludf.DUMMYFUNCTION("IMPORTRANGE(""https://docs.google.com/spreadsheets/d/1Jgv0Y7YlHDtsiDawwp-uvifEJ8HVaSn0k2aGHG8-hwM/edit?usp=sharing"",""เชียงใหม่!L472"")"),1171728)</f>
        <v>1171728</v>
      </c>
      <c r="E16" s="187">
        <f ca="1">IFERROR(__xludf.DUMMYFUNCTION("IMPORTRANGE(""https://docs.google.com/spreadsheets/d/1Jgv0Y7YlHDtsiDawwp-uvifEJ8HVaSn0k2aGHG8-hwM/edit?usp=sharing"",""เชียงใหม่!L479"")"),0)</f>
        <v>0</v>
      </c>
      <c r="F16" s="182">
        <f t="shared" ca="1" si="1"/>
        <v>217143</v>
      </c>
      <c r="G16" s="183">
        <f t="shared" ca="1" si="2"/>
        <v>18.531860636598253</v>
      </c>
      <c r="H16" s="184">
        <f t="shared" ca="1" si="51"/>
        <v>217143</v>
      </c>
      <c r="I16" s="187">
        <f ca="1">IFERROR(__xludf.DUMMYFUNCTION("IMPORTRANGE(""https://docs.google.com/spreadsheets/d/1Jgv0Y7YlHDtsiDawwp-uvifEJ8HVaSn0k2aGHG8-hwM/edit?usp=sharing"",""เชียงใหม่!N473"")"),141503)</f>
        <v>141503</v>
      </c>
      <c r="J16" s="187">
        <f ca="1">IFERROR(__xludf.DUMMYFUNCTION("IMPORTRANGE(""https://docs.google.com/spreadsheets/d/1Jgv0Y7YlHDtsiDawwp-uvifEJ8HVaSn0k2aGHG8-hwM/edit?usp=sharing"",""เชียงใหม่!N474"")"),0)</f>
        <v>0</v>
      </c>
      <c r="K16" s="187">
        <f ca="1">IFERROR(__xludf.DUMMYFUNCTION("IMPORTRANGE(""https://docs.google.com/spreadsheets/d/1Jgv0Y7YlHDtsiDawwp-uvifEJ8HVaSn0k2aGHG8-hwM/edit?usp=sharing"",""เชียงใหม่!N475"")"),52000)</f>
        <v>52000</v>
      </c>
      <c r="L16" s="187">
        <f ca="1">IFERROR(__xludf.DUMMYFUNCTION("IMPORTRANGE(""https://docs.google.com/spreadsheets/d/1Jgv0Y7YlHDtsiDawwp-uvifEJ8HVaSn0k2aGHG8-hwM/edit?usp=sharing"",""เชียงใหม่!N476"")"),23640)</f>
        <v>23640</v>
      </c>
      <c r="M16" s="185">
        <f ca="1">IFERROR(__xludf.DUMMYFUNCTION("IMPORTRANGE(""https://docs.google.com/spreadsheets/d/1Jgv0Y7YlHDtsiDawwp-uvifEJ8HVaSn0k2aGHG8-hwM/edit?usp=sharing"",""เชียงใหม่!N479"")"),0)</f>
        <v>0</v>
      </c>
      <c r="N16" s="185">
        <f t="shared" ca="1" si="41"/>
        <v>0</v>
      </c>
      <c r="O16" s="181">
        <f ca="1">IFERROR(__xludf.DUMMYFUNCTION("IMPORTRANGE(""https://docs.google.com/spreadsheets/d/1Jgv0Y7YlHDtsiDawwp-uvifEJ8HVaSn0k2aGHG8-hwM/edit?usp=sharing"",""เชียงใหม่!I465"")"),131)</f>
        <v>131</v>
      </c>
      <c r="P16" s="181">
        <f ca="1">IFERROR(__xludf.DUMMYFUNCTION("IMPORTRANGE(""https://docs.google.com/spreadsheets/d/1Jgv0Y7YlHDtsiDawwp-uvifEJ8HVaSn0k2aGHG8-hwM/edit?usp=sharing"",""เชียงใหม่!I466"")"),1300)</f>
        <v>1300</v>
      </c>
      <c r="Q16" s="181">
        <f ca="1">IFERROR(__xludf.DUMMYFUNCTION("IMPORTRANGE(""https://docs.google.com/spreadsheets/d/1Jgv0Y7YlHDtsiDawwp-uvifEJ8HVaSn0k2aGHG8-hwM/edit?usp=sharing"",""เชียงใหม่!J465"")"),131)</f>
        <v>131</v>
      </c>
      <c r="R16" s="186">
        <f t="shared" ca="1" si="6"/>
        <v>100</v>
      </c>
      <c r="S16" s="181">
        <f ca="1">IFERROR(__xludf.DUMMYFUNCTION("IMPORTRANGE(""https://docs.google.com/spreadsheets/d/1Jgv0Y7YlHDtsiDawwp-uvifEJ8HVaSn0k2aGHG8-hwM/edit?usp=sharing"",""เชียงใหม่!J466"")"),0)</f>
        <v>0</v>
      </c>
      <c r="T16" s="186">
        <f t="shared" ca="1" si="7"/>
        <v>0</v>
      </c>
      <c r="U16" s="181">
        <f ca="1">IFERROR(__xludf.DUMMYFUNCTION("IMPORTRANGE(""https://docs.google.com/spreadsheets/d/1Jgv0Y7YlHDtsiDawwp-uvifEJ8HVaSn0k2aGHG8-hwM/edit?usp=sharing"",""เชียงใหม่!I483"")"),1170)</f>
        <v>1170</v>
      </c>
      <c r="V16" s="181">
        <f ca="1">IFERROR(__xludf.DUMMYFUNCTION("IMPORTRANGE(""https://docs.google.com/spreadsheets/d/1Jgv0Y7YlHDtsiDawwp-uvifEJ8HVaSn0k2aGHG8-hwM/edit?usp=sharing"",""เชียงใหม่!J483"")"),1170)</f>
        <v>1170</v>
      </c>
      <c r="W16" s="186">
        <f t="shared" ca="1" si="32"/>
        <v>100</v>
      </c>
      <c r="X16" s="181">
        <f ca="1">IFERROR(__xludf.DUMMYFUNCTION("IMPORTRANGE(""https://docs.google.com/spreadsheets/d/1Jgv0Y7YlHDtsiDawwp-uvifEJ8HVaSn0k2aGHG8-hwM/edit?usp=sharing"",""เชียงใหม่!J484"")"),125)</f>
        <v>125</v>
      </c>
      <c r="Y16" s="181">
        <f ca="1">IFERROR(__xludf.DUMMYFUNCTION("IMPORTRANGE(""https://docs.google.com/spreadsheets/d/1Jgv0Y7YlHDtsiDawwp-uvifEJ8HVaSn0k2aGHG8-hwM/edit?usp=sharing"",""เชียงใหม่!I485"")"),117)</f>
        <v>117</v>
      </c>
      <c r="Z16" s="181">
        <f ca="1">IFERROR(__xludf.DUMMYFUNCTION("IMPORTRANGE(""https://docs.google.com/spreadsheets/d/1Jgv0Y7YlHDtsiDawwp-uvifEJ8HVaSn0k2aGHG8-hwM/edit?usp=sharing"",""เชียงใหม่!J485"")"),117)</f>
        <v>117</v>
      </c>
      <c r="AA16" s="186">
        <f t="shared" ca="1" si="33"/>
        <v>100</v>
      </c>
      <c r="AB16" s="181">
        <f ca="1">IFERROR(__xludf.DUMMYFUNCTION("IMPORTRANGE(""https://docs.google.com/spreadsheets/d/1Jgv0Y7YlHDtsiDawwp-uvifEJ8HVaSn0k2aGHG8-hwM/edit?usp=sharing"",""เชียงใหม่!I487"")"),130)</f>
        <v>130</v>
      </c>
      <c r="AC16" s="181">
        <f ca="1">IFERROR(__xludf.DUMMYFUNCTION("IMPORTRANGE(""https://docs.google.com/spreadsheets/d/1Jgv0Y7YlHDtsiDawwp-uvifEJ8HVaSn0k2aGHG8-hwM/edit?usp=sharing"",""เชียงใหม่!J487"")"),130)</f>
        <v>130</v>
      </c>
      <c r="AD16" s="186">
        <f t="shared" ca="1" si="34"/>
        <v>100</v>
      </c>
      <c r="AE16" s="181">
        <f ca="1">IFERROR(__xludf.DUMMYFUNCTION("IMPORTRANGE(""https://docs.google.com/spreadsheets/d/1Jgv0Y7YlHDtsiDawwp-uvifEJ8HVaSn0k2aGHG8-hwM/edit?usp=sharing"",""เชียงใหม่!J488"")"),25)</f>
        <v>25</v>
      </c>
      <c r="AF16" s="181">
        <f ca="1">IFERROR(__xludf.DUMMYFUNCTION("IMPORTRANGE(""https://docs.google.com/spreadsheets/d/1Jgv0Y7YlHDtsiDawwp-uvifEJ8HVaSn0k2aGHG8-hwM/edit?usp=sharing"",""เชียงใหม่!I489"")"),13)</f>
        <v>13</v>
      </c>
      <c r="AG16" s="181">
        <f ca="1">IFERROR(__xludf.DUMMYFUNCTION("IMPORTRANGE(""https://docs.google.com/spreadsheets/d/1Jgv0Y7YlHDtsiDawwp-uvifEJ8HVaSn0k2aGHG8-hwM/edit?usp=sharing"",""เชียงใหม่!J489"")"),13)</f>
        <v>13</v>
      </c>
      <c r="AH16" s="186">
        <f t="shared" ca="1" si="35"/>
        <v>100</v>
      </c>
      <c r="AI16" s="181">
        <f ca="1">IFERROR(__xludf.DUMMYFUNCTION("IMPORTRANGE(""https://docs.google.com/spreadsheets/d/1Jgv0Y7YlHDtsiDawwp-uvifEJ8HVaSn0k2aGHG8-hwM/edit?usp=sharing"",""เชียงใหม่!J491"")"),1)</f>
        <v>1</v>
      </c>
      <c r="AJ16" s="181">
        <f ca="1">IFERROR(__xludf.DUMMYFUNCTION("IMPORTRANGE(""https://docs.google.com/spreadsheets/d/1Jgv0Y7YlHDtsiDawwp-uvifEJ8HVaSn0k2aGHG8-hwM/edit?usp=sharing"",""เชียงใหม่!I492"")"),1)</f>
        <v>1</v>
      </c>
      <c r="AK16" s="181">
        <f ca="1">IFERROR(__xludf.DUMMYFUNCTION("IMPORTRANGE(""https://docs.google.com/spreadsheets/d/1Jgv0Y7YlHDtsiDawwp-uvifEJ8HVaSn0k2aGHG8-hwM/edit?usp=sharing"",""เชียงใหม่!J492"")"),1)</f>
        <v>1</v>
      </c>
      <c r="AL16" s="186">
        <f t="shared" ca="1" si="36"/>
        <v>100</v>
      </c>
      <c r="AM16" s="181">
        <f ca="1">IFERROR(__xludf.DUMMYFUNCTION("IMPORTRANGE(""https://docs.google.com/spreadsheets/d/1Jgv0Y7YlHDtsiDawwp-uvifEJ8HVaSn0k2aGHG8-hwM/edit?usp=sharing"",""เชียงใหม่!I495"")"),1170)</f>
        <v>1170</v>
      </c>
      <c r="AN16" s="181">
        <f ca="1">IFERROR(__xludf.DUMMYFUNCTION("IMPORTRANGE(""https://docs.google.com/spreadsheets/d/1Jgv0Y7YlHDtsiDawwp-uvifEJ8HVaSn0k2aGHG8-hwM/edit?usp=sharing"",""เชียงใหม่!J495"")"),0)</f>
        <v>0</v>
      </c>
      <c r="AO16" s="186">
        <f t="shared" ca="1" si="37"/>
        <v>0</v>
      </c>
      <c r="AP16" s="181">
        <f ca="1">IFERROR(__xludf.DUMMYFUNCTION("IMPORTRANGE(""https://docs.google.com/spreadsheets/d/1Jgv0Y7YlHDtsiDawwp-uvifEJ8HVaSn0k2aGHG8-hwM/edit?usp=sharing"",""เชียงใหม่!J496"")"),0)</f>
        <v>0</v>
      </c>
      <c r="AQ16" s="181">
        <f ca="1">IFERROR(__xludf.DUMMYFUNCTION("IMPORTRANGE(""https://docs.google.com/spreadsheets/d/1Jgv0Y7YlHDtsiDawwp-uvifEJ8HVaSn0k2aGHG8-hwM/edit?usp=sharing"",""เชียงใหม่!I498"")"),130)</f>
        <v>130</v>
      </c>
      <c r="AR16" s="181">
        <f ca="1">IFERROR(__xludf.DUMMYFUNCTION("IMPORTRANGE(""https://docs.google.com/spreadsheets/d/1Jgv0Y7YlHDtsiDawwp-uvifEJ8HVaSn0k2aGHG8-hwM/edit?usp=sharing"",""เชียงใหม่!J498"")"),0)</f>
        <v>0</v>
      </c>
      <c r="AS16" s="186">
        <f t="shared" ca="1" si="38"/>
        <v>0</v>
      </c>
      <c r="AT16" s="181">
        <f ca="1">IFERROR(__xludf.DUMMYFUNCTION("IMPORTRANGE(""https://docs.google.com/spreadsheets/d/1Jgv0Y7YlHDtsiDawwp-uvifEJ8HVaSn0k2aGHG8-hwM/edit?usp=sharing"",""เชียงใหม่!J499"")"),0)</f>
        <v>0</v>
      </c>
    </row>
    <row r="17" spans="1:46" ht="24" customHeight="1" x14ac:dyDescent="0.3">
      <c r="A17" s="178">
        <v>4</v>
      </c>
      <c r="B17" s="179" t="s">
        <v>34</v>
      </c>
      <c r="C17" s="180">
        <f t="shared" ca="1" si="50"/>
        <v>410813</v>
      </c>
      <c r="D17" s="181">
        <f ca="1">IFERROR(__xludf.DUMMYFUNCTION("IMPORTRANGE(""https://docs.google.com/spreadsheets/d/1JWG2rZePOz9pe-f-ObA-yDr0VoOX2kSb0qIix2mTUo8/edit?usp=sharing"",""ตาก!L472"")"),410813)</f>
        <v>410813</v>
      </c>
      <c r="E17" s="187">
        <f ca="1">IFERROR(__xludf.DUMMYFUNCTION("IMPORTRANGE(""https://docs.google.com/spreadsheets/d/1JWG2rZePOz9pe-f-ObA-yDr0VoOX2kSb0qIix2mTUo8/edit?usp=sharing"",""ตาก!L479"")"),0)</f>
        <v>0</v>
      </c>
      <c r="F17" s="182">
        <f t="shared" ca="1" si="1"/>
        <v>29665</v>
      </c>
      <c r="G17" s="183">
        <f t="shared" ca="1" si="2"/>
        <v>7.221047045736138</v>
      </c>
      <c r="H17" s="184">
        <f t="shared" ca="1" si="51"/>
        <v>29665</v>
      </c>
      <c r="I17" s="187">
        <f ca="1">IFERROR(__xludf.DUMMYFUNCTION("IMPORTRANGE(""https://docs.google.com/spreadsheets/d/1JWG2rZePOz9pe-f-ObA-yDr0VoOX2kSb0qIix2mTUo8/edit?usp=sharing"",""ตาก!N473"")"),17750)</f>
        <v>17750</v>
      </c>
      <c r="J17" s="187">
        <f ca="1">IFERROR(__xludf.DUMMYFUNCTION("IMPORTRANGE(""https://docs.google.com/spreadsheets/d/1JWG2rZePOz9pe-f-ObA-yDr0VoOX2kSb0qIix2mTUo8/edit?usp=sharing"",""ตาก!N474"")"),0)</f>
        <v>0</v>
      </c>
      <c r="K17" s="187">
        <f ca="1">IFERROR(__xludf.DUMMYFUNCTION("IMPORTRANGE(""https://docs.google.com/spreadsheets/d/1JWG2rZePOz9pe-f-ObA-yDr0VoOX2kSb0qIix2mTUo8/edit?usp=sharing"",""ตาก!N475"")"),0)</f>
        <v>0</v>
      </c>
      <c r="L17" s="187">
        <f ca="1">IFERROR(__xludf.DUMMYFUNCTION("IMPORTRANGE(""https://docs.google.com/spreadsheets/d/1JWG2rZePOz9pe-f-ObA-yDr0VoOX2kSb0qIix2mTUo8/edit?usp=sharing"",""ตาก!N476"")"),11915)</f>
        <v>11915</v>
      </c>
      <c r="M17" s="185">
        <f ca="1">IFERROR(__xludf.DUMMYFUNCTION("IMPORTRANGE(""https://docs.google.com/spreadsheets/d/1JWG2rZePOz9pe-f-ObA-yDr0VoOX2kSb0qIix2mTUo8/edit?usp=sharing"",""ตาก!N479"")"),0)</f>
        <v>0</v>
      </c>
      <c r="N17" s="185">
        <f t="shared" ca="1" si="41"/>
        <v>0</v>
      </c>
      <c r="O17" s="181">
        <f ca="1">IFERROR(__xludf.DUMMYFUNCTION("IMPORTRANGE(""https://docs.google.com/spreadsheets/d/1JWG2rZePOz9pe-f-ObA-yDr0VoOX2kSb0qIix2mTUo8/edit?usp=sharing"",""ตาก!I465"")"),51)</f>
        <v>51</v>
      </c>
      <c r="P17" s="181">
        <f ca="1">IFERROR(__xludf.DUMMYFUNCTION("IMPORTRANGE(""https://docs.google.com/spreadsheets/d/1JWG2rZePOz9pe-f-ObA-yDr0VoOX2kSb0qIix2mTUo8/edit?usp=sharing"",""ตาก!I466"")"),500)</f>
        <v>500</v>
      </c>
      <c r="Q17" s="181">
        <f ca="1">IFERROR(__xludf.DUMMYFUNCTION("IMPORTRANGE(""https://docs.google.com/spreadsheets/d/1JWG2rZePOz9pe-f-ObA-yDr0VoOX2kSb0qIix2mTUo8/edit?usp=sharing"",""ตาก!J465"")"),0)</f>
        <v>0</v>
      </c>
      <c r="R17" s="186">
        <f t="shared" ca="1" si="6"/>
        <v>0</v>
      </c>
      <c r="S17" s="181">
        <f ca="1">IFERROR(__xludf.DUMMYFUNCTION("IMPORTRANGE(""https://docs.google.com/spreadsheets/d/1JWG2rZePOz9pe-f-ObA-yDr0VoOX2kSb0qIix2mTUo8/edit?usp=sharing"",""ตาก!J466"")"),0)</f>
        <v>0</v>
      </c>
      <c r="T17" s="186">
        <f t="shared" ca="1" si="7"/>
        <v>0</v>
      </c>
      <c r="U17" s="181">
        <f ca="1">IFERROR(__xludf.DUMMYFUNCTION("IMPORTRANGE(""https://docs.google.com/spreadsheets/d/1JWG2rZePOz9pe-f-ObA-yDr0VoOX2kSb0qIix2mTUo8/edit?usp=sharing"",""ตาก!I483"")"),450)</f>
        <v>450</v>
      </c>
      <c r="V17" s="181">
        <f ca="1">IFERROR(__xludf.DUMMYFUNCTION("IMPORTRANGE(""https://docs.google.com/spreadsheets/d/1JWG2rZePOz9pe-f-ObA-yDr0VoOX2kSb0qIix2mTUo8/edit?usp=sharing"",""ตาก!J483"")"),0)</f>
        <v>0</v>
      </c>
      <c r="W17" s="186">
        <f t="shared" ca="1" si="32"/>
        <v>0</v>
      </c>
      <c r="X17" s="181">
        <f ca="1">IFERROR(__xludf.DUMMYFUNCTION("IMPORTRANGE(""https://docs.google.com/spreadsheets/d/1JWG2rZePOz9pe-f-ObA-yDr0VoOX2kSb0qIix2mTUo8/edit?usp=sharing"",""ตาก!J484"")"),0)</f>
        <v>0</v>
      </c>
      <c r="Y17" s="181">
        <f ca="1">IFERROR(__xludf.DUMMYFUNCTION("IMPORTRANGE(""https://docs.google.com/spreadsheets/d/1JWG2rZePOz9pe-f-ObA-yDr0VoOX2kSb0qIix2mTUo8/edit?usp=sharing"",""ตาก!I485"")"),45)</f>
        <v>45</v>
      </c>
      <c r="Z17" s="181">
        <f ca="1">IFERROR(__xludf.DUMMYFUNCTION("IMPORTRANGE(""https://docs.google.com/spreadsheets/d/1JWG2rZePOz9pe-f-ObA-yDr0VoOX2kSb0qIix2mTUo8/edit?usp=sharing"",""ตาก!J485"")"),0)</f>
        <v>0</v>
      </c>
      <c r="AA17" s="186">
        <f t="shared" ca="1" si="33"/>
        <v>0</v>
      </c>
      <c r="AB17" s="181">
        <f ca="1">IFERROR(__xludf.DUMMYFUNCTION("IMPORTRANGE(""https://docs.google.com/spreadsheets/d/1JWG2rZePOz9pe-f-ObA-yDr0VoOX2kSb0qIix2mTUo8/edit?usp=sharing"",""ตาก!I487"")"),50)</f>
        <v>50</v>
      </c>
      <c r="AC17" s="181">
        <f ca="1">IFERROR(__xludf.DUMMYFUNCTION("IMPORTRANGE(""https://docs.google.com/spreadsheets/d/1JWG2rZePOz9pe-f-ObA-yDr0VoOX2kSb0qIix2mTUo8/edit?usp=sharing"",""ตาก!J487"")"),0)</f>
        <v>0</v>
      </c>
      <c r="AD17" s="186">
        <f t="shared" ca="1" si="34"/>
        <v>0</v>
      </c>
      <c r="AE17" s="181">
        <f ca="1">IFERROR(__xludf.DUMMYFUNCTION("IMPORTRANGE(""https://docs.google.com/spreadsheets/d/1JWG2rZePOz9pe-f-ObA-yDr0VoOX2kSb0qIix2mTUo8/edit?usp=sharing"",""ตาก!J488"")"),0)</f>
        <v>0</v>
      </c>
      <c r="AF17" s="181">
        <f ca="1">IFERROR(__xludf.DUMMYFUNCTION("IMPORTRANGE(""https://docs.google.com/spreadsheets/d/1JWG2rZePOz9pe-f-ObA-yDr0VoOX2kSb0qIix2mTUo8/edit?usp=sharing"",""ตาก!I489"")"),5)</f>
        <v>5</v>
      </c>
      <c r="AG17" s="181">
        <f ca="1">IFERROR(__xludf.DUMMYFUNCTION("IMPORTRANGE(""https://docs.google.com/spreadsheets/d/1JWG2rZePOz9pe-f-ObA-yDr0VoOX2kSb0qIix2mTUo8/edit?usp=sharing"",""ตาก!J489"")"),0)</f>
        <v>0</v>
      </c>
      <c r="AH17" s="186">
        <f t="shared" ca="1" si="35"/>
        <v>0</v>
      </c>
      <c r="AI17" s="181">
        <f ca="1">IFERROR(__xludf.DUMMYFUNCTION("IMPORTRANGE(""https://docs.google.com/spreadsheets/d/1JWG2rZePOz9pe-f-ObA-yDr0VoOX2kSb0qIix2mTUo8/edit?usp=sharing"",""ตาก!J491"")"),0)</f>
        <v>0</v>
      </c>
      <c r="AJ17" s="181">
        <f ca="1">IFERROR(__xludf.DUMMYFUNCTION("IMPORTRANGE(""https://docs.google.com/spreadsheets/d/1JWG2rZePOz9pe-f-ObA-yDr0VoOX2kSb0qIix2mTUo8/edit?usp=sharing"",""ตาก!I492"")"),1)</f>
        <v>1</v>
      </c>
      <c r="AK17" s="181">
        <f ca="1">IFERROR(__xludf.DUMMYFUNCTION("IMPORTRANGE(""https://docs.google.com/spreadsheets/d/1JWG2rZePOz9pe-f-ObA-yDr0VoOX2kSb0qIix2mTUo8/edit?usp=sharing"",""ตาก!J492"")"),0)</f>
        <v>0</v>
      </c>
      <c r="AL17" s="186">
        <f t="shared" ca="1" si="36"/>
        <v>0</v>
      </c>
      <c r="AM17" s="181">
        <f ca="1">IFERROR(__xludf.DUMMYFUNCTION("IMPORTRANGE(""https://docs.google.com/spreadsheets/d/1JWG2rZePOz9pe-f-ObA-yDr0VoOX2kSb0qIix2mTUo8/edit?usp=sharing"",""ตาก!I495"")"),450)</f>
        <v>450</v>
      </c>
      <c r="AN17" s="181">
        <f ca="1">IFERROR(__xludf.DUMMYFUNCTION("IMPORTRANGE(""https://docs.google.com/spreadsheets/d/1JWG2rZePOz9pe-f-ObA-yDr0VoOX2kSb0qIix2mTUo8/edit?usp=sharing"",""ตาก!J495"")"),0)</f>
        <v>0</v>
      </c>
      <c r="AO17" s="186">
        <f t="shared" ca="1" si="37"/>
        <v>0</v>
      </c>
      <c r="AP17" s="181">
        <f ca="1">IFERROR(__xludf.DUMMYFUNCTION("IMPORTRANGE(""https://docs.google.com/spreadsheets/d/1JWG2rZePOz9pe-f-ObA-yDr0VoOX2kSb0qIix2mTUo8/edit?usp=sharing"",""ตาก!J496"")"),0)</f>
        <v>0</v>
      </c>
      <c r="AQ17" s="181">
        <f ca="1">IFERROR(__xludf.DUMMYFUNCTION("IMPORTRANGE(""https://docs.google.com/spreadsheets/d/1JWG2rZePOz9pe-f-ObA-yDr0VoOX2kSb0qIix2mTUo8/edit?usp=sharing"",""ตาก!I498"")"),50)</f>
        <v>50</v>
      </c>
      <c r="AR17" s="181">
        <f ca="1">IFERROR(__xludf.DUMMYFUNCTION("IMPORTRANGE(""https://docs.google.com/spreadsheets/d/1JWG2rZePOz9pe-f-ObA-yDr0VoOX2kSb0qIix2mTUo8/edit?usp=sharing"",""ตาก!J498"")"),0)</f>
        <v>0</v>
      </c>
      <c r="AS17" s="186">
        <f t="shared" ca="1" si="38"/>
        <v>0</v>
      </c>
      <c r="AT17" s="181">
        <f ca="1">IFERROR(__xludf.DUMMYFUNCTION("IMPORTRANGE(""https://docs.google.com/spreadsheets/d/1JWG2rZePOz9pe-f-ObA-yDr0VoOX2kSb0qIix2mTUo8/edit?usp=sharing"",""ตาก!J499"")"),0)</f>
        <v>0</v>
      </c>
    </row>
    <row r="18" spans="1:46" ht="24" customHeight="1" x14ac:dyDescent="0.3">
      <c r="A18" s="178">
        <v>5</v>
      </c>
      <c r="B18" s="179" t="s">
        <v>35</v>
      </c>
      <c r="C18" s="180">
        <f t="shared" ca="1" si="50"/>
        <v>1167118</v>
      </c>
      <c r="D18" s="181">
        <f ca="1">IFERROR(__xludf.DUMMYFUNCTION("IMPORTRANGE(""https://docs.google.com/spreadsheets/d/10nSRjK08hx8Y6HgSOQKNw81lyY46Zc7U_Cj72hBMp9U/edit?usp=sharing"",""นครสวรรค์!L472"")"),1167118)</f>
        <v>1167118</v>
      </c>
      <c r="E18" s="187">
        <f ca="1">IFERROR(__xludf.DUMMYFUNCTION("IMPORTRANGE(""https://docs.google.com/spreadsheets/d/10nSRjK08hx8Y6HgSOQKNw81lyY46Zc7U_Cj72hBMp9U/edit?usp=sharing"",""นครสวรรค์!L479"")"),0)</f>
        <v>0</v>
      </c>
      <c r="F18" s="182">
        <f t="shared" ca="1" si="1"/>
        <v>125329</v>
      </c>
      <c r="G18" s="183">
        <f t="shared" ca="1" si="2"/>
        <v>10.73833151403714</v>
      </c>
      <c r="H18" s="184">
        <f t="shared" ca="1" si="51"/>
        <v>125329</v>
      </c>
      <c r="I18" s="187">
        <f ca="1">IFERROR(__xludf.DUMMYFUNCTION("IMPORTRANGE(""https://docs.google.com/spreadsheets/d/10nSRjK08hx8Y6HgSOQKNw81lyY46Zc7U_Cj72hBMp9U/edit?usp=sharing"",""นครสวรรค์!N473"")"),77350)</f>
        <v>77350</v>
      </c>
      <c r="J18" s="187">
        <f ca="1">IFERROR(__xludf.DUMMYFUNCTION("IMPORTRANGE(""https://docs.google.com/spreadsheets/d/10nSRjK08hx8Y6HgSOQKNw81lyY46Zc7U_Cj72hBMp9U/edit?usp=sharing"",""นครสวรรค์!N474"")"),0)</f>
        <v>0</v>
      </c>
      <c r="K18" s="187">
        <f ca="1">IFERROR(__xludf.DUMMYFUNCTION("IMPORTRANGE(""https://docs.google.com/spreadsheets/d/10nSRjK08hx8Y6HgSOQKNw81lyY46Zc7U_Cj72hBMp9U/edit?usp=sharing"",""นครสวรรค์!N475"")"),34659)</f>
        <v>34659</v>
      </c>
      <c r="L18" s="187">
        <f ca="1">IFERROR(__xludf.DUMMYFUNCTION("IMPORTRANGE(""https://docs.google.com/spreadsheets/d/10nSRjK08hx8Y6HgSOQKNw81lyY46Zc7U_Cj72hBMp9U/edit?usp=sharing"",""นครสวรรค์!N476"")"),13320)</f>
        <v>13320</v>
      </c>
      <c r="M18" s="185">
        <f ca="1">IFERROR(__xludf.DUMMYFUNCTION("IMPORTRANGE(""https://docs.google.com/spreadsheets/d/10nSRjK08hx8Y6HgSOQKNw81lyY46Zc7U_Cj72hBMp9U/edit?usp=sharing"",""นครสวรรค์!N479"")"),0)</f>
        <v>0</v>
      </c>
      <c r="N18" s="185">
        <f t="shared" ca="1" si="41"/>
        <v>0</v>
      </c>
      <c r="O18" s="181">
        <f ca="1">IFERROR(__xludf.DUMMYFUNCTION("IMPORTRANGE(""https://docs.google.com/spreadsheets/d/10nSRjK08hx8Y6HgSOQKNw81lyY46Zc7U_Cj72hBMp9U/edit?usp=sharing"",""นครสวรรค์!I465"")"),131)</f>
        <v>131</v>
      </c>
      <c r="P18" s="181">
        <f ca="1">IFERROR(__xludf.DUMMYFUNCTION("IMPORTRANGE(""https://docs.google.com/spreadsheets/d/10nSRjK08hx8Y6HgSOQKNw81lyY46Zc7U_Cj72hBMp9U/edit?usp=sharing"",""นครสวรรค์!I466"")"),1300)</f>
        <v>1300</v>
      </c>
      <c r="Q18" s="181">
        <f ca="1">IFERROR(__xludf.DUMMYFUNCTION("IMPORTRANGE(""https://docs.google.com/spreadsheets/d/10nSRjK08hx8Y6HgSOQKNw81lyY46Zc7U_Cj72hBMp9U/edit?usp=sharing"",""นครสวรรค์!J465"")"),131)</f>
        <v>131</v>
      </c>
      <c r="R18" s="186">
        <f t="shared" ca="1" si="6"/>
        <v>100</v>
      </c>
      <c r="S18" s="181">
        <f ca="1">IFERROR(__xludf.DUMMYFUNCTION("IMPORTRANGE(""https://docs.google.com/spreadsheets/d/10nSRjK08hx8Y6HgSOQKNw81lyY46Zc7U_Cj72hBMp9U/edit?usp=sharing"",""นครสวรรค์!J466"")"),0)</f>
        <v>0</v>
      </c>
      <c r="T18" s="186">
        <f t="shared" ca="1" si="7"/>
        <v>0</v>
      </c>
      <c r="U18" s="181">
        <f ca="1">IFERROR(__xludf.DUMMYFUNCTION("IMPORTRANGE(""https://docs.google.com/spreadsheets/d/10nSRjK08hx8Y6HgSOQKNw81lyY46Zc7U_Cj72hBMp9U/edit?usp=sharing"",""นครสวรรค์!I483"")"),1170)</f>
        <v>1170</v>
      </c>
      <c r="V18" s="181">
        <f ca="1">IFERROR(__xludf.DUMMYFUNCTION("IMPORTRANGE(""https://docs.google.com/spreadsheets/d/10nSRjK08hx8Y6HgSOQKNw81lyY46Zc7U_Cj72hBMp9U/edit?usp=sharing"",""นครสวรรค์!J483"")"),0)</f>
        <v>0</v>
      </c>
      <c r="W18" s="186">
        <f t="shared" ca="1" si="32"/>
        <v>0</v>
      </c>
      <c r="X18" s="181">
        <f ca="1">IFERROR(__xludf.DUMMYFUNCTION("IMPORTRANGE(""https://docs.google.com/spreadsheets/d/10nSRjK08hx8Y6HgSOQKNw81lyY46Zc7U_Cj72hBMp9U/edit?usp=sharing"",""นครสวรรค์!J484"")"),0)</f>
        <v>0</v>
      </c>
      <c r="Y18" s="181">
        <f ca="1">IFERROR(__xludf.DUMMYFUNCTION("IMPORTRANGE(""https://docs.google.com/spreadsheets/d/10nSRjK08hx8Y6HgSOQKNw81lyY46Zc7U_Cj72hBMp9U/edit?usp=sharing"",""นครสวรรค์!I485"")"),117)</f>
        <v>117</v>
      </c>
      <c r="Z18" s="181">
        <f ca="1">IFERROR(__xludf.DUMMYFUNCTION("IMPORTRANGE(""https://docs.google.com/spreadsheets/d/10nSRjK08hx8Y6HgSOQKNw81lyY46Zc7U_Cj72hBMp9U/edit?usp=sharing"",""นครสวรรค์!J485"")"),117)</f>
        <v>117</v>
      </c>
      <c r="AA18" s="186">
        <f t="shared" ca="1" si="33"/>
        <v>100</v>
      </c>
      <c r="AB18" s="181">
        <f ca="1">IFERROR(__xludf.DUMMYFUNCTION("IMPORTRANGE(""https://docs.google.com/spreadsheets/d/10nSRjK08hx8Y6HgSOQKNw81lyY46Zc7U_Cj72hBMp9U/edit?usp=sharing"",""นครสวรรค์!I487"")"),130)</f>
        <v>130</v>
      </c>
      <c r="AC18" s="181">
        <f ca="1">IFERROR(__xludf.DUMMYFUNCTION("IMPORTRANGE(""https://docs.google.com/spreadsheets/d/10nSRjK08hx8Y6HgSOQKNw81lyY46Zc7U_Cj72hBMp9U/edit?usp=sharing"",""นครสวรรค์!J487"")"),0)</f>
        <v>0</v>
      </c>
      <c r="AD18" s="186">
        <f t="shared" ca="1" si="34"/>
        <v>0</v>
      </c>
      <c r="AE18" s="181">
        <f ca="1">IFERROR(__xludf.DUMMYFUNCTION("IMPORTRANGE(""https://docs.google.com/spreadsheets/d/10nSRjK08hx8Y6HgSOQKNw81lyY46Zc7U_Cj72hBMp9U/edit?usp=sharing"",""นครสวรรค์!J488"")"),0)</f>
        <v>0</v>
      </c>
      <c r="AF18" s="181">
        <f ca="1">IFERROR(__xludf.DUMMYFUNCTION("IMPORTRANGE(""https://docs.google.com/spreadsheets/d/10nSRjK08hx8Y6HgSOQKNw81lyY46Zc7U_Cj72hBMp9U/edit?usp=sharing"",""นครสวรรค์!I489"")"),13)</f>
        <v>13</v>
      </c>
      <c r="AG18" s="181">
        <f ca="1">IFERROR(__xludf.DUMMYFUNCTION("IMPORTRANGE(""https://docs.google.com/spreadsheets/d/10nSRjK08hx8Y6HgSOQKNw81lyY46Zc7U_Cj72hBMp9U/edit?usp=sharing"",""นครสวรรค์!J489"")"),13)</f>
        <v>13</v>
      </c>
      <c r="AH18" s="186">
        <f t="shared" ca="1" si="35"/>
        <v>100</v>
      </c>
      <c r="AI18" s="181">
        <f ca="1">IFERROR(__xludf.DUMMYFUNCTION("IMPORTRANGE(""https://docs.google.com/spreadsheets/d/10nSRjK08hx8Y6HgSOQKNw81lyY46Zc7U_Cj72hBMp9U/edit?usp=sharing"",""นครสวรรค์!J491"")"),0)</f>
        <v>0</v>
      </c>
      <c r="AJ18" s="181">
        <f ca="1">IFERROR(__xludf.DUMMYFUNCTION("IMPORTRANGE(""https://docs.google.com/spreadsheets/d/10nSRjK08hx8Y6HgSOQKNw81lyY46Zc7U_Cj72hBMp9U/edit?usp=sharing"",""นครสวรรค์!I492"")"),1)</f>
        <v>1</v>
      </c>
      <c r="AK18" s="181">
        <f ca="1">IFERROR(__xludf.DUMMYFUNCTION("IMPORTRANGE(""https://docs.google.com/spreadsheets/d/10nSRjK08hx8Y6HgSOQKNw81lyY46Zc7U_Cj72hBMp9U/edit?usp=sharing"",""นครสวรรค์!J492"")"),1)</f>
        <v>1</v>
      </c>
      <c r="AL18" s="186">
        <f t="shared" ca="1" si="36"/>
        <v>100</v>
      </c>
      <c r="AM18" s="181">
        <f ca="1">IFERROR(__xludf.DUMMYFUNCTION("IMPORTRANGE(""https://docs.google.com/spreadsheets/d/10nSRjK08hx8Y6HgSOQKNw81lyY46Zc7U_Cj72hBMp9U/edit?usp=sharing"",""นครสวรรค์!I495"")"),1170)</f>
        <v>1170</v>
      </c>
      <c r="AN18" s="181">
        <f ca="1">IFERROR(__xludf.DUMMYFUNCTION("IMPORTRANGE(""https://docs.google.com/spreadsheets/d/10nSRjK08hx8Y6HgSOQKNw81lyY46Zc7U_Cj72hBMp9U/edit?usp=sharing"",""นครสวรรค์!J495"")"),0)</f>
        <v>0</v>
      </c>
      <c r="AO18" s="186">
        <f t="shared" ca="1" si="37"/>
        <v>0</v>
      </c>
      <c r="AP18" s="181">
        <f ca="1">IFERROR(__xludf.DUMMYFUNCTION("IMPORTRANGE(""https://docs.google.com/spreadsheets/d/10nSRjK08hx8Y6HgSOQKNw81lyY46Zc7U_Cj72hBMp9U/edit?usp=sharing"",""นครสวรรค์!J496"")"),0)</f>
        <v>0</v>
      </c>
      <c r="AQ18" s="181">
        <f ca="1">IFERROR(__xludf.DUMMYFUNCTION("IMPORTRANGE(""https://docs.google.com/spreadsheets/d/10nSRjK08hx8Y6HgSOQKNw81lyY46Zc7U_Cj72hBMp9U/edit?usp=sharing"",""นครสวรรค์!I498"")"),130)</f>
        <v>130</v>
      </c>
      <c r="AR18" s="181">
        <f ca="1">IFERROR(__xludf.DUMMYFUNCTION("IMPORTRANGE(""https://docs.google.com/spreadsheets/d/10nSRjK08hx8Y6HgSOQKNw81lyY46Zc7U_Cj72hBMp9U/edit?usp=sharing"",""นครสวรรค์!J498"")"),0)</f>
        <v>0</v>
      </c>
      <c r="AS18" s="186">
        <f t="shared" ca="1" si="38"/>
        <v>0</v>
      </c>
      <c r="AT18" s="181">
        <f ca="1">IFERROR(__xludf.DUMMYFUNCTION("IMPORTRANGE(""https://docs.google.com/spreadsheets/d/10nSRjK08hx8Y6HgSOQKNw81lyY46Zc7U_Cj72hBMp9U/edit?usp=sharing"",""นครสวรรค์!J499"")"),0)</f>
        <v>0</v>
      </c>
    </row>
    <row r="19" spans="1:46" ht="24" customHeight="1" x14ac:dyDescent="0.3">
      <c r="A19" s="178">
        <v>6</v>
      </c>
      <c r="B19" s="179" t="s">
        <v>36</v>
      </c>
      <c r="C19" s="180">
        <f t="shared" ca="1" si="50"/>
        <v>491293</v>
      </c>
      <c r="D19" s="181">
        <f ca="1">IFERROR(__xludf.DUMMYFUNCTION("IMPORTRANGE(""https://docs.google.com/spreadsheets/d/1gFVb7qd7amutrIxAAoM7lcy35hllxznovot8lyOfvDo/edit?usp=sharing"",""น่าน!L472"")"),491293)</f>
        <v>491293</v>
      </c>
      <c r="E19" s="187">
        <f ca="1">IFERROR(__xludf.DUMMYFUNCTION("IMPORTRANGE(""https://docs.google.com/spreadsheets/d/1gFVb7qd7amutrIxAAoM7lcy35hllxznovot8lyOfvDo/edit?usp=sharing"",""น่าน!L479"")"),0)</f>
        <v>0</v>
      </c>
      <c r="F19" s="182">
        <f t="shared" ca="1" si="1"/>
        <v>79010</v>
      </c>
      <c r="G19" s="183">
        <f t="shared" ca="1" si="2"/>
        <v>16.082052868654753</v>
      </c>
      <c r="H19" s="184">
        <f t="shared" ca="1" si="51"/>
        <v>79010</v>
      </c>
      <c r="I19" s="187">
        <f ca="1">IFERROR(__xludf.DUMMYFUNCTION("IMPORTRANGE(""https://docs.google.com/spreadsheets/d/1gFVb7qd7amutrIxAAoM7lcy35hllxznovot8lyOfvDo/edit?usp=sharing"",""น่าน!N473"")"),71830)</f>
        <v>71830</v>
      </c>
      <c r="J19" s="187">
        <f ca="1">IFERROR(__xludf.DUMMYFUNCTION("IMPORTRANGE(""https://docs.google.com/spreadsheets/d/1gFVb7qd7amutrIxAAoM7lcy35hllxznovot8lyOfvDo/edit?usp=sharing"",""น่าน!N474"")"),0)</f>
        <v>0</v>
      </c>
      <c r="K19" s="187">
        <f ca="1">IFERROR(__xludf.DUMMYFUNCTION("IMPORTRANGE(""https://docs.google.com/spreadsheets/d/1gFVb7qd7amutrIxAAoM7lcy35hllxznovot8lyOfvDo/edit?usp=sharing"",""น่าน!N475"")"),0)</f>
        <v>0</v>
      </c>
      <c r="L19" s="187">
        <f ca="1">IFERROR(__xludf.DUMMYFUNCTION("IMPORTRANGE(""https://docs.google.com/spreadsheets/d/1gFVb7qd7amutrIxAAoM7lcy35hllxznovot8lyOfvDo/edit?usp=sharing"",""น่าน!N476"")"),7180)</f>
        <v>7180</v>
      </c>
      <c r="M19" s="185">
        <f ca="1">IFERROR(__xludf.DUMMYFUNCTION("IMPORTRANGE(""https://docs.google.com/spreadsheets/d/1gFVb7qd7amutrIxAAoM7lcy35hllxznovot8lyOfvDo/edit?usp=sharing"",""น่าน!N479"")"),0)</f>
        <v>0</v>
      </c>
      <c r="N19" s="185">
        <f t="shared" ca="1" si="41"/>
        <v>0</v>
      </c>
      <c r="O19" s="181">
        <f ca="1">IFERROR(__xludf.DUMMYFUNCTION("IMPORTRANGE(""https://docs.google.com/spreadsheets/d/1gFVb7qd7amutrIxAAoM7lcy35hllxznovot8lyOfvDo/edit?usp=sharing"",""น่าน!I465"")"),61)</f>
        <v>61</v>
      </c>
      <c r="P19" s="181">
        <f ca="1">IFERROR(__xludf.DUMMYFUNCTION("IMPORTRANGE(""https://docs.google.com/spreadsheets/d/1gFVb7qd7amutrIxAAoM7lcy35hllxznovot8lyOfvDo/edit?usp=sharing"",""น่าน!I466"")"),600)</f>
        <v>600</v>
      </c>
      <c r="Q19" s="181">
        <f ca="1">IFERROR(__xludf.DUMMYFUNCTION("IMPORTRANGE(""https://docs.google.com/spreadsheets/d/1gFVb7qd7amutrIxAAoM7lcy35hllxznovot8lyOfvDo/edit?usp=sharing"",""น่าน!J465"")"),61)</f>
        <v>61</v>
      </c>
      <c r="R19" s="186">
        <f t="shared" ca="1" si="6"/>
        <v>100</v>
      </c>
      <c r="S19" s="181">
        <f ca="1">IFERROR(__xludf.DUMMYFUNCTION("IMPORTRANGE(""https://docs.google.com/spreadsheets/d/1gFVb7qd7amutrIxAAoM7lcy35hllxznovot8lyOfvDo/edit?usp=sharing"",""น่าน!J466"")"),0)</f>
        <v>0</v>
      </c>
      <c r="T19" s="186">
        <f t="shared" ca="1" si="7"/>
        <v>0</v>
      </c>
      <c r="U19" s="181">
        <f ca="1">IFERROR(__xludf.DUMMYFUNCTION("IMPORTRANGE(""https://docs.google.com/spreadsheets/d/1gFVb7qd7amutrIxAAoM7lcy35hllxznovot8lyOfvDo/edit?usp=sharing"",""น่าน!I483"")"),540)</f>
        <v>540</v>
      </c>
      <c r="V19" s="181">
        <f ca="1">IFERROR(__xludf.DUMMYFUNCTION("IMPORTRANGE(""https://docs.google.com/spreadsheets/d/1gFVb7qd7amutrIxAAoM7lcy35hllxznovot8lyOfvDo/edit?usp=sharing"",""น่าน!J483"")"),540)</f>
        <v>540</v>
      </c>
      <c r="W19" s="186">
        <f t="shared" ca="1" si="32"/>
        <v>100</v>
      </c>
      <c r="X19" s="181">
        <f ca="1">IFERROR(__xludf.DUMMYFUNCTION("IMPORTRANGE(""https://docs.google.com/spreadsheets/d/1gFVb7qd7amutrIxAAoM7lcy35hllxznovot8lyOfvDo/edit?usp=sharing"",""น่าน!J484"")"),54)</f>
        <v>54</v>
      </c>
      <c r="Y19" s="181">
        <f ca="1">IFERROR(__xludf.DUMMYFUNCTION("IMPORTRANGE(""https://docs.google.com/spreadsheets/d/1gFVb7qd7amutrIxAAoM7lcy35hllxznovot8lyOfvDo/edit?usp=sharing"",""น่าน!I485"")"),54)</f>
        <v>54</v>
      </c>
      <c r="Z19" s="181">
        <f ca="1">IFERROR(__xludf.DUMMYFUNCTION("IMPORTRANGE(""https://docs.google.com/spreadsheets/d/1gFVb7qd7amutrIxAAoM7lcy35hllxznovot8lyOfvDo/edit?usp=sharing"",""น่าน!J485"")"),54)</f>
        <v>54</v>
      </c>
      <c r="AA19" s="186">
        <f t="shared" ca="1" si="33"/>
        <v>100</v>
      </c>
      <c r="AB19" s="181">
        <f ca="1">IFERROR(__xludf.DUMMYFUNCTION("IMPORTRANGE(""https://docs.google.com/spreadsheets/d/1gFVb7qd7amutrIxAAoM7lcy35hllxznovot8lyOfvDo/edit?usp=sharing"",""น่าน!I487"")"),60)</f>
        <v>60</v>
      </c>
      <c r="AC19" s="181">
        <f ca="1">IFERROR(__xludf.DUMMYFUNCTION("IMPORTRANGE(""https://docs.google.com/spreadsheets/d/1gFVb7qd7amutrIxAAoM7lcy35hllxznovot8lyOfvDo/edit?usp=sharing"",""น่าน!J487"")"),60)</f>
        <v>60</v>
      </c>
      <c r="AD19" s="186">
        <f t="shared" ca="1" si="34"/>
        <v>100</v>
      </c>
      <c r="AE19" s="181">
        <f ca="1">IFERROR(__xludf.DUMMYFUNCTION("IMPORTRANGE(""https://docs.google.com/spreadsheets/d/1gFVb7qd7amutrIxAAoM7lcy35hllxznovot8lyOfvDo/edit?usp=sharing"",""น่าน!J488"")"),6)</f>
        <v>6</v>
      </c>
      <c r="AF19" s="181">
        <f ca="1">IFERROR(__xludf.DUMMYFUNCTION("IMPORTRANGE(""https://docs.google.com/spreadsheets/d/1gFVb7qd7amutrIxAAoM7lcy35hllxznovot8lyOfvDo/edit?usp=sharing"",""น่าน!I489"")"),6)</f>
        <v>6</v>
      </c>
      <c r="AG19" s="181">
        <f ca="1">IFERROR(__xludf.DUMMYFUNCTION("IMPORTRANGE(""https://docs.google.com/spreadsheets/d/1gFVb7qd7amutrIxAAoM7lcy35hllxznovot8lyOfvDo/edit?usp=sharing"",""น่าน!J489"")"),6)</f>
        <v>6</v>
      </c>
      <c r="AH19" s="186">
        <f t="shared" ca="1" si="35"/>
        <v>100</v>
      </c>
      <c r="AI19" s="181">
        <f ca="1">IFERROR(__xludf.DUMMYFUNCTION("IMPORTRANGE(""https://docs.google.com/spreadsheets/d/1gFVb7qd7amutrIxAAoM7lcy35hllxznovot8lyOfvDo/edit?usp=sharing"",""น่าน!J491"")"),1)</f>
        <v>1</v>
      </c>
      <c r="AJ19" s="181">
        <f ca="1">IFERROR(__xludf.DUMMYFUNCTION("IMPORTRANGE(""https://docs.google.com/spreadsheets/d/1gFVb7qd7amutrIxAAoM7lcy35hllxznovot8lyOfvDo/edit?usp=sharing"",""น่าน!I492"")"),1)</f>
        <v>1</v>
      </c>
      <c r="AK19" s="181">
        <f ca="1">IFERROR(__xludf.DUMMYFUNCTION("IMPORTRANGE(""https://docs.google.com/spreadsheets/d/1gFVb7qd7amutrIxAAoM7lcy35hllxznovot8lyOfvDo/edit?usp=sharing"",""น่าน!J492"")"),1)</f>
        <v>1</v>
      </c>
      <c r="AL19" s="186">
        <f t="shared" ca="1" si="36"/>
        <v>100</v>
      </c>
      <c r="AM19" s="181">
        <f ca="1">IFERROR(__xludf.DUMMYFUNCTION("IMPORTRANGE(""https://docs.google.com/spreadsheets/d/1gFVb7qd7amutrIxAAoM7lcy35hllxznovot8lyOfvDo/edit?usp=sharing"",""น่าน!I495"")"),540)</f>
        <v>540</v>
      </c>
      <c r="AN19" s="181">
        <f ca="1">IFERROR(__xludf.DUMMYFUNCTION("IMPORTRANGE(""https://docs.google.com/spreadsheets/d/1gFVb7qd7amutrIxAAoM7lcy35hllxznovot8lyOfvDo/edit?usp=sharing"",""น่าน!J495"")"),0)</f>
        <v>0</v>
      </c>
      <c r="AO19" s="186">
        <f t="shared" ca="1" si="37"/>
        <v>0</v>
      </c>
      <c r="AP19" s="181">
        <f ca="1">IFERROR(__xludf.DUMMYFUNCTION("IMPORTRANGE(""https://docs.google.com/spreadsheets/d/1gFVb7qd7amutrIxAAoM7lcy35hllxznovot8lyOfvDo/edit?usp=sharing"",""น่าน!J496"")"),0)</f>
        <v>0</v>
      </c>
      <c r="AQ19" s="181">
        <f ca="1">IFERROR(__xludf.DUMMYFUNCTION("IMPORTRANGE(""https://docs.google.com/spreadsheets/d/1gFVb7qd7amutrIxAAoM7lcy35hllxznovot8lyOfvDo/edit?usp=sharing"",""น่าน!I498"")"),60)</f>
        <v>60</v>
      </c>
      <c r="AR19" s="181">
        <f ca="1">IFERROR(__xludf.DUMMYFUNCTION("IMPORTRANGE(""https://docs.google.com/spreadsheets/d/1gFVb7qd7amutrIxAAoM7lcy35hllxznovot8lyOfvDo/edit?usp=sharing"",""น่าน!J498"")"),0)</f>
        <v>0</v>
      </c>
      <c r="AS19" s="186">
        <f t="shared" ca="1" si="38"/>
        <v>0</v>
      </c>
      <c r="AT19" s="181">
        <f ca="1">IFERROR(__xludf.DUMMYFUNCTION("IMPORTRANGE(""https://docs.google.com/spreadsheets/d/1gFVb7qd7amutrIxAAoM7lcy35hllxznovot8lyOfvDo/edit?usp=sharing"",""น่าน!J499"")"),0)</f>
        <v>0</v>
      </c>
    </row>
    <row r="20" spans="1:46" ht="24" customHeight="1" x14ac:dyDescent="0.3">
      <c r="A20" s="178">
        <v>7</v>
      </c>
      <c r="B20" s="179" t="s">
        <v>37</v>
      </c>
      <c r="C20" s="180">
        <f t="shared" ca="1" si="50"/>
        <v>260703</v>
      </c>
      <c r="D20" s="181">
        <f ca="1">IFERROR(__xludf.DUMMYFUNCTION("IMPORTRANGE(""https://docs.google.com/spreadsheets/d/1K0Aa9s-6EuHE5M0FG1F9aHLXRCOV917xvycTdLdct0w/edit?usp=sharing"",""พะเยา!L472"")"),260703)</f>
        <v>260703</v>
      </c>
      <c r="E20" s="187">
        <f ca="1">IFERROR(__xludf.DUMMYFUNCTION("IMPORTRANGE(""https://docs.google.com/spreadsheets/d/1K0Aa9s-6EuHE5M0FG1F9aHLXRCOV917xvycTdLdct0w/edit?usp=sharing"",""พะเยา!L479"")"),0)</f>
        <v>0</v>
      </c>
      <c r="F20" s="182">
        <f t="shared" ca="1" si="1"/>
        <v>27800</v>
      </c>
      <c r="G20" s="183">
        <f t="shared" ca="1" si="2"/>
        <v>10.663475295642934</v>
      </c>
      <c r="H20" s="184">
        <f t="shared" ca="1" si="51"/>
        <v>27800</v>
      </c>
      <c r="I20" s="187">
        <f ca="1">IFERROR(__xludf.DUMMYFUNCTION("IMPORTRANGE(""https://docs.google.com/spreadsheets/d/1K0Aa9s-6EuHE5M0FG1F9aHLXRCOV917xvycTdLdct0w/edit?usp=sharing"",""พะเยา!N473"")"),17830)</f>
        <v>17830</v>
      </c>
      <c r="J20" s="187">
        <f ca="1">IFERROR(__xludf.DUMMYFUNCTION("IMPORTRANGE(""https://docs.google.com/spreadsheets/d/1K0Aa9s-6EuHE5M0FG1F9aHLXRCOV917xvycTdLdct0w/edit?usp=sharing"",""พะเยา!N474"")"),0)</f>
        <v>0</v>
      </c>
      <c r="K20" s="187">
        <f ca="1">IFERROR(__xludf.DUMMYFUNCTION("IMPORTRANGE(""https://docs.google.com/spreadsheets/d/1K0Aa9s-6EuHE5M0FG1F9aHLXRCOV917xvycTdLdct0w/edit?usp=sharing"",""พะเยา!N475"")"),0)</f>
        <v>0</v>
      </c>
      <c r="L20" s="187">
        <f ca="1">IFERROR(__xludf.DUMMYFUNCTION("IMPORTRANGE(""https://docs.google.com/spreadsheets/d/1K0Aa9s-6EuHE5M0FG1F9aHLXRCOV917xvycTdLdct0w/edit?usp=sharing"",""พะเยา!N476"")"),9970)</f>
        <v>9970</v>
      </c>
      <c r="M20" s="185">
        <f ca="1">IFERROR(__xludf.DUMMYFUNCTION("IMPORTRANGE(""https://docs.google.com/spreadsheets/d/1K0Aa9s-6EuHE5M0FG1F9aHLXRCOV917xvycTdLdct0w/edit?usp=sharing"",""พะเยา!N479"")"),0)</f>
        <v>0</v>
      </c>
      <c r="N20" s="185">
        <f t="shared" ca="1" si="41"/>
        <v>0</v>
      </c>
      <c r="O20" s="181">
        <f ca="1">IFERROR(__xludf.DUMMYFUNCTION("IMPORTRANGE(""https://docs.google.com/spreadsheets/d/1K0Aa9s-6EuHE5M0FG1F9aHLXRCOV917xvycTdLdct0w/edit?usp=sharing"",""พะเยา!I465"")"),31)</f>
        <v>31</v>
      </c>
      <c r="P20" s="181">
        <f ca="1">IFERROR(__xludf.DUMMYFUNCTION("IMPORTRANGE(""https://docs.google.com/spreadsheets/d/1K0Aa9s-6EuHE5M0FG1F9aHLXRCOV917xvycTdLdct0w/edit?usp=sharing"",""พะเยา!I466"")"),300)</f>
        <v>300</v>
      </c>
      <c r="Q20" s="181">
        <f ca="1">IFERROR(__xludf.DUMMYFUNCTION("IMPORTRANGE(""https://docs.google.com/spreadsheets/d/1K0Aa9s-6EuHE5M0FG1F9aHLXRCOV917xvycTdLdct0w/edit?usp=sharing"",""พะเยา!J465"")"),3)</f>
        <v>3</v>
      </c>
      <c r="R20" s="186">
        <f t="shared" ca="1" si="6"/>
        <v>9.67741935483871</v>
      </c>
      <c r="S20" s="181">
        <f ca="1">IFERROR(__xludf.DUMMYFUNCTION("IMPORTRANGE(""https://docs.google.com/spreadsheets/d/1K0Aa9s-6EuHE5M0FG1F9aHLXRCOV917xvycTdLdct0w/edit?usp=sharing"",""พะเยา!J466"")"),0)</f>
        <v>0</v>
      </c>
      <c r="T20" s="186">
        <f t="shared" ca="1" si="7"/>
        <v>0</v>
      </c>
      <c r="U20" s="181">
        <f ca="1">IFERROR(__xludf.DUMMYFUNCTION("IMPORTRANGE(""https://docs.google.com/spreadsheets/d/1K0Aa9s-6EuHE5M0FG1F9aHLXRCOV917xvycTdLdct0w/edit?usp=sharing"",""พะเยา!I483"")"),270)</f>
        <v>270</v>
      </c>
      <c r="V20" s="181">
        <f ca="1">IFERROR(__xludf.DUMMYFUNCTION("IMPORTRANGE(""https://docs.google.com/spreadsheets/d/1K0Aa9s-6EuHE5M0FG1F9aHLXRCOV917xvycTdLdct0w/edit?usp=sharing"",""พะเยา!J483"")"),0)</f>
        <v>0</v>
      </c>
      <c r="W20" s="186">
        <f t="shared" ca="1" si="32"/>
        <v>0</v>
      </c>
      <c r="X20" s="181">
        <f ca="1">IFERROR(__xludf.DUMMYFUNCTION("IMPORTRANGE(""https://docs.google.com/spreadsheets/d/1K0Aa9s-6EuHE5M0FG1F9aHLXRCOV917xvycTdLdct0w/edit?usp=sharing"",""พะเยา!J484"")"),0)</f>
        <v>0</v>
      </c>
      <c r="Y20" s="181">
        <f ca="1">IFERROR(__xludf.DUMMYFUNCTION("IMPORTRANGE(""https://docs.google.com/spreadsheets/d/1K0Aa9s-6EuHE5M0FG1F9aHLXRCOV917xvycTdLdct0w/edit?usp=sharing"",""พะเยา!I485"")"),27)</f>
        <v>27</v>
      </c>
      <c r="Z20" s="181">
        <f ca="1">IFERROR(__xludf.DUMMYFUNCTION("IMPORTRANGE(""https://docs.google.com/spreadsheets/d/1K0Aa9s-6EuHE5M0FG1F9aHLXRCOV917xvycTdLdct0w/edit?usp=sharing"",""พะเยา!J485"")"),0)</f>
        <v>0</v>
      </c>
      <c r="AA20" s="186">
        <f t="shared" ca="1" si="33"/>
        <v>0</v>
      </c>
      <c r="AB20" s="181">
        <f ca="1">IFERROR(__xludf.DUMMYFUNCTION("IMPORTRANGE(""https://docs.google.com/spreadsheets/d/1K0Aa9s-6EuHE5M0FG1F9aHLXRCOV917xvycTdLdct0w/edit?usp=sharing"",""พะเยา!I487"")"),30)</f>
        <v>30</v>
      </c>
      <c r="AC20" s="181">
        <f ca="1">IFERROR(__xludf.DUMMYFUNCTION("IMPORTRANGE(""https://docs.google.com/spreadsheets/d/1K0Aa9s-6EuHE5M0FG1F9aHLXRCOV917xvycTdLdct0w/edit?usp=sharing"",""พะเยา!J487"")"),0)</f>
        <v>0</v>
      </c>
      <c r="AD20" s="186">
        <f t="shared" ca="1" si="34"/>
        <v>0</v>
      </c>
      <c r="AE20" s="181">
        <f ca="1">IFERROR(__xludf.DUMMYFUNCTION("IMPORTRANGE(""https://docs.google.com/spreadsheets/d/1K0Aa9s-6EuHE5M0FG1F9aHLXRCOV917xvycTdLdct0w/edit?usp=sharing"",""พะเยา!J488"")"),0)</f>
        <v>0</v>
      </c>
      <c r="AF20" s="181">
        <f ca="1">IFERROR(__xludf.DUMMYFUNCTION("IMPORTRANGE(""https://docs.google.com/spreadsheets/d/1K0Aa9s-6EuHE5M0FG1F9aHLXRCOV917xvycTdLdct0w/edit?usp=sharing"",""พะเยา!I489"")"),3)</f>
        <v>3</v>
      </c>
      <c r="AG20" s="181">
        <f ca="1">IFERROR(__xludf.DUMMYFUNCTION("IMPORTRANGE(""https://docs.google.com/spreadsheets/d/1K0Aa9s-6EuHE5M0FG1F9aHLXRCOV917xvycTdLdct0w/edit?usp=sharing"",""พะเยา!J489"")"),3)</f>
        <v>3</v>
      </c>
      <c r="AH20" s="186">
        <f t="shared" ca="1" si="35"/>
        <v>100</v>
      </c>
      <c r="AI20" s="181">
        <f ca="1">IFERROR(__xludf.DUMMYFUNCTION("IMPORTRANGE(""https://docs.google.com/spreadsheets/d/1K0Aa9s-6EuHE5M0FG1F9aHLXRCOV917xvycTdLdct0w/edit?usp=sharing"",""พะเยา!J491"")"),0)</f>
        <v>0</v>
      </c>
      <c r="AJ20" s="181">
        <f ca="1">IFERROR(__xludf.DUMMYFUNCTION("IMPORTRANGE(""https://docs.google.com/spreadsheets/d/1K0Aa9s-6EuHE5M0FG1F9aHLXRCOV917xvycTdLdct0w/edit?usp=sharing"",""พะเยา!I492"")"),1)</f>
        <v>1</v>
      </c>
      <c r="AK20" s="181">
        <f ca="1">IFERROR(__xludf.DUMMYFUNCTION("IMPORTRANGE(""https://docs.google.com/spreadsheets/d/1K0Aa9s-6EuHE5M0FG1F9aHLXRCOV917xvycTdLdct0w/edit?usp=sharing"",""พะเยา!J492"")"),0)</f>
        <v>0</v>
      </c>
      <c r="AL20" s="186">
        <f t="shared" ca="1" si="36"/>
        <v>0</v>
      </c>
      <c r="AM20" s="181">
        <f ca="1">IFERROR(__xludf.DUMMYFUNCTION("IMPORTRANGE(""https://docs.google.com/spreadsheets/d/1K0Aa9s-6EuHE5M0FG1F9aHLXRCOV917xvycTdLdct0w/edit?usp=sharing"",""พะเยา!I495"")"),270)</f>
        <v>270</v>
      </c>
      <c r="AN20" s="181">
        <f ca="1">IFERROR(__xludf.DUMMYFUNCTION("IMPORTRANGE(""https://docs.google.com/spreadsheets/d/1K0Aa9s-6EuHE5M0FG1F9aHLXRCOV917xvycTdLdct0w/edit?usp=sharing"",""พะเยา!J495"")"),0)</f>
        <v>0</v>
      </c>
      <c r="AO20" s="186">
        <f t="shared" ca="1" si="37"/>
        <v>0</v>
      </c>
      <c r="AP20" s="181">
        <f ca="1">IFERROR(__xludf.DUMMYFUNCTION("IMPORTRANGE(""https://docs.google.com/spreadsheets/d/1K0Aa9s-6EuHE5M0FG1F9aHLXRCOV917xvycTdLdct0w/edit?usp=sharing"",""พะเยา!J496"")"),0)</f>
        <v>0</v>
      </c>
      <c r="AQ20" s="181">
        <f ca="1">IFERROR(__xludf.DUMMYFUNCTION("IMPORTRANGE(""https://docs.google.com/spreadsheets/d/1K0Aa9s-6EuHE5M0FG1F9aHLXRCOV917xvycTdLdct0w/edit?usp=sharing"",""พะเยา!I498"")"),30)</f>
        <v>30</v>
      </c>
      <c r="AR20" s="181">
        <f ca="1">IFERROR(__xludf.DUMMYFUNCTION("IMPORTRANGE(""https://docs.google.com/spreadsheets/d/1K0Aa9s-6EuHE5M0FG1F9aHLXRCOV917xvycTdLdct0w/edit?usp=sharing"",""พะเยา!J498"")"),0)</f>
        <v>0</v>
      </c>
      <c r="AS20" s="186">
        <f t="shared" ca="1" si="38"/>
        <v>0</v>
      </c>
      <c r="AT20" s="181">
        <f ca="1">IFERROR(__xludf.DUMMYFUNCTION("IMPORTRANGE(""https://docs.google.com/spreadsheets/d/1K0Aa9s-6EuHE5M0FG1F9aHLXRCOV917xvycTdLdct0w/edit?usp=sharing"",""พะเยา!J499"")"),0)</f>
        <v>0</v>
      </c>
    </row>
    <row r="21" spans="1:46" ht="24" customHeight="1" x14ac:dyDescent="0.3">
      <c r="A21" s="178">
        <v>8</v>
      </c>
      <c r="B21" s="179" t="s">
        <v>38</v>
      </c>
      <c r="C21" s="188">
        <f t="shared" ca="1" si="50"/>
        <v>256863</v>
      </c>
      <c r="D21" s="189">
        <f ca="1">IFERROR(__xludf.DUMMYFUNCTION("IMPORTRANGE(""https://docs.google.com/spreadsheets/d/1Y9LPKx95PyL5OKy09d-KbKJSuuEZCFdkhYjwC0XQjBA/edit?usp=sharing"",""พิจิตร!L472"")"),256863)</f>
        <v>256863</v>
      </c>
      <c r="E21" s="190">
        <f ca="1">IFERROR(__xludf.DUMMYFUNCTION("IMPORTRANGE(""https://docs.google.com/spreadsheets/d/1Y9LPKx95PyL5OKy09d-KbKJSuuEZCFdkhYjwC0XQjBA/edit?usp=sharing"",""พิจิตร!L479"")"),0)</f>
        <v>0</v>
      </c>
      <c r="F21" s="182">
        <f t="shared" ca="1" si="1"/>
        <v>55246</v>
      </c>
      <c r="G21" s="191">
        <f t="shared" ca="1" si="2"/>
        <v>21.507963389043965</v>
      </c>
      <c r="H21" s="184">
        <f t="shared" ca="1" si="51"/>
        <v>55246</v>
      </c>
      <c r="I21" s="187">
        <f ca="1">IFERROR(__xludf.DUMMYFUNCTION("IMPORTRANGE(""https://docs.google.com/spreadsheets/d/1Y9LPKx95PyL5OKy09d-KbKJSuuEZCFdkhYjwC0XQjBA/edit?usp=sharing"",""พิจิตร!N473"")"),36753)</f>
        <v>36753</v>
      </c>
      <c r="J21" s="187">
        <f ca="1">IFERROR(__xludf.DUMMYFUNCTION("IMPORTRANGE(""https://docs.google.com/spreadsheets/d/1Y9LPKx95PyL5OKy09d-KbKJSuuEZCFdkhYjwC0XQjBA/edit?usp=sharing"",""พิจิตร!N474"")"),0)</f>
        <v>0</v>
      </c>
      <c r="K21" s="187">
        <f ca="1">IFERROR(__xludf.DUMMYFUNCTION("IMPORTRANGE(""https://docs.google.com/spreadsheets/d/1Y9LPKx95PyL5OKy09d-KbKJSuuEZCFdkhYjwC0XQjBA/edit?usp=sharing"",""พิจิตร!N475"")"),0)</f>
        <v>0</v>
      </c>
      <c r="L21" s="187">
        <f ca="1">IFERROR(__xludf.DUMMYFUNCTION("IMPORTRANGE(""https://docs.google.com/spreadsheets/d/1Y9LPKx95PyL5OKy09d-KbKJSuuEZCFdkhYjwC0XQjBA/edit?usp=sharing"",""พิจิตร!N476"")"),18493)</f>
        <v>18493</v>
      </c>
      <c r="M21" s="185">
        <f ca="1">IFERROR(__xludf.DUMMYFUNCTION("IMPORTRANGE(""https://docs.google.com/spreadsheets/d/1Y9LPKx95PyL5OKy09d-KbKJSuuEZCFdkhYjwC0XQjBA/edit?usp=sharing"",""พิจิตร!N479"")"),0)</f>
        <v>0</v>
      </c>
      <c r="N21" s="185">
        <f t="shared" ca="1" si="41"/>
        <v>0</v>
      </c>
      <c r="O21" s="189">
        <f ca="1">IFERROR(__xludf.DUMMYFUNCTION("IMPORTRANGE(""https://docs.google.com/spreadsheets/d/1Y9LPKx95PyL5OKy09d-KbKJSuuEZCFdkhYjwC0XQjBA/edit?usp=sharing"",""พิจิตร!I465"")"),31)</f>
        <v>31</v>
      </c>
      <c r="P21" s="189">
        <f ca="1">IFERROR(__xludf.DUMMYFUNCTION("IMPORTRANGE(""https://docs.google.com/spreadsheets/d/1Y9LPKx95PyL5OKy09d-KbKJSuuEZCFdkhYjwC0XQjBA/edit?usp=sharing"",""พิจิตร!I466"")"),300)</f>
        <v>300</v>
      </c>
      <c r="Q21" s="181">
        <f ca="1">IFERROR(__xludf.DUMMYFUNCTION("IMPORTRANGE(""https://docs.google.com/spreadsheets/d/1Y9LPKx95PyL5OKy09d-KbKJSuuEZCFdkhYjwC0XQjBA/edit?usp=sharing"",""พิจิตร!J465"")"),31)</f>
        <v>31</v>
      </c>
      <c r="R21" s="186">
        <f t="shared" ca="1" si="6"/>
        <v>100</v>
      </c>
      <c r="S21" s="181">
        <f ca="1">IFERROR(__xludf.DUMMYFUNCTION("IMPORTRANGE(""https://docs.google.com/spreadsheets/d/1Y9LPKx95PyL5OKy09d-KbKJSuuEZCFdkhYjwC0XQjBA/edit?usp=sharing"",""พิจิตร!J466"")"),0)</f>
        <v>0</v>
      </c>
      <c r="T21" s="186">
        <f t="shared" ca="1" si="7"/>
        <v>0</v>
      </c>
      <c r="U21" s="189">
        <f ca="1">IFERROR(__xludf.DUMMYFUNCTION("IMPORTRANGE(""https://docs.google.com/spreadsheets/d/1Y9LPKx95PyL5OKy09d-KbKJSuuEZCFdkhYjwC0XQjBA/edit?usp=sharing"",""พิจิตร!I483"")"),270)</f>
        <v>270</v>
      </c>
      <c r="V21" s="181">
        <f ca="1">IFERROR(__xludf.DUMMYFUNCTION("IMPORTRANGE(""https://docs.google.com/spreadsheets/d/1Y9LPKx95PyL5OKy09d-KbKJSuuEZCFdkhYjwC0XQjBA/edit?usp=sharing"",""พิจิตร!J483"")"),270)</f>
        <v>270</v>
      </c>
      <c r="W21" s="186">
        <f t="shared" ca="1" si="32"/>
        <v>100</v>
      </c>
      <c r="X21" s="181">
        <f ca="1">IFERROR(__xludf.DUMMYFUNCTION("IMPORTRANGE(""https://docs.google.com/spreadsheets/d/1Y9LPKx95PyL5OKy09d-KbKJSuuEZCFdkhYjwC0XQjBA/edit?usp=sharing"",""พิจิตร!J484"")"),27)</f>
        <v>27</v>
      </c>
      <c r="Y21" s="189">
        <f ca="1">IFERROR(__xludf.DUMMYFUNCTION("IMPORTRANGE(""https://docs.google.com/spreadsheets/d/1Y9LPKx95PyL5OKy09d-KbKJSuuEZCFdkhYjwC0XQjBA/edit?usp=sharing"",""พิจิตร!I485"")"),27)</f>
        <v>27</v>
      </c>
      <c r="Z21" s="181">
        <f ca="1">IFERROR(__xludf.DUMMYFUNCTION("IMPORTRANGE(""https://docs.google.com/spreadsheets/d/1Y9LPKx95PyL5OKy09d-KbKJSuuEZCFdkhYjwC0XQjBA/edit?usp=sharing"",""พิจิตร!J485"")"),27)</f>
        <v>27</v>
      </c>
      <c r="AA21" s="186">
        <f t="shared" ca="1" si="33"/>
        <v>100</v>
      </c>
      <c r="AB21" s="189">
        <f ca="1">IFERROR(__xludf.DUMMYFUNCTION("IMPORTRANGE(""https://docs.google.com/spreadsheets/d/1Y9LPKx95PyL5OKy09d-KbKJSuuEZCFdkhYjwC0XQjBA/edit?usp=sharing"",""พิจิตร!I487"")"),30)</f>
        <v>30</v>
      </c>
      <c r="AC21" s="181">
        <f ca="1">IFERROR(__xludf.DUMMYFUNCTION("IMPORTRANGE(""https://docs.google.com/spreadsheets/d/1Y9LPKx95PyL5OKy09d-KbKJSuuEZCFdkhYjwC0XQjBA/edit?usp=sharing"",""พิจิตร!J487"")"),30)</f>
        <v>30</v>
      </c>
      <c r="AD21" s="186">
        <f t="shared" ca="1" si="34"/>
        <v>100</v>
      </c>
      <c r="AE21" s="181">
        <f ca="1">IFERROR(__xludf.DUMMYFUNCTION("IMPORTRANGE(""https://docs.google.com/spreadsheets/d/1Y9LPKx95PyL5OKy09d-KbKJSuuEZCFdkhYjwC0XQjBA/edit?usp=sharing"",""พิจิตร!J488"")"),3)</f>
        <v>3</v>
      </c>
      <c r="AF21" s="189">
        <f ca="1">IFERROR(__xludf.DUMMYFUNCTION("IMPORTRANGE(""https://docs.google.com/spreadsheets/d/1Y9LPKx95PyL5OKy09d-KbKJSuuEZCFdkhYjwC0XQjBA/edit?usp=sharing"",""พิจิตร!I489"")"),3)</f>
        <v>3</v>
      </c>
      <c r="AG21" s="181">
        <f ca="1">IFERROR(__xludf.DUMMYFUNCTION("IMPORTRANGE(""https://docs.google.com/spreadsheets/d/1Y9LPKx95PyL5OKy09d-KbKJSuuEZCFdkhYjwC0XQjBA/edit?usp=sharing"",""พิจิตร!J489"")"),3)</f>
        <v>3</v>
      </c>
      <c r="AH21" s="186">
        <f t="shared" ca="1" si="35"/>
        <v>100</v>
      </c>
      <c r="AI21" s="181">
        <f ca="1">IFERROR(__xludf.DUMMYFUNCTION("IMPORTRANGE(""https://docs.google.com/spreadsheets/d/1Y9LPKx95PyL5OKy09d-KbKJSuuEZCFdkhYjwC0XQjBA/edit?usp=sharing"",""พิจิตร!J491"")"),1)</f>
        <v>1</v>
      </c>
      <c r="AJ21" s="189">
        <f ca="1">IFERROR(__xludf.DUMMYFUNCTION("IMPORTRANGE(""https://docs.google.com/spreadsheets/d/1Y9LPKx95PyL5OKy09d-KbKJSuuEZCFdkhYjwC0XQjBA/edit?usp=sharing"",""พิจิตร!I492"")"),1)</f>
        <v>1</v>
      </c>
      <c r="AK21" s="181">
        <f ca="1">IFERROR(__xludf.DUMMYFUNCTION("IMPORTRANGE(""https://docs.google.com/spreadsheets/d/1Y9LPKx95PyL5OKy09d-KbKJSuuEZCFdkhYjwC0XQjBA/edit?usp=sharing"",""พิจิตร!J492"")"),1)</f>
        <v>1</v>
      </c>
      <c r="AL21" s="186">
        <f t="shared" ca="1" si="36"/>
        <v>100</v>
      </c>
      <c r="AM21" s="189">
        <f ca="1">IFERROR(__xludf.DUMMYFUNCTION("IMPORTRANGE(""https://docs.google.com/spreadsheets/d/1Y9LPKx95PyL5OKy09d-KbKJSuuEZCFdkhYjwC0XQjBA/edit?usp=sharing"",""พิจิตร!I495"")"),270)</f>
        <v>270</v>
      </c>
      <c r="AN21" s="181">
        <f ca="1">IFERROR(__xludf.DUMMYFUNCTION("IMPORTRANGE(""https://docs.google.com/spreadsheets/d/1Y9LPKx95PyL5OKy09d-KbKJSuuEZCFdkhYjwC0XQjBA/edit?usp=sharing"",""พิจิตร!J495"")"),0)</f>
        <v>0</v>
      </c>
      <c r="AO21" s="186">
        <f t="shared" ca="1" si="37"/>
        <v>0</v>
      </c>
      <c r="AP21" s="181">
        <f ca="1">IFERROR(__xludf.DUMMYFUNCTION("IMPORTRANGE(""https://docs.google.com/spreadsheets/d/1Y9LPKx95PyL5OKy09d-KbKJSuuEZCFdkhYjwC0XQjBA/edit?usp=sharing"",""พิจิตร!J496"")"),0)</f>
        <v>0</v>
      </c>
      <c r="AQ21" s="189">
        <f ca="1">IFERROR(__xludf.DUMMYFUNCTION("IMPORTRANGE(""https://docs.google.com/spreadsheets/d/1Y9LPKx95PyL5OKy09d-KbKJSuuEZCFdkhYjwC0XQjBA/edit?usp=sharing"",""พิจิตร!I498"")"),30)</f>
        <v>30</v>
      </c>
      <c r="AR21" s="181">
        <f ca="1">IFERROR(__xludf.DUMMYFUNCTION("IMPORTRANGE(""https://docs.google.com/spreadsheets/d/1Y9LPKx95PyL5OKy09d-KbKJSuuEZCFdkhYjwC0XQjBA/edit?usp=sharing"",""พิจิตร!J498"")"),0)</f>
        <v>0</v>
      </c>
      <c r="AS21" s="186">
        <f t="shared" ca="1" si="38"/>
        <v>0</v>
      </c>
      <c r="AT21" s="181">
        <f ca="1">IFERROR(__xludf.DUMMYFUNCTION("IMPORTRANGE(""https://docs.google.com/spreadsheets/d/1Y9LPKx95PyL5OKy09d-KbKJSuuEZCFdkhYjwC0XQjBA/edit?usp=sharing"",""พิจิตร!J499"")"),0)</f>
        <v>0</v>
      </c>
    </row>
    <row r="22" spans="1:46" ht="24" customHeight="1" x14ac:dyDescent="0.3">
      <c r="A22" s="178">
        <v>9</v>
      </c>
      <c r="B22" s="179" t="s">
        <v>39</v>
      </c>
      <c r="C22" s="180">
        <f t="shared" ca="1" si="50"/>
        <v>1168098</v>
      </c>
      <c r="D22" s="181">
        <f ca="1">IFERROR(__xludf.DUMMYFUNCTION("IMPORTRANGE(""https://docs.google.com/spreadsheets/d/16OMuOwy2eVqZcYWOouQtTpa8X1L23h4660uVHc0C8os/edit?usp=sharing"",""พิษณุโลก!L472"")"),1168098)</f>
        <v>1168098</v>
      </c>
      <c r="E22" s="187">
        <f ca="1">IFERROR(__xludf.DUMMYFUNCTION("IMPORTRANGE(""https://docs.google.com/spreadsheets/d/16OMuOwy2eVqZcYWOouQtTpa8X1L23h4660uVHc0C8os/edit?usp=sharing"",""พิษณุโลก!L479"")"),0)</f>
        <v>0</v>
      </c>
      <c r="F22" s="182">
        <f t="shared" ca="1" si="1"/>
        <v>165700.01999999999</v>
      </c>
      <c r="G22" s="183">
        <f t="shared" ca="1" si="2"/>
        <v>14.185455329946629</v>
      </c>
      <c r="H22" s="184">
        <f t="shared" ca="1" si="51"/>
        <v>165700.01999999999</v>
      </c>
      <c r="I22" s="187">
        <f ca="1">IFERROR(__xludf.DUMMYFUNCTION("IMPORTRANGE(""https://docs.google.com/spreadsheets/d/16OMuOwy2eVqZcYWOouQtTpa8X1L23h4660uVHc0C8os/edit?usp=sharing"",""พิษณุโลก!N473"")"),104420)</f>
        <v>104420</v>
      </c>
      <c r="J22" s="187">
        <f ca="1">IFERROR(__xludf.DUMMYFUNCTION("IMPORTRANGE(""https://docs.google.com/spreadsheets/d/16OMuOwy2eVqZcYWOouQtTpa8X1L23h4660uVHc0C8os/edit?usp=sharing"",""พิษณุโลก!N474"")"),4000)</f>
        <v>4000</v>
      </c>
      <c r="K22" s="187">
        <f ca="1">IFERROR(__xludf.DUMMYFUNCTION("IMPORTRANGE(""https://docs.google.com/spreadsheets/d/16OMuOwy2eVqZcYWOouQtTpa8X1L23h4660uVHc0C8os/edit?usp=sharing"",""พิษณุโลก!N475"")"),49400.02)</f>
        <v>49400.02</v>
      </c>
      <c r="L22" s="187">
        <f ca="1">IFERROR(__xludf.DUMMYFUNCTION("IMPORTRANGE(""https://docs.google.com/spreadsheets/d/16OMuOwy2eVqZcYWOouQtTpa8X1L23h4660uVHc0C8os/edit?usp=sharing"",""พิษณุโลก!N476"")"),7880)</f>
        <v>7880</v>
      </c>
      <c r="M22" s="185">
        <f ca="1">IFERROR(__xludf.DUMMYFUNCTION("IMPORTRANGE(""https://docs.google.com/spreadsheets/d/16OMuOwy2eVqZcYWOouQtTpa8X1L23h4660uVHc0C8os/edit?usp=sharing"",""พิษณุโลก!N479"")"),0)</f>
        <v>0</v>
      </c>
      <c r="N22" s="185">
        <f t="shared" ca="1" si="41"/>
        <v>0</v>
      </c>
      <c r="O22" s="181">
        <f ca="1">IFERROR(__xludf.DUMMYFUNCTION("IMPORTRANGE(""https://docs.google.com/spreadsheets/d/16OMuOwy2eVqZcYWOouQtTpa8X1L23h4660uVHc0C8os/edit?usp=sharing"",""พิษณุโลก!I465"")"),131)</f>
        <v>131</v>
      </c>
      <c r="P22" s="181">
        <f ca="1">IFERROR(__xludf.DUMMYFUNCTION("IMPORTRANGE(""https://docs.google.com/spreadsheets/d/16OMuOwy2eVqZcYWOouQtTpa8X1L23h4660uVHc0C8os/edit?usp=sharing"",""พิษณุโลก!I466"")"),1300)</f>
        <v>1300</v>
      </c>
      <c r="Q22" s="181">
        <f ca="1">IFERROR(__xludf.DUMMYFUNCTION("IMPORTRANGE(""https://docs.google.com/spreadsheets/d/16OMuOwy2eVqZcYWOouQtTpa8X1L23h4660uVHc0C8os/edit?usp=sharing"",""พิษณุโลก!J465"")"),117)</f>
        <v>117</v>
      </c>
      <c r="R22" s="186">
        <f t="shared" ca="1" si="6"/>
        <v>89.312977099236647</v>
      </c>
      <c r="S22" s="181">
        <f ca="1">IFERROR(__xludf.DUMMYFUNCTION("IMPORTRANGE(""https://docs.google.com/spreadsheets/d/16OMuOwy2eVqZcYWOouQtTpa8X1L23h4660uVHc0C8os/edit?usp=sharing"",""พิษณุโลก!J466"")"),0)</f>
        <v>0</v>
      </c>
      <c r="T22" s="186">
        <f t="shared" ca="1" si="7"/>
        <v>0</v>
      </c>
      <c r="U22" s="181">
        <f ca="1">IFERROR(__xludf.DUMMYFUNCTION("IMPORTRANGE(""https://docs.google.com/spreadsheets/d/16OMuOwy2eVqZcYWOouQtTpa8X1L23h4660uVHc0C8os/edit?usp=sharing"",""พิษณุโลก!I483"")"),1170)</f>
        <v>1170</v>
      </c>
      <c r="V22" s="181">
        <f ca="1">IFERROR(__xludf.DUMMYFUNCTION("IMPORTRANGE(""https://docs.google.com/spreadsheets/d/16OMuOwy2eVqZcYWOouQtTpa8X1L23h4660uVHc0C8os/edit?usp=sharing"",""พิษณุโลก!J483"")"),1170)</f>
        <v>1170</v>
      </c>
      <c r="W22" s="186">
        <f t="shared" ca="1" si="32"/>
        <v>100</v>
      </c>
      <c r="X22" s="181">
        <f ca="1">IFERROR(__xludf.DUMMYFUNCTION("IMPORTRANGE(""https://docs.google.com/spreadsheets/d/16OMuOwy2eVqZcYWOouQtTpa8X1L23h4660uVHc0C8os/edit?usp=sharing"",""พิษณุโลก!J484"")"),117)</f>
        <v>117</v>
      </c>
      <c r="Y22" s="181">
        <f ca="1">IFERROR(__xludf.DUMMYFUNCTION("IMPORTRANGE(""https://docs.google.com/spreadsheets/d/16OMuOwy2eVqZcYWOouQtTpa8X1L23h4660uVHc0C8os/edit?usp=sharing"",""พิษณุโลก!I485"")"),117)</f>
        <v>117</v>
      </c>
      <c r="Z22" s="181">
        <f ca="1">IFERROR(__xludf.DUMMYFUNCTION("IMPORTRANGE(""https://docs.google.com/spreadsheets/d/16OMuOwy2eVqZcYWOouQtTpa8X1L23h4660uVHc0C8os/edit?usp=sharing"",""พิษณุโลก!J485"")"),117)</f>
        <v>117</v>
      </c>
      <c r="AA22" s="186">
        <f t="shared" ca="1" si="33"/>
        <v>100</v>
      </c>
      <c r="AB22" s="181">
        <f ca="1">IFERROR(__xludf.DUMMYFUNCTION("IMPORTRANGE(""https://docs.google.com/spreadsheets/d/16OMuOwy2eVqZcYWOouQtTpa8X1L23h4660uVHc0C8os/edit?usp=sharing"",""พิษณุโลก!I487"")"),130)</f>
        <v>130</v>
      </c>
      <c r="AC22" s="181">
        <f ca="1">IFERROR(__xludf.DUMMYFUNCTION("IMPORTRANGE(""https://docs.google.com/spreadsheets/d/16OMuOwy2eVqZcYWOouQtTpa8X1L23h4660uVHc0C8os/edit?usp=sharing"",""พิษณุโลก!J487"")"),0)</f>
        <v>0</v>
      </c>
      <c r="AD22" s="186">
        <f t="shared" ca="1" si="34"/>
        <v>0</v>
      </c>
      <c r="AE22" s="181">
        <f ca="1">IFERROR(__xludf.DUMMYFUNCTION("IMPORTRANGE(""https://docs.google.com/spreadsheets/d/16OMuOwy2eVqZcYWOouQtTpa8X1L23h4660uVHc0C8os/edit?usp=sharing"",""พิษณุโลก!J488"")"),0)</f>
        <v>0</v>
      </c>
      <c r="AF22" s="181">
        <f ca="1">IFERROR(__xludf.DUMMYFUNCTION("IMPORTRANGE(""https://docs.google.com/spreadsheets/d/16OMuOwy2eVqZcYWOouQtTpa8X1L23h4660uVHc0C8os/edit?usp=sharing"",""พิษณุโลก!I489"")"),13)</f>
        <v>13</v>
      </c>
      <c r="AG22" s="181">
        <f ca="1">IFERROR(__xludf.DUMMYFUNCTION("IMPORTRANGE(""https://docs.google.com/spreadsheets/d/16OMuOwy2eVqZcYWOouQtTpa8X1L23h4660uVHc0C8os/edit?usp=sharing"",""พิษณุโลก!J489"")"),0)</f>
        <v>0</v>
      </c>
      <c r="AH22" s="186">
        <f t="shared" ca="1" si="35"/>
        <v>0</v>
      </c>
      <c r="AI22" s="181">
        <f ca="1">IFERROR(__xludf.DUMMYFUNCTION("IMPORTRANGE(""https://docs.google.com/spreadsheets/d/16OMuOwy2eVqZcYWOouQtTpa8X1L23h4660uVHc0C8os/edit?usp=sharing"",""พิษณุโลก!J491"")"),0)</f>
        <v>0</v>
      </c>
      <c r="AJ22" s="181">
        <f ca="1">IFERROR(__xludf.DUMMYFUNCTION("IMPORTRANGE(""https://docs.google.com/spreadsheets/d/16OMuOwy2eVqZcYWOouQtTpa8X1L23h4660uVHc0C8os/edit?usp=sharing"",""พิษณุโลก!I492"")"),1)</f>
        <v>1</v>
      </c>
      <c r="AK22" s="181" t="str">
        <f ca="1">IFERROR(__xludf.DUMMYFUNCTION("IMPORTRANGE(""https://docs.google.com/spreadsheets/d/16OMuOwy2eVqZcYWOouQtTpa8X1L23h4660uVHc0C8os/edit?usp=sharing"",""พิษณุโลก!J492"")"),"")</f>
        <v/>
      </c>
      <c r="AL22" s="186" t="e">
        <f t="shared" ca="1" si="36"/>
        <v>#VALUE!</v>
      </c>
      <c r="AM22" s="181">
        <f ca="1">IFERROR(__xludf.DUMMYFUNCTION("IMPORTRANGE(""https://docs.google.com/spreadsheets/d/16OMuOwy2eVqZcYWOouQtTpa8X1L23h4660uVHc0C8os/edit?usp=sharing"",""พิษณุโลก!I495"")"),1170)</f>
        <v>1170</v>
      </c>
      <c r="AN22" s="181">
        <f ca="1">IFERROR(__xludf.DUMMYFUNCTION("IMPORTRANGE(""https://docs.google.com/spreadsheets/d/16OMuOwy2eVqZcYWOouQtTpa8X1L23h4660uVHc0C8os/edit?usp=sharing"",""พิษณุโลก!J495"")"),0)</f>
        <v>0</v>
      </c>
      <c r="AO22" s="186">
        <f t="shared" ca="1" si="37"/>
        <v>0</v>
      </c>
      <c r="AP22" s="181">
        <f ca="1">IFERROR(__xludf.DUMMYFUNCTION("IMPORTRANGE(""https://docs.google.com/spreadsheets/d/16OMuOwy2eVqZcYWOouQtTpa8X1L23h4660uVHc0C8os/edit?usp=sharing"",""พิษณุโลก!J496"")"),0)</f>
        <v>0</v>
      </c>
      <c r="AQ22" s="181">
        <f ca="1">IFERROR(__xludf.DUMMYFUNCTION("IMPORTRANGE(""https://docs.google.com/spreadsheets/d/16OMuOwy2eVqZcYWOouQtTpa8X1L23h4660uVHc0C8os/edit?usp=sharing"",""พิษณุโลก!I498"")"),130)</f>
        <v>130</v>
      </c>
      <c r="AR22" s="181">
        <f ca="1">IFERROR(__xludf.DUMMYFUNCTION("IMPORTRANGE(""https://docs.google.com/spreadsheets/d/16OMuOwy2eVqZcYWOouQtTpa8X1L23h4660uVHc0C8os/edit?usp=sharing"",""พิษณุโลก!J498"")"),0)</f>
        <v>0</v>
      </c>
      <c r="AS22" s="186">
        <f t="shared" ca="1" si="38"/>
        <v>0</v>
      </c>
      <c r="AT22" s="181">
        <f ca="1">IFERROR(__xludf.DUMMYFUNCTION("IMPORTRANGE(""https://docs.google.com/spreadsheets/d/16OMuOwy2eVqZcYWOouQtTpa8X1L23h4660uVHc0C8os/edit?usp=sharing"",""พิษณุโลก!J499"")"),0)</f>
        <v>0</v>
      </c>
    </row>
    <row r="23" spans="1:46" ht="24" customHeight="1" x14ac:dyDescent="0.3">
      <c r="A23" s="178">
        <v>10</v>
      </c>
      <c r="B23" s="179" t="s">
        <v>40</v>
      </c>
      <c r="C23" s="180">
        <f t="shared" ca="1" si="50"/>
        <v>410323</v>
      </c>
      <c r="D23" s="181">
        <f ca="1">IFERROR(__xludf.DUMMYFUNCTION("IMPORTRANGE(""https://docs.google.com/spreadsheets/d/1GfgTldLG6k77HXaMQzaafODklYuucJZQNs_GAPEfZyY/edit?usp=sharing"",""เพชรบูรณ์!L472"")"),410323)</f>
        <v>410323</v>
      </c>
      <c r="E23" s="187">
        <f ca="1">IFERROR(__xludf.DUMMYFUNCTION("IMPORTRANGE(""https://docs.google.com/spreadsheets/d/1GfgTldLG6k77HXaMQzaafODklYuucJZQNs_GAPEfZyY/edit?usp=sharing"",""เพชรบูรณ์!L479"")"),0)</f>
        <v>0</v>
      </c>
      <c r="F23" s="182">
        <f t="shared" ca="1" si="1"/>
        <v>114060</v>
      </c>
      <c r="G23" s="183">
        <f t="shared" ca="1" si="2"/>
        <v>27.797613099923719</v>
      </c>
      <c r="H23" s="184">
        <f t="shared" ca="1" si="51"/>
        <v>114060</v>
      </c>
      <c r="I23" s="187">
        <f ca="1">IFERROR(__xludf.DUMMYFUNCTION("IMPORTRANGE(""https://docs.google.com/spreadsheets/d/1GfgTldLG6k77HXaMQzaafODklYuucJZQNs_GAPEfZyY/edit?usp=sharing"",""เพชรบูรณ์!N473"")"),71800)</f>
        <v>71800</v>
      </c>
      <c r="J23" s="187">
        <f ca="1">IFERROR(__xludf.DUMMYFUNCTION("IMPORTRANGE(""https://docs.google.com/spreadsheets/d/1GfgTldLG6k77HXaMQzaafODklYuucJZQNs_GAPEfZyY/edit?usp=sharing"",""เพชรบูรณ์!N474"")"),35000)</f>
        <v>35000</v>
      </c>
      <c r="K23" s="187">
        <f ca="1">IFERROR(__xludf.DUMMYFUNCTION("IMPORTRANGE(""https://docs.google.com/spreadsheets/d/1GfgTldLG6k77HXaMQzaafODklYuucJZQNs_GAPEfZyY/edit?usp=sharing"",""เพชรบูรณ์!N475"")"),0)</f>
        <v>0</v>
      </c>
      <c r="L23" s="187">
        <f ca="1">IFERROR(__xludf.DUMMYFUNCTION("IMPORTRANGE(""https://docs.google.com/spreadsheets/d/1GfgTldLG6k77HXaMQzaafODklYuucJZQNs_GAPEfZyY/edit?usp=sharing"",""เพชรบูรณ์!N476"")"),7260)</f>
        <v>7260</v>
      </c>
      <c r="M23" s="185">
        <f ca="1">IFERROR(__xludf.DUMMYFUNCTION("IMPORTRANGE(""https://docs.google.com/spreadsheets/d/1GfgTldLG6k77HXaMQzaafODklYuucJZQNs_GAPEfZyY/edit?usp=sharing"",""เพชรบูรณ์!N479"")"),0)</f>
        <v>0</v>
      </c>
      <c r="N23" s="185">
        <f t="shared" ca="1" si="41"/>
        <v>0</v>
      </c>
      <c r="O23" s="181">
        <f ca="1">IFERROR(__xludf.DUMMYFUNCTION("IMPORTRANGE(""https://docs.google.com/spreadsheets/d/1GfgTldLG6k77HXaMQzaafODklYuucJZQNs_GAPEfZyY/edit?usp=sharing"",""เพชรบูรณ์!I465"")"),51)</f>
        <v>51</v>
      </c>
      <c r="P23" s="181">
        <f ca="1">IFERROR(__xludf.DUMMYFUNCTION("IMPORTRANGE(""https://docs.google.com/spreadsheets/d/1GfgTldLG6k77HXaMQzaafODklYuucJZQNs_GAPEfZyY/edit?usp=sharing"",""เพชรบูรณ์!I466"")"),500)</f>
        <v>500</v>
      </c>
      <c r="Q23" s="181">
        <f ca="1">IFERROR(__xludf.DUMMYFUNCTION("IMPORTRANGE(""https://docs.google.com/spreadsheets/d/1GfgTldLG6k77HXaMQzaafODklYuucJZQNs_GAPEfZyY/edit?usp=sharing"",""เพชรบูรณ์!J465"")"),51)</f>
        <v>51</v>
      </c>
      <c r="R23" s="186">
        <f t="shared" ca="1" si="6"/>
        <v>100</v>
      </c>
      <c r="S23" s="181">
        <f ca="1">IFERROR(__xludf.DUMMYFUNCTION("IMPORTRANGE(""https://docs.google.com/spreadsheets/d/1GfgTldLG6k77HXaMQzaafODklYuucJZQNs_GAPEfZyY/edit?usp=sharing"",""เพชรบูรณ์!J466"")"),50)</f>
        <v>50</v>
      </c>
      <c r="T23" s="186">
        <f t="shared" ca="1" si="7"/>
        <v>10</v>
      </c>
      <c r="U23" s="181">
        <f ca="1">IFERROR(__xludf.DUMMYFUNCTION("IMPORTRANGE(""https://docs.google.com/spreadsheets/d/1GfgTldLG6k77HXaMQzaafODklYuucJZQNs_GAPEfZyY/edit?usp=sharing"",""เพชรบูรณ์!I483"")"),450)</f>
        <v>450</v>
      </c>
      <c r="V23" s="181">
        <f ca="1">IFERROR(__xludf.DUMMYFUNCTION("IMPORTRANGE(""https://docs.google.com/spreadsheets/d/1GfgTldLG6k77HXaMQzaafODklYuucJZQNs_GAPEfZyY/edit?usp=sharing"",""เพชรบูรณ์!J483"")"),450)</f>
        <v>450</v>
      </c>
      <c r="W23" s="186">
        <f t="shared" ca="1" si="32"/>
        <v>100</v>
      </c>
      <c r="X23" s="181">
        <f ca="1">IFERROR(__xludf.DUMMYFUNCTION("IMPORTRANGE(""https://docs.google.com/spreadsheets/d/1GfgTldLG6k77HXaMQzaafODklYuucJZQNs_GAPEfZyY/edit?usp=sharing"",""เพชรบูรณ์!J484"")"),45)</f>
        <v>45</v>
      </c>
      <c r="Y23" s="181">
        <f ca="1">IFERROR(__xludf.DUMMYFUNCTION("IMPORTRANGE(""https://docs.google.com/spreadsheets/d/1GfgTldLG6k77HXaMQzaafODklYuucJZQNs_GAPEfZyY/edit?usp=sharing"",""เพชรบูรณ์!I485"")"),45)</f>
        <v>45</v>
      </c>
      <c r="Z23" s="181">
        <f ca="1">IFERROR(__xludf.DUMMYFUNCTION("IMPORTRANGE(""https://docs.google.com/spreadsheets/d/1GfgTldLG6k77HXaMQzaafODklYuucJZQNs_GAPEfZyY/edit?usp=sharing"",""เพชรบูรณ์!J485"")"),45)</f>
        <v>45</v>
      </c>
      <c r="AA23" s="186">
        <f t="shared" ca="1" si="33"/>
        <v>100</v>
      </c>
      <c r="AB23" s="181">
        <f ca="1">IFERROR(__xludf.DUMMYFUNCTION("IMPORTRANGE(""https://docs.google.com/spreadsheets/d/1GfgTldLG6k77HXaMQzaafODklYuucJZQNs_GAPEfZyY/edit?usp=sharing"",""เพชรบูรณ์!I487"")"),50)</f>
        <v>50</v>
      </c>
      <c r="AC23" s="181">
        <f ca="1">IFERROR(__xludf.DUMMYFUNCTION("IMPORTRANGE(""https://docs.google.com/spreadsheets/d/1GfgTldLG6k77HXaMQzaafODklYuucJZQNs_GAPEfZyY/edit?usp=sharing"",""เพชรบูรณ์!J487"")"),50)</f>
        <v>50</v>
      </c>
      <c r="AD23" s="186">
        <f t="shared" ca="1" si="34"/>
        <v>100</v>
      </c>
      <c r="AE23" s="181">
        <f ca="1">IFERROR(__xludf.DUMMYFUNCTION("IMPORTRANGE(""https://docs.google.com/spreadsheets/d/1GfgTldLG6k77HXaMQzaafODklYuucJZQNs_GAPEfZyY/edit?usp=sharing"",""เพชรบูรณ์!J488"")"),5)</f>
        <v>5</v>
      </c>
      <c r="AF23" s="181">
        <f ca="1">IFERROR(__xludf.DUMMYFUNCTION("IMPORTRANGE(""https://docs.google.com/spreadsheets/d/1GfgTldLG6k77HXaMQzaafODklYuucJZQNs_GAPEfZyY/edit?usp=sharing"",""เพชรบูรณ์!I489"")"),5)</f>
        <v>5</v>
      </c>
      <c r="AG23" s="181">
        <f ca="1">IFERROR(__xludf.DUMMYFUNCTION("IMPORTRANGE(""https://docs.google.com/spreadsheets/d/1GfgTldLG6k77HXaMQzaafODklYuucJZQNs_GAPEfZyY/edit?usp=sharing"",""เพชรบูรณ์!J489"")"),5)</f>
        <v>5</v>
      </c>
      <c r="AH23" s="186">
        <f t="shared" ca="1" si="35"/>
        <v>100</v>
      </c>
      <c r="AI23" s="181">
        <f ca="1">IFERROR(__xludf.DUMMYFUNCTION("IMPORTRANGE(""https://docs.google.com/spreadsheets/d/1GfgTldLG6k77HXaMQzaafODklYuucJZQNs_GAPEfZyY/edit?usp=sharing"",""เพชรบูรณ์!J491"")"),1)</f>
        <v>1</v>
      </c>
      <c r="AJ23" s="181">
        <f ca="1">IFERROR(__xludf.DUMMYFUNCTION("IMPORTRANGE(""https://docs.google.com/spreadsheets/d/1GfgTldLG6k77HXaMQzaafODklYuucJZQNs_GAPEfZyY/edit?usp=sharing"",""เพชรบูรณ์!I492"")"),1)</f>
        <v>1</v>
      </c>
      <c r="AK23" s="181">
        <f ca="1">IFERROR(__xludf.DUMMYFUNCTION("IMPORTRANGE(""https://docs.google.com/spreadsheets/d/1GfgTldLG6k77HXaMQzaafODklYuucJZQNs_GAPEfZyY/edit?usp=sharing"",""เพชรบูรณ์!J492"")"),1)</f>
        <v>1</v>
      </c>
      <c r="AL23" s="186">
        <f t="shared" ca="1" si="36"/>
        <v>100</v>
      </c>
      <c r="AM23" s="181">
        <f ca="1">IFERROR(__xludf.DUMMYFUNCTION("IMPORTRANGE(""https://docs.google.com/spreadsheets/d/1GfgTldLG6k77HXaMQzaafODklYuucJZQNs_GAPEfZyY/edit?usp=sharing"",""เพชรบูรณ์!I495"")"),450)</f>
        <v>450</v>
      </c>
      <c r="AN23" s="181">
        <f ca="1">IFERROR(__xludf.DUMMYFUNCTION("IMPORTRANGE(""https://docs.google.com/spreadsheets/d/1GfgTldLG6k77HXaMQzaafODklYuucJZQNs_GAPEfZyY/edit?usp=sharing"",""เพชรบูรณ์!J495"")"),0)</f>
        <v>0</v>
      </c>
      <c r="AO23" s="186">
        <f t="shared" ca="1" si="37"/>
        <v>0</v>
      </c>
      <c r="AP23" s="181">
        <f ca="1">IFERROR(__xludf.DUMMYFUNCTION("IMPORTRANGE(""https://docs.google.com/spreadsheets/d/1GfgTldLG6k77HXaMQzaafODklYuucJZQNs_GAPEfZyY/edit?usp=sharing"",""เพชรบูรณ์!J496"")"),0)</f>
        <v>0</v>
      </c>
      <c r="AQ23" s="181">
        <f ca="1">IFERROR(__xludf.DUMMYFUNCTION("IMPORTRANGE(""https://docs.google.com/spreadsheets/d/1GfgTldLG6k77HXaMQzaafODklYuucJZQNs_GAPEfZyY/edit?usp=sharing"",""เพชรบูรณ์!I498"")"),50)</f>
        <v>50</v>
      </c>
      <c r="AR23" s="181">
        <f ca="1">IFERROR(__xludf.DUMMYFUNCTION("IMPORTRANGE(""https://docs.google.com/spreadsheets/d/1GfgTldLG6k77HXaMQzaafODklYuucJZQNs_GAPEfZyY/edit?usp=sharing"",""เพชรบูรณ์!J498"")"),50)</f>
        <v>50</v>
      </c>
      <c r="AS23" s="186">
        <f t="shared" ca="1" si="38"/>
        <v>100</v>
      </c>
      <c r="AT23" s="181">
        <f ca="1">IFERROR(__xludf.DUMMYFUNCTION("IMPORTRANGE(""https://docs.google.com/spreadsheets/d/1GfgTldLG6k77HXaMQzaafODklYuucJZQNs_GAPEfZyY/edit?usp=sharing"",""เพชรบูรณ์!J499"")"),5)</f>
        <v>5</v>
      </c>
    </row>
    <row r="24" spans="1:46" ht="24" customHeight="1" x14ac:dyDescent="0.3">
      <c r="A24" s="178">
        <v>11</v>
      </c>
      <c r="B24" s="179" t="s">
        <v>41</v>
      </c>
      <c r="C24" s="180">
        <f t="shared" ca="1" si="50"/>
        <v>1170748</v>
      </c>
      <c r="D24" s="181">
        <f ca="1">IFERROR(__xludf.DUMMYFUNCTION("IMPORTRANGE(""https://docs.google.com/spreadsheets/d/1gvTMYAnm7v1yG1BKWFtr0DnaTsq59oW9dwWvFgq6hs0/edit?usp=sharing"",""แพร่!L472"")"),1170748)</f>
        <v>1170748</v>
      </c>
      <c r="E24" s="187">
        <f ca="1">IFERROR(__xludf.DUMMYFUNCTION("IMPORTRANGE(""https://docs.google.com/spreadsheets/d/1gvTMYAnm7v1yG1BKWFtr0DnaTsq59oW9dwWvFgq6hs0/edit?usp=sharing"",""แพร่!L479"")"),0)</f>
        <v>0</v>
      </c>
      <c r="F24" s="182">
        <f t="shared" ca="1" si="1"/>
        <v>119455</v>
      </c>
      <c r="G24" s="183">
        <f t="shared" ca="1" si="2"/>
        <v>10.20330592065927</v>
      </c>
      <c r="H24" s="184">
        <f t="shared" ca="1" si="51"/>
        <v>119455</v>
      </c>
      <c r="I24" s="187">
        <f ca="1">IFERROR(__xludf.DUMMYFUNCTION("IMPORTRANGE(""https://docs.google.com/spreadsheets/d/1gvTMYAnm7v1yG1BKWFtr0DnaTsq59oW9dwWvFgq6hs0/edit?usp=sharing"",""แพร่!N473"")"),72175)</f>
        <v>72175</v>
      </c>
      <c r="J24" s="187">
        <f ca="1">IFERROR(__xludf.DUMMYFUNCTION("IMPORTRANGE(""https://docs.google.com/spreadsheets/d/1gvTMYAnm7v1yG1BKWFtr0DnaTsq59oW9dwWvFgq6hs0/edit?usp=sharing"",""แพร่!N474"")"),0)</f>
        <v>0</v>
      </c>
      <c r="K24" s="187">
        <f ca="1">IFERROR(__xludf.DUMMYFUNCTION("IMPORTRANGE(""https://docs.google.com/spreadsheets/d/1gvTMYAnm7v1yG1BKWFtr0DnaTsq59oW9dwWvFgq6hs0/edit?usp=sharing"",""แพร่!N475"")"),39000)</f>
        <v>39000</v>
      </c>
      <c r="L24" s="187">
        <f ca="1">IFERROR(__xludf.DUMMYFUNCTION("IMPORTRANGE(""https://docs.google.com/spreadsheets/d/1gvTMYAnm7v1yG1BKWFtr0DnaTsq59oW9dwWvFgq6hs0/edit?usp=sharing"",""แพร่!N476"")"),8280)</f>
        <v>8280</v>
      </c>
      <c r="M24" s="185">
        <f ca="1">IFERROR(__xludf.DUMMYFUNCTION("IMPORTRANGE(""https://docs.google.com/spreadsheets/d/1gvTMYAnm7v1yG1BKWFtr0DnaTsq59oW9dwWvFgq6hs0/edit?usp=sharing"",""แพร่!N479"")"),0)</f>
        <v>0</v>
      </c>
      <c r="N24" s="185">
        <f t="shared" ca="1" si="41"/>
        <v>0</v>
      </c>
      <c r="O24" s="181">
        <f ca="1">IFERROR(__xludf.DUMMYFUNCTION("IMPORTRANGE(""https://docs.google.com/spreadsheets/d/1gvTMYAnm7v1yG1BKWFtr0DnaTsq59oW9dwWvFgq6hs0/edit?usp=sharing"",""แพร่!I465"")"),131)</f>
        <v>131</v>
      </c>
      <c r="P24" s="181">
        <f ca="1">IFERROR(__xludf.DUMMYFUNCTION("IMPORTRANGE(""https://docs.google.com/spreadsheets/d/1gvTMYAnm7v1yG1BKWFtr0DnaTsq59oW9dwWvFgq6hs0/edit?usp=sharing"",""แพร่!I466"")"),1300)</f>
        <v>1300</v>
      </c>
      <c r="Q24" s="181">
        <f ca="1">IFERROR(__xludf.DUMMYFUNCTION("IMPORTRANGE(""https://docs.google.com/spreadsheets/d/1gvTMYAnm7v1yG1BKWFtr0DnaTsq59oW9dwWvFgq6hs0/edit?usp=sharing"",""แพร่!J465"")"),131)</f>
        <v>131</v>
      </c>
      <c r="R24" s="186">
        <f t="shared" ca="1" si="6"/>
        <v>100</v>
      </c>
      <c r="S24" s="181">
        <f ca="1">IFERROR(__xludf.DUMMYFUNCTION("IMPORTRANGE(""https://docs.google.com/spreadsheets/d/1gvTMYAnm7v1yG1BKWFtr0DnaTsq59oW9dwWvFgq6hs0/edit?usp=sharing"",""แพร่!J466"")"),0)</f>
        <v>0</v>
      </c>
      <c r="T24" s="186">
        <f t="shared" ca="1" si="7"/>
        <v>0</v>
      </c>
      <c r="U24" s="181">
        <f ca="1">IFERROR(__xludf.DUMMYFUNCTION("IMPORTRANGE(""https://docs.google.com/spreadsheets/d/1gvTMYAnm7v1yG1BKWFtr0DnaTsq59oW9dwWvFgq6hs0/edit?usp=sharing"",""แพร่!I483"")"),1170)</f>
        <v>1170</v>
      </c>
      <c r="V24" s="181">
        <f ca="1">IFERROR(__xludf.DUMMYFUNCTION("IMPORTRANGE(""https://docs.google.com/spreadsheets/d/1gvTMYAnm7v1yG1BKWFtr0DnaTsq59oW9dwWvFgq6hs0/edit?usp=sharing"",""แพร่!J483"")"),1170)</f>
        <v>1170</v>
      </c>
      <c r="W24" s="186">
        <f t="shared" ca="1" si="32"/>
        <v>100</v>
      </c>
      <c r="X24" s="181">
        <f ca="1">IFERROR(__xludf.DUMMYFUNCTION("IMPORTRANGE(""https://docs.google.com/spreadsheets/d/1gvTMYAnm7v1yG1BKWFtr0DnaTsq59oW9dwWvFgq6hs0/edit?usp=sharing"",""แพร่!J484"")"),0)</f>
        <v>0</v>
      </c>
      <c r="Y24" s="181">
        <f ca="1">IFERROR(__xludf.DUMMYFUNCTION("IMPORTRANGE(""https://docs.google.com/spreadsheets/d/1gvTMYAnm7v1yG1BKWFtr0DnaTsq59oW9dwWvFgq6hs0/edit?usp=sharing"",""แพร่!I485"")"),117)</f>
        <v>117</v>
      </c>
      <c r="Z24" s="181">
        <f ca="1">IFERROR(__xludf.DUMMYFUNCTION("IMPORTRANGE(""https://docs.google.com/spreadsheets/d/1gvTMYAnm7v1yG1BKWFtr0DnaTsq59oW9dwWvFgq6hs0/edit?usp=sharing"",""แพร่!J485"")"),117)</f>
        <v>117</v>
      </c>
      <c r="AA24" s="186">
        <f t="shared" ca="1" si="33"/>
        <v>100</v>
      </c>
      <c r="AB24" s="181">
        <f ca="1">IFERROR(__xludf.DUMMYFUNCTION("IMPORTRANGE(""https://docs.google.com/spreadsheets/d/1gvTMYAnm7v1yG1BKWFtr0DnaTsq59oW9dwWvFgq6hs0/edit?usp=sharing"",""แพร่!I487"")"),130)</f>
        <v>130</v>
      </c>
      <c r="AC24" s="181">
        <f ca="1">IFERROR(__xludf.DUMMYFUNCTION("IMPORTRANGE(""https://docs.google.com/spreadsheets/d/1gvTMYAnm7v1yG1BKWFtr0DnaTsq59oW9dwWvFgq6hs0/edit?usp=sharing"",""แพร่!J487"")"),130)</f>
        <v>130</v>
      </c>
      <c r="AD24" s="186">
        <f t="shared" ca="1" si="34"/>
        <v>100</v>
      </c>
      <c r="AE24" s="181">
        <f ca="1">IFERROR(__xludf.DUMMYFUNCTION("IMPORTRANGE(""https://docs.google.com/spreadsheets/d/1gvTMYAnm7v1yG1BKWFtr0DnaTsq59oW9dwWvFgq6hs0/edit?usp=sharing"",""แพร่!J488"")"),0)</f>
        <v>0</v>
      </c>
      <c r="AF24" s="181">
        <f ca="1">IFERROR(__xludf.DUMMYFUNCTION("IMPORTRANGE(""https://docs.google.com/spreadsheets/d/1gvTMYAnm7v1yG1BKWFtr0DnaTsq59oW9dwWvFgq6hs0/edit?usp=sharing"",""แพร่!I489"")"),13)</f>
        <v>13</v>
      </c>
      <c r="AG24" s="181">
        <f ca="1">IFERROR(__xludf.DUMMYFUNCTION("IMPORTRANGE(""https://docs.google.com/spreadsheets/d/1gvTMYAnm7v1yG1BKWFtr0DnaTsq59oW9dwWvFgq6hs0/edit?usp=sharing"",""แพร่!J489"")"),13)</f>
        <v>13</v>
      </c>
      <c r="AH24" s="186">
        <f t="shared" ca="1" si="35"/>
        <v>100</v>
      </c>
      <c r="AI24" s="181">
        <f ca="1">IFERROR(__xludf.DUMMYFUNCTION("IMPORTRANGE(""https://docs.google.com/spreadsheets/d/1gvTMYAnm7v1yG1BKWFtr0DnaTsq59oW9dwWvFgq6hs0/edit?usp=sharing"",""แพร่!J491"")"),0)</f>
        <v>0</v>
      </c>
      <c r="AJ24" s="181">
        <f ca="1">IFERROR(__xludf.DUMMYFUNCTION("IMPORTRANGE(""https://docs.google.com/spreadsheets/d/1gvTMYAnm7v1yG1BKWFtr0DnaTsq59oW9dwWvFgq6hs0/edit?usp=sharing"",""แพร่!I492"")"),1)</f>
        <v>1</v>
      </c>
      <c r="AK24" s="181">
        <f ca="1">IFERROR(__xludf.DUMMYFUNCTION("IMPORTRANGE(""https://docs.google.com/spreadsheets/d/1gvTMYAnm7v1yG1BKWFtr0DnaTsq59oW9dwWvFgq6hs0/edit?usp=sharing"",""แพร่!J492"")"),1)</f>
        <v>1</v>
      </c>
      <c r="AL24" s="186">
        <f t="shared" ca="1" si="36"/>
        <v>100</v>
      </c>
      <c r="AM24" s="181">
        <f ca="1">IFERROR(__xludf.DUMMYFUNCTION("IMPORTRANGE(""https://docs.google.com/spreadsheets/d/1gvTMYAnm7v1yG1BKWFtr0DnaTsq59oW9dwWvFgq6hs0/edit?usp=sharing"",""แพร่!I495"")"),1170)</f>
        <v>1170</v>
      </c>
      <c r="AN24" s="181">
        <f ca="1">IFERROR(__xludf.DUMMYFUNCTION("IMPORTRANGE(""https://docs.google.com/spreadsheets/d/1gvTMYAnm7v1yG1BKWFtr0DnaTsq59oW9dwWvFgq6hs0/edit?usp=sharing"",""แพร่!J495"")"),0)</f>
        <v>0</v>
      </c>
      <c r="AO24" s="186">
        <f t="shared" ca="1" si="37"/>
        <v>0</v>
      </c>
      <c r="AP24" s="181">
        <f ca="1">IFERROR(__xludf.DUMMYFUNCTION("IMPORTRANGE(""https://docs.google.com/spreadsheets/d/1gvTMYAnm7v1yG1BKWFtr0DnaTsq59oW9dwWvFgq6hs0/edit?usp=sharing"",""แพร่!J496"")"),0)</f>
        <v>0</v>
      </c>
      <c r="AQ24" s="181">
        <f ca="1">IFERROR(__xludf.DUMMYFUNCTION("IMPORTRANGE(""https://docs.google.com/spreadsheets/d/1gvTMYAnm7v1yG1BKWFtr0DnaTsq59oW9dwWvFgq6hs0/edit?usp=sharing"",""แพร่!I498"")"),130)</f>
        <v>130</v>
      </c>
      <c r="AR24" s="181">
        <f ca="1">IFERROR(__xludf.DUMMYFUNCTION("IMPORTRANGE(""https://docs.google.com/spreadsheets/d/1gvTMYAnm7v1yG1BKWFtr0DnaTsq59oW9dwWvFgq6hs0/edit?usp=sharing"",""แพร่!J498"")"),0)</f>
        <v>0</v>
      </c>
      <c r="AS24" s="186">
        <f t="shared" ca="1" si="38"/>
        <v>0</v>
      </c>
      <c r="AT24" s="181">
        <f ca="1">IFERROR(__xludf.DUMMYFUNCTION("IMPORTRANGE(""https://docs.google.com/spreadsheets/d/1gvTMYAnm7v1yG1BKWFtr0DnaTsq59oW9dwWvFgq6hs0/edit?usp=sharing"",""แพร่!J499"")"),0)</f>
        <v>0</v>
      </c>
    </row>
    <row r="25" spans="1:46" ht="24" customHeight="1" x14ac:dyDescent="0.3">
      <c r="A25" s="178">
        <v>12</v>
      </c>
      <c r="B25" s="179" t="s">
        <v>42</v>
      </c>
      <c r="C25" s="180">
        <f t="shared" ca="1" si="50"/>
        <v>112825</v>
      </c>
      <c r="D25" s="181">
        <f ca="1">IFERROR(__xludf.DUMMYFUNCTION("IMPORTRANGE(""https://docs.google.com/spreadsheets/d/1Wbcosgy-Xa1xXUArJSOenub6EfZHUSzc_bpJFWwQUf0/edit?usp=sharing"",""แม่ฮ่องสอน!L472"")"),112825)</f>
        <v>112825</v>
      </c>
      <c r="E25" s="187">
        <f ca="1">IFERROR(__xludf.DUMMYFUNCTION("IMPORTRANGE(""https://docs.google.com/spreadsheets/d/1Wbcosgy-Xa1xXUArJSOenub6EfZHUSzc_bpJFWwQUf0/edit?usp=sharing"",""แม่ฮ่องสอน!L479"")"),0)</f>
        <v>0</v>
      </c>
      <c r="F25" s="182">
        <f t="shared" ca="1" si="1"/>
        <v>16824</v>
      </c>
      <c r="G25" s="183">
        <f t="shared" ca="1" si="2"/>
        <v>14.911588743629515</v>
      </c>
      <c r="H25" s="184">
        <f t="shared" ca="1" si="51"/>
        <v>16824</v>
      </c>
      <c r="I25" s="187">
        <f ca="1">IFERROR(__xludf.DUMMYFUNCTION("IMPORTRANGE(""https://docs.google.com/spreadsheets/d/1Wbcosgy-Xa1xXUArJSOenub6EfZHUSzc_bpJFWwQUf0/edit?usp=sharing"",""แม่ฮ่องสอน!N473"")"),0)</f>
        <v>0</v>
      </c>
      <c r="J25" s="187">
        <f ca="1">IFERROR(__xludf.DUMMYFUNCTION("IMPORTRANGE(""https://docs.google.com/spreadsheets/d/1Wbcosgy-Xa1xXUArJSOenub6EfZHUSzc_bpJFWwQUf0/edit?usp=sharing"",""แม่ฮ่องสอน!N474"")"),0)</f>
        <v>0</v>
      </c>
      <c r="K25" s="187">
        <f ca="1">IFERROR(__xludf.DUMMYFUNCTION("IMPORTRANGE(""https://docs.google.com/spreadsheets/d/1Wbcosgy-Xa1xXUArJSOenub6EfZHUSzc_bpJFWwQUf0/edit?usp=sharing"",""แม่ฮ่องสอน!N475"")"),0)</f>
        <v>0</v>
      </c>
      <c r="L25" s="187">
        <f ca="1">IFERROR(__xludf.DUMMYFUNCTION("IMPORTRANGE(""https://docs.google.com/spreadsheets/d/1Wbcosgy-Xa1xXUArJSOenub6EfZHUSzc_bpJFWwQUf0/edit?usp=sharing"",""แม่ฮ่องสอน!N476"")"),16824)</f>
        <v>16824</v>
      </c>
      <c r="M25" s="185">
        <f ca="1">IFERROR(__xludf.DUMMYFUNCTION("IMPORTRANGE(""https://docs.google.com/spreadsheets/d/1Wbcosgy-Xa1xXUArJSOenub6EfZHUSzc_bpJFWwQUf0/edit?usp=sharing"",""แม่ฮ่องสอน!N479"")"),0)</f>
        <v>0</v>
      </c>
      <c r="N25" s="185">
        <f t="shared" ca="1" si="41"/>
        <v>0</v>
      </c>
      <c r="O25" s="181">
        <f ca="1">IFERROR(__xludf.DUMMYFUNCTION("IMPORTRANGE(""https://docs.google.com/spreadsheets/d/1Wbcosgy-Xa1xXUArJSOenub6EfZHUSzc_bpJFWwQUf0/edit?usp=sharing"",""แม่ฮ่องสอน!I465"")"),11)</f>
        <v>11</v>
      </c>
      <c r="P25" s="181">
        <f ca="1">IFERROR(__xludf.DUMMYFUNCTION("IMPORTRANGE(""https://docs.google.com/spreadsheets/d/1Wbcosgy-Xa1xXUArJSOenub6EfZHUSzc_bpJFWwQUf0/edit?usp=sharing"",""แม่ฮ่องสอน!I466"")"),100)</f>
        <v>100</v>
      </c>
      <c r="Q25" s="181">
        <f ca="1">IFERROR(__xludf.DUMMYFUNCTION("IMPORTRANGE(""https://docs.google.com/spreadsheets/d/1Wbcosgy-Xa1xXUArJSOenub6EfZHUSzc_bpJFWwQUf0/edit?usp=sharing"",""แม่ฮ่องสอน!J465"")"),0)</f>
        <v>0</v>
      </c>
      <c r="R25" s="186">
        <f t="shared" ca="1" si="6"/>
        <v>0</v>
      </c>
      <c r="S25" s="181">
        <f ca="1">IFERROR(__xludf.DUMMYFUNCTION("IMPORTRANGE(""https://docs.google.com/spreadsheets/d/1Wbcosgy-Xa1xXUArJSOenub6EfZHUSzc_bpJFWwQUf0/edit?usp=sharing"",""แม่ฮ่องสอน!J466"")"),0)</f>
        <v>0</v>
      </c>
      <c r="T25" s="186">
        <f t="shared" ca="1" si="7"/>
        <v>0</v>
      </c>
      <c r="U25" s="181">
        <f ca="1">IFERROR(__xludf.DUMMYFUNCTION("IMPORTRANGE(""https://docs.google.com/spreadsheets/d/1Wbcosgy-Xa1xXUArJSOenub6EfZHUSzc_bpJFWwQUf0/edit?usp=sharing"",""แม่ฮ่องสอน!I483"")"),90)</f>
        <v>90</v>
      </c>
      <c r="V25" s="181">
        <f ca="1">IFERROR(__xludf.DUMMYFUNCTION("IMPORTRANGE(""https://docs.google.com/spreadsheets/d/1Wbcosgy-Xa1xXUArJSOenub6EfZHUSzc_bpJFWwQUf0/edit?usp=sharing"",""แม่ฮ่องสอน!J483"")"),0)</f>
        <v>0</v>
      </c>
      <c r="W25" s="186">
        <f t="shared" ca="1" si="32"/>
        <v>0</v>
      </c>
      <c r="X25" s="181">
        <f ca="1">IFERROR(__xludf.DUMMYFUNCTION("IMPORTRANGE(""https://docs.google.com/spreadsheets/d/1Wbcosgy-Xa1xXUArJSOenub6EfZHUSzc_bpJFWwQUf0/edit?usp=sharing"",""แม่ฮ่องสอน!J484"")"),0)</f>
        <v>0</v>
      </c>
      <c r="Y25" s="181">
        <f ca="1">IFERROR(__xludf.DUMMYFUNCTION("IMPORTRANGE(""https://docs.google.com/spreadsheets/d/1Wbcosgy-Xa1xXUArJSOenub6EfZHUSzc_bpJFWwQUf0/edit?usp=sharing"",""แม่ฮ่องสอน!I485"")"),9)</f>
        <v>9</v>
      </c>
      <c r="Z25" s="181">
        <f ca="1">IFERROR(__xludf.DUMMYFUNCTION("IMPORTRANGE(""https://docs.google.com/spreadsheets/d/1Wbcosgy-Xa1xXUArJSOenub6EfZHUSzc_bpJFWwQUf0/edit?usp=sharing"",""แม่ฮ่องสอน!J485"")"),0)</f>
        <v>0</v>
      </c>
      <c r="AA25" s="186">
        <f t="shared" ca="1" si="33"/>
        <v>0</v>
      </c>
      <c r="AB25" s="181">
        <f ca="1">IFERROR(__xludf.DUMMYFUNCTION("IMPORTRANGE(""https://docs.google.com/spreadsheets/d/1Wbcosgy-Xa1xXUArJSOenub6EfZHUSzc_bpJFWwQUf0/edit?usp=sharing"",""แม่ฮ่องสอน!I487"")"),10)</f>
        <v>10</v>
      </c>
      <c r="AC25" s="181">
        <f ca="1">IFERROR(__xludf.DUMMYFUNCTION("IMPORTRANGE(""https://docs.google.com/spreadsheets/d/1Wbcosgy-Xa1xXUArJSOenub6EfZHUSzc_bpJFWwQUf0/edit?usp=sharing"",""แม่ฮ่องสอน!J487"")"),0)</f>
        <v>0</v>
      </c>
      <c r="AD25" s="186">
        <f t="shared" ca="1" si="34"/>
        <v>0</v>
      </c>
      <c r="AE25" s="181">
        <f ca="1">IFERROR(__xludf.DUMMYFUNCTION("IMPORTRANGE(""https://docs.google.com/spreadsheets/d/1Wbcosgy-Xa1xXUArJSOenub6EfZHUSzc_bpJFWwQUf0/edit?usp=sharing"",""แม่ฮ่องสอน!J488"")"),0)</f>
        <v>0</v>
      </c>
      <c r="AF25" s="181">
        <f ca="1">IFERROR(__xludf.DUMMYFUNCTION("IMPORTRANGE(""https://docs.google.com/spreadsheets/d/1Wbcosgy-Xa1xXUArJSOenub6EfZHUSzc_bpJFWwQUf0/edit?usp=sharing"",""แม่ฮ่องสอน!I489"")"),1)</f>
        <v>1</v>
      </c>
      <c r="AG25" s="181">
        <f ca="1">IFERROR(__xludf.DUMMYFUNCTION("IMPORTRANGE(""https://docs.google.com/spreadsheets/d/1Wbcosgy-Xa1xXUArJSOenub6EfZHUSzc_bpJFWwQUf0/edit?usp=sharing"",""แม่ฮ่องสอน!J489"")"),0)</f>
        <v>0</v>
      </c>
      <c r="AH25" s="186">
        <f t="shared" ca="1" si="35"/>
        <v>0</v>
      </c>
      <c r="AI25" s="181">
        <f ca="1">IFERROR(__xludf.DUMMYFUNCTION("IMPORTRANGE(""https://docs.google.com/spreadsheets/d/1Wbcosgy-Xa1xXUArJSOenub6EfZHUSzc_bpJFWwQUf0/edit?usp=sharing"",""แม่ฮ่องสอน!J491"")"),0)</f>
        <v>0</v>
      </c>
      <c r="AJ25" s="181">
        <f ca="1">IFERROR(__xludf.DUMMYFUNCTION("IMPORTRANGE(""https://docs.google.com/spreadsheets/d/1Wbcosgy-Xa1xXUArJSOenub6EfZHUSzc_bpJFWwQUf0/edit?usp=sharing"",""แม่ฮ่องสอน!I492"")"),1)</f>
        <v>1</v>
      </c>
      <c r="AK25" s="181">
        <f ca="1">IFERROR(__xludf.DUMMYFUNCTION("IMPORTRANGE(""https://docs.google.com/spreadsheets/d/1Wbcosgy-Xa1xXUArJSOenub6EfZHUSzc_bpJFWwQUf0/edit?usp=sharing"",""แม่ฮ่องสอน!J492"")"),0)</f>
        <v>0</v>
      </c>
      <c r="AL25" s="186">
        <f t="shared" ca="1" si="36"/>
        <v>0</v>
      </c>
      <c r="AM25" s="181">
        <f ca="1">IFERROR(__xludf.DUMMYFUNCTION("IMPORTRANGE(""https://docs.google.com/spreadsheets/d/1Wbcosgy-Xa1xXUArJSOenub6EfZHUSzc_bpJFWwQUf0/edit?usp=sharing"",""แม่ฮ่องสอน!I495"")"),90)</f>
        <v>90</v>
      </c>
      <c r="AN25" s="181">
        <f ca="1">IFERROR(__xludf.DUMMYFUNCTION("IMPORTRANGE(""https://docs.google.com/spreadsheets/d/1Wbcosgy-Xa1xXUArJSOenub6EfZHUSzc_bpJFWwQUf0/edit?usp=sharing"",""แม่ฮ่องสอน!J495"")"),0)</f>
        <v>0</v>
      </c>
      <c r="AO25" s="186">
        <f t="shared" ca="1" si="37"/>
        <v>0</v>
      </c>
      <c r="AP25" s="181">
        <f ca="1">IFERROR(__xludf.DUMMYFUNCTION("IMPORTRANGE(""https://docs.google.com/spreadsheets/d/1Wbcosgy-Xa1xXUArJSOenub6EfZHUSzc_bpJFWwQUf0/edit?usp=sharing"",""แม่ฮ่องสอน!J496"")"),0)</f>
        <v>0</v>
      </c>
      <c r="AQ25" s="181">
        <f ca="1">IFERROR(__xludf.DUMMYFUNCTION("IMPORTRANGE(""https://docs.google.com/spreadsheets/d/1Wbcosgy-Xa1xXUArJSOenub6EfZHUSzc_bpJFWwQUf0/edit?usp=sharing"",""แม่ฮ่องสอน!I498"")"),10)</f>
        <v>10</v>
      </c>
      <c r="AR25" s="181">
        <f ca="1">IFERROR(__xludf.DUMMYFUNCTION("IMPORTRANGE(""https://docs.google.com/spreadsheets/d/1Wbcosgy-Xa1xXUArJSOenub6EfZHUSzc_bpJFWwQUf0/edit?usp=sharing"",""แม่ฮ่องสอน!J498"")"),0)</f>
        <v>0</v>
      </c>
      <c r="AS25" s="186">
        <f t="shared" ca="1" si="38"/>
        <v>0</v>
      </c>
      <c r="AT25" s="181">
        <f ca="1">IFERROR(__xludf.DUMMYFUNCTION("IMPORTRANGE(""https://docs.google.com/spreadsheets/d/1Wbcosgy-Xa1xXUArJSOenub6EfZHUSzc_bpJFWwQUf0/edit?usp=sharing"",""แม่ฮ่องสอน!J499"")"),0)</f>
        <v>0</v>
      </c>
    </row>
    <row r="26" spans="1:46" ht="24" customHeight="1" x14ac:dyDescent="0.3">
      <c r="A26" s="178">
        <v>13</v>
      </c>
      <c r="B26" s="179" t="s">
        <v>43</v>
      </c>
      <c r="C26" s="180">
        <f t="shared" ca="1" si="50"/>
        <v>1171028</v>
      </c>
      <c r="D26" s="181">
        <f ca="1">IFERROR(__xludf.DUMMYFUNCTION("IMPORTRANGE(""https://docs.google.com/spreadsheets/d/1p7ERhsr0qZeSn-KSOdeHS9r0heI-lHtkcn2OH7hP0jQ/edit?usp=sharing"",""ลำปาง!L472"")"),1171028)</f>
        <v>1171028</v>
      </c>
      <c r="E26" s="187">
        <f ca="1">IFERROR(__xludf.DUMMYFUNCTION("IMPORTRANGE(""https://docs.google.com/spreadsheets/d/1p7ERhsr0qZeSn-KSOdeHS9r0heI-lHtkcn2OH7hP0jQ/edit?usp=sharing"",""ลำปาง!L479"")"),0)</f>
        <v>0</v>
      </c>
      <c r="F26" s="182">
        <f t="shared" ca="1" si="1"/>
        <v>196983.66999999998</v>
      </c>
      <c r="G26" s="183">
        <f t="shared" ca="1" si="2"/>
        <v>16.821431255273144</v>
      </c>
      <c r="H26" s="184">
        <f t="shared" ca="1" si="51"/>
        <v>196983.66999999998</v>
      </c>
      <c r="I26" s="187">
        <f ca="1">IFERROR(__xludf.DUMMYFUNCTION("IMPORTRANGE(""https://docs.google.com/spreadsheets/d/1p7ERhsr0qZeSn-KSOdeHS9r0heI-lHtkcn2OH7hP0jQ/edit?usp=sharing"",""ลำปาง!N473"")"),117068)</f>
        <v>117068</v>
      </c>
      <c r="J26" s="187">
        <f ca="1">IFERROR(__xludf.DUMMYFUNCTION("IMPORTRANGE(""https://docs.google.com/spreadsheets/d/1p7ERhsr0qZeSn-KSOdeHS9r0heI-lHtkcn2OH7hP0jQ/edit?usp=sharing"",""ลำปาง!N474"")"),4000)</f>
        <v>4000</v>
      </c>
      <c r="K26" s="187">
        <f ca="1">IFERROR(__xludf.DUMMYFUNCTION("IMPORTRANGE(""https://docs.google.com/spreadsheets/d/1p7ERhsr0qZeSn-KSOdeHS9r0heI-lHtkcn2OH7hP0jQ/edit?usp=sharing"",""ลำปาง!N475"")"),38566.67)</f>
        <v>38566.67</v>
      </c>
      <c r="L26" s="187">
        <f ca="1">IFERROR(__xludf.DUMMYFUNCTION("IMPORTRANGE(""https://docs.google.com/spreadsheets/d/1p7ERhsr0qZeSn-KSOdeHS9r0heI-lHtkcn2OH7hP0jQ/edit?usp=sharing"",""ลำปาง!N476"")"),37349)</f>
        <v>37349</v>
      </c>
      <c r="M26" s="185">
        <f ca="1">IFERROR(__xludf.DUMMYFUNCTION("IMPORTRANGE(""https://docs.google.com/spreadsheets/d/1p7ERhsr0qZeSn-KSOdeHS9r0heI-lHtkcn2OH7hP0jQ/edit?usp=sharing"",""ลำปาง!N479"")"),0)</f>
        <v>0</v>
      </c>
      <c r="N26" s="185">
        <f t="shared" ca="1" si="41"/>
        <v>0</v>
      </c>
      <c r="O26" s="181">
        <f ca="1">IFERROR(__xludf.DUMMYFUNCTION("IMPORTRANGE(""https://docs.google.com/spreadsheets/d/1p7ERhsr0qZeSn-KSOdeHS9r0heI-lHtkcn2OH7hP0jQ/edit?usp=sharing"",""ลำปาง!I465"")"),131)</f>
        <v>131</v>
      </c>
      <c r="P26" s="181">
        <f ca="1">IFERROR(__xludf.DUMMYFUNCTION("IMPORTRANGE(""https://docs.google.com/spreadsheets/d/1p7ERhsr0qZeSn-KSOdeHS9r0heI-lHtkcn2OH7hP0jQ/edit?usp=sharing"",""ลำปาง!I466"")"),1300)</f>
        <v>1300</v>
      </c>
      <c r="Q26" s="181">
        <f ca="1">IFERROR(__xludf.DUMMYFUNCTION("IMPORTRANGE(""https://docs.google.com/spreadsheets/d/1p7ERhsr0qZeSn-KSOdeHS9r0heI-lHtkcn2OH7hP0jQ/edit?usp=sharing"",""ลำปาง!J465"")"),131)</f>
        <v>131</v>
      </c>
      <c r="R26" s="186">
        <f t="shared" ca="1" si="6"/>
        <v>100</v>
      </c>
      <c r="S26" s="181">
        <f ca="1">IFERROR(__xludf.DUMMYFUNCTION("IMPORTRANGE(""https://docs.google.com/spreadsheets/d/1p7ERhsr0qZeSn-KSOdeHS9r0heI-lHtkcn2OH7hP0jQ/edit?usp=sharing"",""ลำปาง!J466"")"),0)</f>
        <v>0</v>
      </c>
      <c r="T26" s="186">
        <f t="shared" ca="1" si="7"/>
        <v>0</v>
      </c>
      <c r="U26" s="181">
        <f ca="1">IFERROR(__xludf.DUMMYFUNCTION("IMPORTRANGE(""https://docs.google.com/spreadsheets/d/1p7ERhsr0qZeSn-KSOdeHS9r0heI-lHtkcn2OH7hP0jQ/edit?usp=sharing"",""ลำปาง!I483"")"),1170)</f>
        <v>1170</v>
      </c>
      <c r="V26" s="181">
        <f ca="1">IFERROR(__xludf.DUMMYFUNCTION("IMPORTRANGE(""https://docs.google.com/spreadsheets/d/1p7ERhsr0qZeSn-KSOdeHS9r0heI-lHtkcn2OH7hP0jQ/edit?usp=sharing"",""ลำปาง!J483"")"),1170)</f>
        <v>1170</v>
      </c>
      <c r="W26" s="186">
        <f t="shared" ca="1" si="32"/>
        <v>100</v>
      </c>
      <c r="X26" s="181">
        <f ca="1">IFERROR(__xludf.DUMMYFUNCTION("IMPORTRANGE(""https://docs.google.com/spreadsheets/d/1p7ERhsr0qZeSn-KSOdeHS9r0heI-lHtkcn2OH7hP0jQ/edit?usp=sharing"",""ลำปาง!J484"")"),0)</f>
        <v>0</v>
      </c>
      <c r="Y26" s="181">
        <f ca="1">IFERROR(__xludf.DUMMYFUNCTION("IMPORTRANGE(""https://docs.google.com/spreadsheets/d/1p7ERhsr0qZeSn-KSOdeHS9r0heI-lHtkcn2OH7hP0jQ/edit?usp=sharing"",""ลำปาง!I485"")"),117)</f>
        <v>117</v>
      </c>
      <c r="Z26" s="181">
        <f ca="1">IFERROR(__xludf.DUMMYFUNCTION("IMPORTRANGE(""https://docs.google.com/spreadsheets/d/1p7ERhsr0qZeSn-KSOdeHS9r0heI-lHtkcn2OH7hP0jQ/edit?usp=sharing"",""ลำปาง!J485"")"),117)</f>
        <v>117</v>
      </c>
      <c r="AA26" s="186">
        <f t="shared" ca="1" si="33"/>
        <v>100</v>
      </c>
      <c r="AB26" s="181">
        <f ca="1">IFERROR(__xludf.DUMMYFUNCTION("IMPORTRANGE(""https://docs.google.com/spreadsheets/d/1p7ERhsr0qZeSn-KSOdeHS9r0heI-lHtkcn2OH7hP0jQ/edit?usp=sharing"",""ลำปาง!I487"")"),130)</f>
        <v>130</v>
      </c>
      <c r="AC26" s="181">
        <f ca="1">IFERROR(__xludf.DUMMYFUNCTION("IMPORTRANGE(""https://docs.google.com/spreadsheets/d/1p7ERhsr0qZeSn-KSOdeHS9r0heI-lHtkcn2OH7hP0jQ/edit?usp=sharing"",""ลำปาง!J487"")"),130)</f>
        <v>130</v>
      </c>
      <c r="AD26" s="186">
        <f t="shared" ca="1" si="34"/>
        <v>100</v>
      </c>
      <c r="AE26" s="181">
        <f ca="1">IFERROR(__xludf.DUMMYFUNCTION("IMPORTRANGE(""https://docs.google.com/spreadsheets/d/1p7ERhsr0qZeSn-KSOdeHS9r0heI-lHtkcn2OH7hP0jQ/edit?usp=sharing"",""ลำปาง!J488"")"),0)</f>
        <v>0</v>
      </c>
      <c r="AF26" s="181">
        <f ca="1">IFERROR(__xludf.DUMMYFUNCTION("IMPORTRANGE(""https://docs.google.com/spreadsheets/d/1p7ERhsr0qZeSn-KSOdeHS9r0heI-lHtkcn2OH7hP0jQ/edit?usp=sharing"",""ลำปาง!I489"")"),13)</f>
        <v>13</v>
      </c>
      <c r="AG26" s="181">
        <f ca="1">IFERROR(__xludf.DUMMYFUNCTION("IMPORTRANGE(""https://docs.google.com/spreadsheets/d/1p7ERhsr0qZeSn-KSOdeHS9r0heI-lHtkcn2OH7hP0jQ/edit?usp=sharing"",""ลำปาง!J489"")"),13)</f>
        <v>13</v>
      </c>
      <c r="AH26" s="186">
        <f t="shared" ca="1" si="35"/>
        <v>100</v>
      </c>
      <c r="AI26" s="181" t="str">
        <f ca="1">IFERROR(__xludf.DUMMYFUNCTION("IMPORTRANGE(""https://docs.google.com/spreadsheets/d/1p7ERhsr0qZeSn-KSOdeHS9r0heI-lHtkcn2OH7hP0jQ/edit?usp=sharing"",""ลำปาง!J491"")"),"")</f>
        <v/>
      </c>
      <c r="AJ26" s="181">
        <f ca="1">IFERROR(__xludf.DUMMYFUNCTION("IMPORTRANGE(""https://docs.google.com/spreadsheets/d/1p7ERhsr0qZeSn-KSOdeHS9r0heI-lHtkcn2OH7hP0jQ/edit?usp=sharing"",""ลำปาง!I492"")"),1)</f>
        <v>1</v>
      </c>
      <c r="AK26" s="181">
        <f ca="1">IFERROR(__xludf.DUMMYFUNCTION("IMPORTRANGE(""https://docs.google.com/spreadsheets/d/1p7ERhsr0qZeSn-KSOdeHS9r0heI-lHtkcn2OH7hP0jQ/edit?usp=sharing"",""ลำปาง!J492"")"),1)</f>
        <v>1</v>
      </c>
      <c r="AL26" s="186">
        <f t="shared" ca="1" si="36"/>
        <v>100</v>
      </c>
      <c r="AM26" s="181">
        <f ca="1">IFERROR(__xludf.DUMMYFUNCTION("IMPORTRANGE(""https://docs.google.com/spreadsheets/d/1p7ERhsr0qZeSn-KSOdeHS9r0heI-lHtkcn2OH7hP0jQ/edit?usp=sharing"",""ลำปาง!I495"")"),1170)</f>
        <v>1170</v>
      </c>
      <c r="AN26" s="181">
        <f ca="1">IFERROR(__xludf.DUMMYFUNCTION("IMPORTRANGE(""https://docs.google.com/spreadsheets/d/1p7ERhsr0qZeSn-KSOdeHS9r0heI-lHtkcn2OH7hP0jQ/edit?usp=sharing"",""ลำปาง!J495"")"),0)</f>
        <v>0</v>
      </c>
      <c r="AO26" s="186">
        <f t="shared" ca="1" si="37"/>
        <v>0</v>
      </c>
      <c r="AP26" s="181">
        <f ca="1">IFERROR(__xludf.DUMMYFUNCTION("IMPORTRANGE(""https://docs.google.com/spreadsheets/d/1p7ERhsr0qZeSn-KSOdeHS9r0heI-lHtkcn2OH7hP0jQ/edit?usp=sharing"",""ลำปาง!J496"")"),0)</f>
        <v>0</v>
      </c>
      <c r="AQ26" s="181">
        <f ca="1">IFERROR(__xludf.DUMMYFUNCTION("IMPORTRANGE(""https://docs.google.com/spreadsheets/d/1p7ERhsr0qZeSn-KSOdeHS9r0heI-lHtkcn2OH7hP0jQ/edit?usp=sharing"",""ลำปาง!I498"")"),130)</f>
        <v>130</v>
      </c>
      <c r="AR26" s="181">
        <f ca="1">IFERROR(__xludf.DUMMYFUNCTION("IMPORTRANGE(""https://docs.google.com/spreadsheets/d/1p7ERhsr0qZeSn-KSOdeHS9r0heI-lHtkcn2OH7hP0jQ/edit?usp=sharing"",""ลำปาง!J498"")"),0)</f>
        <v>0</v>
      </c>
      <c r="AS26" s="186">
        <f t="shared" ca="1" si="38"/>
        <v>0</v>
      </c>
      <c r="AT26" s="181">
        <f ca="1">IFERROR(__xludf.DUMMYFUNCTION("IMPORTRANGE(""https://docs.google.com/spreadsheets/d/1p7ERhsr0qZeSn-KSOdeHS9r0heI-lHtkcn2OH7hP0jQ/edit?usp=sharing"",""ลำปาง!J499"")"),0)</f>
        <v>0</v>
      </c>
    </row>
    <row r="27" spans="1:46" ht="24" customHeight="1" x14ac:dyDescent="0.3">
      <c r="A27" s="178">
        <v>14</v>
      </c>
      <c r="B27" s="179" t="s">
        <v>44</v>
      </c>
      <c r="C27" s="180">
        <f t="shared" ca="1" si="50"/>
        <v>260423</v>
      </c>
      <c r="D27" s="181">
        <f ca="1">IFERROR(__xludf.DUMMYFUNCTION("IMPORTRANGE(""https://docs.google.com/spreadsheets/d/1-uUXvimVhiU2U0bMN-xi2te0tS4X7DI2GLPnMjzl8cA/edit?usp=sharing"",""ลำพูน!L472"")"),260423)</f>
        <v>260423</v>
      </c>
      <c r="E27" s="187">
        <f ca="1">IFERROR(__xludf.DUMMYFUNCTION("IMPORTRANGE(""https://docs.google.com/spreadsheets/d/1-uUXvimVhiU2U0bMN-xi2te0tS4X7DI2GLPnMjzl8cA/edit?usp=sharing"",""ลำพูน!L479"")"),0)</f>
        <v>0</v>
      </c>
      <c r="F27" s="182">
        <f t="shared" ca="1" si="1"/>
        <v>24435</v>
      </c>
      <c r="G27" s="183">
        <f t="shared" ca="1" si="2"/>
        <v>9.382811810016781</v>
      </c>
      <c r="H27" s="184">
        <f t="shared" ca="1" si="51"/>
        <v>24435</v>
      </c>
      <c r="I27" s="187">
        <f ca="1">IFERROR(__xludf.DUMMYFUNCTION("IMPORTRANGE(""https://docs.google.com/spreadsheets/d/1-uUXvimVhiU2U0bMN-xi2te0tS4X7DI2GLPnMjzl8cA/edit?usp=sharing"",""ลำพูน!N473"")"),18835)</f>
        <v>18835</v>
      </c>
      <c r="J27" s="187">
        <f ca="1">IFERROR(__xludf.DUMMYFUNCTION("IMPORTRANGE(""https://docs.google.com/spreadsheets/d/1-uUXvimVhiU2U0bMN-xi2te0tS4X7DI2GLPnMjzl8cA/edit?usp=sharing"",""ลำพูน!N474"")"),0)</f>
        <v>0</v>
      </c>
      <c r="K27" s="187">
        <f ca="1">IFERROR(__xludf.DUMMYFUNCTION("IMPORTRANGE(""https://docs.google.com/spreadsheets/d/1-uUXvimVhiU2U0bMN-xi2te0tS4X7DI2GLPnMjzl8cA/edit?usp=sharing"",""ลำพูน!N475"")"),0)</f>
        <v>0</v>
      </c>
      <c r="L27" s="187">
        <f ca="1">IFERROR(__xludf.DUMMYFUNCTION("IMPORTRANGE(""https://docs.google.com/spreadsheets/d/1-uUXvimVhiU2U0bMN-xi2te0tS4X7DI2GLPnMjzl8cA/edit?usp=sharing"",""ลำพูน!N476"")"),5600)</f>
        <v>5600</v>
      </c>
      <c r="M27" s="185">
        <f ca="1">IFERROR(__xludf.DUMMYFUNCTION("IMPORTRANGE(""https://docs.google.com/spreadsheets/d/1-uUXvimVhiU2U0bMN-xi2te0tS4X7DI2GLPnMjzl8cA/edit?usp=sharing"",""ลำพูน!N479"")"),0)</f>
        <v>0</v>
      </c>
      <c r="N27" s="185">
        <f t="shared" ca="1" si="41"/>
        <v>0</v>
      </c>
      <c r="O27" s="181">
        <f ca="1">IFERROR(__xludf.DUMMYFUNCTION("IMPORTRANGE(""https://docs.google.com/spreadsheets/d/1-uUXvimVhiU2U0bMN-xi2te0tS4X7DI2GLPnMjzl8cA/edit?usp=sharing"",""ลำพูน!I465"")"),31)</f>
        <v>31</v>
      </c>
      <c r="P27" s="181">
        <f ca="1">IFERROR(__xludf.DUMMYFUNCTION("IMPORTRANGE(""https://docs.google.com/spreadsheets/d/1-uUXvimVhiU2U0bMN-xi2te0tS4X7DI2GLPnMjzl8cA/edit?usp=sharing"",""ลำพูน!I466"")"),300)</f>
        <v>300</v>
      </c>
      <c r="Q27" s="181">
        <f ca="1">IFERROR(__xludf.DUMMYFUNCTION("IMPORTRANGE(""https://docs.google.com/spreadsheets/d/1-uUXvimVhiU2U0bMN-xi2te0tS4X7DI2GLPnMjzl8cA/edit?usp=sharing"",""ลำพูน!J465"")"),30)</f>
        <v>30</v>
      </c>
      <c r="R27" s="186">
        <f t="shared" ca="1" si="6"/>
        <v>96.774193548387103</v>
      </c>
      <c r="S27" s="181">
        <f ca="1">IFERROR(__xludf.DUMMYFUNCTION("IMPORTRANGE(""https://docs.google.com/spreadsheets/d/1-uUXvimVhiU2U0bMN-xi2te0tS4X7DI2GLPnMjzl8cA/edit?usp=sharing"",""ลำพูน!J466"")"),0)</f>
        <v>0</v>
      </c>
      <c r="T27" s="186">
        <f t="shared" ca="1" si="7"/>
        <v>0</v>
      </c>
      <c r="U27" s="181">
        <f ca="1">IFERROR(__xludf.DUMMYFUNCTION("IMPORTRANGE(""https://docs.google.com/spreadsheets/d/1-uUXvimVhiU2U0bMN-xi2te0tS4X7DI2GLPnMjzl8cA/edit?usp=sharing"",""ลำพูน!I483"")"),270)</f>
        <v>270</v>
      </c>
      <c r="V27" s="181">
        <f ca="1">IFERROR(__xludf.DUMMYFUNCTION("IMPORTRANGE(""https://docs.google.com/spreadsheets/d/1-uUXvimVhiU2U0bMN-xi2te0tS4X7DI2GLPnMjzl8cA/edit?usp=sharing"",""ลำพูน!J483"")"),200)</f>
        <v>200</v>
      </c>
      <c r="W27" s="186">
        <f t="shared" ca="1" si="32"/>
        <v>74.074074074074076</v>
      </c>
      <c r="X27" s="181">
        <f ca="1">IFERROR(__xludf.DUMMYFUNCTION("IMPORTRANGE(""https://docs.google.com/spreadsheets/d/1-uUXvimVhiU2U0bMN-xi2te0tS4X7DI2GLPnMjzl8cA/edit?usp=sharing"",""ลำพูน!J484"")"),0)</f>
        <v>0</v>
      </c>
      <c r="Y27" s="181">
        <f ca="1">IFERROR(__xludf.DUMMYFUNCTION("IMPORTRANGE(""https://docs.google.com/spreadsheets/d/1-uUXvimVhiU2U0bMN-xi2te0tS4X7DI2GLPnMjzl8cA/edit?usp=sharing"",""ลำพูน!I485"")"),27)</f>
        <v>27</v>
      </c>
      <c r="Z27" s="181">
        <f ca="1">IFERROR(__xludf.DUMMYFUNCTION("IMPORTRANGE(""https://docs.google.com/spreadsheets/d/1-uUXvimVhiU2U0bMN-xi2te0tS4X7DI2GLPnMjzl8cA/edit?usp=sharing"",""ลำพูน!J485"")"),30)</f>
        <v>30</v>
      </c>
      <c r="AA27" s="186">
        <f t="shared" ca="1" si="33"/>
        <v>111.11111111111111</v>
      </c>
      <c r="AB27" s="181">
        <f ca="1">IFERROR(__xludf.DUMMYFUNCTION("IMPORTRANGE(""https://docs.google.com/spreadsheets/d/1-uUXvimVhiU2U0bMN-xi2te0tS4X7DI2GLPnMjzl8cA/edit?usp=sharing"",""ลำพูน!I487"")"),30)</f>
        <v>30</v>
      </c>
      <c r="AC27" s="181">
        <f ca="1">IFERROR(__xludf.DUMMYFUNCTION("IMPORTRANGE(""https://docs.google.com/spreadsheets/d/1-uUXvimVhiU2U0bMN-xi2te0tS4X7DI2GLPnMjzl8cA/edit?usp=sharing"",""ลำพูน!J487"")"),0)</f>
        <v>0</v>
      </c>
      <c r="AD27" s="186">
        <f t="shared" ca="1" si="34"/>
        <v>0</v>
      </c>
      <c r="AE27" s="181">
        <f ca="1">IFERROR(__xludf.DUMMYFUNCTION("IMPORTRANGE(""https://docs.google.com/spreadsheets/d/1-uUXvimVhiU2U0bMN-xi2te0tS4X7DI2GLPnMjzl8cA/edit?usp=sharing"",""ลำพูน!J488"")"),0)</f>
        <v>0</v>
      </c>
      <c r="AF27" s="181">
        <f ca="1">IFERROR(__xludf.DUMMYFUNCTION("IMPORTRANGE(""https://docs.google.com/spreadsheets/d/1-uUXvimVhiU2U0bMN-xi2te0tS4X7DI2GLPnMjzl8cA/edit?usp=sharing"",""ลำพูน!I489"")"),3)</f>
        <v>3</v>
      </c>
      <c r="AG27" s="181">
        <f ca="1">IFERROR(__xludf.DUMMYFUNCTION("IMPORTRANGE(""https://docs.google.com/spreadsheets/d/1-uUXvimVhiU2U0bMN-xi2te0tS4X7DI2GLPnMjzl8cA/edit?usp=sharing"",""ลำพูน!J489"")"),0)</f>
        <v>0</v>
      </c>
      <c r="AH27" s="186">
        <f t="shared" ca="1" si="35"/>
        <v>0</v>
      </c>
      <c r="AI27" s="181">
        <f ca="1">IFERROR(__xludf.DUMMYFUNCTION("IMPORTRANGE(""https://docs.google.com/spreadsheets/d/1-uUXvimVhiU2U0bMN-xi2te0tS4X7DI2GLPnMjzl8cA/edit?usp=sharing"",""ลำพูน!J491"")"),0)</f>
        <v>0</v>
      </c>
      <c r="AJ27" s="181">
        <f ca="1">IFERROR(__xludf.DUMMYFUNCTION("IMPORTRANGE(""https://docs.google.com/spreadsheets/d/1-uUXvimVhiU2U0bMN-xi2te0tS4X7DI2GLPnMjzl8cA/edit?usp=sharing"",""ลำพูน!I492"")"),1)</f>
        <v>1</v>
      </c>
      <c r="AK27" s="181">
        <f ca="1">IFERROR(__xludf.DUMMYFUNCTION("IMPORTRANGE(""https://docs.google.com/spreadsheets/d/1-uUXvimVhiU2U0bMN-xi2te0tS4X7DI2GLPnMjzl8cA/edit?usp=sharing"",""ลำพูน!J492"")"),0)</f>
        <v>0</v>
      </c>
      <c r="AL27" s="186">
        <f t="shared" ca="1" si="36"/>
        <v>0</v>
      </c>
      <c r="AM27" s="181">
        <f ca="1">IFERROR(__xludf.DUMMYFUNCTION("IMPORTRANGE(""https://docs.google.com/spreadsheets/d/1-uUXvimVhiU2U0bMN-xi2te0tS4X7DI2GLPnMjzl8cA/edit?usp=sharing"",""ลำพูน!I495"")"),270)</f>
        <v>270</v>
      </c>
      <c r="AN27" s="181">
        <f ca="1">IFERROR(__xludf.DUMMYFUNCTION("IMPORTRANGE(""https://docs.google.com/spreadsheets/d/1-uUXvimVhiU2U0bMN-xi2te0tS4X7DI2GLPnMjzl8cA/edit?usp=sharing"",""ลำพูน!J495"")"),0)</f>
        <v>0</v>
      </c>
      <c r="AO27" s="186">
        <f t="shared" ca="1" si="37"/>
        <v>0</v>
      </c>
      <c r="AP27" s="181">
        <f ca="1">IFERROR(__xludf.DUMMYFUNCTION("IMPORTRANGE(""https://docs.google.com/spreadsheets/d/1-uUXvimVhiU2U0bMN-xi2te0tS4X7DI2GLPnMjzl8cA/edit?usp=sharing"",""ลำพูน!J496"")"),0)</f>
        <v>0</v>
      </c>
      <c r="AQ27" s="181">
        <f ca="1">IFERROR(__xludf.DUMMYFUNCTION("IMPORTRANGE(""https://docs.google.com/spreadsheets/d/1-uUXvimVhiU2U0bMN-xi2te0tS4X7DI2GLPnMjzl8cA/edit?usp=sharing"",""ลำพูน!I498"")"),30)</f>
        <v>30</v>
      </c>
      <c r="AR27" s="181">
        <f ca="1">IFERROR(__xludf.DUMMYFUNCTION("IMPORTRANGE(""https://docs.google.com/spreadsheets/d/1-uUXvimVhiU2U0bMN-xi2te0tS4X7DI2GLPnMjzl8cA/edit?usp=sharing"",""ลำพูน!J498"")"),0)</f>
        <v>0</v>
      </c>
      <c r="AS27" s="186">
        <f t="shared" ca="1" si="38"/>
        <v>0</v>
      </c>
      <c r="AT27" s="181">
        <f ca="1">IFERROR(__xludf.DUMMYFUNCTION("IMPORTRANGE(""https://docs.google.com/spreadsheets/d/1-uUXvimVhiU2U0bMN-xi2te0tS4X7DI2GLPnMjzl8cA/edit?usp=sharing"",""ลำพูน!J499"")"),0)</f>
        <v>0</v>
      </c>
    </row>
    <row r="28" spans="1:46" ht="24" customHeight="1" x14ac:dyDescent="0.3">
      <c r="A28" s="178">
        <v>15</v>
      </c>
      <c r="B28" s="179" t="s">
        <v>45</v>
      </c>
      <c r="C28" s="180">
        <f t="shared" ca="1" si="50"/>
        <v>257423</v>
      </c>
      <c r="D28" s="181">
        <f ca="1">IFERROR(__xludf.DUMMYFUNCTION("IMPORTRANGE(""https://docs.google.com/spreadsheets/d/17HrOaa5pBUI1onckFfumXB8xlg35qb2uBAFfF1D-Myo/edit?usp=sharing"",""สุโขทัย!L472"")"),257423)</f>
        <v>257423</v>
      </c>
      <c r="E28" s="187">
        <f ca="1">IFERROR(__xludf.DUMMYFUNCTION("IMPORTRANGE(""https://docs.google.com/spreadsheets/d/17HrOaa5pBUI1onckFfumXB8xlg35qb2uBAFfF1D-Myo/edit?usp=sharing"",""สุโขทัย!L479"")"),0)</f>
        <v>0</v>
      </c>
      <c r="F28" s="182">
        <f t="shared" ca="1" si="1"/>
        <v>12050</v>
      </c>
      <c r="G28" s="183">
        <f t="shared" ca="1" si="2"/>
        <v>4.6810114092369366</v>
      </c>
      <c r="H28" s="184">
        <f t="shared" ca="1" si="51"/>
        <v>12050</v>
      </c>
      <c r="I28" s="187">
        <f ca="1">IFERROR(__xludf.DUMMYFUNCTION("IMPORTRANGE(""https://docs.google.com/spreadsheets/d/17HrOaa5pBUI1onckFfumXB8xlg35qb2uBAFfF1D-Myo/edit?usp=sharing"",""สุโขทัย!N473"")"),0)</f>
        <v>0</v>
      </c>
      <c r="J28" s="187">
        <f ca="1">IFERROR(__xludf.DUMMYFUNCTION("IMPORTRANGE(""https://docs.google.com/spreadsheets/d/17HrOaa5pBUI1onckFfumXB8xlg35qb2uBAFfF1D-Myo/edit?usp=sharing"",""สุโขทัย!N474"")"),0)</f>
        <v>0</v>
      </c>
      <c r="K28" s="187">
        <f ca="1">IFERROR(__xludf.DUMMYFUNCTION("IMPORTRANGE(""https://docs.google.com/spreadsheets/d/17HrOaa5pBUI1onckFfumXB8xlg35qb2uBAFfF1D-Myo/edit?usp=sharing"",""สุโขทัย!N475"")"),0)</f>
        <v>0</v>
      </c>
      <c r="L28" s="187">
        <f ca="1">IFERROR(__xludf.DUMMYFUNCTION("IMPORTRANGE(""https://docs.google.com/spreadsheets/d/17HrOaa5pBUI1onckFfumXB8xlg35qb2uBAFfF1D-Myo/edit?usp=sharing"",""สุโขทัย!N476"")"),12050)</f>
        <v>12050</v>
      </c>
      <c r="M28" s="185">
        <f ca="1">IFERROR(__xludf.DUMMYFUNCTION("IMPORTRANGE(""https://docs.google.com/spreadsheets/d/17HrOaa5pBUI1onckFfumXB8xlg35qb2uBAFfF1D-Myo/edit?usp=sharing"",""สุโขทัย!N479"")"),0)</f>
        <v>0</v>
      </c>
      <c r="N28" s="185">
        <f t="shared" ca="1" si="41"/>
        <v>0</v>
      </c>
      <c r="O28" s="181">
        <f ca="1">IFERROR(__xludf.DUMMYFUNCTION("IMPORTRANGE(""https://docs.google.com/spreadsheets/d/17HrOaa5pBUI1onckFfumXB8xlg35qb2uBAFfF1D-Myo/edit?usp=sharing"",""สุโขทัย!I465"")"),31)</f>
        <v>31</v>
      </c>
      <c r="P28" s="181">
        <f ca="1">IFERROR(__xludf.DUMMYFUNCTION("IMPORTRANGE(""https://docs.google.com/spreadsheets/d/17HrOaa5pBUI1onckFfumXB8xlg35qb2uBAFfF1D-Myo/edit?usp=sharing"",""สุโขทัย!I466"")"),300)</f>
        <v>300</v>
      </c>
      <c r="Q28" s="181">
        <f ca="1">IFERROR(__xludf.DUMMYFUNCTION("IMPORTRANGE(""https://docs.google.com/spreadsheets/d/17HrOaa5pBUI1onckFfumXB8xlg35qb2uBAFfF1D-Myo/edit?usp=sharing"",""สุโขทัย!J465"")"),31)</f>
        <v>31</v>
      </c>
      <c r="R28" s="186">
        <f t="shared" ca="1" si="6"/>
        <v>100</v>
      </c>
      <c r="S28" s="181">
        <f ca="1">IFERROR(__xludf.DUMMYFUNCTION("IMPORTRANGE(""https://docs.google.com/spreadsheets/d/17HrOaa5pBUI1onckFfumXB8xlg35qb2uBAFfF1D-Myo/edit?usp=sharing"",""สุโขทัย!J466"")"),0)</f>
        <v>0</v>
      </c>
      <c r="T28" s="186">
        <f t="shared" ca="1" si="7"/>
        <v>0</v>
      </c>
      <c r="U28" s="181">
        <f ca="1">IFERROR(__xludf.DUMMYFUNCTION("IMPORTRANGE(""https://docs.google.com/spreadsheets/d/17HrOaa5pBUI1onckFfumXB8xlg35qb2uBAFfF1D-Myo/edit?usp=sharing"",""สุโขทัย!I483"")"),270)</f>
        <v>270</v>
      </c>
      <c r="V28" s="181">
        <f ca="1">IFERROR(__xludf.DUMMYFUNCTION("IMPORTRANGE(""https://docs.google.com/spreadsheets/d/17HrOaa5pBUI1onckFfumXB8xlg35qb2uBAFfF1D-Myo/edit?usp=sharing"",""สุโขทัย!J483"")"),0)</f>
        <v>0</v>
      </c>
      <c r="W28" s="186">
        <f t="shared" ca="1" si="32"/>
        <v>0</v>
      </c>
      <c r="X28" s="181">
        <f ca="1">IFERROR(__xludf.DUMMYFUNCTION("IMPORTRANGE(""https://docs.google.com/spreadsheets/d/17HrOaa5pBUI1onckFfumXB8xlg35qb2uBAFfF1D-Myo/edit?usp=sharing"",""สุโขทัย!J484"")"),0)</f>
        <v>0</v>
      </c>
      <c r="Y28" s="181">
        <f ca="1">IFERROR(__xludf.DUMMYFUNCTION("IMPORTRANGE(""https://docs.google.com/spreadsheets/d/17HrOaa5pBUI1onckFfumXB8xlg35qb2uBAFfF1D-Myo/edit?usp=sharing"",""สุโขทัย!I485"")"),27)</f>
        <v>27</v>
      </c>
      <c r="Z28" s="181">
        <f ca="1">IFERROR(__xludf.DUMMYFUNCTION("IMPORTRANGE(""https://docs.google.com/spreadsheets/d/17HrOaa5pBUI1onckFfumXB8xlg35qb2uBAFfF1D-Myo/edit?usp=sharing"",""สุโขทัย!J485"")"),27)</f>
        <v>27</v>
      </c>
      <c r="AA28" s="186">
        <f t="shared" ca="1" si="33"/>
        <v>100</v>
      </c>
      <c r="AB28" s="181">
        <f ca="1">IFERROR(__xludf.DUMMYFUNCTION("IMPORTRANGE(""https://docs.google.com/spreadsheets/d/17HrOaa5pBUI1onckFfumXB8xlg35qb2uBAFfF1D-Myo/edit?usp=sharing"",""สุโขทัย!I487"")"),30)</f>
        <v>30</v>
      </c>
      <c r="AC28" s="181">
        <f ca="1">IFERROR(__xludf.DUMMYFUNCTION("IMPORTRANGE(""https://docs.google.com/spreadsheets/d/17HrOaa5pBUI1onckFfumXB8xlg35qb2uBAFfF1D-Myo/edit?usp=sharing"",""สุโขทัย!J487"")"),0)</f>
        <v>0</v>
      </c>
      <c r="AD28" s="186">
        <f t="shared" ca="1" si="34"/>
        <v>0</v>
      </c>
      <c r="AE28" s="181">
        <f ca="1">IFERROR(__xludf.DUMMYFUNCTION("IMPORTRANGE(""https://docs.google.com/spreadsheets/d/17HrOaa5pBUI1onckFfumXB8xlg35qb2uBAFfF1D-Myo/edit?usp=sharing"",""สุโขทัย!J488"")"),0)</f>
        <v>0</v>
      </c>
      <c r="AF28" s="181">
        <f ca="1">IFERROR(__xludf.DUMMYFUNCTION("IMPORTRANGE(""https://docs.google.com/spreadsheets/d/17HrOaa5pBUI1onckFfumXB8xlg35qb2uBAFfF1D-Myo/edit?usp=sharing"",""สุโขทัย!I489"")"),3)</f>
        <v>3</v>
      </c>
      <c r="AG28" s="181">
        <f ca="1">IFERROR(__xludf.DUMMYFUNCTION("IMPORTRANGE(""https://docs.google.com/spreadsheets/d/17HrOaa5pBUI1onckFfumXB8xlg35qb2uBAFfF1D-Myo/edit?usp=sharing"",""สุโขทัย!J489"")"),3)</f>
        <v>3</v>
      </c>
      <c r="AH28" s="186">
        <f t="shared" ca="1" si="35"/>
        <v>100</v>
      </c>
      <c r="AI28" s="181">
        <f ca="1">IFERROR(__xludf.DUMMYFUNCTION("IMPORTRANGE(""https://docs.google.com/spreadsheets/d/17HrOaa5pBUI1onckFfumXB8xlg35qb2uBAFfF1D-Myo/edit?usp=sharing"",""สุโขทัย!J491"")"),0)</f>
        <v>0</v>
      </c>
      <c r="AJ28" s="181">
        <f ca="1">IFERROR(__xludf.DUMMYFUNCTION("IMPORTRANGE(""https://docs.google.com/spreadsheets/d/17HrOaa5pBUI1onckFfumXB8xlg35qb2uBAFfF1D-Myo/edit?usp=sharing"",""สุโขทัย!I492"")"),1)</f>
        <v>1</v>
      </c>
      <c r="AK28" s="181">
        <f ca="1">IFERROR(__xludf.DUMMYFUNCTION("IMPORTRANGE(""https://docs.google.com/spreadsheets/d/17HrOaa5pBUI1onckFfumXB8xlg35qb2uBAFfF1D-Myo/edit?usp=sharing"",""สุโขทัย!J492"")"),1)</f>
        <v>1</v>
      </c>
      <c r="AL28" s="186">
        <f t="shared" ca="1" si="36"/>
        <v>100</v>
      </c>
      <c r="AM28" s="181">
        <f ca="1">IFERROR(__xludf.DUMMYFUNCTION("IMPORTRANGE(""https://docs.google.com/spreadsheets/d/17HrOaa5pBUI1onckFfumXB8xlg35qb2uBAFfF1D-Myo/edit?usp=sharing"",""สุโขทัย!I495"")"),270)</f>
        <v>270</v>
      </c>
      <c r="AN28" s="181">
        <f ca="1">IFERROR(__xludf.DUMMYFUNCTION("IMPORTRANGE(""https://docs.google.com/spreadsheets/d/17HrOaa5pBUI1onckFfumXB8xlg35qb2uBAFfF1D-Myo/edit?usp=sharing"",""สุโขทัย!J495"")"),0)</f>
        <v>0</v>
      </c>
      <c r="AO28" s="186">
        <f t="shared" ca="1" si="37"/>
        <v>0</v>
      </c>
      <c r="AP28" s="181">
        <f ca="1">IFERROR(__xludf.DUMMYFUNCTION("IMPORTRANGE(""https://docs.google.com/spreadsheets/d/17HrOaa5pBUI1onckFfumXB8xlg35qb2uBAFfF1D-Myo/edit?usp=sharing"",""สุโขทัย!J496"")"),0)</f>
        <v>0</v>
      </c>
      <c r="AQ28" s="181">
        <f ca="1">IFERROR(__xludf.DUMMYFUNCTION("IMPORTRANGE(""https://docs.google.com/spreadsheets/d/17HrOaa5pBUI1onckFfumXB8xlg35qb2uBAFfF1D-Myo/edit?usp=sharing"",""สุโขทัย!I498"")"),30)</f>
        <v>30</v>
      </c>
      <c r="AR28" s="181">
        <f ca="1">IFERROR(__xludf.DUMMYFUNCTION("IMPORTRANGE(""https://docs.google.com/spreadsheets/d/17HrOaa5pBUI1onckFfumXB8xlg35qb2uBAFfF1D-Myo/edit?usp=sharing"",""สุโขทัย!J498"")"),0)</f>
        <v>0</v>
      </c>
      <c r="AS28" s="186">
        <f t="shared" ca="1" si="38"/>
        <v>0</v>
      </c>
      <c r="AT28" s="181">
        <f ca="1">IFERROR(__xludf.DUMMYFUNCTION("IMPORTRANGE(""https://docs.google.com/spreadsheets/d/17HrOaa5pBUI1onckFfumXB8xlg35qb2uBAFfF1D-Myo/edit?usp=sharing"",""สุโขทัย!J499"")"),0)</f>
        <v>0</v>
      </c>
    </row>
    <row r="29" spans="1:46" ht="24" customHeight="1" x14ac:dyDescent="0.3">
      <c r="A29" s="178">
        <v>16</v>
      </c>
      <c r="B29" s="179" t="s">
        <v>46</v>
      </c>
      <c r="C29" s="180">
        <f t="shared" ca="1" si="50"/>
        <v>490033</v>
      </c>
      <c r="D29" s="181">
        <f ca="1">IFERROR(__xludf.DUMMYFUNCTION("IMPORTRANGE(""https://docs.google.com/spreadsheets/d/1ubs5cl16eYL9gHbdHTJtmtYb9MGzHBs7CAphn8kNCgM/edit?usp=sharing"",""อุตรดิตถ์!L472"")"),490033)</f>
        <v>490033</v>
      </c>
      <c r="E29" s="187">
        <f ca="1">IFERROR(__xludf.DUMMYFUNCTION("IMPORTRANGE(""https://docs.google.com/spreadsheets/d/1ubs5cl16eYL9gHbdHTJtmtYb9MGzHBs7CAphn8kNCgM/edit?usp=sharing"",""อุตรดิตถ์!L479"")"),0)</f>
        <v>0</v>
      </c>
      <c r="F29" s="182">
        <f t="shared" ca="1" si="1"/>
        <v>14354</v>
      </c>
      <c r="G29" s="183">
        <f t="shared" ca="1" si="2"/>
        <v>2.9291904830899145</v>
      </c>
      <c r="H29" s="184">
        <f t="shared" ca="1" si="51"/>
        <v>14354</v>
      </c>
      <c r="I29" s="187">
        <f ca="1">IFERROR(__xludf.DUMMYFUNCTION("IMPORTRANGE(""https://docs.google.com/spreadsheets/d/1ubs5cl16eYL9gHbdHTJtmtYb9MGzHBs7CAphn8kNCgM/edit?usp=sharing"",""อุตรดิตถ์!N473"")"),0)</f>
        <v>0</v>
      </c>
      <c r="J29" s="187">
        <f ca="1">IFERROR(__xludf.DUMMYFUNCTION("IMPORTRANGE(""https://docs.google.com/spreadsheets/d/1ubs5cl16eYL9gHbdHTJtmtYb9MGzHBs7CAphn8kNCgM/edit?usp=sharing"",""อุตรดิตถ์!N474"")"),0)</f>
        <v>0</v>
      </c>
      <c r="K29" s="187">
        <f ca="1">IFERROR(__xludf.DUMMYFUNCTION("IMPORTRANGE(""https://docs.google.com/spreadsheets/d/1ubs5cl16eYL9gHbdHTJtmtYb9MGzHBs7CAphn8kNCgM/edit?usp=sharing"",""อุตรดิตถ์!N475"")"),0)</f>
        <v>0</v>
      </c>
      <c r="L29" s="187">
        <f ca="1">IFERROR(__xludf.DUMMYFUNCTION("IMPORTRANGE(""https://docs.google.com/spreadsheets/d/1ubs5cl16eYL9gHbdHTJtmtYb9MGzHBs7CAphn8kNCgM/edit?usp=sharing"",""อุตรดิตถ์!N476"")"),14354)</f>
        <v>14354</v>
      </c>
      <c r="M29" s="185">
        <f ca="1">IFERROR(__xludf.DUMMYFUNCTION("IMPORTRANGE(""https://docs.google.com/spreadsheets/d/1ubs5cl16eYL9gHbdHTJtmtYb9MGzHBs7CAphn8kNCgM/edit?usp=sharing"",""อุตรดิตถ์!N479"")"),0)</f>
        <v>0</v>
      </c>
      <c r="N29" s="185">
        <f t="shared" ca="1" si="41"/>
        <v>0</v>
      </c>
      <c r="O29" s="181">
        <f ca="1">IFERROR(__xludf.DUMMYFUNCTION("IMPORTRANGE(""https://docs.google.com/spreadsheets/d/1ubs5cl16eYL9gHbdHTJtmtYb9MGzHBs7CAphn8kNCgM/edit?usp=sharing"",""อุตรดิตถ์!I465"")"),61)</f>
        <v>61</v>
      </c>
      <c r="P29" s="181">
        <f ca="1">IFERROR(__xludf.DUMMYFUNCTION("IMPORTRANGE(""https://docs.google.com/spreadsheets/d/1ubs5cl16eYL9gHbdHTJtmtYb9MGzHBs7CAphn8kNCgM/edit?usp=sharing"",""อุตรดิตถ์!I466"")"),600)</f>
        <v>600</v>
      </c>
      <c r="Q29" s="181">
        <f ca="1">IFERROR(__xludf.DUMMYFUNCTION("IMPORTRANGE(""https://docs.google.com/spreadsheets/d/1ubs5cl16eYL9gHbdHTJtmtYb9MGzHBs7CAphn8kNCgM/edit?usp=sharing"",""อุตรดิตถ์!J465"")"),0)</f>
        <v>0</v>
      </c>
      <c r="R29" s="186">
        <f t="shared" ca="1" si="6"/>
        <v>0</v>
      </c>
      <c r="S29" s="181">
        <f ca="1">IFERROR(__xludf.DUMMYFUNCTION("IMPORTRANGE(""https://docs.google.com/spreadsheets/d/1ubs5cl16eYL9gHbdHTJtmtYb9MGzHBs7CAphn8kNCgM/edit?usp=sharing"",""อุตรดิตถ์!J466"")"),0)</f>
        <v>0</v>
      </c>
      <c r="T29" s="186">
        <f t="shared" ca="1" si="7"/>
        <v>0</v>
      </c>
      <c r="U29" s="181">
        <f ca="1">IFERROR(__xludf.DUMMYFUNCTION("IMPORTRANGE(""https://docs.google.com/spreadsheets/d/1ubs5cl16eYL9gHbdHTJtmtYb9MGzHBs7CAphn8kNCgM/edit?usp=sharing"",""อุตรดิตถ์!I483"")"),540)</f>
        <v>540</v>
      </c>
      <c r="V29" s="181">
        <f ca="1">IFERROR(__xludf.DUMMYFUNCTION("IMPORTRANGE(""https://docs.google.com/spreadsheets/d/1ubs5cl16eYL9gHbdHTJtmtYb9MGzHBs7CAphn8kNCgM/edit?usp=sharing"",""อุตรดิตถ์!J483"")"),0)</f>
        <v>0</v>
      </c>
      <c r="W29" s="186">
        <f t="shared" ca="1" si="32"/>
        <v>0</v>
      </c>
      <c r="X29" s="181">
        <f ca="1">IFERROR(__xludf.DUMMYFUNCTION("IMPORTRANGE(""https://docs.google.com/spreadsheets/d/1ubs5cl16eYL9gHbdHTJtmtYb9MGzHBs7CAphn8kNCgM/edit?usp=sharing"",""อุตรดิตถ์!J484"")"),0)</f>
        <v>0</v>
      </c>
      <c r="Y29" s="181">
        <f ca="1">IFERROR(__xludf.DUMMYFUNCTION("IMPORTRANGE(""https://docs.google.com/spreadsheets/d/1ubs5cl16eYL9gHbdHTJtmtYb9MGzHBs7CAphn8kNCgM/edit?usp=sharing"",""อุตรดิตถ์!I485"")"),54)</f>
        <v>54</v>
      </c>
      <c r="Z29" s="181">
        <f ca="1">IFERROR(__xludf.DUMMYFUNCTION("IMPORTRANGE(""https://docs.google.com/spreadsheets/d/1ubs5cl16eYL9gHbdHTJtmtYb9MGzHBs7CAphn8kNCgM/edit?usp=sharing"",""อุตรดิตถ์!J485"")"),0)</f>
        <v>0</v>
      </c>
      <c r="AA29" s="186">
        <f t="shared" ca="1" si="33"/>
        <v>0</v>
      </c>
      <c r="AB29" s="181">
        <f ca="1">IFERROR(__xludf.DUMMYFUNCTION("IMPORTRANGE(""https://docs.google.com/spreadsheets/d/1ubs5cl16eYL9gHbdHTJtmtYb9MGzHBs7CAphn8kNCgM/edit?usp=sharing"",""อุตรดิตถ์!I487"")"),60)</f>
        <v>60</v>
      </c>
      <c r="AC29" s="181">
        <f ca="1">IFERROR(__xludf.DUMMYFUNCTION("IMPORTRANGE(""https://docs.google.com/spreadsheets/d/1ubs5cl16eYL9gHbdHTJtmtYb9MGzHBs7CAphn8kNCgM/edit?usp=sharing"",""อุตรดิตถ์!J487"")"),0)</f>
        <v>0</v>
      </c>
      <c r="AD29" s="186">
        <f t="shared" ca="1" si="34"/>
        <v>0</v>
      </c>
      <c r="AE29" s="181">
        <f ca="1">IFERROR(__xludf.DUMMYFUNCTION("IMPORTRANGE(""https://docs.google.com/spreadsheets/d/1ubs5cl16eYL9gHbdHTJtmtYb9MGzHBs7CAphn8kNCgM/edit?usp=sharing"",""อุตรดิตถ์!J488"")"),0)</f>
        <v>0</v>
      </c>
      <c r="AF29" s="181">
        <f ca="1">IFERROR(__xludf.DUMMYFUNCTION("IMPORTRANGE(""https://docs.google.com/spreadsheets/d/1ubs5cl16eYL9gHbdHTJtmtYb9MGzHBs7CAphn8kNCgM/edit?usp=sharing"",""อุตรดิตถ์!I489"")"),6)</f>
        <v>6</v>
      </c>
      <c r="AG29" s="181">
        <f ca="1">IFERROR(__xludf.DUMMYFUNCTION("IMPORTRANGE(""https://docs.google.com/spreadsheets/d/1ubs5cl16eYL9gHbdHTJtmtYb9MGzHBs7CAphn8kNCgM/edit?usp=sharing"",""อุตรดิตถ์!J489"")"),0)</f>
        <v>0</v>
      </c>
      <c r="AH29" s="186">
        <f t="shared" ca="1" si="35"/>
        <v>0</v>
      </c>
      <c r="AI29" s="181">
        <f ca="1">IFERROR(__xludf.DUMMYFUNCTION("IMPORTRANGE(""https://docs.google.com/spreadsheets/d/1ubs5cl16eYL9gHbdHTJtmtYb9MGzHBs7CAphn8kNCgM/edit?usp=sharing"",""อุตรดิตถ์!J491"")"),0)</f>
        <v>0</v>
      </c>
      <c r="AJ29" s="181">
        <f ca="1">IFERROR(__xludf.DUMMYFUNCTION("IMPORTRANGE(""https://docs.google.com/spreadsheets/d/1ubs5cl16eYL9gHbdHTJtmtYb9MGzHBs7CAphn8kNCgM/edit?usp=sharing"",""อุตรดิตถ์!I492"")"),1)</f>
        <v>1</v>
      </c>
      <c r="AK29" s="181">
        <f ca="1">IFERROR(__xludf.DUMMYFUNCTION("IMPORTRANGE(""https://docs.google.com/spreadsheets/d/1ubs5cl16eYL9gHbdHTJtmtYb9MGzHBs7CAphn8kNCgM/edit?usp=sharing"",""อุตรดิตถ์!J492"")"),0)</f>
        <v>0</v>
      </c>
      <c r="AL29" s="186">
        <f t="shared" ca="1" si="36"/>
        <v>0</v>
      </c>
      <c r="AM29" s="181">
        <f ca="1">IFERROR(__xludf.DUMMYFUNCTION("IMPORTRANGE(""https://docs.google.com/spreadsheets/d/1ubs5cl16eYL9gHbdHTJtmtYb9MGzHBs7CAphn8kNCgM/edit?usp=sharing"",""อุตรดิตถ์!I495"")"),540)</f>
        <v>540</v>
      </c>
      <c r="AN29" s="181">
        <f ca="1">IFERROR(__xludf.DUMMYFUNCTION("IMPORTRANGE(""https://docs.google.com/spreadsheets/d/1ubs5cl16eYL9gHbdHTJtmtYb9MGzHBs7CAphn8kNCgM/edit?usp=sharing"",""อุตรดิตถ์!J495"")"),0)</f>
        <v>0</v>
      </c>
      <c r="AO29" s="186">
        <f t="shared" ca="1" si="37"/>
        <v>0</v>
      </c>
      <c r="AP29" s="181">
        <f ca="1">IFERROR(__xludf.DUMMYFUNCTION("IMPORTRANGE(""https://docs.google.com/spreadsheets/d/1ubs5cl16eYL9gHbdHTJtmtYb9MGzHBs7CAphn8kNCgM/edit?usp=sharing"",""อุตรดิตถ์!J496"")"),0)</f>
        <v>0</v>
      </c>
      <c r="AQ29" s="181">
        <f ca="1">IFERROR(__xludf.DUMMYFUNCTION("IMPORTRANGE(""https://docs.google.com/spreadsheets/d/1ubs5cl16eYL9gHbdHTJtmtYb9MGzHBs7CAphn8kNCgM/edit?usp=sharing"",""อุตรดิตถ์!I498"")"),60)</f>
        <v>60</v>
      </c>
      <c r="AR29" s="181">
        <f ca="1">IFERROR(__xludf.DUMMYFUNCTION("IMPORTRANGE(""https://docs.google.com/spreadsheets/d/1ubs5cl16eYL9gHbdHTJtmtYb9MGzHBs7CAphn8kNCgM/edit?usp=sharing"",""อุตรดิตถ์!J498"")"),0)</f>
        <v>0</v>
      </c>
      <c r="AS29" s="186">
        <f t="shared" ca="1" si="38"/>
        <v>0</v>
      </c>
      <c r="AT29" s="181">
        <f ca="1">IFERROR(__xludf.DUMMYFUNCTION("IMPORTRANGE(""https://docs.google.com/spreadsheets/d/1ubs5cl16eYL9gHbdHTJtmtYb9MGzHBs7CAphn8kNCgM/edit?usp=sharing"",""อุตรดิตถ์!J499"")"),0)</f>
        <v>0</v>
      </c>
    </row>
    <row r="30" spans="1:46" ht="24" customHeight="1" x14ac:dyDescent="0.3">
      <c r="A30" s="192">
        <v>17</v>
      </c>
      <c r="B30" s="193" t="s">
        <v>47</v>
      </c>
      <c r="C30" s="194">
        <f t="shared" ca="1" si="50"/>
        <v>1167048</v>
      </c>
      <c r="D30" s="195">
        <f ca="1">IFERROR(__xludf.DUMMYFUNCTION("IMPORTRANGE(""https://docs.google.com/spreadsheets/d/1kII0BjS6CtVrBvI8IrytgPdxDrlyQDyigzMsohRtDMs/edit?usp=sharing"",""อุทัยธานี!L472"")"),1167048)</f>
        <v>1167048</v>
      </c>
      <c r="E30" s="196">
        <f ca="1">IFERROR(__xludf.DUMMYFUNCTION("IMPORTRANGE(""https://docs.google.com/spreadsheets/d/1kII0BjS6CtVrBvI8IrytgPdxDrlyQDyigzMsohRtDMs/edit?usp=sharing"",""อุทัยธานี!L479"")"),0)</f>
        <v>0</v>
      </c>
      <c r="F30" s="197">
        <f t="shared" ca="1" si="1"/>
        <v>209538</v>
      </c>
      <c r="G30" s="198">
        <f t="shared" ca="1" si="2"/>
        <v>17.954531433154422</v>
      </c>
      <c r="H30" s="199">
        <f t="shared" ca="1" si="51"/>
        <v>209538</v>
      </c>
      <c r="I30" s="200">
        <f ca="1">IFERROR(__xludf.DUMMYFUNCTION("IMPORTRANGE(""https://docs.google.com/spreadsheets/d/1kII0BjS6CtVrBvI8IrytgPdxDrlyQDyigzMsohRtDMs/edit?usp=sharing"",""อุทัยธานี!N473"")"),137939)</f>
        <v>137939</v>
      </c>
      <c r="J30" s="200">
        <f ca="1">IFERROR(__xludf.DUMMYFUNCTION("IMPORTRANGE(""https://docs.google.com/spreadsheets/d/1kII0BjS6CtVrBvI8IrytgPdxDrlyQDyigzMsohRtDMs/edit?usp=sharing"",""อุทัยธานี!N474"")"),0)</f>
        <v>0</v>
      </c>
      <c r="K30" s="200">
        <f ca="1">IFERROR(__xludf.DUMMYFUNCTION("IMPORTRANGE(""https://docs.google.com/spreadsheets/d/1kII0BjS6CtVrBvI8IrytgPdxDrlyQDyigzMsohRtDMs/edit?usp=sharing"",""อุทัยธานี!N475"")"),38161)</f>
        <v>38161</v>
      </c>
      <c r="L30" s="200">
        <f ca="1">IFERROR(__xludf.DUMMYFUNCTION("IMPORTRANGE(""https://docs.google.com/spreadsheets/d/1kII0BjS6CtVrBvI8IrytgPdxDrlyQDyigzMsohRtDMs/edit?usp=sharing"",""อุทัยธานี!N476"")"),33438)</f>
        <v>33438</v>
      </c>
      <c r="M30" s="201">
        <f ca="1">IFERROR(__xludf.DUMMYFUNCTION("IMPORTRANGE(""https://docs.google.com/spreadsheets/d/1kII0BjS6CtVrBvI8IrytgPdxDrlyQDyigzMsohRtDMs/edit?usp=sharing"",""อุทัยธานี!N479"")"),0)</f>
        <v>0</v>
      </c>
      <c r="N30" s="201">
        <f t="shared" ca="1" si="41"/>
        <v>0</v>
      </c>
      <c r="O30" s="195">
        <f ca="1">IFERROR(__xludf.DUMMYFUNCTION("IMPORTRANGE(""https://docs.google.com/spreadsheets/d/1kII0BjS6CtVrBvI8IrytgPdxDrlyQDyigzMsohRtDMs/edit?usp=sharing"",""อุทัยธานี!I465"")"),131)</f>
        <v>131</v>
      </c>
      <c r="P30" s="195">
        <f ca="1">IFERROR(__xludf.DUMMYFUNCTION("IMPORTRANGE(""https://docs.google.com/spreadsheets/d/1kII0BjS6CtVrBvI8IrytgPdxDrlyQDyigzMsohRtDMs/edit?usp=sharing"",""อุทัยธานี!I466"")"),1300)</f>
        <v>1300</v>
      </c>
      <c r="Q30" s="202">
        <f ca="1">IFERROR(__xludf.DUMMYFUNCTION("IMPORTRANGE(""https://docs.google.com/spreadsheets/d/1kII0BjS6CtVrBvI8IrytgPdxDrlyQDyigzMsohRtDMs/edit?usp=sharing"",""อุทัยธานี!J465"")"),131)</f>
        <v>131</v>
      </c>
      <c r="R30" s="203">
        <f t="shared" ca="1" si="6"/>
        <v>100</v>
      </c>
      <c r="S30" s="202">
        <f ca="1">IFERROR(__xludf.DUMMYFUNCTION("IMPORTRANGE(""https://docs.google.com/spreadsheets/d/1kII0BjS6CtVrBvI8IrytgPdxDrlyQDyigzMsohRtDMs/edit?usp=sharing"",""อุทัยธานี!J466"")"),0)</f>
        <v>0</v>
      </c>
      <c r="T30" s="203">
        <f t="shared" ca="1" si="7"/>
        <v>0</v>
      </c>
      <c r="U30" s="195">
        <f ca="1">IFERROR(__xludf.DUMMYFUNCTION("IMPORTRANGE(""https://docs.google.com/spreadsheets/d/1kII0BjS6CtVrBvI8IrytgPdxDrlyQDyigzMsohRtDMs/edit?usp=sharing"",""อุทัยธานี!I483"")"),1170)</f>
        <v>1170</v>
      </c>
      <c r="V30" s="202">
        <f ca="1">IFERROR(__xludf.DUMMYFUNCTION("IMPORTRANGE(""https://docs.google.com/spreadsheets/d/1kII0BjS6CtVrBvI8IrytgPdxDrlyQDyigzMsohRtDMs/edit?usp=sharing"",""อุทัยธานี!J483"")"),1170)</f>
        <v>1170</v>
      </c>
      <c r="W30" s="203">
        <f t="shared" ca="1" si="32"/>
        <v>100</v>
      </c>
      <c r="X30" s="202">
        <f ca="1">IFERROR(__xludf.DUMMYFUNCTION("IMPORTRANGE(""https://docs.google.com/spreadsheets/d/1kII0BjS6CtVrBvI8IrytgPdxDrlyQDyigzMsohRtDMs/edit?usp=sharing"",""อุทัยธานี!J484"")"),117)</f>
        <v>117</v>
      </c>
      <c r="Y30" s="195">
        <f ca="1">IFERROR(__xludf.DUMMYFUNCTION("IMPORTRANGE(""https://docs.google.com/spreadsheets/d/1kII0BjS6CtVrBvI8IrytgPdxDrlyQDyigzMsohRtDMs/edit?usp=sharing"",""อุทัยธานี!I485"")"),117)</f>
        <v>117</v>
      </c>
      <c r="Z30" s="202">
        <f ca="1">IFERROR(__xludf.DUMMYFUNCTION("IMPORTRANGE(""https://docs.google.com/spreadsheets/d/1kII0BjS6CtVrBvI8IrytgPdxDrlyQDyigzMsohRtDMs/edit?usp=sharing"",""อุทัยธานี!J485"")"),117)</f>
        <v>117</v>
      </c>
      <c r="AA30" s="203">
        <f t="shared" ca="1" si="33"/>
        <v>100</v>
      </c>
      <c r="AB30" s="195">
        <f ca="1">IFERROR(__xludf.DUMMYFUNCTION("IMPORTRANGE(""https://docs.google.com/spreadsheets/d/1kII0BjS6CtVrBvI8IrytgPdxDrlyQDyigzMsohRtDMs/edit?usp=sharing"",""อุทัยธานี!I487"")"),130)</f>
        <v>130</v>
      </c>
      <c r="AC30" s="202">
        <f ca="1">IFERROR(__xludf.DUMMYFUNCTION("IMPORTRANGE(""https://docs.google.com/spreadsheets/d/1kII0BjS6CtVrBvI8IrytgPdxDrlyQDyigzMsohRtDMs/edit?usp=sharing"",""อุทัยธานี!J487"")"),130)</f>
        <v>130</v>
      </c>
      <c r="AD30" s="203">
        <f t="shared" ca="1" si="34"/>
        <v>100</v>
      </c>
      <c r="AE30" s="202">
        <f ca="1">IFERROR(__xludf.DUMMYFUNCTION("IMPORTRANGE(""https://docs.google.com/spreadsheets/d/1kII0BjS6CtVrBvI8IrytgPdxDrlyQDyigzMsohRtDMs/edit?usp=sharing"",""อุทัยธานี!J488"")"),0)</f>
        <v>0</v>
      </c>
      <c r="AF30" s="195">
        <f ca="1">IFERROR(__xludf.DUMMYFUNCTION("IMPORTRANGE(""https://docs.google.com/spreadsheets/d/1kII0BjS6CtVrBvI8IrytgPdxDrlyQDyigzMsohRtDMs/edit?usp=sharing"",""อุทัยธานี!I489"")"),13)</f>
        <v>13</v>
      </c>
      <c r="AG30" s="202">
        <f ca="1">IFERROR(__xludf.DUMMYFUNCTION("IMPORTRANGE(""https://docs.google.com/spreadsheets/d/1kII0BjS6CtVrBvI8IrytgPdxDrlyQDyigzMsohRtDMs/edit?usp=sharing"",""อุทัยธานี!J489"")"),13)</f>
        <v>13</v>
      </c>
      <c r="AH30" s="203">
        <f t="shared" ca="1" si="35"/>
        <v>100</v>
      </c>
      <c r="AI30" s="202">
        <f ca="1">IFERROR(__xludf.DUMMYFUNCTION("IMPORTRANGE(""https://docs.google.com/spreadsheets/d/1kII0BjS6CtVrBvI8IrytgPdxDrlyQDyigzMsohRtDMs/edit?usp=sharing"",""อุทัยธานี!J491"")"),0)</f>
        <v>0</v>
      </c>
      <c r="AJ30" s="195">
        <f ca="1">IFERROR(__xludf.DUMMYFUNCTION("IMPORTRANGE(""https://docs.google.com/spreadsheets/d/1kII0BjS6CtVrBvI8IrytgPdxDrlyQDyigzMsohRtDMs/edit?usp=sharing"",""อุทัยธานี!I492"")"),1)</f>
        <v>1</v>
      </c>
      <c r="AK30" s="202">
        <f ca="1">IFERROR(__xludf.DUMMYFUNCTION("IMPORTRANGE(""https://docs.google.com/spreadsheets/d/1kII0BjS6CtVrBvI8IrytgPdxDrlyQDyigzMsohRtDMs/edit?usp=sharing"",""อุทัยธานี!J492"")"),1)</f>
        <v>1</v>
      </c>
      <c r="AL30" s="203">
        <f t="shared" ca="1" si="36"/>
        <v>100</v>
      </c>
      <c r="AM30" s="195">
        <f ca="1">IFERROR(__xludf.DUMMYFUNCTION("IMPORTRANGE(""https://docs.google.com/spreadsheets/d/1kII0BjS6CtVrBvI8IrytgPdxDrlyQDyigzMsohRtDMs/edit?usp=sharing"",""อุทัยธานี!I495"")"),1170)</f>
        <v>1170</v>
      </c>
      <c r="AN30" s="202">
        <f ca="1">IFERROR(__xludf.DUMMYFUNCTION("IMPORTRANGE(""https://docs.google.com/spreadsheets/d/1kII0BjS6CtVrBvI8IrytgPdxDrlyQDyigzMsohRtDMs/edit?usp=sharing"",""อุทัยธานี!J495"")"),0)</f>
        <v>0</v>
      </c>
      <c r="AO30" s="203">
        <f t="shared" ca="1" si="37"/>
        <v>0</v>
      </c>
      <c r="AP30" s="202">
        <f ca="1">IFERROR(__xludf.DUMMYFUNCTION("IMPORTRANGE(""https://docs.google.com/spreadsheets/d/1kII0BjS6CtVrBvI8IrytgPdxDrlyQDyigzMsohRtDMs/edit?usp=sharing"",""อุทัยธานี!J496"")"),0)</f>
        <v>0</v>
      </c>
      <c r="AQ30" s="195">
        <f ca="1">IFERROR(__xludf.DUMMYFUNCTION("IMPORTRANGE(""https://docs.google.com/spreadsheets/d/1kII0BjS6CtVrBvI8IrytgPdxDrlyQDyigzMsohRtDMs/edit?usp=sharing"",""อุทัยธานี!I498"")"),130)</f>
        <v>130</v>
      </c>
      <c r="AR30" s="202">
        <f ca="1">IFERROR(__xludf.DUMMYFUNCTION("IMPORTRANGE(""https://docs.google.com/spreadsheets/d/1kII0BjS6CtVrBvI8IrytgPdxDrlyQDyigzMsohRtDMs/edit?usp=sharing"",""อุทัยธานี!J498"")"),0)</f>
        <v>0</v>
      </c>
      <c r="AS30" s="203">
        <f t="shared" ca="1" si="38"/>
        <v>0</v>
      </c>
      <c r="AT30" s="202">
        <f ca="1">IFERROR(__xludf.DUMMYFUNCTION("IMPORTRANGE(""https://docs.google.com/spreadsheets/d/1kII0BjS6CtVrBvI8IrytgPdxDrlyQDyigzMsohRtDMs/edit?usp=sharing"",""อุทัยธานี!J499"")"),0)</f>
        <v>0</v>
      </c>
    </row>
    <row r="31" spans="1:46" ht="21" customHeight="1" x14ac:dyDescent="0.3">
      <c r="A31" s="338" t="s">
        <v>48</v>
      </c>
      <c r="B31" s="339"/>
      <c r="C31" s="133">
        <f t="shared" ref="C31:E31" ca="1" si="52">SUM(C32:C51)</f>
        <v>16763735</v>
      </c>
      <c r="D31" s="158">
        <f t="shared" ca="1" si="52"/>
        <v>16763735</v>
      </c>
      <c r="E31" s="158">
        <f t="shared" ca="1" si="52"/>
        <v>0</v>
      </c>
      <c r="F31" s="159">
        <f t="shared" ca="1" si="1"/>
        <v>2375238.35</v>
      </c>
      <c r="G31" s="160">
        <f t="shared" ca="1" si="2"/>
        <v>14.168908957341547</v>
      </c>
      <c r="H31" s="159">
        <f t="shared" ref="H31:M31" ca="1" si="53">SUM(H32:H51)</f>
        <v>2375238.35</v>
      </c>
      <c r="I31" s="159">
        <f t="shared" ca="1" si="53"/>
        <v>1432301</v>
      </c>
      <c r="J31" s="159">
        <f t="shared" ca="1" si="53"/>
        <v>5200</v>
      </c>
      <c r="K31" s="159">
        <f t="shared" ca="1" si="53"/>
        <v>545215.35</v>
      </c>
      <c r="L31" s="159">
        <f t="shared" ca="1" si="53"/>
        <v>392522</v>
      </c>
      <c r="M31" s="161">
        <f t="shared" ca="1" si="53"/>
        <v>0</v>
      </c>
      <c r="N31" s="161">
        <f t="shared" ca="1" si="41"/>
        <v>0</v>
      </c>
      <c r="O31" s="158">
        <f t="shared" ref="O31:Q31" ca="1" si="54">SUM(O32:O51)</f>
        <v>1920</v>
      </c>
      <c r="P31" s="158">
        <f t="shared" ca="1" si="54"/>
        <v>19000</v>
      </c>
      <c r="Q31" s="159">
        <f t="shared" ca="1" si="54"/>
        <v>1327</v>
      </c>
      <c r="R31" s="162">
        <f t="shared" ca="1" si="6"/>
        <v>69.114583333333329</v>
      </c>
      <c r="S31" s="159">
        <f ca="1">SUM(S32:S51)</f>
        <v>0</v>
      </c>
      <c r="T31" s="162">
        <f t="shared" ca="1" si="7"/>
        <v>0</v>
      </c>
      <c r="U31" s="158">
        <f t="shared" ref="U31:V31" ca="1" si="55">SUM(U32:U51)</f>
        <v>17100</v>
      </c>
      <c r="V31" s="159">
        <f t="shared" ca="1" si="55"/>
        <v>10517</v>
      </c>
      <c r="W31" s="162">
        <f t="shared" ca="1" si="32"/>
        <v>61.502923976608187</v>
      </c>
      <c r="X31" s="159">
        <f t="shared" ref="X31:Z31" ca="1" si="56">SUM(X32:X51)</f>
        <v>394</v>
      </c>
      <c r="Y31" s="158">
        <f t="shared" ca="1" si="56"/>
        <v>1710</v>
      </c>
      <c r="Z31" s="159">
        <f t="shared" ca="1" si="56"/>
        <v>1154</v>
      </c>
      <c r="AA31" s="162">
        <f t="shared" ca="1" si="33"/>
        <v>67.485380116959064</v>
      </c>
      <c r="AB31" s="158">
        <f t="shared" ref="AB31:AC31" ca="1" si="57">SUM(AB32:AB51)</f>
        <v>1900</v>
      </c>
      <c r="AC31" s="159">
        <f t="shared" ca="1" si="57"/>
        <v>1217</v>
      </c>
      <c r="AD31" s="162">
        <f t="shared" ca="1" si="34"/>
        <v>64.05263157894737</v>
      </c>
      <c r="AE31" s="159">
        <f t="shared" ref="AE31:AG31" ca="1" si="58">SUM(AE32:AE51)</f>
        <v>52</v>
      </c>
      <c r="AF31" s="158">
        <f t="shared" ca="1" si="58"/>
        <v>190</v>
      </c>
      <c r="AG31" s="159">
        <f t="shared" ca="1" si="58"/>
        <v>159</v>
      </c>
      <c r="AH31" s="162">
        <f t="shared" ca="1" si="35"/>
        <v>83.684210526315795</v>
      </c>
      <c r="AI31" s="159">
        <f t="shared" ref="AI31:AK31" ca="1" si="59">SUM(AI32:AI51)</f>
        <v>4</v>
      </c>
      <c r="AJ31" s="158">
        <f t="shared" ca="1" si="59"/>
        <v>20</v>
      </c>
      <c r="AK31" s="159">
        <f t="shared" ca="1" si="59"/>
        <v>14</v>
      </c>
      <c r="AL31" s="162">
        <f t="shared" ca="1" si="36"/>
        <v>70</v>
      </c>
      <c r="AM31" s="158">
        <f t="shared" ref="AM31:AN31" ca="1" si="60">SUM(AM32:AM51)</f>
        <v>17100</v>
      </c>
      <c r="AN31" s="159">
        <f t="shared" ca="1" si="60"/>
        <v>0</v>
      </c>
      <c r="AO31" s="162">
        <f t="shared" ca="1" si="37"/>
        <v>0</v>
      </c>
      <c r="AP31" s="159">
        <f t="shared" ref="AP31:AR31" ca="1" si="61">SUM(AP32:AP51)</f>
        <v>0</v>
      </c>
      <c r="AQ31" s="158">
        <f t="shared" ca="1" si="61"/>
        <v>1900</v>
      </c>
      <c r="AR31" s="159">
        <f t="shared" ca="1" si="61"/>
        <v>0</v>
      </c>
      <c r="AS31" s="162">
        <f t="shared" ca="1" si="38"/>
        <v>0</v>
      </c>
      <c r="AT31" s="159">
        <f ca="1">SUM(AT32:AT51)</f>
        <v>0</v>
      </c>
    </row>
    <row r="32" spans="1:46" ht="21" customHeight="1" x14ac:dyDescent="0.3">
      <c r="A32" s="178">
        <v>1</v>
      </c>
      <c r="B32" s="179" t="s">
        <v>49</v>
      </c>
      <c r="C32" s="180">
        <f t="shared" ref="C32:C51" ca="1" si="62">D32+E32</f>
        <v>1170468</v>
      </c>
      <c r="D32" s="181">
        <f ca="1">IFERROR(__xludf.DUMMYFUNCTION("IMPORTRANGE(""https://docs.google.com/spreadsheets/d/1fb2B9NLcpJgjIieIJvenUTNPn0TimZDUi0OtYeiSQ_s/edit?usp=sharing"",""กาฬสินธุ์!L472"")"),1170468)</f>
        <v>1170468</v>
      </c>
      <c r="E32" s="181">
        <f ca="1">IFERROR(__xludf.DUMMYFUNCTION("IMPORTRANGE(""https://docs.google.com/spreadsheets/d/1fb2B9NLcpJgjIieIJvenUTNPn0TimZDUi0OtYeiSQ_s/edit?usp=sharing"",""กาฬสินธุ์!L479"")"),0)</f>
        <v>0</v>
      </c>
      <c r="F32" s="182">
        <f t="shared" ca="1" si="1"/>
        <v>145599</v>
      </c>
      <c r="G32" s="183">
        <f t="shared" ca="1" si="2"/>
        <v>12.439383221070546</v>
      </c>
      <c r="H32" s="184">
        <f t="shared" ref="H32:H51" ca="1" si="63">I32+J32+K32+L32</f>
        <v>145599</v>
      </c>
      <c r="I32" s="181">
        <f ca="1">IFERROR(__xludf.DUMMYFUNCTION("IMPORTRANGE(""https://docs.google.com/spreadsheets/d/1fb2B9NLcpJgjIieIJvenUTNPn0TimZDUi0OtYeiSQ_s/edit?usp=sharing"",""กาฬสินธุ์!N473"")"),78699)</f>
        <v>78699</v>
      </c>
      <c r="J32" s="181">
        <f ca="1">IFERROR(__xludf.DUMMYFUNCTION("IMPORTRANGE(""https://docs.google.com/spreadsheets/d/1fb2B9NLcpJgjIieIJvenUTNPn0TimZDUi0OtYeiSQ_s/edit?usp=sharing"",""กาฬสินธุ์!N474"")"),0)</f>
        <v>0</v>
      </c>
      <c r="K32" s="181">
        <f ca="1">IFERROR(__xludf.DUMMYFUNCTION("IMPORTRANGE(""https://docs.google.com/spreadsheets/d/1fb2B9NLcpJgjIieIJvenUTNPn0TimZDUi0OtYeiSQ_s/edit?usp=sharing"",""กาฬสินธุ์!N475"")"),39000)</f>
        <v>39000</v>
      </c>
      <c r="L32" s="181">
        <f ca="1">IFERROR(__xludf.DUMMYFUNCTION("IMPORTRANGE(""https://docs.google.com/spreadsheets/d/1fb2B9NLcpJgjIieIJvenUTNPn0TimZDUi0OtYeiSQ_s/edit?usp=sharing"",""กาฬสินธุ์!N476"")"),27900)</f>
        <v>27900</v>
      </c>
      <c r="M32" s="185">
        <f ca="1">IFERROR(__xludf.DUMMYFUNCTION("IMPORTRANGE(""https://docs.google.com/spreadsheets/d/1fb2B9NLcpJgjIieIJvenUTNPn0TimZDUi0OtYeiSQ_s/edit?usp=sharing"",""กาฬสินธุ์!N479"")"),0)</f>
        <v>0</v>
      </c>
      <c r="N32" s="185">
        <f t="shared" ca="1" si="41"/>
        <v>0</v>
      </c>
      <c r="O32" s="181">
        <f ca="1">IFERROR(__xludf.DUMMYFUNCTION("IMPORTRANGE(""https://docs.google.com/spreadsheets/d/1fb2B9NLcpJgjIieIJvenUTNPn0TimZDUi0OtYeiSQ_s/edit?usp=sharing"",""กาฬสินธุ์!I465"")"),131)</f>
        <v>131</v>
      </c>
      <c r="P32" s="181">
        <f ca="1">IFERROR(__xludf.DUMMYFUNCTION("IMPORTRANGE(""https://docs.google.com/spreadsheets/d/1fb2B9NLcpJgjIieIJvenUTNPn0TimZDUi0OtYeiSQ_s/edit?usp=sharing"",""กาฬสินธุ์!I466"")"),1300)</f>
        <v>1300</v>
      </c>
      <c r="Q32" s="181">
        <f ca="1">IFERROR(__xludf.DUMMYFUNCTION("IMPORTRANGE(""https://docs.google.com/spreadsheets/d/1fb2B9NLcpJgjIieIJvenUTNPn0TimZDUi0OtYeiSQ_s/edit?usp=sharing"",""กาฬสินธุ์!J465"")"),131)</f>
        <v>131</v>
      </c>
      <c r="R32" s="186">
        <f t="shared" ca="1" si="6"/>
        <v>100</v>
      </c>
      <c r="S32" s="181">
        <f ca="1">IFERROR(__xludf.DUMMYFUNCTION("IMPORTRANGE(""https://docs.google.com/spreadsheets/d/1fb2B9NLcpJgjIieIJvenUTNPn0TimZDUi0OtYeiSQ_s/edit?usp=sharing"",""กาฬสินธุ์!J466"")"),0)</f>
        <v>0</v>
      </c>
      <c r="T32" s="186">
        <f t="shared" ca="1" si="7"/>
        <v>0</v>
      </c>
      <c r="U32" s="181">
        <f ca="1">IFERROR(__xludf.DUMMYFUNCTION("IMPORTRANGE(""https://docs.google.com/spreadsheets/d/1fb2B9NLcpJgjIieIJvenUTNPn0TimZDUi0OtYeiSQ_s/edit?usp=sharing"",""กาฬสินธุ์!I483"")"),1170)</f>
        <v>1170</v>
      </c>
      <c r="V32" s="181">
        <f ca="1">IFERROR(__xludf.DUMMYFUNCTION("IMPORTRANGE(""https://docs.google.com/spreadsheets/d/1fb2B9NLcpJgjIieIJvenUTNPn0TimZDUi0OtYeiSQ_s/edit?usp=sharing"",""กาฬสินธุ์!J483"")"),1170)</f>
        <v>1170</v>
      </c>
      <c r="W32" s="186">
        <f t="shared" ca="1" si="32"/>
        <v>100</v>
      </c>
      <c r="X32" s="181">
        <f ca="1">IFERROR(__xludf.DUMMYFUNCTION("IMPORTRANGE(""https://docs.google.com/spreadsheets/d/1fb2B9NLcpJgjIieIJvenUTNPn0TimZDUi0OtYeiSQ_s/edit?usp=sharing"",""กาฬสินธุ์!J484"")"),117)</f>
        <v>117</v>
      </c>
      <c r="Y32" s="181">
        <f ca="1">IFERROR(__xludf.DUMMYFUNCTION("IMPORTRANGE(""https://docs.google.com/spreadsheets/d/1fb2B9NLcpJgjIieIJvenUTNPn0TimZDUi0OtYeiSQ_s/edit?usp=sharing"",""กาฬสินธุ์!I485"")"),117)</f>
        <v>117</v>
      </c>
      <c r="Z32" s="181">
        <f ca="1">IFERROR(__xludf.DUMMYFUNCTION("IMPORTRANGE(""https://docs.google.com/spreadsheets/d/1fb2B9NLcpJgjIieIJvenUTNPn0TimZDUi0OtYeiSQ_s/edit?usp=sharing"",""กาฬสินธุ์!J485"")"),117)</f>
        <v>117</v>
      </c>
      <c r="AA32" s="186">
        <f t="shared" ca="1" si="33"/>
        <v>100</v>
      </c>
      <c r="AB32" s="181">
        <f ca="1">IFERROR(__xludf.DUMMYFUNCTION("IMPORTRANGE(""https://docs.google.com/spreadsheets/d/1fb2B9NLcpJgjIieIJvenUTNPn0TimZDUi0OtYeiSQ_s/edit?usp=sharing"",""กาฬสินธุ์!I487"")"),130)</f>
        <v>130</v>
      </c>
      <c r="AC32" s="181">
        <f ca="1">IFERROR(__xludf.DUMMYFUNCTION("IMPORTRANGE(""https://docs.google.com/spreadsheets/d/1fb2B9NLcpJgjIieIJvenUTNPn0TimZDUi0OtYeiSQ_s/edit?usp=sharing"",""กาฬสินธุ์!J487"")"),130)</f>
        <v>130</v>
      </c>
      <c r="AD32" s="186">
        <f t="shared" ca="1" si="34"/>
        <v>100</v>
      </c>
      <c r="AE32" s="181">
        <f ca="1">IFERROR(__xludf.DUMMYFUNCTION("IMPORTRANGE(""https://docs.google.com/spreadsheets/d/1fb2B9NLcpJgjIieIJvenUTNPn0TimZDUi0OtYeiSQ_s/edit?usp=sharing"",""กาฬสินธุ์!J488"")"),13)</f>
        <v>13</v>
      </c>
      <c r="AF32" s="181">
        <f ca="1">IFERROR(__xludf.DUMMYFUNCTION("IMPORTRANGE(""https://docs.google.com/spreadsheets/d/1fb2B9NLcpJgjIieIJvenUTNPn0TimZDUi0OtYeiSQ_s/edit?usp=sharing"",""กาฬสินธุ์!I489"")"),13)</f>
        <v>13</v>
      </c>
      <c r="AG32" s="181">
        <f ca="1">IFERROR(__xludf.DUMMYFUNCTION("IMPORTRANGE(""https://docs.google.com/spreadsheets/d/1fb2B9NLcpJgjIieIJvenUTNPn0TimZDUi0OtYeiSQ_s/edit?usp=sharing"",""กาฬสินธุ์!J489"")"),13)</f>
        <v>13</v>
      </c>
      <c r="AH32" s="186">
        <f t="shared" ca="1" si="35"/>
        <v>100</v>
      </c>
      <c r="AI32" s="181">
        <f ca="1">IFERROR(__xludf.DUMMYFUNCTION("IMPORTRANGE(""https://docs.google.com/spreadsheets/d/1fb2B9NLcpJgjIieIJvenUTNPn0TimZDUi0OtYeiSQ_s/edit?usp=sharing"",""กาฬสินธุ์!J491"")"),1)</f>
        <v>1</v>
      </c>
      <c r="AJ32" s="181">
        <f ca="1">IFERROR(__xludf.DUMMYFUNCTION("IMPORTRANGE(""https://docs.google.com/spreadsheets/d/1fb2B9NLcpJgjIieIJvenUTNPn0TimZDUi0OtYeiSQ_s/edit?usp=sharing"",""กาฬสินธุ์!I492"")"),1)</f>
        <v>1</v>
      </c>
      <c r="AK32" s="181">
        <f ca="1">IFERROR(__xludf.DUMMYFUNCTION("IMPORTRANGE(""https://docs.google.com/spreadsheets/d/1fb2B9NLcpJgjIieIJvenUTNPn0TimZDUi0OtYeiSQ_s/edit?usp=sharing"",""กาฬสินธุ์!J492"")"),1)</f>
        <v>1</v>
      </c>
      <c r="AL32" s="186">
        <f t="shared" ca="1" si="36"/>
        <v>100</v>
      </c>
      <c r="AM32" s="181">
        <f ca="1">IFERROR(__xludf.DUMMYFUNCTION("IMPORTRANGE(""https://docs.google.com/spreadsheets/d/1fb2B9NLcpJgjIieIJvenUTNPn0TimZDUi0OtYeiSQ_s/edit?usp=sharing"",""กาฬสินธุ์!I495"")"),1170)</f>
        <v>1170</v>
      </c>
      <c r="AN32" s="181">
        <f ca="1">IFERROR(__xludf.DUMMYFUNCTION("IMPORTRANGE(""https://docs.google.com/spreadsheets/d/1fb2B9NLcpJgjIieIJvenUTNPn0TimZDUi0OtYeiSQ_s/edit?usp=sharing"",""กาฬสินธุ์!J495"")"),0)</f>
        <v>0</v>
      </c>
      <c r="AO32" s="186">
        <f t="shared" ca="1" si="37"/>
        <v>0</v>
      </c>
      <c r="AP32" s="181">
        <f ca="1">IFERROR(__xludf.DUMMYFUNCTION("IMPORTRANGE(""https://docs.google.com/spreadsheets/d/1fb2B9NLcpJgjIieIJvenUTNPn0TimZDUi0OtYeiSQ_s/edit?usp=sharing"",""กาฬสินธุ์!J496"")"),0)</f>
        <v>0</v>
      </c>
      <c r="AQ32" s="181">
        <f ca="1">IFERROR(__xludf.DUMMYFUNCTION("IMPORTRANGE(""https://docs.google.com/spreadsheets/d/1fb2B9NLcpJgjIieIJvenUTNPn0TimZDUi0OtYeiSQ_s/edit?usp=sharing"",""กาฬสินธุ์!I498"")"),130)</f>
        <v>130</v>
      </c>
      <c r="AR32" s="181">
        <f ca="1">IFERROR(__xludf.DUMMYFUNCTION("IMPORTRANGE(""https://docs.google.com/spreadsheets/d/1fb2B9NLcpJgjIieIJvenUTNPn0TimZDUi0OtYeiSQ_s/edit?usp=sharing"",""กาฬสินธุ์!J498"")"),0)</f>
        <v>0</v>
      </c>
      <c r="AS32" s="186">
        <f t="shared" ca="1" si="38"/>
        <v>0</v>
      </c>
      <c r="AT32" s="181">
        <f ca="1">IFERROR(__xludf.DUMMYFUNCTION("IMPORTRANGE(""https://docs.google.com/spreadsheets/d/1fb2B9NLcpJgjIieIJvenUTNPn0TimZDUi0OtYeiSQ_s/edit?usp=sharing"",""กาฬสินธุ์!J499"")"),0)</f>
        <v>0</v>
      </c>
    </row>
    <row r="33" spans="1:46" ht="21" customHeight="1" x14ac:dyDescent="0.3">
      <c r="A33" s="178">
        <v>2</v>
      </c>
      <c r="B33" s="179" t="s">
        <v>50</v>
      </c>
      <c r="C33" s="180">
        <f t="shared" ca="1" si="62"/>
        <v>489753</v>
      </c>
      <c r="D33" s="181">
        <f ca="1">IFERROR(__xludf.DUMMYFUNCTION("IMPORTRANGE(""https://docs.google.com/spreadsheets/d/1SaMnqrwRGmFYNR0MhpWmHuL5niYUd5E7vDq8X7whAlI/edit?usp=sharing"",""ขอนแก่น!L472"")"),489753)</f>
        <v>489753</v>
      </c>
      <c r="E33" s="187">
        <f ca="1">IFERROR(__xludf.DUMMYFUNCTION("IMPORTRANGE(""https://docs.google.com/spreadsheets/d/1SaMnqrwRGmFYNR0MhpWmHuL5niYUd5E7vDq8X7whAlI/edit?usp=sharing"",""ขอนแก่น!L479"")"),0)</f>
        <v>0</v>
      </c>
      <c r="F33" s="182">
        <f t="shared" ca="1" si="1"/>
        <v>18540</v>
      </c>
      <c r="G33" s="183">
        <f t="shared" ca="1" si="2"/>
        <v>3.7855817115974788</v>
      </c>
      <c r="H33" s="184">
        <f t="shared" ca="1" si="63"/>
        <v>18540</v>
      </c>
      <c r="I33" s="187">
        <f ca="1">IFERROR(__xludf.DUMMYFUNCTION("IMPORTRANGE(""https://docs.google.com/spreadsheets/d/1SaMnqrwRGmFYNR0MhpWmHuL5niYUd5E7vDq8X7whAlI/edit?usp=sharing"",""ขอนแก่น!N473"")"),0)</f>
        <v>0</v>
      </c>
      <c r="J33" s="187">
        <f ca="1">IFERROR(__xludf.DUMMYFUNCTION("IMPORTRANGE(""https://docs.google.com/spreadsheets/d/1SaMnqrwRGmFYNR0MhpWmHuL5niYUd5E7vDq8X7whAlI/edit?usp=sharing"",""ขอนแก่น!N474"")"),0)</f>
        <v>0</v>
      </c>
      <c r="K33" s="187">
        <f ca="1">IFERROR(__xludf.DUMMYFUNCTION("IMPORTRANGE(""https://docs.google.com/spreadsheets/d/1SaMnqrwRGmFYNR0MhpWmHuL5niYUd5E7vDq8X7whAlI/edit?usp=sharing"",""ขอนแก่น!N475"")"),0)</f>
        <v>0</v>
      </c>
      <c r="L33" s="187">
        <f ca="1">IFERROR(__xludf.DUMMYFUNCTION("IMPORTRANGE(""https://docs.google.com/spreadsheets/d/1SaMnqrwRGmFYNR0MhpWmHuL5niYUd5E7vDq8X7whAlI/edit?usp=sharing"",""ขอนแก่น!N476"")"),18540)</f>
        <v>18540</v>
      </c>
      <c r="M33" s="185">
        <f ca="1">IFERROR(__xludf.DUMMYFUNCTION("IMPORTRANGE(""https://docs.google.com/spreadsheets/d/1SaMnqrwRGmFYNR0MhpWmHuL5niYUd5E7vDq8X7whAlI/edit?usp=sharing"",""ขอนแก่น!N479"")"),0)</f>
        <v>0</v>
      </c>
      <c r="N33" s="185">
        <f t="shared" ca="1" si="41"/>
        <v>0</v>
      </c>
      <c r="O33" s="181">
        <f ca="1">IFERROR(__xludf.DUMMYFUNCTION("IMPORTRANGE(""https://docs.google.com/spreadsheets/d/1SaMnqrwRGmFYNR0MhpWmHuL5niYUd5E7vDq8X7whAlI/edit?usp=sharing"",""ขอนแก่น!I465"")"),61)</f>
        <v>61</v>
      </c>
      <c r="P33" s="181">
        <f ca="1">IFERROR(__xludf.DUMMYFUNCTION("IMPORTRANGE(""https://docs.google.com/spreadsheets/d/1SaMnqrwRGmFYNR0MhpWmHuL5niYUd5E7vDq8X7whAlI/edit?usp=sharing"",""ขอนแก่น!I466"")"),600)</f>
        <v>600</v>
      </c>
      <c r="Q33" s="181">
        <f ca="1">IFERROR(__xludf.DUMMYFUNCTION("IMPORTRANGE(""https://docs.google.com/spreadsheets/d/1SaMnqrwRGmFYNR0MhpWmHuL5niYUd5E7vDq8X7whAlI/edit?usp=sharing"",""ขอนแก่น!J465"")"),0)</f>
        <v>0</v>
      </c>
      <c r="R33" s="186">
        <f t="shared" ca="1" si="6"/>
        <v>0</v>
      </c>
      <c r="S33" s="181">
        <f ca="1">IFERROR(__xludf.DUMMYFUNCTION("IMPORTRANGE(""https://docs.google.com/spreadsheets/d/1SaMnqrwRGmFYNR0MhpWmHuL5niYUd5E7vDq8X7whAlI/edit?usp=sharing"",""ขอนแก่น!J466"")"),0)</f>
        <v>0</v>
      </c>
      <c r="T33" s="186">
        <f t="shared" ca="1" si="7"/>
        <v>0</v>
      </c>
      <c r="U33" s="181">
        <f ca="1">IFERROR(__xludf.DUMMYFUNCTION("IMPORTRANGE(""https://docs.google.com/spreadsheets/d/1SaMnqrwRGmFYNR0MhpWmHuL5niYUd5E7vDq8X7whAlI/edit?usp=sharing"",""ขอนแก่น!I483"")"),540)</f>
        <v>540</v>
      </c>
      <c r="V33" s="181">
        <f ca="1">IFERROR(__xludf.DUMMYFUNCTION("IMPORTRANGE(""https://docs.google.com/spreadsheets/d/1SaMnqrwRGmFYNR0MhpWmHuL5niYUd5E7vDq8X7whAlI/edit?usp=sharing"",""ขอนแก่น!J483"")"),0)</f>
        <v>0</v>
      </c>
      <c r="W33" s="186">
        <f t="shared" ca="1" si="32"/>
        <v>0</v>
      </c>
      <c r="X33" s="181">
        <f ca="1">IFERROR(__xludf.DUMMYFUNCTION("IMPORTRANGE(""https://docs.google.com/spreadsheets/d/1SaMnqrwRGmFYNR0MhpWmHuL5niYUd5E7vDq8X7whAlI/edit?usp=sharing"",""ขอนแก่น!J484"")"),0)</f>
        <v>0</v>
      </c>
      <c r="Y33" s="181">
        <f ca="1">IFERROR(__xludf.DUMMYFUNCTION("IMPORTRANGE(""https://docs.google.com/spreadsheets/d/1SaMnqrwRGmFYNR0MhpWmHuL5niYUd5E7vDq8X7whAlI/edit?usp=sharing"",""ขอนแก่น!I485"")"),54)</f>
        <v>54</v>
      </c>
      <c r="Z33" s="181">
        <f ca="1">IFERROR(__xludf.DUMMYFUNCTION("IMPORTRANGE(""https://docs.google.com/spreadsheets/d/1SaMnqrwRGmFYNR0MhpWmHuL5niYUd5E7vDq8X7whAlI/edit?usp=sharing"",""ขอนแก่น!J485"")"),0)</f>
        <v>0</v>
      </c>
      <c r="AA33" s="186">
        <f t="shared" ca="1" si="33"/>
        <v>0</v>
      </c>
      <c r="AB33" s="181">
        <f ca="1">IFERROR(__xludf.DUMMYFUNCTION("IMPORTRANGE(""https://docs.google.com/spreadsheets/d/1SaMnqrwRGmFYNR0MhpWmHuL5niYUd5E7vDq8X7whAlI/edit?usp=sharing"",""ขอนแก่น!I487"")"),60)</f>
        <v>60</v>
      </c>
      <c r="AC33" s="181">
        <f ca="1">IFERROR(__xludf.DUMMYFUNCTION("IMPORTRANGE(""https://docs.google.com/spreadsheets/d/1SaMnqrwRGmFYNR0MhpWmHuL5niYUd5E7vDq8X7whAlI/edit?usp=sharing"",""ขอนแก่น!J487"")"),0)</f>
        <v>0</v>
      </c>
      <c r="AD33" s="186">
        <f t="shared" ca="1" si="34"/>
        <v>0</v>
      </c>
      <c r="AE33" s="181">
        <f ca="1">IFERROR(__xludf.DUMMYFUNCTION("IMPORTRANGE(""https://docs.google.com/spreadsheets/d/1SaMnqrwRGmFYNR0MhpWmHuL5niYUd5E7vDq8X7whAlI/edit?usp=sharing"",""ขอนแก่น!J488"")"),0)</f>
        <v>0</v>
      </c>
      <c r="AF33" s="181">
        <f ca="1">IFERROR(__xludf.DUMMYFUNCTION("IMPORTRANGE(""https://docs.google.com/spreadsheets/d/1SaMnqrwRGmFYNR0MhpWmHuL5niYUd5E7vDq8X7whAlI/edit?usp=sharing"",""ขอนแก่น!I489"")"),6)</f>
        <v>6</v>
      </c>
      <c r="AG33" s="181">
        <f ca="1">IFERROR(__xludf.DUMMYFUNCTION("IMPORTRANGE(""https://docs.google.com/spreadsheets/d/1SaMnqrwRGmFYNR0MhpWmHuL5niYUd5E7vDq8X7whAlI/edit?usp=sharing"",""ขอนแก่น!J489"")"),0)</f>
        <v>0</v>
      </c>
      <c r="AH33" s="186">
        <f t="shared" ca="1" si="35"/>
        <v>0</v>
      </c>
      <c r="AI33" s="181">
        <f ca="1">IFERROR(__xludf.DUMMYFUNCTION("IMPORTRANGE(""https://docs.google.com/spreadsheets/d/1SaMnqrwRGmFYNR0MhpWmHuL5niYUd5E7vDq8X7whAlI/edit?usp=sharing"",""ขอนแก่น!J491"")"),0)</f>
        <v>0</v>
      </c>
      <c r="AJ33" s="181">
        <f ca="1">IFERROR(__xludf.DUMMYFUNCTION("IMPORTRANGE(""https://docs.google.com/spreadsheets/d/1SaMnqrwRGmFYNR0MhpWmHuL5niYUd5E7vDq8X7whAlI/edit?usp=sharing"",""ขอนแก่น!I492"")"),1)</f>
        <v>1</v>
      </c>
      <c r="AK33" s="181">
        <f ca="1">IFERROR(__xludf.DUMMYFUNCTION("IMPORTRANGE(""https://docs.google.com/spreadsheets/d/1SaMnqrwRGmFYNR0MhpWmHuL5niYUd5E7vDq8X7whAlI/edit?usp=sharing"",""ขอนแก่น!J492"")"),0)</f>
        <v>0</v>
      </c>
      <c r="AL33" s="186">
        <f t="shared" ca="1" si="36"/>
        <v>0</v>
      </c>
      <c r="AM33" s="181">
        <f ca="1">IFERROR(__xludf.DUMMYFUNCTION("IMPORTRANGE(""https://docs.google.com/spreadsheets/d/1SaMnqrwRGmFYNR0MhpWmHuL5niYUd5E7vDq8X7whAlI/edit?usp=sharing"",""ขอนแก่น!I495"")"),540)</f>
        <v>540</v>
      </c>
      <c r="AN33" s="181">
        <f ca="1">IFERROR(__xludf.DUMMYFUNCTION("IMPORTRANGE(""https://docs.google.com/spreadsheets/d/1SaMnqrwRGmFYNR0MhpWmHuL5niYUd5E7vDq8X7whAlI/edit?usp=sharing"",""ขอนแก่น!J495"")"),0)</f>
        <v>0</v>
      </c>
      <c r="AO33" s="186">
        <f t="shared" ca="1" si="37"/>
        <v>0</v>
      </c>
      <c r="AP33" s="181">
        <f ca="1">IFERROR(__xludf.DUMMYFUNCTION("IMPORTRANGE(""https://docs.google.com/spreadsheets/d/1SaMnqrwRGmFYNR0MhpWmHuL5niYUd5E7vDq8X7whAlI/edit?usp=sharing"",""ขอนแก่น!J496"")"),0)</f>
        <v>0</v>
      </c>
      <c r="AQ33" s="181">
        <f ca="1">IFERROR(__xludf.DUMMYFUNCTION("IMPORTRANGE(""https://docs.google.com/spreadsheets/d/1SaMnqrwRGmFYNR0MhpWmHuL5niYUd5E7vDq8X7whAlI/edit?usp=sharing"",""ขอนแก่น!I498"")"),60)</f>
        <v>60</v>
      </c>
      <c r="AR33" s="181">
        <f ca="1">IFERROR(__xludf.DUMMYFUNCTION("IMPORTRANGE(""https://docs.google.com/spreadsheets/d/1SaMnqrwRGmFYNR0MhpWmHuL5niYUd5E7vDq8X7whAlI/edit?usp=sharing"",""ขอนแก่น!J498"")"),0)</f>
        <v>0</v>
      </c>
      <c r="AS33" s="186">
        <f t="shared" ca="1" si="38"/>
        <v>0</v>
      </c>
      <c r="AT33" s="181">
        <f ca="1">IFERROR(__xludf.DUMMYFUNCTION("IMPORTRANGE(""https://docs.google.com/spreadsheets/d/1SaMnqrwRGmFYNR0MhpWmHuL5niYUd5E7vDq8X7whAlI/edit?usp=sharing"",""ขอนแก่น!J499"")"),0)</f>
        <v>0</v>
      </c>
    </row>
    <row r="34" spans="1:46" ht="21" customHeight="1" x14ac:dyDescent="0.3">
      <c r="A34" s="178">
        <v>3</v>
      </c>
      <c r="B34" s="179" t="s">
        <v>51</v>
      </c>
      <c r="C34" s="180">
        <f t="shared" ca="1" si="62"/>
        <v>410253</v>
      </c>
      <c r="D34" s="181">
        <f ca="1">IFERROR(__xludf.DUMMYFUNCTION("IMPORTRANGE(""https://docs.google.com/spreadsheets/d/1xQzEtGHhTTgxHh6YUkKY1P4dRyjVhS74dGswLfAASA4/edit?usp=sharing"",""ชัยภูมิ!L472"")"),410253)</f>
        <v>410253</v>
      </c>
      <c r="E34" s="187">
        <f ca="1">IFERROR(__xludf.DUMMYFUNCTION("IMPORTRANGE(""https://docs.google.com/spreadsheets/d/1xQzEtGHhTTgxHh6YUkKY1P4dRyjVhS74dGswLfAASA4/edit?usp=sharing"",""ชัยภูมิ!L479"")"),0)</f>
        <v>0</v>
      </c>
      <c r="F34" s="182">
        <f t="shared" ca="1" si="1"/>
        <v>18690</v>
      </c>
      <c r="G34" s="183">
        <f t="shared" ca="1" si="2"/>
        <v>4.555725369467134</v>
      </c>
      <c r="H34" s="184">
        <f t="shared" ca="1" si="63"/>
        <v>18690</v>
      </c>
      <c r="I34" s="187">
        <f ca="1">IFERROR(__xludf.DUMMYFUNCTION("IMPORTRANGE(""https://docs.google.com/spreadsheets/d/1xQzEtGHhTTgxHh6YUkKY1P4dRyjVhS74dGswLfAASA4/edit?usp=sharing"",""ชัยภูมิ!N473"")"),0)</f>
        <v>0</v>
      </c>
      <c r="J34" s="187">
        <f ca="1">IFERROR(__xludf.DUMMYFUNCTION("IMPORTRANGE(""https://docs.google.com/spreadsheets/d/1xQzEtGHhTTgxHh6YUkKY1P4dRyjVhS74dGswLfAASA4/edit?usp=sharing"",""ชัยภูมิ!N474"")"),0)</f>
        <v>0</v>
      </c>
      <c r="K34" s="187">
        <f ca="1">IFERROR(__xludf.DUMMYFUNCTION("IMPORTRANGE(""https://docs.google.com/spreadsheets/d/1xQzEtGHhTTgxHh6YUkKY1P4dRyjVhS74dGswLfAASA4/edit?usp=sharing"",""ชัยภูมิ!N475"")"),0)</f>
        <v>0</v>
      </c>
      <c r="L34" s="187">
        <f ca="1">IFERROR(__xludf.DUMMYFUNCTION("IMPORTRANGE(""https://docs.google.com/spreadsheets/d/1xQzEtGHhTTgxHh6YUkKY1P4dRyjVhS74dGswLfAASA4/edit?usp=sharing"",""ชัยภูมิ!N476"")"),18690)</f>
        <v>18690</v>
      </c>
      <c r="M34" s="185">
        <f ca="1">IFERROR(__xludf.DUMMYFUNCTION("IMPORTRANGE(""https://docs.google.com/spreadsheets/d/1xQzEtGHhTTgxHh6YUkKY1P4dRyjVhS74dGswLfAASA4/edit?usp=sharing"",""ชัยภูมิ!N479"")"),0)</f>
        <v>0</v>
      </c>
      <c r="N34" s="185">
        <f t="shared" ca="1" si="41"/>
        <v>0</v>
      </c>
      <c r="O34" s="181">
        <f ca="1">IFERROR(__xludf.DUMMYFUNCTION("IMPORTRANGE(""https://docs.google.com/spreadsheets/d/1xQzEtGHhTTgxHh6YUkKY1P4dRyjVhS74dGswLfAASA4/edit?usp=sharing"",""ชัยภูมิ!I465"")"),51)</f>
        <v>51</v>
      </c>
      <c r="P34" s="181">
        <f ca="1">IFERROR(__xludf.DUMMYFUNCTION("IMPORTRANGE(""https://docs.google.com/spreadsheets/d/1xQzEtGHhTTgxHh6YUkKY1P4dRyjVhS74dGswLfAASA4/edit?usp=sharing"",""ชัยภูมิ!I466"")"),500)</f>
        <v>500</v>
      </c>
      <c r="Q34" s="181">
        <f ca="1">IFERROR(__xludf.DUMMYFUNCTION("IMPORTRANGE(""https://docs.google.com/spreadsheets/d/1xQzEtGHhTTgxHh6YUkKY1P4dRyjVhS74dGswLfAASA4/edit?usp=sharing"",""ชัยภูมิ!J465"")"),0)</f>
        <v>0</v>
      </c>
      <c r="R34" s="186">
        <f t="shared" ca="1" si="6"/>
        <v>0</v>
      </c>
      <c r="S34" s="181">
        <f ca="1">IFERROR(__xludf.DUMMYFUNCTION("IMPORTRANGE(""https://docs.google.com/spreadsheets/d/1xQzEtGHhTTgxHh6YUkKY1P4dRyjVhS74dGswLfAASA4/edit?usp=sharing"",""ชัยภูมิ!J466"")"),0)</f>
        <v>0</v>
      </c>
      <c r="T34" s="186">
        <f t="shared" ca="1" si="7"/>
        <v>0</v>
      </c>
      <c r="U34" s="181">
        <f ca="1">IFERROR(__xludf.DUMMYFUNCTION("IMPORTRANGE(""https://docs.google.com/spreadsheets/d/1xQzEtGHhTTgxHh6YUkKY1P4dRyjVhS74dGswLfAASA4/edit?usp=sharing"",""ชัยภูมิ!I483"")"),450)</f>
        <v>450</v>
      </c>
      <c r="V34" s="181">
        <f ca="1">IFERROR(__xludf.DUMMYFUNCTION("IMPORTRANGE(""https://docs.google.com/spreadsheets/d/1xQzEtGHhTTgxHh6YUkKY1P4dRyjVhS74dGswLfAASA4/edit?usp=sharing"",""ชัยภูมิ!J483"")"),0)</f>
        <v>0</v>
      </c>
      <c r="W34" s="186">
        <f t="shared" ca="1" si="32"/>
        <v>0</v>
      </c>
      <c r="X34" s="181">
        <f ca="1">IFERROR(__xludf.DUMMYFUNCTION("IMPORTRANGE(""https://docs.google.com/spreadsheets/d/1xQzEtGHhTTgxHh6YUkKY1P4dRyjVhS74dGswLfAASA4/edit?usp=sharing"",""ชัยภูมิ!J484"")"),0)</f>
        <v>0</v>
      </c>
      <c r="Y34" s="181">
        <f ca="1">IFERROR(__xludf.DUMMYFUNCTION("IMPORTRANGE(""https://docs.google.com/spreadsheets/d/1xQzEtGHhTTgxHh6YUkKY1P4dRyjVhS74dGswLfAASA4/edit?usp=sharing"",""ชัยภูมิ!I485"")"),45)</f>
        <v>45</v>
      </c>
      <c r="Z34" s="181">
        <f ca="1">IFERROR(__xludf.DUMMYFUNCTION("IMPORTRANGE(""https://docs.google.com/spreadsheets/d/1xQzEtGHhTTgxHh6YUkKY1P4dRyjVhS74dGswLfAASA4/edit?usp=sharing"",""ชัยภูมิ!J485"")"),0)</f>
        <v>0</v>
      </c>
      <c r="AA34" s="186">
        <f t="shared" ca="1" si="33"/>
        <v>0</v>
      </c>
      <c r="AB34" s="181">
        <f ca="1">IFERROR(__xludf.DUMMYFUNCTION("IMPORTRANGE(""https://docs.google.com/spreadsheets/d/1xQzEtGHhTTgxHh6YUkKY1P4dRyjVhS74dGswLfAASA4/edit?usp=sharing"",""ชัยภูมิ!I487"")"),50)</f>
        <v>50</v>
      </c>
      <c r="AC34" s="181">
        <f ca="1">IFERROR(__xludf.DUMMYFUNCTION("IMPORTRANGE(""https://docs.google.com/spreadsheets/d/1xQzEtGHhTTgxHh6YUkKY1P4dRyjVhS74dGswLfAASA4/edit?usp=sharing"",""ชัยภูมิ!J487"")"),0)</f>
        <v>0</v>
      </c>
      <c r="AD34" s="186">
        <f t="shared" ca="1" si="34"/>
        <v>0</v>
      </c>
      <c r="AE34" s="181">
        <f ca="1">IFERROR(__xludf.DUMMYFUNCTION("IMPORTRANGE(""https://docs.google.com/spreadsheets/d/1xQzEtGHhTTgxHh6YUkKY1P4dRyjVhS74dGswLfAASA4/edit?usp=sharing"",""ชัยภูมิ!J488"")"),0)</f>
        <v>0</v>
      </c>
      <c r="AF34" s="181">
        <f ca="1">IFERROR(__xludf.DUMMYFUNCTION("IMPORTRANGE(""https://docs.google.com/spreadsheets/d/1xQzEtGHhTTgxHh6YUkKY1P4dRyjVhS74dGswLfAASA4/edit?usp=sharing"",""ชัยภูมิ!I489"")"),5)</f>
        <v>5</v>
      </c>
      <c r="AG34" s="181">
        <f ca="1">IFERROR(__xludf.DUMMYFUNCTION("IMPORTRANGE(""https://docs.google.com/spreadsheets/d/1xQzEtGHhTTgxHh6YUkKY1P4dRyjVhS74dGswLfAASA4/edit?usp=sharing"",""ชัยภูมิ!J489"")"),0)</f>
        <v>0</v>
      </c>
      <c r="AH34" s="186">
        <f t="shared" ca="1" si="35"/>
        <v>0</v>
      </c>
      <c r="AI34" s="181">
        <f ca="1">IFERROR(__xludf.DUMMYFUNCTION("IMPORTRANGE(""https://docs.google.com/spreadsheets/d/1xQzEtGHhTTgxHh6YUkKY1P4dRyjVhS74dGswLfAASA4/edit?usp=sharing"",""ชัยภูมิ!J491"")"),0)</f>
        <v>0</v>
      </c>
      <c r="AJ34" s="181">
        <f ca="1">IFERROR(__xludf.DUMMYFUNCTION("IMPORTRANGE(""https://docs.google.com/spreadsheets/d/1xQzEtGHhTTgxHh6YUkKY1P4dRyjVhS74dGswLfAASA4/edit?usp=sharing"",""ชัยภูมิ!I492"")"),1)</f>
        <v>1</v>
      </c>
      <c r="AK34" s="181">
        <f ca="1">IFERROR(__xludf.DUMMYFUNCTION("IMPORTRANGE(""https://docs.google.com/spreadsheets/d/1xQzEtGHhTTgxHh6YUkKY1P4dRyjVhS74dGswLfAASA4/edit?usp=sharing"",""ชัยภูมิ!J492"")"),0)</f>
        <v>0</v>
      </c>
      <c r="AL34" s="186">
        <f t="shared" ca="1" si="36"/>
        <v>0</v>
      </c>
      <c r="AM34" s="181">
        <f ca="1">IFERROR(__xludf.DUMMYFUNCTION("IMPORTRANGE(""https://docs.google.com/spreadsheets/d/1xQzEtGHhTTgxHh6YUkKY1P4dRyjVhS74dGswLfAASA4/edit?usp=sharing"",""ชัยภูมิ!I495"")"),450)</f>
        <v>450</v>
      </c>
      <c r="AN34" s="181">
        <f ca="1">IFERROR(__xludf.DUMMYFUNCTION("IMPORTRANGE(""https://docs.google.com/spreadsheets/d/1xQzEtGHhTTgxHh6YUkKY1P4dRyjVhS74dGswLfAASA4/edit?usp=sharing"",""ชัยภูมิ!J495"")"),0)</f>
        <v>0</v>
      </c>
      <c r="AO34" s="186">
        <f t="shared" ca="1" si="37"/>
        <v>0</v>
      </c>
      <c r="AP34" s="181">
        <f ca="1">IFERROR(__xludf.DUMMYFUNCTION("IMPORTRANGE(""https://docs.google.com/spreadsheets/d/1xQzEtGHhTTgxHh6YUkKY1P4dRyjVhS74dGswLfAASA4/edit?usp=sharing"",""ชัยภูมิ!J496"")"),0)</f>
        <v>0</v>
      </c>
      <c r="AQ34" s="181">
        <f ca="1">IFERROR(__xludf.DUMMYFUNCTION("IMPORTRANGE(""https://docs.google.com/spreadsheets/d/1xQzEtGHhTTgxHh6YUkKY1P4dRyjVhS74dGswLfAASA4/edit?usp=sharing"",""ชัยภูมิ!I498"")"),50)</f>
        <v>50</v>
      </c>
      <c r="AR34" s="181">
        <f ca="1">IFERROR(__xludf.DUMMYFUNCTION("IMPORTRANGE(""https://docs.google.com/spreadsheets/d/1xQzEtGHhTTgxHh6YUkKY1P4dRyjVhS74dGswLfAASA4/edit?usp=sharing"",""ชัยภูมิ!J498"")"),0)</f>
        <v>0</v>
      </c>
      <c r="AS34" s="186">
        <f t="shared" ca="1" si="38"/>
        <v>0</v>
      </c>
      <c r="AT34" s="181">
        <f ca="1">IFERROR(__xludf.DUMMYFUNCTION("IMPORTRANGE(""https://docs.google.com/spreadsheets/d/1xQzEtGHhTTgxHh6YUkKY1P4dRyjVhS74dGswLfAASA4/edit?usp=sharing"",""ชัยภูมิ!J499"")"),0)</f>
        <v>0</v>
      </c>
    </row>
    <row r="35" spans="1:46" ht="21" customHeight="1" x14ac:dyDescent="0.3">
      <c r="A35" s="178">
        <v>4</v>
      </c>
      <c r="B35" s="179" t="s">
        <v>52</v>
      </c>
      <c r="C35" s="180">
        <f t="shared" ca="1" si="62"/>
        <v>1173398</v>
      </c>
      <c r="D35" s="181">
        <f ca="1">IFERROR(__xludf.DUMMYFUNCTION("IMPORTRANGE(""https://docs.google.com/spreadsheets/d/1EXMBoBxU3OFbjT2TRpneM33qFjqDzrKmn9ydcflfI0o/edit?usp=sharing"",""นครพนม!L472"")"),1173398)</f>
        <v>1173398</v>
      </c>
      <c r="E35" s="187">
        <f ca="1">IFERROR(__xludf.DUMMYFUNCTION("IMPORTRANGE(""https://docs.google.com/spreadsheets/d/1EXMBoBxU3OFbjT2TRpneM33qFjqDzrKmn9ydcflfI0o/edit?usp=sharing"",""นครพนม!L479"")"),0)</f>
        <v>0</v>
      </c>
      <c r="F35" s="182">
        <f t="shared" ca="1" si="1"/>
        <v>231965</v>
      </c>
      <c r="G35" s="183">
        <f t="shared" ca="1" si="2"/>
        <v>19.768654795730008</v>
      </c>
      <c r="H35" s="184">
        <f t="shared" ca="1" si="63"/>
        <v>231965</v>
      </c>
      <c r="I35" s="187">
        <f ca="1">IFERROR(__xludf.DUMMYFUNCTION("IMPORTRANGE(""https://docs.google.com/spreadsheets/d/1EXMBoBxU3OFbjT2TRpneM33qFjqDzrKmn9ydcflfI0o/edit?usp=sharing"",""นครพนม!N473"")"),154945)</f>
        <v>154945</v>
      </c>
      <c r="J35" s="187">
        <f ca="1">IFERROR(__xludf.DUMMYFUNCTION("IMPORTRANGE(""https://docs.google.com/spreadsheets/d/1EXMBoBxU3OFbjT2TRpneM33qFjqDzrKmn9ydcflfI0o/edit?usp=sharing"",""นครพนม!N474"")"),4000)</f>
        <v>4000</v>
      </c>
      <c r="K35" s="187">
        <f ca="1">IFERROR(__xludf.DUMMYFUNCTION("IMPORTRANGE(""https://docs.google.com/spreadsheets/d/1EXMBoBxU3OFbjT2TRpneM33qFjqDzrKmn9ydcflfI0o/edit?usp=sharing"",""นครพนม!N475"")"),52000)</f>
        <v>52000</v>
      </c>
      <c r="L35" s="187">
        <f ca="1">IFERROR(__xludf.DUMMYFUNCTION("IMPORTRANGE(""https://docs.google.com/spreadsheets/d/1EXMBoBxU3OFbjT2TRpneM33qFjqDzrKmn9ydcflfI0o/edit?usp=sharing"",""นครพนม!N476"")"),21020)</f>
        <v>21020</v>
      </c>
      <c r="M35" s="185">
        <f ca="1">IFERROR(__xludf.DUMMYFUNCTION("IMPORTRANGE(""https://docs.google.com/spreadsheets/d/1EXMBoBxU3OFbjT2TRpneM33qFjqDzrKmn9ydcflfI0o/edit?usp=sharing"",""นครพนม!N479"")"),0)</f>
        <v>0</v>
      </c>
      <c r="N35" s="185">
        <f t="shared" ca="1" si="41"/>
        <v>0</v>
      </c>
      <c r="O35" s="181">
        <f ca="1">IFERROR(__xludf.DUMMYFUNCTION("IMPORTRANGE(""https://docs.google.com/spreadsheets/d/1EXMBoBxU3OFbjT2TRpneM33qFjqDzrKmn9ydcflfI0o/edit?usp=sharing"",""นครพนม!I465"")"),131)</f>
        <v>131</v>
      </c>
      <c r="P35" s="181">
        <f ca="1">IFERROR(__xludf.DUMMYFUNCTION("IMPORTRANGE(""https://docs.google.com/spreadsheets/d/1EXMBoBxU3OFbjT2TRpneM33qFjqDzrKmn9ydcflfI0o/edit?usp=sharing"",""นครพนม!I466"")"),1300)</f>
        <v>1300</v>
      </c>
      <c r="Q35" s="181">
        <f ca="1">IFERROR(__xludf.DUMMYFUNCTION("IMPORTRANGE(""https://docs.google.com/spreadsheets/d/1EXMBoBxU3OFbjT2TRpneM33qFjqDzrKmn9ydcflfI0o/edit?usp=sharing"",""นครพนม!J465"")"),0)</f>
        <v>0</v>
      </c>
      <c r="R35" s="186">
        <f t="shared" ca="1" si="6"/>
        <v>0</v>
      </c>
      <c r="S35" s="181">
        <f ca="1">IFERROR(__xludf.DUMMYFUNCTION("IMPORTRANGE(""https://docs.google.com/spreadsheets/d/1EXMBoBxU3OFbjT2TRpneM33qFjqDzrKmn9ydcflfI0o/edit?usp=sharing"",""นครพนม!J466"")"),0)</f>
        <v>0</v>
      </c>
      <c r="T35" s="186">
        <f t="shared" ca="1" si="7"/>
        <v>0</v>
      </c>
      <c r="U35" s="181">
        <f ca="1">IFERROR(__xludf.DUMMYFUNCTION("IMPORTRANGE(""https://docs.google.com/spreadsheets/d/1EXMBoBxU3OFbjT2TRpneM33qFjqDzrKmn9ydcflfI0o/edit?usp=sharing"",""นครพนม!I483"")"),1170)</f>
        <v>1170</v>
      </c>
      <c r="V35" s="181" t="str">
        <f ca="1">IFERROR(__xludf.DUMMYFUNCTION("IMPORTRANGE(""https://docs.google.com/spreadsheets/d/1EXMBoBxU3OFbjT2TRpneM33qFjqDzrKmn9ydcflfI0o/edit?usp=sharing"",""นครพนม!J483"")"),"")</f>
        <v/>
      </c>
      <c r="W35" s="186" t="e">
        <f t="shared" ca="1" si="32"/>
        <v>#VALUE!</v>
      </c>
      <c r="X35" s="181" t="str">
        <f ca="1">IFERROR(__xludf.DUMMYFUNCTION("IMPORTRANGE(""https://docs.google.com/spreadsheets/d/1EXMBoBxU3OFbjT2TRpneM33qFjqDzrKmn9ydcflfI0o/edit?usp=sharing"",""นครพนม!J484"")"),"")</f>
        <v/>
      </c>
      <c r="Y35" s="181">
        <f ca="1">IFERROR(__xludf.DUMMYFUNCTION("IMPORTRANGE(""https://docs.google.com/spreadsheets/d/1EXMBoBxU3OFbjT2TRpneM33qFjqDzrKmn9ydcflfI0o/edit?usp=sharing"",""นครพนม!I485"")"),117)</f>
        <v>117</v>
      </c>
      <c r="Z35" s="181">
        <f ca="1">IFERROR(__xludf.DUMMYFUNCTION("IMPORTRANGE(""https://docs.google.com/spreadsheets/d/1EXMBoBxU3OFbjT2TRpneM33qFjqDzrKmn9ydcflfI0o/edit?usp=sharing"",""นครพนม!J485"")"),0)</f>
        <v>0</v>
      </c>
      <c r="AA35" s="186">
        <f t="shared" ca="1" si="33"/>
        <v>0</v>
      </c>
      <c r="AB35" s="181">
        <f ca="1">IFERROR(__xludf.DUMMYFUNCTION("IMPORTRANGE(""https://docs.google.com/spreadsheets/d/1EXMBoBxU3OFbjT2TRpneM33qFjqDzrKmn9ydcflfI0o/edit?usp=sharing"",""นครพนม!I487"")"),130)</f>
        <v>130</v>
      </c>
      <c r="AC35" s="181">
        <f ca="1">IFERROR(__xludf.DUMMYFUNCTION("IMPORTRANGE(""https://docs.google.com/spreadsheets/d/1EXMBoBxU3OFbjT2TRpneM33qFjqDzrKmn9ydcflfI0o/edit?usp=sharing"",""นครพนม!J487"")"),0)</f>
        <v>0</v>
      </c>
      <c r="AD35" s="186">
        <f t="shared" ca="1" si="34"/>
        <v>0</v>
      </c>
      <c r="AE35" s="181">
        <f ca="1">IFERROR(__xludf.DUMMYFUNCTION("IMPORTRANGE(""https://docs.google.com/spreadsheets/d/1EXMBoBxU3OFbjT2TRpneM33qFjqDzrKmn9ydcflfI0o/edit?usp=sharing"",""นครพนม!J488"")"),13)</f>
        <v>13</v>
      </c>
      <c r="AF35" s="181">
        <f ca="1">IFERROR(__xludf.DUMMYFUNCTION("IMPORTRANGE(""https://docs.google.com/spreadsheets/d/1EXMBoBxU3OFbjT2TRpneM33qFjqDzrKmn9ydcflfI0o/edit?usp=sharing"",""นครพนม!I489"")"),13)</f>
        <v>13</v>
      </c>
      <c r="AG35" s="181">
        <f ca="1">IFERROR(__xludf.DUMMYFUNCTION("IMPORTRANGE(""https://docs.google.com/spreadsheets/d/1EXMBoBxU3OFbjT2TRpneM33qFjqDzrKmn9ydcflfI0o/edit?usp=sharing"",""นครพนม!J489"")"),0)</f>
        <v>0</v>
      </c>
      <c r="AH35" s="186">
        <f t="shared" ca="1" si="35"/>
        <v>0</v>
      </c>
      <c r="AI35" s="181">
        <f ca="1">IFERROR(__xludf.DUMMYFUNCTION("IMPORTRANGE(""https://docs.google.com/spreadsheets/d/1EXMBoBxU3OFbjT2TRpneM33qFjqDzrKmn9ydcflfI0o/edit?usp=sharing"",""นครพนม!J491"")"),1)</f>
        <v>1</v>
      </c>
      <c r="AJ35" s="181">
        <f ca="1">IFERROR(__xludf.DUMMYFUNCTION("IMPORTRANGE(""https://docs.google.com/spreadsheets/d/1EXMBoBxU3OFbjT2TRpneM33qFjqDzrKmn9ydcflfI0o/edit?usp=sharing"",""นครพนม!I492"")"),1)</f>
        <v>1</v>
      </c>
      <c r="AK35" s="181">
        <f ca="1">IFERROR(__xludf.DUMMYFUNCTION("IMPORTRANGE(""https://docs.google.com/spreadsheets/d/1EXMBoBxU3OFbjT2TRpneM33qFjqDzrKmn9ydcflfI0o/edit?usp=sharing"",""นครพนม!J492"")"),0)</f>
        <v>0</v>
      </c>
      <c r="AL35" s="186">
        <f t="shared" ca="1" si="36"/>
        <v>0</v>
      </c>
      <c r="AM35" s="181">
        <f ca="1">IFERROR(__xludf.DUMMYFUNCTION("IMPORTRANGE(""https://docs.google.com/spreadsheets/d/1EXMBoBxU3OFbjT2TRpneM33qFjqDzrKmn9ydcflfI0o/edit?usp=sharing"",""นครพนม!I495"")"),1170)</f>
        <v>1170</v>
      </c>
      <c r="AN35" s="181">
        <f ca="1">IFERROR(__xludf.DUMMYFUNCTION("IMPORTRANGE(""https://docs.google.com/spreadsheets/d/1EXMBoBxU3OFbjT2TRpneM33qFjqDzrKmn9ydcflfI0o/edit?usp=sharing"",""นครพนม!J495"")"),0)</f>
        <v>0</v>
      </c>
      <c r="AO35" s="186">
        <f t="shared" ca="1" si="37"/>
        <v>0</v>
      </c>
      <c r="AP35" s="181">
        <f ca="1">IFERROR(__xludf.DUMMYFUNCTION("IMPORTRANGE(""https://docs.google.com/spreadsheets/d/1EXMBoBxU3OFbjT2TRpneM33qFjqDzrKmn9ydcflfI0o/edit?usp=sharing"",""นครพนม!J496"")"),0)</f>
        <v>0</v>
      </c>
      <c r="AQ35" s="181">
        <f ca="1">IFERROR(__xludf.DUMMYFUNCTION("IMPORTRANGE(""https://docs.google.com/spreadsheets/d/1EXMBoBxU3OFbjT2TRpneM33qFjqDzrKmn9ydcflfI0o/edit?usp=sharing"",""นครพนม!I498"")"),130)</f>
        <v>130</v>
      </c>
      <c r="AR35" s="181">
        <f ca="1">IFERROR(__xludf.DUMMYFUNCTION("IMPORTRANGE(""https://docs.google.com/spreadsheets/d/1EXMBoBxU3OFbjT2TRpneM33qFjqDzrKmn9ydcflfI0o/edit?usp=sharing"",""นครพนม!J498"")"),0)</f>
        <v>0</v>
      </c>
      <c r="AS35" s="186">
        <f t="shared" ca="1" si="38"/>
        <v>0</v>
      </c>
      <c r="AT35" s="181">
        <f ca="1">IFERROR(__xludf.DUMMYFUNCTION("IMPORTRANGE(""https://docs.google.com/spreadsheets/d/1EXMBoBxU3OFbjT2TRpneM33qFjqDzrKmn9ydcflfI0o/edit?usp=sharing"",""นครพนม!J499"")"),0)</f>
        <v>0</v>
      </c>
    </row>
    <row r="36" spans="1:46" ht="21" customHeight="1" x14ac:dyDescent="0.3">
      <c r="A36" s="178">
        <v>5</v>
      </c>
      <c r="B36" s="179" t="s">
        <v>53</v>
      </c>
      <c r="C36" s="188">
        <f t="shared" ca="1" si="62"/>
        <v>1167258</v>
      </c>
      <c r="D36" s="189">
        <f ca="1">IFERROR(__xludf.DUMMYFUNCTION("IMPORTRANGE(""https://docs.google.com/spreadsheets/d/1bDQrolntRWtHumK8W-x-HXKntwxB9S3sF5aDeRS66Ko/edit?usp=sharing"",""นครราชสีมา!L472"")"),1167258)</f>
        <v>1167258</v>
      </c>
      <c r="E36" s="190">
        <f ca="1">IFERROR(__xludf.DUMMYFUNCTION("IMPORTRANGE(""https://docs.google.com/spreadsheets/d/1bDQrolntRWtHumK8W-x-HXKntwxB9S3sF5aDeRS66Ko/edit?usp=sharing"",""นครราชสีมา!L479"")"),0)</f>
        <v>0</v>
      </c>
      <c r="F36" s="182">
        <f t="shared" ca="1" si="1"/>
        <v>247923.35</v>
      </c>
      <c r="G36" s="191">
        <f t="shared" ca="1" si="2"/>
        <v>21.239807309095333</v>
      </c>
      <c r="H36" s="184">
        <f t="shared" ca="1" si="63"/>
        <v>247923.35</v>
      </c>
      <c r="I36" s="187">
        <f ca="1">IFERROR(__xludf.DUMMYFUNCTION("IMPORTRANGE(""https://docs.google.com/spreadsheets/d/1bDQrolntRWtHumK8W-x-HXKntwxB9S3sF5aDeRS66Ko/edit?usp=sharing"",""นครราชสีมา!N473"")"),180050)</f>
        <v>180050</v>
      </c>
      <c r="J36" s="187">
        <f ca="1">IFERROR(__xludf.DUMMYFUNCTION("IMPORTRANGE(""https://docs.google.com/spreadsheets/d/1bDQrolntRWtHumK8W-x-HXKntwxB9S3sF5aDeRS66Ko/edit?usp=sharing"",""นครราชสีมา!N474"")"),0)</f>
        <v>0</v>
      </c>
      <c r="K36" s="187">
        <f ca="1">IFERROR(__xludf.DUMMYFUNCTION("IMPORTRANGE(""https://docs.google.com/spreadsheets/d/1bDQrolntRWtHumK8W-x-HXKntwxB9S3sF5aDeRS66Ko/edit?usp=sharing"",""นครราชสีมา!N475"")"),49833.35)</f>
        <v>49833.35</v>
      </c>
      <c r="L36" s="187">
        <f ca="1">IFERROR(__xludf.DUMMYFUNCTION("IMPORTRANGE(""https://docs.google.com/spreadsheets/d/1bDQrolntRWtHumK8W-x-HXKntwxB9S3sF5aDeRS66Ko/edit?usp=sharing"",""นครราชสีมา!N476"")"),18040)</f>
        <v>18040</v>
      </c>
      <c r="M36" s="185">
        <f ca="1">IFERROR(__xludf.DUMMYFUNCTION("IMPORTRANGE(""https://docs.google.com/spreadsheets/d/1bDQrolntRWtHumK8W-x-HXKntwxB9S3sF5aDeRS66Ko/edit?usp=sharing"",""นครราชสีมา!N479"")"),0)</f>
        <v>0</v>
      </c>
      <c r="N36" s="185">
        <f t="shared" ca="1" si="41"/>
        <v>0</v>
      </c>
      <c r="O36" s="189">
        <f ca="1">IFERROR(__xludf.DUMMYFUNCTION("IMPORTRANGE(""https://docs.google.com/spreadsheets/d/1bDQrolntRWtHumK8W-x-HXKntwxB9S3sF5aDeRS66Ko/edit?usp=sharing"",""นครราชสีมา!I465"")"),131)</f>
        <v>131</v>
      </c>
      <c r="P36" s="189">
        <f ca="1">IFERROR(__xludf.DUMMYFUNCTION("IMPORTRANGE(""https://docs.google.com/spreadsheets/d/1bDQrolntRWtHumK8W-x-HXKntwxB9S3sF5aDeRS66Ko/edit?usp=sharing"",""นครราชสีมา!I466"")"),1300)</f>
        <v>1300</v>
      </c>
      <c r="Q36" s="181">
        <f ca="1">IFERROR(__xludf.DUMMYFUNCTION("IMPORTRANGE(""https://docs.google.com/spreadsheets/d/1bDQrolntRWtHumK8W-x-HXKntwxB9S3sF5aDeRS66Ko/edit?usp=sharing"",""นครราชสีมา!J465"")"),134)</f>
        <v>134</v>
      </c>
      <c r="R36" s="186">
        <f t="shared" ca="1" si="6"/>
        <v>102.29007633587786</v>
      </c>
      <c r="S36" s="181">
        <f ca="1">IFERROR(__xludf.DUMMYFUNCTION("IMPORTRANGE(""https://docs.google.com/spreadsheets/d/1bDQrolntRWtHumK8W-x-HXKntwxB9S3sF5aDeRS66Ko/edit?usp=sharing"",""นครราชสีมา!J466"")"),0)</f>
        <v>0</v>
      </c>
      <c r="T36" s="186">
        <f t="shared" ca="1" si="7"/>
        <v>0</v>
      </c>
      <c r="U36" s="189">
        <f ca="1">IFERROR(__xludf.DUMMYFUNCTION("IMPORTRANGE(""https://docs.google.com/spreadsheets/d/1bDQrolntRWtHumK8W-x-HXKntwxB9S3sF5aDeRS66Ko/edit?usp=sharing"",""นครราชสีมา!I483"")"),1170)</f>
        <v>1170</v>
      </c>
      <c r="V36" s="181">
        <f ca="1">IFERROR(__xludf.DUMMYFUNCTION("IMPORTRANGE(""https://docs.google.com/spreadsheets/d/1bDQrolntRWtHumK8W-x-HXKntwxB9S3sF5aDeRS66Ko/edit?usp=sharing"",""นครราชสีมา!J483"")"),1247)</f>
        <v>1247</v>
      </c>
      <c r="W36" s="186">
        <f t="shared" ca="1" si="32"/>
        <v>106.58119658119658</v>
      </c>
      <c r="X36" s="181">
        <f ca="1">IFERROR(__xludf.DUMMYFUNCTION("IMPORTRANGE(""https://docs.google.com/spreadsheets/d/1bDQrolntRWtHumK8W-x-HXKntwxB9S3sF5aDeRS66Ko/edit?usp=sharing"",""นครราชสีมา!J484"")"),0)</f>
        <v>0</v>
      </c>
      <c r="Y36" s="189">
        <f ca="1">IFERROR(__xludf.DUMMYFUNCTION("IMPORTRANGE(""https://docs.google.com/spreadsheets/d/1bDQrolntRWtHumK8W-x-HXKntwxB9S3sF5aDeRS66Ko/edit?usp=sharing"",""นครราชสีมา!I485"")"),117)</f>
        <v>117</v>
      </c>
      <c r="Z36" s="181">
        <f ca="1">IFERROR(__xludf.DUMMYFUNCTION("IMPORTRANGE(""https://docs.google.com/spreadsheets/d/1bDQrolntRWtHumK8W-x-HXKntwxB9S3sF5aDeRS66Ko/edit?usp=sharing"",""นครราชสีมา!J485"")"),110)</f>
        <v>110</v>
      </c>
      <c r="AA36" s="186">
        <f t="shared" ca="1" si="33"/>
        <v>94.017094017094024</v>
      </c>
      <c r="AB36" s="189">
        <f ca="1">IFERROR(__xludf.DUMMYFUNCTION("IMPORTRANGE(""https://docs.google.com/spreadsheets/d/1bDQrolntRWtHumK8W-x-HXKntwxB9S3sF5aDeRS66Ko/edit?usp=sharing"",""นครราชสีมา!I487"")"),130)</f>
        <v>130</v>
      </c>
      <c r="AC36" s="181">
        <f ca="1">IFERROR(__xludf.DUMMYFUNCTION("IMPORTRANGE(""https://docs.google.com/spreadsheets/d/1bDQrolntRWtHumK8W-x-HXKntwxB9S3sF5aDeRS66Ko/edit?usp=sharing"",""นครราชสีมา!J487"")"),57)</f>
        <v>57</v>
      </c>
      <c r="AD36" s="186">
        <f t="shared" ca="1" si="34"/>
        <v>43.846153846153847</v>
      </c>
      <c r="AE36" s="181">
        <f ca="1">IFERROR(__xludf.DUMMYFUNCTION("IMPORTRANGE(""https://docs.google.com/spreadsheets/d/1bDQrolntRWtHumK8W-x-HXKntwxB9S3sF5aDeRS66Ko/edit?usp=sharing"",""นครราชสีมา!J488"")"),0)</f>
        <v>0</v>
      </c>
      <c r="AF36" s="189">
        <f ca="1">IFERROR(__xludf.DUMMYFUNCTION("IMPORTRANGE(""https://docs.google.com/spreadsheets/d/1bDQrolntRWtHumK8W-x-HXKntwxB9S3sF5aDeRS66Ko/edit?usp=sharing"",""นครราชสีมา!I489"")"),13)</f>
        <v>13</v>
      </c>
      <c r="AG36" s="181">
        <f ca="1">IFERROR(__xludf.DUMMYFUNCTION("IMPORTRANGE(""https://docs.google.com/spreadsheets/d/1bDQrolntRWtHumK8W-x-HXKntwxB9S3sF5aDeRS66Ko/edit?usp=sharing"",""นครราชสีมา!J489"")"),23)</f>
        <v>23</v>
      </c>
      <c r="AH36" s="186">
        <f t="shared" ca="1" si="35"/>
        <v>176.92307692307693</v>
      </c>
      <c r="AI36" s="181">
        <f ca="1">IFERROR(__xludf.DUMMYFUNCTION("IMPORTRANGE(""https://docs.google.com/spreadsheets/d/1bDQrolntRWtHumK8W-x-HXKntwxB9S3sF5aDeRS66Ko/edit?usp=sharing"",""นครราชสีมา!J491"")"),0)</f>
        <v>0</v>
      </c>
      <c r="AJ36" s="189">
        <f ca="1">IFERROR(__xludf.DUMMYFUNCTION("IMPORTRANGE(""https://docs.google.com/spreadsheets/d/1bDQrolntRWtHumK8W-x-HXKntwxB9S3sF5aDeRS66Ko/edit?usp=sharing"",""นครราชสีมา!I492"")"),1)</f>
        <v>1</v>
      </c>
      <c r="AK36" s="181">
        <f ca="1">IFERROR(__xludf.DUMMYFUNCTION("IMPORTRANGE(""https://docs.google.com/spreadsheets/d/1bDQrolntRWtHumK8W-x-HXKntwxB9S3sF5aDeRS66Ko/edit?usp=sharing"",""นครราชสีมา!J492"")"),1)</f>
        <v>1</v>
      </c>
      <c r="AL36" s="186">
        <f t="shared" ca="1" si="36"/>
        <v>100</v>
      </c>
      <c r="AM36" s="189">
        <f ca="1">IFERROR(__xludf.DUMMYFUNCTION("IMPORTRANGE(""https://docs.google.com/spreadsheets/d/1bDQrolntRWtHumK8W-x-HXKntwxB9S3sF5aDeRS66Ko/edit?usp=sharing"",""นครราชสีมา!I495"")"),1170)</f>
        <v>1170</v>
      </c>
      <c r="AN36" s="181">
        <f ca="1">IFERROR(__xludf.DUMMYFUNCTION("IMPORTRANGE(""https://docs.google.com/spreadsheets/d/1bDQrolntRWtHumK8W-x-HXKntwxB9S3sF5aDeRS66Ko/edit?usp=sharing"",""นครราชสีมา!J495"")"),0)</f>
        <v>0</v>
      </c>
      <c r="AO36" s="186">
        <f t="shared" ca="1" si="37"/>
        <v>0</v>
      </c>
      <c r="AP36" s="181">
        <f ca="1">IFERROR(__xludf.DUMMYFUNCTION("IMPORTRANGE(""https://docs.google.com/spreadsheets/d/1bDQrolntRWtHumK8W-x-HXKntwxB9S3sF5aDeRS66Ko/edit?usp=sharing"",""นครราชสีมา!J496"")"),0)</f>
        <v>0</v>
      </c>
      <c r="AQ36" s="189">
        <f ca="1">IFERROR(__xludf.DUMMYFUNCTION("IMPORTRANGE(""https://docs.google.com/spreadsheets/d/1bDQrolntRWtHumK8W-x-HXKntwxB9S3sF5aDeRS66Ko/edit?usp=sharing"",""นครราชสีมา!I498"")"),130)</f>
        <v>130</v>
      </c>
      <c r="AR36" s="181">
        <f ca="1">IFERROR(__xludf.DUMMYFUNCTION("IMPORTRANGE(""https://docs.google.com/spreadsheets/d/1bDQrolntRWtHumK8W-x-HXKntwxB9S3sF5aDeRS66Ko/edit?usp=sharing"",""นครราชสีมา!J498"")"),0)</f>
        <v>0</v>
      </c>
      <c r="AS36" s="186">
        <f t="shared" ca="1" si="38"/>
        <v>0</v>
      </c>
      <c r="AT36" s="181">
        <f ca="1">IFERROR(__xludf.DUMMYFUNCTION("IMPORTRANGE(""https://docs.google.com/spreadsheets/d/1bDQrolntRWtHumK8W-x-HXKntwxB9S3sF5aDeRS66Ko/edit?usp=sharing"",""นครราชสีมา!J499"")"),0)</f>
        <v>0</v>
      </c>
    </row>
    <row r="37" spans="1:46" ht="21" customHeight="1" x14ac:dyDescent="0.3">
      <c r="A37" s="178">
        <v>6</v>
      </c>
      <c r="B37" s="179" t="s">
        <v>54</v>
      </c>
      <c r="C37" s="180">
        <f t="shared" ca="1" si="62"/>
        <v>1173538</v>
      </c>
      <c r="D37" s="181">
        <f ca="1">IFERROR(__xludf.DUMMYFUNCTION("IMPORTRANGE(""https://docs.google.com/spreadsheets/d/1_MzZ-2gVPiCW-d2VcafoCmFJQTSrZ6SQyFcMqRRQQ2w/edit?usp=sharing"",""บึงกาฬ!L472"")"),1173538)</f>
        <v>1173538</v>
      </c>
      <c r="E37" s="187">
        <f ca="1">IFERROR(__xludf.DUMMYFUNCTION("IMPORTRANGE(""https://docs.google.com/spreadsheets/d/1_MzZ-2gVPiCW-d2VcafoCmFJQTSrZ6SQyFcMqRRQQ2w/edit?usp=sharing"",""บึงกาฬ!L479"")"),0)</f>
        <v>0</v>
      </c>
      <c r="F37" s="182">
        <f t="shared" ca="1" si="1"/>
        <v>184753</v>
      </c>
      <c r="G37" s="183">
        <f t="shared" ca="1" si="2"/>
        <v>15.743248194775116</v>
      </c>
      <c r="H37" s="184">
        <f t="shared" ca="1" si="63"/>
        <v>184753</v>
      </c>
      <c r="I37" s="187">
        <f ca="1">IFERROR(__xludf.DUMMYFUNCTION("IMPORTRANGE(""https://docs.google.com/spreadsheets/d/1_MzZ-2gVPiCW-d2VcafoCmFJQTSrZ6SQyFcMqRRQQ2w/edit?usp=sharing"",""บึงกาฬ!N473"")"),121603)</f>
        <v>121603</v>
      </c>
      <c r="J37" s="187">
        <f ca="1">IFERROR(__xludf.DUMMYFUNCTION("IMPORTRANGE(""https://docs.google.com/spreadsheets/d/1_MzZ-2gVPiCW-d2VcafoCmFJQTSrZ6SQyFcMqRRQQ2w/edit?usp=sharing"",""บึงกาฬ!N474"")"),0)</f>
        <v>0</v>
      </c>
      <c r="K37" s="187">
        <f ca="1">IFERROR(__xludf.DUMMYFUNCTION("IMPORTRANGE(""https://docs.google.com/spreadsheets/d/1_MzZ-2gVPiCW-d2VcafoCmFJQTSrZ6SQyFcMqRRQQ2w/edit?usp=sharing"",""บึงกาฬ!N475"")"),51160)</f>
        <v>51160</v>
      </c>
      <c r="L37" s="187">
        <f ca="1">IFERROR(__xludf.DUMMYFUNCTION("IMPORTRANGE(""https://docs.google.com/spreadsheets/d/1_MzZ-2gVPiCW-d2VcafoCmFJQTSrZ6SQyFcMqRRQQ2w/edit?usp=sharing"",""บึงกาฬ!N476"")"),11990)</f>
        <v>11990</v>
      </c>
      <c r="M37" s="185">
        <f ca="1">IFERROR(__xludf.DUMMYFUNCTION("IMPORTRANGE(""https://docs.google.com/spreadsheets/d/1_MzZ-2gVPiCW-d2VcafoCmFJQTSrZ6SQyFcMqRRQQ2w/edit?usp=sharing"",""บึงกาฬ!N479"")"),0)</f>
        <v>0</v>
      </c>
      <c r="N37" s="185">
        <f t="shared" ca="1" si="41"/>
        <v>0</v>
      </c>
      <c r="O37" s="181">
        <f ca="1">IFERROR(__xludf.DUMMYFUNCTION("IMPORTRANGE(""https://docs.google.com/spreadsheets/d/1_MzZ-2gVPiCW-d2VcafoCmFJQTSrZ6SQyFcMqRRQQ2w/edit?usp=sharing"",""บึงกาฬ!I465"")"),131)</f>
        <v>131</v>
      </c>
      <c r="P37" s="181">
        <f ca="1">IFERROR(__xludf.DUMMYFUNCTION("IMPORTRANGE(""https://docs.google.com/spreadsheets/d/1_MzZ-2gVPiCW-d2VcafoCmFJQTSrZ6SQyFcMqRRQQ2w/edit?usp=sharing"",""บึงกาฬ!I466"")"),1300)</f>
        <v>1300</v>
      </c>
      <c r="Q37" s="181">
        <f ca="1">IFERROR(__xludf.DUMMYFUNCTION("IMPORTRANGE(""https://docs.google.com/spreadsheets/d/1_MzZ-2gVPiCW-d2VcafoCmFJQTSrZ6SQyFcMqRRQQ2w/edit?usp=sharing"",""บึงกาฬ!J465"")"),131)</f>
        <v>131</v>
      </c>
      <c r="R37" s="186">
        <f t="shared" ca="1" si="6"/>
        <v>100</v>
      </c>
      <c r="S37" s="181">
        <f ca="1">IFERROR(__xludf.DUMMYFUNCTION("IMPORTRANGE(""https://docs.google.com/spreadsheets/d/1_MzZ-2gVPiCW-d2VcafoCmFJQTSrZ6SQyFcMqRRQQ2w/edit?usp=sharing"",""บึงกาฬ!J466"")"),0)</f>
        <v>0</v>
      </c>
      <c r="T37" s="186">
        <f t="shared" ca="1" si="7"/>
        <v>0</v>
      </c>
      <c r="U37" s="181">
        <f ca="1">IFERROR(__xludf.DUMMYFUNCTION("IMPORTRANGE(""https://docs.google.com/spreadsheets/d/1_MzZ-2gVPiCW-d2VcafoCmFJQTSrZ6SQyFcMqRRQQ2w/edit?usp=sharing"",""บึงกาฬ!I483"")"),1170)</f>
        <v>1170</v>
      </c>
      <c r="V37" s="181">
        <f ca="1">IFERROR(__xludf.DUMMYFUNCTION("IMPORTRANGE(""https://docs.google.com/spreadsheets/d/1_MzZ-2gVPiCW-d2VcafoCmFJQTSrZ6SQyFcMqRRQQ2w/edit?usp=sharing"",""บึงกาฬ!J483"")"),1170)</f>
        <v>1170</v>
      </c>
      <c r="W37" s="186">
        <f t="shared" ca="1" si="32"/>
        <v>100</v>
      </c>
      <c r="X37" s="181">
        <f ca="1">IFERROR(__xludf.DUMMYFUNCTION("IMPORTRANGE(""https://docs.google.com/spreadsheets/d/1_MzZ-2gVPiCW-d2VcafoCmFJQTSrZ6SQyFcMqRRQQ2w/edit?usp=sharing"",""บึงกาฬ!J484"")"),0)</f>
        <v>0</v>
      </c>
      <c r="Y37" s="181">
        <f ca="1">IFERROR(__xludf.DUMMYFUNCTION("IMPORTRANGE(""https://docs.google.com/spreadsheets/d/1_MzZ-2gVPiCW-d2VcafoCmFJQTSrZ6SQyFcMqRRQQ2w/edit?usp=sharing"",""บึงกาฬ!I485"")"),117)</f>
        <v>117</v>
      </c>
      <c r="Z37" s="181">
        <f ca="1">IFERROR(__xludf.DUMMYFUNCTION("IMPORTRANGE(""https://docs.google.com/spreadsheets/d/1_MzZ-2gVPiCW-d2VcafoCmFJQTSrZ6SQyFcMqRRQQ2w/edit?usp=sharing"",""บึงกาฬ!J485"")"),117)</f>
        <v>117</v>
      </c>
      <c r="AA37" s="186">
        <f t="shared" ca="1" si="33"/>
        <v>100</v>
      </c>
      <c r="AB37" s="181">
        <f ca="1">IFERROR(__xludf.DUMMYFUNCTION("IMPORTRANGE(""https://docs.google.com/spreadsheets/d/1_MzZ-2gVPiCW-d2VcafoCmFJQTSrZ6SQyFcMqRRQQ2w/edit?usp=sharing"",""บึงกาฬ!I487"")"),130)</f>
        <v>130</v>
      </c>
      <c r="AC37" s="181">
        <f ca="1">IFERROR(__xludf.DUMMYFUNCTION("IMPORTRANGE(""https://docs.google.com/spreadsheets/d/1_MzZ-2gVPiCW-d2VcafoCmFJQTSrZ6SQyFcMqRRQQ2w/edit?usp=sharing"",""บึงกาฬ!J487"")"),130)</f>
        <v>130</v>
      </c>
      <c r="AD37" s="186">
        <f t="shared" ca="1" si="34"/>
        <v>100</v>
      </c>
      <c r="AE37" s="181">
        <f ca="1">IFERROR(__xludf.DUMMYFUNCTION("IMPORTRANGE(""https://docs.google.com/spreadsheets/d/1_MzZ-2gVPiCW-d2VcafoCmFJQTSrZ6SQyFcMqRRQQ2w/edit?usp=sharing"",""บึงกาฬ!J488"")"),0)</f>
        <v>0</v>
      </c>
      <c r="AF37" s="181">
        <f ca="1">IFERROR(__xludf.DUMMYFUNCTION("IMPORTRANGE(""https://docs.google.com/spreadsheets/d/1_MzZ-2gVPiCW-d2VcafoCmFJQTSrZ6SQyFcMqRRQQ2w/edit?usp=sharing"",""บึงกาฬ!I489"")"),13)</f>
        <v>13</v>
      </c>
      <c r="AG37" s="181">
        <f ca="1">IFERROR(__xludf.DUMMYFUNCTION("IMPORTRANGE(""https://docs.google.com/spreadsheets/d/1_MzZ-2gVPiCW-d2VcafoCmFJQTSrZ6SQyFcMqRRQQ2w/edit?usp=sharing"",""บึงกาฬ!J489"")"),13)</f>
        <v>13</v>
      </c>
      <c r="AH37" s="186">
        <f t="shared" ca="1" si="35"/>
        <v>100</v>
      </c>
      <c r="AI37" s="181">
        <f ca="1">IFERROR(__xludf.DUMMYFUNCTION("IMPORTRANGE(""https://docs.google.com/spreadsheets/d/1_MzZ-2gVPiCW-d2VcafoCmFJQTSrZ6SQyFcMqRRQQ2w/edit?usp=sharing"",""บึงกาฬ!J491"")"),0)</f>
        <v>0</v>
      </c>
      <c r="AJ37" s="181">
        <f ca="1">IFERROR(__xludf.DUMMYFUNCTION("IMPORTRANGE(""https://docs.google.com/spreadsheets/d/1_MzZ-2gVPiCW-d2VcafoCmFJQTSrZ6SQyFcMqRRQQ2w/edit?usp=sharing"",""บึงกาฬ!I492"")"),1)</f>
        <v>1</v>
      </c>
      <c r="AK37" s="181">
        <f ca="1">IFERROR(__xludf.DUMMYFUNCTION("IMPORTRANGE(""https://docs.google.com/spreadsheets/d/1_MzZ-2gVPiCW-d2VcafoCmFJQTSrZ6SQyFcMqRRQQ2w/edit?usp=sharing"",""บึงกาฬ!J492"")"),1)</f>
        <v>1</v>
      </c>
      <c r="AL37" s="186">
        <f t="shared" ca="1" si="36"/>
        <v>100</v>
      </c>
      <c r="AM37" s="181">
        <f ca="1">IFERROR(__xludf.DUMMYFUNCTION("IMPORTRANGE(""https://docs.google.com/spreadsheets/d/1_MzZ-2gVPiCW-d2VcafoCmFJQTSrZ6SQyFcMqRRQQ2w/edit?usp=sharing"",""บึงกาฬ!I495"")"),1170)</f>
        <v>1170</v>
      </c>
      <c r="AN37" s="181">
        <f ca="1">IFERROR(__xludf.DUMMYFUNCTION("IMPORTRANGE(""https://docs.google.com/spreadsheets/d/1_MzZ-2gVPiCW-d2VcafoCmFJQTSrZ6SQyFcMqRRQQ2w/edit?usp=sharing"",""บึงกาฬ!J495"")"),0)</f>
        <v>0</v>
      </c>
      <c r="AO37" s="186">
        <f t="shared" ca="1" si="37"/>
        <v>0</v>
      </c>
      <c r="AP37" s="181">
        <f ca="1">IFERROR(__xludf.DUMMYFUNCTION("IMPORTRANGE(""https://docs.google.com/spreadsheets/d/1_MzZ-2gVPiCW-d2VcafoCmFJQTSrZ6SQyFcMqRRQQ2w/edit?usp=sharing"",""บึงกาฬ!J496"")"),0)</f>
        <v>0</v>
      </c>
      <c r="AQ37" s="181">
        <f ca="1">IFERROR(__xludf.DUMMYFUNCTION("IMPORTRANGE(""https://docs.google.com/spreadsheets/d/1_MzZ-2gVPiCW-d2VcafoCmFJQTSrZ6SQyFcMqRRQQ2w/edit?usp=sharing"",""บึงกาฬ!I498"")"),130)</f>
        <v>130</v>
      </c>
      <c r="AR37" s="181">
        <f ca="1">IFERROR(__xludf.DUMMYFUNCTION("IMPORTRANGE(""https://docs.google.com/spreadsheets/d/1_MzZ-2gVPiCW-d2VcafoCmFJQTSrZ6SQyFcMqRRQQ2w/edit?usp=sharing"",""บึงกาฬ!J498"")"),0)</f>
        <v>0</v>
      </c>
      <c r="AS37" s="186">
        <f t="shared" ca="1" si="38"/>
        <v>0</v>
      </c>
      <c r="AT37" s="181">
        <f ca="1">IFERROR(__xludf.DUMMYFUNCTION("IMPORTRANGE(""https://docs.google.com/spreadsheets/d/1_MzZ-2gVPiCW-d2VcafoCmFJQTSrZ6SQyFcMqRRQQ2w/edit?usp=sharing"",""บึงกาฬ!J499"")"),0)</f>
        <v>0</v>
      </c>
    </row>
    <row r="38" spans="1:46" ht="21" customHeight="1" x14ac:dyDescent="0.3">
      <c r="A38" s="178">
        <v>7</v>
      </c>
      <c r="B38" s="179" t="s">
        <v>55</v>
      </c>
      <c r="C38" s="180">
        <f t="shared" ca="1" si="62"/>
        <v>1168168</v>
      </c>
      <c r="D38" s="181">
        <f ca="1">IFERROR(__xludf.DUMMYFUNCTION("IMPORTRANGE(""https://docs.google.com/spreadsheets/d/1B3lPpzOuaNwVItLwLEZYl_qEblfcx7dRnbRkAw0l-pE/edit?usp=sharing"",""บุรีรัมย์!L472"")"),1168168)</f>
        <v>1168168</v>
      </c>
      <c r="E38" s="187">
        <f ca="1">IFERROR(__xludf.DUMMYFUNCTION("IMPORTRANGE(""https://docs.google.com/spreadsheets/d/1B3lPpzOuaNwVItLwLEZYl_qEblfcx7dRnbRkAw0l-pE/edit?usp=sharing"",""บุรีรัมย์!L479"")"),0)</f>
        <v>0</v>
      </c>
      <c r="F38" s="182">
        <f t="shared" ca="1" si="1"/>
        <v>187970</v>
      </c>
      <c r="G38" s="183">
        <f t="shared" ca="1" si="2"/>
        <v>16.09100745783141</v>
      </c>
      <c r="H38" s="184">
        <f t="shared" ca="1" si="63"/>
        <v>187970</v>
      </c>
      <c r="I38" s="187">
        <f ca="1">IFERROR(__xludf.DUMMYFUNCTION("IMPORTRANGE(""https://docs.google.com/spreadsheets/d/1B3lPpzOuaNwVItLwLEZYl_qEblfcx7dRnbRkAw0l-pE/edit?usp=sharing"",""บุรีรัมย์!N473"")"),127630)</f>
        <v>127630</v>
      </c>
      <c r="J38" s="187">
        <f ca="1">IFERROR(__xludf.DUMMYFUNCTION("IMPORTRANGE(""https://docs.google.com/spreadsheets/d/1B3lPpzOuaNwVItLwLEZYl_qEblfcx7dRnbRkAw0l-pE/edit?usp=sharing"",""บุรีรัมย์!N474"")"),0)</f>
        <v>0</v>
      </c>
      <c r="K38" s="187">
        <f ca="1">IFERROR(__xludf.DUMMYFUNCTION("IMPORTRANGE(""https://docs.google.com/spreadsheets/d/1B3lPpzOuaNwVItLwLEZYl_qEblfcx7dRnbRkAw0l-pE/edit?usp=sharing"",""บุรีรัมย์!N475"")"),52000)</f>
        <v>52000</v>
      </c>
      <c r="L38" s="187">
        <f ca="1">IFERROR(__xludf.DUMMYFUNCTION("IMPORTRANGE(""https://docs.google.com/spreadsheets/d/1B3lPpzOuaNwVItLwLEZYl_qEblfcx7dRnbRkAw0l-pE/edit?usp=sharing"",""บุรีรัมย์!N476"")"),8340)</f>
        <v>8340</v>
      </c>
      <c r="M38" s="185">
        <f ca="1">IFERROR(__xludf.DUMMYFUNCTION("IMPORTRANGE(""https://docs.google.com/spreadsheets/d/1B3lPpzOuaNwVItLwLEZYl_qEblfcx7dRnbRkAw0l-pE/edit?usp=sharing"",""บุรีรัมย์!N479"")"),0)</f>
        <v>0</v>
      </c>
      <c r="N38" s="185">
        <f t="shared" ca="1" si="41"/>
        <v>0</v>
      </c>
      <c r="O38" s="181">
        <f ca="1">IFERROR(__xludf.DUMMYFUNCTION("IMPORTRANGE(""https://docs.google.com/spreadsheets/d/1B3lPpzOuaNwVItLwLEZYl_qEblfcx7dRnbRkAw0l-pE/edit?usp=sharing"",""บุรีรัมย์!I465"")"),131)</f>
        <v>131</v>
      </c>
      <c r="P38" s="181">
        <f ca="1">IFERROR(__xludf.DUMMYFUNCTION("IMPORTRANGE(""https://docs.google.com/spreadsheets/d/1B3lPpzOuaNwVItLwLEZYl_qEblfcx7dRnbRkAw0l-pE/edit?usp=sharing"",""บุรีรัมย์!I466"")"),1300)</f>
        <v>1300</v>
      </c>
      <c r="Q38" s="181">
        <f ca="1">IFERROR(__xludf.DUMMYFUNCTION("IMPORTRANGE(""https://docs.google.com/spreadsheets/d/1B3lPpzOuaNwVItLwLEZYl_qEblfcx7dRnbRkAw0l-pE/edit?usp=sharing"",""บุรีรัมย์!J465"")"),131)</f>
        <v>131</v>
      </c>
      <c r="R38" s="186">
        <f t="shared" ca="1" si="6"/>
        <v>100</v>
      </c>
      <c r="S38" s="181">
        <f ca="1">IFERROR(__xludf.DUMMYFUNCTION("IMPORTRANGE(""https://docs.google.com/spreadsheets/d/1B3lPpzOuaNwVItLwLEZYl_qEblfcx7dRnbRkAw0l-pE/edit?usp=sharing"",""บุรีรัมย์!J466"")"),0)</f>
        <v>0</v>
      </c>
      <c r="T38" s="186">
        <f t="shared" ca="1" si="7"/>
        <v>0</v>
      </c>
      <c r="U38" s="181">
        <f ca="1">IFERROR(__xludf.DUMMYFUNCTION("IMPORTRANGE(""https://docs.google.com/spreadsheets/d/1B3lPpzOuaNwVItLwLEZYl_qEblfcx7dRnbRkAw0l-pE/edit?usp=sharing"",""บุรีรัมย์!I483"")"),1170)</f>
        <v>1170</v>
      </c>
      <c r="V38" s="181">
        <f ca="1">IFERROR(__xludf.DUMMYFUNCTION("IMPORTRANGE(""https://docs.google.com/spreadsheets/d/1B3lPpzOuaNwVItLwLEZYl_qEblfcx7dRnbRkAw0l-pE/edit?usp=sharing"",""บุรีรัมย์!J483"")"),1170)</f>
        <v>1170</v>
      </c>
      <c r="W38" s="186">
        <f t="shared" ca="1" si="32"/>
        <v>100</v>
      </c>
      <c r="X38" s="181">
        <f ca="1">IFERROR(__xludf.DUMMYFUNCTION("IMPORTRANGE(""https://docs.google.com/spreadsheets/d/1B3lPpzOuaNwVItLwLEZYl_qEblfcx7dRnbRkAw0l-pE/edit?usp=sharing"",""บุรีรัมย์!J484"")"),0)</f>
        <v>0</v>
      </c>
      <c r="Y38" s="181">
        <f ca="1">IFERROR(__xludf.DUMMYFUNCTION("IMPORTRANGE(""https://docs.google.com/spreadsheets/d/1B3lPpzOuaNwVItLwLEZYl_qEblfcx7dRnbRkAw0l-pE/edit?usp=sharing"",""บุรีรัมย์!I485"")"),117)</f>
        <v>117</v>
      </c>
      <c r="Z38" s="181">
        <f ca="1">IFERROR(__xludf.DUMMYFUNCTION("IMPORTRANGE(""https://docs.google.com/spreadsheets/d/1B3lPpzOuaNwVItLwLEZYl_qEblfcx7dRnbRkAw0l-pE/edit?usp=sharing"",""บุรีรัมย์!J485"")"),117)</f>
        <v>117</v>
      </c>
      <c r="AA38" s="186">
        <f t="shared" ca="1" si="33"/>
        <v>100</v>
      </c>
      <c r="AB38" s="181">
        <f ca="1">IFERROR(__xludf.DUMMYFUNCTION("IMPORTRANGE(""https://docs.google.com/spreadsheets/d/1B3lPpzOuaNwVItLwLEZYl_qEblfcx7dRnbRkAw0l-pE/edit?usp=sharing"",""บุรีรัมย์!I487"")"),130)</f>
        <v>130</v>
      </c>
      <c r="AC38" s="181">
        <f ca="1">IFERROR(__xludf.DUMMYFUNCTION("IMPORTRANGE(""https://docs.google.com/spreadsheets/d/1B3lPpzOuaNwVItLwLEZYl_qEblfcx7dRnbRkAw0l-pE/edit?usp=sharing"",""บุรีรัมย์!J487"")"),130)</f>
        <v>130</v>
      </c>
      <c r="AD38" s="186">
        <f t="shared" ca="1" si="34"/>
        <v>100</v>
      </c>
      <c r="AE38" s="181">
        <f ca="1">IFERROR(__xludf.DUMMYFUNCTION("IMPORTRANGE(""https://docs.google.com/spreadsheets/d/1B3lPpzOuaNwVItLwLEZYl_qEblfcx7dRnbRkAw0l-pE/edit?usp=sharing"",""บุรีรัมย์!J488"")"),0)</f>
        <v>0</v>
      </c>
      <c r="AF38" s="181">
        <f ca="1">IFERROR(__xludf.DUMMYFUNCTION("IMPORTRANGE(""https://docs.google.com/spreadsheets/d/1B3lPpzOuaNwVItLwLEZYl_qEblfcx7dRnbRkAw0l-pE/edit?usp=sharing"",""บุรีรัมย์!I489"")"),13)</f>
        <v>13</v>
      </c>
      <c r="AG38" s="181">
        <f ca="1">IFERROR(__xludf.DUMMYFUNCTION("IMPORTRANGE(""https://docs.google.com/spreadsheets/d/1B3lPpzOuaNwVItLwLEZYl_qEblfcx7dRnbRkAw0l-pE/edit?usp=sharing"",""บุรีรัมย์!J489"")"),13)</f>
        <v>13</v>
      </c>
      <c r="AH38" s="186">
        <f t="shared" ca="1" si="35"/>
        <v>100</v>
      </c>
      <c r="AI38" s="181">
        <f ca="1">IFERROR(__xludf.DUMMYFUNCTION("IMPORTRANGE(""https://docs.google.com/spreadsheets/d/1B3lPpzOuaNwVItLwLEZYl_qEblfcx7dRnbRkAw0l-pE/edit?usp=sharing"",""บุรีรัมย์!J491"")"),0)</f>
        <v>0</v>
      </c>
      <c r="AJ38" s="181">
        <f ca="1">IFERROR(__xludf.DUMMYFUNCTION("IMPORTRANGE(""https://docs.google.com/spreadsheets/d/1B3lPpzOuaNwVItLwLEZYl_qEblfcx7dRnbRkAw0l-pE/edit?usp=sharing"",""บุรีรัมย์!I492"")"),1)</f>
        <v>1</v>
      </c>
      <c r="AK38" s="181">
        <f ca="1">IFERROR(__xludf.DUMMYFUNCTION("IMPORTRANGE(""https://docs.google.com/spreadsheets/d/1B3lPpzOuaNwVItLwLEZYl_qEblfcx7dRnbRkAw0l-pE/edit?usp=sharing"",""บุรีรัมย์!J492"")"),1)</f>
        <v>1</v>
      </c>
      <c r="AL38" s="186">
        <f t="shared" ca="1" si="36"/>
        <v>100</v>
      </c>
      <c r="AM38" s="181">
        <f ca="1">IFERROR(__xludf.DUMMYFUNCTION("IMPORTRANGE(""https://docs.google.com/spreadsheets/d/1B3lPpzOuaNwVItLwLEZYl_qEblfcx7dRnbRkAw0l-pE/edit?usp=sharing"",""บุรีรัมย์!I495"")"),1170)</f>
        <v>1170</v>
      </c>
      <c r="AN38" s="181">
        <f ca="1">IFERROR(__xludf.DUMMYFUNCTION("IMPORTRANGE(""https://docs.google.com/spreadsheets/d/1B3lPpzOuaNwVItLwLEZYl_qEblfcx7dRnbRkAw0l-pE/edit?usp=sharing"",""บุรีรัมย์!J495"")"),0)</f>
        <v>0</v>
      </c>
      <c r="AO38" s="186">
        <f t="shared" ca="1" si="37"/>
        <v>0</v>
      </c>
      <c r="AP38" s="181">
        <f ca="1">IFERROR(__xludf.DUMMYFUNCTION("IMPORTRANGE(""https://docs.google.com/spreadsheets/d/1B3lPpzOuaNwVItLwLEZYl_qEblfcx7dRnbRkAw0l-pE/edit?usp=sharing"",""บุรีรัมย์!J496"")"),0)</f>
        <v>0</v>
      </c>
      <c r="AQ38" s="181">
        <f ca="1">IFERROR(__xludf.DUMMYFUNCTION("IMPORTRANGE(""https://docs.google.com/spreadsheets/d/1B3lPpzOuaNwVItLwLEZYl_qEblfcx7dRnbRkAw0l-pE/edit?usp=sharing"",""บุรีรัมย์!I498"")"),130)</f>
        <v>130</v>
      </c>
      <c r="AR38" s="181">
        <f ca="1">IFERROR(__xludf.DUMMYFUNCTION("IMPORTRANGE(""https://docs.google.com/spreadsheets/d/1B3lPpzOuaNwVItLwLEZYl_qEblfcx7dRnbRkAw0l-pE/edit?usp=sharing"",""บุรีรัมย์!J498"")"),0)</f>
        <v>0</v>
      </c>
      <c r="AS38" s="186">
        <f t="shared" ca="1" si="38"/>
        <v>0</v>
      </c>
      <c r="AT38" s="181">
        <f ca="1">IFERROR(__xludf.DUMMYFUNCTION("IMPORTRANGE(""https://docs.google.com/spreadsheets/d/1B3lPpzOuaNwVItLwLEZYl_qEblfcx7dRnbRkAw0l-pE/edit?usp=sharing"",""บุรีรัมย์!J499"")"),0)</f>
        <v>0</v>
      </c>
    </row>
    <row r="39" spans="1:46" ht="21" customHeight="1" x14ac:dyDescent="0.3">
      <c r="A39" s="178">
        <v>8</v>
      </c>
      <c r="B39" s="179" t="s">
        <v>56</v>
      </c>
      <c r="C39" s="180">
        <f t="shared" ca="1" si="62"/>
        <v>1170118</v>
      </c>
      <c r="D39" s="181">
        <f ca="1">IFERROR(__xludf.DUMMYFUNCTION("IMPORTRANGE(""https://docs.google.com/spreadsheets/d/19GOkiOqnzYbevLYWrMk4qFOXe3rX14BkSA8X-mq-a40/edit?usp=sharing"",""มหาสารคาม!L472"")"),1170118)</f>
        <v>1170118</v>
      </c>
      <c r="E39" s="187">
        <f ca="1">IFERROR(__xludf.DUMMYFUNCTION("IMPORTRANGE(""https://docs.google.com/spreadsheets/d/19GOkiOqnzYbevLYWrMk4qFOXe3rX14BkSA8X-mq-a40/edit?usp=sharing"",""มหาสารคาม!L479"")"),0)</f>
        <v>0</v>
      </c>
      <c r="F39" s="182">
        <f t="shared" ca="1" si="1"/>
        <v>125765</v>
      </c>
      <c r="G39" s="183">
        <f t="shared" ca="1" si="2"/>
        <v>10.74806130663745</v>
      </c>
      <c r="H39" s="184">
        <f t="shared" ca="1" si="63"/>
        <v>125765</v>
      </c>
      <c r="I39" s="187">
        <f ca="1">IFERROR(__xludf.DUMMYFUNCTION("IMPORTRANGE(""https://docs.google.com/spreadsheets/d/19GOkiOqnzYbevLYWrMk4qFOXe3rX14BkSA8X-mq-a40/edit?usp=sharing"",""มหาสารคาม!N473"")"),71765)</f>
        <v>71765</v>
      </c>
      <c r="J39" s="187">
        <f ca="1">IFERROR(__xludf.DUMMYFUNCTION("IMPORTRANGE(""https://docs.google.com/spreadsheets/d/19GOkiOqnzYbevLYWrMk4qFOXe3rX14BkSA8X-mq-a40/edit?usp=sharing"",""มหาสารคาม!N474"")"),1200)</f>
        <v>1200</v>
      </c>
      <c r="K39" s="187">
        <f ca="1">IFERROR(__xludf.DUMMYFUNCTION("IMPORTRANGE(""https://docs.google.com/spreadsheets/d/19GOkiOqnzYbevLYWrMk4qFOXe3rX14BkSA8X-mq-a40/edit?usp=sharing"",""มหาสารคาม!N475"")"),52000)</f>
        <v>52000</v>
      </c>
      <c r="L39" s="187">
        <f ca="1">IFERROR(__xludf.DUMMYFUNCTION("IMPORTRANGE(""https://docs.google.com/spreadsheets/d/19GOkiOqnzYbevLYWrMk4qFOXe3rX14BkSA8X-mq-a40/edit?usp=sharing"",""มหาสารคาม!N476"")"),800)</f>
        <v>800</v>
      </c>
      <c r="M39" s="185">
        <f ca="1">IFERROR(__xludf.DUMMYFUNCTION("IMPORTRANGE(""https://docs.google.com/spreadsheets/d/19GOkiOqnzYbevLYWrMk4qFOXe3rX14BkSA8X-mq-a40/edit?usp=sharing"",""มหาสารคาม!N479"")"),0)</f>
        <v>0</v>
      </c>
      <c r="N39" s="185">
        <f t="shared" ca="1" si="41"/>
        <v>0</v>
      </c>
      <c r="O39" s="181">
        <f ca="1">IFERROR(__xludf.DUMMYFUNCTION("IMPORTRANGE(""https://docs.google.com/spreadsheets/d/19GOkiOqnzYbevLYWrMk4qFOXe3rX14BkSA8X-mq-a40/edit?usp=sharing"",""มหาสารคาม!I465"")"),131)</f>
        <v>131</v>
      </c>
      <c r="P39" s="181">
        <f ca="1">IFERROR(__xludf.DUMMYFUNCTION("IMPORTRANGE(""https://docs.google.com/spreadsheets/d/19GOkiOqnzYbevLYWrMk4qFOXe3rX14BkSA8X-mq-a40/edit?usp=sharing"",""มหาสารคาม!I466"")"),1300)</f>
        <v>1300</v>
      </c>
      <c r="Q39" s="181">
        <f ca="1">IFERROR(__xludf.DUMMYFUNCTION("IMPORTRANGE(""https://docs.google.com/spreadsheets/d/19GOkiOqnzYbevLYWrMk4qFOXe3rX14BkSA8X-mq-a40/edit?usp=sharing"",""มหาสารคาม!J465"")"),1)</f>
        <v>1</v>
      </c>
      <c r="R39" s="186">
        <f t="shared" ca="1" si="6"/>
        <v>0.76335877862595425</v>
      </c>
      <c r="S39" s="181">
        <f ca="1">IFERROR(__xludf.DUMMYFUNCTION("IMPORTRANGE(""https://docs.google.com/spreadsheets/d/19GOkiOqnzYbevLYWrMk4qFOXe3rX14BkSA8X-mq-a40/edit?usp=sharing"",""มหาสารคาม!J466"")"),0)</f>
        <v>0</v>
      </c>
      <c r="T39" s="186">
        <f t="shared" ca="1" si="7"/>
        <v>0</v>
      </c>
      <c r="U39" s="181">
        <f ca="1">IFERROR(__xludf.DUMMYFUNCTION("IMPORTRANGE(""https://docs.google.com/spreadsheets/d/19GOkiOqnzYbevLYWrMk4qFOXe3rX14BkSA8X-mq-a40/edit?usp=sharing"",""มหาสารคาม!I483"")"),1170)</f>
        <v>1170</v>
      </c>
      <c r="V39" s="181">
        <f ca="1">IFERROR(__xludf.DUMMYFUNCTION("IMPORTRANGE(""https://docs.google.com/spreadsheets/d/19GOkiOqnzYbevLYWrMk4qFOXe3rX14BkSA8X-mq-a40/edit?usp=sharing"",""มหาสารคาม!J483"")"),0)</f>
        <v>0</v>
      </c>
      <c r="W39" s="186">
        <f t="shared" ca="1" si="32"/>
        <v>0</v>
      </c>
      <c r="X39" s="181">
        <f ca="1">IFERROR(__xludf.DUMMYFUNCTION("IMPORTRANGE(""https://docs.google.com/spreadsheets/d/19GOkiOqnzYbevLYWrMk4qFOXe3rX14BkSA8X-mq-a40/edit?usp=sharing"",""มหาสารคาม!J484"")"),0)</f>
        <v>0</v>
      </c>
      <c r="Y39" s="181">
        <f ca="1">IFERROR(__xludf.DUMMYFUNCTION("IMPORTRANGE(""https://docs.google.com/spreadsheets/d/19GOkiOqnzYbevLYWrMk4qFOXe3rX14BkSA8X-mq-a40/edit?usp=sharing"",""มหาสารคาม!I485"")"),117)</f>
        <v>117</v>
      </c>
      <c r="Z39" s="181">
        <f ca="1">IFERROR(__xludf.DUMMYFUNCTION("IMPORTRANGE(""https://docs.google.com/spreadsheets/d/19GOkiOqnzYbevLYWrMk4qFOXe3rX14BkSA8X-mq-a40/edit?usp=sharing"",""มหาสารคาม!J485"")"),0)</f>
        <v>0</v>
      </c>
      <c r="AA39" s="186">
        <f t="shared" ca="1" si="33"/>
        <v>0</v>
      </c>
      <c r="AB39" s="181">
        <f ca="1">IFERROR(__xludf.DUMMYFUNCTION("IMPORTRANGE(""https://docs.google.com/spreadsheets/d/19GOkiOqnzYbevLYWrMk4qFOXe3rX14BkSA8X-mq-a40/edit?usp=sharing"",""มหาสารคาม!I487"")"),130)</f>
        <v>130</v>
      </c>
      <c r="AC39" s="181">
        <f ca="1">IFERROR(__xludf.DUMMYFUNCTION("IMPORTRANGE(""https://docs.google.com/spreadsheets/d/19GOkiOqnzYbevLYWrMk4qFOXe3rX14BkSA8X-mq-a40/edit?usp=sharing"",""มหาสารคาม!J487"")"),0)</f>
        <v>0</v>
      </c>
      <c r="AD39" s="186">
        <f t="shared" ca="1" si="34"/>
        <v>0</v>
      </c>
      <c r="AE39" s="181">
        <f ca="1">IFERROR(__xludf.DUMMYFUNCTION("IMPORTRANGE(""https://docs.google.com/spreadsheets/d/19GOkiOqnzYbevLYWrMk4qFOXe3rX14BkSA8X-mq-a40/edit?usp=sharing"",""มหาสารคาม!J488"")"),0)</f>
        <v>0</v>
      </c>
      <c r="AF39" s="181">
        <f ca="1">IFERROR(__xludf.DUMMYFUNCTION("IMPORTRANGE(""https://docs.google.com/spreadsheets/d/19GOkiOqnzYbevLYWrMk4qFOXe3rX14BkSA8X-mq-a40/edit?usp=sharing"",""มหาสารคาม!I489"")"),13)</f>
        <v>13</v>
      </c>
      <c r="AG39" s="181">
        <f ca="1">IFERROR(__xludf.DUMMYFUNCTION("IMPORTRANGE(""https://docs.google.com/spreadsheets/d/19GOkiOqnzYbevLYWrMk4qFOXe3rX14BkSA8X-mq-a40/edit?usp=sharing"",""มหาสารคาม!J489"")"),0)</f>
        <v>0</v>
      </c>
      <c r="AH39" s="186">
        <f t="shared" ca="1" si="35"/>
        <v>0</v>
      </c>
      <c r="AI39" s="181">
        <f ca="1">IFERROR(__xludf.DUMMYFUNCTION("IMPORTRANGE(""https://docs.google.com/spreadsheets/d/19GOkiOqnzYbevLYWrMk4qFOXe3rX14BkSA8X-mq-a40/edit?usp=sharing"",""มหาสารคาม!J491"")"),0)</f>
        <v>0</v>
      </c>
      <c r="AJ39" s="181">
        <f ca="1">IFERROR(__xludf.DUMMYFUNCTION("IMPORTRANGE(""https://docs.google.com/spreadsheets/d/19GOkiOqnzYbevLYWrMk4qFOXe3rX14BkSA8X-mq-a40/edit?usp=sharing"",""มหาสารคาม!I492"")"),1)</f>
        <v>1</v>
      </c>
      <c r="AK39" s="181">
        <f ca="1">IFERROR(__xludf.DUMMYFUNCTION("IMPORTRANGE(""https://docs.google.com/spreadsheets/d/19GOkiOqnzYbevLYWrMk4qFOXe3rX14BkSA8X-mq-a40/edit?usp=sharing"",""มหาสารคาม!J492"")"),1)</f>
        <v>1</v>
      </c>
      <c r="AL39" s="186">
        <f t="shared" ca="1" si="36"/>
        <v>100</v>
      </c>
      <c r="AM39" s="181">
        <f ca="1">IFERROR(__xludf.DUMMYFUNCTION("IMPORTRANGE(""https://docs.google.com/spreadsheets/d/19GOkiOqnzYbevLYWrMk4qFOXe3rX14BkSA8X-mq-a40/edit?usp=sharing"",""มหาสารคาม!I495"")"),1170)</f>
        <v>1170</v>
      </c>
      <c r="AN39" s="181">
        <f ca="1">IFERROR(__xludf.DUMMYFUNCTION("IMPORTRANGE(""https://docs.google.com/spreadsheets/d/19GOkiOqnzYbevLYWrMk4qFOXe3rX14BkSA8X-mq-a40/edit?usp=sharing"",""มหาสารคาม!J495"")"),0)</f>
        <v>0</v>
      </c>
      <c r="AO39" s="186">
        <f t="shared" ca="1" si="37"/>
        <v>0</v>
      </c>
      <c r="AP39" s="181">
        <f ca="1">IFERROR(__xludf.DUMMYFUNCTION("IMPORTRANGE(""https://docs.google.com/spreadsheets/d/19GOkiOqnzYbevLYWrMk4qFOXe3rX14BkSA8X-mq-a40/edit?usp=sharing"",""มหาสารคาม!J496"")"),0)</f>
        <v>0</v>
      </c>
      <c r="AQ39" s="181">
        <f ca="1">IFERROR(__xludf.DUMMYFUNCTION("IMPORTRANGE(""https://docs.google.com/spreadsheets/d/19GOkiOqnzYbevLYWrMk4qFOXe3rX14BkSA8X-mq-a40/edit?usp=sharing"",""มหาสารคาม!I498"")"),130)</f>
        <v>130</v>
      </c>
      <c r="AR39" s="181">
        <f ca="1">IFERROR(__xludf.DUMMYFUNCTION("IMPORTRANGE(""https://docs.google.com/spreadsheets/d/19GOkiOqnzYbevLYWrMk4qFOXe3rX14BkSA8X-mq-a40/edit?usp=sharing"",""มหาสารคาม!J498"")"),0)</f>
        <v>0</v>
      </c>
      <c r="AS39" s="186">
        <f t="shared" ca="1" si="38"/>
        <v>0</v>
      </c>
      <c r="AT39" s="181">
        <f ca="1">IFERROR(__xludf.DUMMYFUNCTION("IMPORTRANGE(""https://docs.google.com/spreadsheets/d/19GOkiOqnzYbevLYWrMk4qFOXe3rX14BkSA8X-mq-a40/edit?usp=sharing"",""มหาสารคาม!J499"")"),0)</f>
        <v>0</v>
      </c>
    </row>
    <row r="40" spans="1:46" ht="21" customHeight="1" x14ac:dyDescent="0.3">
      <c r="A40" s="178">
        <v>9</v>
      </c>
      <c r="B40" s="179" t="s">
        <v>57</v>
      </c>
      <c r="C40" s="180">
        <f t="shared" ca="1" si="62"/>
        <v>1172838</v>
      </c>
      <c r="D40" s="181">
        <f ca="1">IFERROR(__xludf.DUMMYFUNCTION("IMPORTRANGE(""https://docs.google.com/spreadsheets/d/1uMKqWwuNQ-TCKboGA3Bb1qXb5uj2-faACNUINCz8PN4/edit?usp=sharing"",""มุกดาหาร!L472"")"),1172838)</f>
        <v>1172838</v>
      </c>
      <c r="E40" s="187">
        <f ca="1">IFERROR(__xludf.DUMMYFUNCTION("IMPORTRANGE(""https://docs.google.com/spreadsheets/d/1uMKqWwuNQ-TCKboGA3Bb1qXb5uj2-faACNUINCz8PN4/edit?usp=sharing"",""มุกดาหาร!L479"")"),0)</f>
        <v>0</v>
      </c>
      <c r="F40" s="182">
        <f t="shared" ca="1" si="1"/>
        <v>221193</v>
      </c>
      <c r="G40" s="183">
        <f t="shared" ca="1" si="2"/>
        <v>18.859637903956045</v>
      </c>
      <c r="H40" s="184">
        <f t="shared" ca="1" si="63"/>
        <v>221193</v>
      </c>
      <c r="I40" s="187">
        <f ca="1">IFERROR(__xludf.DUMMYFUNCTION("IMPORTRANGE(""https://docs.google.com/spreadsheets/d/1uMKqWwuNQ-TCKboGA3Bb1qXb5uj2-faACNUINCz8PN4/edit?usp=sharing"",""มุกดาหาร!N473"")"),142461)</f>
        <v>142461</v>
      </c>
      <c r="J40" s="187">
        <f ca="1">IFERROR(__xludf.DUMMYFUNCTION("IMPORTRANGE(""https://docs.google.com/spreadsheets/d/1uMKqWwuNQ-TCKboGA3Bb1qXb5uj2-faACNUINCz8PN4/edit?usp=sharing"",""มุกดาหาร!N474"")"),0)</f>
        <v>0</v>
      </c>
      <c r="K40" s="187">
        <f ca="1">IFERROR(__xludf.DUMMYFUNCTION("IMPORTRANGE(""https://docs.google.com/spreadsheets/d/1uMKqWwuNQ-TCKboGA3Bb1qXb5uj2-faACNUINCz8PN4/edit?usp=sharing"",""มุกดาหาร!N475"")"),51567)</f>
        <v>51567</v>
      </c>
      <c r="L40" s="187">
        <f ca="1">IFERROR(__xludf.DUMMYFUNCTION("IMPORTRANGE(""https://docs.google.com/spreadsheets/d/1uMKqWwuNQ-TCKboGA3Bb1qXb5uj2-faACNUINCz8PN4/edit?usp=sharing"",""มุกดาหาร!N476"")"),27165)</f>
        <v>27165</v>
      </c>
      <c r="M40" s="185">
        <f ca="1">IFERROR(__xludf.DUMMYFUNCTION("IMPORTRANGE(""https://docs.google.com/spreadsheets/d/1uMKqWwuNQ-TCKboGA3Bb1qXb5uj2-faACNUINCz8PN4/edit?usp=sharing"",""มุกดาหาร!N479"")"),0)</f>
        <v>0</v>
      </c>
      <c r="N40" s="185">
        <f t="shared" ca="1" si="41"/>
        <v>0</v>
      </c>
      <c r="O40" s="181">
        <f ca="1">IFERROR(__xludf.DUMMYFUNCTION("IMPORTRANGE(""https://docs.google.com/spreadsheets/d/1uMKqWwuNQ-TCKboGA3Bb1qXb5uj2-faACNUINCz8PN4/edit?usp=sharing"",""มุกดาหาร!I465"")"),131)</f>
        <v>131</v>
      </c>
      <c r="P40" s="181">
        <f ca="1">IFERROR(__xludf.DUMMYFUNCTION("IMPORTRANGE(""https://docs.google.com/spreadsheets/d/1uMKqWwuNQ-TCKboGA3Bb1qXb5uj2-faACNUINCz8PN4/edit?usp=sharing"",""มุกดาหาร!I466"")"),1300)</f>
        <v>1300</v>
      </c>
      <c r="Q40" s="181">
        <f ca="1">IFERROR(__xludf.DUMMYFUNCTION("IMPORTRANGE(""https://docs.google.com/spreadsheets/d/1uMKqWwuNQ-TCKboGA3Bb1qXb5uj2-faACNUINCz8PN4/edit?usp=sharing"",""มุกดาหาร!J465"")"),131)</f>
        <v>131</v>
      </c>
      <c r="R40" s="186">
        <f t="shared" ca="1" si="6"/>
        <v>100</v>
      </c>
      <c r="S40" s="181">
        <f ca="1">IFERROR(__xludf.DUMMYFUNCTION("IMPORTRANGE(""https://docs.google.com/spreadsheets/d/1uMKqWwuNQ-TCKboGA3Bb1qXb5uj2-faACNUINCz8PN4/edit?usp=sharing"",""มุกดาหาร!J466"")"),0)</f>
        <v>0</v>
      </c>
      <c r="T40" s="186">
        <f t="shared" ca="1" si="7"/>
        <v>0</v>
      </c>
      <c r="U40" s="181">
        <f ca="1">IFERROR(__xludf.DUMMYFUNCTION("IMPORTRANGE(""https://docs.google.com/spreadsheets/d/1uMKqWwuNQ-TCKboGA3Bb1qXb5uj2-faACNUINCz8PN4/edit?usp=sharing"",""มุกดาหาร!I483"")"),1170)</f>
        <v>1170</v>
      </c>
      <c r="V40" s="181">
        <f ca="1">IFERROR(__xludf.DUMMYFUNCTION("IMPORTRANGE(""https://docs.google.com/spreadsheets/d/1uMKqWwuNQ-TCKboGA3Bb1qXb5uj2-faACNUINCz8PN4/edit?usp=sharing"",""มุกดาหาร!J483"")"),1170)</f>
        <v>1170</v>
      </c>
      <c r="W40" s="186">
        <f t="shared" ca="1" si="32"/>
        <v>100</v>
      </c>
      <c r="X40" s="181">
        <f ca="1">IFERROR(__xludf.DUMMYFUNCTION("IMPORTRANGE(""https://docs.google.com/spreadsheets/d/1uMKqWwuNQ-TCKboGA3Bb1qXb5uj2-faACNUINCz8PN4/edit?usp=sharing"",""มุกดาหาร!J484"")"),0)</f>
        <v>0</v>
      </c>
      <c r="Y40" s="181">
        <f ca="1">IFERROR(__xludf.DUMMYFUNCTION("IMPORTRANGE(""https://docs.google.com/spreadsheets/d/1uMKqWwuNQ-TCKboGA3Bb1qXb5uj2-faACNUINCz8PN4/edit?usp=sharing"",""มุกดาหาร!I485"")"),117)</f>
        <v>117</v>
      </c>
      <c r="Z40" s="181">
        <f ca="1">IFERROR(__xludf.DUMMYFUNCTION("IMPORTRANGE(""https://docs.google.com/spreadsheets/d/1uMKqWwuNQ-TCKboGA3Bb1qXb5uj2-faACNUINCz8PN4/edit?usp=sharing"",""มุกดาหาร!J485"")"),117)</f>
        <v>117</v>
      </c>
      <c r="AA40" s="186">
        <f t="shared" ca="1" si="33"/>
        <v>100</v>
      </c>
      <c r="AB40" s="181">
        <f ca="1">IFERROR(__xludf.DUMMYFUNCTION("IMPORTRANGE(""https://docs.google.com/spreadsheets/d/1uMKqWwuNQ-TCKboGA3Bb1qXb5uj2-faACNUINCz8PN4/edit?usp=sharing"",""มุกดาหาร!I487"")"),130)</f>
        <v>130</v>
      </c>
      <c r="AC40" s="181">
        <f ca="1">IFERROR(__xludf.DUMMYFUNCTION("IMPORTRANGE(""https://docs.google.com/spreadsheets/d/1uMKqWwuNQ-TCKboGA3Bb1qXb5uj2-faACNUINCz8PN4/edit?usp=sharing"",""มุกดาหาร!J487"")"),130)</f>
        <v>130</v>
      </c>
      <c r="AD40" s="186">
        <f t="shared" ca="1" si="34"/>
        <v>100</v>
      </c>
      <c r="AE40" s="181">
        <f ca="1">IFERROR(__xludf.DUMMYFUNCTION("IMPORTRANGE(""https://docs.google.com/spreadsheets/d/1uMKqWwuNQ-TCKboGA3Bb1qXb5uj2-faACNUINCz8PN4/edit?usp=sharing"",""มุกดาหาร!J488"")"),0)</f>
        <v>0</v>
      </c>
      <c r="AF40" s="181">
        <f ca="1">IFERROR(__xludf.DUMMYFUNCTION("IMPORTRANGE(""https://docs.google.com/spreadsheets/d/1uMKqWwuNQ-TCKboGA3Bb1qXb5uj2-faACNUINCz8PN4/edit?usp=sharing"",""มุกดาหาร!I489"")"),13)</f>
        <v>13</v>
      </c>
      <c r="AG40" s="181">
        <f ca="1">IFERROR(__xludf.DUMMYFUNCTION("IMPORTRANGE(""https://docs.google.com/spreadsheets/d/1uMKqWwuNQ-TCKboGA3Bb1qXb5uj2-faACNUINCz8PN4/edit?usp=sharing"",""มุกดาหาร!J489"")"),13)</f>
        <v>13</v>
      </c>
      <c r="AH40" s="186">
        <f t="shared" ca="1" si="35"/>
        <v>100</v>
      </c>
      <c r="AI40" s="181">
        <f ca="1">IFERROR(__xludf.DUMMYFUNCTION("IMPORTRANGE(""https://docs.google.com/spreadsheets/d/1uMKqWwuNQ-TCKboGA3Bb1qXb5uj2-faACNUINCz8PN4/edit?usp=sharing"",""มุกดาหาร!J491"")"),0)</f>
        <v>0</v>
      </c>
      <c r="AJ40" s="181">
        <f ca="1">IFERROR(__xludf.DUMMYFUNCTION("IMPORTRANGE(""https://docs.google.com/spreadsheets/d/1uMKqWwuNQ-TCKboGA3Bb1qXb5uj2-faACNUINCz8PN4/edit?usp=sharing"",""มุกดาหาร!I492"")"),1)</f>
        <v>1</v>
      </c>
      <c r="AK40" s="181">
        <f ca="1">IFERROR(__xludf.DUMMYFUNCTION("IMPORTRANGE(""https://docs.google.com/spreadsheets/d/1uMKqWwuNQ-TCKboGA3Bb1qXb5uj2-faACNUINCz8PN4/edit?usp=sharing"",""มุกดาหาร!J492"")"),1)</f>
        <v>1</v>
      </c>
      <c r="AL40" s="186">
        <f t="shared" ca="1" si="36"/>
        <v>100</v>
      </c>
      <c r="AM40" s="181">
        <f ca="1">IFERROR(__xludf.DUMMYFUNCTION("IMPORTRANGE(""https://docs.google.com/spreadsheets/d/1uMKqWwuNQ-TCKboGA3Bb1qXb5uj2-faACNUINCz8PN4/edit?usp=sharing"",""มุกดาหาร!I495"")"),1170)</f>
        <v>1170</v>
      </c>
      <c r="AN40" s="181">
        <f ca="1">IFERROR(__xludf.DUMMYFUNCTION("IMPORTRANGE(""https://docs.google.com/spreadsheets/d/1uMKqWwuNQ-TCKboGA3Bb1qXb5uj2-faACNUINCz8PN4/edit?usp=sharing"",""มุกดาหาร!J495"")"),0)</f>
        <v>0</v>
      </c>
      <c r="AO40" s="186">
        <f t="shared" ca="1" si="37"/>
        <v>0</v>
      </c>
      <c r="AP40" s="181">
        <f ca="1">IFERROR(__xludf.DUMMYFUNCTION("IMPORTRANGE(""https://docs.google.com/spreadsheets/d/1uMKqWwuNQ-TCKboGA3Bb1qXb5uj2-faACNUINCz8PN4/edit?usp=sharing"",""มุกดาหาร!J496"")"),0)</f>
        <v>0</v>
      </c>
      <c r="AQ40" s="181">
        <f ca="1">IFERROR(__xludf.DUMMYFUNCTION("IMPORTRANGE(""https://docs.google.com/spreadsheets/d/1uMKqWwuNQ-TCKboGA3Bb1qXb5uj2-faACNUINCz8PN4/edit?usp=sharing"",""มุกดาหาร!I498"")"),130)</f>
        <v>130</v>
      </c>
      <c r="AR40" s="181">
        <f ca="1">IFERROR(__xludf.DUMMYFUNCTION("IMPORTRANGE(""https://docs.google.com/spreadsheets/d/1uMKqWwuNQ-TCKboGA3Bb1qXb5uj2-faACNUINCz8PN4/edit?usp=sharing"",""มุกดาหาร!J498"")"),0)</f>
        <v>0</v>
      </c>
      <c r="AS40" s="186">
        <f t="shared" ca="1" si="38"/>
        <v>0</v>
      </c>
      <c r="AT40" s="181">
        <f ca="1">IFERROR(__xludf.DUMMYFUNCTION("IMPORTRANGE(""https://docs.google.com/spreadsheets/d/1uMKqWwuNQ-TCKboGA3Bb1qXb5uj2-faACNUINCz8PN4/edit?usp=sharing"",""มุกดาหาร!J499"")"),0)</f>
        <v>0</v>
      </c>
    </row>
    <row r="41" spans="1:46" ht="21" customHeight="1" x14ac:dyDescent="0.3">
      <c r="A41" s="178">
        <v>10</v>
      </c>
      <c r="B41" s="179" t="s">
        <v>58</v>
      </c>
      <c r="C41" s="180">
        <f t="shared" ca="1" si="62"/>
        <v>491703</v>
      </c>
      <c r="D41" s="181">
        <f ca="1">IFERROR(__xludf.DUMMYFUNCTION("IMPORTRANGE(""https://docs.google.com/spreadsheets/d/1oKaccgDdQABndOzGr688Dbfxb_V3YcF67VqEPBtdzsc/edit?usp=sharing"",""ยโสธร!L472"")"),491703)</f>
        <v>491703</v>
      </c>
      <c r="E41" s="187">
        <f ca="1">IFERROR(__xludf.DUMMYFUNCTION("IMPORTRANGE(""https://docs.google.com/spreadsheets/d/1oKaccgDdQABndOzGr688Dbfxb_V3YcF67VqEPBtdzsc/edit?usp=sharing"",""ยโสธร!L479"")"),0)</f>
        <v>0</v>
      </c>
      <c r="F41" s="182">
        <f t="shared" ca="1" si="1"/>
        <v>86080</v>
      </c>
      <c r="G41" s="183">
        <f t="shared" ca="1" si="2"/>
        <v>17.506502909276534</v>
      </c>
      <c r="H41" s="184">
        <f t="shared" ca="1" si="63"/>
        <v>86080</v>
      </c>
      <c r="I41" s="187">
        <f ca="1">IFERROR(__xludf.DUMMYFUNCTION("IMPORTRANGE(""https://docs.google.com/spreadsheets/d/1oKaccgDdQABndOzGr688Dbfxb_V3YcF67VqEPBtdzsc/edit?usp=sharing"",""ยโสธร!N473"")"),67250)</f>
        <v>67250</v>
      </c>
      <c r="J41" s="187">
        <f ca="1">IFERROR(__xludf.DUMMYFUNCTION("IMPORTRANGE(""https://docs.google.com/spreadsheets/d/1oKaccgDdQABndOzGr688Dbfxb_V3YcF67VqEPBtdzsc/edit?usp=sharing"",""ยโสธร!N474"")"),0)</f>
        <v>0</v>
      </c>
      <c r="K41" s="187">
        <f ca="1">IFERROR(__xludf.DUMMYFUNCTION("IMPORTRANGE(""https://docs.google.com/spreadsheets/d/1oKaccgDdQABndOzGr688Dbfxb_V3YcF67VqEPBtdzsc/edit?usp=sharing"",""ยโสธร!N475"")"),0)</f>
        <v>0</v>
      </c>
      <c r="L41" s="187">
        <f ca="1">IFERROR(__xludf.DUMMYFUNCTION("IMPORTRANGE(""https://docs.google.com/spreadsheets/d/1oKaccgDdQABndOzGr688Dbfxb_V3YcF67VqEPBtdzsc/edit?usp=sharing"",""ยโสธร!N476"")"),18830)</f>
        <v>18830</v>
      </c>
      <c r="M41" s="185">
        <f ca="1">IFERROR(__xludf.DUMMYFUNCTION("IMPORTRANGE(""https://docs.google.com/spreadsheets/d/1oKaccgDdQABndOzGr688Dbfxb_V3YcF67VqEPBtdzsc/edit?usp=sharing"",""ยโสธร!N479"")"),0)</f>
        <v>0</v>
      </c>
      <c r="N41" s="185">
        <f t="shared" ca="1" si="41"/>
        <v>0</v>
      </c>
      <c r="O41" s="181">
        <f ca="1">IFERROR(__xludf.DUMMYFUNCTION("IMPORTRANGE(""https://docs.google.com/spreadsheets/d/1oKaccgDdQABndOzGr688Dbfxb_V3YcF67VqEPBtdzsc/edit?usp=sharing"",""ยโสธร!I465"")"),61)</f>
        <v>61</v>
      </c>
      <c r="P41" s="181">
        <f ca="1">IFERROR(__xludf.DUMMYFUNCTION("IMPORTRANGE(""https://docs.google.com/spreadsheets/d/1oKaccgDdQABndOzGr688Dbfxb_V3YcF67VqEPBtdzsc/edit?usp=sharing"",""ยโสธร!I466"")"),600)</f>
        <v>600</v>
      </c>
      <c r="Q41" s="181">
        <f ca="1">IFERROR(__xludf.DUMMYFUNCTION("IMPORTRANGE(""https://docs.google.com/spreadsheets/d/1oKaccgDdQABndOzGr688Dbfxb_V3YcF67VqEPBtdzsc/edit?usp=sharing"",""ยโสธร!J465"")"),61)</f>
        <v>61</v>
      </c>
      <c r="R41" s="186">
        <f t="shared" ca="1" si="6"/>
        <v>100</v>
      </c>
      <c r="S41" s="181">
        <f ca="1">IFERROR(__xludf.DUMMYFUNCTION("IMPORTRANGE(""https://docs.google.com/spreadsheets/d/1oKaccgDdQABndOzGr688Dbfxb_V3YcF67VqEPBtdzsc/edit?usp=sharing"",""ยโสธร!J466"")"),0)</f>
        <v>0</v>
      </c>
      <c r="T41" s="186">
        <f t="shared" ca="1" si="7"/>
        <v>0</v>
      </c>
      <c r="U41" s="181">
        <f ca="1">IFERROR(__xludf.DUMMYFUNCTION("IMPORTRANGE(""https://docs.google.com/spreadsheets/d/1oKaccgDdQABndOzGr688Dbfxb_V3YcF67VqEPBtdzsc/edit?usp=sharing"",""ยโสธร!I483"")"),540)</f>
        <v>540</v>
      </c>
      <c r="V41" s="181">
        <f ca="1">IFERROR(__xludf.DUMMYFUNCTION("IMPORTRANGE(""https://docs.google.com/spreadsheets/d/1oKaccgDdQABndOzGr688Dbfxb_V3YcF67VqEPBtdzsc/edit?usp=sharing"",""ยโสธร!J483"")"),540)</f>
        <v>540</v>
      </c>
      <c r="W41" s="186">
        <f t="shared" ca="1" si="32"/>
        <v>100</v>
      </c>
      <c r="X41" s="181">
        <f ca="1">IFERROR(__xludf.DUMMYFUNCTION("IMPORTRANGE(""https://docs.google.com/spreadsheets/d/1oKaccgDdQABndOzGr688Dbfxb_V3YcF67VqEPBtdzsc/edit?usp=sharing"",""ยโสธร!J484"")"),0)</f>
        <v>0</v>
      </c>
      <c r="Y41" s="181">
        <f ca="1">IFERROR(__xludf.DUMMYFUNCTION("IMPORTRANGE(""https://docs.google.com/spreadsheets/d/1oKaccgDdQABndOzGr688Dbfxb_V3YcF67VqEPBtdzsc/edit?usp=sharing"",""ยโสธร!I485"")"),54)</f>
        <v>54</v>
      </c>
      <c r="Z41" s="181">
        <f ca="1">IFERROR(__xludf.DUMMYFUNCTION("IMPORTRANGE(""https://docs.google.com/spreadsheets/d/1oKaccgDdQABndOzGr688Dbfxb_V3YcF67VqEPBtdzsc/edit?usp=sharing"",""ยโสธร!J485"")"),54)</f>
        <v>54</v>
      </c>
      <c r="AA41" s="186">
        <f t="shared" ca="1" si="33"/>
        <v>100</v>
      </c>
      <c r="AB41" s="181">
        <f ca="1">IFERROR(__xludf.DUMMYFUNCTION("IMPORTRANGE(""https://docs.google.com/spreadsheets/d/1oKaccgDdQABndOzGr688Dbfxb_V3YcF67VqEPBtdzsc/edit?usp=sharing"",""ยโสธร!I487"")"),60)</f>
        <v>60</v>
      </c>
      <c r="AC41" s="181">
        <f ca="1">IFERROR(__xludf.DUMMYFUNCTION("IMPORTRANGE(""https://docs.google.com/spreadsheets/d/1oKaccgDdQABndOzGr688Dbfxb_V3YcF67VqEPBtdzsc/edit?usp=sharing"",""ยโสธร!J487"")"),60)</f>
        <v>60</v>
      </c>
      <c r="AD41" s="186">
        <f t="shared" ca="1" si="34"/>
        <v>100</v>
      </c>
      <c r="AE41" s="181">
        <f ca="1">IFERROR(__xludf.DUMMYFUNCTION("IMPORTRANGE(""https://docs.google.com/spreadsheets/d/1oKaccgDdQABndOzGr688Dbfxb_V3YcF67VqEPBtdzsc/edit?usp=sharing"",""ยโสธร!J488"")"),0)</f>
        <v>0</v>
      </c>
      <c r="AF41" s="181">
        <f ca="1">IFERROR(__xludf.DUMMYFUNCTION("IMPORTRANGE(""https://docs.google.com/spreadsheets/d/1oKaccgDdQABndOzGr688Dbfxb_V3YcF67VqEPBtdzsc/edit?usp=sharing"",""ยโสธร!I489"")"),6)</f>
        <v>6</v>
      </c>
      <c r="AG41" s="181">
        <f ca="1">IFERROR(__xludf.DUMMYFUNCTION("IMPORTRANGE(""https://docs.google.com/spreadsheets/d/1oKaccgDdQABndOzGr688Dbfxb_V3YcF67VqEPBtdzsc/edit?usp=sharing"",""ยโสธร!J489"")"),6)</f>
        <v>6</v>
      </c>
      <c r="AH41" s="186">
        <f t="shared" ca="1" si="35"/>
        <v>100</v>
      </c>
      <c r="AI41" s="181">
        <f ca="1">IFERROR(__xludf.DUMMYFUNCTION("IMPORTRANGE(""https://docs.google.com/spreadsheets/d/1oKaccgDdQABndOzGr688Dbfxb_V3YcF67VqEPBtdzsc/edit?usp=sharing"",""ยโสธร!J491"")"),0)</f>
        <v>0</v>
      </c>
      <c r="AJ41" s="181">
        <f ca="1">IFERROR(__xludf.DUMMYFUNCTION("IMPORTRANGE(""https://docs.google.com/spreadsheets/d/1oKaccgDdQABndOzGr688Dbfxb_V3YcF67VqEPBtdzsc/edit?usp=sharing"",""ยโสธร!I492"")"),1)</f>
        <v>1</v>
      </c>
      <c r="AK41" s="181">
        <f ca="1">IFERROR(__xludf.DUMMYFUNCTION("IMPORTRANGE(""https://docs.google.com/spreadsheets/d/1oKaccgDdQABndOzGr688Dbfxb_V3YcF67VqEPBtdzsc/edit?usp=sharing"",""ยโสธร!J492"")"),1)</f>
        <v>1</v>
      </c>
      <c r="AL41" s="186">
        <f t="shared" ca="1" si="36"/>
        <v>100</v>
      </c>
      <c r="AM41" s="181">
        <f ca="1">IFERROR(__xludf.DUMMYFUNCTION("IMPORTRANGE(""https://docs.google.com/spreadsheets/d/1oKaccgDdQABndOzGr688Dbfxb_V3YcF67VqEPBtdzsc/edit?usp=sharing"",""ยโสธร!I495"")"),540)</f>
        <v>540</v>
      </c>
      <c r="AN41" s="181">
        <f ca="1">IFERROR(__xludf.DUMMYFUNCTION("IMPORTRANGE(""https://docs.google.com/spreadsheets/d/1oKaccgDdQABndOzGr688Dbfxb_V3YcF67VqEPBtdzsc/edit?usp=sharing"",""ยโสธร!J495"")"),0)</f>
        <v>0</v>
      </c>
      <c r="AO41" s="186">
        <f t="shared" ca="1" si="37"/>
        <v>0</v>
      </c>
      <c r="AP41" s="181">
        <f ca="1">IFERROR(__xludf.DUMMYFUNCTION("IMPORTRANGE(""https://docs.google.com/spreadsheets/d/1oKaccgDdQABndOzGr688Dbfxb_V3YcF67VqEPBtdzsc/edit?usp=sharing"",""ยโสธร!J496"")"),0)</f>
        <v>0</v>
      </c>
      <c r="AQ41" s="181">
        <f ca="1">IFERROR(__xludf.DUMMYFUNCTION("IMPORTRANGE(""https://docs.google.com/spreadsheets/d/1oKaccgDdQABndOzGr688Dbfxb_V3YcF67VqEPBtdzsc/edit?usp=sharing"",""ยโสธร!I498"")"),60)</f>
        <v>60</v>
      </c>
      <c r="AR41" s="181">
        <f ca="1">IFERROR(__xludf.DUMMYFUNCTION("IMPORTRANGE(""https://docs.google.com/spreadsheets/d/1oKaccgDdQABndOzGr688Dbfxb_V3YcF67VqEPBtdzsc/edit?usp=sharing"",""ยโสธร!J498"")"),0)</f>
        <v>0</v>
      </c>
      <c r="AS41" s="186">
        <f t="shared" ca="1" si="38"/>
        <v>0</v>
      </c>
      <c r="AT41" s="181">
        <f ca="1">IFERROR(__xludf.DUMMYFUNCTION("IMPORTRANGE(""https://docs.google.com/spreadsheets/d/1oKaccgDdQABndOzGr688Dbfxb_V3YcF67VqEPBtdzsc/edit?usp=sharing"",""ยโสธร!J499"")"),0)</f>
        <v>0</v>
      </c>
    </row>
    <row r="42" spans="1:46" ht="21" customHeight="1" x14ac:dyDescent="0.3">
      <c r="A42" s="178">
        <v>11</v>
      </c>
      <c r="B42" s="179" t="s">
        <v>59</v>
      </c>
      <c r="C42" s="180">
        <f t="shared" ca="1" si="62"/>
        <v>491423</v>
      </c>
      <c r="D42" s="181">
        <f ca="1">IFERROR(__xludf.DUMMYFUNCTION("IMPORTRANGE(""https://docs.google.com/spreadsheets/d/1BRgc8xKpxZ0PX-gauieMVkV_IOxKSotf0yW8MabGprQ/edit?usp=sharing"",""ร้อยเอ็ด!L472"")"),491423)</f>
        <v>491423</v>
      </c>
      <c r="E42" s="187">
        <f ca="1">IFERROR(__xludf.DUMMYFUNCTION("IMPORTRANGE(""https://docs.google.com/spreadsheets/d/1BRgc8xKpxZ0PX-gauieMVkV_IOxKSotf0yW8MabGprQ/edit?usp=sharing"",""ร้อยเอ็ด!L479"")"),0)</f>
        <v>0</v>
      </c>
      <c r="F42" s="182">
        <f t="shared" ca="1" si="1"/>
        <v>115423</v>
      </c>
      <c r="G42" s="183">
        <f t="shared" ca="1" si="2"/>
        <v>23.487504654849285</v>
      </c>
      <c r="H42" s="184">
        <f t="shared" ca="1" si="63"/>
        <v>115423</v>
      </c>
      <c r="I42" s="187">
        <f ca="1">IFERROR(__xludf.DUMMYFUNCTION("IMPORTRANGE(""https://docs.google.com/spreadsheets/d/1BRgc8xKpxZ0PX-gauieMVkV_IOxKSotf0yW8MabGprQ/edit?usp=sharing"",""ร้อยเอ็ด!N473"")"),60723)</f>
        <v>60723</v>
      </c>
      <c r="J42" s="187">
        <f ca="1">IFERROR(__xludf.DUMMYFUNCTION("IMPORTRANGE(""https://docs.google.com/spreadsheets/d/1BRgc8xKpxZ0PX-gauieMVkV_IOxKSotf0yW8MabGprQ/edit?usp=sharing"",""ร้อยเอ็ด!N474"")"),0)</f>
        <v>0</v>
      </c>
      <c r="K42" s="187">
        <f ca="1">IFERROR(__xludf.DUMMYFUNCTION("IMPORTRANGE(""https://docs.google.com/spreadsheets/d/1BRgc8xKpxZ0PX-gauieMVkV_IOxKSotf0yW8MabGprQ/edit?usp=sharing"",""ร้อยเอ็ด!N475"")"),0)</f>
        <v>0</v>
      </c>
      <c r="L42" s="187">
        <f ca="1">IFERROR(__xludf.DUMMYFUNCTION("IMPORTRANGE(""https://docs.google.com/spreadsheets/d/1BRgc8xKpxZ0PX-gauieMVkV_IOxKSotf0yW8MabGprQ/edit?usp=sharing"",""ร้อยเอ็ด!N476"")"),54700)</f>
        <v>54700</v>
      </c>
      <c r="M42" s="185">
        <f ca="1">IFERROR(__xludf.DUMMYFUNCTION("IMPORTRANGE(""https://docs.google.com/spreadsheets/d/1BRgc8xKpxZ0PX-gauieMVkV_IOxKSotf0yW8MabGprQ/edit?usp=sharing"",""ร้อยเอ็ด!N479"")"),0)</f>
        <v>0</v>
      </c>
      <c r="N42" s="185">
        <f t="shared" ca="1" si="41"/>
        <v>0</v>
      </c>
      <c r="O42" s="181">
        <f ca="1">IFERROR(__xludf.DUMMYFUNCTION("IMPORTRANGE(""https://docs.google.com/spreadsheets/d/1BRgc8xKpxZ0PX-gauieMVkV_IOxKSotf0yW8MabGprQ/edit?usp=sharing"",""ร้อยเอ็ด!I465"")"),61)</f>
        <v>61</v>
      </c>
      <c r="P42" s="181">
        <f ca="1">IFERROR(__xludf.DUMMYFUNCTION("IMPORTRANGE(""https://docs.google.com/spreadsheets/d/1BRgc8xKpxZ0PX-gauieMVkV_IOxKSotf0yW8MabGprQ/edit?usp=sharing"",""ร้อยเอ็ด!I466"")"),600)</f>
        <v>600</v>
      </c>
      <c r="Q42" s="181">
        <f ca="1">IFERROR(__xludf.DUMMYFUNCTION("IMPORTRANGE(""https://docs.google.com/spreadsheets/d/1BRgc8xKpxZ0PX-gauieMVkV_IOxKSotf0yW8MabGprQ/edit?usp=sharing"",""ร้อยเอ็ด!J465"")"),61)</f>
        <v>61</v>
      </c>
      <c r="R42" s="186">
        <f t="shared" ca="1" si="6"/>
        <v>100</v>
      </c>
      <c r="S42" s="181">
        <f ca="1">IFERROR(__xludf.DUMMYFUNCTION("IMPORTRANGE(""https://docs.google.com/spreadsheets/d/1BRgc8xKpxZ0PX-gauieMVkV_IOxKSotf0yW8MabGprQ/edit?usp=sharing"",""ร้อยเอ็ด!J466"")"),0)</f>
        <v>0</v>
      </c>
      <c r="T42" s="186">
        <f t="shared" ca="1" si="7"/>
        <v>0</v>
      </c>
      <c r="U42" s="181">
        <f ca="1">IFERROR(__xludf.DUMMYFUNCTION("IMPORTRANGE(""https://docs.google.com/spreadsheets/d/1BRgc8xKpxZ0PX-gauieMVkV_IOxKSotf0yW8MabGprQ/edit?usp=sharing"",""ร้อยเอ็ด!I483"")"),540)</f>
        <v>540</v>
      </c>
      <c r="V42" s="181">
        <f ca="1">IFERROR(__xludf.DUMMYFUNCTION("IMPORTRANGE(""https://docs.google.com/spreadsheets/d/1BRgc8xKpxZ0PX-gauieMVkV_IOxKSotf0yW8MabGprQ/edit?usp=sharing"",""ร้อยเอ็ด!J483"")"),540)</f>
        <v>540</v>
      </c>
      <c r="W42" s="186">
        <f t="shared" ca="1" si="32"/>
        <v>100</v>
      </c>
      <c r="X42" s="181">
        <f ca="1">IFERROR(__xludf.DUMMYFUNCTION("IMPORTRANGE(""https://docs.google.com/spreadsheets/d/1BRgc8xKpxZ0PX-gauieMVkV_IOxKSotf0yW8MabGprQ/edit?usp=sharing"",""ร้อยเอ็ด!J484"")"),0)</f>
        <v>0</v>
      </c>
      <c r="Y42" s="181">
        <f ca="1">IFERROR(__xludf.DUMMYFUNCTION("IMPORTRANGE(""https://docs.google.com/spreadsheets/d/1BRgc8xKpxZ0PX-gauieMVkV_IOxKSotf0yW8MabGprQ/edit?usp=sharing"",""ร้อยเอ็ด!I485"")"),54)</f>
        <v>54</v>
      </c>
      <c r="Z42" s="181">
        <f ca="1">IFERROR(__xludf.DUMMYFUNCTION("IMPORTRANGE(""https://docs.google.com/spreadsheets/d/1BRgc8xKpxZ0PX-gauieMVkV_IOxKSotf0yW8MabGprQ/edit?usp=sharing"",""ร้อยเอ็ด!J485"")"),54)</f>
        <v>54</v>
      </c>
      <c r="AA42" s="186">
        <f t="shared" ca="1" si="33"/>
        <v>100</v>
      </c>
      <c r="AB42" s="181">
        <f ca="1">IFERROR(__xludf.DUMMYFUNCTION("IMPORTRANGE(""https://docs.google.com/spreadsheets/d/1BRgc8xKpxZ0PX-gauieMVkV_IOxKSotf0yW8MabGprQ/edit?usp=sharing"",""ร้อยเอ็ด!I487"")"),60)</f>
        <v>60</v>
      </c>
      <c r="AC42" s="181">
        <f ca="1">IFERROR(__xludf.DUMMYFUNCTION("IMPORTRANGE(""https://docs.google.com/spreadsheets/d/1BRgc8xKpxZ0PX-gauieMVkV_IOxKSotf0yW8MabGprQ/edit?usp=sharing"",""ร้อยเอ็ด!J487"")"),60)</f>
        <v>60</v>
      </c>
      <c r="AD42" s="186">
        <f t="shared" ca="1" si="34"/>
        <v>100</v>
      </c>
      <c r="AE42" s="181">
        <f ca="1">IFERROR(__xludf.DUMMYFUNCTION("IMPORTRANGE(""https://docs.google.com/spreadsheets/d/1BRgc8xKpxZ0PX-gauieMVkV_IOxKSotf0yW8MabGprQ/edit?usp=sharing"",""ร้อยเอ็ด!J488"")"),0)</f>
        <v>0</v>
      </c>
      <c r="AF42" s="181">
        <f ca="1">IFERROR(__xludf.DUMMYFUNCTION("IMPORTRANGE(""https://docs.google.com/spreadsheets/d/1BRgc8xKpxZ0PX-gauieMVkV_IOxKSotf0yW8MabGprQ/edit?usp=sharing"",""ร้อยเอ็ด!I489"")"),6)</f>
        <v>6</v>
      </c>
      <c r="AG42" s="181">
        <f ca="1">IFERROR(__xludf.DUMMYFUNCTION("IMPORTRANGE(""https://docs.google.com/spreadsheets/d/1BRgc8xKpxZ0PX-gauieMVkV_IOxKSotf0yW8MabGprQ/edit?usp=sharing"",""ร้อยเอ็ด!J489"")"),6)</f>
        <v>6</v>
      </c>
      <c r="AH42" s="186">
        <f t="shared" ca="1" si="35"/>
        <v>100</v>
      </c>
      <c r="AI42" s="181">
        <f ca="1">IFERROR(__xludf.DUMMYFUNCTION("IMPORTRANGE(""https://docs.google.com/spreadsheets/d/1BRgc8xKpxZ0PX-gauieMVkV_IOxKSotf0yW8MabGprQ/edit?usp=sharing"",""ร้อยเอ็ด!J491"")"),0)</f>
        <v>0</v>
      </c>
      <c r="AJ42" s="181">
        <f ca="1">IFERROR(__xludf.DUMMYFUNCTION("IMPORTRANGE(""https://docs.google.com/spreadsheets/d/1BRgc8xKpxZ0PX-gauieMVkV_IOxKSotf0yW8MabGprQ/edit?usp=sharing"",""ร้อยเอ็ด!I492"")"),1)</f>
        <v>1</v>
      </c>
      <c r="AK42" s="181">
        <f ca="1">IFERROR(__xludf.DUMMYFUNCTION("IMPORTRANGE(""https://docs.google.com/spreadsheets/d/1BRgc8xKpxZ0PX-gauieMVkV_IOxKSotf0yW8MabGprQ/edit?usp=sharing"",""ร้อยเอ็ด!J492"")"),1)</f>
        <v>1</v>
      </c>
      <c r="AL42" s="186">
        <f t="shared" ca="1" si="36"/>
        <v>100</v>
      </c>
      <c r="AM42" s="181">
        <f ca="1">IFERROR(__xludf.DUMMYFUNCTION("IMPORTRANGE(""https://docs.google.com/spreadsheets/d/1BRgc8xKpxZ0PX-gauieMVkV_IOxKSotf0yW8MabGprQ/edit?usp=sharing"",""ร้อยเอ็ด!I495"")"),540)</f>
        <v>540</v>
      </c>
      <c r="AN42" s="181">
        <f ca="1">IFERROR(__xludf.DUMMYFUNCTION("IMPORTRANGE(""https://docs.google.com/spreadsheets/d/1BRgc8xKpxZ0PX-gauieMVkV_IOxKSotf0yW8MabGprQ/edit?usp=sharing"",""ร้อยเอ็ด!J495"")"),0)</f>
        <v>0</v>
      </c>
      <c r="AO42" s="186">
        <f t="shared" ca="1" si="37"/>
        <v>0</v>
      </c>
      <c r="AP42" s="181">
        <f ca="1">IFERROR(__xludf.DUMMYFUNCTION("IMPORTRANGE(""https://docs.google.com/spreadsheets/d/1BRgc8xKpxZ0PX-gauieMVkV_IOxKSotf0yW8MabGprQ/edit?usp=sharing"",""ร้อยเอ็ด!J496"")"),0)</f>
        <v>0</v>
      </c>
      <c r="AQ42" s="181">
        <f ca="1">IFERROR(__xludf.DUMMYFUNCTION("IMPORTRANGE(""https://docs.google.com/spreadsheets/d/1BRgc8xKpxZ0PX-gauieMVkV_IOxKSotf0yW8MabGprQ/edit?usp=sharing"",""ร้อยเอ็ด!I498"")"),60)</f>
        <v>60</v>
      </c>
      <c r="AR42" s="181">
        <f ca="1">IFERROR(__xludf.DUMMYFUNCTION("IMPORTRANGE(""https://docs.google.com/spreadsheets/d/1BRgc8xKpxZ0PX-gauieMVkV_IOxKSotf0yW8MabGprQ/edit?usp=sharing"",""ร้อยเอ็ด!J498"")"),0)</f>
        <v>0</v>
      </c>
      <c r="AS42" s="186">
        <f t="shared" ca="1" si="38"/>
        <v>0</v>
      </c>
      <c r="AT42" s="181">
        <f ca="1">IFERROR(__xludf.DUMMYFUNCTION("IMPORTRANGE(""https://docs.google.com/spreadsheets/d/1BRgc8xKpxZ0PX-gauieMVkV_IOxKSotf0yW8MabGprQ/edit?usp=sharing"",""ร้อยเอ็ด!J499"")"),0)</f>
        <v>0</v>
      </c>
    </row>
    <row r="43" spans="1:46" ht="21" customHeight="1" x14ac:dyDescent="0.3">
      <c r="A43" s="178">
        <v>12</v>
      </c>
      <c r="B43" s="179" t="s">
        <v>60</v>
      </c>
      <c r="C43" s="180">
        <f t="shared" ca="1" si="62"/>
        <v>260973</v>
      </c>
      <c r="D43" s="181">
        <f ca="1">IFERROR(__xludf.DUMMYFUNCTION("IMPORTRANGE(""https://docs.google.com/spreadsheets/d/1IdolZc-dfdgMwAm_KZxYJl1sUOcIgnbGQzbWOlddedo/edit?usp=sharing"",""เลย!L472"")"),260973)</f>
        <v>260973</v>
      </c>
      <c r="E43" s="187">
        <f ca="1">IFERROR(__xludf.DUMMYFUNCTION("IMPORTRANGE(""https://docs.google.com/spreadsheets/d/1IdolZc-dfdgMwAm_KZxYJl1sUOcIgnbGQzbWOlddedo/edit?usp=sharing"",""เลย!L479"")"),0)</f>
        <v>0</v>
      </c>
      <c r="F43" s="182">
        <f t="shared" ca="1" si="1"/>
        <v>59353</v>
      </c>
      <c r="G43" s="183">
        <f t="shared" ca="1" si="2"/>
        <v>22.742965747414484</v>
      </c>
      <c r="H43" s="184">
        <f t="shared" ca="1" si="63"/>
        <v>59353</v>
      </c>
      <c r="I43" s="187">
        <f ca="1">IFERROR(__xludf.DUMMYFUNCTION("IMPORTRANGE(""https://docs.google.com/spreadsheets/d/1IdolZc-dfdgMwAm_KZxYJl1sUOcIgnbGQzbWOlddedo/edit?usp=sharing"",""เลย!N473"")"),36753)</f>
        <v>36753</v>
      </c>
      <c r="J43" s="187">
        <f ca="1">IFERROR(__xludf.DUMMYFUNCTION("IMPORTRANGE(""https://docs.google.com/spreadsheets/d/1IdolZc-dfdgMwAm_KZxYJl1sUOcIgnbGQzbWOlddedo/edit?usp=sharing"",""เลย!N474"")"),0)</f>
        <v>0</v>
      </c>
      <c r="K43" s="187">
        <f ca="1">IFERROR(__xludf.DUMMYFUNCTION("IMPORTRANGE(""https://docs.google.com/spreadsheets/d/1IdolZc-dfdgMwAm_KZxYJl1sUOcIgnbGQzbWOlddedo/edit?usp=sharing"",""เลย!N475"")"),0)</f>
        <v>0</v>
      </c>
      <c r="L43" s="187">
        <f ca="1">IFERROR(__xludf.DUMMYFUNCTION("IMPORTRANGE(""https://docs.google.com/spreadsheets/d/1IdolZc-dfdgMwAm_KZxYJl1sUOcIgnbGQzbWOlddedo/edit?usp=sharing"",""เลย!N476"")"),22600)</f>
        <v>22600</v>
      </c>
      <c r="M43" s="185">
        <f ca="1">IFERROR(__xludf.DUMMYFUNCTION("IMPORTRANGE(""https://docs.google.com/spreadsheets/d/1IdolZc-dfdgMwAm_KZxYJl1sUOcIgnbGQzbWOlddedo/edit?usp=sharing"",""เลย!N479"")"),0)</f>
        <v>0</v>
      </c>
      <c r="N43" s="185">
        <f t="shared" ca="1" si="41"/>
        <v>0</v>
      </c>
      <c r="O43" s="181">
        <f ca="1">IFERROR(__xludf.DUMMYFUNCTION("IMPORTRANGE(""https://docs.google.com/spreadsheets/d/1IdolZc-dfdgMwAm_KZxYJl1sUOcIgnbGQzbWOlddedo/edit?usp=sharing"",""เลย!I465"")"),31)</f>
        <v>31</v>
      </c>
      <c r="P43" s="181">
        <f ca="1">IFERROR(__xludf.DUMMYFUNCTION("IMPORTRANGE(""https://docs.google.com/spreadsheets/d/1IdolZc-dfdgMwAm_KZxYJl1sUOcIgnbGQzbWOlddedo/edit?usp=sharing"",""เลย!I466"")"),300)</f>
        <v>300</v>
      </c>
      <c r="Q43" s="181">
        <f ca="1">IFERROR(__xludf.DUMMYFUNCTION("IMPORTRANGE(""https://docs.google.com/spreadsheets/d/1IdolZc-dfdgMwAm_KZxYJl1sUOcIgnbGQzbWOlddedo/edit?usp=sharing"",""เลย!J465"")"),31)</f>
        <v>31</v>
      </c>
      <c r="R43" s="186">
        <f t="shared" ca="1" si="6"/>
        <v>100</v>
      </c>
      <c r="S43" s="181">
        <f ca="1">IFERROR(__xludf.DUMMYFUNCTION("IMPORTRANGE(""https://docs.google.com/spreadsheets/d/1IdolZc-dfdgMwAm_KZxYJl1sUOcIgnbGQzbWOlddedo/edit?usp=sharing"",""เลย!J466"")"),0)</f>
        <v>0</v>
      </c>
      <c r="T43" s="186">
        <f t="shared" ca="1" si="7"/>
        <v>0</v>
      </c>
      <c r="U43" s="181">
        <f ca="1">IFERROR(__xludf.DUMMYFUNCTION("IMPORTRANGE(""https://docs.google.com/spreadsheets/d/1IdolZc-dfdgMwAm_KZxYJl1sUOcIgnbGQzbWOlddedo/edit?usp=sharing"",""เลย!I483"")"),270)</f>
        <v>270</v>
      </c>
      <c r="V43" s="181">
        <f ca="1">IFERROR(__xludf.DUMMYFUNCTION("IMPORTRANGE(""https://docs.google.com/spreadsheets/d/1IdolZc-dfdgMwAm_KZxYJl1sUOcIgnbGQzbWOlddedo/edit?usp=sharing"",""เลย!J483"")"),270)</f>
        <v>270</v>
      </c>
      <c r="W43" s="186">
        <f t="shared" ca="1" si="32"/>
        <v>100</v>
      </c>
      <c r="X43" s="181" t="str">
        <f ca="1">IFERROR(__xludf.DUMMYFUNCTION("IMPORTRANGE(""https://docs.google.com/spreadsheets/d/1IdolZc-dfdgMwAm_KZxYJl1sUOcIgnbGQzbWOlddedo/edit?usp=sharing"",""เลย!J484"")"),"")</f>
        <v/>
      </c>
      <c r="Y43" s="181">
        <f ca="1">IFERROR(__xludf.DUMMYFUNCTION("IMPORTRANGE(""https://docs.google.com/spreadsheets/d/1IdolZc-dfdgMwAm_KZxYJl1sUOcIgnbGQzbWOlddedo/edit?usp=sharing"",""เลย!I485"")"),27)</f>
        <v>27</v>
      </c>
      <c r="Z43" s="181">
        <f ca="1">IFERROR(__xludf.DUMMYFUNCTION("IMPORTRANGE(""https://docs.google.com/spreadsheets/d/1IdolZc-dfdgMwAm_KZxYJl1sUOcIgnbGQzbWOlddedo/edit?usp=sharing"",""เลย!J485"")"),27)</f>
        <v>27</v>
      </c>
      <c r="AA43" s="186">
        <f t="shared" ca="1" si="33"/>
        <v>100</v>
      </c>
      <c r="AB43" s="181">
        <f ca="1">IFERROR(__xludf.DUMMYFUNCTION("IMPORTRANGE(""https://docs.google.com/spreadsheets/d/1IdolZc-dfdgMwAm_KZxYJl1sUOcIgnbGQzbWOlddedo/edit?usp=sharing"",""เลย!I487"")"),30)</f>
        <v>30</v>
      </c>
      <c r="AC43" s="181">
        <f ca="1">IFERROR(__xludf.DUMMYFUNCTION("IMPORTRANGE(""https://docs.google.com/spreadsheets/d/1IdolZc-dfdgMwAm_KZxYJl1sUOcIgnbGQzbWOlddedo/edit?usp=sharing"",""เลย!J487"")"),30)</f>
        <v>30</v>
      </c>
      <c r="AD43" s="186">
        <f t="shared" ca="1" si="34"/>
        <v>100</v>
      </c>
      <c r="AE43" s="181">
        <f ca="1">IFERROR(__xludf.DUMMYFUNCTION("IMPORTRANGE(""https://docs.google.com/spreadsheets/d/1IdolZc-dfdgMwAm_KZxYJl1sUOcIgnbGQzbWOlddedo/edit?usp=sharing"",""เลย!J488"")"),0)</f>
        <v>0</v>
      </c>
      <c r="AF43" s="181">
        <f ca="1">IFERROR(__xludf.DUMMYFUNCTION("IMPORTRANGE(""https://docs.google.com/spreadsheets/d/1IdolZc-dfdgMwAm_KZxYJl1sUOcIgnbGQzbWOlddedo/edit?usp=sharing"",""เลย!I489"")"),3)</f>
        <v>3</v>
      </c>
      <c r="AG43" s="181">
        <f ca="1">IFERROR(__xludf.DUMMYFUNCTION("IMPORTRANGE(""https://docs.google.com/spreadsheets/d/1IdolZc-dfdgMwAm_KZxYJl1sUOcIgnbGQzbWOlddedo/edit?usp=sharing"",""เลย!J489"")"),3)</f>
        <v>3</v>
      </c>
      <c r="AH43" s="186">
        <f t="shared" ca="1" si="35"/>
        <v>100</v>
      </c>
      <c r="AI43" s="181">
        <f ca="1">IFERROR(__xludf.DUMMYFUNCTION("IMPORTRANGE(""https://docs.google.com/spreadsheets/d/1IdolZc-dfdgMwAm_KZxYJl1sUOcIgnbGQzbWOlddedo/edit?usp=sharing"",""เลย!J491"")"),0)</f>
        <v>0</v>
      </c>
      <c r="AJ43" s="181">
        <f ca="1">IFERROR(__xludf.DUMMYFUNCTION("IMPORTRANGE(""https://docs.google.com/spreadsheets/d/1IdolZc-dfdgMwAm_KZxYJl1sUOcIgnbGQzbWOlddedo/edit?usp=sharing"",""เลย!I492"")"),1)</f>
        <v>1</v>
      </c>
      <c r="AK43" s="181">
        <f ca="1">IFERROR(__xludf.DUMMYFUNCTION("IMPORTRANGE(""https://docs.google.com/spreadsheets/d/1IdolZc-dfdgMwAm_KZxYJl1sUOcIgnbGQzbWOlddedo/edit?usp=sharing"",""เลย!J492"")"),1)</f>
        <v>1</v>
      </c>
      <c r="AL43" s="186">
        <f t="shared" ca="1" si="36"/>
        <v>100</v>
      </c>
      <c r="AM43" s="181">
        <f ca="1">IFERROR(__xludf.DUMMYFUNCTION("IMPORTRANGE(""https://docs.google.com/spreadsheets/d/1IdolZc-dfdgMwAm_KZxYJl1sUOcIgnbGQzbWOlddedo/edit?usp=sharing"",""เลย!I495"")"),270)</f>
        <v>270</v>
      </c>
      <c r="AN43" s="181">
        <f ca="1">IFERROR(__xludf.DUMMYFUNCTION("IMPORTRANGE(""https://docs.google.com/spreadsheets/d/1IdolZc-dfdgMwAm_KZxYJl1sUOcIgnbGQzbWOlddedo/edit?usp=sharing"",""เลย!J495"")"),0)</f>
        <v>0</v>
      </c>
      <c r="AO43" s="186">
        <f t="shared" ca="1" si="37"/>
        <v>0</v>
      </c>
      <c r="AP43" s="181">
        <f ca="1">IFERROR(__xludf.DUMMYFUNCTION("IMPORTRANGE(""https://docs.google.com/spreadsheets/d/1IdolZc-dfdgMwAm_KZxYJl1sUOcIgnbGQzbWOlddedo/edit?usp=sharing"",""เลย!J496"")"),0)</f>
        <v>0</v>
      </c>
      <c r="AQ43" s="181">
        <f ca="1">IFERROR(__xludf.DUMMYFUNCTION("IMPORTRANGE(""https://docs.google.com/spreadsheets/d/1IdolZc-dfdgMwAm_KZxYJl1sUOcIgnbGQzbWOlddedo/edit?usp=sharing"",""เลย!I498"")"),30)</f>
        <v>30</v>
      </c>
      <c r="AR43" s="181">
        <f ca="1">IFERROR(__xludf.DUMMYFUNCTION("IMPORTRANGE(""https://docs.google.com/spreadsheets/d/1IdolZc-dfdgMwAm_KZxYJl1sUOcIgnbGQzbWOlddedo/edit?usp=sharing"",""เลย!J498"")"),0)</f>
        <v>0</v>
      </c>
      <c r="AS43" s="186">
        <f t="shared" ca="1" si="38"/>
        <v>0</v>
      </c>
      <c r="AT43" s="181">
        <f ca="1">IFERROR(__xludf.DUMMYFUNCTION("IMPORTRANGE(""https://docs.google.com/spreadsheets/d/1IdolZc-dfdgMwAm_KZxYJl1sUOcIgnbGQzbWOlddedo/edit?usp=sharing"",""เลย!J499"")"),0)</f>
        <v>0</v>
      </c>
    </row>
    <row r="44" spans="1:46" ht="21" customHeight="1" x14ac:dyDescent="0.3">
      <c r="A44" s="178">
        <v>13</v>
      </c>
      <c r="B44" s="179" t="s">
        <v>61</v>
      </c>
      <c r="C44" s="188">
        <f t="shared" ca="1" si="62"/>
        <v>414503</v>
      </c>
      <c r="D44" s="189">
        <f ca="1">IFERROR(__xludf.DUMMYFUNCTION("IMPORTRANGE(""https://docs.google.com/spreadsheets/d/1tZ0nmtGuIRCaGAMXHlQU8EpR9LOAJvyKfc4f7EFmE34/edit?usp=sharing"",""ศรีสะเกษ!L472"")"),414503)</f>
        <v>414503</v>
      </c>
      <c r="E44" s="190">
        <f ca="1">IFERROR(__xludf.DUMMYFUNCTION("IMPORTRANGE(""https://docs.google.com/spreadsheets/d/1tZ0nmtGuIRCaGAMXHlQU8EpR9LOAJvyKfc4f7EFmE34/edit?usp=sharing"",""ศรีสะเกษ!L479"")"),0)</f>
        <v>0</v>
      </c>
      <c r="F44" s="182">
        <f t="shared" ca="1" si="1"/>
        <v>11560</v>
      </c>
      <c r="G44" s="191">
        <f t="shared" ca="1" si="2"/>
        <v>2.7888821070052567</v>
      </c>
      <c r="H44" s="184">
        <f t="shared" ca="1" si="63"/>
        <v>11560</v>
      </c>
      <c r="I44" s="187">
        <f ca="1">IFERROR(__xludf.DUMMYFUNCTION("IMPORTRANGE(""https://docs.google.com/spreadsheets/d/1tZ0nmtGuIRCaGAMXHlQU8EpR9LOAJvyKfc4f7EFmE34/edit?usp=sharing"",""ศรีสะเกษ!N473"")"),11560)</f>
        <v>11560</v>
      </c>
      <c r="J44" s="187">
        <f ca="1">IFERROR(__xludf.DUMMYFUNCTION("IMPORTRANGE(""https://docs.google.com/spreadsheets/d/1tZ0nmtGuIRCaGAMXHlQU8EpR9LOAJvyKfc4f7EFmE34/edit?usp=sharing"",""ศรีสะเกษ!N474"")"),0)</f>
        <v>0</v>
      </c>
      <c r="K44" s="187">
        <f ca="1">IFERROR(__xludf.DUMMYFUNCTION("IMPORTRANGE(""https://docs.google.com/spreadsheets/d/1tZ0nmtGuIRCaGAMXHlQU8EpR9LOAJvyKfc4f7EFmE34/edit?usp=sharing"",""ศรีสะเกษ!N475"")"),0)</f>
        <v>0</v>
      </c>
      <c r="L44" s="187">
        <f ca="1">IFERROR(__xludf.DUMMYFUNCTION("IMPORTRANGE(""https://docs.google.com/spreadsheets/d/1tZ0nmtGuIRCaGAMXHlQU8EpR9LOAJvyKfc4f7EFmE34/edit?usp=sharing"",""ศรีสะเกษ!N476"")"),0)</f>
        <v>0</v>
      </c>
      <c r="M44" s="185">
        <f ca="1">IFERROR(__xludf.DUMMYFUNCTION("IMPORTRANGE(""https://docs.google.com/spreadsheets/d/1tZ0nmtGuIRCaGAMXHlQU8EpR9LOAJvyKfc4f7EFmE34/edit?usp=sharing"",""ศรีสะเกษ!N479"")"),0)</f>
        <v>0</v>
      </c>
      <c r="N44" s="185">
        <f t="shared" ca="1" si="41"/>
        <v>0</v>
      </c>
      <c r="O44" s="189">
        <f ca="1">IFERROR(__xludf.DUMMYFUNCTION("IMPORTRANGE(""https://docs.google.com/spreadsheets/d/1tZ0nmtGuIRCaGAMXHlQU8EpR9LOAJvyKfc4f7EFmE34/edit?usp=sharing"",""ศรีสะเกษ!I465"")"),51)</f>
        <v>51</v>
      </c>
      <c r="P44" s="189">
        <f ca="1">IFERROR(__xludf.DUMMYFUNCTION("IMPORTRANGE(""https://docs.google.com/spreadsheets/d/1tZ0nmtGuIRCaGAMXHlQU8EpR9LOAJvyKfc4f7EFmE34/edit?usp=sharing"",""ศรีสะเกษ!I466"")"),500)</f>
        <v>500</v>
      </c>
      <c r="Q44" s="181">
        <f ca="1">IFERROR(__xludf.DUMMYFUNCTION("IMPORTRANGE(""https://docs.google.com/spreadsheets/d/1tZ0nmtGuIRCaGAMXHlQU8EpR9LOAJvyKfc4f7EFmE34/edit?usp=sharing"",""ศรีสะเกษ!J465"")"),51)</f>
        <v>51</v>
      </c>
      <c r="R44" s="186">
        <f t="shared" ca="1" si="6"/>
        <v>100</v>
      </c>
      <c r="S44" s="181">
        <f ca="1">IFERROR(__xludf.DUMMYFUNCTION("IMPORTRANGE(""https://docs.google.com/spreadsheets/d/1tZ0nmtGuIRCaGAMXHlQU8EpR9LOAJvyKfc4f7EFmE34/edit?usp=sharing"",""ศรีสะเกษ!J466"")"),0)</f>
        <v>0</v>
      </c>
      <c r="T44" s="186">
        <f t="shared" ca="1" si="7"/>
        <v>0</v>
      </c>
      <c r="U44" s="189">
        <f ca="1">IFERROR(__xludf.DUMMYFUNCTION("IMPORTRANGE(""https://docs.google.com/spreadsheets/d/1tZ0nmtGuIRCaGAMXHlQU8EpR9LOAJvyKfc4f7EFmE34/edit?usp=sharing"",""ศรีสะเกษ!I483"")"),450)</f>
        <v>450</v>
      </c>
      <c r="V44" s="181">
        <f ca="1">IFERROR(__xludf.DUMMYFUNCTION("IMPORTRANGE(""https://docs.google.com/spreadsheets/d/1tZ0nmtGuIRCaGAMXHlQU8EpR9LOAJvyKfc4f7EFmE34/edit?usp=sharing"",""ศรีสะเกษ!J483"")"),450)</f>
        <v>450</v>
      </c>
      <c r="W44" s="186">
        <f t="shared" ca="1" si="32"/>
        <v>100</v>
      </c>
      <c r="X44" s="181">
        <f ca="1">IFERROR(__xludf.DUMMYFUNCTION("IMPORTRANGE(""https://docs.google.com/spreadsheets/d/1tZ0nmtGuIRCaGAMXHlQU8EpR9LOAJvyKfc4f7EFmE34/edit?usp=sharing"",""ศรีสะเกษ!J484"")"),0)</f>
        <v>0</v>
      </c>
      <c r="Y44" s="189">
        <f ca="1">IFERROR(__xludf.DUMMYFUNCTION("IMPORTRANGE(""https://docs.google.com/spreadsheets/d/1tZ0nmtGuIRCaGAMXHlQU8EpR9LOAJvyKfc4f7EFmE34/edit?usp=sharing"",""ศรีสะเกษ!I485"")"),45)</f>
        <v>45</v>
      </c>
      <c r="Z44" s="181">
        <f ca="1">IFERROR(__xludf.DUMMYFUNCTION("IMPORTRANGE(""https://docs.google.com/spreadsheets/d/1tZ0nmtGuIRCaGAMXHlQU8EpR9LOAJvyKfc4f7EFmE34/edit?usp=sharing"",""ศรีสะเกษ!J485"")"),45)</f>
        <v>45</v>
      </c>
      <c r="AA44" s="186">
        <f t="shared" ca="1" si="33"/>
        <v>100</v>
      </c>
      <c r="AB44" s="189">
        <f ca="1">IFERROR(__xludf.DUMMYFUNCTION("IMPORTRANGE(""https://docs.google.com/spreadsheets/d/1tZ0nmtGuIRCaGAMXHlQU8EpR9LOAJvyKfc4f7EFmE34/edit?usp=sharing"",""ศรีสะเกษ!I487"")"),50)</f>
        <v>50</v>
      </c>
      <c r="AC44" s="181">
        <f ca="1">IFERROR(__xludf.DUMMYFUNCTION("IMPORTRANGE(""https://docs.google.com/spreadsheets/d/1tZ0nmtGuIRCaGAMXHlQU8EpR9LOAJvyKfc4f7EFmE34/edit?usp=sharing"",""ศรีสะเกษ!J487"")"),50)</f>
        <v>50</v>
      </c>
      <c r="AD44" s="186">
        <f t="shared" ca="1" si="34"/>
        <v>100</v>
      </c>
      <c r="AE44" s="181">
        <f ca="1">IFERROR(__xludf.DUMMYFUNCTION("IMPORTRANGE(""https://docs.google.com/spreadsheets/d/1tZ0nmtGuIRCaGAMXHlQU8EpR9LOAJvyKfc4f7EFmE34/edit?usp=sharing"",""ศรีสะเกษ!J488"")"),0)</f>
        <v>0</v>
      </c>
      <c r="AF44" s="189">
        <f ca="1">IFERROR(__xludf.DUMMYFUNCTION("IMPORTRANGE(""https://docs.google.com/spreadsheets/d/1tZ0nmtGuIRCaGAMXHlQU8EpR9LOAJvyKfc4f7EFmE34/edit?usp=sharing"",""ศรีสะเกษ!I489"")"),5)</f>
        <v>5</v>
      </c>
      <c r="AG44" s="181">
        <f ca="1">IFERROR(__xludf.DUMMYFUNCTION("IMPORTRANGE(""https://docs.google.com/spreadsheets/d/1tZ0nmtGuIRCaGAMXHlQU8EpR9LOAJvyKfc4f7EFmE34/edit?usp=sharing"",""ศรีสะเกษ!J489"")"),5)</f>
        <v>5</v>
      </c>
      <c r="AH44" s="186">
        <f t="shared" ca="1" si="35"/>
        <v>100</v>
      </c>
      <c r="AI44" s="181">
        <f ca="1">IFERROR(__xludf.DUMMYFUNCTION("IMPORTRANGE(""https://docs.google.com/spreadsheets/d/1tZ0nmtGuIRCaGAMXHlQU8EpR9LOAJvyKfc4f7EFmE34/edit?usp=sharing"",""ศรีสะเกษ!J491"")"),0)</f>
        <v>0</v>
      </c>
      <c r="AJ44" s="189">
        <f ca="1">IFERROR(__xludf.DUMMYFUNCTION("IMPORTRANGE(""https://docs.google.com/spreadsheets/d/1tZ0nmtGuIRCaGAMXHlQU8EpR9LOAJvyKfc4f7EFmE34/edit?usp=sharing"",""ศรีสะเกษ!I492"")"),1)</f>
        <v>1</v>
      </c>
      <c r="AK44" s="181">
        <f ca="1">IFERROR(__xludf.DUMMYFUNCTION("IMPORTRANGE(""https://docs.google.com/spreadsheets/d/1tZ0nmtGuIRCaGAMXHlQU8EpR9LOAJvyKfc4f7EFmE34/edit?usp=sharing"",""ศรีสะเกษ!J492"")"),1)</f>
        <v>1</v>
      </c>
      <c r="AL44" s="186">
        <f t="shared" ca="1" si="36"/>
        <v>100</v>
      </c>
      <c r="AM44" s="189">
        <f ca="1">IFERROR(__xludf.DUMMYFUNCTION("IMPORTRANGE(""https://docs.google.com/spreadsheets/d/1tZ0nmtGuIRCaGAMXHlQU8EpR9LOAJvyKfc4f7EFmE34/edit?usp=sharing"",""ศรีสะเกษ!I495"")"),450)</f>
        <v>450</v>
      </c>
      <c r="AN44" s="181">
        <f ca="1">IFERROR(__xludf.DUMMYFUNCTION("IMPORTRANGE(""https://docs.google.com/spreadsheets/d/1tZ0nmtGuIRCaGAMXHlQU8EpR9LOAJvyKfc4f7EFmE34/edit?usp=sharing"",""ศรีสะเกษ!J495"")"),0)</f>
        <v>0</v>
      </c>
      <c r="AO44" s="186">
        <f t="shared" ca="1" si="37"/>
        <v>0</v>
      </c>
      <c r="AP44" s="181">
        <f ca="1">IFERROR(__xludf.DUMMYFUNCTION("IMPORTRANGE(""https://docs.google.com/spreadsheets/d/1tZ0nmtGuIRCaGAMXHlQU8EpR9LOAJvyKfc4f7EFmE34/edit?usp=sharing"",""ศรีสะเกษ!J496"")"),0)</f>
        <v>0</v>
      </c>
      <c r="AQ44" s="189">
        <f ca="1">IFERROR(__xludf.DUMMYFUNCTION("IMPORTRANGE(""https://docs.google.com/spreadsheets/d/1tZ0nmtGuIRCaGAMXHlQU8EpR9LOAJvyKfc4f7EFmE34/edit?usp=sharing"",""ศรีสะเกษ!I498"")"),50)</f>
        <v>50</v>
      </c>
      <c r="AR44" s="181">
        <f ca="1">IFERROR(__xludf.DUMMYFUNCTION("IMPORTRANGE(""https://docs.google.com/spreadsheets/d/1tZ0nmtGuIRCaGAMXHlQU8EpR9LOAJvyKfc4f7EFmE34/edit?usp=sharing"",""ศรีสะเกษ!J498"")"),0)</f>
        <v>0</v>
      </c>
      <c r="AS44" s="186">
        <f t="shared" ca="1" si="38"/>
        <v>0</v>
      </c>
      <c r="AT44" s="181">
        <f ca="1">IFERROR(__xludf.DUMMYFUNCTION("IMPORTRANGE(""https://docs.google.com/spreadsheets/d/1tZ0nmtGuIRCaGAMXHlQU8EpR9LOAJvyKfc4f7EFmE34/edit?usp=sharing"",""ศรีสะเกษ!J499"")"),0)</f>
        <v>0</v>
      </c>
    </row>
    <row r="45" spans="1:46" ht="21" customHeight="1" x14ac:dyDescent="0.3">
      <c r="A45" s="178">
        <v>14</v>
      </c>
      <c r="B45" s="179" t="s">
        <v>62</v>
      </c>
      <c r="C45" s="180">
        <f t="shared" ca="1" si="62"/>
        <v>492543</v>
      </c>
      <c r="D45" s="181">
        <f ca="1">IFERROR(__xludf.DUMMYFUNCTION("IMPORTRANGE(""https://docs.google.com/spreadsheets/d/1QC8psz9w0f9IVE9Xuc2FT_btkaOzZbbUSgYObpBuetM/edit?usp=sharing"",""สกลนคร!L472"")"),492543)</f>
        <v>492543</v>
      </c>
      <c r="E45" s="187">
        <f ca="1">IFERROR(__xludf.DUMMYFUNCTION("IMPORTRANGE(""https://docs.google.com/spreadsheets/d/1QC8psz9w0f9IVE9Xuc2FT_btkaOzZbbUSgYObpBuetM/edit?usp=sharing"",""สกลนคร!L479"")"),0)</f>
        <v>0</v>
      </c>
      <c r="F45" s="182">
        <f t="shared" ca="1" si="1"/>
        <v>32850</v>
      </c>
      <c r="G45" s="183">
        <f t="shared" ca="1" si="2"/>
        <v>6.6694684525005936</v>
      </c>
      <c r="H45" s="184">
        <f t="shared" ca="1" si="63"/>
        <v>32850</v>
      </c>
      <c r="I45" s="187">
        <f ca="1">IFERROR(__xludf.DUMMYFUNCTION("IMPORTRANGE(""https://docs.google.com/spreadsheets/d/1QC8psz9w0f9IVE9Xuc2FT_btkaOzZbbUSgYObpBuetM/edit?usp=sharing"",""สกลนคร!N473"")"),0)</f>
        <v>0</v>
      </c>
      <c r="J45" s="187">
        <f ca="1">IFERROR(__xludf.DUMMYFUNCTION("IMPORTRANGE(""https://docs.google.com/spreadsheets/d/1QC8psz9w0f9IVE9Xuc2FT_btkaOzZbbUSgYObpBuetM/edit?usp=sharing"",""สกลนคร!N474"")"),0)</f>
        <v>0</v>
      </c>
      <c r="K45" s="187">
        <f ca="1">IFERROR(__xludf.DUMMYFUNCTION("IMPORTRANGE(""https://docs.google.com/spreadsheets/d/1QC8psz9w0f9IVE9Xuc2FT_btkaOzZbbUSgYObpBuetM/edit?usp=sharing"",""สกลนคร!N475"")"),0)</f>
        <v>0</v>
      </c>
      <c r="L45" s="187">
        <f ca="1">IFERROR(__xludf.DUMMYFUNCTION("IMPORTRANGE(""https://docs.google.com/spreadsheets/d/1QC8psz9w0f9IVE9Xuc2FT_btkaOzZbbUSgYObpBuetM/edit?usp=sharing"",""สกลนคร!N476"")"),32850)</f>
        <v>32850</v>
      </c>
      <c r="M45" s="185">
        <f ca="1">IFERROR(__xludf.DUMMYFUNCTION("IMPORTRANGE(""https://docs.google.com/spreadsheets/d/1QC8psz9w0f9IVE9Xuc2FT_btkaOzZbbUSgYObpBuetM/edit?usp=sharing"",""สกลนคร!N479"")"),0)</f>
        <v>0</v>
      </c>
      <c r="N45" s="185">
        <f t="shared" ca="1" si="41"/>
        <v>0</v>
      </c>
      <c r="O45" s="181">
        <f ca="1">IFERROR(__xludf.DUMMYFUNCTION("IMPORTRANGE(""https://docs.google.com/spreadsheets/d/1QC8psz9w0f9IVE9Xuc2FT_btkaOzZbbUSgYObpBuetM/edit?usp=sharing"",""สกลนคร!I465"")"),61)</f>
        <v>61</v>
      </c>
      <c r="P45" s="181">
        <f ca="1">IFERROR(__xludf.DUMMYFUNCTION("IMPORTRANGE(""https://docs.google.com/spreadsheets/d/1QC8psz9w0f9IVE9Xuc2FT_btkaOzZbbUSgYObpBuetM/edit?usp=sharing"",""สกลนคร!I466"")"),600)</f>
        <v>600</v>
      </c>
      <c r="Q45" s="181">
        <f ca="1">IFERROR(__xludf.DUMMYFUNCTION("IMPORTRANGE(""https://docs.google.com/spreadsheets/d/1QC8psz9w0f9IVE9Xuc2FT_btkaOzZbbUSgYObpBuetM/edit?usp=sharing"",""สกลนคร!J465"")"),0)</f>
        <v>0</v>
      </c>
      <c r="R45" s="186">
        <f t="shared" ca="1" si="6"/>
        <v>0</v>
      </c>
      <c r="S45" s="181">
        <f ca="1">IFERROR(__xludf.DUMMYFUNCTION("IMPORTRANGE(""https://docs.google.com/spreadsheets/d/1QC8psz9w0f9IVE9Xuc2FT_btkaOzZbbUSgYObpBuetM/edit?usp=sharing"",""สกลนคร!J466"")"),0)</f>
        <v>0</v>
      </c>
      <c r="T45" s="186">
        <f t="shared" ca="1" si="7"/>
        <v>0</v>
      </c>
      <c r="U45" s="181">
        <f ca="1">IFERROR(__xludf.DUMMYFUNCTION("IMPORTRANGE(""https://docs.google.com/spreadsheets/d/1QC8psz9w0f9IVE9Xuc2FT_btkaOzZbbUSgYObpBuetM/edit?usp=sharing"",""สกลนคร!I483"")"),540)</f>
        <v>540</v>
      </c>
      <c r="V45" s="181">
        <f ca="1">IFERROR(__xludf.DUMMYFUNCTION("IMPORTRANGE(""https://docs.google.com/spreadsheets/d/1QC8psz9w0f9IVE9Xuc2FT_btkaOzZbbUSgYObpBuetM/edit?usp=sharing"",""สกลนคร!J483"")"),0)</f>
        <v>0</v>
      </c>
      <c r="W45" s="186">
        <f t="shared" ca="1" si="32"/>
        <v>0</v>
      </c>
      <c r="X45" s="181">
        <f ca="1">IFERROR(__xludf.DUMMYFUNCTION("IMPORTRANGE(""https://docs.google.com/spreadsheets/d/1QC8psz9w0f9IVE9Xuc2FT_btkaOzZbbUSgYObpBuetM/edit?usp=sharing"",""สกลนคร!J484"")"),0)</f>
        <v>0</v>
      </c>
      <c r="Y45" s="181">
        <f ca="1">IFERROR(__xludf.DUMMYFUNCTION("IMPORTRANGE(""https://docs.google.com/spreadsheets/d/1QC8psz9w0f9IVE9Xuc2FT_btkaOzZbbUSgYObpBuetM/edit?usp=sharing"",""สกลนคร!I485"")"),54)</f>
        <v>54</v>
      </c>
      <c r="Z45" s="181">
        <f ca="1">IFERROR(__xludf.DUMMYFUNCTION("IMPORTRANGE(""https://docs.google.com/spreadsheets/d/1QC8psz9w0f9IVE9Xuc2FT_btkaOzZbbUSgYObpBuetM/edit?usp=sharing"",""สกลนคร!J485"")"),0)</f>
        <v>0</v>
      </c>
      <c r="AA45" s="186">
        <f t="shared" ca="1" si="33"/>
        <v>0</v>
      </c>
      <c r="AB45" s="181">
        <f ca="1">IFERROR(__xludf.DUMMYFUNCTION("IMPORTRANGE(""https://docs.google.com/spreadsheets/d/1QC8psz9w0f9IVE9Xuc2FT_btkaOzZbbUSgYObpBuetM/edit?usp=sharing"",""สกลนคร!I487"")"),60)</f>
        <v>60</v>
      </c>
      <c r="AC45" s="181">
        <f ca="1">IFERROR(__xludf.DUMMYFUNCTION("IMPORTRANGE(""https://docs.google.com/spreadsheets/d/1QC8psz9w0f9IVE9Xuc2FT_btkaOzZbbUSgYObpBuetM/edit?usp=sharing"",""สกลนคร!J487"")"),0)</f>
        <v>0</v>
      </c>
      <c r="AD45" s="186">
        <f t="shared" ca="1" si="34"/>
        <v>0</v>
      </c>
      <c r="AE45" s="181">
        <f ca="1">IFERROR(__xludf.DUMMYFUNCTION("IMPORTRANGE(""https://docs.google.com/spreadsheets/d/1QC8psz9w0f9IVE9Xuc2FT_btkaOzZbbUSgYObpBuetM/edit?usp=sharing"",""สกลนคร!J488"")"),0)</f>
        <v>0</v>
      </c>
      <c r="AF45" s="181">
        <f ca="1">IFERROR(__xludf.DUMMYFUNCTION("IMPORTRANGE(""https://docs.google.com/spreadsheets/d/1QC8psz9w0f9IVE9Xuc2FT_btkaOzZbbUSgYObpBuetM/edit?usp=sharing"",""สกลนคร!I489"")"),6)</f>
        <v>6</v>
      </c>
      <c r="AG45" s="181">
        <f ca="1">IFERROR(__xludf.DUMMYFUNCTION("IMPORTRANGE(""https://docs.google.com/spreadsheets/d/1QC8psz9w0f9IVE9Xuc2FT_btkaOzZbbUSgYObpBuetM/edit?usp=sharing"",""สกลนคร!J489"")"),0)</f>
        <v>0</v>
      </c>
      <c r="AH45" s="186">
        <f t="shared" ca="1" si="35"/>
        <v>0</v>
      </c>
      <c r="AI45" s="181">
        <f ca="1">IFERROR(__xludf.DUMMYFUNCTION("IMPORTRANGE(""https://docs.google.com/spreadsheets/d/1QC8psz9w0f9IVE9Xuc2FT_btkaOzZbbUSgYObpBuetM/edit?usp=sharing"",""สกลนคร!J491"")"),0)</f>
        <v>0</v>
      </c>
      <c r="AJ45" s="181">
        <f ca="1">IFERROR(__xludf.DUMMYFUNCTION("IMPORTRANGE(""https://docs.google.com/spreadsheets/d/1QC8psz9w0f9IVE9Xuc2FT_btkaOzZbbUSgYObpBuetM/edit?usp=sharing"",""สกลนคร!I492"")"),1)</f>
        <v>1</v>
      </c>
      <c r="AK45" s="181">
        <f ca="1">IFERROR(__xludf.DUMMYFUNCTION("IMPORTRANGE(""https://docs.google.com/spreadsheets/d/1QC8psz9w0f9IVE9Xuc2FT_btkaOzZbbUSgYObpBuetM/edit?usp=sharing"",""สกลนคร!J492"")"),0)</f>
        <v>0</v>
      </c>
      <c r="AL45" s="186">
        <f t="shared" ca="1" si="36"/>
        <v>0</v>
      </c>
      <c r="AM45" s="181">
        <f ca="1">IFERROR(__xludf.DUMMYFUNCTION("IMPORTRANGE(""https://docs.google.com/spreadsheets/d/1QC8psz9w0f9IVE9Xuc2FT_btkaOzZbbUSgYObpBuetM/edit?usp=sharing"",""สกลนคร!I495"")"),540)</f>
        <v>540</v>
      </c>
      <c r="AN45" s="181">
        <f ca="1">IFERROR(__xludf.DUMMYFUNCTION("IMPORTRANGE(""https://docs.google.com/spreadsheets/d/1QC8psz9w0f9IVE9Xuc2FT_btkaOzZbbUSgYObpBuetM/edit?usp=sharing"",""สกลนคร!J495"")"),0)</f>
        <v>0</v>
      </c>
      <c r="AO45" s="186">
        <f t="shared" ca="1" si="37"/>
        <v>0</v>
      </c>
      <c r="AP45" s="181">
        <f ca="1">IFERROR(__xludf.DUMMYFUNCTION("IMPORTRANGE(""https://docs.google.com/spreadsheets/d/1QC8psz9w0f9IVE9Xuc2FT_btkaOzZbbUSgYObpBuetM/edit?usp=sharing"",""สกลนคร!J496"")"),0)</f>
        <v>0</v>
      </c>
      <c r="AQ45" s="181">
        <f ca="1">IFERROR(__xludf.DUMMYFUNCTION("IMPORTRANGE(""https://docs.google.com/spreadsheets/d/1QC8psz9w0f9IVE9Xuc2FT_btkaOzZbbUSgYObpBuetM/edit?usp=sharing"",""สกลนคร!I498"")"),60)</f>
        <v>60</v>
      </c>
      <c r="AR45" s="181">
        <f ca="1">IFERROR(__xludf.DUMMYFUNCTION("IMPORTRANGE(""https://docs.google.com/spreadsheets/d/1QC8psz9w0f9IVE9Xuc2FT_btkaOzZbbUSgYObpBuetM/edit?usp=sharing"",""สกลนคร!J498"")"),0)</f>
        <v>0</v>
      </c>
      <c r="AS45" s="186">
        <f t="shared" ca="1" si="38"/>
        <v>0</v>
      </c>
      <c r="AT45" s="181">
        <f ca="1">IFERROR(__xludf.DUMMYFUNCTION("IMPORTRANGE(""https://docs.google.com/spreadsheets/d/1QC8psz9w0f9IVE9Xuc2FT_btkaOzZbbUSgYObpBuetM/edit?usp=sharing"",""สกลนคร!J499"")"),0)</f>
        <v>0</v>
      </c>
    </row>
    <row r="46" spans="1:46" ht="21" customHeight="1" x14ac:dyDescent="0.3">
      <c r="A46" s="178">
        <v>15</v>
      </c>
      <c r="B46" s="179" t="s">
        <v>63</v>
      </c>
      <c r="C46" s="188">
        <f t="shared" ca="1" si="62"/>
        <v>1169908</v>
      </c>
      <c r="D46" s="189">
        <f ca="1">IFERROR(__xludf.DUMMYFUNCTION("IMPORTRANGE(""https://docs.google.com/spreadsheets/d/1wPdvRbu02d33MYVlbsCnyTiZpefEBs9NNktAnT1HZvw/edit?usp=sharing"",""สุรินทร์!L472"")"),1169908)</f>
        <v>1169908</v>
      </c>
      <c r="E46" s="190">
        <f ca="1">IFERROR(__xludf.DUMMYFUNCTION("IMPORTRANGE(""https://docs.google.com/spreadsheets/d/1wPdvRbu02d33MYVlbsCnyTiZpefEBs9NNktAnT1HZvw/edit?usp=sharing"",""สุรินทร์!L479"")"),0)</f>
        <v>0</v>
      </c>
      <c r="F46" s="182">
        <f t="shared" ca="1" si="1"/>
        <v>177928</v>
      </c>
      <c r="G46" s="191">
        <f t="shared" ca="1" si="2"/>
        <v>15.208717266656866</v>
      </c>
      <c r="H46" s="184">
        <f t="shared" ca="1" si="63"/>
        <v>177928</v>
      </c>
      <c r="I46" s="187">
        <f ca="1">IFERROR(__xludf.DUMMYFUNCTION("IMPORTRANGE(""https://docs.google.com/spreadsheets/d/1wPdvRbu02d33MYVlbsCnyTiZpefEBs9NNktAnT1HZvw/edit?usp=sharing"",""สุรินทร์!N473"")"),118947)</f>
        <v>118947</v>
      </c>
      <c r="J46" s="187">
        <f ca="1">IFERROR(__xludf.DUMMYFUNCTION("IMPORTRANGE(""https://docs.google.com/spreadsheets/d/1wPdvRbu02d33MYVlbsCnyTiZpefEBs9NNktAnT1HZvw/edit?usp=sharing"",""สุรินทร์!N474"")"),0)</f>
        <v>0</v>
      </c>
      <c r="K46" s="187">
        <f ca="1">IFERROR(__xludf.DUMMYFUNCTION("IMPORTRANGE(""https://docs.google.com/spreadsheets/d/1wPdvRbu02d33MYVlbsCnyTiZpefEBs9NNktAnT1HZvw/edit?usp=sharing"",""สุรินทร์!N475"")"),38580)</f>
        <v>38580</v>
      </c>
      <c r="L46" s="187">
        <f ca="1">IFERROR(__xludf.DUMMYFUNCTION("IMPORTRANGE(""https://docs.google.com/spreadsheets/d/1wPdvRbu02d33MYVlbsCnyTiZpefEBs9NNktAnT1HZvw/edit?usp=sharing"",""สุรินทร์!N476"")"),20401)</f>
        <v>20401</v>
      </c>
      <c r="M46" s="185">
        <f ca="1">IFERROR(__xludf.DUMMYFUNCTION("IMPORTRANGE(""https://docs.google.com/spreadsheets/d/1wPdvRbu02d33MYVlbsCnyTiZpefEBs9NNktAnT1HZvw/edit?usp=sharing"",""สุรินทร์!N479"")"),0)</f>
        <v>0</v>
      </c>
      <c r="N46" s="185">
        <f t="shared" ca="1" si="41"/>
        <v>0</v>
      </c>
      <c r="O46" s="189">
        <f ca="1">IFERROR(__xludf.DUMMYFUNCTION("IMPORTRANGE(""https://docs.google.com/spreadsheets/d/1wPdvRbu02d33MYVlbsCnyTiZpefEBs9NNktAnT1HZvw/edit?usp=sharing"",""สุรินทร์!I465"")"),131)</f>
        <v>131</v>
      </c>
      <c r="P46" s="189">
        <f ca="1">IFERROR(__xludf.DUMMYFUNCTION("IMPORTRANGE(""https://docs.google.com/spreadsheets/d/1wPdvRbu02d33MYVlbsCnyTiZpefEBs9NNktAnT1HZvw/edit?usp=sharing"",""สุรินทร์!I466"")"),1300)</f>
        <v>1300</v>
      </c>
      <c r="Q46" s="181">
        <f ca="1">IFERROR(__xludf.DUMMYFUNCTION("IMPORTRANGE(""https://docs.google.com/spreadsheets/d/1wPdvRbu02d33MYVlbsCnyTiZpefEBs9NNktAnT1HZvw/edit?usp=sharing"",""สุรินทร์!J465"")"),131)</f>
        <v>131</v>
      </c>
      <c r="R46" s="186">
        <f t="shared" ca="1" si="6"/>
        <v>100</v>
      </c>
      <c r="S46" s="181">
        <f ca="1">IFERROR(__xludf.DUMMYFUNCTION("IMPORTRANGE(""https://docs.google.com/spreadsheets/d/1wPdvRbu02d33MYVlbsCnyTiZpefEBs9NNktAnT1HZvw/edit?usp=sharing"",""สุรินทร์!J466"")"),0)</f>
        <v>0</v>
      </c>
      <c r="T46" s="186">
        <f t="shared" ca="1" si="7"/>
        <v>0</v>
      </c>
      <c r="U46" s="189">
        <f ca="1">IFERROR(__xludf.DUMMYFUNCTION("IMPORTRANGE(""https://docs.google.com/spreadsheets/d/1wPdvRbu02d33MYVlbsCnyTiZpefEBs9NNktAnT1HZvw/edit?usp=sharing"",""สุรินทร์!I483"")"),1170)</f>
        <v>1170</v>
      </c>
      <c r="V46" s="181">
        <f ca="1">IFERROR(__xludf.DUMMYFUNCTION("IMPORTRANGE(""https://docs.google.com/spreadsheets/d/1wPdvRbu02d33MYVlbsCnyTiZpefEBs9NNktAnT1HZvw/edit?usp=sharing"",""สุรินทร์!J483"")"),1170)</f>
        <v>1170</v>
      </c>
      <c r="W46" s="186">
        <f t="shared" ca="1" si="32"/>
        <v>100</v>
      </c>
      <c r="X46" s="181">
        <f ca="1">IFERROR(__xludf.DUMMYFUNCTION("IMPORTRANGE(""https://docs.google.com/spreadsheets/d/1wPdvRbu02d33MYVlbsCnyTiZpefEBs9NNktAnT1HZvw/edit?usp=sharing"",""สุรินทร์!J484"")"),160)</f>
        <v>160</v>
      </c>
      <c r="Y46" s="189">
        <f ca="1">IFERROR(__xludf.DUMMYFUNCTION("IMPORTRANGE(""https://docs.google.com/spreadsheets/d/1wPdvRbu02d33MYVlbsCnyTiZpefEBs9NNktAnT1HZvw/edit?usp=sharing"",""สุรินทร์!I485"")"),117)</f>
        <v>117</v>
      </c>
      <c r="Z46" s="181">
        <f ca="1">IFERROR(__xludf.DUMMYFUNCTION("IMPORTRANGE(""https://docs.google.com/spreadsheets/d/1wPdvRbu02d33MYVlbsCnyTiZpefEBs9NNktAnT1HZvw/edit?usp=sharing"",""สุรินทร์!J485"")"),117)</f>
        <v>117</v>
      </c>
      <c r="AA46" s="186">
        <f t="shared" ca="1" si="33"/>
        <v>100</v>
      </c>
      <c r="AB46" s="189">
        <f ca="1">IFERROR(__xludf.DUMMYFUNCTION("IMPORTRANGE(""https://docs.google.com/spreadsheets/d/1wPdvRbu02d33MYVlbsCnyTiZpefEBs9NNktAnT1HZvw/edit?usp=sharing"",""สุรินทร์!I487"")"),130)</f>
        <v>130</v>
      </c>
      <c r="AC46" s="181">
        <f ca="1">IFERROR(__xludf.DUMMYFUNCTION("IMPORTRANGE(""https://docs.google.com/spreadsheets/d/1wPdvRbu02d33MYVlbsCnyTiZpefEBs9NNktAnT1HZvw/edit?usp=sharing"",""สุรินทร์!J487"")"),130)</f>
        <v>130</v>
      </c>
      <c r="AD46" s="186">
        <f t="shared" ca="1" si="34"/>
        <v>100</v>
      </c>
      <c r="AE46" s="181">
        <f ca="1">IFERROR(__xludf.DUMMYFUNCTION("IMPORTRANGE(""https://docs.google.com/spreadsheets/d/1wPdvRbu02d33MYVlbsCnyTiZpefEBs9NNktAnT1HZvw/edit?usp=sharing"",""สุรินทร์!J488"")"),13)</f>
        <v>13</v>
      </c>
      <c r="AF46" s="189">
        <f ca="1">IFERROR(__xludf.DUMMYFUNCTION("IMPORTRANGE(""https://docs.google.com/spreadsheets/d/1wPdvRbu02d33MYVlbsCnyTiZpefEBs9NNktAnT1HZvw/edit?usp=sharing"",""สุรินทร์!I489"")"),13)</f>
        <v>13</v>
      </c>
      <c r="AG46" s="181">
        <f ca="1">IFERROR(__xludf.DUMMYFUNCTION("IMPORTRANGE(""https://docs.google.com/spreadsheets/d/1wPdvRbu02d33MYVlbsCnyTiZpefEBs9NNktAnT1HZvw/edit?usp=sharing"",""สุรินทร์!J489"")"),13)</f>
        <v>13</v>
      </c>
      <c r="AH46" s="186">
        <f t="shared" ca="1" si="35"/>
        <v>100</v>
      </c>
      <c r="AI46" s="181">
        <f ca="1">IFERROR(__xludf.DUMMYFUNCTION("IMPORTRANGE(""https://docs.google.com/spreadsheets/d/1wPdvRbu02d33MYVlbsCnyTiZpefEBs9NNktAnT1HZvw/edit?usp=sharing"",""สุรินทร์!J491"")"),1)</f>
        <v>1</v>
      </c>
      <c r="AJ46" s="189">
        <f ca="1">IFERROR(__xludf.DUMMYFUNCTION("IMPORTRANGE(""https://docs.google.com/spreadsheets/d/1wPdvRbu02d33MYVlbsCnyTiZpefEBs9NNktAnT1HZvw/edit?usp=sharing"",""สุรินทร์!I492"")"),1)</f>
        <v>1</v>
      </c>
      <c r="AK46" s="181">
        <f ca="1">IFERROR(__xludf.DUMMYFUNCTION("IMPORTRANGE(""https://docs.google.com/spreadsheets/d/1wPdvRbu02d33MYVlbsCnyTiZpefEBs9NNktAnT1HZvw/edit?usp=sharing"",""สุรินทร์!J492"")"),1)</f>
        <v>1</v>
      </c>
      <c r="AL46" s="186">
        <f t="shared" ca="1" si="36"/>
        <v>100</v>
      </c>
      <c r="AM46" s="189">
        <f ca="1">IFERROR(__xludf.DUMMYFUNCTION("IMPORTRANGE(""https://docs.google.com/spreadsheets/d/1wPdvRbu02d33MYVlbsCnyTiZpefEBs9NNktAnT1HZvw/edit?usp=sharing"",""สุรินทร์!I495"")"),1170)</f>
        <v>1170</v>
      </c>
      <c r="AN46" s="181">
        <f ca="1">IFERROR(__xludf.DUMMYFUNCTION("IMPORTRANGE(""https://docs.google.com/spreadsheets/d/1wPdvRbu02d33MYVlbsCnyTiZpefEBs9NNktAnT1HZvw/edit?usp=sharing"",""สุรินทร์!J495"")"),0)</f>
        <v>0</v>
      </c>
      <c r="AO46" s="186">
        <f t="shared" ca="1" si="37"/>
        <v>0</v>
      </c>
      <c r="AP46" s="181">
        <f ca="1">IFERROR(__xludf.DUMMYFUNCTION("IMPORTRANGE(""https://docs.google.com/spreadsheets/d/1wPdvRbu02d33MYVlbsCnyTiZpefEBs9NNktAnT1HZvw/edit?usp=sharing"",""สุรินทร์!J496"")"),0)</f>
        <v>0</v>
      </c>
      <c r="AQ46" s="189">
        <f ca="1">IFERROR(__xludf.DUMMYFUNCTION("IMPORTRANGE(""https://docs.google.com/spreadsheets/d/1wPdvRbu02d33MYVlbsCnyTiZpefEBs9NNktAnT1HZvw/edit?usp=sharing"",""สุรินทร์!I498"")"),130)</f>
        <v>130</v>
      </c>
      <c r="AR46" s="181">
        <f ca="1">IFERROR(__xludf.DUMMYFUNCTION("IMPORTRANGE(""https://docs.google.com/spreadsheets/d/1wPdvRbu02d33MYVlbsCnyTiZpefEBs9NNktAnT1HZvw/edit?usp=sharing"",""สุรินทร์!J498"")"),0)</f>
        <v>0</v>
      </c>
      <c r="AS46" s="186">
        <f t="shared" ca="1" si="38"/>
        <v>0</v>
      </c>
      <c r="AT46" s="181">
        <f ca="1">IFERROR(__xludf.DUMMYFUNCTION("IMPORTRANGE(""https://docs.google.com/spreadsheets/d/1wPdvRbu02d33MYVlbsCnyTiZpefEBs9NNktAnT1HZvw/edit?usp=sharing"",""สุรินทร์!J499"")"),0)</f>
        <v>0</v>
      </c>
    </row>
    <row r="47" spans="1:46" ht="21" customHeight="1" x14ac:dyDescent="0.3">
      <c r="A47" s="178">
        <v>16</v>
      </c>
      <c r="B47" s="179" t="s">
        <v>64</v>
      </c>
      <c r="C47" s="188">
        <f t="shared" ca="1" si="62"/>
        <v>414993</v>
      </c>
      <c r="D47" s="189">
        <f ca="1">IFERROR(__xludf.DUMMYFUNCTION("IMPORTRANGE(""https://docs.google.com/spreadsheets/d/1GVExpf-Exi_2gmuqTYH28fseTB9MoKPXWcXCbSt_YrM/edit?usp=sharing"",""หนองคาย!L472"")"),414993)</f>
        <v>414993</v>
      </c>
      <c r="E47" s="190">
        <f ca="1">IFERROR(__xludf.DUMMYFUNCTION("IMPORTRANGE(""https://docs.google.com/spreadsheets/d/1GVExpf-Exi_2gmuqTYH28fseTB9MoKPXWcXCbSt_YrM/edit?usp=sharing"",""หนองคาย!L479"")"),0)</f>
        <v>0</v>
      </c>
      <c r="F47" s="182">
        <f t="shared" ca="1" si="1"/>
        <v>14690</v>
      </c>
      <c r="G47" s="191">
        <f t="shared" ca="1" si="2"/>
        <v>3.5398187439306206</v>
      </c>
      <c r="H47" s="184">
        <f t="shared" ca="1" si="63"/>
        <v>14690</v>
      </c>
      <c r="I47" s="187">
        <f ca="1">IFERROR(__xludf.DUMMYFUNCTION("IMPORTRANGE(""https://docs.google.com/spreadsheets/d/1GVExpf-Exi_2gmuqTYH28fseTB9MoKPXWcXCbSt_YrM/edit?usp=sharing"",""หนองคาย!N473"")"),0)</f>
        <v>0</v>
      </c>
      <c r="J47" s="187">
        <f ca="1">IFERROR(__xludf.DUMMYFUNCTION("IMPORTRANGE(""https://docs.google.com/spreadsheets/d/1GVExpf-Exi_2gmuqTYH28fseTB9MoKPXWcXCbSt_YrM/edit?usp=sharing"",""หนองคาย!N474"")"),0)</f>
        <v>0</v>
      </c>
      <c r="K47" s="187">
        <f ca="1">IFERROR(__xludf.DUMMYFUNCTION("IMPORTRANGE(""https://docs.google.com/spreadsheets/d/1GVExpf-Exi_2gmuqTYH28fseTB9MoKPXWcXCbSt_YrM/edit?usp=sharing"",""หนองคาย!N475"")"),1200)</f>
        <v>1200</v>
      </c>
      <c r="L47" s="187">
        <f ca="1">IFERROR(__xludf.DUMMYFUNCTION("IMPORTRANGE(""https://docs.google.com/spreadsheets/d/1GVExpf-Exi_2gmuqTYH28fseTB9MoKPXWcXCbSt_YrM/edit?usp=sharing"",""หนองคาย!N476"")"),13490)</f>
        <v>13490</v>
      </c>
      <c r="M47" s="185">
        <f ca="1">IFERROR(__xludf.DUMMYFUNCTION("IMPORTRANGE(""https://docs.google.com/spreadsheets/d/1GVExpf-Exi_2gmuqTYH28fseTB9MoKPXWcXCbSt_YrM/edit?usp=sharing"",""หนองคาย!N479"")"),0)</f>
        <v>0</v>
      </c>
      <c r="N47" s="185">
        <f t="shared" ca="1" si="41"/>
        <v>0</v>
      </c>
      <c r="O47" s="189">
        <f ca="1">IFERROR(__xludf.DUMMYFUNCTION("IMPORTRANGE(""https://docs.google.com/spreadsheets/d/1GVExpf-Exi_2gmuqTYH28fseTB9MoKPXWcXCbSt_YrM/edit?usp=sharing"",""หนองคาย!I465"")"),51)</f>
        <v>51</v>
      </c>
      <c r="P47" s="189">
        <f ca="1">IFERROR(__xludf.DUMMYFUNCTION("IMPORTRANGE(""https://docs.google.com/spreadsheets/d/1GVExpf-Exi_2gmuqTYH28fseTB9MoKPXWcXCbSt_YrM/edit?usp=sharing"",""หนองคาย!I466"")"),500)</f>
        <v>500</v>
      </c>
      <c r="Q47" s="181">
        <f ca="1">IFERROR(__xludf.DUMMYFUNCTION("IMPORTRANGE(""https://docs.google.com/spreadsheets/d/1GVExpf-Exi_2gmuqTYH28fseTB9MoKPXWcXCbSt_YrM/edit?usp=sharing"",""หนองคาย!J465"")"),0)</f>
        <v>0</v>
      </c>
      <c r="R47" s="186">
        <f t="shared" ca="1" si="6"/>
        <v>0</v>
      </c>
      <c r="S47" s="181">
        <f ca="1">IFERROR(__xludf.DUMMYFUNCTION("IMPORTRANGE(""https://docs.google.com/spreadsheets/d/1GVExpf-Exi_2gmuqTYH28fseTB9MoKPXWcXCbSt_YrM/edit?usp=sharing"",""หนองคาย!J466"")"),0)</f>
        <v>0</v>
      </c>
      <c r="T47" s="186">
        <f t="shared" ca="1" si="7"/>
        <v>0</v>
      </c>
      <c r="U47" s="189">
        <f ca="1">IFERROR(__xludf.DUMMYFUNCTION("IMPORTRANGE(""https://docs.google.com/spreadsheets/d/1GVExpf-Exi_2gmuqTYH28fseTB9MoKPXWcXCbSt_YrM/edit?usp=sharing"",""หนองคาย!I483"")"),450)</f>
        <v>450</v>
      </c>
      <c r="V47" s="181">
        <f ca="1">IFERROR(__xludf.DUMMYFUNCTION("IMPORTRANGE(""https://docs.google.com/spreadsheets/d/1GVExpf-Exi_2gmuqTYH28fseTB9MoKPXWcXCbSt_YrM/edit?usp=sharing"",""หนองคาย!J483"")"),0)</f>
        <v>0</v>
      </c>
      <c r="W47" s="186">
        <f t="shared" ca="1" si="32"/>
        <v>0</v>
      </c>
      <c r="X47" s="181">
        <f ca="1">IFERROR(__xludf.DUMMYFUNCTION("IMPORTRANGE(""https://docs.google.com/spreadsheets/d/1GVExpf-Exi_2gmuqTYH28fseTB9MoKPXWcXCbSt_YrM/edit?usp=sharing"",""หนองคาย!J484"")"),0)</f>
        <v>0</v>
      </c>
      <c r="Y47" s="189">
        <f ca="1">IFERROR(__xludf.DUMMYFUNCTION("IMPORTRANGE(""https://docs.google.com/spreadsheets/d/1GVExpf-Exi_2gmuqTYH28fseTB9MoKPXWcXCbSt_YrM/edit?usp=sharing"",""หนองคาย!I485"")"),45)</f>
        <v>45</v>
      </c>
      <c r="Z47" s="181">
        <f ca="1">IFERROR(__xludf.DUMMYFUNCTION("IMPORTRANGE(""https://docs.google.com/spreadsheets/d/1GVExpf-Exi_2gmuqTYH28fseTB9MoKPXWcXCbSt_YrM/edit?usp=sharing"",""หนองคาย!J485"")"),0)</f>
        <v>0</v>
      </c>
      <c r="AA47" s="186">
        <f t="shared" ca="1" si="33"/>
        <v>0</v>
      </c>
      <c r="AB47" s="189">
        <f ca="1">IFERROR(__xludf.DUMMYFUNCTION("IMPORTRANGE(""https://docs.google.com/spreadsheets/d/1GVExpf-Exi_2gmuqTYH28fseTB9MoKPXWcXCbSt_YrM/edit?usp=sharing"",""หนองคาย!I487"")"),50)</f>
        <v>50</v>
      </c>
      <c r="AC47" s="181">
        <f ca="1">IFERROR(__xludf.DUMMYFUNCTION("IMPORTRANGE(""https://docs.google.com/spreadsheets/d/1GVExpf-Exi_2gmuqTYH28fseTB9MoKPXWcXCbSt_YrM/edit?usp=sharing"",""หนองคาย!J487"")"),0)</f>
        <v>0</v>
      </c>
      <c r="AD47" s="186">
        <f t="shared" ca="1" si="34"/>
        <v>0</v>
      </c>
      <c r="AE47" s="181">
        <f ca="1">IFERROR(__xludf.DUMMYFUNCTION("IMPORTRANGE(""https://docs.google.com/spreadsheets/d/1GVExpf-Exi_2gmuqTYH28fseTB9MoKPXWcXCbSt_YrM/edit?usp=sharing"",""หนองคาย!J488"")"),0)</f>
        <v>0</v>
      </c>
      <c r="AF47" s="189">
        <f ca="1">IFERROR(__xludf.DUMMYFUNCTION("IMPORTRANGE(""https://docs.google.com/spreadsheets/d/1GVExpf-Exi_2gmuqTYH28fseTB9MoKPXWcXCbSt_YrM/edit?usp=sharing"",""หนองคาย!I489"")"),5)</f>
        <v>5</v>
      </c>
      <c r="AG47" s="181">
        <f ca="1">IFERROR(__xludf.DUMMYFUNCTION("IMPORTRANGE(""https://docs.google.com/spreadsheets/d/1GVExpf-Exi_2gmuqTYH28fseTB9MoKPXWcXCbSt_YrM/edit?usp=sharing"",""หนองคาย!J489"")"),0)</f>
        <v>0</v>
      </c>
      <c r="AH47" s="186">
        <f t="shared" ca="1" si="35"/>
        <v>0</v>
      </c>
      <c r="AI47" s="181">
        <f ca="1">IFERROR(__xludf.DUMMYFUNCTION("IMPORTRANGE(""https://docs.google.com/spreadsheets/d/1GVExpf-Exi_2gmuqTYH28fseTB9MoKPXWcXCbSt_YrM/edit?usp=sharing"",""หนองคาย!J491"")"),0)</f>
        <v>0</v>
      </c>
      <c r="AJ47" s="189">
        <f ca="1">IFERROR(__xludf.DUMMYFUNCTION("IMPORTRANGE(""https://docs.google.com/spreadsheets/d/1GVExpf-Exi_2gmuqTYH28fseTB9MoKPXWcXCbSt_YrM/edit?usp=sharing"",""หนองคาย!I492"")"),1)</f>
        <v>1</v>
      </c>
      <c r="AK47" s="181">
        <f ca="1">IFERROR(__xludf.DUMMYFUNCTION("IMPORTRANGE(""https://docs.google.com/spreadsheets/d/1GVExpf-Exi_2gmuqTYH28fseTB9MoKPXWcXCbSt_YrM/edit?usp=sharing"",""หนองคาย!J492"")"),0)</f>
        <v>0</v>
      </c>
      <c r="AL47" s="186">
        <f t="shared" ca="1" si="36"/>
        <v>0</v>
      </c>
      <c r="AM47" s="189">
        <f ca="1">IFERROR(__xludf.DUMMYFUNCTION("IMPORTRANGE(""https://docs.google.com/spreadsheets/d/1GVExpf-Exi_2gmuqTYH28fseTB9MoKPXWcXCbSt_YrM/edit?usp=sharing"",""หนองคาย!I495"")"),450)</f>
        <v>450</v>
      </c>
      <c r="AN47" s="181">
        <f ca="1">IFERROR(__xludf.DUMMYFUNCTION("IMPORTRANGE(""https://docs.google.com/spreadsheets/d/1GVExpf-Exi_2gmuqTYH28fseTB9MoKPXWcXCbSt_YrM/edit?usp=sharing"",""หนองคาย!J495"")"),0)</f>
        <v>0</v>
      </c>
      <c r="AO47" s="186">
        <f t="shared" ca="1" si="37"/>
        <v>0</v>
      </c>
      <c r="AP47" s="181">
        <f ca="1">IFERROR(__xludf.DUMMYFUNCTION("IMPORTRANGE(""https://docs.google.com/spreadsheets/d/1GVExpf-Exi_2gmuqTYH28fseTB9MoKPXWcXCbSt_YrM/edit?usp=sharing"",""หนองคาย!J496"")"),0)</f>
        <v>0</v>
      </c>
      <c r="AQ47" s="189">
        <f ca="1">IFERROR(__xludf.DUMMYFUNCTION("IMPORTRANGE(""https://docs.google.com/spreadsheets/d/1GVExpf-Exi_2gmuqTYH28fseTB9MoKPXWcXCbSt_YrM/edit?usp=sharing"",""หนองคาย!I498"")"),50)</f>
        <v>50</v>
      </c>
      <c r="AR47" s="181">
        <f ca="1">IFERROR(__xludf.DUMMYFUNCTION("IMPORTRANGE(""https://docs.google.com/spreadsheets/d/1GVExpf-Exi_2gmuqTYH28fseTB9MoKPXWcXCbSt_YrM/edit?usp=sharing"",""หนองคาย!J498"")"),0)</f>
        <v>0</v>
      </c>
      <c r="AS47" s="186">
        <f t="shared" ca="1" si="38"/>
        <v>0</v>
      </c>
      <c r="AT47" s="181">
        <f ca="1">IFERROR(__xludf.DUMMYFUNCTION("IMPORTRANGE(""https://docs.google.com/spreadsheets/d/1GVExpf-Exi_2gmuqTYH28fseTB9MoKPXWcXCbSt_YrM/edit?usp=sharing"",""หนองคาย!J499"")"),0)</f>
        <v>0</v>
      </c>
    </row>
    <row r="48" spans="1:46" ht="21" customHeight="1" x14ac:dyDescent="0.3">
      <c r="A48" s="178">
        <v>17</v>
      </c>
      <c r="B48" s="179" t="s">
        <v>65</v>
      </c>
      <c r="C48" s="180">
        <f t="shared" ca="1" si="62"/>
        <v>1172208</v>
      </c>
      <c r="D48" s="181">
        <f ca="1">IFERROR(__xludf.DUMMYFUNCTION("IMPORTRANGE(""https://docs.google.com/spreadsheets/d/16UeMz0UgOB5BZcoxP75eYGcLFtGYRn9GoesD4OX9m5U/edit?usp=sharing"",""หนองบัวลำภู!L472"")"),1172208)</f>
        <v>1172208</v>
      </c>
      <c r="E48" s="187">
        <f ca="1">IFERROR(__xludf.DUMMYFUNCTION("IMPORTRANGE(""https://docs.google.com/spreadsheets/d/16UeMz0UgOB5BZcoxP75eYGcLFtGYRn9GoesD4OX9m5U/edit?usp=sharing"",""หนองบัวลำภู!L479"")"),0)</f>
        <v>0</v>
      </c>
      <c r="F48" s="182">
        <f t="shared" ca="1" si="1"/>
        <v>155308</v>
      </c>
      <c r="G48" s="183">
        <f t="shared" ca="1" si="2"/>
        <v>13.249184445081418</v>
      </c>
      <c r="H48" s="184">
        <f t="shared" ca="1" si="63"/>
        <v>155308</v>
      </c>
      <c r="I48" s="187">
        <f ca="1">IFERROR(__xludf.DUMMYFUNCTION("IMPORTRANGE(""https://docs.google.com/spreadsheets/d/16UeMz0UgOB5BZcoxP75eYGcLFtGYRn9GoesD4OX9m5U/edit?usp=sharing"",""หนองบัวลำภู!N473"")"),98388)</f>
        <v>98388</v>
      </c>
      <c r="J48" s="187">
        <f ca="1">IFERROR(__xludf.DUMMYFUNCTION("IMPORTRANGE(""https://docs.google.com/spreadsheets/d/16UeMz0UgOB5BZcoxP75eYGcLFtGYRn9GoesD4OX9m5U/edit?usp=sharing"",""หนองบัวลำภู!N474"")"),0)</f>
        <v>0</v>
      </c>
      <c r="K48" s="187">
        <f ca="1">IFERROR(__xludf.DUMMYFUNCTION("IMPORTRANGE(""https://docs.google.com/spreadsheets/d/16UeMz0UgOB5BZcoxP75eYGcLFtGYRn9GoesD4OX9m5U/edit?usp=sharing"",""หนองบัวลำภู!N475"")"),52000)</f>
        <v>52000</v>
      </c>
      <c r="L48" s="187">
        <f ca="1">IFERROR(__xludf.DUMMYFUNCTION("IMPORTRANGE(""https://docs.google.com/spreadsheets/d/16UeMz0UgOB5BZcoxP75eYGcLFtGYRn9GoesD4OX9m5U/edit?usp=sharing"",""หนองบัวลำภู!N476"")"),4920)</f>
        <v>4920</v>
      </c>
      <c r="M48" s="185">
        <f ca="1">IFERROR(__xludf.DUMMYFUNCTION("IMPORTRANGE(""https://docs.google.com/spreadsheets/d/16UeMz0UgOB5BZcoxP75eYGcLFtGYRn9GoesD4OX9m5U/edit?usp=sharing"",""หนองบัวลำภู!N479"")"),0)</f>
        <v>0</v>
      </c>
      <c r="N48" s="185">
        <f t="shared" ca="1" si="41"/>
        <v>0</v>
      </c>
      <c r="O48" s="181">
        <f ca="1">IFERROR(__xludf.DUMMYFUNCTION("IMPORTRANGE(""https://docs.google.com/spreadsheets/d/16UeMz0UgOB5BZcoxP75eYGcLFtGYRn9GoesD4OX9m5U/edit?usp=sharing"",""หนองบัวลำภู!I465"")"),131)</f>
        <v>131</v>
      </c>
      <c r="P48" s="181">
        <f ca="1">IFERROR(__xludf.DUMMYFUNCTION("IMPORTRANGE(""https://docs.google.com/spreadsheets/d/16UeMz0UgOB5BZcoxP75eYGcLFtGYRn9GoesD4OX9m5U/edit?usp=sharing"",""หนองบัวลำภู!I466"")"),1300)</f>
        <v>1300</v>
      </c>
      <c r="Q48" s="181">
        <f ca="1">IFERROR(__xludf.DUMMYFUNCTION("IMPORTRANGE(""https://docs.google.com/spreadsheets/d/16UeMz0UgOB5BZcoxP75eYGcLFtGYRn9GoesD4OX9m5U/edit?usp=sharing"",""หนองบัวลำภู!J465"")"),131)</f>
        <v>131</v>
      </c>
      <c r="R48" s="186">
        <f t="shared" ca="1" si="6"/>
        <v>100</v>
      </c>
      <c r="S48" s="181">
        <f ca="1">IFERROR(__xludf.DUMMYFUNCTION("IMPORTRANGE(""https://docs.google.com/spreadsheets/d/16UeMz0UgOB5BZcoxP75eYGcLFtGYRn9GoesD4OX9m5U/edit?usp=sharing"",""หนองบัวลำภู!J466"")"),0)</f>
        <v>0</v>
      </c>
      <c r="T48" s="186">
        <f t="shared" ca="1" si="7"/>
        <v>0</v>
      </c>
      <c r="U48" s="181">
        <f ca="1">IFERROR(__xludf.DUMMYFUNCTION("IMPORTRANGE(""https://docs.google.com/spreadsheets/d/16UeMz0UgOB5BZcoxP75eYGcLFtGYRn9GoesD4OX9m5U/edit?usp=sharing"",""หนองบัวลำภู!I483"")"),1170)</f>
        <v>1170</v>
      </c>
      <c r="V48" s="181">
        <f ca="1">IFERROR(__xludf.DUMMYFUNCTION("IMPORTRANGE(""https://docs.google.com/spreadsheets/d/16UeMz0UgOB5BZcoxP75eYGcLFtGYRn9GoesD4OX9m5U/edit?usp=sharing"",""หนองบัวลำภู!J483"")"),0)</f>
        <v>0</v>
      </c>
      <c r="W48" s="186">
        <f t="shared" ca="1" si="32"/>
        <v>0</v>
      </c>
      <c r="X48" s="181">
        <f ca="1">IFERROR(__xludf.DUMMYFUNCTION("IMPORTRANGE(""https://docs.google.com/spreadsheets/d/16UeMz0UgOB5BZcoxP75eYGcLFtGYRn9GoesD4OX9m5U/edit?usp=sharing"",""หนองบัวลำภู!J484"")"),0)</f>
        <v>0</v>
      </c>
      <c r="Y48" s="181">
        <f ca="1">IFERROR(__xludf.DUMMYFUNCTION("IMPORTRANGE(""https://docs.google.com/spreadsheets/d/16UeMz0UgOB5BZcoxP75eYGcLFtGYRn9GoesD4OX9m5U/edit?usp=sharing"",""หนองบัวลำภู!I485"")"),117)</f>
        <v>117</v>
      </c>
      <c r="Z48" s="181">
        <f ca="1">IFERROR(__xludf.DUMMYFUNCTION("IMPORTRANGE(""https://docs.google.com/spreadsheets/d/16UeMz0UgOB5BZcoxP75eYGcLFtGYRn9GoesD4OX9m5U/edit?usp=sharing"",""หนองบัวลำภู!J485"")"),117)</f>
        <v>117</v>
      </c>
      <c r="AA48" s="186">
        <f t="shared" ca="1" si="33"/>
        <v>100</v>
      </c>
      <c r="AB48" s="181">
        <f ca="1">IFERROR(__xludf.DUMMYFUNCTION("IMPORTRANGE(""https://docs.google.com/spreadsheets/d/16UeMz0UgOB5BZcoxP75eYGcLFtGYRn9GoesD4OX9m5U/edit?usp=sharing"",""หนองบัวลำภู!I487"")"),130)</f>
        <v>130</v>
      </c>
      <c r="AC48" s="181">
        <f ca="1">IFERROR(__xludf.DUMMYFUNCTION("IMPORTRANGE(""https://docs.google.com/spreadsheets/d/16UeMz0UgOB5BZcoxP75eYGcLFtGYRn9GoesD4OX9m5U/edit?usp=sharing"",""หนองบัวลำภู!J487"")"),0)</f>
        <v>0</v>
      </c>
      <c r="AD48" s="186">
        <f t="shared" ca="1" si="34"/>
        <v>0</v>
      </c>
      <c r="AE48" s="181">
        <f ca="1">IFERROR(__xludf.DUMMYFUNCTION("IMPORTRANGE(""https://docs.google.com/spreadsheets/d/16UeMz0UgOB5BZcoxP75eYGcLFtGYRn9GoesD4OX9m5U/edit?usp=sharing"",""หนองบัวลำภู!J488"")"),0)</f>
        <v>0</v>
      </c>
      <c r="AF48" s="181">
        <f ca="1">IFERROR(__xludf.DUMMYFUNCTION("IMPORTRANGE(""https://docs.google.com/spreadsheets/d/16UeMz0UgOB5BZcoxP75eYGcLFtGYRn9GoesD4OX9m5U/edit?usp=sharing"",""หนองบัวลำภู!I489"")"),13)</f>
        <v>13</v>
      </c>
      <c r="AG48" s="181">
        <f ca="1">IFERROR(__xludf.DUMMYFUNCTION("IMPORTRANGE(""https://docs.google.com/spreadsheets/d/16UeMz0UgOB5BZcoxP75eYGcLFtGYRn9GoesD4OX9m5U/edit?usp=sharing"",""หนองบัวลำภู!J489"")"),13)</f>
        <v>13</v>
      </c>
      <c r="AH48" s="186">
        <f t="shared" ca="1" si="35"/>
        <v>100</v>
      </c>
      <c r="AI48" s="181">
        <f ca="1">IFERROR(__xludf.DUMMYFUNCTION("IMPORTRANGE(""https://docs.google.com/spreadsheets/d/16UeMz0UgOB5BZcoxP75eYGcLFtGYRn9GoesD4OX9m5U/edit?usp=sharing"",""หนองบัวลำภู!J491"")"),0)</f>
        <v>0</v>
      </c>
      <c r="AJ48" s="181">
        <f ca="1">IFERROR(__xludf.DUMMYFUNCTION("IMPORTRANGE(""https://docs.google.com/spreadsheets/d/16UeMz0UgOB5BZcoxP75eYGcLFtGYRn9GoesD4OX9m5U/edit?usp=sharing"",""หนองบัวลำภู!I492"")"),1)</f>
        <v>1</v>
      </c>
      <c r="AK48" s="181">
        <f ca="1">IFERROR(__xludf.DUMMYFUNCTION("IMPORTRANGE(""https://docs.google.com/spreadsheets/d/16UeMz0UgOB5BZcoxP75eYGcLFtGYRn9GoesD4OX9m5U/edit?usp=sharing"",""หนองบัวลำภู!J492"")"),1)</f>
        <v>1</v>
      </c>
      <c r="AL48" s="186">
        <f t="shared" ca="1" si="36"/>
        <v>100</v>
      </c>
      <c r="AM48" s="181">
        <f ca="1">IFERROR(__xludf.DUMMYFUNCTION("IMPORTRANGE(""https://docs.google.com/spreadsheets/d/16UeMz0UgOB5BZcoxP75eYGcLFtGYRn9GoesD4OX9m5U/edit?usp=sharing"",""หนองบัวลำภู!I495"")"),1170)</f>
        <v>1170</v>
      </c>
      <c r="AN48" s="181">
        <f ca="1">IFERROR(__xludf.DUMMYFUNCTION("IMPORTRANGE(""https://docs.google.com/spreadsheets/d/16UeMz0UgOB5BZcoxP75eYGcLFtGYRn9GoesD4OX9m5U/edit?usp=sharing"",""หนองบัวลำภู!J495"")"),0)</f>
        <v>0</v>
      </c>
      <c r="AO48" s="186">
        <f t="shared" ca="1" si="37"/>
        <v>0</v>
      </c>
      <c r="AP48" s="181">
        <f ca="1">IFERROR(__xludf.DUMMYFUNCTION("IMPORTRANGE(""https://docs.google.com/spreadsheets/d/16UeMz0UgOB5BZcoxP75eYGcLFtGYRn9GoesD4OX9m5U/edit?usp=sharing"",""หนองบัวลำภู!J496"")"),0)</f>
        <v>0</v>
      </c>
      <c r="AQ48" s="181">
        <f ca="1">IFERROR(__xludf.DUMMYFUNCTION("IMPORTRANGE(""https://docs.google.com/spreadsheets/d/16UeMz0UgOB5BZcoxP75eYGcLFtGYRn9GoesD4OX9m5U/edit?usp=sharing"",""หนองบัวลำภู!I498"")"),130)</f>
        <v>130</v>
      </c>
      <c r="AR48" s="181">
        <f ca="1">IFERROR(__xludf.DUMMYFUNCTION("IMPORTRANGE(""https://docs.google.com/spreadsheets/d/16UeMz0UgOB5BZcoxP75eYGcLFtGYRn9GoesD4OX9m5U/edit?usp=sharing"",""หนองบัวลำภู!J498"")"),0)</f>
        <v>0</v>
      </c>
      <c r="AS48" s="186">
        <f t="shared" ca="1" si="38"/>
        <v>0</v>
      </c>
      <c r="AT48" s="181">
        <f ca="1">IFERROR(__xludf.DUMMYFUNCTION("IMPORTRANGE(""https://docs.google.com/spreadsheets/d/16UeMz0UgOB5BZcoxP75eYGcLFtGYRn9GoesD4OX9m5U/edit?usp=sharing"",""หนองบัวลำภู!J499"")"),0)</f>
        <v>0</v>
      </c>
    </row>
    <row r="49" spans="1:46" ht="21" customHeight="1" x14ac:dyDescent="0.3">
      <c r="A49" s="178">
        <v>18</v>
      </c>
      <c r="B49" s="179" t="s">
        <v>66</v>
      </c>
      <c r="C49" s="180">
        <f t="shared" ca="1" si="62"/>
        <v>414783</v>
      </c>
      <c r="D49" s="181">
        <f ca="1">IFERROR(__xludf.DUMMYFUNCTION("IMPORTRANGE(""https://docs.google.com/spreadsheets/d/1uUP8Zo1-qaJLuIkRU0qlwLSE3DHkbdrrj2JGJiWBQZE/edit?usp=sharing"",""อำนาจเจริญ!L472"")"),414783)</f>
        <v>414783</v>
      </c>
      <c r="E49" s="187">
        <f ca="1">IFERROR(__xludf.DUMMYFUNCTION("IMPORTRANGE(""https://docs.google.com/spreadsheets/d/1uUP8Zo1-qaJLuIkRU0qlwLSE3DHkbdrrj2JGJiWBQZE/edit?usp=sharing"",""อำนาจเจริญ!L479"")"),0)</f>
        <v>0</v>
      </c>
      <c r="F49" s="182">
        <f t="shared" ca="1" si="1"/>
        <v>70825</v>
      </c>
      <c r="G49" s="183">
        <f t="shared" ca="1" si="2"/>
        <v>17.075193534932723</v>
      </c>
      <c r="H49" s="184">
        <f t="shared" ca="1" si="63"/>
        <v>70825</v>
      </c>
      <c r="I49" s="187">
        <f ca="1">IFERROR(__xludf.DUMMYFUNCTION("IMPORTRANGE(""https://docs.google.com/spreadsheets/d/1uUP8Zo1-qaJLuIkRU0qlwLSE3DHkbdrrj2JGJiWBQZE/edit?usp=sharing"",""อำนาจเจริญ!N473"")"),56250)</f>
        <v>56250</v>
      </c>
      <c r="J49" s="187">
        <f ca="1">IFERROR(__xludf.DUMMYFUNCTION("IMPORTRANGE(""https://docs.google.com/spreadsheets/d/1uUP8Zo1-qaJLuIkRU0qlwLSE3DHkbdrrj2JGJiWBQZE/edit?usp=sharing"",""อำนาจเจริญ!N474"")"),0)</f>
        <v>0</v>
      </c>
      <c r="K49" s="187">
        <f ca="1">IFERROR(__xludf.DUMMYFUNCTION("IMPORTRANGE(""https://docs.google.com/spreadsheets/d/1uUP8Zo1-qaJLuIkRU0qlwLSE3DHkbdrrj2JGJiWBQZE/edit?usp=sharing"",""อำนาจเจริญ!N475"")"),1875)</f>
        <v>1875</v>
      </c>
      <c r="L49" s="187">
        <f ca="1">IFERROR(__xludf.DUMMYFUNCTION("IMPORTRANGE(""https://docs.google.com/spreadsheets/d/1uUP8Zo1-qaJLuIkRU0qlwLSE3DHkbdrrj2JGJiWBQZE/edit?usp=sharing"",""อำนาจเจริญ!N476"")"),12700)</f>
        <v>12700</v>
      </c>
      <c r="M49" s="185">
        <f ca="1">IFERROR(__xludf.DUMMYFUNCTION("IMPORTRANGE(""https://docs.google.com/spreadsheets/d/1uUP8Zo1-qaJLuIkRU0qlwLSE3DHkbdrrj2JGJiWBQZE/edit?usp=sharing"",""อำนาจเจริญ!N479"")"),0)</f>
        <v>0</v>
      </c>
      <c r="N49" s="185">
        <f t="shared" ca="1" si="41"/>
        <v>0</v>
      </c>
      <c r="O49" s="181">
        <f ca="1">IFERROR(__xludf.DUMMYFUNCTION("IMPORTRANGE(""https://docs.google.com/spreadsheets/d/1uUP8Zo1-qaJLuIkRU0qlwLSE3DHkbdrrj2JGJiWBQZE/edit?usp=sharing"",""อำนาจเจริญ!I465"")"),51)</f>
        <v>51</v>
      </c>
      <c r="P49" s="181">
        <f ca="1">IFERROR(__xludf.DUMMYFUNCTION("IMPORTRANGE(""https://docs.google.com/spreadsheets/d/1uUP8Zo1-qaJLuIkRU0qlwLSE3DHkbdrrj2JGJiWBQZE/edit?usp=sharing"",""อำนาจเจริญ!I466"")"),500)</f>
        <v>500</v>
      </c>
      <c r="Q49" s="181">
        <f ca="1">IFERROR(__xludf.DUMMYFUNCTION("IMPORTRANGE(""https://docs.google.com/spreadsheets/d/1uUP8Zo1-qaJLuIkRU0qlwLSE3DHkbdrrj2JGJiWBQZE/edit?usp=sharing"",""อำนาจเจริญ!J465"")"),51)</f>
        <v>51</v>
      </c>
      <c r="R49" s="186">
        <f t="shared" ca="1" si="6"/>
        <v>100</v>
      </c>
      <c r="S49" s="181">
        <f ca="1">IFERROR(__xludf.DUMMYFUNCTION("IMPORTRANGE(""https://docs.google.com/spreadsheets/d/1uUP8Zo1-qaJLuIkRU0qlwLSE3DHkbdrrj2JGJiWBQZE/edit?usp=sharing"",""อำนาจเจริญ!J466"")"),0)</f>
        <v>0</v>
      </c>
      <c r="T49" s="186">
        <f t="shared" ca="1" si="7"/>
        <v>0</v>
      </c>
      <c r="U49" s="181">
        <f ca="1">IFERROR(__xludf.DUMMYFUNCTION("IMPORTRANGE(""https://docs.google.com/spreadsheets/d/1uUP8Zo1-qaJLuIkRU0qlwLSE3DHkbdrrj2JGJiWBQZE/edit?usp=sharing"",""อำนาจเจริญ!I483"")"),450)</f>
        <v>450</v>
      </c>
      <c r="V49" s="181">
        <f ca="1">IFERROR(__xludf.DUMMYFUNCTION("IMPORTRANGE(""https://docs.google.com/spreadsheets/d/1uUP8Zo1-qaJLuIkRU0qlwLSE3DHkbdrrj2JGJiWBQZE/edit?usp=sharing"",""อำนาจเจริญ!J483"")"),450)</f>
        <v>450</v>
      </c>
      <c r="W49" s="186">
        <f t="shared" ca="1" si="32"/>
        <v>100</v>
      </c>
      <c r="X49" s="181">
        <f ca="1">IFERROR(__xludf.DUMMYFUNCTION("IMPORTRANGE(""https://docs.google.com/spreadsheets/d/1uUP8Zo1-qaJLuIkRU0qlwLSE3DHkbdrrj2JGJiWBQZE/edit?usp=sharing"",""อำนาจเจริญ!J484"")"),0)</f>
        <v>0</v>
      </c>
      <c r="Y49" s="181">
        <f ca="1">IFERROR(__xludf.DUMMYFUNCTION("IMPORTRANGE(""https://docs.google.com/spreadsheets/d/1uUP8Zo1-qaJLuIkRU0qlwLSE3DHkbdrrj2JGJiWBQZE/edit?usp=sharing"",""อำนาจเจริญ!I485"")"),45)</f>
        <v>45</v>
      </c>
      <c r="Z49" s="181">
        <f ca="1">IFERROR(__xludf.DUMMYFUNCTION("IMPORTRANGE(""https://docs.google.com/spreadsheets/d/1uUP8Zo1-qaJLuIkRU0qlwLSE3DHkbdrrj2JGJiWBQZE/edit?usp=sharing"",""อำนาจเจริญ!J485"")"),45)</f>
        <v>45</v>
      </c>
      <c r="AA49" s="186">
        <f t="shared" ca="1" si="33"/>
        <v>100</v>
      </c>
      <c r="AB49" s="181">
        <f ca="1">IFERROR(__xludf.DUMMYFUNCTION("IMPORTRANGE(""https://docs.google.com/spreadsheets/d/1uUP8Zo1-qaJLuIkRU0qlwLSE3DHkbdrrj2JGJiWBQZE/edit?usp=sharing"",""อำนาจเจริญ!I487"")"),50)</f>
        <v>50</v>
      </c>
      <c r="AC49" s="181">
        <f ca="1">IFERROR(__xludf.DUMMYFUNCTION("IMPORTRANGE(""https://docs.google.com/spreadsheets/d/1uUP8Zo1-qaJLuIkRU0qlwLSE3DHkbdrrj2JGJiWBQZE/edit?usp=sharing"",""อำนาจเจริญ!J487"")"),50)</f>
        <v>50</v>
      </c>
      <c r="AD49" s="186">
        <f t="shared" ca="1" si="34"/>
        <v>100</v>
      </c>
      <c r="AE49" s="181">
        <f ca="1">IFERROR(__xludf.DUMMYFUNCTION("IMPORTRANGE(""https://docs.google.com/spreadsheets/d/1uUP8Zo1-qaJLuIkRU0qlwLSE3DHkbdrrj2JGJiWBQZE/edit?usp=sharing"",""อำนาจเจริญ!J488"")"),0)</f>
        <v>0</v>
      </c>
      <c r="AF49" s="181">
        <f ca="1">IFERROR(__xludf.DUMMYFUNCTION("IMPORTRANGE(""https://docs.google.com/spreadsheets/d/1uUP8Zo1-qaJLuIkRU0qlwLSE3DHkbdrrj2JGJiWBQZE/edit?usp=sharing"",""อำนาจเจริญ!I489"")"),5)</f>
        <v>5</v>
      </c>
      <c r="AG49" s="181">
        <f ca="1">IFERROR(__xludf.DUMMYFUNCTION("IMPORTRANGE(""https://docs.google.com/spreadsheets/d/1uUP8Zo1-qaJLuIkRU0qlwLSE3DHkbdrrj2JGJiWBQZE/edit?usp=sharing"",""อำนาจเจริญ!J489"")"),5)</f>
        <v>5</v>
      </c>
      <c r="AH49" s="186">
        <f t="shared" ca="1" si="35"/>
        <v>100</v>
      </c>
      <c r="AI49" s="181">
        <f ca="1">IFERROR(__xludf.DUMMYFUNCTION("IMPORTRANGE(""https://docs.google.com/spreadsheets/d/1uUP8Zo1-qaJLuIkRU0qlwLSE3DHkbdrrj2JGJiWBQZE/edit?usp=sharing"",""อำนาจเจริญ!J491"")"),0)</f>
        <v>0</v>
      </c>
      <c r="AJ49" s="181">
        <f ca="1">IFERROR(__xludf.DUMMYFUNCTION("IMPORTRANGE(""https://docs.google.com/spreadsheets/d/1uUP8Zo1-qaJLuIkRU0qlwLSE3DHkbdrrj2JGJiWBQZE/edit?usp=sharing"",""อำนาจเจริญ!I492"")"),1)</f>
        <v>1</v>
      </c>
      <c r="AK49" s="181">
        <f ca="1">IFERROR(__xludf.DUMMYFUNCTION("IMPORTRANGE(""https://docs.google.com/spreadsheets/d/1uUP8Zo1-qaJLuIkRU0qlwLSE3DHkbdrrj2JGJiWBQZE/edit?usp=sharing"",""อำนาจเจริญ!J492"")"),1)</f>
        <v>1</v>
      </c>
      <c r="AL49" s="186">
        <f t="shared" ca="1" si="36"/>
        <v>100</v>
      </c>
      <c r="AM49" s="181">
        <f ca="1">IFERROR(__xludf.DUMMYFUNCTION("IMPORTRANGE(""https://docs.google.com/spreadsheets/d/1uUP8Zo1-qaJLuIkRU0qlwLSE3DHkbdrrj2JGJiWBQZE/edit?usp=sharing"",""อำนาจเจริญ!I495"")"),450)</f>
        <v>450</v>
      </c>
      <c r="AN49" s="181">
        <f ca="1">IFERROR(__xludf.DUMMYFUNCTION("IMPORTRANGE(""https://docs.google.com/spreadsheets/d/1uUP8Zo1-qaJLuIkRU0qlwLSE3DHkbdrrj2JGJiWBQZE/edit?usp=sharing"",""อำนาจเจริญ!J495"")"),0)</f>
        <v>0</v>
      </c>
      <c r="AO49" s="186">
        <f t="shared" ca="1" si="37"/>
        <v>0</v>
      </c>
      <c r="AP49" s="181">
        <f ca="1">IFERROR(__xludf.DUMMYFUNCTION("IMPORTRANGE(""https://docs.google.com/spreadsheets/d/1uUP8Zo1-qaJLuIkRU0qlwLSE3DHkbdrrj2JGJiWBQZE/edit?usp=sharing"",""อำนาจเจริญ!J496"")"),0)</f>
        <v>0</v>
      </c>
      <c r="AQ49" s="181">
        <f ca="1">IFERROR(__xludf.DUMMYFUNCTION("IMPORTRANGE(""https://docs.google.com/spreadsheets/d/1uUP8Zo1-qaJLuIkRU0qlwLSE3DHkbdrrj2JGJiWBQZE/edit?usp=sharing"",""อำนาจเจริญ!I498"")"),50)</f>
        <v>50</v>
      </c>
      <c r="AR49" s="181">
        <f ca="1">IFERROR(__xludf.DUMMYFUNCTION("IMPORTRANGE(""https://docs.google.com/spreadsheets/d/1uUP8Zo1-qaJLuIkRU0qlwLSE3DHkbdrrj2JGJiWBQZE/edit?usp=sharing"",""อำนาจเจริญ!J498"")"),0)</f>
        <v>0</v>
      </c>
      <c r="AS49" s="186">
        <f t="shared" ca="1" si="38"/>
        <v>0</v>
      </c>
      <c r="AT49" s="181">
        <f ca="1">IFERROR(__xludf.DUMMYFUNCTION("IMPORTRANGE(""https://docs.google.com/spreadsheets/d/1uUP8Zo1-qaJLuIkRU0qlwLSE3DHkbdrrj2JGJiWBQZE/edit?usp=sharing"",""อำนาจเจริญ!J499"")"),0)</f>
        <v>0</v>
      </c>
    </row>
    <row r="50" spans="1:46" ht="21" customHeight="1" x14ac:dyDescent="0.3">
      <c r="A50" s="178">
        <v>19</v>
      </c>
      <c r="B50" s="179" t="s">
        <v>67</v>
      </c>
      <c r="C50" s="180">
        <f t="shared" ca="1" si="62"/>
        <v>1172208</v>
      </c>
      <c r="D50" s="181">
        <f ca="1">IFERROR(__xludf.DUMMYFUNCTION("IMPORTRANGE(""https://docs.google.com/spreadsheets/d/1hb_taSOHanzRjqfzWPiFo8yiT83VV1L7vvUCLhOiHKc/edit?usp=sharing"",""อุดรธานี!L472"")"),1172208)</f>
        <v>1172208</v>
      </c>
      <c r="E50" s="187">
        <f ca="1">IFERROR(__xludf.DUMMYFUNCTION("IMPORTRANGE(""https://docs.google.com/spreadsheets/d/1hb_taSOHanzRjqfzWPiFo8yiT83VV1L7vvUCLhOiHKc/edit?usp=sharing"",""อุดรธานี!L479"")"),0)</f>
        <v>0</v>
      </c>
      <c r="F50" s="182">
        <f t="shared" ca="1" si="1"/>
        <v>121681</v>
      </c>
      <c r="G50" s="183">
        <f t="shared" ca="1" si="2"/>
        <v>10.380495611700313</v>
      </c>
      <c r="H50" s="184">
        <f t="shared" ca="1" si="63"/>
        <v>121681</v>
      </c>
      <c r="I50" s="187">
        <f ca="1">IFERROR(__xludf.DUMMYFUNCTION("IMPORTRANGE(""https://docs.google.com/spreadsheets/d/1hb_taSOHanzRjqfzWPiFo8yiT83VV1L7vvUCLhOiHKc/edit?usp=sharing"",""อุดรธานี!N473"")"),33171)</f>
        <v>33171</v>
      </c>
      <c r="J50" s="187">
        <f ca="1">IFERROR(__xludf.DUMMYFUNCTION("IMPORTRANGE(""https://docs.google.com/spreadsheets/d/1hb_taSOHanzRjqfzWPiFo8yiT83VV1L7vvUCLhOiHKc/edit?usp=sharing"",""อุดรธานี!N474"")"),0)</f>
        <v>0</v>
      </c>
      <c r="K50" s="187">
        <f ca="1">IFERROR(__xludf.DUMMYFUNCTION("IMPORTRANGE(""https://docs.google.com/spreadsheets/d/1hb_taSOHanzRjqfzWPiFo8yiT83VV1L7vvUCLhOiHKc/edit?usp=sharing"",""อุดรธานี!N475"")"),52000)</f>
        <v>52000</v>
      </c>
      <c r="L50" s="187">
        <f ca="1">IFERROR(__xludf.DUMMYFUNCTION("IMPORTRANGE(""https://docs.google.com/spreadsheets/d/1hb_taSOHanzRjqfzWPiFo8yiT83VV1L7vvUCLhOiHKc/edit?usp=sharing"",""อุดรธานี!N476"")"),36510)</f>
        <v>36510</v>
      </c>
      <c r="M50" s="185">
        <f ca="1">IFERROR(__xludf.DUMMYFUNCTION("IMPORTRANGE(""https://docs.google.com/spreadsheets/d/1hb_taSOHanzRjqfzWPiFo8yiT83VV1L7vvUCLhOiHKc/edit?usp=sharing"",""อุดรธานี!N479"")"),0)</f>
        <v>0</v>
      </c>
      <c r="N50" s="185">
        <f t="shared" ca="1" si="41"/>
        <v>0</v>
      </c>
      <c r="O50" s="181">
        <f ca="1">IFERROR(__xludf.DUMMYFUNCTION("IMPORTRANGE(""https://docs.google.com/spreadsheets/d/1hb_taSOHanzRjqfzWPiFo8yiT83VV1L7vvUCLhOiHKc/edit?usp=sharing"",""อุดรธานี!I465"")"),131)</f>
        <v>131</v>
      </c>
      <c r="P50" s="181">
        <f ca="1">IFERROR(__xludf.DUMMYFUNCTION("IMPORTRANGE(""https://docs.google.com/spreadsheets/d/1hb_taSOHanzRjqfzWPiFo8yiT83VV1L7vvUCLhOiHKc/edit?usp=sharing"",""อุดรธานี!I466"")"),1300)</f>
        <v>1300</v>
      </c>
      <c r="Q50" s="181">
        <f ca="1">IFERROR(__xludf.DUMMYFUNCTION("IMPORTRANGE(""https://docs.google.com/spreadsheets/d/1hb_taSOHanzRjqfzWPiFo8yiT83VV1L7vvUCLhOiHKc/edit?usp=sharing"",""อุดรธานี!J465"")"),20)</f>
        <v>20</v>
      </c>
      <c r="R50" s="186">
        <f t="shared" ca="1" si="6"/>
        <v>15.267175572519085</v>
      </c>
      <c r="S50" s="181">
        <f ca="1">IFERROR(__xludf.DUMMYFUNCTION("IMPORTRANGE(""https://docs.google.com/spreadsheets/d/1hb_taSOHanzRjqfzWPiFo8yiT83VV1L7vvUCLhOiHKc/edit?usp=sharing"",""อุดรธานี!J466"")"),0)</f>
        <v>0</v>
      </c>
      <c r="T50" s="186">
        <f t="shared" ca="1" si="7"/>
        <v>0</v>
      </c>
      <c r="U50" s="181">
        <f ca="1">IFERROR(__xludf.DUMMYFUNCTION("IMPORTRANGE(""https://docs.google.com/spreadsheets/d/1hb_taSOHanzRjqfzWPiFo8yiT83VV1L7vvUCLhOiHKc/edit?usp=sharing"",""อุดรธานี!I483"")"),1170)</f>
        <v>1170</v>
      </c>
      <c r="V50" s="181">
        <f ca="1">IFERROR(__xludf.DUMMYFUNCTION("IMPORTRANGE(""https://docs.google.com/spreadsheets/d/1hb_taSOHanzRjqfzWPiFo8yiT83VV1L7vvUCLhOiHKc/edit?usp=sharing"",""อุดรธานี!J483"")"),0)</f>
        <v>0</v>
      </c>
      <c r="W50" s="186">
        <f t="shared" ca="1" si="32"/>
        <v>0</v>
      </c>
      <c r="X50" s="181">
        <f ca="1">IFERROR(__xludf.DUMMYFUNCTION("IMPORTRANGE(""https://docs.google.com/spreadsheets/d/1hb_taSOHanzRjqfzWPiFo8yiT83VV1L7vvUCLhOiHKc/edit?usp=sharing"",""อุดรธานี!J484"")"),0)</f>
        <v>0</v>
      </c>
      <c r="Y50" s="181">
        <f ca="1">IFERROR(__xludf.DUMMYFUNCTION("IMPORTRANGE(""https://docs.google.com/spreadsheets/d/1hb_taSOHanzRjqfzWPiFo8yiT83VV1L7vvUCLhOiHKc/edit?usp=sharing"",""อุดรธานี!I485"")"),117)</f>
        <v>117</v>
      </c>
      <c r="Z50" s="181">
        <f ca="1">IFERROR(__xludf.DUMMYFUNCTION("IMPORTRANGE(""https://docs.google.com/spreadsheets/d/1hb_taSOHanzRjqfzWPiFo8yiT83VV1L7vvUCLhOiHKc/edit?usp=sharing"",""อุดรธานี!J485"")"),0)</f>
        <v>0</v>
      </c>
      <c r="AA50" s="186">
        <f t="shared" ca="1" si="33"/>
        <v>0</v>
      </c>
      <c r="AB50" s="181">
        <f ca="1">IFERROR(__xludf.DUMMYFUNCTION("IMPORTRANGE(""https://docs.google.com/spreadsheets/d/1hb_taSOHanzRjqfzWPiFo8yiT83VV1L7vvUCLhOiHKc/edit?usp=sharing"",""อุดรธานี!I487"")"),130)</f>
        <v>130</v>
      </c>
      <c r="AC50" s="181">
        <f ca="1">IFERROR(__xludf.DUMMYFUNCTION("IMPORTRANGE(""https://docs.google.com/spreadsheets/d/1hb_taSOHanzRjqfzWPiFo8yiT83VV1L7vvUCLhOiHKc/edit?usp=sharing"",""อุดรธานี!J487"")"),130)</f>
        <v>130</v>
      </c>
      <c r="AD50" s="186">
        <f t="shared" ca="1" si="34"/>
        <v>100</v>
      </c>
      <c r="AE50" s="181">
        <f ca="1">IFERROR(__xludf.DUMMYFUNCTION("IMPORTRANGE(""https://docs.google.com/spreadsheets/d/1hb_taSOHanzRjqfzWPiFo8yiT83VV1L7vvUCLhOiHKc/edit?usp=sharing"",""อุดรธานี!J488"")"),0)</f>
        <v>0</v>
      </c>
      <c r="AF50" s="181">
        <f ca="1">IFERROR(__xludf.DUMMYFUNCTION("IMPORTRANGE(""https://docs.google.com/spreadsheets/d/1hb_taSOHanzRjqfzWPiFo8yiT83VV1L7vvUCLhOiHKc/edit?usp=sharing"",""อุดรธานี!I489"")"),13)</f>
        <v>13</v>
      </c>
      <c r="AG50" s="181">
        <f ca="1">IFERROR(__xludf.DUMMYFUNCTION("IMPORTRANGE(""https://docs.google.com/spreadsheets/d/1hb_taSOHanzRjqfzWPiFo8yiT83VV1L7vvUCLhOiHKc/edit?usp=sharing"",""อุดรธานี!J489"")"),20)</f>
        <v>20</v>
      </c>
      <c r="AH50" s="186">
        <f t="shared" ca="1" si="35"/>
        <v>153.84615384615384</v>
      </c>
      <c r="AI50" s="181">
        <f ca="1">IFERROR(__xludf.DUMMYFUNCTION("IMPORTRANGE(""https://docs.google.com/spreadsheets/d/1hb_taSOHanzRjqfzWPiFo8yiT83VV1L7vvUCLhOiHKc/edit?usp=sharing"",""อุดรธานี!J491"")"),0)</f>
        <v>0</v>
      </c>
      <c r="AJ50" s="181">
        <f ca="1">IFERROR(__xludf.DUMMYFUNCTION("IMPORTRANGE(""https://docs.google.com/spreadsheets/d/1hb_taSOHanzRjqfzWPiFo8yiT83VV1L7vvUCLhOiHKc/edit?usp=sharing"",""อุดรธานี!I492"")"),1)</f>
        <v>1</v>
      </c>
      <c r="AK50" s="181">
        <f ca="1">IFERROR(__xludf.DUMMYFUNCTION("IMPORTRANGE(""https://docs.google.com/spreadsheets/d/1hb_taSOHanzRjqfzWPiFo8yiT83VV1L7vvUCLhOiHKc/edit?usp=sharing"",""อุดรธานี!J492"")"),0)</f>
        <v>0</v>
      </c>
      <c r="AL50" s="186">
        <f t="shared" ca="1" si="36"/>
        <v>0</v>
      </c>
      <c r="AM50" s="181">
        <f ca="1">IFERROR(__xludf.DUMMYFUNCTION("IMPORTRANGE(""https://docs.google.com/spreadsheets/d/1hb_taSOHanzRjqfzWPiFo8yiT83VV1L7vvUCLhOiHKc/edit?usp=sharing"",""อุดรธานี!I495"")"),1170)</f>
        <v>1170</v>
      </c>
      <c r="AN50" s="181">
        <f ca="1">IFERROR(__xludf.DUMMYFUNCTION("IMPORTRANGE(""https://docs.google.com/spreadsheets/d/1hb_taSOHanzRjqfzWPiFo8yiT83VV1L7vvUCLhOiHKc/edit?usp=sharing"",""อุดรธานี!J495"")"),0)</f>
        <v>0</v>
      </c>
      <c r="AO50" s="186">
        <f t="shared" ca="1" si="37"/>
        <v>0</v>
      </c>
      <c r="AP50" s="181">
        <f ca="1">IFERROR(__xludf.DUMMYFUNCTION("IMPORTRANGE(""https://docs.google.com/spreadsheets/d/1hb_taSOHanzRjqfzWPiFo8yiT83VV1L7vvUCLhOiHKc/edit?usp=sharing"",""อุดรธานี!J496"")"),0)</f>
        <v>0</v>
      </c>
      <c r="AQ50" s="181">
        <f ca="1">IFERROR(__xludf.DUMMYFUNCTION("IMPORTRANGE(""https://docs.google.com/spreadsheets/d/1hb_taSOHanzRjqfzWPiFo8yiT83VV1L7vvUCLhOiHKc/edit?usp=sharing"",""อุดรธานี!I498"")"),130)</f>
        <v>130</v>
      </c>
      <c r="AR50" s="181">
        <f ca="1">IFERROR(__xludf.DUMMYFUNCTION("IMPORTRANGE(""https://docs.google.com/spreadsheets/d/1hb_taSOHanzRjqfzWPiFo8yiT83VV1L7vvUCLhOiHKc/edit?usp=sharing"",""อุดรธานี!J498"")"),0)</f>
        <v>0</v>
      </c>
      <c r="AS50" s="186">
        <f t="shared" ca="1" si="38"/>
        <v>0</v>
      </c>
      <c r="AT50" s="181">
        <f ca="1">IFERROR(__xludf.DUMMYFUNCTION("IMPORTRANGE(""https://docs.google.com/spreadsheets/d/1hb_taSOHanzRjqfzWPiFo8yiT83VV1L7vvUCLhOiHKc/edit?usp=sharing"",""อุดรธานี!J499"")"),0)</f>
        <v>0</v>
      </c>
    </row>
    <row r="51" spans="1:46" ht="21" customHeight="1" x14ac:dyDescent="0.3">
      <c r="A51" s="192">
        <v>20</v>
      </c>
      <c r="B51" s="193" t="s">
        <v>68</v>
      </c>
      <c r="C51" s="204">
        <f t="shared" ca="1" si="62"/>
        <v>1172698</v>
      </c>
      <c r="D51" s="202">
        <f ca="1">IFERROR(__xludf.DUMMYFUNCTION("IMPORTRANGE(""https://docs.google.com/spreadsheets/d/17IOkEwkUd63EGNfyNDnM5de9YlZ7rwzTiW6-dokVjKI/edit?usp=sharing"",""อุบลราชธานี!L472"")"),1172698)</f>
        <v>1172698</v>
      </c>
      <c r="E51" s="200">
        <f ca="1">IFERROR(__xludf.DUMMYFUNCTION("IMPORTRANGE(""https://docs.google.com/spreadsheets/d/17IOkEwkUd63EGNfyNDnM5de9YlZ7rwzTiW6-dokVjKI/edit?usp=sharing"",""อุบลราชธานี!L479"")"),0)</f>
        <v>0</v>
      </c>
      <c r="F51" s="197">
        <f t="shared" ca="1" si="1"/>
        <v>147142</v>
      </c>
      <c r="G51" s="205">
        <f t="shared" ca="1" si="2"/>
        <v>12.547305444368456</v>
      </c>
      <c r="H51" s="199">
        <f t="shared" ca="1" si="63"/>
        <v>147142</v>
      </c>
      <c r="I51" s="200">
        <f ca="1">IFERROR(__xludf.DUMMYFUNCTION("IMPORTRANGE(""https://docs.google.com/spreadsheets/d/17IOkEwkUd63EGNfyNDnM5de9YlZ7rwzTiW6-dokVjKI/edit?usp=sharing"",""อุบลราชธานี!N473"")"),72106)</f>
        <v>72106</v>
      </c>
      <c r="J51" s="200">
        <f ca="1">IFERROR(__xludf.DUMMYFUNCTION("IMPORTRANGE(""https://docs.google.com/spreadsheets/d/17IOkEwkUd63EGNfyNDnM5de9YlZ7rwzTiW6-dokVjKI/edit?usp=sharing"",""อุบลราชธานี!N474"")"),0)</f>
        <v>0</v>
      </c>
      <c r="K51" s="200">
        <f ca="1">IFERROR(__xludf.DUMMYFUNCTION("IMPORTRANGE(""https://docs.google.com/spreadsheets/d/17IOkEwkUd63EGNfyNDnM5de9YlZ7rwzTiW6-dokVjKI/edit?usp=sharing"",""อุบลราชธานี!N475"")"),52000)</f>
        <v>52000</v>
      </c>
      <c r="L51" s="200">
        <f ca="1">IFERROR(__xludf.DUMMYFUNCTION("IMPORTRANGE(""https://docs.google.com/spreadsheets/d/17IOkEwkUd63EGNfyNDnM5de9YlZ7rwzTiW6-dokVjKI/edit?usp=sharing"",""อุบลราชธานี!N476"")"),23036)</f>
        <v>23036</v>
      </c>
      <c r="M51" s="201">
        <f ca="1">IFERROR(__xludf.DUMMYFUNCTION("IMPORTRANGE(""https://docs.google.com/spreadsheets/d/17IOkEwkUd63EGNfyNDnM5de9YlZ7rwzTiW6-dokVjKI/edit?usp=sharing"",""อุบลราชธานี!N479"")"),0)</f>
        <v>0</v>
      </c>
      <c r="N51" s="201">
        <f t="shared" ca="1" si="41"/>
        <v>0</v>
      </c>
      <c r="O51" s="202">
        <f ca="1">IFERROR(__xludf.DUMMYFUNCTION("IMPORTRANGE(""https://docs.google.com/spreadsheets/d/17IOkEwkUd63EGNfyNDnM5de9YlZ7rwzTiW6-dokVjKI/edit?usp=sharing"",""อุบลราชธานี!I465"")"),131)</f>
        <v>131</v>
      </c>
      <c r="P51" s="202">
        <f ca="1">IFERROR(__xludf.DUMMYFUNCTION("IMPORTRANGE(""https://docs.google.com/spreadsheets/d/17IOkEwkUd63EGNfyNDnM5de9YlZ7rwzTiW6-dokVjKI/edit?usp=sharing"",""อุบลราชธานี!I466"")"),1300)</f>
        <v>1300</v>
      </c>
      <c r="Q51" s="202">
        <f ca="1">IFERROR(__xludf.DUMMYFUNCTION("IMPORTRANGE(""https://docs.google.com/spreadsheets/d/17IOkEwkUd63EGNfyNDnM5de9YlZ7rwzTiW6-dokVjKI/edit?usp=sharing"",""อุบลราชธานี!J465"")"),131)</f>
        <v>131</v>
      </c>
      <c r="R51" s="203">
        <f t="shared" ca="1" si="6"/>
        <v>100</v>
      </c>
      <c r="S51" s="202">
        <f ca="1">IFERROR(__xludf.DUMMYFUNCTION("IMPORTRANGE(""https://docs.google.com/spreadsheets/d/17IOkEwkUd63EGNfyNDnM5de9YlZ7rwzTiW6-dokVjKI/edit?usp=sharing"",""อุบลราชธานี!J466"")"),0)</f>
        <v>0</v>
      </c>
      <c r="T51" s="203">
        <f t="shared" ca="1" si="7"/>
        <v>0</v>
      </c>
      <c r="U51" s="202">
        <f ca="1">IFERROR(__xludf.DUMMYFUNCTION("IMPORTRANGE(""https://docs.google.com/spreadsheets/d/17IOkEwkUd63EGNfyNDnM5de9YlZ7rwzTiW6-dokVjKI/edit?usp=sharing"",""อุบลราชธานี!I483"")"),1170)</f>
        <v>1170</v>
      </c>
      <c r="V51" s="202">
        <f ca="1">IFERROR(__xludf.DUMMYFUNCTION("IMPORTRANGE(""https://docs.google.com/spreadsheets/d/17IOkEwkUd63EGNfyNDnM5de9YlZ7rwzTiW6-dokVjKI/edit?usp=sharing"",""อุบลราชธานี!J483"")"),1170)</f>
        <v>1170</v>
      </c>
      <c r="W51" s="203">
        <f t="shared" ca="1" si="32"/>
        <v>100</v>
      </c>
      <c r="X51" s="202">
        <f ca="1">IFERROR(__xludf.DUMMYFUNCTION("IMPORTRANGE(""https://docs.google.com/spreadsheets/d/17IOkEwkUd63EGNfyNDnM5de9YlZ7rwzTiW6-dokVjKI/edit?usp=sharing"",""อุบลราชธานี!J484"")"),117)</f>
        <v>117</v>
      </c>
      <c r="Y51" s="202">
        <f ca="1">IFERROR(__xludf.DUMMYFUNCTION("IMPORTRANGE(""https://docs.google.com/spreadsheets/d/17IOkEwkUd63EGNfyNDnM5de9YlZ7rwzTiW6-dokVjKI/edit?usp=sharing"",""อุบลราชธานี!I485"")"),117)</f>
        <v>117</v>
      </c>
      <c r="Z51" s="202">
        <f ca="1">IFERROR(__xludf.DUMMYFUNCTION("IMPORTRANGE(""https://docs.google.com/spreadsheets/d/17IOkEwkUd63EGNfyNDnM5de9YlZ7rwzTiW6-dokVjKI/edit?usp=sharing"",""อุบลราชธานี!J485"")"),117)</f>
        <v>117</v>
      </c>
      <c r="AA51" s="203">
        <f t="shared" ca="1" si="33"/>
        <v>100</v>
      </c>
      <c r="AB51" s="202">
        <f ca="1">IFERROR(__xludf.DUMMYFUNCTION("IMPORTRANGE(""https://docs.google.com/spreadsheets/d/17IOkEwkUd63EGNfyNDnM5de9YlZ7rwzTiW6-dokVjKI/edit?usp=sharing"",""อุบลราชธานี!I487"")"),130)</f>
        <v>130</v>
      </c>
      <c r="AC51" s="202">
        <f ca="1">IFERROR(__xludf.DUMMYFUNCTION("IMPORTRANGE(""https://docs.google.com/spreadsheets/d/17IOkEwkUd63EGNfyNDnM5de9YlZ7rwzTiW6-dokVjKI/edit?usp=sharing"",""อุบลราชธานี!J487"")"),130)</f>
        <v>130</v>
      </c>
      <c r="AD51" s="203">
        <f t="shared" ca="1" si="34"/>
        <v>100</v>
      </c>
      <c r="AE51" s="202">
        <f ca="1">IFERROR(__xludf.DUMMYFUNCTION("IMPORTRANGE(""https://docs.google.com/spreadsheets/d/17IOkEwkUd63EGNfyNDnM5de9YlZ7rwzTiW6-dokVjKI/edit?usp=sharing"",""อุบลราชธานี!J488"")"),13)</f>
        <v>13</v>
      </c>
      <c r="AF51" s="202">
        <f ca="1">IFERROR(__xludf.DUMMYFUNCTION("IMPORTRANGE(""https://docs.google.com/spreadsheets/d/17IOkEwkUd63EGNfyNDnM5de9YlZ7rwzTiW6-dokVjKI/edit?usp=sharing"",""อุบลราชธานี!I489"")"),13)</f>
        <v>13</v>
      </c>
      <c r="AG51" s="202">
        <f ca="1">IFERROR(__xludf.DUMMYFUNCTION("IMPORTRANGE(""https://docs.google.com/spreadsheets/d/17IOkEwkUd63EGNfyNDnM5de9YlZ7rwzTiW6-dokVjKI/edit?usp=sharing"",""อุบลราชธานี!J489"")"),13)</f>
        <v>13</v>
      </c>
      <c r="AH51" s="203">
        <f t="shared" ca="1" si="35"/>
        <v>100</v>
      </c>
      <c r="AI51" s="202">
        <f ca="1">IFERROR(__xludf.DUMMYFUNCTION("IMPORTRANGE(""https://docs.google.com/spreadsheets/d/17IOkEwkUd63EGNfyNDnM5de9YlZ7rwzTiW6-dokVjKI/edit?usp=sharing"",""อุบลราชธานี!J491"")"),1)</f>
        <v>1</v>
      </c>
      <c r="AJ51" s="202">
        <f ca="1">IFERROR(__xludf.DUMMYFUNCTION("IMPORTRANGE(""https://docs.google.com/spreadsheets/d/17IOkEwkUd63EGNfyNDnM5de9YlZ7rwzTiW6-dokVjKI/edit?usp=sharing"",""อุบลราชธานี!I492"")"),1)</f>
        <v>1</v>
      </c>
      <c r="AK51" s="202">
        <f ca="1">IFERROR(__xludf.DUMMYFUNCTION("IMPORTRANGE(""https://docs.google.com/spreadsheets/d/17IOkEwkUd63EGNfyNDnM5de9YlZ7rwzTiW6-dokVjKI/edit?usp=sharing"",""อุบลราชธานี!J492"")"),1)</f>
        <v>1</v>
      </c>
      <c r="AL51" s="203">
        <f t="shared" ca="1" si="36"/>
        <v>100</v>
      </c>
      <c r="AM51" s="202">
        <f ca="1">IFERROR(__xludf.DUMMYFUNCTION("IMPORTRANGE(""https://docs.google.com/spreadsheets/d/17IOkEwkUd63EGNfyNDnM5de9YlZ7rwzTiW6-dokVjKI/edit?usp=sharing"",""อุบลราชธานี!I495"")"),1170)</f>
        <v>1170</v>
      </c>
      <c r="AN51" s="202">
        <f ca="1">IFERROR(__xludf.DUMMYFUNCTION("IMPORTRANGE(""https://docs.google.com/spreadsheets/d/17IOkEwkUd63EGNfyNDnM5de9YlZ7rwzTiW6-dokVjKI/edit?usp=sharing"",""อุบลราชธานี!J495"")"),0)</f>
        <v>0</v>
      </c>
      <c r="AO51" s="203">
        <f t="shared" ca="1" si="37"/>
        <v>0</v>
      </c>
      <c r="AP51" s="202">
        <f ca="1">IFERROR(__xludf.DUMMYFUNCTION("IMPORTRANGE(""https://docs.google.com/spreadsheets/d/17IOkEwkUd63EGNfyNDnM5de9YlZ7rwzTiW6-dokVjKI/edit?usp=sharing"",""อุบลราชธานี!J496"")"),0)</f>
        <v>0</v>
      </c>
      <c r="AQ51" s="202">
        <f ca="1">IFERROR(__xludf.DUMMYFUNCTION("IMPORTRANGE(""https://docs.google.com/spreadsheets/d/17IOkEwkUd63EGNfyNDnM5de9YlZ7rwzTiW6-dokVjKI/edit?usp=sharing"",""อุบลราชธานี!I498"")"),130)</f>
        <v>130</v>
      </c>
      <c r="AR51" s="202">
        <f ca="1">IFERROR(__xludf.DUMMYFUNCTION("IMPORTRANGE(""https://docs.google.com/spreadsheets/d/17IOkEwkUd63EGNfyNDnM5de9YlZ7rwzTiW6-dokVjKI/edit?usp=sharing"",""อุบลราชธานี!J498"")"),0)</f>
        <v>0</v>
      </c>
      <c r="AS51" s="203">
        <f t="shared" ca="1" si="38"/>
        <v>0</v>
      </c>
      <c r="AT51" s="202">
        <f ca="1">IFERROR(__xludf.DUMMYFUNCTION("IMPORTRANGE(""https://docs.google.com/spreadsheets/d/17IOkEwkUd63EGNfyNDnM5de9YlZ7rwzTiW6-dokVjKI/edit?usp=sharing"",""อุบลราชธานี!J499"")"),0)</f>
        <v>0</v>
      </c>
    </row>
    <row r="52" spans="1:46" ht="21" customHeight="1" x14ac:dyDescent="0.3">
      <c r="A52" s="340" t="s">
        <v>69</v>
      </c>
      <c r="B52" s="339"/>
      <c r="C52" s="133">
        <f t="shared" ref="C52:E52" ca="1" si="64">SUM(C53:C73)</f>
        <v>7035480</v>
      </c>
      <c r="D52" s="158">
        <f t="shared" ca="1" si="64"/>
        <v>7035480</v>
      </c>
      <c r="E52" s="158">
        <f t="shared" ca="1" si="64"/>
        <v>0</v>
      </c>
      <c r="F52" s="159">
        <f t="shared" ca="1" si="1"/>
        <v>1060413.02</v>
      </c>
      <c r="G52" s="160">
        <f t="shared" ca="1" si="2"/>
        <v>15.072362084747594</v>
      </c>
      <c r="H52" s="159">
        <f t="shared" ref="H52:M52" ca="1" si="65">SUM(H53:H73)</f>
        <v>1060413.02</v>
      </c>
      <c r="I52" s="159">
        <f t="shared" ca="1" si="65"/>
        <v>771964</v>
      </c>
      <c r="J52" s="159">
        <f t="shared" ca="1" si="65"/>
        <v>9485</v>
      </c>
      <c r="K52" s="159">
        <f t="shared" ca="1" si="65"/>
        <v>134533.34</v>
      </c>
      <c r="L52" s="159">
        <f t="shared" ca="1" si="65"/>
        <v>144430.68</v>
      </c>
      <c r="M52" s="161">
        <f t="shared" ca="1" si="65"/>
        <v>0</v>
      </c>
      <c r="N52" s="161">
        <f t="shared" ca="1" si="41"/>
        <v>0</v>
      </c>
      <c r="O52" s="158">
        <f t="shared" ref="O52:Q52" ca="1" si="66">SUM(O53:O73)</f>
        <v>825</v>
      </c>
      <c r="P52" s="158">
        <f t="shared" ca="1" si="66"/>
        <v>8100</v>
      </c>
      <c r="Q52" s="159">
        <f t="shared" ca="1" si="66"/>
        <v>657</v>
      </c>
      <c r="R52" s="162">
        <f t="shared" ca="1" si="6"/>
        <v>79.63636363636364</v>
      </c>
      <c r="S52" s="159">
        <f ca="1">SUM(S53:S73)</f>
        <v>0</v>
      </c>
      <c r="T52" s="162">
        <f t="shared" ca="1" si="7"/>
        <v>0</v>
      </c>
      <c r="U52" s="158">
        <f t="shared" ref="U52:V52" ca="1" si="67">SUM(U53:U73)</f>
        <v>7290</v>
      </c>
      <c r="V52" s="159">
        <f t="shared" ca="1" si="67"/>
        <v>4090</v>
      </c>
      <c r="W52" s="162">
        <f t="shared" ca="1" si="32"/>
        <v>56.104252400548695</v>
      </c>
      <c r="X52" s="159">
        <f t="shared" ref="X52:Z52" ca="1" si="68">SUM(X53:X73)</f>
        <v>209</v>
      </c>
      <c r="Y52" s="158">
        <f t="shared" ca="1" si="68"/>
        <v>729</v>
      </c>
      <c r="Z52" s="159">
        <f t="shared" ca="1" si="68"/>
        <v>607</v>
      </c>
      <c r="AA52" s="162">
        <f t="shared" ca="1" si="33"/>
        <v>83.264746227709196</v>
      </c>
      <c r="AB52" s="158">
        <f t="shared" ref="AB52:AC52" ca="1" si="69">SUM(AB53:AB73)</f>
        <v>810</v>
      </c>
      <c r="AC52" s="159">
        <f t="shared" ca="1" si="69"/>
        <v>240</v>
      </c>
      <c r="AD52" s="162">
        <f t="shared" ca="1" si="34"/>
        <v>29.62962962962963</v>
      </c>
      <c r="AE52" s="159">
        <f t="shared" ref="AE52:AG52" ca="1" si="70">SUM(AE53:AE73)</f>
        <v>45</v>
      </c>
      <c r="AF52" s="158">
        <f t="shared" ca="1" si="70"/>
        <v>81</v>
      </c>
      <c r="AG52" s="159">
        <f t="shared" ca="1" si="70"/>
        <v>39</v>
      </c>
      <c r="AH52" s="162">
        <f t="shared" ca="1" si="35"/>
        <v>48.148148148148145</v>
      </c>
      <c r="AI52" s="159">
        <f t="shared" ref="AI52:AK52" ca="1" si="71">SUM(AI53:AI73)</f>
        <v>6</v>
      </c>
      <c r="AJ52" s="158">
        <f t="shared" ca="1" si="71"/>
        <v>15</v>
      </c>
      <c r="AK52" s="159">
        <f t="shared" ca="1" si="71"/>
        <v>11</v>
      </c>
      <c r="AL52" s="162">
        <f t="shared" ca="1" si="36"/>
        <v>73.333333333333329</v>
      </c>
      <c r="AM52" s="158">
        <f t="shared" ref="AM52:AN52" ca="1" si="72">SUM(AM53:AM73)</f>
        <v>7290</v>
      </c>
      <c r="AN52" s="159">
        <f t="shared" ca="1" si="72"/>
        <v>0</v>
      </c>
      <c r="AO52" s="162">
        <f t="shared" ca="1" si="37"/>
        <v>0</v>
      </c>
      <c r="AP52" s="159">
        <f t="shared" ref="AP52:AR52" ca="1" si="73">SUM(AP53:AP73)</f>
        <v>0</v>
      </c>
      <c r="AQ52" s="158">
        <f t="shared" ca="1" si="73"/>
        <v>810</v>
      </c>
      <c r="AR52" s="159">
        <f t="shared" ca="1" si="73"/>
        <v>0</v>
      </c>
      <c r="AS52" s="162">
        <f t="shared" ca="1" si="38"/>
        <v>0</v>
      </c>
      <c r="AT52" s="159">
        <f ca="1">SUM(AT53:AT73)</f>
        <v>0</v>
      </c>
    </row>
    <row r="53" spans="1:46" ht="21" customHeight="1" x14ac:dyDescent="0.3">
      <c r="A53" s="178">
        <v>1</v>
      </c>
      <c r="B53" s="179" t="s">
        <v>70</v>
      </c>
      <c r="C53" s="180">
        <f t="shared" ref="C53:C73" ca="1" si="74">D53+E53</f>
        <v>1166838</v>
      </c>
      <c r="D53" s="181">
        <f ca="1">IFERROR(__xludf.DUMMYFUNCTION("IMPORTRANGE(""https://docs.google.com/spreadsheets/d/1hKO5uv94SSRZWOvrh72HRcpyoEQF9TsE_Cvxl77XNU4/edit?usp=sharing"",""กาญจนบุรี!L472"")"),1166838)</f>
        <v>1166838</v>
      </c>
      <c r="E53" s="181">
        <f ca="1">IFERROR(__xludf.DUMMYFUNCTION("IMPORTRANGE(""https://docs.google.com/spreadsheets/d/1hKO5uv94SSRZWOvrh72HRcpyoEQF9TsE_Cvxl77XNU4/edit?usp=sharing"",""กาญจนบุรี!L479"")"),0)</f>
        <v>0</v>
      </c>
      <c r="F53" s="182">
        <f t="shared" ca="1" si="1"/>
        <v>238091</v>
      </c>
      <c r="G53" s="183">
        <f t="shared" ca="1" si="2"/>
        <v>20.404803408870812</v>
      </c>
      <c r="H53" s="184">
        <f t="shared" ref="H53:H73" ca="1" si="75">I53+J53+K53+L53</f>
        <v>238091</v>
      </c>
      <c r="I53" s="181">
        <f ca="1">IFERROR(__xludf.DUMMYFUNCTION("IMPORTRANGE(""https://docs.google.com/spreadsheets/d/1hKO5uv94SSRZWOvrh72HRcpyoEQF9TsE_Cvxl77XNU4/edit?usp=sharing"",""กาญจนบุรี!N473"")"),160021)</f>
        <v>160021</v>
      </c>
      <c r="J53" s="181">
        <f ca="1">IFERROR(__xludf.DUMMYFUNCTION("IMPORTRANGE(""https://docs.google.com/spreadsheets/d/1hKO5uv94SSRZWOvrh72HRcpyoEQF9TsE_Cvxl77XNU4/edit?usp=sharing"",""กาญจนบุรี!N474"")"),0)</f>
        <v>0</v>
      </c>
      <c r="K53" s="181">
        <f ca="1">IFERROR(__xludf.DUMMYFUNCTION("IMPORTRANGE(""https://docs.google.com/spreadsheets/d/1hKO5uv94SSRZWOvrh72HRcpyoEQF9TsE_Cvxl77XNU4/edit?usp=sharing"",""กาญจนบุรี!N475"")"),52000)</f>
        <v>52000</v>
      </c>
      <c r="L53" s="181">
        <f ca="1">IFERROR(__xludf.DUMMYFUNCTION("IMPORTRANGE(""https://docs.google.com/spreadsheets/d/1hKO5uv94SSRZWOvrh72HRcpyoEQF9TsE_Cvxl77XNU4/edit?usp=sharing"",""กาญจนบุรี!N476"")"),26070)</f>
        <v>26070</v>
      </c>
      <c r="M53" s="185">
        <f ca="1">IFERROR(__xludf.DUMMYFUNCTION("IMPORTRANGE(""https://docs.google.com/spreadsheets/d/1hKO5uv94SSRZWOvrh72HRcpyoEQF9TsE_Cvxl77XNU4/edit?usp=sharing"",""กาญจนบุรี!N479"")"),0)</f>
        <v>0</v>
      </c>
      <c r="N53" s="185">
        <f t="shared" ca="1" si="41"/>
        <v>0</v>
      </c>
      <c r="O53" s="181">
        <f ca="1">IFERROR(__xludf.DUMMYFUNCTION("IMPORTRANGE(""https://docs.google.com/spreadsheets/d/1hKO5uv94SSRZWOvrh72HRcpyoEQF9TsE_Cvxl77XNU4/edit?usp=sharing"",""กาญจนบุรี!I465"")"),131)</f>
        <v>131</v>
      </c>
      <c r="P53" s="181">
        <f ca="1">IFERROR(__xludf.DUMMYFUNCTION("IMPORTRANGE(""https://docs.google.com/spreadsheets/d/1hKO5uv94SSRZWOvrh72HRcpyoEQF9TsE_Cvxl77XNU4/edit?usp=sharing"",""กาญจนบุรี!I466"")"),1300)</f>
        <v>1300</v>
      </c>
      <c r="Q53" s="181">
        <f ca="1">IFERROR(__xludf.DUMMYFUNCTION("IMPORTRANGE(""https://docs.google.com/spreadsheets/d/1hKO5uv94SSRZWOvrh72HRcpyoEQF9TsE_Cvxl77XNU4/edit?usp=sharing"",""กาญจนบุรี!J465"")"),131)</f>
        <v>131</v>
      </c>
      <c r="R53" s="186">
        <f t="shared" ca="1" si="6"/>
        <v>100</v>
      </c>
      <c r="S53" s="181">
        <f ca="1">IFERROR(__xludf.DUMMYFUNCTION("IMPORTRANGE(""https://docs.google.com/spreadsheets/d/1hKO5uv94SSRZWOvrh72HRcpyoEQF9TsE_Cvxl77XNU4/edit?usp=sharing"",""กาญจนบุรี!J466"")"),0)</f>
        <v>0</v>
      </c>
      <c r="T53" s="186">
        <f t="shared" ca="1" si="7"/>
        <v>0</v>
      </c>
      <c r="U53" s="181">
        <f ca="1">IFERROR(__xludf.DUMMYFUNCTION("IMPORTRANGE(""https://docs.google.com/spreadsheets/d/1hKO5uv94SSRZWOvrh72HRcpyoEQF9TsE_Cvxl77XNU4/edit?usp=sharing"",""กาญจนบุรี!I483"")"),1170)</f>
        <v>1170</v>
      </c>
      <c r="V53" s="181">
        <f ca="1">IFERROR(__xludf.DUMMYFUNCTION("IMPORTRANGE(""https://docs.google.com/spreadsheets/d/1hKO5uv94SSRZWOvrh72HRcpyoEQF9TsE_Cvxl77XNU4/edit?usp=sharing"",""กาญจนบุรี!J483"")"),1300)</f>
        <v>1300</v>
      </c>
      <c r="W53" s="186">
        <f t="shared" ca="1" si="32"/>
        <v>111.11111111111111</v>
      </c>
      <c r="X53" s="181">
        <f ca="1">IFERROR(__xludf.DUMMYFUNCTION("IMPORTRANGE(""https://docs.google.com/spreadsheets/d/1hKO5uv94SSRZWOvrh72HRcpyoEQF9TsE_Cvxl77XNU4/edit?usp=sharing"",""กาญจนบุรี!J484"")"),0)</f>
        <v>0</v>
      </c>
      <c r="Y53" s="181">
        <f ca="1">IFERROR(__xludf.DUMMYFUNCTION("IMPORTRANGE(""https://docs.google.com/spreadsheets/d/1hKO5uv94SSRZWOvrh72HRcpyoEQF9TsE_Cvxl77XNU4/edit?usp=sharing"",""กาญจนบุรี!I485"")"),117)</f>
        <v>117</v>
      </c>
      <c r="Z53" s="181">
        <f ca="1">IFERROR(__xludf.DUMMYFUNCTION("IMPORTRANGE(""https://docs.google.com/spreadsheets/d/1hKO5uv94SSRZWOvrh72HRcpyoEQF9TsE_Cvxl77XNU4/edit?usp=sharing"",""กาญจนบุรี!J485"")"),130)</f>
        <v>130</v>
      </c>
      <c r="AA53" s="186">
        <f t="shared" ca="1" si="33"/>
        <v>111.11111111111111</v>
      </c>
      <c r="AB53" s="181">
        <f ca="1">IFERROR(__xludf.DUMMYFUNCTION("IMPORTRANGE(""https://docs.google.com/spreadsheets/d/1hKO5uv94SSRZWOvrh72HRcpyoEQF9TsE_Cvxl77XNU4/edit?usp=sharing"",""กาญจนบุรี!I487"")"),130)</f>
        <v>130</v>
      </c>
      <c r="AC53" s="181">
        <f ca="1">IFERROR(__xludf.DUMMYFUNCTION("IMPORTRANGE(""https://docs.google.com/spreadsheets/d/1hKO5uv94SSRZWOvrh72HRcpyoEQF9TsE_Cvxl77XNU4/edit?usp=sharing"",""กาญจนบุรี!J487"")"),0)</f>
        <v>0</v>
      </c>
      <c r="AD53" s="186">
        <f t="shared" ca="1" si="34"/>
        <v>0</v>
      </c>
      <c r="AE53" s="181">
        <f ca="1">IFERROR(__xludf.DUMMYFUNCTION("IMPORTRANGE(""https://docs.google.com/spreadsheets/d/1hKO5uv94SSRZWOvrh72HRcpyoEQF9TsE_Cvxl77XNU4/edit?usp=sharing"",""กาญจนบุรี!J488"")"),0)</f>
        <v>0</v>
      </c>
      <c r="AF53" s="181">
        <f ca="1">IFERROR(__xludf.DUMMYFUNCTION("IMPORTRANGE(""https://docs.google.com/spreadsheets/d/1hKO5uv94SSRZWOvrh72HRcpyoEQF9TsE_Cvxl77XNU4/edit?usp=sharing"",""กาญจนบุรี!I489"")"),13)</f>
        <v>13</v>
      </c>
      <c r="AG53" s="181">
        <f ca="1">IFERROR(__xludf.DUMMYFUNCTION("IMPORTRANGE(""https://docs.google.com/spreadsheets/d/1hKO5uv94SSRZWOvrh72HRcpyoEQF9TsE_Cvxl77XNU4/edit?usp=sharing"",""กาญจนบุรี!J489"")"),0)</f>
        <v>0</v>
      </c>
      <c r="AH53" s="186">
        <f t="shared" ca="1" si="35"/>
        <v>0</v>
      </c>
      <c r="AI53" s="181">
        <f ca="1">IFERROR(__xludf.DUMMYFUNCTION("IMPORTRANGE(""https://docs.google.com/spreadsheets/d/1hKO5uv94SSRZWOvrh72HRcpyoEQF9TsE_Cvxl77XNU4/edit?usp=sharing"",""กาญจนบุรี!J491"")"),0)</f>
        <v>0</v>
      </c>
      <c r="AJ53" s="181">
        <f ca="1">IFERROR(__xludf.DUMMYFUNCTION("IMPORTRANGE(""https://docs.google.com/spreadsheets/d/1hKO5uv94SSRZWOvrh72HRcpyoEQF9TsE_Cvxl77XNU4/edit?usp=sharing"",""กาญจนบุรี!I492"")"),1)</f>
        <v>1</v>
      </c>
      <c r="AK53" s="181">
        <f ca="1">IFERROR(__xludf.DUMMYFUNCTION("IMPORTRANGE(""https://docs.google.com/spreadsheets/d/1hKO5uv94SSRZWOvrh72HRcpyoEQF9TsE_Cvxl77XNU4/edit?usp=sharing"",""กาญจนบุรี!J492"")"),1)</f>
        <v>1</v>
      </c>
      <c r="AL53" s="186">
        <f t="shared" ca="1" si="36"/>
        <v>100</v>
      </c>
      <c r="AM53" s="181">
        <f ca="1">IFERROR(__xludf.DUMMYFUNCTION("IMPORTRANGE(""https://docs.google.com/spreadsheets/d/1hKO5uv94SSRZWOvrh72HRcpyoEQF9TsE_Cvxl77XNU4/edit?usp=sharing"",""กาญจนบุรี!I495"")"),1170)</f>
        <v>1170</v>
      </c>
      <c r="AN53" s="181">
        <f ca="1">IFERROR(__xludf.DUMMYFUNCTION("IMPORTRANGE(""https://docs.google.com/spreadsheets/d/1hKO5uv94SSRZWOvrh72HRcpyoEQF9TsE_Cvxl77XNU4/edit?usp=sharing"",""กาญจนบุรี!J495"")"),0)</f>
        <v>0</v>
      </c>
      <c r="AO53" s="186">
        <f t="shared" ca="1" si="37"/>
        <v>0</v>
      </c>
      <c r="AP53" s="181">
        <f ca="1">IFERROR(__xludf.DUMMYFUNCTION("IMPORTRANGE(""https://docs.google.com/spreadsheets/d/1hKO5uv94SSRZWOvrh72HRcpyoEQF9TsE_Cvxl77XNU4/edit?usp=sharing"",""กาญจนบุรี!J496"")"),0)</f>
        <v>0</v>
      </c>
      <c r="AQ53" s="181">
        <f ca="1">IFERROR(__xludf.DUMMYFUNCTION("IMPORTRANGE(""https://docs.google.com/spreadsheets/d/1hKO5uv94SSRZWOvrh72HRcpyoEQF9TsE_Cvxl77XNU4/edit?usp=sharing"",""กาญจนบุรี!I498"")"),130)</f>
        <v>130</v>
      </c>
      <c r="AR53" s="181">
        <f ca="1">IFERROR(__xludf.DUMMYFUNCTION("IMPORTRANGE(""https://docs.google.com/spreadsheets/d/1hKO5uv94SSRZWOvrh72HRcpyoEQF9TsE_Cvxl77XNU4/edit?usp=sharing"",""กาญจนบุรี!J498"")"),0)</f>
        <v>0</v>
      </c>
      <c r="AS53" s="186">
        <f t="shared" ca="1" si="38"/>
        <v>0</v>
      </c>
      <c r="AT53" s="181">
        <f ca="1">IFERROR(__xludf.DUMMYFUNCTION("IMPORTRANGE(""https://docs.google.com/spreadsheets/d/1hKO5uv94SSRZWOvrh72HRcpyoEQF9TsE_Cvxl77XNU4/edit?usp=sharing"",""กาญจนบุรี!J499"")"),0)</f>
        <v>0</v>
      </c>
    </row>
    <row r="54" spans="1:46" ht="21" customHeight="1" x14ac:dyDescent="0.3">
      <c r="A54" s="178">
        <v>2</v>
      </c>
      <c r="B54" s="179" t="s">
        <v>71</v>
      </c>
      <c r="C54" s="180">
        <f t="shared" ca="1" si="74"/>
        <v>410113</v>
      </c>
      <c r="D54" s="181">
        <f ca="1">IFERROR(__xludf.DUMMYFUNCTION("IMPORTRANGE(""https://docs.google.com/spreadsheets/d/1njBaP_xXd-Uotvo2D9zb01TTCFkLJLDK97Tk1l9Qux0/edit?usp=sharing"",""จันทบุรี!L472"")"),410113)</f>
        <v>410113</v>
      </c>
      <c r="E54" s="187">
        <f ca="1">IFERROR(__xludf.DUMMYFUNCTION("IMPORTRANGE(""https://docs.google.com/spreadsheets/d/1njBaP_xXd-Uotvo2D9zb01TTCFkLJLDK97Tk1l9Qux0/edit?usp=sharing"",""จันทบุรี!L479"")"),0)</f>
        <v>0</v>
      </c>
      <c r="F54" s="182">
        <f t="shared" ca="1" si="1"/>
        <v>13630</v>
      </c>
      <c r="G54" s="183">
        <f t="shared" ca="1" si="2"/>
        <v>3.3234742619717004</v>
      </c>
      <c r="H54" s="184">
        <f t="shared" ca="1" si="75"/>
        <v>13630</v>
      </c>
      <c r="I54" s="187">
        <f ca="1">IFERROR(__xludf.DUMMYFUNCTION("IMPORTRANGE(""https://docs.google.com/spreadsheets/d/1njBaP_xXd-Uotvo2D9zb01TTCFkLJLDK97Tk1l9Qux0/edit?usp=sharing"",""จันทบุรี!N473"")"),6940)</f>
        <v>6940</v>
      </c>
      <c r="J54" s="187">
        <f ca="1">IFERROR(__xludf.DUMMYFUNCTION("IMPORTRANGE(""https://docs.google.com/spreadsheets/d/1njBaP_xXd-Uotvo2D9zb01TTCFkLJLDK97Tk1l9Qux0/edit?usp=sharing"",""จันทบุรี!N474"")"),0)</f>
        <v>0</v>
      </c>
      <c r="K54" s="187">
        <f ca="1">IFERROR(__xludf.DUMMYFUNCTION("IMPORTRANGE(""https://docs.google.com/spreadsheets/d/1njBaP_xXd-Uotvo2D9zb01TTCFkLJLDK97Tk1l9Qux0/edit?usp=sharing"",""จันทบุรี!N475"")"),0)</f>
        <v>0</v>
      </c>
      <c r="L54" s="187">
        <f ca="1">IFERROR(__xludf.DUMMYFUNCTION("IMPORTRANGE(""https://docs.google.com/spreadsheets/d/1njBaP_xXd-Uotvo2D9zb01TTCFkLJLDK97Tk1l9Qux0/edit?usp=sharing"",""จันทบุรี!N476"")"),6690)</f>
        <v>6690</v>
      </c>
      <c r="M54" s="185">
        <f ca="1">IFERROR(__xludf.DUMMYFUNCTION("IMPORTRANGE(""https://docs.google.com/spreadsheets/d/1njBaP_xXd-Uotvo2D9zb01TTCFkLJLDK97Tk1l9Qux0/edit?usp=sharing"",""จันทบุรี!N479"")"),0)</f>
        <v>0</v>
      </c>
      <c r="N54" s="185">
        <f t="shared" ca="1" si="41"/>
        <v>0</v>
      </c>
      <c r="O54" s="181">
        <f ca="1">IFERROR(__xludf.DUMMYFUNCTION("IMPORTRANGE(""https://docs.google.com/spreadsheets/d/1njBaP_xXd-Uotvo2D9zb01TTCFkLJLDK97Tk1l9Qux0/edit?usp=sharing"",""จันทบุรี!I465"")"),51)</f>
        <v>51</v>
      </c>
      <c r="P54" s="181">
        <f ca="1">IFERROR(__xludf.DUMMYFUNCTION("IMPORTRANGE(""https://docs.google.com/spreadsheets/d/1njBaP_xXd-Uotvo2D9zb01TTCFkLJLDK97Tk1l9Qux0/edit?usp=sharing"",""จันทบุรี!I466"")"),500)</f>
        <v>500</v>
      </c>
      <c r="Q54" s="181">
        <f ca="1">IFERROR(__xludf.DUMMYFUNCTION("IMPORTRANGE(""https://docs.google.com/spreadsheets/d/1njBaP_xXd-Uotvo2D9zb01TTCFkLJLDK97Tk1l9Qux0/edit?usp=sharing"",""จันทบุรี!J465"")"),62)</f>
        <v>62</v>
      </c>
      <c r="R54" s="186">
        <f t="shared" ca="1" si="6"/>
        <v>121.56862745098039</v>
      </c>
      <c r="S54" s="181">
        <f ca="1">IFERROR(__xludf.DUMMYFUNCTION("IMPORTRANGE(""https://docs.google.com/spreadsheets/d/1njBaP_xXd-Uotvo2D9zb01TTCFkLJLDK97Tk1l9Qux0/edit?usp=sharing"",""จันทบุรี!J466"")"),0)</f>
        <v>0</v>
      </c>
      <c r="T54" s="186">
        <f t="shared" ca="1" si="7"/>
        <v>0</v>
      </c>
      <c r="U54" s="181">
        <f ca="1">IFERROR(__xludf.DUMMYFUNCTION("IMPORTRANGE(""https://docs.google.com/spreadsheets/d/1njBaP_xXd-Uotvo2D9zb01TTCFkLJLDK97Tk1l9Qux0/edit?usp=sharing"",""จันทบุรี!I483"")"),450)</f>
        <v>450</v>
      </c>
      <c r="V54" s="181">
        <f ca="1">IFERROR(__xludf.DUMMYFUNCTION("IMPORTRANGE(""https://docs.google.com/spreadsheets/d/1njBaP_xXd-Uotvo2D9zb01TTCFkLJLDK97Tk1l9Qux0/edit?usp=sharing"",""จันทบุรี!J483"")"),450)</f>
        <v>450</v>
      </c>
      <c r="W54" s="186">
        <f t="shared" ca="1" si="32"/>
        <v>100</v>
      </c>
      <c r="X54" s="181">
        <f ca="1">IFERROR(__xludf.DUMMYFUNCTION("IMPORTRANGE(""https://docs.google.com/spreadsheets/d/1njBaP_xXd-Uotvo2D9zb01TTCFkLJLDK97Tk1l9Qux0/edit?usp=sharing"",""จันทบุรี!J484"")"),0)</f>
        <v>0</v>
      </c>
      <c r="Y54" s="181">
        <f ca="1">IFERROR(__xludf.DUMMYFUNCTION("IMPORTRANGE(""https://docs.google.com/spreadsheets/d/1njBaP_xXd-Uotvo2D9zb01TTCFkLJLDK97Tk1l9Qux0/edit?usp=sharing"",""จันทบุรี!I485"")"),45)</f>
        <v>45</v>
      </c>
      <c r="Z54" s="181">
        <f ca="1">IFERROR(__xludf.DUMMYFUNCTION("IMPORTRANGE(""https://docs.google.com/spreadsheets/d/1njBaP_xXd-Uotvo2D9zb01TTCFkLJLDK97Tk1l9Qux0/edit?usp=sharing"",""จันทบุรี!J485"")"),61)</f>
        <v>61</v>
      </c>
      <c r="AA54" s="186">
        <f t="shared" ca="1" si="33"/>
        <v>135.55555555555554</v>
      </c>
      <c r="AB54" s="181">
        <f ca="1">IFERROR(__xludf.DUMMYFUNCTION("IMPORTRANGE(""https://docs.google.com/spreadsheets/d/1njBaP_xXd-Uotvo2D9zb01TTCFkLJLDK97Tk1l9Qux0/edit?usp=sharing"",""จันทบุรี!I487"")"),50)</f>
        <v>50</v>
      </c>
      <c r="AC54" s="181">
        <f ca="1">IFERROR(__xludf.DUMMYFUNCTION("IMPORTRANGE(""https://docs.google.com/spreadsheets/d/1njBaP_xXd-Uotvo2D9zb01TTCFkLJLDK97Tk1l9Qux0/edit?usp=sharing"",""จันทบุรี!J487"")"),0)</f>
        <v>0</v>
      </c>
      <c r="AD54" s="186">
        <f t="shared" ca="1" si="34"/>
        <v>0</v>
      </c>
      <c r="AE54" s="181">
        <f ca="1">IFERROR(__xludf.DUMMYFUNCTION("IMPORTRANGE(""https://docs.google.com/spreadsheets/d/1njBaP_xXd-Uotvo2D9zb01TTCFkLJLDK97Tk1l9Qux0/edit?usp=sharing"",""จันทบุรี!J488"")"),0)</f>
        <v>0</v>
      </c>
      <c r="AF54" s="181">
        <f ca="1">IFERROR(__xludf.DUMMYFUNCTION("IMPORTRANGE(""https://docs.google.com/spreadsheets/d/1njBaP_xXd-Uotvo2D9zb01TTCFkLJLDK97Tk1l9Qux0/edit?usp=sharing"",""จันทบุรี!I489"")"),5)</f>
        <v>5</v>
      </c>
      <c r="AG54" s="181">
        <f ca="1">IFERROR(__xludf.DUMMYFUNCTION("IMPORTRANGE(""https://docs.google.com/spreadsheets/d/1njBaP_xXd-Uotvo2D9zb01TTCFkLJLDK97Tk1l9Qux0/edit?usp=sharing"",""จันทบุรี!J489"")"),0)</f>
        <v>0</v>
      </c>
      <c r="AH54" s="186">
        <f t="shared" ca="1" si="35"/>
        <v>0</v>
      </c>
      <c r="AI54" s="181">
        <f ca="1">IFERROR(__xludf.DUMMYFUNCTION("IMPORTRANGE(""https://docs.google.com/spreadsheets/d/1njBaP_xXd-Uotvo2D9zb01TTCFkLJLDK97Tk1l9Qux0/edit?usp=sharing"",""จันทบุรี!J491"")"),0)</f>
        <v>0</v>
      </c>
      <c r="AJ54" s="181">
        <f ca="1">IFERROR(__xludf.DUMMYFUNCTION("IMPORTRANGE(""https://docs.google.com/spreadsheets/d/1njBaP_xXd-Uotvo2D9zb01TTCFkLJLDK97Tk1l9Qux0/edit?usp=sharing"",""จันทบุรี!I492"")"),1)</f>
        <v>1</v>
      </c>
      <c r="AK54" s="181">
        <f ca="1">IFERROR(__xludf.DUMMYFUNCTION("IMPORTRANGE(""https://docs.google.com/spreadsheets/d/1njBaP_xXd-Uotvo2D9zb01TTCFkLJLDK97Tk1l9Qux0/edit?usp=sharing"",""จันทบุรี!J492"")"),1)</f>
        <v>1</v>
      </c>
      <c r="AL54" s="186">
        <f t="shared" ca="1" si="36"/>
        <v>100</v>
      </c>
      <c r="AM54" s="181">
        <f ca="1">IFERROR(__xludf.DUMMYFUNCTION("IMPORTRANGE(""https://docs.google.com/spreadsheets/d/1njBaP_xXd-Uotvo2D9zb01TTCFkLJLDK97Tk1l9Qux0/edit?usp=sharing"",""จันทบุรี!I495"")"),450)</f>
        <v>450</v>
      </c>
      <c r="AN54" s="181">
        <f ca="1">IFERROR(__xludf.DUMMYFUNCTION("IMPORTRANGE(""https://docs.google.com/spreadsheets/d/1njBaP_xXd-Uotvo2D9zb01TTCFkLJLDK97Tk1l9Qux0/edit?usp=sharing"",""จันทบุรี!J495"")"),0)</f>
        <v>0</v>
      </c>
      <c r="AO54" s="186">
        <f t="shared" ca="1" si="37"/>
        <v>0</v>
      </c>
      <c r="AP54" s="181">
        <f ca="1">IFERROR(__xludf.DUMMYFUNCTION("IMPORTRANGE(""https://docs.google.com/spreadsheets/d/1njBaP_xXd-Uotvo2D9zb01TTCFkLJLDK97Tk1l9Qux0/edit?usp=sharing"",""จันทบุรี!J496"")"),0)</f>
        <v>0</v>
      </c>
      <c r="AQ54" s="181">
        <f ca="1">IFERROR(__xludf.DUMMYFUNCTION("IMPORTRANGE(""https://docs.google.com/spreadsheets/d/1njBaP_xXd-Uotvo2D9zb01TTCFkLJLDK97Tk1l9Qux0/edit?usp=sharing"",""จันทบุรี!I498"")"),50)</f>
        <v>50</v>
      </c>
      <c r="AR54" s="181">
        <f ca="1">IFERROR(__xludf.DUMMYFUNCTION("IMPORTRANGE(""https://docs.google.com/spreadsheets/d/1njBaP_xXd-Uotvo2D9zb01TTCFkLJLDK97Tk1l9Qux0/edit?usp=sharing"",""จันทบุรี!J498"")"),0)</f>
        <v>0</v>
      </c>
      <c r="AS54" s="186">
        <f t="shared" ca="1" si="38"/>
        <v>0</v>
      </c>
      <c r="AT54" s="181">
        <f ca="1">IFERROR(__xludf.DUMMYFUNCTION("IMPORTRANGE(""https://docs.google.com/spreadsheets/d/1njBaP_xXd-Uotvo2D9zb01TTCFkLJLDK97Tk1l9Qux0/edit?usp=sharing"",""จันทบุรี!J499"")"),0)</f>
        <v>0</v>
      </c>
    </row>
    <row r="55" spans="1:46" ht="21" customHeight="1" x14ac:dyDescent="0.3">
      <c r="A55" s="178">
        <v>3</v>
      </c>
      <c r="B55" s="179" t="s">
        <v>72</v>
      </c>
      <c r="C55" s="188">
        <f t="shared" ca="1" si="74"/>
        <v>1166418</v>
      </c>
      <c r="D55" s="189">
        <f ca="1">IFERROR(__xludf.DUMMYFUNCTION("IMPORTRANGE(""https://docs.google.com/spreadsheets/d/14xp6qUzrGFnUk_qnc1eEmfiaNRd4_grkhpfQH_46fa8/edit?usp=sharing"",""ฉะเชิงเทรา!L472"")"),1166418)</f>
        <v>1166418</v>
      </c>
      <c r="E55" s="190">
        <f ca="1">IFERROR(__xludf.DUMMYFUNCTION("IMPORTRANGE(""https://docs.google.com/spreadsheets/d/14xp6qUzrGFnUk_qnc1eEmfiaNRd4_grkhpfQH_46fa8/edit?usp=sharing"",""ฉะเชิงเทรา!L479"")"),0)</f>
        <v>0</v>
      </c>
      <c r="F55" s="182">
        <f t="shared" ca="1" si="1"/>
        <v>224950.34</v>
      </c>
      <c r="G55" s="191">
        <f t="shared" ca="1" si="2"/>
        <v>19.285568295413821</v>
      </c>
      <c r="H55" s="184">
        <f t="shared" ca="1" si="75"/>
        <v>224950.34</v>
      </c>
      <c r="I55" s="187">
        <f ca="1">IFERROR(__xludf.DUMMYFUNCTION("IMPORTRANGE(""https://docs.google.com/spreadsheets/d/14xp6qUzrGFnUk_qnc1eEmfiaNRd4_grkhpfQH_46fa8/edit?usp=sharing"",""ฉะเชิงเทรา!N473"")"),149065)</f>
        <v>149065</v>
      </c>
      <c r="J55" s="187">
        <f ca="1">IFERROR(__xludf.DUMMYFUNCTION("IMPORTRANGE(""https://docs.google.com/spreadsheets/d/14xp6qUzrGFnUk_qnc1eEmfiaNRd4_grkhpfQH_46fa8/edit?usp=sharing"",""ฉะเชิงเทรา!N474"")"),0)</f>
        <v>0</v>
      </c>
      <c r="K55" s="187">
        <f ca="1">IFERROR(__xludf.DUMMYFUNCTION("IMPORTRANGE(""https://docs.google.com/spreadsheets/d/14xp6qUzrGFnUk_qnc1eEmfiaNRd4_grkhpfQH_46fa8/edit?usp=sharing"",""ฉะเชิงเทรา!N475"")"),51133.34)</f>
        <v>51133.34</v>
      </c>
      <c r="L55" s="187">
        <f ca="1">IFERROR(__xludf.DUMMYFUNCTION("IMPORTRANGE(""https://docs.google.com/spreadsheets/d/14xp6qUzrGFnUk_qnc1eEmfiaNRd4_grkhpfQH_46fa8/edit?usp=sharing"",""ฉะเชิงเทรา!N476"")"),24752)</f>
        <v>24752</v>
      </c>
      <c r="M55" s="185">
        <f ca="1">IFERROR(__xludf.DUMMYFUNCTION("IMPORTRANGE(""https://docs.google.com/spreadsheets/d/14xp6qUzrGFnUk_qnc1eEmfiaNRd4_grkhpfQH_46fa8/edit?usp=sharing"",""ฉะเชิงเทรา!N479"")"),0)</f>
        <v>0</v>
      </c>
      <c r="N55" s="185">
        <f t="shared" ca="1" si="41"/>
        <v>0</v>
      </c>
      <c r="O55" s="189">
        <f ca="1">IFERROR(__xludf.DUMMYFUNCTION("IMPORTRANGE(""https://docs.google.com/spreadsheets/d/14xp6qUzrGFnUk_qnc1eEmfiaNRd4_grkhpfQH_46fa8/edit?usp=sharing"",""ฉะเชิงเทรา!I465"")"),131)</f>
        <v>131</v>
      </c>
      <c r="P55" s="189">
        <f ca="1">IFERROR(__xludf.DUMMYFUNCTION("IMPORTRANGE(""https://docs.google.com/spreadsheets/d/14xp6qUzrGFnUk_qnc1eEmfiaNRd4_grkhpfQH_46fa8/edit?usp=sharing"",""ฉะเชิงเทรา!I466"")"),1300)</f>
        <v>1300</v>
      </c>
      <c r="Q55" s="181">
        <f ca="1">IFERROR(__xludf.DUMMYFUNCTION("IMPORTRANGE(""https://docs.google.com/spreadsheets/d/14xp6qUzrGFnUk_qnc1eEmfiaNRd4_grkhpfQH_46fa8/edit?usp=sharing"",""ฉะเชิงเทรา!J465"")"),131)</f>
        <v>131</v>
      </c>
      <c r="R55" s="186">
        <f t="shared" ca="1" si="6"/>
        <v>100</v>
      </c>
      <c r="S55" s="181">
        <f ca="1">IFERROR(__xludf.DUMMYFUNCTION("IMPORTRANGE(""https://docs.google.com/spreadsheets/d/14xp6qUzrGFnUk_qnc1eEmfiaNRd4_grkhpfQH_46fa8/edit?usp=sharing"",""ฉะเชิงเทรา!J466"")"),0)</f>
        <v>0</v>
      </c>
      <c r="T55" s="186">
        <f t="shared" ca="1" si="7"/>
        <v>0</v>
      </c>
      <c r="U55" s="189">
        <f ca="1">IFERROR(__xludf.DUMMYFUNCTION("IMPORTRANGE(""https://docs.google.com/spreadsheets/d/14xp6qUzrGFnUk_qnc1eEmfiaNRd4_grkhpfQH_46fa8/edit?usp=sharing"",""ฉะเชิงเทรา!I483"")"),1170)</f>
        <v>1170</v>
      </c>
      <c r="V55" s="181">
        <f ca="1">IFERROR(__xludf.DUMMYFUNCTION("IMPORTRANGE(""https://docs.google.com/spreadsheets/d/14xp6qUzrGFnUk_qnc1eEmfiaNRd4_grkhpfQH_46fa8/edit?usp=sharing"",""ฉะเชิงเทรา!J483"")"),0)</f>
        <v>0</v>
      </c>
      <c r="W55" s="186">
        <f t="shared" ca="1" si="32"/>
        <v>0</v>
      </c>
      <c r="X55" s="181">
        <f ca="1">IFERROR(__xludf.DUMMYFUNCTION("IMPORTRANGE(""https://docs.google.com/spreadsheets/d/14xp6qUzrGFnUk_qnc1eEmfiaNRd4_grkhpfQH_46fa8/edit?usp=sharing"",""ฉะเชิงเทรา!J484"")"),117)</f>
        <v>117</v>
      </c>
      <c r="Y55" s="189">
        <f ca="1">IFERROR(__xludf.DUMMYFUNCTION("IMPORTRANGE(""https://docs.google.com/spreadsheets/d/14xp6qUzrGFnUk_qnc1eEmfiaNRd4_grkhpfQH_46fa8/edit?usp=sharing"",""ฉะเชิงเทรา!I485"")"),117)</f>
        <v>117</v>
      </c>
      <c r="Z55" s="181">
        <f ca="1">IFERROR(__xludf.DUMMYFUNCTION("IMPORTRANGE(""https://docs.google.com/spreadsheets/d/14xp6qUzrGFnUk_qnc1eEmfiaNRd4_grkhpfQH_46fa8/edit?usp=sharing"",""ฉะเชิงเทรา!J485"")"),117)</f>
        <v>117</v>
      </c>
      <c r="AA55" s="186">
        <f t="shared" ca="1" si="33"/>
        <v>100</v>
      </c>
      <c r="AB55" s="189">
        <f ca="1">IFERROR(__xludf.DUMMYFUNCTION("IMPORTRANGE(""https://docs.google.com/spreadsheets/d/14xp6qUzrGFnUk_qnc1eEmfiaNRd4_grkhpfQH_46fa8/edit?usp=sharing"",""ฉะเชิงเทรา!I487"")"),130)</f>
        <v>130</v>
      </c>
      <c r="AC55" s="181">
        <f ca="1">IFERROR(__xludf.DUMMYFUNCTION("IMPORTRANGE(""https://docs.google.com/spreadsheets/d/14xp6qUzrGFnUk_qnc1eEmfiaNRd4_grkhpfQH_46fa8/edit?usp=sharing"",""ฉะเชิงเทรา!J487"")"),0)</f>
        <v>0</v>
      </c>
      <c r="AD55" s="186">
        <f t="shared" ca="1" si="34"/>
        <v>0</v>
      </c>
      <c r="AE55" s="181">
        <f ca="1">IFERROR(__xludf.DUMMYFUNCTION("IMPORTRANGE(""https://docs.google.com/spreadsheets/d/14xp6qUzrGFnUk_qnc1eEmfiaNRd4_grkhpfQH_46fa8/edit?usp=sharing"",""ฉะเชิงเทรา!J488"")"),13)</f>
        <v>13</v>
      </c>
      <c r="AF55" s="189">
        <f ca="1">IFERROR(__xludf.DUMMYFUNCTION("IMPORTRANGE(""https://docs.google.com/spreadsheets/d/14xp6qUzrGFnUk_qnc1eEmfiaNRd4_grkhpfQH_46fa8/edit?usp=sharing"",""ฉะเชิงเทรา!I489"")"),13)</f>
        <v>13</v>
      </c>
      <c r="AG55" s="181">
        <f ca="1">IFERROR(__xludf.DUMMYFUNCTION("IMPORTRANGE(""https://docs.google.com/spreadsheets/d/14xp6qUzrGFnUk_qnc1eEmfiaNRd4_grkhpfQH_46fa8/edit?usp=sharing"",""ฉะเชิงเทรา!J489"")"),13)</f>
        <v>13</v>
      </c>
      <c r="AH55" s="186">
        <f t="shared" ca="1" si="35"/>
        <v>100</v>
      </c>
      <c r="AI55" s="181">
        <f ca="1">IFERROR(__xludf.DUMMYFUNCTION("IMPORTRANGE(""https://docs.google.com/spreadsheets/d/14xp6qUzrGFnUk_qnc1eEmfiaNRd4_grkhpfQH_46fa8/edit?usp=sharing"",""ฉะเชิงเทรา!J491"")"),1)</f>
        <v>1</v>
      </c>
      <c r="AJ55" s="189">
        <f ca="1">IFERROR(__xludf.DUMMYFUNCTION("IMPORTRANGE(""https://docs.google.com/spreadsheets/d/14xp6qUzrGFnUk_qnc1eEmfiaNRd4_grkhpfQH_46fa8/edit?usp=sharing"",""ฉะเชิงเทรา!I492"")"),1)</f>
        <v>1</v>
      </c>
      <c r="AK55" s="181">
        <f ca="1">IFERROR(__xludf.DUMMYFUNCTION("IMPORTRANGE(""https://docs.google.com/spreadsheets/d/14xp6qUzrGFnUk_qnc1eEmfiaNRd4_grkhpfQH_46fa8/edit?usp=sharing"",""ฉะเชิงเทรา!J492"")"),1)</f>
        <v>1</v>
      </c>
      <c r="AL55" s="186">
        <f t="shared" ca="1" si="36"/>
        <v>100</v>
      </c>
      <c r="AM55" s="189">
        <f ca="1">IFERROR(__xludf.DUMMYFUNCTION("IMPORTRANGE(""https://docs.google.com/spreadsheets/d/14xp6qUzrGFnUk_qnc1eEmfiaNRd4_grkhpfQH_46fa8/edit?usp=sharing"",""ฉะเชิงเทรา!I495"")"),1170)</f>
        <v>1170</v>
      </c>
      <c r="AN55" s="181">
        <f ca="1">IFERROR(__xludf.DUMMYFUNCTION("IMPORTRANGE(""https://docs.google.com/spreadsheets/d/14xp6qUzrGFnUk_qnc1eEmfiaNRd4_grkhpfQH_46fa8/edit?usp=sharing"",""ฉะเชิงเทรา!J495"")"),0)</f>
        <v>0</v>
      </c>
      <c r="AO55" s="186">
        <f t="shared" ca="1" si="37"/>
        <v>0</v>
      </c>
      <c r="AP55" s="181">
        <f ca="1">IFERROR(__xludf.DUMMYFUNCTION("IMPORTRANGE(""https://docs.google.com/spreadsheets/d/14xp6qUzrGFnUk_qnc1eEmfiaNRd4_grkhpfQH_46fa8/edit?usp=sharing"",""ฉะเชิงเทรา!J496"")"),0)</f>
        <v>0</v>
      </c>
      <c r="AQ55" s="189">
        <f ca="1">IFERROR(__xludf.DUMMYFUNCTION("IMPORTRANGE(""https://docs.google.com/spreadsheets/d/14xp6qUzrGFnUk_qnc1eEmfiaNRd4_grkhpfQH_46fa8/edit?usp=sharing"",""ฉะเชิงเทรา!I498"")"),130)</f>
        <v>130</v>
      </c>
      <c r="AR55" s="181">
        <f ca="1">IFERROR(__xludf.DUMMYFUNCTION("IMPORTRANGE(""https://docs.google.com/spreadsheets/d/14xp6qUzrGFnUk_qnc1eEmfiaNRd4_grkhpfQH_46fa8/edit?usp=sharing"",""ฉะเชิงเทรา!J498"")"),0)</f>
        <v>0</v>
      </c>
      <c r="AS55" s="186">
        <f t="shared" ca="1" si="38"/>
        <v>0</v>
      </c>
      <c r="AT55" s="181">
        <f ca="1">IFERROR(__xludf.DUMMYFUNCTION("IMPORTRANGE(""https://docs.google.com/spreadsheets/d/14xp6qUzrGFnUk_qnc1eEmfiaNRd4_grkhpfQH_46fa8/edit?usp=sharing"",""ฉะเชิงเทรา!J499"")"),0)</f>
        <v>0</v>
      </c>
    </row>
    <row r="56" spans="1:46" ht="21" customHeight="1" x14ac:dyDescent="0.3">
      <c r="A56" s="178">
        <v>4</v>
      </c>
      <c r="B56" s="179" t="s">
        <v>73</v>
      </c>
      <c r="C56" s="180">
        <f t="shared" ca="1" si="74"/>
        <v>332943</v>
      </c>
      <c r="D56" s="181">
        <f ca="1">IFERROR(__xludf.DUMMYFUNCTION("IMPORTRANGE(""https://docs.google.com/spreadsheets/d/1_Zwps30dlVa-pZFsorjVf1Pil6WXwzCsJU0U2whO3NI/edit?usp=sharing"",""ชลบุรี!L472"")"),332943)</f>
        <v>332943</v>
      </c>
      <c r="E56" s="187">
        <f ca="1">IFERROR(__xludf.DUMMYFUNCTION("IMPORTRANGE(""https://docs.google.com/spreadsheets/d/1_Zwps30dlVa-pZFsorjVf1Pil6WXwzCsJU0U2whO3NI/edit?usp=sharing"",""ชลบุรี!L479"")"),0)</f>
        <v>0</v>
      </c>
      <c r="F56" s="182">
        <f t="shared" ca="1" si="1"/>
        <v>5265</v>
      </c>
      <c r="G56" s="183">
        <f t="shared" ca="1" si="2"/>
        <v>1.5813517629143727</v>
      </c>
      <c r="H56" s="184">
        <f t="shared" ca="1" si="75"/>
        <v>5265</v>
      </c>
      <c r="I56" s="187">
        <f ca="1">IFERROR(__xludf.DUMMYFUNCTION("IMPORTRANGE(""https://docs.google.com/spreadsheets/d/1_Zwps30dlVa-pZFsorjVf1Pil6WXwzCsJU0U2whO3NI/edit?usp=sharing"",""ชลบุรี!N473"")"),0)</f>
        <v>0</v>
      </c>
      <c r="J56" s="187">
        <f ca="1">IFERROR(__xludf.DUMMYFUNCTION("IMPORTRANGE(""https://docs.google.com/spreadsheets/d/1_Zwps30dlVa-pZFsorjVf1Pil6WXwzCsJU0U2whO3NI/edit?usp=sharing"",""ชลบุรี!N474"")"),0)</f>
        <v>0</v>
      </c>
      <c r="K56" s="187">
        <f ca="1">IFERROR(__xludf.DUMMYFUNCTION("IMPORTRANGE(""https://docs.google.com/spreadsheets/d/1_Zwps30dlVa-pZFsorjVf1Pil6WXwzCsJU0U2whO3NI/edit?usp=sharing"",""ชลบุรี!N475"")"),0)</f>
        <v>0</v>
      </c>
      <c r="L56" s="187">
        <f ca="1">IFERROR(__xludf.DUMMYFUNCTION("IMPORTRANGE(""https://docs.google.com/spreadsheets/d/1_Zwps30dlVa-pZFsorjVf1Pil6WXwzCsJU0U2whO3NI/edit?usp=sharing"",""ชลบุรี!N476"")"),5265)</f>
        <v>5265</v>
      </c>
      <c r="M56" s="185">
        <f ca="1">IFERROR(__xludf.DUMMYFUNCTION("IMPORTRANGE(""https://docs.google.com/spreadsheets/d/1_Zwps30dlVa-pZFsorjVf1Pil6WXwzCsJU0U2whO3NI/edit?usp=sharing"",""ชลบุรี!N479"")"),0)</f>
        <v>0</v>
      </c>
      <c r="N56" s="185">
        <f t="shared" ca="1" si="41"/>
        <v>0</v>
      </c>
      <c r="O56" s="181">
        <f ca="1">IFERROR(__xludf.DUMMYFUNCTION("IMPORTRANGE(""https://docs.google.com/spreadsheets/d/1_Zwps30dlVa-pZFsorjVf1Pil6WXwzCsJU0U2whO3NI/edit?usp=sharing"",""ชลบุรี!I465"")"),41)</f>
        <v>41</v>
      </c>
      <c r="P56" s="181">
        <f ca="1">IFERROR(__xludf.DUMMYFUNCTION("IMPORTRANGE(""https://docs.google.com/spreadsheets/d/1_Zwps30dlVa-pZFsorjVf1Pil6WXwzCsJU0U2whO3NI/edit?usp=sharing"",""ชลบุรี!I466"")"),400)</f>
        <v>400</v>
      </c>
      <c r="Q56" s="181">
        <f ca="1">IFERROR(__xludf.DUMMYFUNCTION("IMPORTRANGE(""https://docs.google.com/spreadsheets/d/1_Zwps30dlVa-pZFsorjVf1Pil6WXwzCsJU0U2whO3NI/edit?usp=sharing"",""ชลบุรี!J465"")"),0)</f>
        <v>0</v>
      </c>
      <c r="R56" s="186">
        <f t="shared" ca="1" si="6"/>
        <v>0</v>
      </c>
      <c r="S56" s="181">
        <f ca="1">IFERROR(__xludf.DUMMYFUNCTION("IMPORTRANGE(""https://docs.google.com/spreadsheets/d/1_Zwps30dlVa-pZFsorjVf1Pil6WXwzCsJU0U2whO3NI/edit?usp=sharing"",""ชลบุรี!J466"")"),0)</f>
        <v>0</v>
      </c>
      <c r="T56" s="186">
        <f t="shared" ca="1" si="7"/>
        <v>0</v>
      </c>
      <c r="U56" s="181">
        <f ca="1">IFERROR(__xludf.DUMMYFUNCTION("IMPORTRANGE(""https://docs.google.com/spreadsheets/d/1_Zwps30dlVa-pZFsorjVf1Pil6WXwzCsJU0U2whO3NI/edit?usp=sharing"",""ชลบุรี!I483"")"),360)</f>
        <v>360</v>
      </c>
      <c r="V56" s="181">
        <f ca="1">IFERROR(__xludf.DUMMYFUNCTION("IMPORTRANGE(""https://docs.google.com/spreadsheets/d/1_Zwps30dlVa-pZFsorjVf1Pil6WXwzCsJU0U2whO3NI/edit?usp=sharing"",""ชลบุรี!J483"")"),0)</f>
        <v>0</v>
      </c>
      <c r="W56" s="186">
        <f t="shared" ca="1" si="32"/>
        <v>0</v>
      </c>
      <c r="X56" s="181">
        <f ca="1">IFERROR(__xludf.DUMMYFUNCTION("IMPORTRANGE(""https://docs.google.com/spreadsheets/d/1_Zwps30dlVa-pZFsorjVf1Pil6WXwzCsJU0U2whO3NI/edit?usp=sharing"",""ชลบุรี!J484"")"),0)</f>
        <v>0</v>
      </c>
      <c r="Y56" s="181">
        <f ca="1">IFERROR(__xludf.DUMMYFUNCTION("IMPORTRANGE(""https://docs.google.com/spreadsheets/d/1_Zwps30dlVa-pZFsorjVf1Pil6WXwzCsJU0U2whO3NI/edit?usp=sharing"",""ชลบุรี!I485"")"),36)</f>
        <v>36</v>
      </c>
      <c r="Z56" s="181">
        <f ca="1">IFERROR(__xludf.DUMMYFUNCTION("IMPORTRANGE(""https://docs.google.com/spreadsheets/d/1_Zwps30dlVa-pZFsorjVf1Pil6WXwzCsJU0U2whO3NI/edit?usp=sharing"",""ชลบุรี!J485"")"),0)</f>
        <v>0</v>
      </c>
      <c r="AA56" s="186">
        <f t="shared" ca="1" si="33"/>
        <v>0</v>
      </c>
      <c r="AB56" s="181">
        <f ca="1">IFERROR(__xludf.DUMMYFUNCTION("IMPORTRANGE(""https://docs.google.com/spreadsheets/d/1_Zwps30dlVa-pZFsorjVf1Pil6WXwzCsJU0U2whO3NI/edit?usp=sharing"",""ชลบุรี!I487"")"),40)</f>
        <v>40</v>
      </c>
      <c r="AC56" s="181">
        <f ca="1">IFERROR(__xludf.DUMMYFUNCTION("IMPORTRANGE(""https://docs.google.com/spreadsheets/d/1_Zwps30dlVa-pZFsorjVf1Pil6WXwzCsJU0U2whO3NI/edit?usp=sharing"",""ชลบุรี!J487"")"),0)</f>
        <v>0</v>
      </c>
      <c r="AD56" s="186">
        <f t="shared" ca="1" si="34"/>
        <v>0</v>
      </c>
      <c r="AE56" s="181">
        <f ca="1">IFERROR(__xludf.DUMMYFUNCTION("IMPORTRANGE(""https://docs.google.com/spreadsheets/d/1_Zwps30dlVa-pZFsorjVf1Pil6WXwzCsJU0U2whO3NI/edit?usp=sharing"",""ชลบุรี!J488"")"),0)</f>
        <v>0</v>
      </c>
      <c r="AF56" s="181">
        <f ca="1">IFERROR(__xludf.DUMMYFUNCTION("IMPORTRANGE(""https://docs.google.com/spreadsheets/d/1_Zwps30dlVa-pZFsorjVf1Pil6WXwzCsJU0U2whO3NI/edit?usp=sharing"",""ชลบุรี!I489"")"),4)</f>
        <v>4</v>
      </c>
      <c r="AG56" s="181">
        <f ca="1">IFERROR(__xludf.DUMMYFUNCTION("IMPORTRANGE(""https://docs.google.com/spreadsheets/d/1_Zwps30dlVa-pZFsorjVf1Pil6WXwzCsJU0U2whO3NI/edit?usp=sharing"",""ชลบุรี!J489"")"),0)</f>
        <v>0</v>
      </c>
      <c r="AH56" s="186">
        <f t="shared" ca="1" si="35"/>
        <v>0</v>
      </c>
      <c r="AI56" s="181">
        <f ca="1">IFERROR(__xludf.DUMMYFUNCTION("IMPORTRANGE(""https://docs.google.com/spreadsheets/d/1_Zwps30dlVa-pZFsorjVf1Pil6WXwzCsJU0U2whO3NI/edit?usp=sharing"",""ชลบุรี!J491"")"),0)</f>
        <v>0</v>
      </c>
      <c r="AJ56" s="181">
        <f ca="1">IFERROR(__xludf.DUMMYFUNCTION("IMPORTRANGE(""https://docs.google.com/spreadsheets/d/1_Zwps30dlVa-pZFsorjVf1Pil6WXwzCsJU0U2whO3NI/edit?usp=sharing"",""ชลบุรี!I492"")"),1)</f>
        <v>1</v>
      </c>
      <c r="AK56" s="181">
        <f ca="1">IFERROR(__xludf.DUMMYFUNCTION("IMPORTRANGE(""https://docs.google.com/spreadsheets/d/1_Zwps30dlVa-pZFsorjVf1Pil6WXwzCsJU0U2whO3NI/edit?usp=sharing"",""ชลบุรี!J492"")"),0)</f>
        <v>0</v>
      </c>
      <c r="AL56" s="186">
        <f t="shared" ca="1" si="36"/>
        <v>0</v>
      </c>
      <c r="AM56" s="181">
        <f ca="1">IFERROR(__xludf.DUMMYFUNCTION("IMPORTRANGE(""https://docs.google.com/spreadsheets/d/1_Zwps30dlVa-pZFsorjVf1Pil6WXwzCsJU0U2whO3NI/edit?usp=sharing"",""ชลบุรี!I495"")"),360)</f>
        <v>360</v>
      </c>
      <c r="AN56" s="181">
        <f ca="1">IFERROR(__xludf.DUMMYFUNCTION("IMPORTRANGE(""https://docs.google.com/spreadsheets/d/1_Zwps30dlVa-pZFsorjVf1Pil6WXwzCsJU0U2whO3NI/edit?usp=sharing"",""ชลบุรี!J495"")"),0)</f>
        <v>0</v>
      </c>
      <c r="AO56" s="186">
        <f t="shared" ca="1" si="37"/>
        <v>0</v>
      </c>
      <c r="AP56" s="181">
        <f ca="1">IFERROR(__xludf.DUMMYFUNCTION("IMPORTRANGE(""https://docs.google.com/spreadsheets/d/1_Zwps30dlVa-pZFsorjVf1Pil6WXwzCsJU0U2whO3NI/edit?usp=sharing"",""ชลบุรี!J496"")"),0)</f>
        <v>0</v>
      </c>
      <c r="AQ56" s="181">
        <f ca="1">IFERROR(__xludf.DUMMYFUNCTION("IMPORTRANGE(""https://docs.google.com/spreadsheets/d/1_Zwps30dlVa-pZFsorjVf1Pil6WXwzCsJU0U2whO3NI/edit?usp=sharing"",""ชลบุรี!I498"")"),40)</f>
        <v>40</v>
      </c>
      <c r="AR56" s="181">
        <f ca="1">IFERROR(__xludf.DUMMYFUNCTION("IMPORTRANGE(""https://docs.google.com/spreadsheets/d/1_Zwps30dlVa-pZFsorjVf1Pil6WXwzCsJU0U2whO3NI/edit?usp=sharing"",""ชลบุรี!J498"")"),0)</f>
        <v>0</v>
      </c>
      <c r="AS56" s="186">
        <f t="shared" ca="1" si="38"/>
        <v>0</v>
      </c>
      <c r="AT56" s="181">
        <f ca="1">IFERROR(__xludf.DUMMYFUNCTION("IMPORTRANGE(""https://docs.google.com/spreadsheets/d/1_Zwps30dlVa-pZFsorjVf1Pil6WXwzCsJU0U2whO3NI/edit?usp=sharing"",""ชลบุรี!J499"")"),0)</f>
        <v>0</v>
      </c>
    </row>
    <row r="57" spans="1:46" ht="21" customHeight="1" x14ac:dyDescent="0.3">
      <c r="A57" s="178">
        <v>5</v>
      </c>
      <c r="B57" s="179" t="s">
        <v>74</v>
      </c>
      <c r="C57" s="180">
        <f t="shared" ca="1" si="74"/>
        <v>179763</v>
      </c>
      <c r="D57" s="181">
        <f ca="1">IFERROR(__xludf.DUMMYFUNCTION("IMPORTRANGE(""https://docs.google.com/spreadsheets/d/1xAsT4sUbBlom7l0acStESh_15nvjZcXjZM7fK5uZSq8/edit?usp=sharing"",""ชัยนาท!L472"")"),179763)</f>
        <v>179763</v>
      </c>
      <c r="E57" s="187">
        <f ca="1">IFERROR(__xludf.DUMMYFUNCTION("IMPORTRANGE(""https://docs.google.com/spreadsheets/d/1xAsT4sUbBlom7l0acStESh_15nvjZcXjZM7fK5uZSq8/edit?usp=sharing"",""ชัยนาท!L479"")"),0)</f>
        <v>0</v>
      </c>
      <c r="F57" s="182">
        <f t="shared" ca="1" si="1"/>
        <v>41195</v>
      </c>
      <c r="G57" s="183">
        <f t="shared" ca="1" si="2"/>
        <v>22.916284218665687</v>
      </c>
      <c r="H57" s="184">
        <f t="shared" ca="1" si="75"/>
        <v>41195</v>
      </c>
      <c r="I57" s="187">
        <f ca="1">IFERROR(__xludf.DUMMYFUNCTION("IMPORTRANGE(""https://docs.google.com/spreadsheets/d/1xAsT4sUbBlom7l0acStESh_15nvjZcXjZM7fK5uZSq8/edit?usp=sharing"",""ชัยนาท!N473"")"),25780)</f>
        <v>25780</v>
      </c>
      <c r="J57" s="187">
        <f ca="1">IFERROR(__xludf.DUMMYFUNCTION("IMPORTRANGE(""https://docs.google.com/spreadsheets/d/1xAsT4sUbBlom7l0acStESh_15nvjZcXjZM7fK5uZSq8/edit?usp=sharing"",""ชัยนาท!N474"")"),5485)</f>
        <v>5485</v>
      </c>
      <c r="K57" s="187">
        <f ca="1">IFERROR(__xludf.DUMMYFUNCTION("IMPORTRANGE(""https://docs.google.com/spreadsheets/d/1xAsT4sUbBlom7l0acStESh_15nvjZcXjZM7fK5uZSq8/edit?usp=sharing"",""ชัยนาท!N475"")"),3000)</f>
        <v>3000</v>
      </c>
      <c r="L57" s="187">
        <f ca="1">IFERROR(__xludf.DUMMYFUNCTION("IMPORTRANGE(""https://docs.google.com/spreadsheets/d/1xAsT4sUbBlom7l0acStESh_15nvjZcXjZM7fK5uZSq8/edit?usp=sharing"",""ชัยนาท!N476"")"),6930)</f>
        <v>6930</v>
      </c>
      <c r="M57" s="185">
        <f ca="1">IFERROR(__xludf.DUMMYFUNCTION("IMPORTRANGE(""https://docs.google.com/spreadsheets/d/1xAsT4sUbBlom7l0acStESh_15nvjZcXjZM7fK5uZSq8/edit?usp=sharing"",""ชัยนาท!N479"")"),0)</f>
        <v>0</v>
      </c>
      <c r="N57" s="185">
        <f t="shared" ca="1" si="41"/>
        <v>0</v>
      </c>
      <c r="O57" s="181">
        <f ca="1">IFERROR(__xludf.DUMMYFUNCTION("IMPORTRANGE(""https://docs.google.com/spreadsheets/d/1xAsT4sUbBlom7l0acStESh_15nvjZcXjZM7fK5uZSq8/edit?usp=sharing"",""ชัยนาท!I465"")"),21)</f>
        <v>21</v>
      </c>
      <c r="P57" s="181">
        <f ca="1">IFERROR(__xludf.DUMMYFUNCTION("IMPORTRANGE(""https://docs.google.com/spreadsheets/d/1xAsT4sUbBlom7l0acStESh_15nvjZcXjZM7fK5uZSq8/edit?usp=sharing"",""ชัยนาท!I466"")"),200)</f>
        <v>200</v>
      </c>
      <c r="Q57" s="181">
        <f ca="1">IFERROR(__xludf.DUMMYFUNCTION("IMPORTRANGE(""https://docs.google.com/spreadsheets/d/1xAsT4sUbBlom7l0acStESh_15nvjZcXjZM7fK5uZSq8/edit?usp=sharing"",""ชัยนาท!J465"")"),18)</f>
        <v>18</v>
      </c>
      <c r="R57" s="186">
        <f t="shared" ca="1" si="6"/>
        <v>85.714285714285708</v>
      </c>
      <c r="S57" s="181">
        <f ca="1">IFERROR(__xludf.DUMMYFUNCTION("IMPORTRANGE(""https://docs.google.com/spreadsheets/d/1xAsT4sUbBlom7l0acStESh_15nvjZcXjZM7fK5uZSq8/edit?usp=sharing"",""ชัยนาท!J466"")"),0)</f>
        <v>0</v>
      </c>
      <c r="T57" s="186">
        <f t="shared" ca="1" si="7"/>
        <v>0</v>
      </c>
      <c r="U57" s="181">
        <f ca="1">IFERROR(__xludf.DUMMYFUNCTION("IMPORTRANGE(""https://docs.google.com/spreadsheets/d/1xAsT4sUbBlom7l0acStESh_15nvjZcXjZM7fK5uZSq8/edit?usp=sharing"",""ชัยนาท!I483"")"),180)</f>
        <v>180</v>
      </c>
      <c r="V57" s="181">
        <f ca="1">IFERROR(__xludf.DUMMYFUNCTION("IMPORTRANGE(""https://docs.google.com/spreadsheets/d/1xAsT4sUbBlom7l0acStESh_15nvjZcXjZM7fK5uZSq8/edit?usp=sharing"",""ชัยนาท!J483"")"),180)</f>
        <v>180</v>
      </c>
      <c r="W57" s="186">
        <f t="shared" ca="1" si="32"/>
        <v>100</v>
      </c>
      <c r="X57" s="181">
        <f ca="1">IFERROR(__xludf.DUMMYFUNCTION("IMPORTRANGE(""https://docs.google.com/spreadsheets/d/1xAsT4sUbBlom7l0acStESh_15nvjZcXjZM7fK5uZSq8/edit?usp=sharing"",""ชัยนาท!J484"")"),0)</f>
        <v>0</v>
      </c>
      <c r="Y57" s="181">
        <f ca="1">IFERROR(__xludf.DUMMYFUNCTION("IMPORTRANGE(""https://docs.google.com/spreadsheets/d/1xAsT4sUbBlom7l0acStESh_15nvjZcXjZM7fK5uZSq8/edit?usp=sharing"",""ชัยนาท!I485"")"),18)</f>
        <v>18</v>
      </c>
      <c r="Z57" s="181">
        <f ca="1">IFERROR(__xludf.DUMMYFUNCTION("IMPORTRANGE(""https://docs.google.com/spreadsheets/d/1xAsT4sUbBlom7l0acStESh_15nvjZcXjZM7fK5uZSq8/edit?usp=sharing"",""ชัยนาท!J485"")"),18)</f>
        <v>18</v>
      </c>
      <c r="AA57" s="186">
        <f t="shared" ca="1" si="33"/>
        <v>100</v>
      </c>
      <c r="AB57" s="181">
        <f ca="1">IFERROR(__xludf.DUMMYFUNCTION("IMPORTRANGE(""https://docs.google.com/spreadsheets/d/1xAsT4sUbBlom7l0acStESh_15nvjZcXjZM7fK5uZSq8/edit?usp=sharing"",""ชัยนาท!I487"")"),20)</f>
        <v>20</v>
      </c>
      <c r="AC57" s="181">
        <f ca="1">IFERROR(__xludf.DUMMYFUNCTION("IMPORTRANGE(""https://docs.google.com/spreadsheets/d/1xAsT4sUbBlom7l0acStESh_15nvjZcXjZM7fK5uZSq8/edit?usp=sharing"",""ชัยนาท!J487"")"),0)</f>
        <v>0</v>
      </c>
      <c r="AD57" s="186">
        <f t="shared" ca="1" si="34"/>
        <v>0</v>
      </c>
      <c r="AE57" s="181">
        <f ca="1">IFERROR(__xludf.DUMMYFUNCTION("IMPORTRANGE(""https://docs.google.com/spreadsheets/d/1xAsT4sUbBlom7l0acStESh_15nvjZcXjZM7fK5uZSq8/edit?usp=sharing"",""ชัยนาท!J488"")"),0)</f>
        <v>0</v>
      </c>
      <c r="AF57" s="181">
        <f ca="1">IFERROR(__xludf.DUMMYFUNCTION("IMPORTRANGE(""https://docs.google.com/spreadsheets/d/1xAsT4sUbBlom7l0acStESh_15nvjZcXjZM7fK5uZSq8/edit?usp=sharing"",""ชัยนาท!I489"")"),2)</f>
        <v>2</v>
      </c>
      <c r="AG57" s="181">
        <f ca="1">IFERROR(__xludf.DUMMYFUNCTION("IMPORTRANGE(""https://docs.google.com/spreadsheets/d/1xAsT4sUbBlom7l0acStESh_15nvjZcXjZM7fK5uZSq8/edit?usp=sharing"",""ชัยนาท!J489"")"),0)</f>
        <v>0</v>
      </c>
      <c r="AH57" s="186">
        <f t="shared" ca="1" si="35"/>
        <v>0</v>
      </c>
      <c r="AI57" s="181">
        <f ca="1">IFERROR(__xludf.DUMMYFUNCTION("IMPORTRANGE(""https://docs.google.com/spreadsheets/d/1xAsT4sUbBlom7l0acStESh_15nvjZcXjZM7fK5uZSq8/edit?usp=sharing"",""ชัยนาท!J491"")"),0)</f>
        <v>0</v>
      </c>
      <c r="AJ57" s="181">
        <f ca="1">IFERROR(__xludf.DUMMYFUNCTION("IMPORTRANGE(""https://docs.google.com/spreadsheets/d/1xAsT4sUbBlom7l0acStESh_15nvjZcXjZM7fK5uZSq8/edit?usp=sharing"",""ชัยนาท!I492"")"),1)</f>
        <v>1</v>
      </c>
      <c r="AK57" s="181">
        <f ca="1">IFERROR(__xludf.DUMMYFUNCTION("IMPORTRANGE(""https://docs.google.com/spreadsheets/d/1xAsT4sUbBlom7l0acStESh_15nvjZcXjZM7fK5uZSq8/edit?usp=sharing"",""ชัยนาท!J492"")"),0)</f>
        <v>0</v>
      </c>
      <c r="AL57" s="186">
        <f t="shared" ca="1" si="36"/>
        <v>0</v>
      </c>
      <c r="AM57" s="181">
        <f ca="1">IFERROR(__xludf.DUMMYFUNCTION("IMPORTRANGE(""https://docs.google.com/spreadsheets/d/1xAsT4sUbBlom7l0acStESh_15nvjZcXjZM7fK5uZSq8/edit?usp=sharing"",""ชัยนาท!I495"")"),180)</f>
        <v>180</v>
      </c>
      <c r="AN57" s="181">
        <f ca="1">IFERROR(__xludf.DUMMYFUNCTION("IMPORTRANGE(""https://docs.google.com/spreadsheets/d/1xAsT4sUbBlom7l0acStESh_15nvjZcXjZM7fK5uZSq8/edit?usp=sharing"",""ชัยนาท!J495"")"),0)</f>
        <v>0</v>
      </c>
      <c r="AO57" s="186">
        <f t="shared" ca="1" si="37"/>
        <v>0</v>
      </c>
      <c r="AP57" s="181">
        <f ca="1">IFERROR(__xludf.DUMMYFUNCTION("IMPORTRANGE(""https://docs.google.com/spreadsheets/d/1xAsT4sUbBlom7l0acStESh_15nvjZcXjZM7fK5uZSq8/edit?usp=sharing"",""ชัยนาท!J496"")"),0)</f>
        <v>0</v>
      </c>
      <c r="AQ57" s="181">
        <f ca="1">IFERROR(__xludf.DUMMYFUNCTION("IMPORTRANGE(""https://docs.google.com/spreadsheets/d/1xAsT4sUbBlom7l0acStESh_15nvjZcXjZM7fK5uZSq8/edit?usp=sharing"",""ชัยนาท!I498"")"),20)</f>
        <v>20</v>
      </c>
      <c r="AR57" s="181">
        <f ca="1">IFERROR(__xludf.DUMMYFUNCTION("IMPORTRANGE(""https://docs.google.com/spreadsheets/d/1xAsT4sUbBlom7l0acStESh_15nvjZcXjZM7fK5uZSq8/edit?usp=sharing"",""ชัยนาท!J498"")"),0)</f>
        <v>0</v>
      </c>
      <c r="AS57" s="186">
        <f t="shared" ca="1" si="38"/>
        <v>0</v>
      </c>
      <c r="AT57" s="181">
        <f ca="1">IFERROR(__xludf.DUMMYFUNCTION("IMPORTRANGE(""https://docs.google.com/spreadsheets/d/1xAsT4sUbBlom7l0acStESh_15nvjZcXjZM7fK5uZSq8/edit?usp=sharing"",""ชัยนาท!J499"")"),0)</f>
        <v>0</v>
      </c>
    </row>
    <row r="58" spans="1:46" ht="21" customHeight="1" x14ac:dyDescent="0.3">
      <c r="A58" s="178">
        <v>6</v>
      </c>
      <c r="B58" s="179" t="s">
        <v>75</v>
      </c>
      <c r="C58" s="180">
        <f t="shared" ca="1" si="74"/>
        <v>181023</v>
      </c>
      <c r="D58" s="181">
        <f ca="1">IFERROR(__xludf.DUMMYFUNCTION("IMPORTRANGE(""https://docs.google.com/spreadsheets/d/1vWPVBOAaZ6mHSI8yf95DNqHwTJ1cpeFsvqt6cxV34QA/edit?usp=sharing"",""ตราด!L472"")"),181023)</f>
        <v>181023</v>
      </c>
      <c r="E58" s="187">
        <f ca="1">IFERROR(__xludf.DUMMYFUNCTION("IMPORTRANGE(""https://docs.google.com/spreadsheets/d/1vWPVBOAaZ6mHSI8yf95DNqHwTJ1cpeFsvqt6cxV34QA/edit?usp=sharing"",""ตราด!L479"")"),0)</f>
        <v>0</v>
      </c>
      <c r="F58" s="182">
        <f t="shared" ca="1" si="1"/>
        <v>30408</v>
      </c>
      <c r="G58" s="183">
        <f t="shared" ca="1" si="2"/>
        <v>16.797865464609469</v>
      </c>
      <c r="H58" s="184">
        <f t="shared" ca="1" si="75"/>
        <v>30408</v>
      </c>
      <c r="I58" s="187">
        <f ca="1">IFERROR(__xludf.DUMMYFUNCTION("IMPORTRANGE(""https://docs.google.com/spreadsheets/d/1vWPVBOAaZ6mHSI8yf95DNqHwTJ1cpeFsvqt6cxV34QA/edit?usp=sharing"",""ตราด!N473"")"),24903)</f>
        <v>24903</v>
      </c>
      <c r="J58" s="187">
        <f ca="1">IFERROR(__xludf.DUMMYFUNCTION("IMPORTRANGE(""https://docs.google.com/spreadsheets/d/1vWPVBOAaZ6mHSI8yf95DNqHwTJ1cpeFsvqt6cxV34QA/edit?usp=sharing"",""ตราด!N474"")"),0)</f>
        <v>0</v>
      </c>
      <c r="K58" s="187">
        <f ca="1">IFERROR(__xludf.DUMMYFUNCTION("IMPORTRANGE(""https://docs.google.com/spreadsheets/d/1vWPVBOAaZ6mHSI8yf95DNqHwTJ1cpeFsvqt6cxV34QA/edit?usp=sharing"",""ตราด!N475"")"),0)</f>
        <v>0</v>
      </c>
      <c r="L58" s="187">
        <f ca="1">IFERROR(__xludf.DUMMYFUNCTION("IMPORTRANGE(""https://docs.google.com/spreadsheets/d/1vWPVBOAaZ6mHSI8yf95DNqHwTJ1cpeFsvqt6cxV34QA/edit?usp=sharing"",""ตราด!N476"")"),5505)</f>
        <v>5505</v>
      </c>
      <c r="M58" s="185">
        <f ca="1">IFERROR(__xludf.DUMMYFUNCTION("IMPORTRANGE(""https://docs.google.com/spreadsheets/d/1vWPVBOAaZ6mHSI8yf95DNqHwTJ1cpeFsvqt6cxV34QA/edit?usp=sharing"",""ตราด!N479"")"),0)</f>
        <v>0</v>
      </c>
      <c r="N58" s="185">
        <f t="shared" ca="1" si="41"/>
        <v>0</v>
      </c>
      <c r="O58" s="181">
        <f ca="1">IFERROR(__xludf.DUMMYFUNCTION("IMPORTRANGE(""https://docs.google.com/spreadsheets/d/1vWPVBOAaZ6mHSI8yf95DNqHwTJ1cpeFsvqt6cxV34QA/edit?usp=sharing"",""ตราด!I465"")"),21)</f>
        <v>21</v>
      </c>
      <c r="P58" s="181">
        <f ca="1">IFERROR(__xludf.DUMMYFUNCTION("IMPORTRANGE(""https://docs.google.com/spreadsheets/d/1vWPVBOAaZ6mHSI8yf95DNqHwTJ1cpeFsvqt6cxV34QA/edit?usp=sharing"",""ตราด!I466"")"),200)</f>
        <v>200</v>
      </c>
      <c r="Q58" s="181">
        <f ca="1">IFERROR(__xludf.DUMMYFUNCTION("IMPORTRANGE(""https://docs.google.com/spreadsheets/d/1vWPVBOAaZ6mHSI8yf95DNqHwTJ1cpeFsvqt6cxV34QA/edit?usp=sharing"",""ตราด!J465"")"),21)</f>
        <v>21</v>
      </c>
      <c r="R58" s="186">
        <f t="shared" ca="1" si="6"/>
        <v>100</v>
      </c>
      <c r="S58" s="181">
        <f ca="1">IFERROR(__xludf.DUMMYFUNCTION("IMPORTRANGE(""https://docs.google.com/spreadsheets/d/1vWPVBOAaZ6mHSI8yf95DNqHwTJ1cpeFsvqt6cxV34QA/edit?usp=sharing"",""ตราด!J466"")"),0)</f>
        <v>0</v>
      </c>
      <c r="T58" s="186">
        <f t="shared" ca="1" si="7"/>
        <v>0</v>
      </c>
      <c r="U58" s="181">
        <f ca="1">IFERROR(__xludf.DUMMYFUNCTION("IMPORTRANGE(""https://docs.google.com/spreadsheets/d/1vWPVBOAaZ6mHSI8yf95DNqHwTJ1cpeFsvqt6cxV34QA/edit?usp=sharing"",""ตราด!I483"")"),180)</f>
        <v>180</v>
      </c>
      <c r="V58" s="181">
        <f ca="1">IFERROR(__xludf.DUMMYFUNCTION("IMPORTRANGE(""https://docs.google.com/spreadsheets/d/1vWPVBOAaZ6mHSI8yf95DNqHwTJ1cpeFsvqt6cxV34QA/edit?usp=sharing"",""ตราด!J483"")"),180)</f>
        <v>180</v>
      </c>
      <c r="W58" s="186">
        <f t="shared" ca="1" si="32"/>
        <v>100</v>
      </c>
      <c r="X58" s="181">
        <f ca="1">IFERROR(__xludf.DUMMYFUNCTION("IMPORTRANGE(""https://docs.google.com/spreadsheets/d/1vWPVBOAaZ6mHSI8yf95DNqHwTJ1cpeFsvqt6cxV34QA/edit?usp=sharing"",""ตราด!J484"")"),18)</f>
        <v>18</v>
      </c>
      <c r="Y58" s="181">
        <f ca="1">IFERROR(__xludf.DUMMYFUNCTION("IMPORTRANGE(""https://docs.google.com/spreadsheets/d/1vWPVBOAaZ6mHSI8yf95DNqHwTJ1cpeFsvqt6cxV34QA/edit?usp=sharing"",""ตราด!I485"")"),18)</f>
        <v>18</v>
      </c>
      <c r="Z58" s="181">
        <f ca="1">IFERROR(__xludf.DUMMYFUNCTION("IMPORTRANGE(""https://docs.google.com/spreadsheets/d/1vWPVBOAaZ6mHSI8yf95DNqHwTJ1cpeFsvqt6cxV34QA/edit?usp=sharing"",""ตราด!J485"")"),18)</f>
        <v>18</v>
      </c>
      <c r="AA58" s="186">
        <f t="shared" ca="1" si="33"/>
        <v>100</v>
      </c>
      <c r="AB58" s="181">
        <f ca="1">IFERROR(__xludf.DUMMYFUNCTION("IMPORTRANGE(""https://docs.google.com/spreadsheets/d/1vWPVBOAaZ6mHSI8yf95DNqHwTJ1cpeFsvqt6cxV34QA/edit?usp=sharing"",""ตราด!I487"")"),20)</f>
        <v>20</v>
      </c>
      <c r="AC58" s="181">
        <f ca="1">IFERROR(__xludf.DUMMYFUNCTION("IMPORTRANGE(""https://docs.google.com/spreadsheets/d/1vWPVBOAaZ6mHSI8yf95DNqHwTJ1cpeFsvqt6cxV34QA/edit?usp=sharing"",""ตราด!J487"")"),20)</f>
        <v>20</v>
      </c>
      <c r="AD58" s="186">
        <f t="shared" ca="1" si="34"/>
        <v>100</v>
      </c>
      <c r="AE58" s="181">
        <f ca="1">IFERROR(__xludf.DUMMYFUNCTION("IMPORTRANGE(""https://docs.google.com/spreadsheets/d/1vWPVBOAaZ6mHSI8yf95DNqHwTJ1cpeFsvqt6cxV34QA/edit?usp=sharing"",""ตราด!J488"")"),20)</f>
        <v>20</v>
      </c>
      <c r="AF58" s="181">
        <f ca="1">IFERROR(__xludf.DUMMYFUNCTION("IMPORTRANGE(""https://docs.google.com/spreadsheets/d/1vWPVBOAaZ6mHSI8yf95DNqHwTJ1cpeFsvqt6cxV34QA/edit?usp=sharing"",""ตราด!I489"")"),2)</f>
        <v>2</v>
      </c>
      <c r="AG58" s="181">
        <f ca="1">IFERROR(__xludf.DUMMYFUNCTION("IMPORTRANGE(""https://docs.google.com/spreadsheets/d/1vWPVBOAaZ6mHSI8yf95DNqHwTJ1cpeFsvqt6cxV34QA/edit?usp=sharing"",""ตราด!J489"")"),2)</f>
        <v>2</v>
      </c>
      <c r="AH58" s="186">
        <f t="shared" ca="1" si="35"/>
        <v>100</v>
      </c>
      <c r="AI58" s="181">
        <f ca="1">IFERROR(__xludf.DUMMYFUNCTION("IMPORTRANGE(""https://docs.google.com/spreadsheets/d/1vWPVBOAaZ6mHSI8yf95DNqHwTJ1cpeFsvqt6cxV34QA/edit?usp=sharing"",""ตราด!J491"")"),1)</f>
        <v>1</v>
      </c>
      <c r="AJ58" s="181">
        <f ca="1">IFERROR(__xludf.DUMMYFUNCTION("IMPORTRANGE(""https://docs.google.com/spreadsheets/d/1vWPVBOAaZ6mHSI8yf95DNqHwTJ1cpeFsvqt6cxV34QA/edit?usp=sharing"",""ตราด!I492"")"),1)</f>
        <v>1</v>
      </c>
      <c r="AK58" s="181">
        <f ca="1">IFERROR(__xludf.DUMMYFUNCTION("IMPORTRANGE(""https://docs.google.com/spreadsheets/d/1vWPVBOAaZ6mHSI8yf95DNqHwTJ1cpeFsvqt6cxV34QA/edit?usp=sharing"",""ตราด!J492"")"),1)</f>
        <v>1</v>
      </c>
      <c r="AL58" s="186">
        <f t="shared" ca="1" si="36"/>
        <v>100</v>
      </c>
      <c r="AM58" s="181">
        <f ca="1">IFERROR(__xludf.DUMMYFUNCTION("IMPORTRANGE(""https://docs.google.com/spreadsheets/d/1vWPVBOAaZ6mHSI8yf95DNqHwTJ1cpeFsvqt6cxV34QA/edit?usp=sharing"",""ตราด!I495"")"),180)</f>
        <v>180</v>
      </c>
      <c r="AN58" s="181">
        <f ca="1">IFERROR(__xludf.DUMMYFUNCTION("IMPORTRANGE(""https://docs.google.com/spreadsheets/d/1vWPVBOAaZ6mHSI8yf95DNqHwTJ1cpeFsvqt6cxV34QA/edit?usp=sharing"",""ตราด!J495"")"),0)</f>
        <v>0</v>
      </c>
      <c r="AO58" s="186">
        <f t="shared" ca="1" si="37"/>
        <v>0</v>
      </c>
      <c r="AP58" s="181">
        <f ca="1">IFERROR(__xludf.DUMMYFUNCTION("IMPORTRANGE(""https://docs.google.com/spreadsheets/d/1vWPVBOAaZ6mHSI8yf95DNqHwTJ1cpeFsvqt6cxV34QA/edit?usp=sharing"",""ตราด!J496"")"),0)</f>
        <v>0</v>
      </c>
      <c r="AQ58" s="181">
        <f ca="1">IFERROR(__xludf.DUMMYFUNCTION("IMPORTRANGE(""https://docs.google.com/spreadsheets/d/1vWPVBOAaZ6mHSI8yf95DNqHwTJ1cpeFsvqt6cxV34QA/edit?usp=sharing"",""ตราด!I498"")"),20)</f>
        <v>20</v>
      </c>
      <c r="AR58" s="181">
        <f ca="1">IFERROR(__xludf.DUMMYFUNCTION("IMPORTRANGE(""https://docs.google.com/spreadsheets/d/1vWPVBOAaZ6mHSI8yf95DNqHwTJ1cpeFsvqt6cxV34QA/edit?usp=sharing"",""ตราด!J498"")"),0)</f>
        <v>0</v>
      </c>
      <c r="AS58" s="186">
        <f t="shared" ca="1" si="38"/>
        <v>0</v>
      </c>
      <c r="AT58" s="181">
        <f ca="1">IFERROR(__xludf.DUMMYFUNCTION("IMPORTRANGE(""https://docs.google.com/spreadsheets/d/1vWPVBOAaZ6mHSI8yf95DNqHwTJ1cpeFsvqt6cxV34QA/edit?usp=sharing"",""ตราด!J499"")"),0)</f>
        <v>0</v>
      </c>
    </row>
    <row r="59" spans="1:46" ht="21" customHeight="1" x14ac:dyDescent="0.3">
      <c r="A59" s="178">
        <v>7</v>
      </c>
      <c r="B59" s="179" t="s">
        <v>76</v>
      </c>
      <c r="C59" s="188">
        <f t="shared" ca="1" si="74"/>
        <v>0</v>
      </c>
      <c r="D59" s="189">
        <f ca="1">IFERROR(__xludf.DUMMYFUNCTION("IMPORTRANGE(""https://docs.google.com/spreadsheets/d/1phaeSb9lTGgzDpbvVqI9hfmOQQzUom07-HEvpbARzEg/edit?usp=sharing"",""นครนายก!L472"")"),0)</f>
        <v>0</v>
      </c>
      <c r="E59" s="190">
        <f ca="1">IFERROR(__xludf.DUMMYFUNCTION("IMPORTRANGE(""https://docs.google.com/spreadsheets/d/1phaeSb9lTGgzDpbvVqI9hfmOQQzUom07-HEvpbARzEg/edit?usp=sharing"",""นครนายก!L479"")"),0)</f>
        <v>0</v>
      </c>
      <c r="F59" s="182">
        <f t="shared" ca="1" si="1"/>
        <v>0</v>
      </c>
      <c r="G59" s="191">
        <f t="shared" ca="1" si="2"/>
        <v>0</v>
      </c>
      <c r="H59" s="184">
        <f t="shared" ca="1" si="75"/>
        <v>0</v>
      </c>
      <c r="I59" s="187">
        <f ca="1">IFERROR(__xludf.DUMMYFUNCTION("IMPORTRANGE(""https://docs.google.com/spreadsheets/d/1phaeSb9lTGgzDpbvVqI9hfmOQQzUom07-HEvpbARzEg/edit?usp=sharing"",""นครนายก!N473"")"),0)</f>
        <v>0</v>
      </c>
      <c r="J59" s="187">
        <f ca="1">IFERROR(__xludf.DUMMYFUNCTION("IMPORTRANGE(""https://docs.google.com/spreadsheets/d/1phaeSb9lTGgzDpbvVqI9hfmOQQzUom07-HEvpbARzEg/edit?usp=sharing"",""นครนายก!N474"")"),0)</f>
        <v>0</v>
      </c>
      <c r="K59" s="187">
        <f ca="1">IFERROR(__xludf.DUMMYFUNCTION("IMPORTRANGE(""https://docs.google.com/spreadsheets/d/1phaeSb9lTGgzDpbvVqI9hfmOQQzUom07-HEvpbARzEg/edit?usp=sharing"",""นครนายก!N475"")"),0)</f>
        <v>0</v>
      </c>
      <c r="L59" s="187">
        <f ca="1">IFERROR(__xludf.DUMMYFUNCTION("IMPORTRANGE(""https://docs.google.com/spreadsheets/d/1phaeSb9lTGgzDpbvVqI9hfmOQQzUom07-HEvpbARzEg/edit?usp=sharing"",""นครนายก!N476"")"),0)</f>
        <v>0</v>
      </c>
      <c r="M59" s="185">
        <f ca="1">IFERROR(__xludf.DUMMYFUNCTION("IMPORTRANGE(""https://docs.google.com/spreadsheets/d/1phaeSb9lTGgzDpbvVqI9hfmOQQzUom07-HEvpbARzEg/edit?usp=sharing"",""นครนายก!N479"")"),0)</f>
        <v>0</v>
      </c>
      <c r="N59" s="185">
        <f t="shared" ca="1" si="41"/>
        <v>0</v>
      </c>
      <c r="O59" s="189">
        <f ca="1">IFERROR(__xludf.DUMMYFUNCTION("IMPORTRANGE(""https://docs.google.com/spreadsheets/d/1phaeSb9lTGgzDpbvVqI9hfmOQQzUom07-HEvpbARzEg/edit?usp=sharing"",""นครนายก!I465"")"),0)</f>
        <v>0</v>
      </c>
      <c r="P59" s="189">
        <f ca="1">IFERROR(__xludf.DUMMYFUNCTION("IMPORTRANGE(""https://docs.google.com/spreadsheets/d/1phaeSb9lTGgzDpbvVqI9hfmOQQzUom07-HEvpbARzEg/edit?usp=sharing"",""นครนายก!I466"")"),0)</f>
        <v>0</v>
      </c>
      <c r="Q59" s="181">
        <f ca="1">IFERROR(__xludf.DUMMYFUNCTION("IMPORTRANGE(""https://docs.google.com/spreadsheets/d/1phaeSb9lTGgzDpbvVqI9hfmOQQzUom07-HEvpbARzEg/edit?usp=sharing"",""นครนายก!J465"")"),0)</f>
        <v>0</v>
      </c>
      <c r="R59" s="186">
        <f t="shared" ca="1" si="6"/>
        <v>0</v>
      </c>
      <c r="S59" s="181">
        <f ca="1">IFERROR(__xludf.DUMMYFUNCTION("IMPORTRANGE(""https://docs.google.com/spreadsheets/d/1phaeSb9lTGgzDpbvVqI9hfmOQQzUom07-HEvpbARzEg/edit?usp=sharing"",""นครนายก!J466"")"),0)</f>
        <v>0</v>
      </c>
      <c r="T59" s="186">
        <f t="shared" ca="1" si="7"/>
        <v>0</v>
      </c>
      <c r="U59" s="189">
        <f ca="1">IFERROR(__xludf.DUMMYFUNCTION("IMPORTRANGE(""https://docs.google.com/spreadsheets/d/1phaeSb9lTGgzDpbvVqI9hfmOQQzUom07-HEvpbARzEg/edit?usp=sharing"",""นครนายก!I483"")"),0)</f>
        <v>0</v>
      </c>
      <c r="V59" s="181">
        <f ca="1">IFERROR(__xludf.DUMMYFUNCTION("IMPORTRANGE(""https://docs.google.com/spreadsheets/d/1phaeSb9lTGgzDpbvVqI9hfmOQQzUom07-HEvpbARzEg/edit?usp=sharing"",""นครนายก!J483"")"),0)</f>
        <v>0</v>
      </c>
      <c r="W59" s="186">
        <f t="shared" ca="1" si="32"/>
        <v>0</v>
      </c>
      <c r="X59" s="181">
        <f ca="1">IFERROR(__xludf.DUMMYFUNCTION("IMPORTRANGE(""https://docs.google.com/spreadsheets/d/1phaeSb9lTGgzDpbvVqI9hfmOQQzUom07-HEvpbARzEg/edit?usp=sharing"",""นครนายก!J484"")"),0)</f>
        <v>0</v>
      </c>
      <c r="Y59" s="189">
        <f ca="1">IFERROR(__xludf.DUMMYFUNCTION("IMPORTRANGE(""https://docs.google.com/spreadsheets/d/1phaeSb9lTGgzDpbvVqI9hfmOQQzUom07-HEvpbARzEg/edit?usp=sharing"",""นครนายก!I485"")"),0)</f>
        <v>0</v>
      </c>
      <c r="Z59" s="181">
        <f ca="1">IFERROR(__xludf.DUMMYFUNCTION("IMPORTRANGE(""https://docs.google.com/spreadsheets/d/1phaeSb9lTGgzDpbvVqI9hfmOQQzUom07-HEvpbARzEg/edit?usp=sharing"",""นครนายก!J485"")"),0)</f>
        <v>0</v>
      </c>
      <c r="AA59" s="186">
        <f t="shared" ca="1" si="33"/>
        <v>0</v>
      </c>
      <c r="AB59" s="189">
        <f ca="1">IFERROR(__xludf.DUMMYFUNCTION("IMPORTRANGE(""https://docs.google.com/spreadsheets/d/1phaeSb9lTGgzDpbvVqI9hfmOQQzUom07-HEvpbARzEg/edit?usp=sharing"",""นครนายก!I487"")"),0)</f>
        <v>0</v>
      </c>
      <c r="AC59" s="181">
        <f ca="1">IFERROR(__xludf.DUMMYFUNCTION("IMPORTRANGE(""https://docs.google.com/spreadsheets/d/1phaeSb9lTGgzDpbvVqI9hfmOQQzUom07-HEvpbARzEg/edit?usp=sharing"",""นครนายก!J487"")"),0)</f>
        <v>0</v>
      </c>
      <c r="AD59" s="186">
        <f t="shared" ca="1" si="34"/>
        <v>0</v>
      </c>
      <c r="AE59" s="181">
        <f ca="1">IFERROR(__xludf.DUMMYFUNCTION("IMPORTRANGE(""https://docs.google.com/spreadsheets/d/1phaeSb9lTGgzDpbvVqI9hfmOQQzUom07-HEvpbARzEg/edit?usp=sharing"",""นครนายก!J488"")"),0)</f>
        <v>0</v>
      </c>
      <c r="AF59" s="189">
        <f ca="1">IFERROR(__xludf.DUMMYFUNCTION("IMPORTRANGE(""https://docs.google.com/spreadsheets/d/1phaeSb9lTGgzDpbvVqI9hfmOQQzUom07-HEvpbARzEg/edit?usp=sharing"",""นครนายก!I489"")"),0)</f>
        <v>0</v>
      </c>
      <c r="AG59" s="181">
        <f ca="1">IFERROR(__xludf.DUMMYFUNCTION("IMPORTRANGE(""https://docs.google.com/spreadsheets/d/1phaeSb9lTGgzDpbvVqI9hfmOQQzUom07-HEvpbARzEg/edit?usp=sharing"",""นครนายก!J489"")"),0)</f>
        <v>0</v>
      </c>
      <c r="AH59" s="186">
        <f t="shared" ca="1" si="35"/>
        <v>0</v>
      </c>
      <c r="AI59" s="181">
        <f ca="1">IFERROR(__xludf.DUMMYFUNCTION("IMPORTRANGE(""https://docs.google.com/spreadsheets/d/1phaeSb9lTGgzDpbvVqI9hfmOQQzUom07-HEvpbARzEg/edit?usp=sharing"",""นครนายก!J491"")"),0)</f>
        <v>0</v>
      </c>
      <c r="AJ59" s="189">
        <f ca="1">IFERROR(__xludf.DUMMYFUNCTION("IMPORTRANGE(""https://docs.google.com/spreadsheets/d/1phaeSb9lTGgzDpbvVqI9hfmOQQzUom07-HEvpbARzEg/edit?usp=sharing"",""นครนายก!I492"")"),0)</f>
        <v>0</v>
      </c>
      <c r="AK59" s="181">
        <f ca="1">IFERROR(__xludf.DUMMYFUNCTION("IMPORTRANGE(""https://docs.google.com/spreadsheets/d/1phaeSb9lTGgzDpbvVqI9hfmOQQzUom07-HEvpbARzEg/edit?usp=sharing"",""นครนายก!J492"")"),0)</f>
        <v>0</v>
      </c>
      <c r="AL59" s="186">
        <f t="shared" ca="1" si="36"/>
        <v>0</v>
      </c>
      <c r="AM59" s="189">
        <f ca="1">IFERROR(__xludf.DUMMYFUNCTION("IMPORTRANGE(""https://docs.google.com/spreadsheets/d/1phaeSb9lTGgzDpbvVqI9hfmOQQzUom07-HEvpbARzEg/edit?usp=sharing"",""นครนายก!I495"")"),0)</f>
        <v>0</v>
      </c>
      <c r="AN59" s="181">
        <f ca="1">IFERROR(__xludf.DUMMYFUNCTION("IMPORTRANGE(""https://docs.google.com/spreadsheets/d/1phaeSb9lTGgzDpbvVqI9hfmOQQzUom07-HEvpbARzEg/edit?usp=sharing"",""นครนายก!J495"")"),0)</f>
        <v>0</v>
      </c>
      <c r="AO59" s="186">
        <f t="shared" ca="1" si="37"/>
        <v>0</v>
      </c>
      <c r="AP59" s="181">
        <f ca="1">IFERROR(__xludf.DUMMYFUNCTION("IMPORTRANGE(""https://docs.google.com/spreadsheets/d/1phaeSb9lTGgzDpbvVqI9hfmOQQzUom07-HEvpbARzEg/edit?usp=sharing"",""นครนายก!J496"")"),0)</f>
        <v>0</v>
      </c>
      <c r="AQ59" s="189">
        <f ca="1">IFERROR(__xludf.DUMMYFUNCTION("IMPORTRANGE(""https://docs.google.com/spreadsheets/d/1phaeSb9lTGgzDpbvVqI9hfmOQQzUom07-HEvpbARzEg/edit?usp=sharing"",""นครนายก!I498"")"),0)</f>
        <v>0</v>
      </c>
      <c r="AR59" s="181">
        <f ca="1">IFERROR(__xludf.DUMMYFUNCTION("IMPORTRANGE(""https://docs.google.com/spreadsheets/d/1phaeSb9lTGgzDpbvVqI9hfmOQQzUom07-HEvpbARzEg/edit?usp=sharing"",""นครนายก!J498"")"),0)</f>
        <v>0</v>
      </c>
      <c r="AS59" s="186">
        <f t="shared" ca="1" si="38"/>
        <v>0</v>
      </c>
      <c r="AT59" s="181">
        <f ca="1">IFERROR(__xludf.DUMMYFUNCTION("IMPORTRANGE(""https://docs.google.com/spreadsheets/d/1phaeSb9lTGgzDpbvVqI9hfmOQQzUom07-HEvpbARzEg/edit?usp=sharing"",""นครนายก!J499"")"),0)</f>
        <v>0</v>
      </c>
    </row>
    <row r="60" spans="1:46" ht="21" customHeight="1" x14ac:dyDescent="0.3">
      <c r="A60" s="178">
        <v>8</v>
      </c>
      <c r="B60" s="179" t="s">
        <v>77</v>
      </c>
      <c r="C60" s="180">
        <f t="shared" ca="1" si="74"/>
        <v>0</v>
      </c>
      <c r="D60" s="181">
        <f ca="1">IFERROR(__xludf.DUMMYFUNCTION("IMPORTRANGE(""https://docs.google.com/spreadsheets/d/1tpwhWwkqkBeiSWCcfB5f2fbwPRbM9hHOEDSDHpl2MIc/edit?usp=sharing"",""นครปฐม!L472"")"),0)</f>
        <v>0</v>
      </c>
      <c r="E60" s="187">
        <f ca="1">IFERROR(__xludf.DUMMYFUNCTION("IMPORTRANGE(""https://docs.google.com/spreadsheets/d/1tpwhWwkqkBeiSWCcfB5f2fbwPRbM9hHOEDSDHpl2MIc/edit?usp=sharing"",""นครปฐม!L479"")"),0)</f>
        <v>0</v>
      </c>
      <c r="F60" s="182">
        <f t="shared" ca="1" si="1"/>
        <v>0</v>
      </c>
      <c r="G60" s="183">
        <f t="shared" ca="1" si="2"/>
        <v>0</v>
      </c>
      <c r="H60" s="184">
        <f t="shared" ca="1" si="75"/>
        <v>0</v>
      </c>
      <c r="I60" s="187">
        <f ca="1">IFERROR(__xludf.DUMMYFUNCTION("IMPORTRANGE(""https://docs.google.com/spreadsheets/d/1tpwhWwkqkBeiSWCcfB5f2fbwPRbM9hHOEDSDHpl2MIc/edit?usp=sharing"",""นครปฐม!N473"")"),0)</f>
        <v>0</v>
      </c>
      <c r="J60" s="187">
        <f ca="1">IFERROR(__xludf.DUMMYFUNCTION("IMPORTRANGE(""https://docs.google.com/spreadsheets/d/1tpwhWwkqkBeiSWCcfB5f2fbwPRbM9hHOEDSDHpl2MIc/edit?usp=sharing"",""นครปฐม!N474"")"),0)</f>
        <v>0</v>
      </c>
      <c r="K60" s="187">
        <f ca="1">IFERROR(__xludf.DUMMYFUNCTION("IMPORTRANGE(""https://docs.google.com/spreadsheets/d/1tpwhWwkqkBeiSWCcfB5f2fbwPRbM9hHOEDSDHpl2MIc/edit?usp=sharing"",""นครปฐม!N475"")"),0)</f>
        <v>0</v>
      </c>
      <c r="L60" s="187">
        <f ca="1">IFERROR(__xludf.DUMMYFUNCTION("IMPORTRANGE(""https://docs.google.com/spreadsheets/d/1tpwhWwkqkBeiSWCcfB5f2fbwPRbM9hHOEDSDHpl2MIc/edit?usp=sharing"",""นครปฐม!N476"")"),0)</f>
        <v>0</v>
      </c>
      <c r="M60" s="185">
        <f ca="1">IFERROR(__xludf.DUMMYFUNCTION("IMPORTRANGE(""https://docs.google.com/spreadsheets/d/1tpwhWwkqkBeiSWCcfB5f2fbwPRbM9hHOEDSDHpl2MIc/edit?usp=sharing"",""นครปฐม!N479"")"),0)</f>
        <v>0</v>
      </c>
      <c r="N60" s="185">
        <f t="shared" ca="1" si="41"/>
        <v>0</v>
      </c>
      <c r="O60" s="181">
        <f ca="1">IFERROR(__xludf.DUMMYFUNCTION("IMPORTRANGE(""https://docs.google.com/spreadsheets/d/1tpwhWwkqkBeiSWCcfB5f2fbwPRbM9hHOEDSDHpl2MIc/edit?usp=sharing"",""นครปฐม!I465"")"),0)</f>
        <v>0</v>
      </c>
      <c r="P60" s="181">
        <f ca="1">IFERROR(__xludf.DUMMYFUNCTION("IMPORTRANGE(""https://docs.google.com/spreadsheets/d/1tpwhWwkqkBeiSWCcfB5f2fbwPRbM9hHOEDSDHpl2MIc/edit?usp=sharing"",""นครปฐม!I466"")"),0)</f>
        <v>0</v>
      </c>
      <c r="Q60" s="181">
        <f ca="1">IFERROR(__xludf.DUMMYFUNCTION("IMPORTRANGE(""https://docs.google.com/spreadsheets/d/1tpwhWwkqkBeiSWCcfB5f2fbwPRbM9hHOEDSDHpl2MIc/edit?usp=sharing"",""นครปฐม!J465"")"),0)</f>
        <v>0</v>
      </c>
      <c r="R60" s="186">
        <f t="shared" ca="1" si="6"/>
        <v>0</v>
      </c>
      <c r="S60" s="181">
        <f ca="1">IFERROR(__xludf.DUMMYFUNCTION("IMPORTRANGE(""https://docs.google.com/spreadsheets/d/1tpwhWwkqkBeiSWCcfB5f2fbwPRbM9hHOEDSDHpl2MIc/edit?usp=sharing"",""นครปฐม!J466"")"),0)</f>
        <v>0</v>
      </c>
      <c r="T60" s="186">
        <f t="shared" ca="1" si="7"/>
        <v>0</v>
      </c>
      <c r="U60" s="181">
        <f ca="1">IFERROR(__xludf.DUMMYFUNCTION("IMPORTRANGE(""https://docs.google.com/spreadsheets/d/1tpwhWwkqkBeiSWCcfB5f2fbwPRbM9hHOEDSDHpl2MIc/edit?usp=sharing"",""นครปฐม!I483"")"),0)</f>
        <v>0</v>
      </c>
      <c r="V60" s="181">
        <f ca="1">IFERROR(__xludf.DUMMYFUNCTION("IMPORTRANGE(""https://docs.google.com/spreadsheets/d/1tpwhWwkqkBeiSWCcfB5f2fbwPRbM9hHOEDSDHpl2MIc/edit?usp=sharing"",""นครปฐม!J483"")"),0)</f>
        <v>0</v>
      </c>
      <c r="W60" s="186">
        <f t="shared" ca="1" si="32"/>
        <v>0</v>
      </c>
      <c r="X60" s="181">
        <f ca="1">IFERROR(__xludf.DUMMYFUNCTION("IMPORTRANGE(""https://docs.google.com/spreadsheets/d/1tpwhWwkqkBeiSWCcfB5f2fbwPRbM9hHOEDSDHpl2MIc/edit?usp=sharing"",""นครปฐม!J484"")"),0)</f>
        <v>0</v>
      </c>
      <c r="Y60" s="181">
        <f ca="1">IFERROR(__xludf.DUMMYFUNCTION("IMPORTRANGE(""https://docs.google.com/spreadsheets/d/1tpwhWwkqkBeiSWCcfB5f2fbwPRbM9hHOEDSDHpl2MIc/edit?usp=sharing"",""นครปฐม!I485"")"),0)</f>
        <v>0</v>
      </c>
      <c r="Z60" s="181">
        <f ca="1">IFERROR(__xludf.DUMMYFUNCTION("IMPORTRANGE(""https://docs.google.com/spreadsheets/d/1tpwhWwkqkBeiSWCcfB5f2fbwPRbM9hHOEDSDHpl2MIc/edit?usp=sharing"",""นครปฐม!J485"")"),0)</f>
        <v>0</v>
      </c>
      <c r="AA60" s="186">
        <f t="shared" ca="1" si="33"/>
        <v>0</v>
      </c>
      <c r="AB60" s="181">
        <f ca="1">IFERROR(__xludf.DUMMYFUNCTION("IMPORTRANGE(""https://docs.google.com/spreadsheets/d/1tpwhWwkqkBeiSWCcfB5f2fbwPRbM9hHOEDSDHpl2MIc/edit?usp=sharing"",""นครปฐม!I487"")"),0)</f>
        <v>0</v>
      </c>
      <c r="AC60" s="181">
        <f ca="1">IFERROR(__xludf.DUMMYFUNCTION("IMPORTRANGE(""https://docs.google.com/spreadsheets/d/1tpwhWwkqkBeiSWCcfB5f2fbwPRbM9hHOEDSDHpl2MIc/edit?usp=sharing"",""นครปฐม!J487"")"),0)</f>
        <v>0</v>
      </c>
      <c r="AD60" s="186">
        <f t="shared" ca="1" si="34"/>
        <v>0</v>
      </c>
      <c r="AE60" s="181">
        <f ca="1">IFERROR(__xludf.DUMMYFUNCTION("IMPORTRANGE(""https://docs.google.com/spreadsheets/d/1tpwhWwkqkBeiSWCcfB5f2fbwPRbM9hHOEDSDHpl2MIc/edit?usp=sharing"",""นครปฐม!J488"")"),0)</f>
        <v>0</v>
      </c>
      <c r="AF60" s="181">
        <f ca="1">IFERROR(__xludf.DUMMYFUNCTION("IMPORTRANGE(""https://docs.google.com/spreadsheets/d/1tpwhWwkqkBeiSWCcfB5f2fbwPRbM9hHOEDSDHpl2MIc/edit?usp=sharing"",""นครปฐม!I489"")"),0)</f>
        <v>0</v>
      </c>
      <c r="AG60" s="181">
        <f ca="1">IFERROR(__xludf.DUMMYFUNCTION("IMPORTRANGE(""https://docs.google.com/spreadsheets/d/1tpwhWwkqkBeiSWCcfB5f2fbwPRbM9hHOEDSDHpl2MIc/edit?usp=sharing"",""นครปฐม!J489"")"),0)</f>
        <v>0</v>
      </c>
      <c r="AH60" s="186">
        <f t="shared" ca="1" si="35"/>
        <v>0</v>
      </c>
      <c r="AI60" s="181">
        <f ca="1">IFERROR(__xludf.DUMMYFUNCTION("IMPORTRANGE(""https://docs.google.com/spreadsheets/d/1tpwhWwkqkBeiSWCcfB5f2fbwPRbM9hHOEDSDHpl2MIc/edit?usp=sharing"",""นครปฐม!J491"")"),0)</f>
        <v>0</v>
      </c>
      <c r="AJ60" s="181">
        <f ca="1">IFERROR(__xludf.DUMMYFUNCTION("IMPORTRANGE(""https://docs.google.com/spreadsheets/d/1tpwhWwkqkBeiSWCcfB5f2fbwPRbM9hHOEDSDHpl2MIc/edit?usp=sharing"",""นครปฐม!I492"")"),0)</f>
        <v>0</v>
      </c>
      <c r="AK60" s="181">
        <f ca="1">IFERROR(__xludf.DUMMYFUNCTION("IMPORTRANGE(""https://docs.google.com/spreadsheets/d/1tpwhWwkqkBeiSWCcfB5f2fbwPRbM9hHOEDSDHpl2MIc/edit?usp=sharing"",""นครปฐม!J492"")"),0)</f>
        <v>0</v>
      </c>
      <c r="AL60" s="186">
        <f t="shared" ca="1" si="36"/>
        <v>0</v>
      </c>
      <c r="AM60" s="181">
        <f ca="1">IFERROR(__xludf.DUMMYFUNCTION("IMPORTRANGE(""https://docs.google.com/spreadsheets/d/1tpwhWwkqkBeiSWCcfB5f2fbwPRbM9hHOEDSDHpl2MIc/edit?usp=sharing"",""นครปฐม!I495"")"),0)</f>
        <v>0</v>
      </c>
      <c r="AN60" s="181">
        <f ca="1">IFERROR(__xludf.DUMMYFUNCTION("IMPORTRANGE(""https://docs.google.com/spreadsheets/d/1tpwhWwkqkBeiSWCcfB5f2fbwPRbM9hHOEDSDHpl2MIc/edit?usp=sharing"",""นครปฐม!J495"")"),0)</f>
        <v>0</v>
      </c>
      <c r="AO60" s="186">
        <f t="shared" ca="1" si="37"/>
        <v>0</v>
      </c>
      <c r="AP60" s="181">
        <f ca="1">IFERROR(__xludf.DUMMYFUNCTION("IMPORTRANGE(""https://docs.google.com/spreadsheets/d/1tpwhWwkqkBeiSWCcfB5f2fbwPRbM9hHOEDSDHpl2MIc/edit?usp=sharing"",""นครปฐม!J496"")"),0)</f>
        <v>0</v>
      </c>
      <c r="AQ60" s="181">
        <f ca="1">IFERROR(__xludf.DUMMYFUNCTION("IMPORTRANGE(""https://docs.google.com/spreadsheets/d/1tpwhWwkqkBeiSWCcfB5f2fbwPRbM9hHOEDSDHpl2MIc/edit?usp=sharing"",""นครปฐม!I498"")"),0)</f>
        <v>0</v>
      </c>
      <c r="AR60" s="181">
        <f ca="1">IFERROR(__xludf.DUMMYFUNCTION("IMPORTRANGE(""https://docs.google.com/spreadsheets/d/1tpwhWwkqkBeiSWCcfB5f2fbwPRbM9hHOEDSDHpl2MIc/edit?usp=sharing"",""นครปฐม!J498"")"),0)</f>
        <v>0</v>
      </c>
      <c r="AS60" s="186">
        <f t="shared" ca="1" si="38"/>
        <v>0</v>
      </c>
      <c r="AT60" s="181">
        <f ca="1">IFERROR(__xludf.DUMMYFUNCTION("IMPORTRANGE(""https://docs.google.com/spreadsheets/d/1tpwhWwkqkBeiSWCcfB5f2fbwPRbM9hHOEDSDHpl2MIc/edit?usp=sharing"",""นครปฐม!J499"")"),0)</f>
        <v>0</v>
      </c>
    </row>
    <row r="61" spans="1:46" ht="21" customHeight="1" x14ac:dyDescent="0.3">
      <c r="A61" s="178">
        <v>9</v>
      </c>
      <c r="B61" s="179" t="s">
        <v>78</v>
      </c>
      <c r="C61" s="180">
        <f t="shared" ca="1" si="74"/>
        <v>0</v>
      </c>
      <c r="D61" s="181">
        <f ca="1">IFERROR(__xludf.DUMMYFUNCTION("IMPORTRANGE(""https://docs.google.com/spreadsheets/d/1fJJCVBkBnhriyv0Cp5ZFMr0I_yrfdEITNpb4zILJgUQ/edit?usp=sharing"",""ปทุมธานี!L472"")"),0)</f>
        <v>0</v>
      </c>
      <c r="E61" s="187">
        <f ca="1">IFERROR(__xludf.DUMMYFUNCTION("IMPORTRANGE(""https://docs.google.com/spreadsheets/d/1fJJCVBkBnhriyv0Cp5ZFMr0I_yrfdEITNpb4zILJgUQ/edit?usp=sharing"",""ปทุมธานี!L479"")"),0)</f>
        <v>0</v>
      </c>
      <c r="F61" s="182">
        <f t="shared" ca="1" si="1"/>
        <v>0</v>
      </c>
      <c r="G61" s="183">
        <f t="shared" ca="1" si="2"/>
        <v>0</v>
      </c>
      <c r="H61" s="184">
        <f t="shared" ca="1" si="75"/>
        <v>0</v>
      </c>
      <c r="I61" s="187">
        <f ca="1">IFERROR(__xludf.DUMMYFUNCTION("IMPORTRANGE(""https://docs.google.com/spreadsheets/d/1fJJCVBkBnhriyv0Cp5ZFMr0I_yrfdEITNpb4zILJgUQ/edit?usp=sharing"",""ปทุมธานี!N473"")"),0)</f>
        <v>0</v>
      </c>
      <c r="J61" s="187">
        <f ca="1">IFERROR(__xludf.DUMMYFUNCTION("IMPORTRANGE(""https://docs.google.com/spreadsheets/d/1fJJCVBkBnhriyv0Cp5ZFMr0I_yrfdEITNpb4zILJgUQ/edit?usp=sharing"",""ปทุมธานี!N474"")"),0)</f>
        <v>0</v>
      </c>
      <c r="K61" s="187">
        <f ca="1">IFERROR(__xludf.DUMMYFUNCTION("IMPORTRANGE(""https://docs.google.com/spreadsheets/d/1fJJCVBkBnhriyv0Cp5ZFMr0I_yrfdEITNpb4zILJgUQ/edit?usp=sharing"",""ปทุมธานี!N475"")"),0)</f>
        <v>0</v>
      </c>
      <c r="L61" s="187">
        <f ca="1">IFERROR(__xludf.DUMMYFUNCTION("IMPORTRANGE(""https://docs.google.com/spreadsheets/d/1fJJCVBkBnhriyv0Cp5ZFMr0I_yrfdEITNpb4zILJgUQ/edit?usp=sharing"",""ปทุมธานี!N476"")"),0)</f>
        <v>0</v>
      </c>
      <c r="M61" s="185">
        <f ca="1">IFERROR(__xludf.DUMMYFUNCTION("IMPORTRANGE(""https://docs.google.com/spreadsheets/d/1fJJCVBkBnhriyv0Cp5ZFMr0I_yrfdEITNpb4zILJgUQ/edit?usp=sharing"",""ปทุมธานี!N479"")"),0)</f>
        <v>0</v>
      </c>
      <c r="N61" s="185">
        <f t="shared" ca="1" si="41"/>
        <v>0</v>
      </c>
      <c r="O61" s="181">
        <f ca="1">IFERROR(__xludf.DUMMYFUNCTION("IMPORTRANGE(""https://docs.google.com/spreadsheets/d/1fJJCVBkBnhriyv0Cp5ZFMr0I_yrfdEITNpb4zILJgUQ/edit?usp=sharing"",""ปทุมธานี!I465"")"),0)</f>
        <v>0</v>
      </c>
      <c r="P61" s="181">
        <f ca="1">IFERROR(__xludf.DUMMYFUNCTION("IMPORTRANGE(""https://docs.google.com/spreadsheets/d/1fJJCVBkBnhriyv0Cp5ZFMr0I_yrfdEITNpb4zILJgUQ/edit?usp=sharing"",""ปทุมธานี!I466"")"),0)</f>
        <v>0</v>
      </c>
      <c r="Q61" s="181">
        <f ca="1">IFERROR(__xludf.DUMMYFUNCTION("IMPORTRANGE(""https://docs.google.com/spreadsheets/d/1fJJCVBkBnhriyv0Cp5ZFMr0I_yrfdEITNpb4zILJgUQ/edit?usp=sharing"",""ปทุมธานี!J465"")"),0)</f>
        <v>0</v>
      </c>
      <c r="R61" s="186">
        <f t="shared" ca="1" si="6"/>
        <v>0</v>
      </c>
      <c r="S61" s="181">
        <f ca="1">IFERROR(__xludf.DUMMYFUNCTION("IMPORTRANGE(""https://docs.google.com/spreadsheets/d/1fJJCVBkBnhriyv0Cp5ZFMr0I_yrfdEITNpb4zILJgUQ/edit?usp=sharing"",""ปทุมธานี!J466"")"),0)</f>
        <v>0</v>
      </c>
      <c r="T61" s="186">
        <f t="shared" ca="1" si="7"/>
        <v>0</v>
      </c>
      <c r="U61" s="181">
        <f ca="1">IFERROR(__xludf.DUMMYFUNCTION("IMPORTRANGE(""https://docs.google.com/spreadsheets/d/1fJJCVBkBnhriyv0Cp5ZFMr0I_yrfdEITNpb4zILJgUQ/edit?usp=sharing"",""ปทุมธานี!I483"")"),0)</f>
        <v>0</v>
      </c>
      <c r="V61" s="181">
        <f ca="1">IFERROR(__xludf.DUMMYFUNCTION("IMPORTRANGE(""https://docs.google.com/spreadsheets/d/1fJJCVBkBnhriyv0Cp5ZFMr0I_yrfdEITNpb4zILJgUQ/edit?usp=sharing"",""ปทุมธานี!J483"")"),0)</f>
        <v>0</v>
      </c>
      <c r="W61" s="186">
        <f t="shared" ca="1" si="32"/>
        <v>0</v>
      </c>
      <c r="X61" s="181">
        <f ca="1">IFERROR(__xludf.DUMMYFUNCTION("IMPORTRANGE(""https://docs.google.com/spreadsheets/d/1fJJCVBkBnhriyv0Cp5ZFMr0I_yrfdEITNpb4zILJgUQ/edit?usp=sharing"",""ปทุมธานี!J484"")"),0)</f>
        <v>0</v>
      </c>
      <c r="Y61" s="181">
        <f ca="1">IFERROR(__xludf.DUMMYFUNCTION("IMPORTRANGE(""https://docs.google.com/spreadsheets/d/1fJJCVBkBnhriyv0Cp5ZFMr0I_yrfdEITNpb4zILJgUQ/edit?usp=sharing"",""ปทุมธานี!I485"")"),0)</f>
        <v>0</v>
      </c>
      <c r="Z61" s="181">
        <f ca="1">IFERROR(__xludf.DUMMYFUNCTION("IMPORTRANGE(""https://docs.google.com/spreadsheets/d/1fJJCVBkBnhriyv0Cp5ZFMr0I_yrfdEITNpb4zILJgUQ/edit?usp=sharing"",""ปทุมธานี!J485"")"),0)</f>
        <v>0</v>
      </c>
      <c r="AA61" s="186">
        <f t="shared" ca="1" si="33"/>
        <v>0</v>
      </c>
      <c r="AB61" s="181">
        <f ca="1">IFERROR(__xludf.DUMMYFUNCTION("IMPORTRANGE(""https://docs.google.com/spreadsheets/d/1fJJCVBkBnhriyv0Cp5ZFMr0I_yrfdEITNpb4zILJgUQ/edit?usp=sharing"",""ปทุมธานี!I487"")"),0)</f>
        <v>0</v>
      </c>
      <c r="AC61" s="181">
        <f ca="1">IFERROR(__xludf.DUMMYFUNCTION("IMPORTRANGE(""https://docs.google.com/spreadsheets/d/1fJJCVBkBnhriyv0Cp5ZFMr0I_yrfdEITNpb4zILJgUQ/edit?usp=sharing"",""ปทุมธานี!J487"")"),0)</f>
        <v>0</v>
      </c>
      <c r="AD61" s="186">
        <f t="shared" ca="1" si="34"/>
        <v>0</v>
      </c>
      <c r="AE61" s="181">
        <f ca="1">IFERROR(__xludf.DUMMYFUNCTION("IMPORTRANGE(""https://docs.google.com/spreadsheets/d/1fJJCVBkBnhriyv0Cp5ZFMr0I_yrfdEITNpb4zILJgUQ/edit?usp=sharing"",""ปทุมธานี!J488"")"),0)</f>
        <v>0</v>
      </c>
      <c r="AF61" s="181">
        <f ca="1">IFERROR(__xludf.DUMMYFUNCTION("IMPORTRANGE(""https://docs.google.com/spreadsheets/d/1fJJCVBkBnhriyv0Cp5ZFMr0I_yrfdEITNpb4zILJgUQ/edit?usp=sharing"",""ปทุมธานี!I489"")"),0)</f>
        <v>0</v>
      </c>
      <c r="AG61" s="181">
        <f ca="1">IFERROR(__xludf.DUMMYFUNCTION("IMPORTRANGE(""https://docs.google.com/spreadsheets/d/1fJJCVBkBnhriyv0Cp5ZFMr0I_yrfdEITNpb4zILJgUQ/edit?usp=sharing"",""ปทุมธานี!J489"")"),0)</f>
        <v>0</v>
      </c>
      <c r="AH61" s="186">
        <f t="shared" ca="1" si="35"/>
        <v>0</v>
      </c>
      <c r="AI61" s="181">
        <f ca="1">IFERROR(__xludf.DUMMYFUNCTION("IMPORTRANGE(""https://docs.google.com/spreadsheets/d/1fJJCVBkBnhriyv0Cp5ZFMr0I_yrfdEITNpb4zILJgUQ/edit?usp=sharing"",""ปทุมธานี!J491"")"),0)</f>
        <v>0</v>
      </c>
      <c r="AJ61" s="181">
        <f ca="1">IFERROR(__xludf.DUMMYFUNCTION("IMPORTRANGE(""https://docs.google.com/spreadsheets/d/1fJJCVBkBnhriyv0Cp5ZFMr0I_yrfdEITNpb4zILJgUQ/edit?usp=sharing"",""ปทุมธานี!I492"")"),0)</f>
        <v>0</v>
      </c>
      <c r="AK61" s="181">
        <f ca="1">IFERROR(__xludf.DUMMYFUNCTION("IMPORTRANGE(""https://docs.google.com/spreadsheets/d/1fJJCVBkBnhriyv0Cp5ZFMr0I_yrfdEITNpb4zILJgUQ/edit?usp=sharing"",""ปทุมธานี!J492"")"),0)</f>
        <v>0</v>
      </c>
      <c r="AL61" s="186">
        <f t="shared" ca="1" si="36"/>
        <v>0</v>
      </c>
      <c r="AM61" s="181">
        <f ca="1">IFERROR(__xludf.DUMMYFUNCTION("IMPORTRANGE(""https://docs.google.com/spreadsheets/d/1fJJCVBkBnhriyv0Cp5ZFMr0I_yrfdEITNpb4zILJgUQ/edit?usp=sharing"",""ปทุมธานี!I495"")"),0)</f>
        <v>0</v>
      </c>
      <c r="AN61" s="181">
        <f ca="1">IFERROR(__xludf.DUMMYFUNCTION("IMPORTRANGE(""https://docs.google.com/spreadsheets/d/1fJJCVBkBnhriyv0Cp5ZFMr0I_yrfdEITNpb4zILJgUQ/edit?usp=sharing"",""ปทุมธานี!J495"")"),0)</f>
        <v>0</v>
      </c>
      <c r="AO61" s="186">
        <f t="shared" ca="1" si="37"/>
        <v>0</v>
      </c>
      <c r="AP61" s="181">
        <f ca="1">IFERROR(__xludf.DUMMYFUNCTION("IMPORTRANGE(""https://docs.google.com/spreadsheets/d/1fJJCVBkBnhriyv0Cp5ZFMr0I_yrfdEITNpb4zILJgUQ/edit?usp=sharing"",""ปทุมธานี!J496"")"),0)</f>
        <v>0</v>
      </c>
      <c r="AQ61" s="181">
        <f ca="1">IFERROR(__xludf.DUMMYFUNCTION("IMPORTRANGE(""https://docs.google.com/spreadsheets/d/1fJJCVBkBnhriyv0Cp5ZFMr0I_yrfdEITNpb4zILJgUQ/edit?usp=sharing"",""ปทุมธานี!I498"")"),0)</f>
        <v>0</v>
      </c>
      <c r="AR61" s="181">
        <f ca="1">IFERROR(__xludf.DUMMYFUNCTION("IMPORTRANGE(""https://docs.google.com/spreadsheets/d/1fJJCVBkBnhriyv0Cp5ZFMr0I_yrfdEITNpb4zILJgUQ/edit?usp=sharing"",""ปทุมธานี!J498"")"),0)</f>
        <v>0</v>
      </c>
      <c r="AS61" s="186">
        <f t="shared" ca="1" si="38"/>
        <v>0</v>
      </c>
      <c r="AT61" s="181">
        <f ca="1">IFERROR(__xludf.DUMMYFUNCTION("IMPORTRANGE(""https://docs.google.com/spreadsheets/d/1fJJCVBkBnhriyv0Cp5ZFMr0I_yrfdEITNpb4zILJgUQ/edit?usp=sharing"",""ปทุมธานี!J499"")"),0)</f>
        <v>0</v>
      </c>
    </row>
    <row r="62" spans="1:46" ht="21" customHeight="1" x14ac:dyDescent="0.3">
      <c r="A62" s="178">
        <v>10</v>
      </c>
      <c r="B62" s="179" t="s">
        <v>79</v>
      </c>
      <c r="C62" s="180">
        <f t="shared" ca="1" si="74"/>
        <v>410533</v>
      </c>
      <c r="D62" s="181">
        <f ca="1">IFERROR(__xludf.DUMMYFUNCTION("IMPORTRANGE(""https://docs.google.com/spreadsheets/d/1W5Jj_S0gYw6wSO7QcMI02YgyOBDKYgmm0NSUk-AQEac/edit?usp=sharing"",""ประจวบคีรีขันธ์!L472"")"),410533)</f>
        <v>410533</v>
      </c>
      <c r="E62" s="187">
        <f ca="1">IFERROR(__xludf.DUMMYFUNCTION("IMPORTRANGE(""https://docs.google.com/spreadsheets/d/1W5Jj_S0gYw6wSO7QcMI02YgyOBDKYgmm0NSUk-AQEac/edit?usp=sharing"",""ประจวบคีรีขันธ์!L479"")"),0)</f>
        <v>0</v>
      </c>
      <c r="F62" s="182">
        <f t="shared" ca="1" si="1"/>
        <v>95580</v>
      </c>
      <c r="G62" s="183">
        <f t="shared" ca="1" si="2"/>
        <v>23.28192861475204</v>
      </c>
      <c r="H62" s="184">
        <f t="shared" ca="1" si="75"/>
        <v>95580</v>
      </c>
      <c r="I62" s="187">
        <f ca="1">IFERROR(__xludf.DUMMYFUNCTION("IMPORTRANGE(""https://docs.google.com/spreadsheets/d/1W5Jj_S0gYw6wSO7QcMI02YgyOBDKYgmm0NSUk-AQEac/edit?usp=sharing"",""ประจวบคีรีขันธ์!N473"")"),89210)</f>
        <v>89210</v>
      </c>
      <c r="J62" s="187">
        <f ca="1">IFERROR(__xludf.DUMMYFUNCTION("IMPORTRANGE(""https://docs.google.com/spreadsheets/d/1W5Jj_S0gYw6wSO7QcMI02YgyOBDKYgmm0NSUk-AQEac/edit?usp=sharing"",""ประจวบคีรีขันธ์!N474"")"),0)</f>
        <v>0</v>
      </c>
      <c r="K62" s="187">
        <f ca="1">IFERROR(__xludf.DUMMYFUNCTION("IMPORTRANGE(""https://docs.google.com/spreadsheets/d/1W5Jj_S0gYw6wSO7QcMI02YgyOBDKYgmm0NSUk-AQEac/edit?usp=sharing"",""ประจวบคีรีขันธ์!N475"")"),2400)</f>
        <v>2400</v>
      </c>
      <c r="L62" s="187">
        <f ca="1">IFERROR(__xludf.DUMMYFUNCTION("IMPORTRANGE(""https://docs.google.com/spreadsheets/d/1W5Jj_S0gYw6wSO7QcMI02YgyOBDKYgmm0NSUk-AQEac/edit?usp=sharing"",""ประจวบคีรีขันธ์!N476"")"),3970)</f>
        <v>3970</v>
      </c>
      <c r="M62" s="185">
        <f ca="1">IFERROR(__xludf.DUMMYFUNCTION("IMPORTRANGE(""https://docs.google.com/spreadsheets/d/1W5Jj_S0gYw6wSO7QcMI02YgyOBDKYgmm0NSUk-AQEac/edit?usp=sharing"",""ประจวบคีรีขันธ์!N479"")"),0)</f>
        <v>0</v>
      </c>
      <c r="N62" s="185">
        <f t="shared" ca="1" si="41"/>
        <v>0</v>
      </c>
      <c r="O62" s="181">
        <f ca="1">IFERROR(__xludf.DUMMYFUNCTION("IMPORTRANGE(""https://docs.google.com/spreadsheets/d/1W5Jj_S0gYw6wSO7QcMI02YgyOBDKYgmm0NSUk-AQEac/edit?usp=sharing"",""ประจวบคีรีขันธ์!I465"")"),51)</f>
        <v>51</v>
      </c>
      <c r="P62" s="181">
        <f ca="1">IFERROR(__xludf.DUMMYFUNCTION("IMPORTRANGE(""https://docs.google.com/spreadsheets/d/1W5Jj_S0gYw6wSO7QcMI02YgyOBDKYgmm0NSUk-AQEac/edit?usp=sharing"",""ประจวบคีรีขันธ์!I466"")"),500)</f>
        <v>500</v>
      </c>
      <c r="Q62" s="181">
        <f ca="1">IFERROR(__xludf.DUMMYFUNCTION("IMPORTRANGE(""https://docs.google.com/spreadsheets/d/1W5Jj_S0gYw6wSO7QcMI02YgyOBDKYgmm0NSUk-AQEac/edit?usp=sharing"",""ประจวบคีรีขันธ์!J465"")"),46)</f>
        <v>46</v>
      </c>
      <c r="R62" s="186">
        <f t="shared" ca="1" si="6"/>
        <v>90.196078431372555</v>
      </c>
      <c r="S62" s="181">
        <f ca="1">IFERROR(__xludf.DUMMYFUNCTION("IMPORTRANGE(""https://docs.google.com/spreadsheets/d/1W5Jj_S0gYw6wSO7QcMI02YgyOBDKYgmm0NSUk-AQEac/edit?usp=sharing"",""ประจวบคีรีขันธ์!J466"")"),0)</f>
        <v>0</v>
      </c>
      <c r="T62" s="186">
        <f t="shared" ca="1" si="7"/>
        <v>0</v>
      </c>
      <c r="U62" s="181">
        <f ca="1">IFERROR(__xludf.DUMMYFUNCTION("IMPORTRANGE(""https://docs.google.com/spreadsheets/d/1W5Jj_S0gYw6wSO7QcMI02YgyOBDKYgmm0NSUk-AQEac/edit?usp=sharing"",""ประจวบคีรีขันธ์!I483"")"),450)</f>
        <v>450</v>
      </c>
      <c r="V62" s="181">
        <f ca="1">IFERROR(__xludf.DUMMYFUNCTION("IMPORTRANGE(""https://docs.google.com/spreadsheets/d/1W5Jj_S0gYw6wSO7QcMI02YgyOBDKYgmm0NSUk-AQEac/edit?usp=sharing"",""ประจวบคีรีขันธ์!J483"")"),0)</f>
        <v>0</v>
      </c>
      <c r="W62" s="186">
        <f t="shared" ca="1" si="32"/>
        <v>0</v>
      </c>
      <c r="X62" s="181">
        <f ca="1">IFERROR(__xludf.DUMMYFUNCTION("IMPORTRANGE(""https://docs.google.com/spreadsheets/d/1W5Jj_S0gYw6wSO7QcMI02YgyOBDKYgmm0NSUk-AQEac/edit?usp=sharing"",""ประจวบคีรีขันธ์!J484"")"),0)</f>
        <v>0</v>
      </c>
      <c r="Y62" s="181">
        <f ca="1">IFERROR(__xludf.DUMMYFUNCTION("IMPORTRANGE(""https://docs.google.com/spreadsheets/d/1W5Jj_S0gYw6wSO7QcMI02YgyOBDKYgmm0NSUk-AQEac/edit?usp=sharing"",""ประจวบคีรีขันธ์!I485"")"),45)</f>
        <v>45</v>
      </c>
      <c r="Z62" s="181">
        <f ca="1">IFERROR(__xludf.DUMMYFUNCTION("IMPORTRANGE(""https://docs.google.com/spreadsheets/d/1W5Jj_S0gYw6wSO7QcMI02YgyOBDKYgmm0NSUk-AQEac/edit?usp=sharing"",""ประจวบคีรีขันธ์!J485"")"),45)</f>
        <v>45</v>
      </c>
      <c r="AA62" s="186">
        <f t="shared" ca="1" si="33"/>
        <v>100</v>
      </c>
      <c r="AB62" s="181">
        <f ca="1">IFERROR(__xludf.DUMMYFUNCTION("IMPORTRANGE(""https://docs.google.com/spreadsheets/d/1W5Jj_S0gYw6wSO7QcMI02YgyOBDKYgmm0NSUk-AQEac/edit?usp=sharing"",""ประจวบคีรีขันธ์!I487"")"),50)</f>
        <v>50</v>
      </c>
      <c r="AC62" s="181">
        <f ca="1">IFERROR(__xludf.DUMMYFUNCTION("IMPORTRANGE(""https://docs.google.com/spreadsheets/d/1W5Jj_S0gYw6wSO7QcMI02YgyOBDKYgmm0NSUk-AQEac/edit?usp=sharing"",""ประจวบคีรีขันธ์!J487"")"),0)</f>
        <v>0</v>
      </c>
      <c r="AD62" s="186">
        <f t="shared" ca="1" si="34"/>
        <v>0</v>
      </c>
      <c r="AE62" s="181">
        <f ca="1">IFERROR(__xludf.DUMMYFUNCTION("IMPORTRANGE(""https://docs.google.com/spreadsheets/d/1W5Jj_S0gYw6wSO7QcMI02YgyOBDKYgmm0NSUk-AQEac/edit?usp=sharing"",""ประจวบคีรีขันธ์!J488"")"),0)</f>
        <v>0</v>
      </c>
      <c r="AF62" s="181">
        <f ca="1">IFERROR(__xludf.DUMMYFUNCTION("IMPORTRANGE(""https://docs.google.com/spreadsheets/d/1W5Jj_S0gYw6wSO7QcMI02YgyOBDKYgmm0NSUk-AQEac/edit?usp=sharing"",""ประจวบคีรีขันธ์!I489"")"),5)</f>
        <v>5</v>
      </c>
      <c r="AG62" s="181">
        <f ca="1">IFERROR(__xludf.DUMMYFUNCTION("IMPORTRANGE(""https://docs.google.com/spreadsheets/d/1W5Jj_S0gYw6wSO7QcMI02YgyOBDKYgmm0NSUk-AQEac/edit?usp=sharing"",""ประจวบคีรีขันธ์!J489"")"),0)</f>
        <v>0</v>
      </c>
      <c r="AH62" s="186">
        <f t="shared" ca="1" si="35"/>
        <v>0</v>
      </c>
      <c r="AI62" s="206" t="str">
        <f ca="1">IFERROR(__xludf.DUMMYFUNCTION("IMPORTRANGE(""https://docs.google.com/spreadsheets/d/1W5Jj_S0gYw6wSO7QcMI02YgyOBDKYgmm0NSUk-AQEac/edit?usp=sharing"",""ประจวบคีรีขันธ์!J491"")"),"")</f>
        <v/>
      </c>
      <c r="AJ62" s="181">
        <f ca="1">IFERROR(__xludf.DUMMYFUNCTION("IMPORTRANGE(""https://docs.google.com/spreadsheets/d/1W5Jj_S0gYw6wSO7QcMI02YgyOBDKYgmm0NSUk-AQEac/edit?usp=sharing"",""ประจวบคีรีขันธ์!I492"")"),1)</f>
        <v>1</v>
      </c>
      <c r="AK62" s="206">
        <f ca="1">IFERROR(__xludf.DUMMYFUNCTION("IMPORTRANGE(""https://docs.google.com/spreadsheets/d/1W5Jj_S0gYw6wSO7QcMI02YgyOBDKYgmm0NSUk-AQEac/edit?usp=sharing"",""ประจวบคีรีขันธ์!J492"")"),1)</f>
        <v>1</v>
      </c>
      <c r="AL62" s="186">
        <f t="shared" ca="1" si="36"/>
        <v>100</v>
      </c>
      <c r="AM62" s="181">
        <f ca="1">IFERROR(__xludf.DUMMYFUNCTION("IMPORTRANGE(""https://docs.google.com/spreadsheets/d/1W5Jj_S0gYw6wSO7QcMI02YgyOBDKYgmm0NSUk-AQEac/edit?usp=sharing"",""ประจวบคีรีขันธ์!I495"")"),450)</f>
        <v>450</v>
      </c>
      <c r="AN62" s="181">
        <f ca="1">IFERROR(__xludf.DUMMYFUNCTION("IMPORTRANGE(""https://docs.google.com/spreadsheets/d/1W5Jj_S0gYw6wSO7QcMI02YgyOBDKYgmm0NSUk-AQEac/edit?usp=sharing"",""ประจวบคีรีขันธ์!J495"")"),0)</f>
        <v>0</v>
      </c>
      <c r="AO62" s="186">
        <f t="shared" ca="1" si="37"/>
        <v>0</v>
      </c>
      <c r="AP62" s="181">
        <f ca="1">IFERROR(__xludf.DUMMYFUNCTION("IMPORTRANGE(""https://docs.google.com/spreadsheets/d/1W5Jj_S0gYw6wSO7QcMI02YgyOBDKYgmm0NSUk-AQEac/edit?usp=sharing"",""ประจวบคีรีขันธ์!J496"")"),0)</f>
        <v>0</v>
      </c>
      <c r="AQ62" s="181">
        <f ca="1">IFERROR(__xludf.DUMMYFUNCTION("IMPORTRANGE(""https://docs.google.com/spreadsheets/d/1W5Jj_S0gYw6wSO7QcMI02YgyOBDKYgmm0NSUk-AQEac/edit?usp=sharing"",""ประจวบคีรีขันธ์!I498"")"),50)</f>
        <v>50</v>
      </c>
      <c r="AR62" s="181">
        <f ca="1">IFERROR(__xludf.DUMMYFUNCTION("IMPORTRANGE(""https://docs.google.com/spreadsheets/d/1W5Jj_S0gYw6wSO7QcMI02YgyOBDKYgmm0NSUk-AQEac/edit?usp=sharing"",""ประจวบคีรีขันธ์!J498"")"),0)</f>
        <v>0</v>
      </c>
      <c r="AS62" s="186">
        <f t="shared" ca="1" si="38"/>
        <v>0</v>
      </c>
      <c r="AT62" s="181">
        <f ca="1">IFERROR(__xludf.DUMMYFUNCTION("IMPORTRANGE(""https://docs.google.com/spreadsheets/d/1W5Jj_S0gYw6wSO7QcMI02YgyOBDKYgmm0NSUk-AQEac/edit?usp=sharing"",""ประจวบคีรีขันธ์!J499"")"),0)</f>
        <v>0</v>
      </c>
    </row>
    <row r="63" spans="1:46" ht="21" customHeight="1" x14ac:dyDescent="0.3">
      <c r="A63" s="178">
        <v>11</v>
      </c>
      <c r="B63" s="179" t="s">
        <v>80</v>
      </c>
      <c r="C63" s="188">
        <f t="shared" ca="1" si="74"/>
        <v>255463</v>
      </c>
      <c r="D63" s="189">
        <f ca="1">IFERROR(__xludf.DUMMYFUNCTION("IMPORTRANGE(""https://docs.google.com/spreadsheets/d/1nYxRXgnCfTXtqUY1otYuTlnrzE0Tn-Y0YRsW5pkRVqo/edit?usp=sharing"",""ปราจีนบุรี!L472"")"),255463)</f>
        <v>255463</v>
      </c>
      <c r="E63" s="190">
        <f ca="1">IFERROR(__xludf.DUMMYFUNCTION("IMPORTRANGE(""https://docs.google.com/spreadsheets/d/1nYxRXgnCfTXtqUY1otYuTlnrzE0Tn-Y0YRsW5pkRVqo/edit?usp=sharing"",""ปราจีนบุรี!L479"")"),0)</f>
        <v>0</v>
      </c>
      <c r="F63" s="182">
        <f t="shared" ca="1" si="1"/>
        <v>32070</v>
      </c>
      <c r="G63" s="191">
        <f t="shared" ca="1" si="2"/>
        <v>12.553677049122573</v>
      </c>
      <c r="H63" s="184">
        <f t="shared" ca="1" si="75"/>
        <v>32070</v>
      </c>
      <c r="I63" s="187">
        <f ca="1">IFERROR(__xludf.DUMMYFUNCTION("IMPORTRANGE(""https://docs.google.com/spreadsheets/d/1nYxRXgnCfTXtqUY1otYuTlnrzE0Tn-Y0YRsW5pkRVqo/edit?usp=sharing"",""ปราจีนบุรี!N473"")"),32070)</f>
        <v>32070</v>
      </c>
      <c r="J63" s="187">
        <f ca="1">IFERROR(__xludf.DUMMYFUNCTION("IMPORTRANGE(""https://docs.google.com/spreadsheets/d/1nYxRXgnCfTXtqUY1otYuTlnrzE0Tn-Y0YRsW5pkRVqo/edit?usp=sharing"",""ปราจีนบุรี!N474"")"),0)</f>
        <v>0</v>
      </c>
      <c r="K63" s="187">
        <f ca="1">IFERROR(__xludf.DUMMYFUNCTION("IMPORTRANGE(""https://docs.google.com/spreadsheets/d/1nYxRXgnCfTXtqUY1otYuTlnrzE0Tn-Y0YRsW5pkRVqo/edit?usp=sharing"",""ปราจีนบุรี!N475"")"),0)</f>
        <v>0</v>
      </c>
      <c r="L63" s="187">
        <f ca="1">IFERROR(__xludf.DUMMYFUNCTION("IMPORTRANGE(""https://docs.google.com/spreadsheets/d/1nYxRXgnCfTXtqUY1otYuTlnrzE0Tn-Y0YRsW5pkRVqo/edit?usp=sharing"",""ปราจีนบุรี!N476"")"),0)</f>
        <v>0</v>
      </c>
      <c r="M63" s="185">
        <f ca="1">IFERROR(__xludf.DUMMYFUNCTION("IMPORTRANGE(""https://docs.google.com/spreadsheets/d/1nYxRXgnCfTXtqUY1otYuTlnrzE0Tn-Y0YRsW5pkRVqo/edit?usp=sharing"",""ปราจีนบุรี!N479"")"),0)</f>
        <v>0</v>
      </c>
      <c r="N63" s="185">
        <f t="shared" ca="1" si="41"/>
        <v>0</v>
      </c>
      <c r="O63" s="189">
        <f ca="1">IFERROR(__xludf.DUMMYFUNCTION("IMPORTRANGE(""https://docs.google.com/spreadsheets/d/1nYxRXgnCfTXtqUY1otYuTlnrzE0Tn-Y0YRsW5pkRVqo/edit?usp=sharing"",""ปราจีนบุรี!I465"")"),31)</f>
        <v>31</v>
      </c>
      <c r="P63" s="189">
        <f ca="1">IFERROR(__xludf.DUMMYFUNCTION("IMPORTRANGE(""https://docs.google.com/spreadsheets/d/1nYxRXgnCfTXtqUY1otYuTlnrzE0Tn-Y0YRsW5pkRVqo/edit?usp=sharing"",""ปราจีนบุรี!I466"")"),300)</f>
        <v>300</v>
      </c>
      <c r="Q63" s="181">
        <f ca="1">IFERROR(__xludf.DUMMYFUNCTION("IMPORTRANGE(""https://docs.google.com/spreadsheets/d/1nYxRXgnCfTXtqUY1otYuTlnrzE0Tn-Y0YRsW5pkRVqo/edit?usp=sharing"",""ปราจีนบุรี!J465"")"),31)</f>
        <v>31</v>
      </c>
      <c r="R63" s="186">
        <f t="shared" ca="1" si="6"/>
        <v>100</v>
      </c>
      <c r="S63" s="181">
        <f ca="1">IFERROR(__xludf.DUMMYFUNCTION("IMPORTRANGE(""https://docs.google.com/spreadsheets/d/1nYxRXgnCfTXtqUY1otYuTlnrzE0Tn-Y0YRsW5pkRVqo/edit?usp=sharing"",""ปราจีนบุรี!J466"")"),0)</f>
        <v>0</v>
      </c>
      <c r="T63" s="186">
        <f t="shared" ca="1" si="7"/>
        <v>0</v>
      </c>
      <c r="U63" s="189">
        <f ca="1">IFERROR(__xludf.DUMMYFUNCTION("IMPORTRANGE(""https://docs.google.com/spreadsheets/d/1nYxRXgnCfTXtqUY1otYuTlnrzE0Tn-Y0YRsW5pkRVqo/edit?usp=sharing"",""ปราจีนบุรี!I483"")"),270)</f>
        <v>270</v>
      </c>
      <c r="V63" s="181">
        <f ca="1">IFERROR(__xludf.DUMMYFUNCTION("IMPORTRANGE(""https://docs.google.com/spreadsheets/d/1nYxRXgnCfTXtqUY1otYuTlnrzE0Tn-Y0YRsW5pkRVqo/edit?usp=sharing"",""ปราจีนบุรี!J483"")"),270)</f>
        <v>270</v>
      </c>
      <c r="W63" s="186">
        <f t="shared" ca="1" si="32"/>
        <v>100</v>
      </c>
      <c r="X63" s="181">
        <f ca="1">IFERROR(__xludf.DUMMYFUNCTION("IMPORTRANGE(""https://docs.google.com/spreadsheets/d/1nYxRXgnCfTXtqUY1otYuTlnrzE0Tn-Y0YRsW5pkRVqo/edit?usp=sharing"",""ปราจีนบุรี!J484"")"),0)</f>
        <v>0</v>
      </c>
      <c r="Y63" s="189">
        <f ca="1">IFERROR(__xludf.DUMMYFUNCTION("IMPORTRANGE(""https://docs.google.com/spreadsheets/d/1nYxRXgnCfTXtqUY1otYuTlnrzE0Tn-Y0YRsW5pkRVqo/edit?usp=sharing"",""ปราจีนบุรี!I485"")"),27)</f>
        <v>27</v>
      </c>
      <c r="Z63" s="181">
        <f ca="1">IFERROR(__xludf.DUMMYFUNCTION("IMPORTRANGE(""https://docs.google.com/spreadsheets/d/1nYxRXgnCfTXtqUY1otYuTlnrzE0Tn-Y0YRsW5pkRVqo/edit?usp=sharing"",""ปราจีนบุรี!J485"")"),27)</f>
        <v>27</v>
      </c>
      <c r="AA63" s="186">
        <f t="shared" ca="1" si="33"/>
        <v>100</v>
      </c>
      <c r="AB63" s="189">
        <f ca="1">IFERROR(__xludf.DUMMYFUNCTION("IMPORTRANGE(""https://docs.google.com/spreadsheets/d/1nYxRXgnCfTXtqUY1otYuTlnrzE0Tn-Y0YRsW5pkRVqo/edit?usp=sharing"",""ปราจีนบุรี!I487"")"),30)</f>
        <v>30</v>
      </c>
      <c r="AC63" s="181">
        <f ca="1">IFERROR(__xludf.DUMMYFUNCTION("IMPORTRANGE(""https://docs.google.com/spreadsheets/d/1nYxRXgnCfTXtqUY1otYuTlnrzE0Tn-Y0YRsW5pkRVqo/edit?usp=sharing"",""ปราจีนบุรี!J487"")"),30)</f>
        <v>30</v>
      </c>
      <c r="AD63" s="186">
        <f t="shared" ca="1" si="34"/>
        <v>100</v>
      </c>
      <c r="AE63" s="181">
        <f ca="1">IFERROR(__xludf.DUMMYFUNCTION("IMPORTRANGE(""https://docs.google.com/spreadsheets/d/1nYxRXgnCfTXtqUY1otYuTlnrzE0Tn-Y0YRsW5pkRVqo/edit?usp=sharing"",""ปราจีนบุรี!J488"")"),0)</f>
        <v>0</v>
      </c>
      <c r="AF63" s="189">
        <f ca="1">IFERROR(__xludf.DUMMYFUNCTION("IMPORTRANGE(""https://docs.google.com/spreadsheets/d/1nYxRXgnCfTXtqUY1otYuTlnrzE0Tn-Y0YRsW5pkRVqo/edit?usp=sharing"",""ปราจีนบุรี!I489"")"),3)</f>
        <v>3</v>
      </c>
      <c r="AG63" s="181">
        <f ca="1">IFERROR(__xludf.DUMMYFUNCTION("IMPORTRANGE(""https://docs.google.com/spreadsheets/d/1nYxRXgnCfTXtqUY1otYuTlnrzE0Tn-Y0YRsW5pkRVqo/edit?usp=sharing"",""ปราจีนบุรี!J489"")"),3)</f>
        <v>3</v>
      </c>
      <c r="AH63" s="186">
        <f t="shared" ca="1" si="35"/>
        <v>100</v>
      </c>
      <c r="AI63" s="181">
        <f ca="1">IFERROR(__xludf.DUMMYFUNCTION("IMPORTRANGE(""https://docs.google.com/spreadsheets/d/1nYxRXgnCfTXtqUY1otYuTlnrzE0Tn-Y0YRsW5pkRVqo/edit?usp=sharing"",""ปราจีนบุรี!J491"")"),0)</f>
        <v>0</v>
      </c>
      <c r="AJ63" s="189">
        <f ca="1">IFERROR(__xludf.DUMMYFUNCTION("IMPORTRANGE(""https://docs.google.com/spreadsheets/d/1nYxRXgnCfTXtqUY1otYuTlnrzE0Tn-Y0YRsW5pkRVqo/edit?usp=sharing"",""ปราจีนบุรี!I492"")"),1)</f>
        <v>1</v>
      </c>
      <c r="AK63" s="181">
        <f ca="1">IFERROR(__xludf.DUMMYFUNCTION("IMPORTRANGE(""https://docs.google.com/spreadsheets/d/1nYxRXgnCfTXtqUY1otYuTlnrzE0Tn-Y0YRsW5pkRVqo/edit?usp=sharing"",""ปราจีนบุรี!J492"")"),1)</f>
        <v>1</v>
      </c>
      <c r="AL63" s="186">
        <f t="shared" ca="1" si="36"/>
        <v>100</v>
      </c>
      <c r="AM63" s="189">
        <f ca="1">IFERROR(__xludf.DUMMYFUNCTION("IMPORTRANGE(""https://docs.google.com/spreadsheets/d/1nYxRXgnCfTXtqUY1otYuTlnrzE0Tn-Y0YRsW5pkRVqo/edit?usp=sharing"",""ปราจีนบุรี!I495"")"),270)</f>
        <v>270</v>
      </c>
      <c r="AN63" s="181">
        <f ca="1">IFERROR(__xludf.DUMMYFUNCTION("IMPORTRANGE(""https://docs.google.com/spreadsheets/d/1nYxRXgnCfTXtqUY1otYuTlnrzE0Tn-Y0YRsW5pkRVqo/edit?usp=sharing"",""ปราจีนบุรี!J495"")"),0)</f>
        <v>0</v>
      </c>
      <c r="AO63" s="186">
        <f t="shared" ca="1" si="37"/>
        <v>0</v>
      </c>
      <c r="AP63" s="181">
        <f ca="1">IFERROR(__xludf.DUMMYFUNCTION("IMPORTRANGE(""https://docs.google.com/spreadsheets/d/1nYxRXgnCfTXtqUY1otYuTlnrzE0Tn-Y0YRsW5pkRVqo/edit?usp=sharing"",""ปราจีนบุรี!J496"")"),0)</f>
        <v>0</v>
      </c>
      <c r="AQ63" s="189">
        <f ca="1">IFERROR(__xludf.DUMMYFUNCTION("IMPORTRANGE(""https://docs.google.com/spreadsheets/d/1nYxRXgnCfTXtqUY1otYuTlnrzE0Tn-Y0YRsW5pkRVqo/edit?usp=sharing"",""ปราจีนบุรี!I498"")"),30)</f>
        <v>30</v>
      </c>
      <c r="AR63" s="181">
        <f ca="1">IFERROR(__xludf.DUMMYFUNCTION("IMPORTRANGE(""https://docs.google.com/spreadsheets/d/1nYxRXgnCfTXtqUY1otYuTlnrzE0Tn-Y0YRsW5pkRVqo/edit?usp=sharing"",""ปราจีนบุรี!J498"")"),0)</f>
        <v>0</v>
      </c>
      <c r="AS63" s="186">
        <f t="shared" ca="1" si="38"/>
        <v>0</v>
      </c>
      <c r="AT63" s="181">
        <f ca="1">IFERROR(__xludf.DUMMYFUNCTION("IMPORTRANGE(""https://docs.google.com/spreadsheets/d/1nYxRXgnCfTXtqUY1otYuTlnrzE0Tn-Y0YRsW5pkRVqo/edit?usp=sharing"",""ปราจีนบุรี!J499"")"),0)</f>
        <v>0</v>
      </c>
    </row>
    <row r="64" spans="1:46" ht="21" customHeight="1" x14ac:dyDescent="0.3">
      <c r="A64" s="178">
        <v>12</v>
      </c>
      <c r="B64" s="179" t="s">
        <v>81</v>
      </c>
      <c r="C64" s="188">
        <f t="shared" ca="1" si="74"/>
        <v>0</v>
      </c>
      <c r="D64" s="189">
        <f ca="1">IFERROR(__xludf.DUMMYFUNCTION("IMPORTRANGE(""https://docs.google.com/spreadsheets/d/1nNHCLO8ZAXOMfQvxux7cf_hrzPAh8FAvaHq_ClKbZNo/edit?usp=sharing"",""พระนครศรีอยุธยา!L472"")"),0)</f>
        <v>0</v>
      </c>
      <c r="E64" s="190">
        <f ca="1">IFERROR(__xludf.DUMMYFUNCTION("IMPORTRANGE(""https://docs.google.com/spreadsheets/d/1nNHCLO8ZAXOMfQvxux7cf_hrzPAh8FAvaHq_ClKbZNo/edit?usp=sharing"",""พระนครศรีอยุธยา!L479"")"),0)</f>
        <v>0</v>
      </c>
      <c r="F64" s="182">
        <f t="shared" ca="1" si="1"/>
        <v>0</v>
      </c>
      <c r="G64" s="191">
        <f t="shared" ca="1" si="2"/>
        <v>0</v>
      </c>
      <c r="H64" s="184">
        <f t="shared" ca="1" si="75"/>
        <v>0</v>
      </c>
      <c r="I64" s="187">
        <f ca="1">IFERROR(__xludf.DUMMYFUNCTION("IMPORTRANGE(""https://docs.google.com/spreadsheets/d/1nNHCLO8ZAXOMfQvxux7cf_hrzPAh8FAvaHq_ClKbZNo/edit?usp=sharing"",""พระนครศรีอยุธยา!N473"")"),0)</f>
        <v>0</v>
      </c>
      <c r="J64" s="187">
        <f ca="1">IFERROR(__xludf.DUMMYFUNCTION("IMPORTRANGE(""https://docs.google.com/spreadsheets/d/1nNHCLO8ZAXOMfQvxux7cf_hrzPAh8FAvaHq_ClKbZNo/edit?usp=sharing"",""พระนครศรีอยุธยา!N474"")"),0)</f>
        <v>0</v>
      </c>
      <c r="K64" s="187">
        <f ca="1">IFERROR(__xludf.DUMMYFUNCTION("IMPORTRANGE(""https://docs.google.com/spreadsheets/d/1nNHCLO8ZAXOMfQvxux7cf_hrzPAh8FAvaHq_ClKbZNo/edit?usp=sharing"",""พระนครศรีอยุธยา!N475"")"),0)</f>
        <v>0</v>
      </c>
      <c r="L64" s="187">
        <f ca="1">IFERROR(__xludf.DUMMYFUNCTION("IMPORTRANGE(""https://docs.google.com/spreadsheets/d/1nNHCLO8ZAXOMfQvxux7cf_hrzPAh8FAvaHq_ClKbZNo/edit?usp=sharing"",""พระนครศรีอยุธยา!N476"")"),0)</f>
        <v>0</v>
      </c>
      <c r="M64" s="185">
        <f ca="1">IFERROR(__xludf.DUMMYFUNCTION("IMPORTRANGE(""https://docs.google.com/spreadsheets/d/1nNHCLO8ZAXOMfQvxux7cf_hrzPAh8FAvaHq_ClKbZNo/edit?usp=sharing"",""พระนครศรีอยุธยา!N479"")"),0)</f>
        <v>0</v>
      </c>
      <c r="N64" s="185">
        <f t="shared" ca="1" si="41"/>
        <v>0</v>
      </c>
      <c r="O64" s="189">
        <f ca="1">IFERROR(__xludf.DUMMYFUNCTION("IMPORTRANGE(""https://docs.google.com/spreadsheets/d/1nNHCLO8ZAXOMfQvxux7cf_hrzPAh8FAvaHq_ClKbZNo/edit?usp=sharing"",""พระนครศรีอยุธยา!I465"")"),0)</f>
        <v>0</v>
      </c>
      <c r="P64" s="189">
        <f ca="1">IFERROR(__xludf.DUMMYFUNCTION("IMPORTRANGE(""https://docs.google.com/spreadsheets/d/1nNHCLO8ZAXOMfQvxux7cf_hrzPAh8FAvaHq_ClKbZNo/edit?usp=sharing"",""พระนครศรีอยุธยา!I466"")"),0)</f>
        <v>0</v>
      </c>
      <c r="Q64" s="181">
        <f ca="1">IFERROR(__xludf.DUMMYFUNCTION("IMPORTRANGE(""https://docs.google.com/spreadsheets/d/1nNHCLO8ZAXOMfQvxux7cf_hrzPAh8FAvaHq_ClKbZNo/edit?usp=sharing"",""พระนครศรีอยุธยา!J465"")"),0)</f>
        <v>0</v>
      </c>
      <c r="R64" s="186">
        <f t="shared" ca="1" si="6"/>
        <v>0</v>
      </c>
      <c r="S64" s="181">
        <f ca="1">IFERROR(__xludf.DUMMYFUNCTION("IMPORTRANGE(""https://docs.google.com/spreadsheets/d/1nNHCLO8ZAXOMfQvxux7cf_hrzPAh8FAvaHq_ClKbZNo/edit?usp=sharing"",""พระนครศรีอยุธยา!J466"")"),0)</f>
        <v>0</v>
      </c>
      <c r="T64" s="186">
        <f t="shared" ca="1" si="7"/>
        <v>0</v>
      </c>
      <c r="U64" s="189">
        <f ca="1">IFERROR(__xludf.DUMMYFUNCTION("IMPORTRANGE(""https://docs.google.com/spreadsheets/d/1nNHCLO8ZAXOMfQvxux7cf_hrzPAh8FAvaHq_ClKbZNo/edit?usp=sharing"",""พระนครศรีอยุธยา!I483"")"),0)</f>
        <v>0</v>
      </c>
      <c r="V64" s="181">
        <f ca="1">IFERROR(__xludf.DUMMYFUNCTION("IMPORTRANGE(""https://docs.google.com/spreadsheets/d/1nNHCLO8ZAXOMfQvxux7cf_hrzPAh8FAvaHq_ClKbZNo/edit?usp=sharing"",""พระนครศรีอยุธยา!J483"")"),0)</f>
        <v>0</v>
      </c>
      <c r="W64" s="186">
        <f t="shared" ca="1" si="32"/>
        <v>0</v>
      </c>
      <c r="X64" s="181">
        <f ca="1">IFERROR(__xludf.DUMMYFUNCTION("IMPORTRANGE(""https://docs.google.com/spreadsheets/d/1nNHCLO8ZAXOMfQvxux7cf_hrzPAh8FAvaHq_ClKbZNo/edit?usp=sharing"",""พระนครศรีอยุธยา!J484"")"),0)</f>
        <v>0</v>
      </c>
      <c r="Y64" s="189">
        <f ca="1">IFERROR(__xludf.DUMMYFUNCTION("IMPORTRANGE(""https://docs.google.com/spreadsheets/d/1nNHCLO8ZAXOMfQvxux7cf_hrzPAh8FAvaHq_ClKbZNo/edit?usp=sharing"",""พระนครศรีอยุธยา!I485"")"),0)</f>
        <v>0</v>
      </c>
      <c r="Z64" s="181">
        <f ca="1">IFERROR(__xludf.DUMMYFUNCTION("IMPORTRANGE(""https://docs.google.com/spreadsheets/d/1nNHCLO8ZAXOMfQvxux7cf_hrzPAh8FAvaHq_ClKbZNo/edit?usp=sharing"",""พระนครศรีอยุธยา!J485"")"),0)</f>
        <v>0</v>
      </c>
      <c r="AA64" s="186">
        <f t="shared" ca="1" si="33"/>
        <v>0</v>
      </c>
      <c r="AB64" s="189">
        <f ca="1">IFERROR(__xludf.DUMMYFUNCTION("IMPORTRANGE(""https://docs.google.com/spreadsheets/d/1nNHCLO8ZAXOMfQvxux7cf_hrzPAh8FAvaHq_ClKbZNo/edit?usp=sharing"",""พระนครศรีอยุธยา!I487"")"),0)</f>
        <v>0</v>
      </c>
      <c r="AC64" s="181">
        <f ca="1">IFERROR(__xludf.DUMMYFUNCTION("IMPORTRANGE(""https://docs.google.com/spreadsheets/d/1nNHCLO8ZAXOMfQvxux7cf_hrzPAh8FAvaHq_ClKbZNo/edit?usp=sharing"",""พระนครศรีอยุธยา!J487"")"),0)</f>
        <v>0</v>
      </c>
      <c r="AD64" s="186">
        <f t="shared" ca="1" si="34"/>
        <v>0</v>
      </c>
      <c r="AE64" s="181">
        <f ca="1">IFERROR(__xludf.DUMMYFUNCTION("IMPORTRANGE(""https://docs.google.com/spreadsheets/d/1nNHCLO8ZAXOMfQvxux7cf_hrzPAh8FAvaHq_ClKbZNo/edit?usp=sharing"",""พระนครศรีอยุธยา!J488"")"),0)</f>
        <v>0</v>
      </c>
      <c r="AF64" s="189">
        <f ca="1">IFERROR(__xludf.DUMMYFUNCTION("IMPORTRANGE(""https://docs.google.com/spreadsheets/d/1nNHCLO8ZAXOMfQvxux7cf_hrzPAh8FAvaHq_ClKbZNo/edit?usp=sharing"",""พระนครศรีอยุธยา!I489"")"),0)</f>
        <v>0</v>
      </c>
      <c r="AG64" s="181">
        <f ca="1">IFERROR(__xludf.DUMMYFUNCTION("IMPORTRANGE(""https://docs.google.com/spreadsheets/d/1nNHCLO8ZAXOMfQvxux7cf_hrzPAh8FAvaHq_ClKbZNo/edit?usp=sharing"",""พระนครศรีอยุธยา!J489"")"),0)</f>
        <v>0</v>
      </c>
      <c r="AH64" s="186">
        <f t="shared" ca="1" si="35"/>
        <v>0</v>
      </c>
      <c r="AI64" s="181">
        <f ca="1">IFERROR(__xludf.DUMMYFUNCTION("IMPORTRANGE(""https://docs.google.com/spreadsheets/d/1nNHCLO8ZAXOMfQvxux7cf_hrzPAh8FAvaHq_ClKbZNo/edit?usp=sharing"",""พระนครศรีอยุธยา!J491"")"),0)</f>
        <v>0</v>
      </c>
      <c r="AJ64" s="189">
        <f ca="1">IFERROR(__xludf.DUMMYFUNCTION("IMPORTRANGE(""https://docs.google.com/spreadsheets/d/1nNHCLO8ZAXOMfQvxux7cf_hrzPAh8FAvaHq_ClKbZNo/edit?usp=sharing"",""พระนครศรีอยุธยา!I492"")"),0)</f>
        <v>0</v>
      </c>
      <c r="AK64" s="181">
        <f ca="1">IFERROR(__xludf.DUMMYFUNCTION("IMPORTRANGE(""https://docs.google.com/spreadsheets/d/1nNHCLO8ZAXOMfQvxux7cf_hrzPAh8FAvaHq_ClKbZNo/edit?usp=sharing"",""พระนครศรีอยุธยา!J492"")"),0)</f>
        <v>0</v>
      </c>
      <c r="AL64" s="186">
        <f t="shared" ca="1" si="36"/>
        <v>0</v>
      </c>
      <c r="AM64" s="189">
        <f ca="1">IFERROR(__xludf.DUMMYFUNCTION("IMPORTRANGE(""https://docs.google.com/spreadsheets/d/1nNHCLO8ZAXOMfQvxux7cf_hrzPAh8FAvaHq_ClKbZNo/edit?usp=sharing"",""พระนครศรีอยุธยา!I495"")"),0)</f>
        <v>0</v>
      </c>
      <c r="AN64" s="181">
        <f ca="1">IFERROR(__xludf.DUMMYFUNCTION("IMPORTRANGE(""https://docs.google.com/spreadsheets/d/1nNHCLO8ZAXOMfQvxux7cf_hrzPAh8FAvaHq_ClKbZNo/edit?usp=sharing"",""พระนครศรีอยุธยา!J495"")"),0)</f>
        <v>0</v>
      </c>
      <c r="AO64" s="186">
        <f t="shared" ca="1" si="37"/>
        <v>0</v>
      </c>
      <c r="AP64" s="181">
        <f ca="1">IFERROR(__xludf.DUMMYFUNCTION("IMPORTRANGE(""https://docs.google.com/spreadsheets/d/1nNHCLO8ZAXOMfQvxux7cf_hrzPAh8FAvaHq_ClKbZNo/edit?usp=sharing"",""พระนครศรีอยุธยา!J496"")"),0)</f>
        <v>0</v>
      </c>
      <c r="AQ64" s="189">
        <f ca="1">IFERROR(__xludf.DUMMYFUNCTION("IMPORTRANGE(""https://docs.google.com/spreadsheets/d/1nNHCLO8ZAXOMfQvxux7cf_hrzPAh8FAvaHq_ClKbZNo/edit?usp=sharing"",""พระนครศรีอยุธยา!I498"")"),0)</f>
        <v>0</v>
      </c>
      <c r="AR64" s="181">
        <f ca="1">IFERROR(__xludf.DUMMYFUNCTION("IMPORTRANGE(""https://docs.google.com/spreadsheets/d/1nNHCLO8ZAXOMfQvxux7cf_hrzPAh8FAvaHq_ClKbZNo/edit?usp=sharing"",""พระนครศรีอยุธยา!J498"")"),0)</f>
        <v>0</v>
      </c>
      <c r="AS64" s="186">
        <f t="shared" ca="1" si="38"/>
        <v>0</v>
      </c>
      <c r="AT64" s="181">
        <f ca="1">IFERROR(__xludf.DUMMYFUNCTION("IMPORTRANGE(""https://docs.google.com/spreadsheets/d/1nNHCLO8ZAXOMfQvxux7cf_hrzPAh8FAvaHq_ClKbZNo/edit?usp=sharing"",""พระนครศรีอยุธยา!J499"")"),0)</f>
        <v>0</v>
      </c>
    </row>
    <row r="65" spans="1:46" ht="21" customHeight="1" x14ac:dyDescent="0.3">
      <c r="A65" s="178">
        <v>13</v>
      </c>
      <c r="B65" s="179" t="s">
        <v>82</v>
      </c>
      <c r="C65" s="180">
        <f t="shared" ca="1" si="74"/>
        <v>179833</v>
      </c>
      <c r="D65" s="181">
        <f ca="1">IFERROR(__xludf.DUMMYFUNCTION("IMPORTRANGE(""https://docs.google.com/spreadsheets/d/1CdNicvf3i6yt4tJlCePe3V1Va76wYqW0QzMzTsaGRrA/edit?usp=sharing"",""เพชรบุรี!L472"")"),179833)</f>
        <v>179833</v>
      </c>
      <c r="E65" s="187">
        <f ca="1">IFERROR(__xludf.DUMMYFUNCTION("IMPORTRANGE(""https://docs.google.com/spreadsheets/d/1CdNicvf3i6yt4tJlCePe3V1Va76wYqW0QzMzTsaGRrA/edit?usp=sharing"",""เพชรบุรี!L479"")"),0)</f>
        <v>0</v>
      </c>
      <c r="F65" s="182">
        <f t="shared" ca="1" si="1"/>
        <v>32508</v>
      </c>
      <c r="G65" s="183">
        <f t="shared" ca="1" si="2"/>
        <v>18.076771226638048</v>
      </c>
      <c r="H65" s="184">
        <f t="shared" ca="1" si="75"/>
        <v>32508</v>
      </c>
      <c r="I65" s="187">
        <f ca="1">IFERROR(__xludf.DUMMYFUNCTION("IMPORTRANGE(""https://docs.google.com/spreadsheets/d/1CdNicvf3i6yt4tJlCePe3V1Va76wYqW0QzMzTsaGRrA/edit?usp=sharing"",""เพชรบุรี!N473"")"),24903)</f>
        <v>24903</v>
      </c>
      <c r="J65" s="187">
        <f ca="1">IFERROR(__xludf.DUMMYFUNCTION("IMPORTRANGE(""https://docs.google.com/spreadsheets/d/1CdNicvf3i6yt4tJlCePe3V1Va76wYqW0QzMzTsaGRrA/edit?usp=sharing"",""เพชรบุรี!N474"")"),0)</f>
        <v>0</v>
      </c>
      <c r="K65" s="187">
        <f ca="1">IFERROR(__xludf.DUMMYFUNCTION("IMPORTRANGE(""https://docs.google.com/spreadsheets/d/1CdNicvf3i6yt4tJlCePe3V1Va76wYqW0QzMzTsaGRrA/edit?usp=sharing"",""เพชรบุรี!N475"")"),0)</f>
        <v>0</v>
      </c>
      <c r="L65" s="187">
        <f ca="1">IFERROR(__xludf.DUMMYFUNCTION("IMPORTRANGE(""https://docs.google.com/spreadsheets/d/1CdNicvf3i6yt4tJlCePe3V1Va76wYqW0QzMzTsaGRrA/edit?usp=sharing"",""เพชรบุรี!N476"")"),7605)</f>
        <v>7605</v>
      </c>
      <c r="M65" s="185">
        <f ca="1">IFERROR(__xludf.DUMMYFUNCTION("IMPORTRANGE(""https://docs.google.com/spreadsheets/d/1CdNicvf3i6yt4tJlCePe3V1Va76wYqW0QzMzTsaGRrA/edit?usp=sharing"",""เพชรบุรี!N479"")"),0)</f>
        <v>0</v>
      </c>
      <c r="N65" s="185">
        <f t="shared" ca="1" si="41"/>
        <v>0</v>
      </c>
      <c r="O65" s="181">
        <f ca="1">IFERROR(__xludf.DUMMYFUNCTION("IMPORTRANGE(""https://docs.google.com/spreadsheets/d/1CdNicvf3i6yt4tJlCePe3V1Va76wYqW0QzMzTsaGRrA/edit?usp=sharing"",""เพชรบุรี!I465"")"),21)</f>
        <v>21</v>
      </c>
      <c r="P65" s="181">
        <f ca="1">IFERROR(__xludf.DUMMYFUNCTION("IMPORTRANGE(""https://docs.google.com/spreadsheets/d/1CdNicvf3i6yt4tJlCePe3V1Va76wYqW0QzMzTsaGRrA/edit?usp=sharing"",""เพชรบุรี!I466"")"),200)</f>
        <v>200</v>
      </c>
      <c r="Q65" s="181">
        <f ca="1">IFERROR(__xludf.DUMMYFUNCTION("IMPORTRANGE(""https://docs.google.com/spreadsheets/d/1CdNicvf3i6yt4tJlCePe3V1Va76wYqW0QzMzTsaGRrA/edit?usp=sharing"",""เพชรบุรี!J465"")"),21)</f>
        <v>21</v>
      </c>
      <c r="R65" s="186">
        <f t="shared" ca="1" si="6"/>
        <v>100</v>
      </c>
      <c r="S65" s="181">
        <f ca="1">IFERROR(__xludf.DUMMYFUNCTION("IMPORTRANGE(""https://docs.google.com/spreadsheets/d/1CdNicvf3i6yt4tJlCePe3V1Va76wYqW0QzMzTsaGRrA/edit?usp=sharing"",""เพชรบุรี!J466"")"),0)</f>
        <v>0</v>
      </c>
      <c r="T65" s="186">
        <f t="shared" ca="1" si="7"/>
        <v>0</v>
      </c>
      <c r="U65" s="181">
        <f ca="1">IFERROR(__xludf.DUMMYFUNCTION("IMPORTRANGE(""https://docs.google.com/spreadsheets/d/1CdNicvf3i6yt4tJlCePe3V1Va76wYqW0QzMzTsaGRrA/edit?usp=sharing"",""เพชรบุรี!I483"")"),180)</f>
        <v>180</v>
      </c>
      <c r="V65" s="181">
        <f ca="1">IFERROR(__xludf.DUMMYFUNCTION("IMPORTRANGE(""https://docs.google.com/spreadsheets/d/1CdNicvf3i6yt4tJlCePe3V1Va76wYqW0QzMzTsaGRrA/edit?usp=sharing"",""เพชรบุรี!J483"")"),0)</f>
        <v>0</v>
      </c>
      <c r="W65" s="186">
        <f t="shared" ca="1" si="32"/>
        <v>0</v>
      </c>
      <c r="X65" s="181">
        <f ca="1">IFERROR(__xludf.DUMMYFUNCTION("IMPORTRANGE(""https://docs.google.com/spreadsheets/d/1CdNicvf3i6yt4tJlCePe3V1Va76wYqW0QzMzTsaGRrA/edit?usp=sharing"",""เพชรบุรี!J484"")"),18)</f>
        <v>18</v>
      </c>
      <c r="Y65" s="181">
        <f ca="1">IFERROR(__xludf.DUMMYFUNCTION("IMPORTRANGE(""https://docs.google.com/spreadsheets/d/1CdNicvf3i6yt4tJlCePe3V1Va76wYqW0QzMzTsaGRrA/edit?usp=sharing"",""เพชรบุรี!I485"")"),18)</f>
        <v>18</v>
      </c>
      <c r="Z65" s="181">
        <f ca="1">IFERROR(__xludf.DUMMYFUNCTION("IMPORTRANGE(""https://docs.google.com/spreadsheets/d/1CdNicvf3i6yt4tJlCePe3V1Va76wYqW0QzMzTsaGRrA/edit?usp=sharing"",""เพชรบุรี!J485"")"),18)</f>
        <v>18</v>
      </c>
      <c r="AA65" s="186">
        <f t="shared" ca="1" si="33"/>
        <v>100</v>
      </c>
      <c r="AB65" s="181">
        <f ca="1">IFERROR(__xludf.DUMMYFUNCTION("IMPORTRANGE(""https://docs.google.com/spreadsheets/d/1CdNicvf3i6yt4tJlCePe3V1Va76wYqW0QzMzTsaGRrA/edit?usp=sharing"",""เพชรบุรี!I487"")"),20)</f>
        <v>20</v>
      </c>
      <c r="AC65" s="181">
        <f ca="1">IFERROR(__xludf.DUMMYFUNCTION("IMPORTRANGE(""https://docs.google.com/spreadsheets/d/1CdNicvf3i6yt4tJlCePe3V1Va76wYqW0QzMzTsaGRrA/edit?usp=sharing"",""เพชรบุรี!J487"")"),0)</f>
        <v>0</v>
      </c>
      <c r="AD65" s="186">
        <f t="shared" ca="1" si="34"/>
        <v>0</v>
      </c>
      <c r="AE65" s="181">
        <f ca="1">IFERROR(__xludf.DUMMYFUNCTION("IMPORTRANGE(""https://docs.google.com/spreadsheets/d/1CdNicvf3i6yt4tJlCePe3V1Va76wYqW0QzMzTsaGRrA/edit?usp=sharing"",""เพชรบุรี!J488"")"),2)</f>
        <v>2</v>
      </c>
      <c r="AF65" s="181">
        <f ca="1">IFERROR(__xludf.DUMMYFUNCTION("IMPORTRANGE(""https://docs.google.com/spreadsheets/d/1CdNicvf3i6yt4tJlCePe3V1Va76wYqW0QzMzTsaGRrA/edit?usp=sharing"",""เพชรบุรี!I489"")"),2)</f>
        <v>2</v>
      </c>
      <c r="AG65" s="181">
        <f ca="1">IFERROR(__xludf.DUMMYFUNCTION("IMPORTRANGE(""https://docs.google.com/spreadsheets/d/1CdNicvf3i6yt4tJlCePe3V1Va76wYqW0QzMzTsaGRrA/edit?usp=sharing"",""เพชรบุรี!J489"")"),2)</f>
        <v>2</v>
      </c>
      <c r="AH65" s="186">
        <f t="shared" ca="1" si="35"/>
        <v>100</v>
      </c>
      <c r="AI65" s="181">
        <f ca="1">IFERROR(__xludf.DUMMYFUNCTION("IMPORTRANGE(""https://docs.google.com/spreadsheets/d/1CdNicvf3i6yt4tJlCePe3V1Va76wYqW0QzMzTsaGRrA/edit?usp=sharing"",""เพชรบุรี!J491"")"),1)</f>
        <v>1</v>
      </c>
      <c r="AJ65" s="181">
        <f ca="1">IFERROR(__xludf.DUMMYFUNCTION("IMPORTRANGE(""https://docs.google.com/spreadsheets/d/1CdNicvf3i6yt4tJlCePe3V1Va76wYqW0QzMzTsaGRrA/edit?usp=sharing"",""เพชรบุรี!I492"")"),1)</f>
        <v>1</v>
      </c>
      <c r="AK65" s="181">
        <f ca="1">IFERROR(__xludf.DUMMYFUNCTION("IMPORTRANGE(""https://docs.google.com/spreadsheets/d/1CdNicvf3i6yt4tJlCePe3V1Va76wYqW0QzMzTsaGRrA/edit?usp=sharing"",""เพชรบุรี!J492"")"),1)</f>
        <v>1</v>
      </c>
      <c r="AL65" s="186">
        <f t="shared" ca="1" si="36"/>
        <v>100</v>
      </c>
      <c r="AM65" s="181">
        <f ca="1">IFERROR(__xludf.DUMMYFUNCTION("IMPORTRANGE(""https://docs.google.com/spreadsheets/d/1CdNicvf3i6yt4tJlCePe3V1Va76wYqW0QzMzTsaGRrA/edit?usp=sharing"",""เพชรบุรี!I495"")"),180)</f>
        <v>180</v>
      </c>
      <c r="AN65" s="181">
        <f ca="1">IFERROR(__xludf.DUMMYFUNCTION("IMPORTRANGE(""https://docs.google.com/spreadsheets/d/1CdNicvf3i6yt4tJlCePe3V1Va76wYqW0QzMzTsaGRrA/edit?usp=sharing"",""เพชรบุรี!J495"")"),0)</f>
        <v>0</v>
      </c>
      <c r="AO65" s="186">
        <f t="shared" ca="1" si="37"/>
        <v>0</v>
      </c>
      <c r="AP65" s="181">
        <f ca="1">IFERROR(__xludf.DUMMYFUNCTION("IMPORTRANGE(""https://docs.google.com/spreadsheets/d/1CdNicvf3i6yt4tJlCePe3V1Va76wYqW0QzMzTsaGRrA/edit?usp=sharing"",""เพชรบุรี!J496"")"),0)</f>
        <v>0</v>
      </c>
      <c r="AQ65" s="181">
        <f ca="1">IFERROR(__xludf.DUMMYFUNCTION("IMPORTRANGE(""https://docs.google.com/spreadsheets/d/1CdNicvf3i6yt4tJlCePe3V1Va76wYqW0QzMzTsaGRrA/edit?usp=sharing"",""เพชรบุรี!I498"")"),20)</f>
        <v>20</v>
      </c>
      <c r="AR65" s="181">
        <f ca="1">IFERROR(__xludf.DUMMYFUNCTION("IMPORTRANGE(""https://docs.google.com/spreadsheets/d/1CdNicvf3i6yt4tJlCePe3V1Va76wYqW0QzMzTsaGRrA/edit?usp=sharing"",""เพชรบุรี!J498"")"),0)</f>
        <v>0</v>
      </c>
      <c r="AS65" s="186">
        <f t="shared" ca="1" si="38"/>
        <v>0</v>
      </c>
      <c r="AT65" s="181">
        <f ca="1">IFERROR(__xludf.DUMMYFUNCTION("IMPORTRANGE(""https://docs.google.com/spreadsheets/d/1CdNicvf3i6yt4tJlCePe3V1Va76wYqW0QzMzTsaGRrA/edit?usp=sharing"",""เพชรบุรี!J499"")"),0)</f>
        <v>0</v>
      </c>
    </row>
    <row r="66" spans="1:46" ht="21" customHeight="1" x14ac:dyDescent="0.3">
      <c r="A66" s="178">
        <v>14</v>
      </c>
      <c r="B66" s="179" t="s">
        <v>83</v>
      </c>
      <c r="C66" s="180">
        <f t="shared" ca="1" si="74"/>
        <v>180043</v>
      </c>
      <c r="D66" s="181">
        <f ca="1">IFERROR(__xludf.DUMMYFUNCTION("IMPORTRANGE(""https://docs.google.com/spreadsheets/d/1XiF77UIVHV0Kjc6xbXuOuJ10WgJYxd4p_22ngKVV5oM/edit?usp=sharing"",""ระยอง!L472"")"),180043)</f>
        <v>180043</v>
      </c>
      <c r="E66" s="187">
        <f ca="1">IFERROR(__xludf.DUMMYFUNCTION("IMPORTRANGE(""https://docs.google.com/spreadsheets/d/1XiF77UIVHV0Kjc6xbXuOuJ10WgJYxd4p_22ngKVV5oM/edit?usp=sharing"",""ระยอง!L479"")"),0)</f>
        <v>0</v>
      </c>
      <c r="F66" s="182">
        <f t="shared" ca="1" si="1"/>
        <v>31111</v>
      </c>
      <c r="G66" s="183">
        <f t="shared" ca="1" si="2"/>
        <v>17.279760945996234</v>
      </c>
      <c r="H66" s="184">
        <f t="shared" ca="1" si="75"/>
        <v>31111</v>
      </c>
      <c r="I66" s="187">
        <f ca="1">IFERROR(__xludf.DUMMYFUNCTION("IMPORTRANGE(""https://docs.google.com/spreadsheets/d/1XiF77UIVHV0Kjc6xbXuOuJ10WgJYxd4p_22ngKVV5oM/edit?usp=sharing"",""ระยอง!N473"")"),24903)</f>
        <v>24903</v>
      </c>
      <c r="J66" s="187">
        <f ca="1">IFERROR(__xludf.DUMMYFUNCTION("IMPORTRANGE(""https://docs.google.com/spreadsheets/d/1XiF77UIVHV0Kjc6xbXuOuJ10WgJYxd4p_22ngKVV5oM/edit?usp=sharing"",""ระยอง!N474"")"),0)</f>
        <v>0</v>
      </c>
      <c r="K66" s="187">
        <f ca="1">IFERROR(__xludf.DUMMYFUNCTION("IMPORTRANGE(""https://docs.google.com/spreadsheets/d/1XiF77UIVHV0Kjc6xbXuOuJ10WgJYxd4p_22ngKVV5oM/edit?usp=sharing"",""ระยอง!N475"")"),0)</f>
        <v>0</v>
      </c>
      <c r="L66" s="187">
        <f ca="1">IFERROR(__xludf.DUMMYFUNCTION("IMPORTRANGE(""https://docs.google.com/spreadsheets/d/1XiF77UIVHV0Kjc6xbXuOuJ10WgJYxd4p_22ngKVV5oM/edit?usp=sharing"",""ระยอง!N476"")"),6208)</f>
        <v>6208</v>
      </c>
      <c r="M66" s="185">
        <f ca="1">IFERROR(__xludf.DUMMYFUNCTION("IMPORTRANGE(""https://docs.google.com/spreadsheets/d/1XiF77UIVHV0Kjc6xbXuOuJ10WgJYxd4p_22ngKVV5oM/edit?usp=sharing"",""ระยอง!N479"")"),0)</f>
        <v>0</v>
      </c>
      <c r="N66" s="185">
        <f t="shared" ca="1" si="41"/>
        <v>0</v>
      </c>
      <c r="O66" s="181">
        <f ca="1">IFERROR(__xludf.DUMMYFUNCTION("IMPORTRANGE(""https://docs.google.com/spreadsheets/d/1XiF77UIVHV0Kjc6xbXuOuJ10WgJYxd4p_22ngKVV5oM/edit?usp=sharing"",""ระยอง!I465"")"),21)</f>
        <v>21</v>
      </c>
      <c r="P66" s="181">
        <f ca="1">IFERROR(__xludf.DUMMYFUNCTION("IMPORTRANGE(""https://docs.google.com/spreadsheets/d/1XiF77UIVHV0Kjc6xbXuOuJ10WgJYxd4p_22ngKVV5oM/edit?usp=sharing"",""ระยอง!I466"")"),200)</f>
        <v>200</v>
      </c>
      <c r="Q66" s="181">
        <f ca="1">IFERROR(__xludf.DUMMYFUNCTION("IMPORTRANGE(""https://docs.google.com/spreadsheets/d/1XiF77UIVHV0Kjc6xbXuOuJ10WgJYxd4p_22ngKVV5oM/edit?usp=sharing"",""ระยอง!J465"")"),20)</f>
        <v>20</v>
      </c>
      <c r="R66" s="186">
        <f t="shared" ca="1" si="6"/>
        <v>95.238095238095241</v>
      </c>
      <c r="S66" s="181">
        <f ca="1">IFERROR(__xludf.DUMMYFUNCTION("IMPORTRANGE(""https://docs.google.com/spreadsheets/d/1XiF77UIVHV0Kjc6xbXuOuJ10WgJYxd4p_22ngKVV5oM/edit?usp=sharing"",""ระยอง!J466"")"),0)</f>
        <v>0</v>
      </c>
      <c r="T66" s="186">
        <f t="shared" ca="1" si="7"/>
        <v>0</v>
      </c>
      <c r="U66" s="181">
        <f ca="1">IFERROR(__xludf.DUMMYFUNCTION("IMPORTRANGE(""https://docs.google.com/spreadsheets/d/1XiF77UIVHV0Kjc6xbXuOuJ10WgJYxd4p_22ngKVV5oM/edit?usp=sharing"",""ระยอง!I483"")"),180)</f>
        <v>180</v>
      </c>
      <c r="V66" s="181">
        <f ca="1">IFERROR(__xludf.DUMMYFUNCTION("IMPORTRANGE(""https://docs.google.com/spreadsheets/d/1XiF77UIVHV0Kjc6xbXuOuJ10WgJYxd4p_22ngKVV5oM/edit?usp=sharing"",""ระยอง!J483"")"),180)</f>
        <v>180</v>
      </c>
      <c r="W66" s="186">
        <f t="shared" ca="1" si="32"/>
        <v>100</v>
      </c>
      <c r="X66" s="181">
        <f ca="1">IFERROR(__xludf.DUMMYFUNCTION("IMPORTRANGE(""https://docs.google.com/spreadsheets/d/1XiF77UIVHV0Kjc6xbXuOuJ10WgJYxd4p_22ngKVV5oM/edit?usp=sharing"",""ระยอง!J484"")"),0)</f>
        <v>0</v>
      </c>
      <c r="Y66" s="181">
        <f ca="1">IFERROR(__xludf.DUMMYFUNCTION("IMPORTRANGE(""https://docs.google.com/spreadsheets/d/1XiF77UIVHV0Kjc6xbXuOuJ10WgJYxd4p_22ngKVV5oM/edit?usp=sharing"",""ระยอง!I485"")"),18)</f>
        <v>18</v>
      </c>
      <c r="Z66" s="181">
        <f ca="1">IFERROR(__xludf.DUMMYFUNCTION("IMPORTRANGE(""https://docs.google.com/spreadsheets/d/1XiF77UIVHV0Kjc6xbXuOuJ10WgJYxd4p_22ngKVV5oM/edit?usp=sharing"",""ระยอง!J485"")"),18)</f>
        <v>18</v>
      </c>
      <c r="AA66" s="186">
        <f t="shared" ca="1" si="33"/>
        <v>100</v>
      </c>
      <c r="AB66" s="181">
        <f ca="1">IFERROR(__xludf.DUMMYFUNCTION("IMPORTRANGE(""https://docs.google.com/spreadsheets/d/1XiF77UIVHV0Kjc6xbXuOuJ10WgJYxd4p_22ngKVV5oM/edit?usp=sharing"",""ระยอง!I487"")"),20)</f>
        <v>20</v>
      </c>
      <c r="AC66" s="181">
        <f ca="1">IFERROR(__xludf.DUMMYFUNCTION("IMPORTRANGE(""https://docs.google.com/spreadsheets/d/1XiF77UIVHV0Kjc6xbXuOuJ10WgJYxd4p_22ngKVV5oM/edit?usp=sharing"",""ระยอง!J487"")"),20)</f>
        <v>20</v>
      </c>
      <c r="AD66" s="186">
        <f t="shared" ca="1" si="34"/>
        <v>100</v>
      </c>
      <c r="AE66" s="181">
        <f ca="1">IFERROR(__xludf.DUMMYFUNCTION("IMPORTRANGE(""https://docs.google.com/spreadsheets/d/1XiF77UIVHV0Kjc6xbXuOuJ10WgJYxd4p_22ngKVV5oM/edit?usp=sharing"",""ระยอง!J488"")"),0)</f>
        <v>0</v>
      </c>
      <c r="AF66" s="181">
        <f ca="1">IFERROR(__xludf.DUMMYFUNCTION("IMPORTRANGE(""https://docs.google.com/spreadsheets/d/1XiF77UIVHV0Kjc6xbXuOuJ10WgJYxd4p_22ngKVV5oM/edit?usp=sharing"",""ระยอง!I489"")"),2)</f>
        <v>2</v>
      </c>
      <c r="AG66" s="181">
        <f ca="1">IFERROR(__xludf.DUMMYFUNCTION("IMPORTRANGE(""https://docs.google.com/spreadsheets/d/1XiF77UIVHV0Kjc6xbXuOuJ10WgJYxd4p_22ngKVV5oM/edit?usp=sharing"",""ระยอง!J489"")"),2)</f>
        <v>2</v>
      </c>
      <c r="AH66" s="186">
        <f t="shared" ca="1" si="35"/>
        <v>100</v>
      </c>
      <c r="AI66" s="181">
        <f ca="1">IFERROR(__xludf.DUMMYFUNCTION("IMPORTRANGE(""https://docs.google.com/spreadsheets/d/1XiF77UIVHV0Kjc6xbXuOuJ10WgJYxd4p_22ngKVV5oM/edit?usp=sharing"",""ระยอง!J491"")"),0)</f>
        <v>0</v>
      </c>
      <c r="AJ66" s="181">
        <f ca="1">IFERROR(__xludf.DUMMYFUNCTION("IMPORTRANGE(""https://docs.google.com/spreadsheets/d/1XiF77UIVHV0Kjc6xbXuOuJ10WgJYxd4p_22ngKVV5oM/edit?usp=sharing"",""ระยอง!I492"")"),1)</f>
        <v>1</v>
      </c>
      <c r="AK66" s="181">
        <f ca="1">IFERROR(__xludf.DUMMYFUNCTION("IMPORTRANGE(""https://docs.google.com/spreadsheets/d/1XiF77UIVHV0Kjc6xbXuOuJ10WgJYxd4p_22ngKVV5oM/edit?usp=sharing"",""ระยอง!J492"")"),0)</f>
        <v>0</v>
      </c>
      <c r="AL66" s="186">
        <f t="shared" ca="1" si="36"/>
        <v>0</v>
      </c>
      <c r="AM66" s="181">
        <f ca="1">IFERROR(__xludf.DUMMYFUNCTION("IMPORTRANGE(""https://docs.google.com/spreadsheets/d/1XiF77UIVHV0Kjc6xbXuOuJ10WgJYxd4p_22ngKVV5oM/edit?usp=sharing"",""ระยอง!I495"")"),180)</f>
        <v>180</v>
      </c>
      <c r="AN66" s="181">
        <f ca="1">IFERROR(__xludf.DUMMYFUNCTION("IMPORTRANGE(""https://docs.google.com/spreadsheets/d/1XiF77UIVHV0Kjc6xbXuOuJ10WgJYxd4p_22ngKVV5oM/edit?usp=sharing"",""ระยอง!J495"")"),0)</f>
        <v>0</v>
      </c>
      <c r="AO66" s="186">
        <f t="shared" ca="1" si="37"/>
        <v>0</v>
      </c>
      <c r="AP66" s="181">
        <f ca="1">IFERROR(__xludf.DUMMYFUNCTION("IMPORTRANGE(""https://docs.google.com/spreadsheets/d/1XiF77UIVHV0Kjc6xbXuOuJ10WgJYxd4p_22ngKVV5oM/edit?usp=sharing"",""ระยอง!J496"")"),0)</f>
        <v>0</v>
      </c>
      <c r="AQ66" s="181">
        <f ca="1">IFERROR(__xludf.DUMMYFUNCTION("IMPORTRANGE(""https://docs.google.com/spreadsheets/d/1XiF77UIVHV0Kjc6xbXuOuJ10WgJYxd4p_22ngKVV5oM/edit?usp=sharing"",""ระยอง!I498"")"),20)</f>
        <v>20</v>
      </c>
      <c r="AR66" s="181">
        <f ca="1">IFERROR(__xludf.DUMMYFUNCTION("IMPORTRANGE(""https://docs.google.com/spreadsheets/d/1XiF77UIVHV0Kjc6xbXuOuJ10WgJYxd4p_22ngKVV5oM/edit?usp=sharing"",""ระยอง!J498"")"),0)</f>
        <v>0</v>
      </c>
      <c r="AS66" s="186">
        <f t="shared" ca="1" si="38"/>
        <v>0</v>
      </c>
      <c r="AT66" s="181">
        <f ca="1">IFERROR(__xludf.DUMMYFUNCTION("IMPORTRANGE(""https://docs.google.com/spreadsheets/d/1XiF77UIVHV0Kjc6xbXuOuJ10WgJYxd4p_22ngKVV5oM/edit?usp=sharing"",""ระยอง!J499"")"),0)</f>
        <v>0</v>
      </c>
    </row>
    <row r="67" spans="1:46" ht="21" customHeight="1" x14ac:dyDescent="0.3">
      <c r="A67" s="178">
        <v>15</v>
      </c>
      <c r="B67" s="179" t="s">
        <v>84</v>
      </c>
      <c r="C67" s="180">
        <f t="shared" ca="1" si="74"/>
        <v>486543</v>
      </c>
      <c r="D67" s="181">
        <f ca="1">IFERROR(__xludf.DUMMYFUNCTION("IMPORTRANGE(""https://docs.google.com/spreadsheets/d/1qU-W_9MCQD1pgIVXGEOjCFo9QqlmJywuebyGgaN92r8/edit?usp=sharing"",""ราชบุรี!L472"")"),486543)</f>
        <v>486543</v>
      </c>
      <c r="E67" s="187">
        <f ca="1">IFERROR(__xludf.DUMMYFUNCTION("IMPORTRANGE(""https://docs.google.com/spreadsheets/d/1qU-W_9MCQD1pgIVXGEOjCFo9QqlmJywuebyGgaN92r8/edit?usp=sharing"",""ราชบุรี!L479"")"),0)</f>
        <v>0</v>
      </c>
      <c r="F67" s="182">
        <f t="shared" ca="1" si="1"/>
        <v>83620.679999999993</v>
      </c>
      <c r="G67" s="183">
        <f t="shared" ca="1" si="2"/>
        <v>17.186698811821358</v>
      </c>
      <c r="H67" s="184">
        <f t="shared" ca="1" si="75"/>
        <v>83620.679999999993</v>
      </c>
      <c r="I67" s="187">
        <f ca="1">IFERROR(__xludf.DUMMYFUNCTION("IMPORTRANGE(""https://docs.google.com/spreadsheets/d/1qU-W_9MCQD1pgIVXGEOjCFo9QqlmJywuebyGgaN92r8/edit?usp=sharing"",""ราชบุรี!N473"")"),77523)</f>
        <v>77523</v>
      </c>
      <c r="J67" s="187">
        <f ca="1">IFERROR(__xludf.DUMMYFUNCTION("IMPORTRANGE(""https://docs.google.com/spreadsheets/d/1qU-W_9MCQD1pgIVXGEOjCFo9QqlmJywuebyGgaN92r8/edit?usp=sharing"",""ราชบุรี!N474"")"),0)</f>
        <v>0</v>
      </c>
      <c r="K67" s="187">
        <f ca="1">IFERROR(__xludf.DUMMYFUNCTION("IMPORTRANGE(""https://docs.google.com/spreadsheets/d/1qU-W_9MCQD1pgIVXGEOjCFo9QqlmJywuebyGgaN92r8/edit?usp=sharing"",""ราชบุรี!N475"")"),0)</f>
        <v>0</v>
      </c>
      <c r="L67" s="187">
        <f ca="1">IFERROR(__xludf.DUMMYFUNCTION("IMPORTRANGE(""https://docs.google.com/spreadsheets/d/1qU-W_9MCQD1pgIVXGEOjCFo9QqlmJywuebyGgaN92r8/edit?usp=sharing"",""ราชบุรี!N476"")"),6097.68)</f>
        <v>6097.68</v>
      </c>
      <c r="M67" s="185">
        <f ca="1">IFERROR(__xludf.DUMMYFUNCTION("IMPORTRANGE(""https://docs.google.com/spreadsheets/d/1qU-W_9MCQD1pgIVXGEOjCFo9QqlmJywuebyGgaN92r8/edit?usp=sharing"",""ราชบุรี!N479"")"),0)</f>
        <v>0</v>
      </c>
      <c r="N67" s="185">
        <f t="shared" ca="1" si="41"/>
        <v>0</v>
      </c>
      <c r="O67" s="181">
        <f ca="1">IFERROR(__xludf.DUMMYFUNCTION("IMPORTRANGE(""https://docs.google.com/spreadsheets/d/1qU-W_9MCQD1pgIVXGEOjCFo9QqlmJywuebyGgaN92r8/edit?usp=sharing"",""ราชบุรี!I465"")"),61)</f>
        <v>61</v>
      </c>
      <c r="P67" s="181">
        <f ca="1">IFERROR(__xludf.DUMMYFUNCTION("IMPORTRANGE(""https://docs.google.com/spreadsheets/d/1qU-W_9MCQD1pgIVXGEOjCFo9QqlmJywuebyGgaN92r8/edit?usp=sharing"",""ราชบุรี!I466"")"),600)</f>
        <v>600</v>
      </c>
      <c r="Q67" s="181">
        <f ca="1">IFERROR(__xludf.DUMMYFUNCTION("IMPORTRANGE(""https://docs.google.com/spreadsheets/d/1qU-W_9MCQD1pgIVXGEOjCFo9QqlmJywuebyGgaN92r8/edit?usp=sharing"",""ราชบุรี!J465"")"),63)</f>
        <v>63</v>
      </c>
      <c r="R67" s="186">
        <f t="shared" ca="1" si="6"/>
        <v>103.27868852459017</v>
      </c>
      <c r="S67" s="181">
        <f ca="1">IFERROR(__xludf.DUMMYFUNCTION("IMPORTRANGE(""https://docs.google.com/spreadsheets/d/1qU-W_9MCQD1pgIVXGEOjCFo9QqlmJywuebyGgaN92r8/edit?usp=sharing"",""ราชบุรี!J466"")"),0)</f>
        <v>0</v>
      </c>
      <c r="T67" s="186">
        <f t="shared" ca="1" si="7"/>
        <v>0</v>
      </c>
      <c r="U67" s="181">
        <f ca="1">IFERROR(__xludf.DUMMYFUNCTION("IMPORTRANGE(""https://docs.google.com/spreadsheets/d/1qU-W_9MCQD1pgIVXGEOjCFo9QqlmJywuebyGgaN92r8/edit?usp=sharing"",""ราชบุรี!I483"")"),540)</f>
        <v>540</v>
      </c>
      <c r="V67" s="181">
        <f ca="1">IFERROR(__xludf.DUMMYFUNCTION("IMPORTRANGE(""https://docs.google.com/spreadsheets/d/1qU-W_9MCQD1pgIVXGEOjCFo9QqlmJywuebyGgaN92r8/edit?usp=sharing"",""ราชบุรี!J483"")"),540)</f>
        <v>540</v>
      </c>
      <c r="W67" s="186">
        <f t="shared" ca="1" si="32"/>
        <v>100</v>
      </c>
      <c r="X67" s="181">
        <f ca="1">IFERROR(__xludf.DUMMYFUNCTION("IMPORTRANGE(""https://docs.google.com/spreadsheets/d/1qU-W_9MCQD1pgIVXGEOjCFo9QqlmJywuebyGgaN92r8/edit?usp=sharing"",""ราชบุรี!J484"")"),56)</f>
        <v>56</v>
      </c>
      <c r="Y67" s="181">
        <f ca="1">IFERROR(__xludf.DUMMYFUNCTION("IMPORTRANGE(""https://docs.google.com/spreadsheets/d/1qU-W_9MCQD1pgIVXGEOjCFo9QqlmJywuebyGgaN92r8/edit?usp=sharing"",""ราชบุรี!I485"")"),54)</f>
        <v>54</v>
      </c>
      <c r="Z67" s="181">
        <f ca="1">IFERROR(__xludf.DUMMYFUNCTION("IMPORTRANGE(""https://docs.google.com/spreadsheets/d/1qU-W_9MCQD1pgIVXGEOjCFo9QqlmJywuebyGgaN92r8/edit?usp=sharing"",""ราชบุรี!J485"")"),56)</f>
        <v>56</v>
      </c>
      <c r="AA67" s="186">
        <f t="shared" ca="1" si="33"/>
        <v>103.70370370370371</v>
      </c>
      <c r="AB67" s="181">
        <f ca="1">IFERROR(__xludf.DUMMYFUNCTION("IMPORTRANGE(""https://docs.google.com/spreadsheets/d/1qU-W_9MCQD1pgIVXGEOjCFo9QqlmJywuebyGgaN92r8/edit?usp=sharing"",""ราชบุรี!I487"")"),60)</f>
        <v>60</v>
      </c>
      <c r="AC67" s="181">
        <f ca="1">IFERROR(__xludf.DUMMYFUNCTION("IMPORTRANGE(""https://docs.google.com/spreadsheets/d/1qU-W_9MCQD1pgIVXGEOjCFo9QqlmJywuebyGgaN92r8/edit?usp=sharing"",""ราชบุรี!J487"")"),60)</f>
        <v>60</v>
      </c>
      <c r="AD67" s="186">
        <f t="shared" ca="1" si="34"/>
        <v>100</v>
      </c>
      <c r="AE67" s="181">
        <f ca="1">IFERROR(__xludf.DUMMYFUNCTION("IMPORTRANGE(""https://docs.google.com/spreadsheets/d/1qU-W_9MCQD1pgIVXGEOjCFo9QqlmJywuebyGgaN92r8/edit?usp=sharing"",""ราชบุรี!J488"")"),6)</f>
        <v>6</v>
      </c>
      <c r="AF67" s="181">
        <f ca="1">IFERROR(__xludf.DUMMYFUNCTION("IMPORTRANGE(""https://docs.google.com/spreadsheets/d/1qU-W_9MCQD1pgIVXGEOjCFo9QqlmJywuebyGgaN92r8/edit?usp=sharing"",""ราชบุรี!I489"")"),6)</f>
        <v>6</v>
      </c>
      <c r="AG67" s="181">
        <f ca="1">IFERROR(__xludf.DUMMYFUNCTION("IMPORTRANGE(""https://docs.google.com/spreadsheets/d/1qU-W_9MCQD1pgIVXGEOjCFo9QqlmJywuebyGgaN92r8/edit?usp=sharing"",""ราชบุรี!J489"")"),6)</f>
        <v>6</v>
      </c>
      <c r="AH67" s="186">
        <f t="shared" ca="1" si="35"/>
        <v>100</v>
      </c>
      <c r="AI67" s="181">
        <f ca="1">IFERROR(__xludf.DUMMYFUNCTION("IMPORTRANGE(""https://docs.google.com/spreadsheets/d/1qU-W_9MCQD1pgIVXGEOjCFo9QqlmJywuebyGgaN92r8/edit?usp=sharing"",""ราชบุรี!J491"")"),1)</f>
        <v>1</v>
      </c>
      <c r="AJ67" s="181">
        <f ca="1">IFERROR(__xludf.DUMMYFUNCTION("IMPORTRANGE(""https://docs.google.com/spreadsheets/d/1qU-W_9MCQD1pgIVXGEOjCFo9QqlmJywuebyGgaN92r8/edit?usp=sharing"",""ราชบุรี!I492"")"),1)</f>
        <v>1</v>
      </c>
      <c r="AK67" s="181">
        <f ca="1">IFERROR(__xludf.DUMMYFUNCTION("IMPORTRANGE(""https://docs.google.com/spreadsheets/d/1qU-W_9MCQD1pgIVXGEOjCFo9QqlmJywuebyGgaN92r8/edit?usp=sharing"",""ราชบุรี!J492"")"),1)</f>
        <v>1</v>
      </c>
      <c r="AL67" s="186">
        <f t="shared" ca="1" si="36"/>
        <v>100</v>
      </c>
      <c r="AM67" s="181">
        <f ca="1">IFERROR(__xludf.DUMMYFUNCTION("IMPORTRANGE(""https://docs.google.com/spreadsheets/d/1qU-W_9MCQD1pgIVXGEOjCFo9QqlmJywuebyGgaN92r8/edit?usp=sharing"",""ราชบุรี!I495"")"),540)</f>
        <v>540</v>
      </c>
      <c r="AN67" s="181">
        <f ca="1">IFERROR(__xludf.DUMMYFUNCTION("IMPORTRANGE(""https://docs.google.com/spreadsheets/d/1qU-W_9MCQD1pgIVXGEOjCFo9QqlmJywuebyGgaN92r8/edit?usp=sharing"",""ราชบุรี!J495"")"),0)</f>
        <v>0</v>
      </c>
      <c r="AO67" s="186">
        <f t="shared" ca="1" si="37"/>
        <v>0</v>
      </c>
      <c r="AP67" s="181">
        <f ca="1">IFERROR(__xludf.DUMMYFUNCTION("IMPORTRANGE(""https://docs.google.com/spreadsheets/d/1qU-W_9MCQD1pgIVXGEOjCFo9QqlmJywuebyGgaN92r8/edit?usp=sharing"",""ราชบุรี!J496"")"),0)</f>
        <v>0</v>
      </c>
      <c r="AQ67" s="181">
        <f ca="1">IFERROR(__xludf.DUMMYFUNCTION("IMPORTRANGE(""https://docs.google.com/spreadsheets/d/1qU-W_9MCQD1pgIVXGEOjCFo9QqlmJywuebyGgaN92r8/edit?usp=sharing"",""ราชบุรี!I498"")"),60)</f>
        <v>60</v>
      </c>
      <c r="AR67" s="181">
        <f ca="1">IFERROR(__xludf.DUMMYFUNCTION("IMPORTRANGE(""https://docs.google.com/spreadsheets/d/1qU-W_9MCQD1pgIVXGEOjCFo9QqlmJywuebyGgaN92r8/edit?usp=sharing"",""ราชบุรี!J498"")"),0)</f>
        <v>0</v>
      </c>
      <c r="AS67" s="186">
        <f t="shared" ca="1" si="38"/>
        <v>0</v>
      </c>
      <c r="AT67" s="181">
        <f ca="1">IFERROR(__xludf.DUMMYFUNCTION("IMPORTRANGE(""https://docs.google.com/spreadsheets/d/1qU-W_9MCQD1pgIVXGEOjCFo9QqlmJywuebyGgaN92r8/edit?usp=sharing"",""ราชบุรี!J499"")"),0)</f>
        <v>0</v>
      </c>
    </row>
    <row r="68" spans="1:46" ht="24" customHeight="1" x14ac:dyDescent="0.3">
      <c r="A68" s="178">
        <v>16</v>
      </c>
      <c r="B68" s="179" t="s">
        <v>85</v>
      </c>
      <c r="C68" s="180">
        <f t="shared" ca="1" si="74"/>
        <v>1166488</v>
      </c>
      <c r="D68" s="181">
        <f ca="1">IFERROR(__xludf.DUMMYFUNCTION("IMPORTRANGE(""https://docs.google.com/spreadsheets/d/1xYFIxIM_CspAP5Q-5Zx_V0T_Ut3cjryrjd2hss28vGk/edit?usp=sharing"",""ลพบุรี!L472"")"),1166488)</f>
        <v>1166488</v>
      </c>
      <c r="E68" s="187">
        <f ca="1">IFERROR(__xludf.DUMMYFUNCTION("IMPORTRANGE(""https://docs.google.com/spreadsheets/d/1xYFIxIM_CspAP5Q-5Zx_V0T_Ut3cjryrjd2hss28vGk/edit?usp=sharing"",""ลพบุรี!L479"")"),0)</f>
        <v>0</v>
      </c>
      <c r="F68" s="182">
        <f t="shared" ca="1" si="1"/>
        <v>29032</v>
      </c>
      <c r="G68" s="183">
        <f t="shared" ca="1" si="2"/>
        <v>2.4888382906639417</v>
      </c>
      <c r="H68" s="184">
        <f t="shared" ca="1" si="75"/>
        <v>29032</v>
      </c>
      <c r="I68" s="187">
        <f ca="1">IFERROR(__xludf.DUMMYFUNCTION("IMPORTRANGE(""https://docs.google.com/spreadsheets/d/1xYFIxIM_CspAP5Q-5Zx_V0T_Ut3cjryrjd2hss28vGk/edit?usp=sharing"",""ลพบุรี!N473"")"),0)</f>
        <v>0</v>
      </c>
      <c r="J68" s="187">
        <f ca="1">IFERROR(__xludf.DUMMYFUNCTION("IMPORTRANGE(""https://docs.google.com/spreadsheets/d/1xYFIxIM_CspAP5Q-5Zx_V0T_Ut3cjryrjd2hss28vGk/edit?usp=sharing"",""ลพบุรี!N474"")"),0)</f>
        <v>0</v>
      </c>
      <c r="K68" s="187">
        <f ca="1">IFERROR(__xludf.DUMMYFUNCTION("IMPORTRANGE(""https://docs.google.com/spreadsheets/d/1xYFIxIM_CspAP5Q-5Zx_V0T_Ut3cjryrjd2hss28vGk/edit?usp=sharing"",""ลพบุรี!N475"")"),26000)</f>
        <v>26000</v>
      </c>
      <c r="L68" s="187">
        <f ca="1">IFERROR(__xludf.DUMMYFUNCTION("IMPORTRANGE(""https://docs.google.com/spreadsheets/d/1xYFIxIM_CspAP5Q-5Zx_V0T_Ut3cjryrjd2hss28vGk/edit?usp=sharing"",""ลพบุรี!N476"")"),3032)</f>
        <v>3032</v>
      </c>
      <c r="M68" s="185">
        <f ca="1">IFERROR(__xludf.DUMMYFUNCTION("IMPORTRANGE(""https://docs.google.com/spreadsheets/d/1xYFIxIM_CspAP5Q-5Zx_V0T_Ut3cjryrjd2hss28vGk/edit?usp=sharing"",""ลพบุรี!N479"")"),0)</f>
        <v>0</v>
      </c>
      <c r="N68" s="185">
        <f t="shared" ca="1" si="41"/>
        <v>0</v>
      </c>
      <c r="O68" s="181">
        <f ca="1">IFERROR(__xludf.DUMMYFUNCTION("IMPORTRANGE(""https://docs.google.com/spreadsheets/d/1xYFIxIM_CspAP5Q-5Zx_V0T_Ut3cjryrjd2hss28vGk/edit?usp=sharing"",""ลพบุรี!I465"")"),131)</f>
        <v>131</v>
      </c>
      <c r="P68" s="181">
        <f ca="1">IFERROR(__xludf.DUMMYFUNCTION("IMPORTRANGE(""https://docs.google.com/spreadsheets/d/1xYFIxIM_CspAP5Q-5Zx_V0T_Ut3cjryrjd2hss28vGk/edit?usp=sharing"",""ลพบุรี!I466"")"),1300)</f>
        <v>1300</v>
      </c>
      <c r="Q68" s="181">
        <f ca="1">IFERROR(__xludf.DUMMYFUNCTION("IMPORTRANGE(""https://docs.google.com/spreadsheets/d/1xYFIxIM_CspAP5Q-5Zx_V0T_Ut3cjryrjd2hss28vGk/edit?usp=sharing"",""ลพบุรี!J465"")"),0)</f>
        <v>0</v>
      </c>
      <c r="R68" s="186">
        <f t="shared" ca="1" si="6"/>
        <v>0</v>
      </c>
      <c r="S68" s="181">
        <f ca="1">IFERROR(__xludf.DUMMYFUNCTION("IMPORTRANGE(""https://docs.google.com/spreadsheets/d/1xYFIxIM_CspAP5Q-5Zx_V0T_Ut3cjryrjd2hss28vGk/edit?usp=sharing"",""ลพบุรี!J466"")"),0)</f>
        <v>0</v>
      </c>
      <c r="T68" s="186">
        <f t="shared" ca="1" si="7"/>
        <v>0</v>
      </c>
      <c r="U68" s="181">
        <f ca="1">IFERROR(__xludf.DUMMYFUNCTION("IMPORTRANGE(""https://docs.google.com/spreadsheets/d/1xYFIxIM_CspAP5Q-5Zx_V0T_Ut3cjryrjd2hss28vGk/edit?usp=sharing"",""ลพบุรี!I483"")"),1170)</f>
        <v>1170</v>
      </c>
      <c r="V68" s="181">
        <f ca="1">IFERROR(__xludf.DUMMYFUNCTION("IMPORTRANGE(""https://docs.google.com/spreadsheets/d/1xYFIxIM_CspAP5Q-5Zx_V0T_Ut3cjryrjd2hss28vGk/edit?usp=sharing"",""ลพบุรี!J483"")"),0)</f>
        <v>0</v>
      </c>
      <c r="W68" s="186">
        <f t="shared" ca="1" si="32"/>
        <v>0</v>
      </c>
      <c r="X68" s="181">
        <f ca="1">IFERROR(__xludf.DUMMYFUNCTION("IMPORTRANGE(""https://docs.google.com/spreadsheets/d/1xYFIxIM_CspAP5Q-5Zx_V0T_Ut3cjryrjd2hss28vGk/edit?usp=sharing"",""ลพบุรี!J484"")"),0)</f>
        <v>0</v>
      </c>
      <c r="Y68" s="181">
        <f ca="1">IFERROR(__xludf.DUMMYFUNCTION("IMPORTRANGE(""https://docs.google.com/spreadsheets/d/1xYFIxIM_CspAP5Q-5Zx_V0T_Ut3cjryrjd2hss28vGk/edit?usp=sharing"",""ลพบุรี!I485"")"),117)</f>
        <v>117</v>
      </c>
      <c r="Z68" s="181">
        <f ca="1">IFERROR(__xludf.DUMMYFUNCTION("IMPORTRANGE(""https://docs.google.com/spreadsheets/d/1xYFIxIM_CspAP5Q-5Zx_V0T_Ut3cjryrjd2hss28vGk/edit?usp=sharing"",""ลพบุรี!J485"")"),0)</f>
        <v>0</v>
      </c>
      <c r="AA68" s="186">
        <f t="shared" ca="1" si="33"/>
        <v>0</v>
      </c>
      <c r="AB68" s="181">
        <f ca="1">IFERROR(__xludf.DUMMYFUNCTION("IMPORTRANGE(""https://docs.google.com/spreadsheets/d/1xYFIxIM_CspAP5Q-5Zx_V0T_Ut3cjryrjd2hss28vGk/edit?usp=sharing"",""ลพบุรี!I487"")"),130)</f>
        <v>130</v>
      </c>
      <c r="AC68" s="181">
        <f ca="1">IFERROR(__xludf.DUMMYFUNCTION("IMPORTRANGE(""https://docs.google.com/spreadsheets/d/1xYFIxIM_CspAP5Q-5Zx_V0T_Ut3cjryrjd2hss28vGk/edit?usp=sharing"",""ลพบุรี!J487"")"),0)</f>
        <v>0</v>
      </c>
      <c r="AD68" s="186">
        <f t="shared" ca="1" si="34"/>
        <v>0</v>
      </c>
      <c r="AE68" s="181">
        <f ca="1">IFERROR(__xludf.DUMMYFUNCTION("IMPORTRANGE(""https://docs.google.com/spreadsheets/d/1xYFIxIM_CspAP5Q-5Zx_V0T_Ut3cjryrjd2hss28vGk/edit?usp=sharing"",""ลพบุรี!J488"")"),0)</f>
        <v>0</v>
      </c>
      <c r="AF68" s="181">
        <f ca="1">IFERROR(__xludf.DUMMYFUNCTION("IMPORTRANGE(""https://docs.google.com/spreadsheets/d/1xYFIxIM_CspAP5Q-5Zx_V0T_Ut3cjryrjd2hss28vGk/edit?usp=sharing"",""ลพบุรี!I489"")"),13)</f>
        <v>13</v>
      </c>
      <c r="AG68" s="181">
        <f ca="1">IFERROR(__xludf.DUMMYFUNCTION("IMPORTRANGE(""https://docs.google.com/spreadsheets/d/1xYFIxIM_CspAP5Q-5Zx_V0T_Ut3cjryrjd2hss28vGk/edit?usp=sharing"",""ลพบุรี!J489"")"),0)</f>
        <v>0</v>
      </c>
      <c r="AH68" s="186">
        <f t="shared" ca="1" si="35"/>
        <v>0</v>
      </c>
      <c r="AI68" s="181">
        <f ca="1">IFERROR(__xludf.DUMMYFUNCTION("IMPORTRANGE(""https://docs.google.com/spreadsheets/d/1xYFIxIM_CspAP5Q-5Zx_V0T_Ut3cjryrjd2hss28vGk/edit?usp=sharing"",""ลพบุรี!J491"")"),0)</f>
        <v>0</v>
      </c>
      <c r="AJ68" s="181">
        <f ca="1">IFERROR(__xludf.DUMMYFUNCTION("IMPORTRANGE(""https://docs.google.com/spreadsheets/d/1xYFIxIM_CspAP5Q-5Zx_V0T_Ut3cjryrjd2hss28vGk/edit?usp=sharing"",""ลพบุรี!I492"")"),1)</f>
        <v>1</v>
      </c>
      <c r="AK68" s="181">
        <f ca="1">IFERROR(__xludf.DUMMYFUNCTION("IMPORTRANGE(""https://docs.google.com/spreadsheets/d/1xYFIxIM_CspAP5Q-5Zx_V0T_Ut3cjryrjd2hss28vGk/edit?usp=sharing"",""ลพบุรี!J492"")"),0)</f>
        <v>0</v>
      </c>
      <c r="AL68" s="186">
        <f t="shared" ca="1" si="36"/>
        <v>0</v>
      </c>
      <c r="AM68" s="181">
        <f ca="1">IFERROR(__xludf.DUMMYFUNCTION("IMPORTRANGE(""https://docs.google.com/spreadsheets/d/1xYFIxIM_CspAP5Q-5Zx_V0T_Ut3cjryrjd2hss28vGk/edit?usp=sharing"",""ลพบุรี!I495"")"),1170)</f>
        <v>1170</v>
      </c>
      <c r="AN68" s="181">
        <f ca="1">IFERROR(__xludf.DUMMYFUNCTION("IMPORTRANGE(""https://docs.google.com/spreadsheets/d/1xYFIxIM_CspAP5Q-5Zx_V0T_Ut3cjryrjd2hss28vGk/edit?usp=sharing"",""ลพบุรี!J495"")"),0)</f>
        <v>0</v>
      </c>
      <c r="AO68" s="186">
        <f t="shared" ca="1" si="37"/>
        <v>0</v>
      </c>
      <c r="AP68" s="181">
        <f ca="1">IFERROR(__xludf.DUMMYFUNCTION("IMPORTRANGE(""https://docs.google.com/spreadsheets/d/1xYFIxIM_CspAP5Q-5Zx_V0T_Ut3cjryrjd2hss28vGk/edit?usp=sharing"",""ลพบุรี!J496"")"),0)</f>
        <v>0</v>
      </c>
      <c r="AQ68" s="181">
        <f ca="1">IFERROR(__xludf.DUMMYFUNCTION("IMPORTRANGE(""https://docs.google.com/spreadsheets/d/1xYFIxIM_CspAP5Q-5Zx_V0T_Ut3cjryrjd2hss28vGk/edit?usp=sharing"",""ลพบุรี!I498"")"),130)</f>
        <v>130</v>
      </c>
      <c r="AR68" s="181">
        <f ca="1">IFERROR(__xludf.DUMMYFUNCTION("IMPORTRANGE(""https://docs.google.com/spreadsheets/d/1xYFIxIM_CspAP5Q-5Zx_V0T_Ut3cjryrjd2hss28vGk/edit?usp=sharing"",""ลพบุรี!J498"")"),0)</f>
        <v>0</v>
      </c>
      <c r="AS68" s="186">
        <f t="shared" ca="1" si="38"/>
        <v>0</v>
      </c>
      <c r="AT68" s="181">
        <f ca="1">IFERROR(__xludf.DUMMYFUNCTION("IMPORTRANGE(""https://docs.google.com/spreadsheets/d/1xYFIxIM_CspAP5Q-5Zx_V0T_Ut3cjryrjd2hss28vGk/edit?usp=sharing"",""ลพบุรี!J499"")"),0)</f>
        <v>0</v>
      </c>
    </row>
    <row r="69" spans="1:46" ht="21" customHeight="1" x14ac:dyDescent="0.3">
      <c r="A69" s="178">
        <v>17</v>
      </c>
      <c r="B69" s="179" t="s">
        <v>86</v>
      </c>
      <c r="C69" s="188">
        <f t="shared" ca="1" si="74"/>
        <v>409553</v>
      </c>
      <c r="D69" s="189">
        <f ca="1">IFERROR(__xludf.DUMMYFUNCTION("IMPORTRANGE(""https://docs.google.com/spreadsheets/d/11s9m3tKsCBdPWq6syhZm27eBGbKneDLZc75co106bio/edit?usp=sharing"",""สระแก้ว!L472"")"),409553)</f>
        <v>409553</v>
      </c>
      <c r="E69" s="190">
        <f ca="1">IFERROR(__xludf.DUMMYFUNCTION("IMPORTRANGE(""https://docs.google.com/spreadsheets/d/11s9m3tKsCBdPWq6syhZm27eBGbKneDLZc75co106bio/edit?usp=sharing"",""สระแก้ว!L479"")"),0)</f>
        <v>0</v>
      </c>
      <c r="F69" s="182">
        <f t="shared" ca="1" si="1"/>
        <v>80833</v>
      </c>
      <c r="G69" s="191">
        <f t="shared" ca="1" si="2"/>
        <v>19.736883870951988</v>
      </c>
      <c r="H69" s="184">
        <f t="shared" ca="1" si="75"/>
        <v>80833</v>
      </c>
      <c r="I69" s="187">
        <f ca="1">IFERROR(__xludf.DUMMYFUNCTION("IMPORTRANGE(""https://docs.google.com/spreadsheets/d/11s9m3tKsCBdPWq6syhZm27eBGbKneDLZc75co106bio/edit?usp=sharing"",""สระแก้ว!N473"")"),64453)</f>
        <v>64453</v>
      </c>
      <c r="J69" s="187">
        <f ca="1">IFERROR(__xludf.DUMMYFUNCTION("IMPORTRANGE(""https://docs.google.com/spreadsheets/d/11s9m3tKsCBdPWq6syhZm27eBGbKneDLZc75co106bio/edit?usp=sharing"",""สระแก้ว!N474"")"),0)</f>
        <v>0</v>
      </c>
      <c r="K69" s="187">
        <f ca="1">IFERROR(__xludf.DUMMYFUNCTION("IMPORTRANGE(""https://docs.google.com/spreadsheets/d/11s9m3tKsCBdPWq6syhZm27eBGbKneDLZc75co106bio/edit?usp=sharing"",""สระแก้ว!N475"")"),0)</f>
        <v>0</v>
      </c>
      <c r="L69" s="187">
        <f ca="1">IFERROR(__xludf.DUMMYFUNCTION("IMPORTRANGE(""https://docs.google.com/spreadsheets/d/11s9m3tKsCBdPWq6syhZm27eBGbKneDLZc75co106bio/edit?usp=sharing"",""สระแก้ว!N476"")"),16380)</f>
        <v>16380</v>
      </c>
      <c r="M69" s="185">
        <f ca="1">IFERROR(__xludf.DUMMYFUNCTION("IMPORTRANGE(""https://docs.google.com/spreadsheets/d/11s9m3tKsCBdPWq6syhZm27eBGbKneDLZc75co106bio/edit?usp=sharing"",""สระแก้ว!N479"")"),0)</f>
        <v>0</v>
      </c>
      <c r="N69" s="185">
        <f t="shared" ca="1" si="41"/>
        <v>0</v>
      </c>
      <c r="O69" s="189">
        <f ca="1">IFERROR(__xludf.DUMMYFUNCTION("IMPORTRANGE(""https://docs.google.com/spreadsheets/d/11s9m3tKsCBdPWq6syhZm27eBGbKneDLZc75co106bio/edit?usp=sharing"",""สระแก้ว!I465"")"),51)</f>
        <v>51</v>
      </c>
      <c r="P69" s="189">
        <f ca="1">IFERROR(__xludf.DUMMYFUNCTION("IMPORTRANGE(""https://docs.google.com/spreadsheets/d/11s9m3tKsCBdPWq6syhZm27eBGbKneDLZc75co106bio/edit?usp=sharing"",""สระแก้ว!I466"")"),500)</f>
        <v>500</v>
      </c>
      <c r="Q69" s="181">
        <f ca="1">IFERROR(__xludf.DUMMYFUNCTION("IMPORTRANGE(""https://docs.google.com/spreadsheets/d/11s9m3tKsCBdPWq6syhZm27eBGbKneDLZc75co106bio/edit?usp=sharing"",""สระแก้ว!J465"")"),51)</f>
        <v>51</v>
      </c>
      <c r="R69" s="186">
        <f t="shared" ca="1" si="6"/>
        <v>100</v>
      </c>
      <c r="S69" s="181">
        <f ca="1">IFERROR(__xludf.DUMMYFUNCTION("IMPORTRANGE(""https://docs.google.com/spreadsheets/d/11s9m3tKsCBdPWq6syhZm27eBGbKneDLZc75co106bio/edit?usp=sharing"",""สระแก้ว!J466"")"),0)</f>
        <v>0</v>
      </c>
      <c r="T69" s="186">
        <f t="shared" ca="1" si="7"/>
        <v>0</v>
      </c>
      <c r="U69" s="189">
        <f ca="1">IFERROR(__xludf.DUMMYFUNCTION("IMPORTRANGE(""https://docs.google.com/spreadsheets/d/11s9m3tKsCBdPWq6syhZm27eBGbKneDLZc75co106bio/edit?usp=sharing"",""สระแก้ว!I483"")"),450)</f>
        <v>450</v>
      </c>
      <c r="V69" s="181">
        <f ca="1">IFERROR(__xludf.DUMMYFUNCTION("IMPORTRANGE(""https://docs.google.com/spreadsheets/d/11s9m3tKsCBdPWq6syhZm27eBGbKneDLZc75co106bio/edit?usp=sharing"",""สระแก้ว!J483"")"),450)</f>
        <v>450</v>
      </c>
      <c r="W69" s="186">
        <f t="shared" ca="1" si="32"/>
        <v>100</v>
      </c>
      <c r="X69" s="181">
        <f ca="1">IFERROR(__xludf.DUMMYFUNCTION("IMPORTRANGE(""https://docs.google.com/spreadsheets/d/11s9m3tKsCBdPWq6syhZm27eBGbKneDLZc75co106bio/edit?usp=sharing"",""สระแก้ว!J484"")"),0)</f>
        <v>0</v>
      </c>
      <c r="Y69" s="189">
        <f ca="1">IFERROR(__xludf.DUMMYFUNCTION("IMPORTRANGE(""https://docs.google.com/spreadsheets/d/11s9m3tKsCBdPWq6syhZm27eBGbKneDLZc75co106bio/edit?usp=sharing"",""สระแก้ว!I485"")"),45)</f>
        <v>45</v>
      </c>
      <c r="Z69" s="181">
        <f ca="1">IFERROR(__xludf.DUMMYFUNCTION("IMPORTRANGE(""https://docs.google.com/spreadsheets/d/11s9m3tKsCBdPWq6syhZm27eBGbKneDLZc75co106bio/edit?usp=sharing"",""สระแก้ว!J485"")"),45)</f>
        <v>45</v>
      </c>
      <c r="AA69" s="186">
        <f t="shared" ca="1" si="33"/>
        <v>100</v>
      </c>
      <c r="AB69" s="189">
        <f ca="1">IFERROR(__xludf.DUMMYFUNCTION("IMPORTRANGE(""https://docs.google.com/spreadsheets/d/11s9m3tKsCBdPWq6syhZm27eBGbKneDLZc75co106bio/edit?usp=sharing"",""สระแก้ว!I487"")"),50)</f>
        <v>50</v>
      </c>
      <c r="AC69" s="181">
        <f ca="1">IFERROR(__xludf.DUMMYFUNCTION("IMPORTRANGE(""https://docs.google.com/spreadsheets/d/11s9m3tKsCBdPWq6syhZm27eBGbKneDLZc75co106bio/edit?usp=sharing"",""สระแก้ว!J487"")"),50)</f>
        <v>50</v>
      </c>
      <c r="AD69" s="186">
        <f t="shared" ca="1" si="34"/>
        <v>100</v>
      </c>
      <c r="AE69" s="181">
        <f ca="1">IFERROR(__xludf.DUMMYFUNCTION("IMPORTRANGE(""https://docs.google.com/spreadsheets/d/11s9m3tKsCBdPWq6syhZm27eBGbKneDLZc75co106bio/edit?usp=sharing"",""สระแก้ว!J488"")"),0)</f>
        <v>0</v>
      </c>
      <c r="AF69" s="189">
        <f ca="1">IFERROR(__xludf.DUMMYFUNCTION("IMPORTRANGE(""https://docs.google.com/spreadsheets/d/11s9m3tKsCBdPWq6syhZm27eBGbKneDLZc75co106bio/edit?usp=sharing"",""สระแก้ว!I489"")"),5)</f>
        <v>5</v>
      </c>
      <c r="AG69" s="181">
        <f ca="1">IFERROR(__xludf.DUMMYFUNCTION("IMPORTRANGE(""https://docs.google.com/spreadsheets/d/11s9m3tKsCBdPWq6syhZm27eBGbKneDLZc75co106bio/edit?usp=sharing"",""สระแก้ว!J489"")"),5)</f>
        <v>5</v>
      </c>
      <c r="AH69" s="186">
        <f t="shared" ca="1" si="35"/>
        <v>100</v>
      </c>
      <c r="AI69" s="181">
        <f ca="1">IFERROR(__xludf.DUMMYFUNCTION("IMPORTRANGE(""https://docs.google.com/spreadsheets/d/11s9m3tKsCBdPWq6syhZm27eBGbKneDLZc75co106bio/edit?usp=sharing"",""สระแก้ว!J491"")"),1)</f>
        <v>1</v>
      </c>
      <c r="AJ69" s="189">
        <f ca="1">IFERROR(__xludf.DUMMYFUNCTION("IMPORTRANGE(""https://docs.google.com/spreadsheets/d/11s9m3tKsCBdPWq6syhZm27eBGbKneDLZc75co106bio/edit?usp=sharing"",""สระแก้ว!I492"")"),1)</f>
        <v>1</v>
      </c>
      <c r="AK69" s="181">
        <f ca="1">IFERROR(__xludf.DUMMYFUNCTION("IMPORTRANGE(""https://docs.google.com/spreadsheets/d/11s9m3tKsCBdPWq6syhZm27eBGbKneDLZc75co106bio/edit?usp=sharing"",""สระแก้ว!J492"")"),1)</f>
        <v>1</v>
      </c>
      <c r="AL69" s="186">
        <f t="shared" ca="1" si="36"/>
        <v>100</v>
      </c>
      <c r="AM69" s="189">
        <f ca="1">IFERROR(__xludf.DUMMYFUNCTION("IMPORTRANGE(""https://docs.google.com/spreadsheets/d/11s9m3tKsCBdPWq6syhZm27eBGbKneDLZc75co106bio/edit?usp=sharing"",""สระแก้ว!I495"")"),450)</f>
        <v>450</v>
      </c>
      <c r="AN69" s="181">
        <f ca="1">IFERROR(__xludf.DUMMYFUNCTION("IMPORTRANGE(""https://docs.google.com/spreadsheets/d/11s9m3tKsCBdPWq6syhZm27eBGbKneDLZc75co106bio/edit?usp=sharing"",""สระแก้ว!J495"")"),0)</f>
        <v>0</v>
      </c>
      <c r="AO69" s="186">
        <f t="shared" ca="1" si="37"/>
        <v>0</v>
      </c>
      <c r="AP69" s="181">
        <f ca="1">IFERROR(__xludf.DUMMYFUNCTION("IMPORTRANGE(""https://docs.google.com/spreadsheets/d/11s9m3tKsCBdPWq6syhZm27eBGbKneDLZc75co106bio/edit?usp=sharing"",""สระแก้ว!J496"")"),0)</f>
        <v>0</v>
      </c>
      <c r="AQ69" s="189">
        <f ca="1">IFERROR(__xludf.DUMMYFUNCTION("IMPORTRANGE(""https://docs.google.com/spreadsheets/d/11s9m3tKsCBdPWq6syhZm27eBGbKneDLZc75co106bio/edit?usp=sharing"",""สระแก้ว!I498"")"),50)</f>
        <v>50</v>
      </c>
      <c r="AR69" s="181">
        <f ca="1">IFERROR(__xludf.DUMMYFUNCTION("IMPORTRANGE(""https://docs.google.com/spreadsheets/d/11s9m3tKsCBdPWq6syhZm27eBGbKneDLZc75co106bio/edit?usp=sharing"",""สระแก้ว!J498"")"),0)</f>
        <v>0</v>
      </c>
      <c r="AS69" s="186">
        <f t="shared" ca="1" si="38"/>
        <v>0</v>
      </c>
      <c r="AT69" s="181">
        <f ca="1">IFERROR(__xludf.DUMMYFUNCTION("IMPORTRANGE(""https://docs.google.com/spreadsheets/d/11s9m3tKsCBdPWq6syhZm27eBGbKneDLZc75co106bio/edit?usp=sharing"",""สระแก้ว!J499"")"),0)</f>
        <v>0</v>
      </c>
    </row>
    <row r="70" spans="1:46" ht="21" customHeight="1" x14ac:dyDescent="0.3">
      <c r="A70" s="178">
        <v>18</v>
      </c>
      <c r="B70" s="179" t="s">
        <v>87</v>
      </c>
      <c r="C70" s="180">
        <f t="shared" ca="1" si="74"/>
        <v>179063</v>
      </c>
      <c r="D70" s="181">
        <f ca="1">IFERROR(__xludf.DUMMYFUNCTION("IMPORTRANGE(""https://docs.google.com/spreadsheets/d/1Nn1EvsFPtXldgpgVb3Rcng2K2cls68LFQsBh2FyW0Bg/edit?usp=sharing"",""สระบุรี!L472"")"),179063)</f>
        <v>179063</v>
      </c>
      <c r="E70" s="187">
        <f ca="1">IFERROR(__xludf.DUMMYFUNCTION("IMPORTRANGE(""https://docs.google.com/spreadsheets/d/1Nn1EvsFPtXldgpgVb3Rcng2K2cls68LFQsBh2FyW0Bg/edit?usp=sharing"",""สระบุรี!L479"")"),0)</f>
        <v>0</v>
      </c>
      <c r="F70" s="182">
        <f t="shared" ca="1" si="1"/>
        <v>53170</v>
      </c>
      <c r="G70" s="183">
        <f t="shared" ca="1" si="2"/>
        <v>29.693459843742147</v>
      </c>
      <c r="H70" s="184">
        <f t="shared" ca="1" si="75"/>
        <v>53170</v>
      </c>
      <c r="I70" s="187">
        <f ca="1">IFERROR(__xludf.DUMMYFUNCTION("IMPORTRANGE(""https://docs.google.com/spreadsheets/d/1Nn1EvsFPtXldgpgVb3Rcng2K2cls68LFQsBh2FyW0Bg/edit?usp=sharing"",""สระบุรี!N473"")"),40590)</f>
        <v>40590</v>
      </c>
      <c r="J70" s="187">
        <f ca="1">IFERROR(__xludf.DUMMYFUNCTION("IMPORTRANGE(""https://docs.google.com/spreadsheets/d/1Nn1EvsFPtXldgpgVb3Rcng2K2cls68LFQsBh2FyW0Bg/edit?usp=sharing"",""สระบุรี!N474"")"),0)</f>
        <v>0</v>
      </c>
      <c r="K70" s="187">
        <f ca="1">IFERROR(__xludf.DUMMYFUNCTION("IMPORTRANGE(""https://docs.google.com/spreadsheets/d/1Nn1EvsFPtXldgpgVb3Rcng2K2cls68LFQsBh2FyW0Bg/edit?usp=sharing"",""สระบุรี!N475"")"),0)</f>
        <v>0</v>
      </c>
      <c r="L70" s="187">
        <f ca="1">IFERROR(__xludf.DUMMYFUNCTION("IMPORTRANGE(""https://docs.google.com/spreadsheets/d/1Nn1EvsFPtXldgpgVb3Rcng2K2cls68LFQsBh2FyW0Bg/edit?usp=sharing"",""สระบุรี!N476"")"),12580)</f>
        <v>12580</v>
      </c>
      <c r="M70" s="185">
        <f ca="1">IFERROR(__xludf.DUMMYFUNCTION("IMPORTRANGE(""https://docs.google.com/spreadsheets/d/1Nn1EvsFPtXldgpgVb3Rcng2K2cls68LFQsBh2FyW0Bg/edit?usp=sharing"",""สระบุรี!N479"")"),0)</f>
        <v>0</v>
      </c>
      <c r="N70" s="185">
        <f t="shared" ca="1" si="41"/>
        <v>0</v>
      </c>
      <c r="O70" s="181">
        <f ca="1">IFERROR(__xludf.DUMMYFUNCTION("IMPORTRANGE(""https://docs.google.com/spreadsheets/d/1Nn1EvsFPtXldgpgVb3Rcng2K2cls68LFQsBh2FyW0Bg/edit?usp=sharing"",""สระบุรี!I465"")"),21)</f>
        <v>21</v>
      </c>
      <c r="P70" s="181">
        <f ca="1">IFERROR(__xludf.DUMMYFUNCTION("IMPORTRANGE(""https://docs.google.com/spreadsheets/d/1Nn1EvsFPtXldgpgVb3Rcng2K2cls68LFQsBh2FyW0Bg/edit?usp=sharing"",""สระบุรี!I466"")"),200)</f>
        <v>200</v>
      </c>
      <c r="Q70" s="181">
        <f ca="1">IFERROR(__xludf.DUMMYFUNCTION("IMPORTRANGE(""https://docs.google.com/spreadsheets/d/1Nn1EvsFPtXldgpgVb3Rcng2K2cls68LFQsBh2FyW0Bg/edit?usp=sharing"",""สระบุรี!J465"")"),21)</f>
        <v>21</v>
      </c>
      <c r="R70" s="186">
        <f t="shared" ca="1" si="6"/>
        <v>100</v>
      </c>
      <c r="S70" s="181">
        <f ca="1">IFERROR(__xludf.DUMMYFUNCTION("IMPORTRANGE(""https://docs.google.com/spreadsheets/d/1Nn1EvsFPtXldgpgVb3Rcng2K2cls68LFQsBh2FyW0Bg/edit?usp=sharing"",""สระบุรี!J466"")"),0)</f>
        <v>0</v>
      </c>
      <c r="T70" s="186">
        <f t="shared" ca="1" si="7"/>
        <v>0</v>
      </c>
      <c r="U70" s="181">
        <f ca="1">IFERROR(__xludf.DUMMYFUNCTION("IMPORTRANGE(""https://docs.google.com/spreadsheets/d/1Nn1EvsFPtXldgpgVb3Rcng2K2cls68LFQsBh2FyW0Bg/edit?usp=sharing"",""สระบุรี!I483"")"),180)</f>
        <v>180</v>
      </c>
      <c r="V70" s="181">
        <f ca="1">IFERROR(__xludf.DUMMYFUNCTION("IMPORTRANGE(""https://docs.google.com/spreadsheets/d/1Nn1EvsFPtXldgpgVb3Rcng2K2cls68LFQsBh2FyW0Bg/edit?usp=sharing"",""สระบุรี!J483"")"),180)</f>
        <v>180</v>
      </c>
      <c r="W70" s="186">
        <f t="shared" ca="1" si="32"/>
        <v>100</v>
      </c>
      <c r="X70" s="181">
        <f ca="1">IFERROR(__xludf.DUMMYFUNCTION("IMPORTRANGE(""https://docs.google.com/spreadsheets/d/1Nn1EvsFPtXldgpgVb3Rcng2K2cls68LFQsBh2FyW0Bg/edit?usp=sharing"",""สระบุรี!J484"")"),0)</f>
        <v>0</v>
      </c>
      <c r="Y70" s="181">
        <f ca="1">IFERROR(__xludf.DUMMYFUNCTION("IMPORTRANGE(""https://docs.google.com/spreadsheets/d/1Nn1EvsFPtXldgpgVb3Rcng2K2cls68LFQsBh2FyW0Bg/edit?usp=sharing"",""สระบุรี!I485"")"),18)</f>
        <v>18</v>
      </c>
      <c r="Z70" s="181">
        <f ca="1">IFERROR(__xludf.DUMMYFUNCTION("IMPORTRANGE(""https://docs.google.com/spreadsheets/d/1Nn1EvsFPtXldgpgVb3Rcng2K2cls68LFQsBh2FyW0Bg/edit?usp=sharing"",""สระบุรี!J485"")"),18)</f>
        <v>18</v>
      </c>
      <c r="AA70" s="186">
        <f t="shared" ca="1" si="33"/>
        <v>100</v>
      </c>
      <c r="AB70" s="181">
        <f ca="1">IFERROR(__xludf.DUMMYFUNCTION("IMPORTRANGE(""https://docs.google.com/spreadsheets/d/1Nn1EvsFPtXldgpgVb3Rcng2K2cls68LFQsBh2FyW0Bg/edit?usp=sharing"",""สระบุรี!I487"")"),20)</f>
        <v>20</v>
      </c>
      <c r="AC70" s="181">
        <f ca="1">IFERROR(__xludf.DUMMYFUNCTION("IMPORTRANGE(""https://docs.google.com/spreadsheets/d/1Nn1EvsFPtXldgpgVb3Rcng2K2cls68LFQsBh2FyW0Bg/edit?usp=sharing"",""สระบุรี!J487"")"),20)</f>
        <v>20</v>
      </c>
      <c r="AD70" s="186">
        <f t="shared" ca="1" si="34"/>
        <v>100</v>
      </c>
      <c r="AE70" s="181">
        <f ca="1">IFERROR(__xludf.DUMMYFUNCTION("IMPORTRANGE(""https://docs.google.com/spreadsheets/d/1Nn1EvsFPtXldgpgVb3Rcng2K2cls68LFQsBh2FyW0Bg/edit?usp=sharing"",""สระบุรี!J488"")"),0)</f>
        <v>0</v>
      </c>
      <c r="AF70" s="181">
        <f ca="1">IFERROR(__xludf.DUMMYFUNCTION("IMPORTRANGE(""https://docs.google.com/spreadsheets/d/1Nn1EvsFPtXldgpgVb3Rcng2K2cls68LFQsBh2FyW0Bg/edit?usp=sharing"",""สระบุรี!I489"")"),2)</f>
        <v>2</v>
      </c>
      <c r="AG70" s="181">
        <f ca="1">IFERROR(__xludf.DUMMYFUNCTION("IMPORTRANGE(""https://docs.google.com/spreadsheets/d/1Nn1EvsFPtXldgpgVb3Rcng2K2cls68LFQsBh2FyW0Bg/edit?usp=sharing"",""สระบุรี!J489"")"),2)</f>
        <v>2</v>
      </c>
      <c r="AH70" s="186">
        <f t="shared" ca="1" si="35"/>
        <v>100</v>
      </c>
      <c r="AI70" s="181">
        <f ca="1">IFERROR(__xludf.DUMMYFUNCTION("IMPORTRANGE(""https://docs.google.com/spreadsheets/d/1Nn1EvsFPtXldgpgVb3Rcng2K2cls68LFQsBh2FyW0Bg/edit?usp=sharing"",""สระบุรี!J491"")"),0)</f>
        <v>0</v>
      </c>
      <c r="AJ70" s="181">
        <f ca="1">IFERROR(__xludf.DUMMYFUNCTION("IMPORTRANGE(""https://docs.google.com/spreadsheets/d/1Nn1EvsFPtXldgpgVb3Rcng2K2cls68LFQsBh2FyW0Bg/edit?usp=sharing"",""สระบุรี!I492"")"),1)</f>
        <v>1</v>
      </c>
      <c r="AK70" s="181">
        <f ca="1">IFERROR(__xludf.DUMMYFUNCTION("IMPORTRANGE(""https://docs.google.com/spreadsheets/d/1Nn1EvsFPtXldgpgVb3Rcng2K2cls68LFQsBh2FyW0Bg/edit?usp=sharing"",""สระบุรี!J492"")"),1)</f>
        <v>1</v>
      </c>
      <c r="AL70" s="186">
        <f t="shared" ca="1" si="36"/>
        <v>100</v>
      </c>
      <c r="AM70" s="181">
        <f ca="1">IFERROR(__xludf.DUMMYFUNCTION("IMPORTRANGE(""https://docs.google.com/spreadsheets/d/1Nn1EvsFPtXldgpgVb3Rcng2K2cls68LFQsBh2FyW0Bg/edit?usp=sharing"",""สระบุรี!I495"")"),180)</f>
        <v>180</v>
      </c>
      <c r="AN70" s="181">
        <f ca="1">IFERROR(__xludf.DUMMYFUNCTION("IMPORTRANGE(""https://docs.google.com/spreadsheets/d/1Nn1EvsFPtXldgpgVb3Rcng2K2cls68LFQsBh2FyW0Bg/edit?usp=sharing"",""สระบุรี!J495"")"),0)</f>
        <v>0</v>
      </c>
      <c r="AO70" s="186">
        <f t="shared" ca="1" si="37"/>
        <v>0</v>
      </c>
      <c r="AP70" s="181">
        <f ca="1">IFERROR(__xludf.DUMMYFUNCTION("IMPORTRANGE(""https://docs.google.com/spreadsheets/d/1Nn1EvsFPtXldgpgVb3Rcng2K2cls68LFQsBh2FyW0Bg/edit?usp=sharing"",""สระบุรี!J496"")"),0)</f>
        <v>0</v>
      </c>
      <c r="AQ70" s="181">
        <f ca="1">IFERROR(__xludf.DUMMYFUNCTION("IMPORTRANGE(""https://docs.google.com/spreadsheets/d/1Nn1EvsFPtXldgpgVb3Rcng2K2cls68LFQsBh2FyW0Bg/edit?usp=sharing"",""สระบุรี!I498"")"),20)</f>
        <v>20</v>
      </c>
      <c r="AR70" s="181">
        <f ca="1">IFERROR(__xludf.DUMMYFUNCTION("IMPORTRANGE(""https://docs.google.com/spreadsheets/d/1Nn1EvsFPtXldgpgVb3Rcng2K2cls68LFQsBh2FyW0Bg/edit?usp=sharing"",""สระบุรี!J498"")"),0)</f>
        <v>0</v>
      </c>
      <c r="AS70" s="186">
        <f t="shared" ca="1" si="38"/>
        <v>0</v>
      </c>
      <c r="AT70" s="181">
        <f ca="1">IFERROR(__xludf.DUMMYFUNCTION("IMPORTRANGE(""https://docs.google.com/spreadsheets/d/1Nn1EvsFPtXldgpgVb3Rcng2K2cls68LFQsBh2FyW0Bg/edit?usp=sharing"",""สระบุรี!J499"")"),0)</f>
        <v>0</v>
      </c>
    </row>
    <row r="71" spans="1:46" ht="21" customHeight="1" x14ac:dyDescent="0.3">
      <c r="A71" s="178">
        <v>19</v>
      </c>
      <c r="B71" s="179" t="s">
        <v>88</v>
      </c>
      <c r="C71" s="180">
        <f t="shared" ca="1" si="74"/>
        <v>0</v>
      </c>
      <c r="D71" s="181">
        <f ca="1">IFERROR(__xludf.DUMMYFUNCTION("IMPORTRANGE(""https://docs.google.com/spreadsheets/d/149xufxukrnEciK3WPbNpHwUK8BKEJxp3UcBG3Al6dA4/edit?usp=sharing"",""สิงห์บุรี!L472"")"),0)</f>
        <v>0</v>
      </c>
      <c r="E71" s="187">
        <f ca="1">IFERROR(__xludf.DUMMYFUNCTION("IMPORTRANGE(""https://docs.google.com/spreadsheets/d/149xufxukrnEciK3WPbNpHwUK8BKEJxp3UcBG3Al6dA4/edit?usp=sharing"",""สิงห์บุรี!L479"")"),0)</f>
        <v>0</v>
      </c>
      <c r="F71" s="182">
        <f t="shared" ca="1" si="1"/>
        <v>0</v>
      </c>
      <c r="G71" s="183">
        <f t="shared" ca="1" si="2"/>
        <v>0</v>
      </c>
      <c r="H71" s="184">
        <f t="shared" ca="1" si="75"/>
        <v>0</v>
      </c>
      <c r="I71" s="187">
        <f ca="1">IFERROR(__xludf.DUMMYFUNCTION("IMPORTRANGE(""https://docs.google.com/spreadsheets/d/149xufxukrnEciK3WPbNpHwUK8BKEJxp3UcBG3Al6dA4/edit?usp=sharing"",""สิงห์บุรี!N473"")"),0)</f>
        <v>0</v>
      </c>
      <c r="J71" s="187">
        <f ca="1">IFERROR(__xludf.DUMMYFUNCTION("IMPORTRANGE(""https://docs.google.com/spreadsheets/d/149xufxukrnEciK3WPbNpHwUK8BKEJxp3UcBG3Al6dA4/edit?usp=sharing"",""สิงห์บุรี!N474"")"),0)</f>
        <v>0</v>
      </c>
      <c r="K71" s="187">
        <f ca="1">IFERROR(__xludf.DUMMYFUNCTION("IMPORTRANGE(""https://docs.google.com/spreadsheets/d/149xufxukrnEciK3WPbNpHwUK8BKEJxp3UcBG3Al6dA4/edit?usp=sharing"",""สิงห์บุรี!N475"")"),0)</f>
        <v>0</v>
      </c>
      <c r="L71" s="187">
        <f ca="1">IFERROR(__xludf.DUMMYFUNCTION("IMPORTRANGE(""https://docs.google.com/spreadsheets/d/149xufxukrnEciK3WPbNpHwUK8BKEJxp3UcBG3Al6dA4/edit?usp=sharing"",""สิงห์บุรี!N476"")"),0)</f>
        <v>0</v>
      </c>
      <c r="M71" s="185">
        <f ca="1">IFERROR(__xludf.DUMMYFUNCTION("IMPORTRANGE(""https://docs.google.com/spreadsheets/d/149xufxukrnEciK3WPbNpHwUK8BKEJxp3UcBG3Al6dA4/edit?usp=sharing"",""สิงห์บุรี!N479"")"),0)</f>
        <v>0</v>
      </c>
      <c r="N71" s="185">
        <f t="shared" ca="1" si="41"/>
        <v>0</v>
      </c>
      <c r="O71" s="181">
        <f ca="1">IFERROR(__xludf.DUMMYFUNCTION("IMPORTRANGE(""https://docs.google.com/spreadsheets/d/149xufxukrnEciK3WPbNpHwUK8BKEJxp3UcBG3Al6dA4/edit?usp=sharing"",""สิงห์บุรี!I465"")"),0)</f>
        <v>0</v>
      </c>
      <c r="P71" s="181">
        <f ca="1">IFERROR(__xludf.DUMMYFUNCTION("IMPORTRANGE(""https://docs.google.com/spreadsheets/d/149xufxukrnEciK3WPbNpHwUK8BKEJxp3UcBG3Al6dA4/edit?usp=sharing"",""สิงห์บุรี!I466"")"),0)</f>
        <v>0</v>
      </c>
      <c r="Q71" s="181">
        <f ca="1">IFERROR(__xludf.DUMMYFUNCTION("IMPORTRANGE(""https://docs.google.com/spreadsheets/d/149xufxukrnEciK3WPbNpHwUK8BKEJxp3UcBG3Al6dA4/edit?usp=sharing"",""สิงห์บุรี!J465"")"),0)</f>
        <v>0</v>
      </c>
      <c r="R71" s="186">
        <f t="shared" ca="1" si="6"/>
        <v>0</v>
      </c>
      <c r="S71" s="181">
        <f ca="1">IFERROR(__xludf.DUMMYFUNCTION("IMPORTRANGE(""https://docs.google.com/spreadsheets/d/149xufxukrnEciK3WPbNpHwUK8BKEJxp3UcBG3Al6dA4/edit?usp=sharing"",""สิงห์บุรี!J466"")"),0)</f>
        <v>0</v>
      </c>
      <c r="T71" s="186">
        <f t="shared" ca="1" si="7"/>
        <v>0</v>
      </c>
      <c r="U71" s="181">
        <f ca="1">IFERROR(__xludf.DUMMYFUNCTION("IMPORTRANGE(""https://docs.google.com/spreadsheets/d/149xufxukrnEciK3WPbNpHwUK8BKEJxp3UcBG3Al6dA4/edit?usp=sharing"",""สิงห์บุรี!I483"")"),0)</f>
        <v>0</v>
      </c>
      <c r="V71" s="181">
        <f ca="1">IFERROR(__xludf.DUMMYFUNCTION("IMPORTRANGE(""https://docs.google.com/spreadsheets/d/149xufxukrnEciK3WPbNpHwUK8BKEJxp3UcBG3Al6dA4/edit?usp=sharing"",""สิงห์บุรี!J483"")"),0)</f>
        <v>0</v>
      </c>
      <c r="W71" s="186">
        <f t="shared" ca="1" si="32"/>
        <v>0</v>
      </c>
      <c r="X71" s="181">
        <f ca="1">IFERROR(__xludf.DUMMYFUNCTION("IMPORTRANGE(""https://docs.google.com/spreadsheets/d/149xufxukrnEciK3WPbNpHwUK8BKEJxp3UcBG3Al6dA4/edit?usp=sharing"",""สิงห์บุรี!J484"")"),0)</f>
        <v>0</v>
      </c>
      <c r="Y71" s="181">
        <f ca="1">IFERROR(__xludf.DUMMYFUNCTION("IMPORTRANGE(""https://docs.google.com/spreadsheets/d/149xufxukrnEciK3WPbNpHwUK8BKEJxp3UcBG3Al6dA4/edit?usp=sharing"",""สิงห์บุรี!I485"")"),0)</f>
        <v>0</v>
      </c>
      <c r="Z71" s="181">
        <f ca="1">IFERROR(__xludf.DUMMYFUNCTION("IMPORTRANGE(""https://docs.google.com/spreadsheets/d/149xufxukrnEciK3WPbNpHwUK8BKEJxp3UcBG3Al6dA4/edit?usp=sharing"",""สิงห์บุรี!J485"")"),0)</f>
        <v>0</v>
      </c>
      <c r="AA71" s="186">
        <f t="shared" ca="1" si="33"/>
        <v>0</v>
      </c>
      <c r="AB71" s="181">
        <f ca="1">IFERROR(__xludf.DUMMYFUNCTION("IMPORTRANGE(""https://docs.google.com/spreadsheets/d/149xufxukrnEciK3WPbNpHwUK8BKEJxp3UcBG3Al6dA4/edit?usp=sharing"",""สิงห์บุรี!I487"")"),0)</f>
        <v>0</v>
      </c>
      <c r="AC71" s="181">
        <f ca="1">IFERROR(__xludf.DUMMYFUNCTION("IMPORTRANGE(""https://docs.google.com/spreadsheets/d/149xufxukrnEciK3WPbNpHwUK8BKEJxp3UcBG3Al6dA4/edit?usp=sharing"",""สิงห์บุรี!J487"")"),0)</f>
        <v>0</v>
      </c>
      <c r="AD71" s="186">
        <f t="shared" ca="1" si="34"/>
        <v>0</v>
      </c>
      <c r="AE71" s="181">
        <f ca="1">IFERROR(__xludf.DUMMYFUNCTION("IMPORTRANGE(""https://docs.google.com/spreadsheets/d/149xufxukrnEciK3WPbNpHwUK8BKEJxp3UcBG3Al6dA4/edit?usp=sharing"",""สิงห์บุรี!J488"")"),0)</f>
        <v>0</v>
      </c>
      <c r="AF71" s="181">
        <f ca="1">IFERROR(__xludf.DUMMYFUNCTION("IMPORTRANGE(""https://docs.google.com/spreadsheets/d/149xufxukrnEciK3WPbNpHwUK8BKEJxp3UcBG3Al6dA4/edit?usp=sharing"",""สิงห์บุรี!I489"")"),0)</f>
        <v>0</v>
      </c>
      <c r="AG71" s="181">
        <f ca="1">IFERROR(__xludf.DUMMYFUNCTION("IMPORTRANGE(""https://docs.google.com/spreadsheets/d/149xufxukrnEciK3WPbNpHwUK8BKEJxp3UcBG3Al6dA4/edit?usp=sharing"",""สิงห์บุรี!J489"")"),0)</f>
        <v>0</v>
      </c>
      <c r="AH71" s="186">
        <f t="shared" ca="1" si="35"/>
        <v>0</v>
      </c>
      <c r="AI71" s="181">
        <f ca="1">IFERROR(__xludf.DUMMYFUNCTION("IMPORTRANGE(""https://docs.google.com/spreadsheets/d/149xufxukrnEciK3WPbNpHwUK8BKEJxp3UcBG3Al6dA4/edit?usp=sharing"",""สิงห์บุรี!J491"")"),0)</f>
        <v>0</v>
      </c>
      <c r="AJ71" s="181">
        <f ca="1">IFERROR(__xludf.DUMMYFUNCTION("IMPORTRANGE(""https://docs.google.com/spreadsheets/d/149xufxukrnEciK3WPbNpHwUK8BKEJxp3UcBG3Al6dA4/edit?usp=sharing"",""สิงห์บุรี!I492"")"),0)</f>
        <v>0</v>
      </c>
      <c r="AK71" s="181">
        <f ca="1">IFERROR(__xludf.DUMMYFUNCTION("IMPORTRANGE(""https://docs.google.com/spreadsheets/d/149xufxukrnEciK3WPbNpHwUK8BKEJxp3UcBG3Al6dA4/edit?usp=sharing"",""สิงห์บุรี!J492"")"),0)</f>
        <v>0</v>
      </c>
      <c r="AL71" s="186">
        <f t="shared" ca="1" si="36"/>
        <v>0</v>
      </c>
      <c r="AM71" s="181">
        <f ca="1">IFERROR(__xludf.DUMMYFUNCTION("IMPORTRANGE(""https://docs.google.com/spreadsheets/d/149xufxukrnEciK3WPbNpHwUK8BKEJxp3UcBG3Al6dA4/edit?usp=sharing"",""สิงห์บุรี!I495"")"),0)</f>
        <v>0</v>
      </c>
      <c r="AN71" s="181">
        <f ca="1">IFERROR(__xludf.DUMMYFUNCTION("IMPORTRANGE(""https://docs.google.com/spreadsheets/d/149xufxukrnEciK3WPbNpHwUK8BKEJxp3UcBG3Al6dA4/edit?usp=sharing"",""สิงห์บุรี!J495"")"),0)</f>
        <v>0</v>
      </c>
      <c r="AO71" s="186">
        <f t="shared" ca="1" si="37"/>
        <v>0</v>
      </c>
      <c r="AP71" s="181">
        <f ca="1">IFERROR(__xludf.DUMMYFUNCTION("IMPORTRANGE(""https://docs.google.com/spreadsheets/d/149xufxukrnEciK3WPbNpHwUK8BKEJxp3UcBG3Al6dA4/edit?usp=sharing"",""สิงห์บุรี!J496"")"),0)</f>
        <v>0</v>
      </c>
      <c r="AQ71" s="181">
        <f ca="1">IFERROR(__xludf.DUMMYFUNCTION("IMPORTRANGE(""https://docs.google.com/spreadsheets/d/149xufxukrnEciK3WPbNpHwUK8BKEJxp3UcBG3Al6dA4/edit?usp=sharing"",""สิงห์บุรี!I498"")"),0)</f>
        <v>0</v>
      </c>
      <c r="AR71" s="181">
        <f ca="1">IFERROR(__xludf.DUMMYFUNCTION("IMPORTRANGE(""https://docs.google.com/spreadsheets/d/149xufxukrnEciK3WPbNpHwUK8BKEJxp3UcBG3Al6dA4/edit?usp=sharing"",""สิงห์บุรี!J498"")"),0)</f>
        <v>0</v>
      </c>
      <c r="AS71" s="186">
        <f t="shared" ca="1" si="38"/>
        <v>0</v>
      </c>
      <c r="AT71" s="181">
        <f ca="1">IFERROR(__xludf.DUMMYFUNCTION("IMPORTRANGE(""https://docs.google.com/spreadsheets/d/149xufxukrnEciK3WPbNpHwUK8BKEJxp3UcBG3Al6dA4/edit?usp=sharing"",""สิงห์บุรี!J499"")"),0)</f>
        <v>0</v>
      </c>
    </row>
    <row r="72" spans="1:46" ht="21" customHeight="1" x14ac:dyDescent="0.3">
      <c r="A72" s="178">
        <v>20</v>
      </c>
      <c r="B72" s="179" t="s">
        <v>89</v>
      </c>
      <c r="C72" s="180">
        <f t="shared" ca="1" si="74"/>
        <v>330863</v>
      </c>
      <c r="D72" s="181">
        <f ca="1">IFERROR(__xludf.DUMMYFUNCTION("IMPORTRANGE(""https://docs.google.com/spreadsheets/d/132g-zJpz2uMKimp17uOIx8A7o3w1Z25zwJyXnwsB56c/edit?usp=sharing"",""สุพรรณบุรี!L472"")"),330863)</f>
        <v>330863</v>
      </c>
      <c r="E72" s="187">
        <f ca="1">IFERROR(__xludf.DUMMYFUNCTION("IMPORTRANGE(""https://docs.google.com/spreadsheets/d/132g-zJpz2uMKimp17uOIx8A7o3w1Z25zwJyXnwsB56c/edit?usp=sharing"",""สุพรรณบุรี!L479"")"),0)</f>
        <v>0</v>
      </c>
      <c r="F72" s="182">
        <f t="shared" ca="1" si="1"/>
        <v>68949</v>
      </c>
      <c r="G72" s="183">
        <f t="shared" ca="1" si="2"/>
        <v>20.839138858077209</v>
      </c>
      <c r="H72" s="184">
        <f t="shared" ca="1" si="75"/>
        <v>68949</v>
      </c>
      <c r="I72" s="187">
        <f ca="1">IFERROR(__xludf.DUMMYFUNCTION("IMPORTRANGE(""https://docs.google.com/spreadsheets/d/132g-zJpz2uMKimp17uOIx8A7o3w1Z25zwJyXnwsB56c/edit?usp=sharing"",""สุพรรณบุรี!N473"")"),51603)</f>
        <v>51603</v>
      </c>
      <c r="J72" s="187">
        <f ca="1">IFERROR(__xludf.DUMMYFUNCTION("IMPORTRANGE(""https://docs.google.com/spreadsheets/d/132g-zJpz2uMKimp17uOIx8A7o3w1Z25zwJyXnwsB56c/edit?usp=sharing"",""สุพรรณบุรี!N474"")"),4000)</f>
        <v>4000</v>
      </c>
      <c r="K72" s="187">
        <f ca="1">IFERROR(__xludf.DUMMYFUNCTION("IMPORTRANGE(""https://docs.google.com/spreadsheets/d/132g-zJpz2uMKimp17uOIx8A7o3w1Z25zwJyXnwsB56c/edit?usp=sharing"",""สุพรรณบุรี!N475"")"),0)</f>
        <v>0</v>
      </c>
      <c r="L72" s="187">
        <f ca="1">IFERROR(__xludf.DUMMYFUNCTION("IMPORTRANGE(""https://docs.google.com/spreadsheets/d/132g-zJpz2uMKimp17uOIx8A7o3w1Z25zwJyXnwsB56c/edit?usp=sharing"",""สุพรรณบุรี!N476"")"),13346)</f>
        <v>13346</v>
      </c>
      <c r="M72" s="185">
        <f ca="1">IFERROR(__xludf.DUMMYFUNCTION("IMPORTRANGE(""https://docs.google.com/spreadsheets/d/132g-zJpz2uMKimp17uOIx8A7o3w1Z25zwJyXnwsB56c/edit?usp=sharing"",""สุพรรณบุรี!N479"")"),0)</f>
        <v>0</v>
      </c>
      <c r="N72" s="185">
        <f t="shared" ca="1" si="41"/>
        <v>0</v>
      </c>
      <c r="O72" s="181">
        <f ca="1">IFERROR(__xludf.DUMMYFUNCTION("IMPORTRANGE(""https://docs.google.com/spreadsheets/d/132g-zJpz2uMKimp17uOIx8A7o3w1Z25zwJyXnwsB56c/edit?usp=sharing"",""สุพรรณบุรี!I465"")"),41)</f>
        <v>41</v>
      </c>
      <c r="P72" s="181">
        <f ca="1">IFERROR(__xludf.DUMMYFUNCTION("IMPORTRANGE(""https://docs.google.com/spreadsheets/d/132g-zJpz2uMKimp17uOIx8A7o3w1Z25zwJyXnwsB56c/edit?usp=sharing"",""สุพรรณบุรี!I466"")"),400)</f>
        <v>400</v>
      </c>
      <c r="Q72" s="181">
        <f ca="1">IFERROR(__xludf.DUMMYFUNCTION("IMPORTRANGE(""https://docs.google.com/spreadsheets/d/132g-zJpz2uMKimp17uOIx8A7o3w1Z25zwJyXnwsB56c/edit?usp=sharing"",""สุพรรณบุรี!J465"")"),41)</f>
        <v>41</v>
      </c>
      <c r="R72" s="186">
        <f t="shared" ca="1" si="6"/>
        <v>100</v>
      </c>
      <c r="S72" s="181">
        <f ca="1">IFERROR(__xludf.DUMMYFUNCTION("IMPORTRANGE(""https://docs.google.com/spreadsheets/d/132g-zJpz2uMKimp17uOIx8A7o3w1Z25zwJyXnwsB56c/edit?usp=sharing"",""สุพรรณบุรี!J466"")"),0)</f>
        <v>0</v>
      </c>
      <c r="T72" s="186">
        <f t="shared" ca="1" si="7"/>
        <v>0</v>
      </c>
      <c r="U72" s="181">
        <f ca="1">IFERROR(__xludf.DUMMYFUNCTION("IMPORTRANGE(""https://docs.google.com/spreadsheets/d/132g-zJpz2uMKimp17uOIx8A7o3w1Z25zwJyXnwsB56c/edit?usp=sharing"",""สุพรรณบุรี!I483"")"),360)</f>
        <v>360</v>
      </c>
      <c r="V72" s="181">
        <f ca="1">IFERROR(__xludf.DUMMYFUNCTION("IMPORTRANGE(""https://docs.google.com/spreadsheets/d/132g-zJpz2uMKimp17uOIx8A7o3w1Z25zwJyXnwsB56c/edit?usp=sharing"",""สุพรรณบุรี!J483"")"),360)</f>
        <v>360</v>
      </c>
      <c r="W72" s="186">
        <f t="shared" ca="1" si="32"/>
        <v>100</v>
      </c>
      <c r="X72" s="181">
        <f ca="1">IFERROR(__xludf.DUMMYFUNCTION("IMPORTRANGE(""https://docs.google.com/spreadsheets/d/132g-zJpz2uMKimp17uOIx8A7o3w1Z25zwJyXnwsB56c/edit?usp=sharing"",""สุพรรณบุรี!J484"")"),0)</f>
        <v>0</v>
      </c>
      <c r="Y72" s="181">
        <f ca="1">IFERROR(__xludf.DUMMYFUNCTION("IMPORTRANGE(""https://docs.google.com/spreadsheets/d/132g-zJpz2uMKimp17uOIx8A7o3w1Z25zwJyXnwsB56c/edit?usp=sharing"",""สุพรรณบุรี!I485"")"),36)</f>
        <v>36</v>
      </c>
      <c r="Z72" s="181">
        <f ca="1">IFERROR(__xludf.DUMMYFUNCTION("IMPORTRANGE(""https://docs.google.com/spreadsheets/d/132g-zJpz2uMKimp17uOIx8A7o3w1Z25zwJyXnwsB56c/edit?usp=sharing"",""สุพรรณบุรี!J485"")"),36)</f>
        <v>36</v>
      </c>
      <c r="AA72" s="186">
        <f t="shared" ca="1" si="33"/>
        <v>100</v>
      </c>
      <c r="AB72" s="181">
        <f ca="1">IFERROR(__xludf.DUMMYFUNCTION("IMPORTRANGE(""https://docs.google.com/spreadsheets/d/132g-zJpz2uMKimp17uOIx8A7o3w1Z25zwJyXnwsB56c/edit?usp=sharing"",""สุพรรณบุรี!I487"")"),40)</f>
        <v>40</v>
      </c>
      <c r="AC72" s="181">
        <f ca="1">IFERROR(__xludf.DUMMYFUNCTION("IMPORTRANGE(""https://docs.google.com/spreadsheets/d/132g-zJpz2uMKimp17uOIx8A7o3w1Z25zwJyXnwsB56c/edit?usp=sharing"",""สุพรรณบุรี!J487"")"),40)</f>
        <v>40</v>
      </c>
      <c r="AD72" s="186">
        <f t="shared" ca="1" si="34"/>
        <v>100</v>
      </c>
      <c r="AE72" s="181">
        <f ca="1">IFERROR(__xludf.DUMMYFUNCTION("IMPORTRANGE(""https://docs.google.com/spreadsheets/d/132g-zJpz2uMKimp17uOIx8A7o3w1Z25zwJyXnwsB56c/edit?usp=sharing"",""สุพรรณบุรี!J488"")"),4)</f>
        <v>4</v>
      </c>
      <c r="AF72" s="181">
        <f ca="1">IFERROR(__xludf.DUMMYFUNCTION("IMPORTRANGE(""https://docs.google.com/spreadsheets/d/132g-zJpz2uMKimp17uOIx8A7o3w1Z25zwJyXnwsB56c/edit?usp=sharing"",""สุพรรณบุรี!I489"")"),4)</f>
        <v>4</v>
      </c>
      <c r="AG72" s="181">
        <f ca="1">IFERROR(__xludf.DUMMYFUNCTION("IMPORTRANGE(""https://docs.google.com/spreadsheets/d/132g-zJpz2uMKimp17uOIx8A7o3w1Z25zwJyXnwsB56c/edit?usp=sharing"",""สุพรรณบุรี!J489"")"),4)</f>
        <v>4</v>
      </c>
      <c r="AH72" s="186">
        <f t="shared" ca="1" si="35"/>
        <v>100</v>
      </c>
      <c r="AI72" s="181">
        <f ca="1">IFERROR(__xludf.DUMMYFUNCTION("IMPORTRANGE(""https://docs.google.com/spreadsheets/d/132g-zJpz2uMKimp17uOIx8A7o3w1Z25zwJyXnwsB56c/edit?usp=sharing"",""สุพรรณบุรี!J491"")"),1)</f>
        <v>1</v>
      </c>
      <c r="AJ72" s="181">
        <f ca="1">IFERROR(__xludf.DUMMYFUNCTION("IMPORTRANGE(""https://docs.google.com/spreadsheets/d/132g-zJpz2uMKimp17uOIx8A7o3w1Z25zwJyXnwsB56c/edit?usp=sharing"",""สุพรรณบุรี!I492"")"),1)</f>
        <v>1</v>
      </c>
      <c r="AK72" s="181">
        <f ca="1">IFERROR(__xludf.DUMMYFUNCTION("IMPORTRANGE(""https://docs.google.com/spreadsheets/d/132g-zJpz2uMKimp17uOIx8A7o3w1Z25zwJyXnwsB56c/edit?usp=sharing"",""สุพรรณบุรี!J492"")"),1)</f>
        <v>1</v>
      </c>
      <c r="AL72" s="186">
        <f t="shared" ca="1" si="36"/>
        <v>100</v>
      </c>
      <c r="AM72" s="181">
        <f ca="1">IFERROR(__xludf.DUMMYFUNCTION("IMPORTRANGE(""https://docs.google.com/spreadsheets/d/132g-zJpz2uMKimp17uOIx8A7o3w1Z25zwJyXnwsB56c/edit?usp=sharing"",""สุพรรณบุรี!I495"")"),360)</f>
        <v>360</v>
      </c>
      <c r="AN72" s="181">
        <f ca="1">IFERROR(__xludf.DUMMYFUNCTION("IMPORTRANGE(""https://docs.google.com/spreadsheets/d/132g-zJpz2uMKimp17uOIx8A7o3w1Z25zwJyXnwsB56c/edit?usp=sharing"",""สุพรรณบุรี!J495"")"),0)</f>
        <v>0</v>
      </c>
      <c r="AO72" s="186">
        <f t="shared" ca="1" si="37"/>
        <v>0</v>
      </c>
      <c r="AP72" s="181">
        <f ca="1">IFERROR(__xludf.DUMMYFUNCTION("IMPORTRANGE(""https://docs.google.com/spreadsheets/d/132g-zJpz2uMKimp17uOIx8A7o3w1Z25zwJyXnwsB56c/edit?usp=sharing"",""สุพรรณบุรี!J496"")"),0)</f>
        <v>0</v>
      </c>
      <c r="AQ72" s="181">
        <f ca="1">IFERROR(__xludf.DUMMYFUNCTION("IMPORTRANGE(""https://docs.google.com/spreadsheets/d/132g-zJpz2uMKimp17uOIx8A7o3w1Z25zwJyXnwsB56c/edit?usp=sharing"",""สุพรรณบุรี!I498"")"),40)</f>
        <v>40</v>
      </c>
      <c r="AR72" s="181">
        <f ca="1">IFERROR(__xludf.DUMMYFUNCTION("IMPORTRANGE(""https://docs.google.com/spreadsheets/d/132g-zJpz2uMKimp17uOIx8A7o3w1Z25zwJyXnwsB56c/edit?usp=sharing"",""สุพรรณบุรี!J498"")"),0)</f>
        <v>0</v>
      </c>
      <c r="AS72" s="186">
        <f t="shared" ca="1" si="38"/>
        <v>0</v>
      </c>
      <c r="AT72" s="181">
        <f ca="1">IFERROR(__xludf.DUMMYFUNCTION("IMPORTRANGE(""https://docs.google.com/spreadsheets/d/132g-zJpz2uMKimp17uOIx8A7o3w1Z25zwJyXnwsB56c/edit?usp=sharing"",""สุพรรณบุรี!J499"")"),0)</f>
        <v>0</v>
      </c>
    </row>
    <row r="73" spans="1:46" ht="21" customHeight="1" x14ac:dyDescent="0.3">
      <c r="A73" s="192">
        <v>21</v>
      </c>
      <c r="B73" s="193" t="s">
        <v>90</v>
      </c>
      <c r="C73" s="194">
        <f t="shared" ca="1" si="74"/>
        <v>0</v>
      </c>
      <c r="D73" s="195">
        <f ca="1">IFERROR(__xludf.DUMMYFUNCTION("IMPORTRANGE(""https://docs.google.com/spreadsheets/d/12Q_U0nVnFdxDFwa0pej9xvx8ZvLC9Dpi_vRro_aiG5g/edit?usp=sharing"",""อ่างทอง!L472"")"),0)</f>
        <v>0</v>
      </c>
      <c r="E73" s="196">
        <f ca="1">IFERROR(__xludf.DUMMYFUNCTION("IMPORTRANGE(""https://docs.google.com/spreadsheets/d/12Q_U0nVnFdxDFwa0pej9xvx8ZvLC9Dpi_vRro_aiG5g/edit?usp=sharing"",""อ่างทอง!L479"")"),0)</f>
        <v>0</v>
      </c>
      <c r="F73" s="197">
        <f t="shared" ca="1" si="1"/>
        <v>0</v>
      </c>
      <c r="G73" s="198">
        <f t="shared" ca="1" si="2"/>
        <v>0</v>
      </c>
      <c r="H73" s="199">
        <f t="shared" ca="1" si="75"/>
        <v>0</v>
      </c>
      <c r="I73" s="200">
        <f ca="1">IFERROR(__xludf.DUMMYFUNCTION("IMPORTRANGE(""https://docs.google.com/spreadsheets/d/12Q_U0nVnFdxDFwa0pej9xvx8ZvLC9Dpi_vRro_aiG5g/edit?usp=sharing"",""อ่างทอง!N473"")"),0)</f>
        <v>0</v>
      </c>
      <c r="J73" s="200">
        <f ca="1">IFERROR(__xludf.DUMMYFUNCTION("IMPORTRANGE(""https://docs.google.com/spreadsheets/d/12Q_U0nVnFdxDFwa0pej9xvx8ZvLC9Dpi_vRro_aiG5g/edit?usp=sharing"",""อ่างทอง!N474"")"),0)</f>
        <v>0</v>
      </c>
      <c r="K73" s="200">
        <f ca="1">IFERROR(__xludf.DUMMYFUNCTION("IMPORTRANGE(""https://docs.google.com/spreadsheets/d/12Q_U0nVnFdxDFwa0pej9xvx8ZvLC9Dpi_vRro_aiG5g/edit?usp=sharing"",""อ่างทอง!N475"")"),0)</f>
        <v>0</v>
      </c>
      <c r="L73" s="200">
        <f ca="1">IFERROR(__xludf.DUMMYFUNCTION("IMPORTRANGE(""https://docs.google.com/spreadsheets/d/12Q_U0nVnFdxDFwa0pej9xvx8ZvLC9Dpi_vRro_aiG5g/edit?usp=sharing"",""อ่างทอง!N476"")"),0)</f>
        <v>0</v>
      </c>
      <c r="M73" s="201">
        <f ca="1">IFERROR(__xludf.DUMMYFUNCTION("IMPORTRANGE(""https://docs.google.com/spreadsheets/d/12Q_U0nVnFdxDFwa0pej9xvx8ZvLC9Dpi_vRro_aiG5g/edit?usp=sharing"",""อ่างทอง!N479"")"),0)</f>
        <v>0</v>
      </c>
      <c r="N73" s="201">
        <f t="shared" ca="1" si="41"/>
        <v>0</v>
      </c>
      <c r="O73" s="195">
        <f ca="1">IFERROR(__xludf.DUMMYFUNCTION("IMPORTRANGE(""https://docs.google.com/spreadsheets/d/12Q_U0nVnFdxDFwa0pej9xvx8ZvLC9Dpi_vRro_aiG5g/edit?usp=sharing"",""อ่างทอง!I465"")"),0)</f>
        <v>0</v>
      </c>
      <c r="P73" s="195">
        <f ca="1">IFERROR(__xludf.DUMMYFUNCTION("IMPORTRANGE(""https://docs.google.com/spreadsheets/d/12Q_U0nVnFdxDFwa0pej9xvx8ZvLC9Dpi_vRro_aiG5g/edit?usp=sharing"",""อ่างทอง!I466"")"),0)</f>
        <v>0</v>
      </c>
      <c r="Q73" s="202">
        <f ca="1">IFERROR(__xludf.DUMMYFUNCTION("IMPORTRANGE(""https://docs.google.com/spreadsheets/d/12Q_U0nVnFdxDFwa0pej9xvx8ZvLC9Dpi_vRro_aiG5g/edit?usp=sharing"",""อ่างทอง!J465"")"),0)</f>
        <v>0</v>
      </c>
      <c r="R73" s="203">
        <f t="shared" ca="1" si="6"/>
        <v>0</v>
      </c>
      <c r="S73" s="202">
        <f ca="1">IFERROR(__xludf.DUMMYFUNCTION("IMPORTRANGE(""https://docs.google.com/spreadsheets/d/12Q_U0nVnFdxDFwa0pej9xvx8ZvLC9Dpi_vRro_aiG5g/edit?usp=sharing"",""อ่างทอง!J466"")"),0)</f>
        <v>0</v>
      </c>
      <c r="T73" s="203">
        <f t="shared" ca="1" si="7"/>
        <v>0</v>
      </c>
      <c r="U73" s="195">
        <f ca="1">IFERROR(__xludf.DUMMYFUNCTION("IMPORTRANGE(""https://docs.google.com/spreadsheets/d/12Q_U0nVnFdxDFwa0pej9xvx8ZvLC9Dpi_vRro_aiG5g/edit?usp=sharing"",""อ่างทอง!I483"")"),0)</f>
        <v>0</v>
      </c>
      <c r="V73" s="202">
        <f ca="1">IFERROR(__xludf.DUMMYFUNCTION("IMPORTRANGE(""https://docs.google.com/spreadsheets/d/12Q_U0nVnFdxDFwa0pej9xvx8ZvLC9Dpi_vRro_aiG5g/edit?usp=sharing"",""อ่างทอง!J483"")"),0)</f>
        <v>0</v>
      </c>
      <c r="W73" s="203">
        <f t="shared" ca="1" si="32"/>
        <v>0</v>
      </c>
      <c r="X73" s="202">
        <f ca="1">IFERROR(__xludf.DUMMYFUNCTION("IMPORTRANGE(""https://docs.google.com/spreadsheets/d/12Q_U0nVnFdxDFwa0pej9xvx8ZvLC9Dpi_vRro_aiG5g/edit?usp=sharing"",""อ่างทอง!J484"")"),0)</f>
        <v>0</v>
      </c>
      <c r="Y73" s="195">
        <f ca="1">IFERROR(__xludf.DUMMYFUNCTION("IMPORTRANGE(""https://docs.google.com/spreadsheets/d/12Q_U0nVnFdxDFwa0pej9xvx8ZvLC9Dpi_vRro_aiG5g/edit?usp=sharing"",""อ่างทอง!I485"")"),0)</f>
        <v>0</v>
      </c>
      <c r="Z73" s="202">
        <f ca="1">IFERROR(__xludf.DUMMYFUNCTION("IMPORTRANGE(""https://docs.google.com/spreadsheets/d/12Q_U0nVnFdxDFwa0pej9xvx8ZvLC9Dpi_vRro_aiG5g/edit?usp=sharing"",""อ่างทอง!J485"")"),0)</f>
        <v>0</v>
      </c>
      <c r="AA73" s="203">
        <f t="shared" ca="1" si="33"/>
        <v>0</v>
      </c>
      <c r="AB73" s="195">
        <f ca="1">IFERROR(__xludf.DUMMYFUNCTION("IMPORTRANGE(""https://docs.google.com/spreadsheets/d/12Q_U0nVnFdxDFwa0pej9xvx8ZvLC9Dpi_vRro_aiG5g/edit?usp=sharing"",""อ่างทอง!I487"")"),0)</f>
        <v>0</v>
      </c>
      <c r="AC73" s="202">
        <f ca="1">IFERROR(__xludf.DUMMYFUNCTION("IMPORTRANGE(""https://docs.google.com/spreadsheets/d/12Q_U0nVnFdxDFwa0pej9xvx8ZvLC9Dpi_vRro_aiG5g/edit?usp=sharing"",""อ่างทอง!J487"")"),0)</f>
        <v>0</v>
      </c>
      <c r="AD73" s="203">
        <f t="shared" ca="1" si="34"/>
        <v>0</v>
      </c>
      <c r="AE73" s="202">
        <f ca="1">IFERROR(__xludf.DUMMYFUNCTION("IMPORTRANGE(""https://docs.google.com/spreadsheets/d/12Q_U0nVnFdxDFwa0pej9xvx8ZvLC9Dpi_vRro_aiG5g/edit?usp=sharing"",""อ่างทอง!J488"")"),0)</f>
        <v>0</v>
      </c>
      <c r="AF73" s="195">
        <f ca="1">IFERROR(__xludf.DUMMYFUNCTION("IMPORTRANGE(""https://docs.google.com/spreadsheets/d/12Q_U0nVnFdxDFwa0pej9xvx8ZvLC9Dpi_vRro_aiG5g/edit?usp=sharing"",""อ่างทอง!I489"")"),0)</f>
        <v>0</v>
      </c>
      <c r="AG73" s="202">
        <f ca="1">IFERROR(__xludf.DUMMYFUNCTION("IMPORTRANGE(""https://docs.google.com/spreadsheets/d/12Q_U0nVnFdxDFwa0pej9xvx8ZvLC9Dpi_vRro_aiG5g/edit?usp=sharing"",""อ่างทอง!J489"")"),0)</f>
        <v>0</v>
      </c>
      <c r="AH73" s="203">
        <f t="shared" ca="1" si="35"/>
        <v>0</v>
      </c>
      <c r="AI73" s="202">
        <f ca="1">IFERROR(__xludf.DUMMYFUNCTION("IMPORTRANGE(""https://docs.google.com/spreadsheets/d/12Q_U0nVnFdxDFwa0pej9xvx8ZvLC9Dpi_vRro_aiG5g/edit?usp=sharing"",""อ่างทอง!J491"")"),0)</f>
        <v>0</v>
      </c>
      <c r="AJ73" s="195">
        <f ca="1">IFERROR(__xludf.DUMMYFUNCTION("IMPORTRANGE(""https://docs.google.com/spreadsheets/d/12Q_U0nVnFdxDFwa0pej9xvx8ZvLC9Dpi_vRro_aiG5g/edit?usp=sharing"",""อ่างทอง!I492"")"),0)</f>
        <v>0</v>
      </c>
      <c r="AK73" s="202">
        <f ca="1">IFERROR(__xludf.DUMMYFUNCTION("IMPORTRANGE(""https://docs.google.com/spreadsheets/d/12Q_U0nVnFdxDFwa0pej9xvx8ZvLC9Dpi_vRro_aiG5g/edit?usp=sharing"",""อ่างทอง!J492"")"),0)</f>
        <v>0</v>
      </c>
      <c r="AL73" s="203">
        <f t="shared" ca="1" si="36"/>
        <v>0</v>
      </c>
      <c r="AM73" s="195">
        <f ca="1">IFERROR(__xludf.DUMMYFUNCTION("IMPORTRANGE(""https://docs.google.com/spreadsheets/d/12Q_U0nVnFdxDFwa0pej9xvx8ZvLC9Dpi_vRro_aiG5g/edit?usp=sharing"",""อ่างทอง!I495"")"),0)</f>
        <v>0</v>
      </c>
      <c r="AN73" s="202">
        <f ca="1">IFERROR(__xludf.DUMMYFUNCTION("IMPORTRANGE(""https://docs.google.com/spreadsheets/d/12Q_U0nVnFdxDFwa0pej9xvx8ZvLC9Dpi_vRro_aiG5g/edit?usp=sharing"",""อ่างทอง!J495"")"),0)</f>
        <v>0</v>
      </c>
      <c r="AO73" s="203">
        <f t="shared" ca="1" si="37"/>
        <v>0</v>
      </c>
      <c r="AP73" s="202">
        <f ca="1">IFERROR(__xludf.DUMMYFUNCTION("IMPORTRANGE(""https://docs.google.com/spreadsheets/d/12Q_U0nVnFdxDFwa0pej9xvx8ZvLC9Dpi_vRro_aiG5g/edit?usp=sharing"",""อ่างทอง!J496"")"),0)</f>
        <v>0</v>
      </c>
      <c r="AQ73" s="195">
        <f ca="1">IFERROR(__xludf.DUMMYFUNCTION("IMPORTRANGE(""https://docs.google.com/spreadsheets/d/12Q_U0nVnFdxDFwa0pej9xvx8ZvLC9Dpi_vRro_aiG5g/edit?usp=sharing"",""อ่างทอง!I498"")"),0)</f>
        <v>0</v>
      </c>
      <c r="AR73" s="202">
        <f ca="1">IFERROR(__xludf.DUMMYFUNCTION("IMPORTRANGE(""https://docs.google.com/spreadsheets/d/12Q_U0nVnFdxDFwa0pej9xvx8ZvLC9Dpi_vRro_aiG5g/edit?usp=sharing"",""อ่างทอง!J498"")"),0)</f>
        <v>0</v>
      </c>
      <c r="AS73" s="203">
        <f t="shared" ca="1" si="38"/>
        <v>0</v>
      </c>
      <c r="AT73" s="202">
        <f ca="1">IFERROR(__xludf.DUMMYFUNCTION("IMPORTRANGE(""https://docs.google.com/spreadsheets/d/12Q_U0nVnFdxDFwa0pej9xvx8ZvLC9Dpi_vRro_aiG5g/edit?usp=sharing"",""อ่างทอง!J499"")"),0)</f>
        <v>0</v>
      </c>
    </row>
    <row r="74" spans="1:46" ht="21" customHeight="1" x14ac:dyDescent="0.3">
      <c r="A74" s="338" t="s">
        <v>91</v>
      </c>
      <c r="B74" s="339"/>
      <c r="C74" s="133">
        <f t="shared" ref="C74:E74" ca="1" si="76">SUM(C75:C88)</f>
        <v>4311197</v>
      </c>
      <c r="D74" s="158">
        <f t="shared" ca="1" si="76"/>
        <v>4311197</v>
      </c>
      <c r="E74" s="158">
        <f t="shared" ca="1" si="76"/>
        <v>0</v>
      </c>
      <c r="F74" s="159">
        <f t="shared" ca="1" si="1"/>
        <v>1266524.92</v>
      </c>
      <c r="G74" s="160">
        <f t="shared" ca="1" si="2"/>
        <v>29.37757008088473</v>
      </c>
      <c r="H74" s="159">
        <f t="shared" ref="H74:M74" ca="1" si="77">SUM(H75:H88)</f>
        <v>1266524.92</v>
      </c>
      <c r="I74" s="159">
        <f t="shared" ca="1" si="77"/>
        <v>650487.72</v>
      </c>
      <c r="J74" s="159">
        <f t="shared" ca="1" si="77"/>
        <v>404000</v>
      </c>
      <c r="K74" s="159">
        <f t="shared" ca="1" si="77"/>
        <v>39500</v>
      </c>
      <c r="L74" s="159">
        <f t="shared" ca="1" si="77"/>
        <v>172537.2</v>
      </c>
      <c r="M74" s="161">
        <f t="shared" ca="1" si="77"/>
        <v>0</v>
      </c>
      <c r="N74" s="161">
        <f t="shared" ca="1" si="41"/>
        <v>0</v>
      </c>
      <c r="O74" s="158">
        <f t="shared" ref="O74:Q74" ca="1" si="78">SUM(O75:O88)</f>
        <v>494</v>
      </c>
      <c r="P74" s="158">
        <f t="shared" ca="1" si="78"/>
        <v>4800</v>
      </c>
      <c r="Q74" s="159">
        <f t="shared" ca="1" si="78"/>
        <v>461</v>
      </c>
      <c r="R74" s="162">
        <f t="shared" ca="1" si="6"/>
        <v>93.319838056680169</v>
      </c>
      <c r="S74" s="159">
        <f ca="1">SUM(S75:S88)</f>
        <v>610</v>
      </c>
      <c r="T74" s="162">
        <f t="shared" ca="1" si="7"/>
        <v>12.708333333333334</v>
      </c>
      <c r="U74" s="158">
        <f t="shared" ref="U74:V74" ca="1" si="79">SUM(U75:U88)</f>
        <v>4320</v>
      </c>
      <c r="V74" s="159">
        <f t="shared" ca="1" si="79"/>
        <v>3345</v>
      </c>
      <c r="W74" s="162">
        <f t="shared" ca="1" si="32"/>
        <v>77.430555555555557</v>
      </c>
      <c r="X74" s="159">
        <f t="shared" ref="X74:Z74" ca="1" si="80">SUM(X75:X88)</f>
        <v>173</v>
      </c>
      <c r="Y74" s="158">
        <f t="shared" ca="1" si="80"/>
        <v>432</v>
      </c>
      <c r="Z74" s="159">
        <f t="shared" ca="1" si="80"/>
        <v>405</v>
      </c>
      <c r="AA74" s="162">
        <f t="shared" ca="1" si="33"/>
        <v>93.75</v>
      </c>
      <c r="AB74" s="158">
        <f t="shared" ref="AB74:AC74" ca="1" si="81">SUM(AB75:AB88)</f>
        <v>480</v>
      </c>
      <c r="AC74" s="159">
        <f t="shared" ca="1" si="81"/>
        <v>382</v>
      </c>
      <c r="AD74" s="162">
        <f t="shared" ca="1" si="34"/>
        <v>79.583333333333329</v>
      </c>
      <c r="AE74" s="159">
        <f t="shared" ref="AE74:AG74" ca="1" si="82">SUM(AE75:AE88)</f>
        <v>14</v>
      </c>
      <c r="AF74" s="158">
        <f t="shared" ca="1" si="82"/>
        <v>48</v>
      </c>
      <c r="AG74" s="159">
        <f t="shared" ca="1" si="82"/>
        <v>45</v>
      </c>
      <c r="AH74" s="162">
        <f t="shared" ca="1" si="35"/>
        <v>93.75</v>
      </c>
      <c r="AI74" s="159">
        <f t="shared" ref="AI74:AK74" ca="1" si="83">SUM(AI75:AI88)</f>
        <v>4</v>
      </c>
      <c r="AJ74" s="158">
        <f t="shared" ca="1" si="83"/>
        <v>14</v>
      </c>
      <c r="AK74" s="159">
        <f t="shared" ca="1" si="83"/>
        <v>11</v>
      </c>
      <c r="AL74" s="162">
        <f t="shared" ca="1" si="36"/>
        <v>78.571428571428569</v>
      </c>
      <c r="AM74" s="158">
        <f t="shared" ref="AM74:AN74" ca="1" si="84">SUM(AM75:AM88)</f>
        <v>4320</v>
      </c>
      <c r="AN74" s="159">
        <f t="shared" ca="1" si="84"/>
        <v>540</v>
      </c>
      <c r="AO74" s="162">
        <f t="shared" ca="1" si="37"/>
        <v>12.5</v>
      </c>
      <c r="AP74" s="159">
        <f t="shared" ref="AP74:AR74" ca="1" si="85">SUM(AP75:AP88)</f>
        <v>0</v>
      </c>
      <c r="AQ74" s="158">
        <f t="shared" ca="1" si="85"/>
        <v>480</v>
      </c>
      <c r="AR74" s="159">
        <f t="shared" ca="1" si="85"/>
        <v>70</v>
      </c>
      <c r="AS74" s="162">
        <f t="shared" ca="1" si="38"/>
        <v>14.583333333333334</v>
      </c>
      <c r="AT74" s="159">
        <f ca="1">SUM(AT75:AT88)</f>
        <v>0</v>
      </c>
    </row>
    <row r="75" spans="1:46" ht="21" customHeight="1" x14ac:dyDescent="0.3">
      <c r="A75" s="178">
        <v>1</v>
      </c>
      <c r="B75" s="179" t="s">
        <v>92</v>
      </c>
      <c r="C75" s="180">
        <f t="shared" ref="C75:C88" ca="1" si="86">D75+E75</f>
        <v>263283</v>
      </c>
      <c r="D75" s="181">
        <f ca="1">IFERROR(__xludf.DUMMYFUNCTION("IMPORTRANGE(""https://docs.google.com/spreadsheets/d/1kC41EOXpGBFOW658Fs3oD8beYlym0-zO54WY-2Qnp9I/edit?usp=sharing"",""กระบี่!L472"")"),263283)</f>
        <v>263283</v>
      </c>
      <c r="E75" s="187">
        <f ca="1">IFERROR(__xludf.DUMMYFUNCTION("IMPORTRANGE(""https://docs.google.com/spreadsheets/d/1kC41EOXpGBFOW658Fs3oD8beYlym0-zO54WY-2Qnp9I/edit?usp=sharing"",""กระบี่!L479"")"),0)</f>
        <v>0</v>
      </c>
      <c r="F75" s="182">
        <f t="shared" ca="1" si="1"/>
        <v>57692</v>
      </c>
      <c r="G75" s="183">
        <f t="shared" ca="1" si="2"/>
        <v>21.912542777163736</v>
      </c>
      <c r="H75" s="184">
        <f t="shared" ref="H75:H88" ca="1" si="87">I75+J75+K75+L75</f>
        <v>57692</v>
      </c>
      <c r="I75" s="187">
        <f ca="1">IFERROR(__xludf.DUMMYFUNCTION("IMPORTRANGE(""https://docs.google.com/spreadsheets/d/1kC41EOXpGBFOW658Fs3oD8beYlym0-zO54WY-2Qnp9I/edit?usp=sharing"",""กระบี่!N473"")"),36752)</f>
        <v>36752</v>
      </c>
      <c r="J75" s="187">
        <f ca="1">IFERROR(__xludf.DUMMYFUNCTION("IMPORTRANGE(""https://docs.google.com/spreadsheets/d/1kC41EOXpGBFOW658Fs3oD8beYlym0-zO54WY-2Qnp9I/edit?usp=sharing"",""กระบี่!N474"")"),0)</f>
        <v>0</v>
      </c>
      <c r="K75" s="187">
        <f ca="1">IFERROR(__xludf.DUMMYFUNCTION("IMPORTRANGE(""https://docs.google.com/spreadsheets/d/1kC41EOXpGBFOW658Fs3oD8beYlym0-zO54WY-2Qnp9I/edit?usp=sharing"",""กระบี่!N475"")"),0)</f>
        <v>0</v>
      </c>
      <c r="L75" s="187">
        <f ca="1">IFERROR(__xludf.DUMMYFUNCTION("IMPORTRANGE(""https://docs.google.com/spreadsheets/d/1kC41EOXpGBFOW658Fs3oD8beYlym0-zO54WY-2Qnp9I/edit?usp=sharing"",""กระบี่!N476"")"),20940)</f>
        <v>20940</v>
      </c>
      <c r="M75" s="185">
        <f ca="1">IFERROR(__xludf.DUMMYFUNCTION("IMPORTRANGE(""https://docs.google.com/spreadsheets/d/1kC41EOXpGBFOW658Fs3oD8beYlym0-zO54WY-2Qnp9I/edit?usp=sharing"",""กระบี่!N479"")"),0)</f>
        <v>0</v>
      </c>
      <c r="N75" s="185">
        <f t="shared" ca="1" si="41"/>
        <v>0</v>
      </c>
      <c r="O75" s="181">
        <f ca="1">IFERROR(__xludf.DUMMYFUNCTION("IMPORTRANGE(""https://docs.google.com/spreadsheets/d/1kC41EOXpGBFOW658Fs3oD8beYlym0-zO54WY-2Qnp9I/edit?usp=sharing"",""กระบี่!I465"")"),31)</f>
        <v>31</v>
      </c>
      <c r="P75" s="181">
        <f ca="1">IFERROR(__xludf.DUMMYFUNCTION("IMPORTRANGE(""https://docs.google.com/spreadsheets/d/1kC41EOXpGBFOW658Fs3oD8beYlym0-zO54WY-2Qnp9I/edit?usp=sharing"",""กระบี่!I466"")"),300)</f>
        <v>300</v>
      </c>
      <c r="Q75" s="181">
        <f ca="1">IFERROR(__xludf.DUMMYFUNCTION("IMPORTRANGE(""https://docs.google.com/spreadsheets/d/1kC41EOXpGBFOW658Fs3oD8beYlym0-zO54WY-2Qnp9I/edit?usp=sharing"",""กระบี่!J465"")"),31)</f>
        <v>31</v>
      </c>
      <c r="R75" s="186">
        <f t="shared" ca="1" si="6"/>
        <v>100</v>
      </c>
      <c r="S75" s="181">
        <f ca="1">IFERROR(__xludf.DUMMYFUNCTION("IMPORTRANGE(""https://docs.google.com/spreadsheets/d/1kC41EOXpGBFOW658Fs3oD8beYlym0-zO54WY-2Qnp9I/edit?usp=sharing"",""กระบี่!J466"")"),0)</f>
        <v>0</v>
      </c>
      <c r="T75" s="186">
        <f t="shared" ca="1" si="7"/>
        <v>0</v>
      </c>
      <c r="U75" s="181">
        <f ca="1">IFERROR(__xludf.DUMMYFUNCTION("IMPORTRANGE(""https://docs.google.com/spreadsheets/d/1kC41EOXpGBFOW658Fs3oD8beYlym0-zO54WY-2Qnp9I/edit?usp=sharing"",""กระบี่!I483"")"),270)</f>
        <v>270</v>
      </c>
      <c r="V75" s="181">
        <f ca="1">IFERROR(__xludf.DUMMYFUNCTION("IMPORTRANGE(""https://docs.google.com/spreadsheets/d/1kC41EOXpGBFOW658Fs3oD8beYlym0-zO54WY-2Qnp9I/edit?usp=sharing"",""กระบี่!J483"")"),270)</f>
        <v>270</v>
      </c>
      <c r="W75" s="186">
        <f t="shared" ca="1" si="32"/>
        <v>100</v>
      </c>
      <c r="X75" s="181">
        <f ca="1">IFERROR(__xludf.DUMMYFUNCTION("IMPORTRANGE(""https://docs.google.com/spreadsheets/d/1kC41EOXpGBFOW658Fs3oD8beYlym0-zO54WY-2Qnp9I/edit?usp=sharing"",""กระบี่!J484"")"),34)</f>
        <v>34</v>
      </c>
      <c r="Y75" s="181">
        <f ca="1">IFERROR(__xludf.DUMMYFUNCTION("IMPORTRANGE(""https://docs.google.com/spreadsheets/d/1kC41EOXpGBFOW658Fs3oD8beYlym0-zO54WY-2Qnp9I/edit?usp=sharing"",""กระบี่!I485"")"),27)</f>
        <v>27</v>
      </c>
      <c r="Z75" s="181">
        <f ca="1">IFERROR(__xludf.DUMMYFUNCTION("IMPORTRANGE(""https://docs.google.com/spreadsheets/d/1kC41EOXpGBFOW658Fs3oD8beYlym0-zO54WY-2Qnp9I/edit?usp=sharing"",""กระบี่!J485"")"),27)</f>
        <v>27</v>
      </c>
      <c r="AA75" s="186">
        <f t="shared" ca="1" si="33"/>
        <v>100</v>
      </c>
      <c r="AB75" s="181">
        <f ca="1">IFERROR(__xludf.DUMMYFUNCTION("IMPORTRANGE(""https://docs.google.com/spreadsheets/d/1kC41EOXpGBFOW658Fs3oD8beYlym0-zO54WY-2Qnp9I/edit?usp=sharing"",""กระบี่!I487"")"),30)</f>
        <v>30</v>
      </c>
      <c r="AC75" s="181">
        <f ca="1">IFERROR(__xludf.DUMMYFUNCTION("IMPORTRANGE(""https://docs.google.com/spreadsheets/d/1kC41EOXpGBFOW658Fs3oD8beYlym0-zO54WY-2Qnp9I/edit?usp=sharing"",""กระบี่!J487"")"),30)</f>
        <v>30</v>
      </c>
      <c r="AD75" s="186">
        <f t="shared" ca="1" si="34"/>
        <v>100</v>
      </c>
      <c r="AE75" s="181">
        <f ca="1">IFERROR(__xludf.DUMMYFUNCTION("IMPORTRANGE(""https://docs.google.com/spreadsheets/d/1kC41EOXpGBFOW658Fs3oD8beYlym0-zO54WY-2Qnp9I/edit?usp=sharing"",""กระบี่!J488"")"),3)</f>
        <v>3</v>
      </c>
      <c r="AF75" s="181">
        <f ca="1">IFERROR(__xludf.DUMMYFUNCTION("IMPORTRANGE(""https://docs.google.com/spreadsheets/d/1kC41EOXpGBFOW658Fs3oD8beYlym0-zO54WY-2Qnp9I/edit?usp=sharing"",""กระบี่!I489"")"),3)</f>
        <v>3</v>
      </c>
      <c r="AG75" s="181">
        <f ca="1">IFERROR(__xludf.DUMMYFUNCTION("IMPORTRANGE(""https://docs.google.com/spreadsheets/d/1kC41EOXpGBFOW658Fs3oD8beYlym0-zO54WY-2Qnp9I/edit?usp=sharing"",""กระบี่!J489"")"),3)</f>
        <v>3</v>
      </c>
      <c r="AH75" s="186">
        <f t="shared" ca="1" si="35"/>
        <v>100</v>
      </c>
      <c r="AI75" s="181">
        <f ca="1">IFERROR(__xludf.DUMMYFUNCTION("IMPORTRANGE(""https://docs.google.com/spreadsheets/d/1kC41EOXpGBFOW658Fs3oD8beYlym0-zO54WY-2Qnp9I/edit?usp=sharing"",""กระบี่!J491"")"),1)</f>
        <v>1</v>
      </c>
      <c r="AJ75" s="181">
        <f ca="1">IFERROR(__xludf.DUMMYFUNCTION("IMPORTRANGE(""https://docs.google.com/spreadsheets/d/1kC41EOXpGBFOW658Fs3oD8beYlym0-zO54WY-2Qnp9I/edit?usp=sharing"",""กระบี่!I492"")"),1)</f>
        <v>1</v>
      </c>
      <c r="AK75" s="181">
        <f ca="1">IFERROR(__xludf.DUMMYFUNCTION("IMPORTRANGE(""https://docs.google.com/spreadsheets/d/1kC41EOXpGBFOW658Fs3oD8beYlym0-zO54WY-2Qnp9I/edit?usp=sharing"",""กระบี่!J492"")"),1)</f>
        <v>1</v>
      </c>
      <c r="AL75" s="186">
        <f t="shared" ca="1" si="36"/>
        <v>100</v>
      </c>
      <c r="AM75" s="181">
        <f ca="1">IFERROR(__xludf.DUMMYFUNCTION("IMPORTRANGE(""https://docs.google.com/spreadsheets/d/1kC41EOXpGBFOW658Fs3oD8beYlym0-zO54WY-2Qnp9I/edit?usp=sharing"",""กระบี่!I495"")"),270)</f>
        <v>270</v>
      </c>
      <c r="AN75" s="181">
        <f ca="1">IFERROR(__xludf.DUMMYFUNCTION("IMPORTRANGE(""https://docs.google.com/spreadsheets/d/1kC41EOXpGBFOW658Fs3oD8beYlym0-zO54WY-2Qnp9I/edit?usp=sharing"",""กระบี่!J495"")"),0)</f>
        <v>0</v>
      </c>
      <c r="AO75" s="186">
        <f t="shared" ca="1" si="37"/>
        <v>0</v>
      </c>
      <c r="AP75" s="181">
        <f ca="1">IFERROR(__xludf.DUMMYFUNCTION("IMPORTRANGE(""https://docs.google.com/spreadsheets/d/1kC41EOXpGBFOW658Fs3oD8beYlym0-zO54WY-2Qnp9I/edit?usp=sharing"",""กระบี่!J496"")"),0)</f>
        <v>0</v>
      </c>
      <c r="AQ75" s="181">
        <f ca="1">IFERROR(__xludf.DUMMYFUNCTION("IMPORTRANGE(""https://docs.google.com/spreadsheets/d/1kC41EOXpGBFOW658Fs3oD8beYlym0-zO54WY-2Qnp9I/edit?usp=sharing"",""กระบี่!I498"")"),30)</f>
        <v>30</v>
      </c>
      <c r="AR75" s="181">
        <f ca="1">IFERROR(__xludf.DUMMYFUNCTION("IMPORTRANGE(""https://docs.google.com/spreadsheets/d/1kC41EOXpGBFOW658Fs3oD8beYlym0-zO54WY-2Qnp9I/edit?usp=sharing"",""กระบี่!J498"")"),0)</f>
        <v>0</v>
      </c>
      <c r="AS75" s="186">
        <f t="shared" ca="1" si="38"/>
        <v>0</v>
      </c>
      <c r="AT75" s="181">
        <f ca="1">IFERROR(__xludf.DUMMYFUNCTION("IMPORTRANGE(""https://docs.google.com/spreadsheets/d/1kC41EOXpGBFOW658Fs3oD8beYlym0-zO54WY-2Qnp9I/edit?usp=sharing"",""กระบี่!J499"")"),0)</f>
        <v>0</v>
      </c>
    </row>
    <row r="76" spans="1:46" ht="21" customHeight="1" x14ac:dyDescent="0.3">
      <c r="A76" s="178">
        <v>2</v>
      </c>
      <c r="B76" s="179" t="s">
        <v>93</v>
      </c>
      <c r="C76" s="180">
        <f t="shared" ca="1" si="86"/>
        <v>413113</v>
      </c>
      <c r="D76" s="181">
        <f ca="1">IFERROR(__xludf.DUMMYFUNCTION("IMPORTRANGE(""https://docs.google.com/spreadsheets/d/1FbzMZY_f3MDiEuK7RpCQKrilJ_kpX0Wm7QBZ1L7EjIU/edit?usp=sharing"",""ชุมพร!L472"")"),413113)</f>
        <v>413113</v>
      </c>
      <c r="E76" s="187">
        <f ca="1">IFERROR(__xludf.DUMMYFUNCTION("IMPORTRANGE(""https://docs.google.com/spreadsheets/d/1FbzMZY_f3MDiEuK7RpCQKrilJ_kpX0Wm7QBZ1L7EjIU/edit?usp=sharing"",""ชุมพร!L479"")"),0)</f>
        <v>0</v>
      </c>
      <c r="F76" s="182">
        <f t="shared" ca="1" si="1"/>
        <v>387063</v>
      </c>
      <c r="G76" s="183">
        <f t="shared" ca="1" si="2"/>
        <v>93.694219257200814</v>
      </c>
      <c r="H76" s="184">
        <f t="shared" ca="1" si="87"/>
        <v>387063</v>
      </c>
      <c r="I76" s="187">
        <f ca="1">IFERROR(__xludf.DUMMYFUNCTION("IMPORTRANGE(""https://docs.google.com/spreadsheets/d/1FbzMZY_f3MDiEuK7RpCQKrilJ_kpX0Wm7QBZ1L7EjIU/edit?usp=sharing"",""ชุมพร!N473"")"),69583)</f>
        <v>69583</v>
      </c>
      <c r="J76" s="187">
        <f ca="1">IFERROR(__xludf.DUMMYFUNCTION("IMPORTRANGE(""https://docs.google.com/spreadsheets/d/1FbzMZY_f3MDiEuK7RpCQKrilJ_kpX0Wm7QBZ1L7EjIU/edit?usp=sharing"",""ชุมพร!N474"")"),314000)</f>
        <v>314000</v>
      </c>
      <c r="K76" s="187">
        <f ca="1">IFERROR(__xludf.DUMMYFUNCTION("IMPORTRANGE(""https://docs.google.com/spreadsheets/d/1FbzMZY_f3MDiEuK7RpCQKrilJ_kpX0Wm7QBZ1L7EjIU/edit?usp=sharing"",""ชุมพร!N475"")"),0)</f>
        <v>0</v>
      </c>
      <c r="L76" s="187">
        <f ca="1">IFERROR(__xludf.DUMMYFUNCTION("IMPORTRANGE(""https://docs.google.com/spreadsheets/d/1FbzMZY_f3MDiEuK7RpCQKrilJ_kpX0Wm7QBZ1L7EjIU/edit?usp=sharing"",""ชุมพร!N476"")"),3480)</f>
        <v>3480</v>
      </c>
      <c r="M76" s="185">
        <f ca="1">IFERROR(__xludf.DUMMYFUNCTION("IMPORTRANGE(""https://docs.google.com/spreadsheets/d/1FbzMZY_f3MDiEuK7RpCQKrilJ_kpX0Wm7QBZ1L7EjIU/edit?usp=sharing"",""ชุมพร!N479"")"),0)</f>
        <v>0</v>
      </c>
      <c r="N76" s="185">
        <f t="shared" ca="1" si="41"/>
        <v>0</v>
      </c>
      <c r="O76" s="181">
        <f ca="1">IFERROR(__xludf.DUMMYFUNCTION("IMPORTRANGE(""https://docs.google.com/spreadsheets/d/1FbzMZY_f3MDiEuK7RpCQKrilJ_kpX0Wm7QBZ1L7EjIU/edit?usp=sharing"",""ชุมพร!I465"")"),51)</f>
        <v>51</v>
      </c>
      <c r="P76" s="181">
        <f ca="1">IFERROR(__xludf.DUMMYFUNCTION("IMPORTRANGE(""https://docs.google.com/spreadsheets/d/1FbzMZY_f3MDiEuK7RpCQKrilJ_kpX0Wm7QBZ1L7EjIU/edit?usp=sharing"",""ชุมพร!I466"")"),500)</f>
        <v>500</v>
      </c>
      <c r="Q76" s="181">
        <f ca="1">IFERROR(__xludf.DUMMYFUNCTION("IMPORTRANGE(""https://docs.google.com/spreadsheets/d/1FbzMZY_f3MDiEuK7RpCQKrilJ_kpX0Wm7QBZ1L7EjIU/edit?usp=sharing"",""ชุมพร!J465"")"),51)</f>
        <v>51</v>
      </c>
      <c r="R76" s="186">
        <f t="shared" ca="1" si="6"/>
        <v>100</v>
      </c>
      <c r="S76" s="181">
        <f ca="1">IFERROR(__xludf.DUMMYFUNCTION("IMPORTRANGE(""https://docs.google.com/spreadsheets/d/1FbzMZY_f3MDiEuK7RpCQKrilJ_kpX0Wm7QBZ1L7EjIU/edit?usp=sharing"",""ชุมพร!J466"")"),500)</f>
        <v>500</v>
      </c>
      <c r="T76" s="186">
        <f t="shared" ca="1" si="7"/>
        <v>100</v>
      </c>
      <c r="U76" s="181">
        <f ca="1">IFERROR(__xludf.DUMMYFUNCTION("IMPORTRANGE(""https://docs.google.com/spreadsheets/d/1FbzMZY_f3MDiEuK7RpCQKrilJ_kpX0Wm7QBZ1L7EjIU/edit?usp=sharing"",""ชุมพร!I483"")"),450)</f>
        <v>450</v>
      </c>
      <c r="V76" s="181">
        <f ca="1">IFERROR(__xludf.DUMMYFUNCTION("IMPORTRANGE(""https://docs.google.com/spreadsheets/d/1FbzMZY_f3MDiEuK7RpCQKrilJ_kpX0Wm7QBZ1L7EjIU/edit?usp=sharing"",""ชุมพร!J483"")"),450)</f>
        <v>450</v>
      </c>
      <c r="W76" s="186">
        <f t="shared" ca="1" si="32"/>
        <v>100</v>
      </c>
      <c r="X76" s="181">
        <f ca="1">IFERROR(__xludf.DUMMYFUNCTION("IMPORTRANGE(""https://docs.google.com/spreadsheets/d/1FbzMZY_f3MDiEuK7RpCQKrilJ_kpX0Wm7QBZ1L7EjIU/edit?usp=sharing"",""ชุมพร!J484"")"),45)</f>
        <v>45</v>
      </c>
      <c r="Y76" s="181">
        <f ca="1">IFERROR(__xludf.DUMMYFUNCTION("IMPORTRANGE(""https://docs.google.com/spreadsheets/d/1FbzMZY_f3MDiEuK7RpCQKrilJ_kpX0Wm7QBZ1L7EjIU/edit?usp=sharing"",""ชุมพร!I485"")"),45)</f>
        <v>45</v>
      </c>
      <c r="Z76" s="181">
        <f ca="1">IFERROR(__xludf.DUMMYFUNCTION("IMPORTRANGE(""https://docs.google.com/spreadsheets/d/1FbzMZY_f3MDiEuK7RpCQKrilJ_kpX0Wm7QBZ1L7EjIU/edit?usp=sharing"",""ชุมพร!J485"")"),45)</f>
        <v>45</v>
      </c>
      <c r="AA76" s="186">
        <f t="shared" ca="1" si="33"/>
        <v>100</v>
      </c>
      <c r="AB76" s="181">
        <f ca="1">IFERROR(__xludf.DUMMYFUNCTION("IMPORTRANGE(""https://docs.google.com/spreadsheets/d/1FbzMZY_f3MDiEuK7RpCQKrilJ_kpX0Wm7QBZ1L7EjIU/edit?usp=sharing"",""ชุมพร!I487"")"),50)</f>
        <v>50</v>
      </c>
      <c r="AC76" s="181">
        <f ca="1">IFERROR(__xludf.DUMMYFUNCTION("IMPORTRANGE(""https://docs.google.com/spreadsheets/d/1FbzMZY_f3MDiEuK7RpCQKrilJ_kpX0Wm7QBZ1L7EjIU/edit?usp=sharing"",""ชุมพร!J487"")"),50)</f>
        <v>50</v>
      </c>
      <c r="AD76" s="186">
        <f t="shared" ca="1" si="34"/>
        <v>100</v>
      </c>
      <c r="AE76" s="181">
        <f ca="1">IFERROR(__xludf.DUMMYFUNCTION("IMPORTRANGE(""https://docs.google.com/spreadsheets/d/1FbzMZY_f3MDiEuK7RpCQKrilJ_kpX0Wm7QBZ1L7EjIU/edit?usp=sharing"",""ชุมพร!J488"")"),0)</f>
        <v>0</v>
      </c>
      <c r="AF76" s="181">
        <f ca="1">IFERROR(__xludf.DUMMYFUNCTION("IMPORTRANGE(""https://docs.google.com/spreadsheets/d/1FbzMZY_f3MDiEuK7RpCQKrilJ_kpX0Wm7QBZ1L7EjIU/edit?usp=sharing"",""ชุมพร!I489"")"),5)</f>
        <v>5</v>
      </c>
      <c r="AG76" s="181">
        <f ca="1">IFERROR(__xludf.DUMMYFUNCTION("IMPORTRANGE(""https://docs.google.com/spreadsheets/d/1FbzMZY_f3MDiEuK7RpCQKrilJ_kpX0Wm7QBZ1L7EjIU/edit?usp=sharing"",""ชุมพร!J489"")"),5)</f>
        <v>5</v>
      </c>
      <c r="AH76" s="186">
        <f t="shared" ca="1" si="35"/>
        <v>100</v>
      </c>
      <c r="AI76" s="181">
        <f ca="1">IFERROR(__xludf.DUMMYFUNCTION("IMPORTRANGE(""https://docs.google.com/spreadsheets/d/1FbzMZY_f3MDiEuK7RpCQKrilJ_kpX0Wm7QBZ1L7EjIU/edit?usp=sharing"",""ชุมพร!J491"")"),0)</f>
        <v>0</v>
      </c>
      <c r="AJ76" s="181">
        <f ca="1">IFERROR(__xludf.DUMMYFUNCTION("IMPORTRANGE(""https://docs.google.com/spreadsheets/d/1FbzMZY_f3MDiEuK7RpCQKrilJ_kpX0Wm7QBZ1L7EjIU/edit?usp=sharing"",""ชุมพร!I492"")"),1)</f>
        <v>1</v>
      </c>
      <c r="AK76" s="181">
        <f ca="1">IFERROR(__xludf.DUMMYFUNCTION("IMPORTRANGE(""https://docs.google.com/spreadsheets/d/1FbzMZY_f3MDiEuK7RpCQKrilJ_kpX0Wm7QBZ1L7EjIU/edit?usp=sharing"",""ชุมพร!J492"")"),1)</f>
        <v>1</v>
      </c>
      <c r="AL76" s="186">
        <f t="shared" ca="1" si="36"/>
        <v>100</v>
      </c>
      <c r="AM76" s="181">
        <f ca="1">IFERROR(__xludf.DUMMYFUNCTION("IMPORTRANGE(""https://docs.google.com/spreadsheets/d/1FbzMZY_f3MDiEuK7RpCQKrilJ_kpX0Wm7QBZ1L7EjIU/edit?usp=sharing"",""ชุมพร!I495"")"),450)</f>
        <v>450</v>
      </c>
      <c r="AN76" s="181">
        <f ca="1">IFERROR(__xludf.DUMMYFUNCTION("IMPORTRANGE(""https://docs.google.com/spreadsheets/d/1FbzMZY_f3MDiEuK7RpCQKrilJ_kpX0Wm7QBZ1L7EjIU/edit?usp=sharing"",""ชุมพร!J495"")"),450)</f>
        <v>450</v>
      </c>
      <c r="AO76" s="186">
        <f t="shared" ca="1" si="37"/>
        <v>100</v>
      </c>
      <c r="AP76" s="181">
        <f ca="1">IFERROR(__xludf.DUMMYFUNCTION("IMPORTRANGE(""https://docs.google.com/spreadsheets/d/1FbzMZY_f3MDiEuK7RpCQKrilJ_kpX0Wm7QBZ1L7EjIU/edit?usp=sharing"",""ชุมพร!J496"")"),0)</f>
        <v>0</v>
      </c>
      <c r="AQ76" s="181">
        <f ca="1">IFERROR(__xludf.DUMMYFUNCTION("IMPORTRANGE(""https://docs.google.com/spreadsheets/d/1FbzMZY_f3MDiEuK7RpCQKrilJ_kpX0Wm7QBZ1L7EjIU/edit?usp=sharing"",""ชุมพร!I498"")"),50)</f>
        <v>50</v>
      </c>
      <c r="AR76" s="181">
        <f ca="1">IFERROR(__xludf.DUMMYFUNCTION("IMPORTRANGE(""https://docs.google.com/spreadsheets/d/1FbzMZY_f3MDiEuK7RpCQKrilJ_kpX0Wm7QBZ1L7EjIU/edit?usp=sharing"",""ชุมพร!J498"")"),50)</f>
        <v>50</v>
      </c>
      <c r="AS76" s="186">
        <f t="shared" ca="1" si="38"/>
        <v>100</v>
      </c>
      <c r="AT76" s="181">
        <f ca="1">IFERROR(__xludf.DUMMYFUNCTION("IMPORTRANGE(""https://docs.google.com/spreadsheets/d/1FbzMZY_f3MDiEuK7RpCQKrilJ_kpX0Wm7QBZ1L7EjIU/edit?usp=sharing"",""ชุมพร!J499"")"),0)</f>
        <v>0</v>
      </c>
    </row>
    <row r="77" spans="1:46" ht="21" customHeight="1" x14ac:dyDescent="0.3">
      <c r="A77" s="178">
        <v>3</v>
      </c>
      <c r="B77" s="179" t="s">
        <v>94</v>
      </c>
      <c r="C77" s="188">
        <f t="shared" ca="1" si="86"/>
        <v>341043</v>
      </c>
      <c r="D77" s="189">
        <f ca="1">IFERROR(__xludf.DUMMYFUNCTION("IMPORTRANGE(""https://docs.google.com/spreadsheets/d/1v5sN-00LrXuhBxw4dkh2GrG_z4l5oAqOdJRBCsUyMaM/edit?usp=sharing"",""ตรัง!L472"")"),341043)</f>
        <v>341043</v>
      </c>
      <c r="E77" s="190">
        <f ca="1">IFERROR(__xludf.DUMMYFUNCTION("IMPORTRANGE(""https://docs.google.com/spreadsheets/d/1v5sN-00LrXuhBxw4dkh2GrG_z4l5oAqOdJRBCsUyMaM/edit?usp=sharing"",""ตรัง!L479"")"),0)</f>
        <v>0</v>
      </c>
      <c r="F77" s="182">
        <f t="shared" ca="1" si="1"/>
        <v>64413.919999999998</v>
      </c>
      <c r="G77" s="191">
        <f t="shared" ca="1" si="2"/>
        <v>18.887330923080082</v>
      </c>
      <c r="H77" s="184">
        <f t="shared" ca="1" si="87"/>
        <v>64413.919999999998</v>
      </c>
      <c r="I77" s="187">
        <f ca="1">IFERROR(__xludf.DUMMYFUNCTION("IMPORTRANGE(""https://docs.google.com/spreadsheets/d/1v5sN-00LrXuhBxw4dkh2GrG_z4l5oAqOdJRBCsUyMaM/edit?usp=sharing"",""ตรัง!N473"")"),61176.72)</f>
        <v>61176.72</v>
      </c>
      <c r="J77" s="187">
        <f ca="1">IFERROR(__xludf.DUMMYFUNCTION("IMPORTRANGE(""https://docs.google.com/spreadsheets/d/1v5sN-00LrXuhBxw4dkh2GrG_z4l5oAqOdJRBCsUyMaM/edit?usp=sharing"",""ตรัง!N474"")"),0)</f>
        <v>0</v>
      </c>
      <c r="K77" s="187">
        <f ca="1">IFERROR(__xludf.DUMMYFUNCTION("IMPORTRANGE(""https://docs.google.com/spreadsheets/d/1v5sN-00LrXuhBxw4dkh2GrG_z4l5oAqOdJRBCsUyMaM/edit?usp=sharing"",""ตรัง!N475"")"),0)</f>
        <v>0</v>
      </c>
      <c r="L77" s="187">
        <f ca="1">IFERROR(__xludf.DUMMYFUNCTION("IMPORTRANGE(""https://docs.google.com/spreadsheets/d/1v5sN-00LrXuhBxw4dkh2GrG_z4l5oAqOdJRBCsUyMaM/edit?usp=sharing"",""ตรัง!N476"")"),3237.2)</f>
        <v>3237.2</v>
      </c>
      <c r="M77" s="185">
        <f ca="1">IFERROR(__xludf.DUMMYFUNCTION("IMPORTRANGE(""https://docs.google.com/spreadsheets/d/1v5sN-00LrXuhBxw4dkh2GrG_z4l5oAqOdJRBCsUyMaM/edit?usp=sharing"",""ตรัง!N479"")"),0)</f>
        <v>0</v>
      </c>
      <c r="N77" s="185">
        <f t="shared" ca="1" si="41"/>
        <v>0</v>
      </c>
      <c r="O77" s="189">
        <f ca="1">IFERROR(__xludf.DUMMYFUNCTION("IMPORTRANGE(""https://docs.google.com/spreadsheets/d/1v5sN-00LrXuhBxw4dkh2GrG_z4l5oAqOdJRBCsUyMaM/edit?usp=sharing"",""ตรัง!I465"")"),41)</f>
        <v>41</v>
      </c>
      <c r="P77" s="189">
        <f ca="1">IFERROR(__xludf.DUMMYFUNCTION("IMPORTRANGE(""https://docs.google.com/spreadsheets/d/1v5sN-00LrXuhBxw4dkh2GrG_z4l5oAqOdJRBCsUyMaM/edit?usp=sharing"",""ตรัง!I466"")"),400)</f>
        <v>400</v>
      </c>
      <c r="Q77" s="181">
        <f ca="1">IFERROR(__xludf.DUMMYFUNCTION("IMPORTRANGE(""https://docs.google.com/spreadsheets/d/1v5sN-00LrXuhBxw4dkh2GrG_z4l5oAqOdJRBCsUyMaM/edit?usp=sharing"",""ตรัง!J465"")"),41)</f>
        <v>41</v>
      </c>
      <c r="R77" s="186">
        <f t="shared" ca="1" si="6"/>
        <v>100</v>
      </c>
      <c r="S77" s="181">
        <f ca="1">IFERROR(__xludf.DUMMYFUNCTION("IMPORTRANGE(""https://docs.google.com/spreadsheets/d/1v5sN-00LrXuhBxw4dkh2GrG_z4l5oAqOdJRBCsUyMaM/edit?usp=sharing"",""ตรัง!J466"")"),0)</f>
        <v>0</v>
      </c>
      <c r="T77" s="186">
        <f t="shared" ca="1" si="7"/>
        <v>0</v>
      </c>
      <c r="U77" s="189">
        <f ca="1">IFERROR(__xludf.DUMMYFUNCTION("IMPORTRANGE(""https://docs.google.com/spreadsheets/d/1v5sN-00LrXuhBxw4dkh2GrG_z4l5oAqOdJRBCsUyMaM/edit?usp=sharing"",""ตรัง!I483"")"),360)</f>
        <v>360</v>
      </c>
      <c r="V77" s="181">
        <f ca="1">IFERROR(__xludf.DUMMYFUNCTION("IMPORTRANGE(""https://docs.google.com/spreadsheets/d/1v5sN-00LrXuhBxw4dkh2GrG_z4l5oAqOdJRBCsUyMaM/edit?usp=sharing"",""ตรัง!J483"")"),0)</f>
        <v>0</v>
      </c>
      <c r="W77" s="186">
        <f t="shared" ca="1" si="32"/>
        <v>0</v>
      </c>
      <c r="X77" s="181">
        <f ca="1">IFERROR(__xludf.DUMMYFUNCTION("IMPORTRANGE(""https://docs.google.com/spreadsheets/d/1v5sN-00LrXuhBxw4dkh2GrG_z4l5oAqOdJRBCsUyMaM/edit?usp=sharing"",""ตรัง!J484"")"),0)</f>
        <v>0</v>
      </c>
      <c r="Y77" s="189">
        <f ca="1">IFERROR(__xludf.DUMMYFUNCTION("IMPORTRANGE(""https://docs.google.com/spreadsheets/d/1v5sN-00LrXuhBxw4dkh2GrG_z4l5oAqOdJRBCsUyMaM/edit?usp=sharing"",""ตรัง!I485"")"),36)</f>
        <v>36</v>
      </c>
      <c r="Z77" s="181">
        <f ca="1">IFERROR(__xludf.DUMMYFUNCTION("IMPORTRANGE(""https://docs.google.com/spreadsheets/d/1v5sN-00LrXuhBxw4dkh2GrG_z4l5oAqOdJRBCsUyMaM/edit?usp=sharing"",""ตรัง!J485"")"),36)</f>
        <v>36</v>
      </c>
      <c r="AA77" s="186">
        <f t="shared" ca="1" si="33"/>
        <v>100</v>
      </c>
      <c r="AB77" s="189">
        <f ca="1">IFERROR(__xludf.DUMMYFUNCTION("IMPORTRANGE(""https://docs.google.com/spreadsheets/d/1v5sN-00LrXuhBxw4dkh2GrG_z4l5oAqOdJRBCsUyMaM/edit?usp=sharing"",""ตรัง!I487"")"),40)</f>
        <v>40</v>
      </c>
      <c r="AC77" s="181">
        <f ca="1">IFERROR(__xludf.DUMMYFUNCTION("IMPORTRANGE(""https://docs.google.com/spreadsheets/d/1v5sN-00LrXuhBxw4dkh2GrG_z4l5oAqOdJRBCsUyMaM/edit?usp=sharing"",""ตรัง!J487"")"),0)</f>
        <v>0</v>
      </c>
      <c r="AD77" s="186">
        <f t="shared" ca="1" si="34"/>
        <v>0</v>
      </c>
      <c r="AE77" s="181">
        <f ca="1">IFERROR(__xludf.DUMMYFUNCTION("IMPORTRANGE(""https://docs.google.com/spreadsheets/d/1v5sN-00LrXuhBxw4dkh2GrG_z4l5oAqOdJRBCsUyMaM/edit?usp=sharing"",""ตรัง!J488"")"),0)</f>
        <v>0</v>
      </c>
      <c r="AF77" s="189">
        <f ca="1">IFERROR(__xludf.DUMMYFUNCTION("IMPORTRANGE(""https://docs.google.com/spreadsheets/d/1v5sN-00LrXuhBxw4dkh2GrG_z4l5oAqOdJRBCsUyMaM/edit?usp=sharing"",""ตรัง!I489"")"),4)</f>
        <v>4</v>
      </c>
      <c r="AG77" s="181">
        <f ca="1">IFERROR(__xludf.DUMMYFUNCTION("IMPORTRANGE(""https://docs.google.com/spreadsheets/d/1v5sN-00LrXuhBxw4dkh2GrG_z4l5oAqOdJRBCsUyMaM/edit?usp=sharing"",""ตรัง!J489"")"),4)</f>
        <v>4</v>
      </c>
      <c r="AH77" s="186">
        <f t="shared" ca="1" si="35"/>
        <v>100</v>
      </c>
      <c r="AI77" s="181">
        <f ca="1">IFERROR(__xludf.DUMMYFUNCTION("IMPORTRANGE(""https://docs.google.com/spreadsheets/d/1v5sN-00LrXuhBxw4dkh2GrG_z4l5oAqOdJRBCsUyMaM/edit?usp=sharing"",""ตรัง!J491"")"),0)</f>
        <v>0</v>
      </c>
      <c r="AJ77" s="189">
        <f ca="1">IFERROR(__xludf.DUMMYFUNCTION("IMPORTRANGE(""https://docs.google.com/spreadsheets/d/1v5sN-00LrXuhBxw4dkh2GrG_z4l5oAqOdJRBCsUyMaM/edit?usp=sharing"",""ตรัง!I492"")"),1)</f>
        <v>1</v>
      </c>
      <c r="AK77" s="181">
        <f ca="1">IFERROR(__xludf.DUMMYFUNCTION("IMPORTRANGE(""https://docs.google.com/spreadsheets/d/1v5sN-00LrXuhBxw4dkh2GrG_z4l5oAqOdJRBCsUyMaM/edit?usp=sharing"",""ตรัง!J492"")"),1)</f>
        <v>1</v>
      </c>
      <c r="AL77" s="186">
        <f t="shared" ca="1" si="36"/>
        <v>100</v>
      </c>
      <c r="AM77" s="189">
        <f ca="1">IFERROR(__xludf.DUMMYFUNCTION("IMPORTRANGE(""https://docs.google.com/spreadsheets/d/1v5sN-00LrXuhBxw4dkh2GrG_z4l5oAqOdJRBCsUyMaM/edit?usp=sharing"",""ตรัง!I495"")"),360)</f>
        <v>360</v>
      </c>
      <c r="AN77" s="181">
        <f ca="1">IFERROR(__xludf.DUMMYFUNCTION("IMPORTRANGE(""https://docs.google.com/spreadsheets/d/1v5sN-00LrXuhBxw4dkh2GrG_z4l5oAqOdJRBCsUyMaM/edit?usp=sharing"",""ตรัง!J495"")"),0)</f>
        <v>0</v>
      </c>
      <c r="AO77" s="186">
        <f t="shared" ca="1" si="37"/>
        <v>0</v>
      </c>
      <c r="AP77" s="181">
        <f ca="1">IFERROR(__xludf.DUMMYFUNCTION("IMPORTRANGE(""https://docs.google.com/spreadsheets/d/1v5sN-00LrXuhBxw4dkh2GrG_z4l5oAqOdJRBCsUyMaM/edit?usp=sharing"",""ตรัง!J496"")"),0)</f>
        <v>0</v>
      </c>
      <c r="AQ77" s="189">
        <f ca="1">IFERROR(__xludf.DUMMYFUNCTION("IMPORTRANGE(""https://docs.google.com/spreadsheets/d/1v5sN-00LrXuhBxw4dkh2GrG_z4l5oAqOdJRBCsUyMaM/edit?usp=sharing"",""ตรัง!I498"")"),40)</f>
        <v>40</v>
      </c>
      <c r="AR77" s="181">
        <f ca="1">IFERROR(__xludf.DUMMYFUNCTION("IMPORTRANGE(""https://docs.google.com/spreadsheets/d/1v5sN-00LrXuhBxw4dkh2GrG_z4l5oAqOdJRBCsUyMaM/edit?usp=sharing"",""ตรัง!J498"")"),0)</f>
        <v>0</v>
      </c>
      <c r="AS77" s="186">
        <f t="shared" ca="1" si="38"/>
        <v>0</v>
      </c>
      <c r="AT77" s="181">
        <f ca="1">IFERROR(__xludf.DUMMYFUNCTION("IMPORTRANGE(""https://docs.google.com/spreadsheets/d/1v5sN-00LrXuhBxw4dkh2GrG_z4l5oAqOdJRBCsUyMaM/edit?usp=sharing"",""ตรัง!J499"")"),0)</f>
        <v>0</v>
      </c>
    </row>
    <row r="78" spans="1:46" ht="21" customHeight="1" x14ac:dyDescent="0.3">
      <c r="A78" s="178">
        <v>4</v>
      </c>
      <c r="B78" s="179" t="s">
        <v>95</v>
      </c>
      <c r="C78" s="180">
        <f t="shared" ca="1" si="86"/>
        <v>187163</v>
      </c>
      <c r="D78" s="181">
        <f ca="1">IFERROR(__xludf.DUMMYFUNCTION("IMPORTRANGE(""https://docs.google.com/spreadsheets/d/1T5rRTzFc79aSIvqnzkZNvwPstq829QYz_xALlO1Z0s8/edit?usp=sharing"",""นครศรีธรรมราช!L472"")"),187163)</f>
        <v>187163</v>
      </c>
      <c r="E78" s="187">
        <f ca="1">IFERROR(__xludf.DUMMYFUNCTION("IMPORTRANGE(""https://docs.google.com/spreadsheets/d/1T5rRTzFc79aSIvqnzkZNvwPstq829QYz_xALlO1Z0s8/edit?usp=sharing"",""นครศรีธรรมราช!L479"")"),0)</f>
        <v>0</v>
      </c>
      <c r="F78" s="182">
        <f t="shared" ca="1" si="1"/>
        <v>43294</v>
      </c>
      <c r="G78" s="183">
        <f t="shared" ca="1" si="2"/>
        <v>23.131708724480799</v>
      </c>
      <c r="H78" s="184">
        <f t="shared" ca="1" si="87"/>
        <v>43294</v>
      </c>
      <c r="I78" s="187">
        <f ca="1">IFERROR(__xludf.DUMMYFUNCTION("IMPORTRANGE(""https://docs.google.com/spreadsheets/d/1T5rRTzFc79aSIvqnzkZNvwPstq829QYz_xALlO1Z0s8/edit?usp=sharing"",""นครศรีธรรมราช!N473"")"),37823)</f>
        <v>37823</v>
      </c>
      <c r="J78" s="187">
        <f ca="1">IFERROR(__xludf.DUMMYFUNCTION("IMPORTRANGE(""https://docs.google.com/spreadsheets/d/1T5rRTzFc79aSIvqnzkZNvwPstq829QYz_xALlO1Z0s8/edit?usp=sharing"",""นครศรีธรรมราช!N474"")"),0)</f>
        <v>0</v>
      </c>
      <c r="K78" s="187">
        <f ca="1">IFERROR(__xludf.DUMMYFUNCTION("IMPORTRANGE(""https://docs.google.com/spreadsheets/d/1T5rRTzFc79aSIvqnzkZNvwPstq829QYz_xALlO1Z0s8/edit?usp=sharing"",""นครศรีธรรมราช!N475"")"),0)</f>
        <v>0</v>
      </c>
      <c r="L78" s="187">
        <f ca="1">IFERROR(__xludf.DUMMYFUNCTION("IMPORTRANGE(""https://docs.google.com/spreadsheets/d/1T5rRTzFc79aSIvqnzkZNvwPstq829QYz_xALlO1Z0s8/edit?usp=sharing"",""นครศรีธรรมราช!N476"")"),5471)</f>
        <v>5471</v>
      </c>
      <c r="M78" s="185">
        <f ca="1">IFERROR(__xludf.DUMMYFUNCTION("IMPORTRANGE(""https://docs.google.com/spreadsheets/d/1T5rRTzFc79aSIvqnzkZNvwPstq829QYz_xALlO1Z0s8/edit?usp=sharing"",""นครศรีธรรมราช!N479"")"),0)</f>
        <v>0</v>
      </c>
      <c r="N78" s="185">
        <f t="shared" ca="1" si="41"/>
        <v>0</v>
      </c>
      <c r="O78" s="181">
        <f ca="1">IFERROR(__xludf.DUMMYFUNCTION("IMPORTRANGE(""https://docs.google.com/spreadsheets/d/1T5rRTzFc79aSIvqnzkZNvwPstq829QYz_xALlO1Z0s8/edit?usp=sharing"",""นครศรีธรรมราช!I465"")"),21)</f>
        <v>21</v>
      </c>
      <c r="P78" s="181">
        <f ca="1">IFERROR(__xludf.DUMMYFUNCTION("IMPORTRANGE(""https://docs.google.com/spreadsheets/d/1T5rRTzFc79aSIvqnzkZNvwPstq829QYz_xALlO1Z0s8/edit?usp=sharing"",""นครศรีธรรมราช!I466"")"),200)</f>
        <v>200</v>
      </c>
      <c r="Q78" s="181">
        <f ca="1">IFERROR(__xludf.DUMMYFUNCTION("IMPORTRANGE(""https://docs.google.com/spreadsheets/d/1T5rRTzFc79aSIvqnzkZNvwPstq829QYz_xALlO1Z0s8/edit?usp=sharing"",""นครศรีธรรมราช!J465"")"),21)</f>
        <v>21</v>
      </c>
      <c r="R78" s="186">
        <f t="shared" ca="1" si="6"/>
        <v>100</v>
      </c>
      <c r="S78" s="181">
        <f ca="1">IFERROR(__xludf.DUMMYFUNCTION("IMPORTRANGE(""https://docs.google.com/spreadsheets/d/1T5rRTzFc79aSIvqnzkZNvwPstq829QYz_xALlO1Z0s8/edit?usp=sharing"",""นครศรีธรรมราช!J466"")"),0)</f>
        <v>0</v>
      </c>
      <c r="T78" s="186">
        <f t="shared" ca="1" si="7"/>
        <v>0</v>
      </c>
      <c r="U78" s="181">
        <f ca="1">IFERROR(__xludf.DUMMYFUNCTION("IMPORTRANGE(""https://docs.google.com/spreadsheets/d/1T5rRTzFc79aSIvqnzkZNvwPstq829QYz_xALlO1Z0s8/edit?usp=sharing"",""นครศรีธรรมราช!I483"")"),180)</f>
        <v>180</v>
      </c>
      <c r="V78" s="181">
        <f ca="1">IFERROR(__xludf.DUMMYFUNCTION("IMPORTRANGE(""https://docs.google.com/spreadsheets/d/1T5rRTzFc79aSIvqnzkZNvwPstq829QYz_xALlO1Z0s8/edit?usp=sharing"",""นครศรีธรรมราช!J483"")"),0)</f>
        <v>0</v>
      </c>
      <c r="W78" s="186">
        <f t="shared" ca="1" si="32"/>
        <v>0</v>
      </c>
      <c r="X78" s="181">
        <f ca="1">IFERROR(__xludf.DUMMYFUNCTION("IMPORTRANGE(""https://docs.google.com/spreadsheets/d/1T5rRTzFc79aSIvqnzkZNvwPstq829QYz_xALlO1Z0s8/edit?usp=sharing"",""นครศรีธรรมราช!J484"")"),0)</f>
        <v>0</v>
      </c>
      <c r="Y78" s="181">
        <f ca="1">IFERROR(__xludf.DUMMYFUNCTION("IMPORTRANGE(""https://docs.google.com/spreadsheets/d/1T5rRTzFc79aSIvqnzkZNvwPstq829QYz_xALlO1Z0s8/edit?usp=sharing"",""นครศรีธรรมราช!I485"")"),18)</f>
        <v>18</v>
      </c>
      <c r="Z78" s="181">
        <f ca="1">IFERROR(__xludf.DUMMYFUNCTION("IMPORTRANGE(""https://docs.google.com/spreadsheets/d/1T5rRTzFc79aSIvqnzkZNvwPstq829QYz_xALlO1Z0s8/edit?usp=sharing"",""นครศรีธรรมราช!J485"")"),18)</f>
        <v>18</v>
      </c>
      <c r="AA78" s="186">
        <f t="shared" ca="1" si="33"/>
        <v>100</v>
      </c>
      <c r="AB78" s="181">
        <f ca="1">IFERROR(__xludf.DUMMYFUNCTION("IMPORTRANGE(""https://docs.google.com/spreadsheets/d/1T5rRTzFc79aSIvqnzkZNvwPstq829QYz_xALlO1Z0s8/edit?usp=sharing"",""นครศรีธรรมราช!I487"")"),20)</f>
        <v>20</v>
      </c>
      <c r="AC78" s="181">
        <f ca="1">IFERROR(__xludf.DUMMYFUNCTION("IMPORTRANGE(""https://docs.google.com/spreadsheets/d/1T5rRTzFc79aSIvqnzkZNvwPstq829QYz_xALlO1Z0s8/edit?usp=sharing"",""นครศรีธรรมราช!J487"")"),0)</f>
        <v>0</v>
      </c>
      <c r="AD78" s="186">
        <f t="shared" ca="1" si="34"/>
        <v>0</v>
      </c>
      <c r="AE78" s="181">
        <f ca="1">IFERROR(__xludf.DUMMYFUNCTION("IMPORTRANGE(""https://docs.google.com/spreadsheets/d/1T5rRTzFc79aSIvqnzkZNvwPstq829QYz_xALlO1Z0s8/edit?usp=sharing"",""นครศรีธรรมราช!J488"")"),0)</f>
        <v>0</v>
      </c>
      <c r="AF78" s="181">
        <f ca="1">IFERROR(__xludf.DUMMYFUNCTION("IMPORTRANGE(""https://docs.google.com/spreadsheets/d/1T5rRTzFc79aSIvqnzkZNvwPstq829QYz_xALlO1Z0s8/edit?usp=sharing"",""นครศรีธรรมราช!I489"")"),2)</f>
        <v>2</v>
      </c>
      <c r="AG78" s="181">
        <f ca="1">IFERROR(__xludf.DUMMYFUNCTION("IMPORTRANGE(""https://docs.google.com/spreadsheets/d/1T5rRTzFc79aSIvqnzkZNvwPstq829QYz_xALlO1Z0s8/edit?usp=sharing"",""นครศรีธรรมราช!J489"")"),2)</f>
        <v>2</v>
      </c>
      <c r="AH78" s="186">
        <f t="shared" ca="1" si="35"/>
        <v>100</v>
      </c>
      <c r="AI78" s="181">
        <f ca="1">IFERROR(__xludf.DUMMYFUNCTION("IMPORTRANGE(""https://docs.google.com/spreadsheets/d/1T5rRTzFc79aSIvqnzkZNvwPstq829QYz_xALlO1Z0s8/edit?usp=sharing"",""นครศรีธรรมราช!J491"")"),0)</f>
        <v>0</v>
      </c>
      <c r="AJ78" s="181">
        <f ca="1">IFERROR(__xludf.DUMMYFUNCTION("IMPORTRANGE(""https://docs.google.com/spreadsheets/d/1T5rRTzFc79aSIvqnzkZNvwPstq829QYz_xALlO1Z0s8/edit?usp=sharing"",""นครศรีธรรมราช!I492"")"),1)</f>
        <v>1</v>
      </c>
      <c r="AK78" s="181">
        <f ca="1">IFERROR(__xludf.DUMMYFUNCTION("IMPORTRANGE(""https://docs.google.com/spreadsheets/d/1T5rRTzFc79aSIvqnzkZNvwPstq829QYz_xALlO1Z0s8/edit?usp=sharing"",""นครศรีธรรมราช!J492"")"),1)</f>
        <v>1</v>
      </c>
      <c r="AL78" s="186">
        <f t="shared" ca="1" si="36"/>
        <v>100</v>
      </c>
      <c r="AM78" s="181">
        <f ca="1">IFERROR(__xludf.DUMMYFUNCTION("IMPORTRANGE(""https://docs.google.com/spreadsheets/d/1T5rRTzFc79aSIvqnzkZNvwPstq829QYz_xALlO1Z0s8/edit?usp=sharing"",""นครศรีธรรมราช!I495"")"),180)</f>
        <v>180</v>
      </c>
      <c r="AN78" s="181">
        <f ca="1">IFERROR(__xludf.DUMMYFUNCTION("IMPORTRANGE(""https://docs.google.com/spreadsheets/d/1T5rRTzFc79aSIvqnzkZNvwPstq829QYz_xALlO1Z0s8/edit?usp=sharing"",""นครศรีธรรมราช!J495"")"),0)</f>
        <v>0</v>
      </c>
      <c r="AO78" s="186">
        <f t="shared" ca="1" si="37"/>
        <v>0</v>
      </c>
      <c r="AP78" s="181">
        <f ca="1">IFERROR(__xludf.DUMMYFUNCTION("IMPORTRANGE(""https://docs.google.com/spreadsheets/d/1T5rRTzFc79aSIvqnzkZNvwPstq829QYz_xALlO1Z0s8/edit?usp=sharing"",""นครศรีธรรมราช!J496"")"),0)</f>
        <v>0</v>
      </c>
      <c r="AQ78" s="181">
        <f ca="1">IFERROR(__xludf.DUMMYFUNCTION("IMPORTRANGE(""https://docs.google.com/spreadsheets/d/1T5rRTzFc79aSIvqnzkZNvwPstq829QYz_xALlO1Z0s8/edit?usp=sharing"",""นครศรีธรรมราช!I498"")"),20)</f>
        <v>20</v>
      </c>
      <c r="AR78" s="181">
        <f ca="1">IFERROR(__xludf.DUMMYFUNCTION("IMPORTRANGE(""https://docs.google.com/spreadsheets/d/1T5rRTzFc79aSIvqnzkZNvwPstq829QYz_xALlO1Z0s8/edit?usp=sharing"",""นครศรีธรรมราช!J498"")"),0)</f>
        <v>0</v>
      </c>
      <c r="AS78" s="186">
        <f t="shared" ca="1" si="38"/>
        <v>0</v>
      </c>
      <c r="AT78" s="181">
        <f ca="1">IFERROR(__xludf.DUMMYFUNCTION("IMPORTRANGE(""https://docs.google.com/spreadsheets/d/1T5rRTzFc79aSIvqnzkZNvwPstq829QYz_xALlO1Z0s8/edit?usp=sharing"",""นครศรีธรรมราช!J499"")"),0)</f>
        <v>0</v>
      </c>
    </row>
    <row r="79" spans="1:46" ht="21" customHeight="1" x14ac:dyDescent="0.3">
      <c r="A79" s="178">
        <v>5</v>
      </c>
      <c r="B79" s="179" t="s">
        <v>96</v>
      </c>
      <c r="C79" s="180">
        <f t="shared" ca="1" si="86"/>
        <v>115023</v>
      </c>
      <c r="D79" s="181">
        <f ca="1">IFERROR(__xludf.DUMMYFUNCTION("IMPORTRANGE(""https://docs.google.com/spreadsheets/d/1BeghqumK0IvCmRd2QOy6_afsZq7ZtAGrSnVJy2u7WmY/edit?usp=sharing"",""นราธิวาส!L472"")"),115023)</f>
        <v>115023</v>
      </c>
      <c r="E79" s="187">
        <f ca="1">IFERROR(__xludf.DUMMYFUNCTION("IMPORTRANGE(""https://docs.google.com/spreadsheets/d/1BeghqumK0IvCmRd2QOy6_afsZq7ZtAGrSnVJy2u7WmY/edit?usp=sharing"",""นราธิวาส!L479"")"),0)</f>
        <v>0</v>
      </c>
      <c r="F79" s="182">
        <f t="shared" ca="1" si="1"/>
        <v>41363</v>
      </c>
      <c r="G79" s="183">
        <f t="shared" ca="1" si="2"/>
        <v>35.960633960164486</v>
      </c>
      <c r="H79" s="184">
        <f t="shared" ca="1" si="87"/>
        <v>41363</v>
      </c>
      <c r="I79" s="187">
        <f ca="1">IFERROR(__xludf.DUMMYFUNCTION("IMPORTRANGE(""https://docs.google.com/spreadsheets/d/1BeghqumK0IvCmRd2QOy6_afsZq7ZtAGrSnVJy2u7WmY/edit?usp=sharing"",""นราธิวาส!N473"")"),29793)</f>
        <v>29793</v>
      </c>
      <c r="J79" s="187">
        <f ca="1">IFERROR(__xludf.DUMMYFUNCTION("IMPORTRANGE(""https://docs.google.com/spreadsheets/d/1BeghqumK0IvCmRd2QOy6_afsZq7ZtAGrSnVJy2u7WmY/edit?usp=sharing"",""นราธิวาส!N474"")"),0)</f>
        <v>0</v>
      </c>
      <c r="K79" s="187">
        <f ca="1">IFERROR(__xludf.DUMMYFUNCTION("IMPORTRANGE(""https://docs.google.com/spreadsheets/d/1BeghqumK0IvCmRd2QOy6_afsZq7ZtAGrSnVJy2u7WmY/edit?usp=sharing"",""นราธิวาส!N475"")"),0)</f>
        <v>0</v>
      </c>
      <c r="L79" s="187">
        <f ca="1">IFERROR(__xludf.DUMMYFUNCTION("IMPORTRANGE(""https://docs.google.com/spreadsheets/d/1BeghqumK0IvCmRd2QOy6_afsZq7ZtAGrSnVJy2u7WmY/edit?usp=sharing"",""นราธิวาส!N476"")"),11570)</f>
        <v>11570</v>
      </c>
      <c r="M79" s="185">
        <f ca="1">IFERROR(__xludf.DUMMYFUNCTION("IMPORTRANGE(""https://docs.google.com/spreadsheets/d/1BeghqumK0IvCmRd2QOy6_afsZq7ZtAGrSnVJy2u7WmY/edit?usp=sharing"",""นราธิวาส!N479"")"),0)</f>
        <v>0</v>
      </c>
      <c r="N79" s="185">
        <f t="shared" ca="1" si="41"/>
        <v>0</v>
      </c>
      <c r="O79" s="181">
        <f ca="1">IFERROR(__xludf.DUMMYFUNCTION("IMPORTRANGE(""https://docs.google.com/spreadsheets/d/1BeghqumK0IvCmRd2QOy6_afsZq7ZtAGrSnVJy2u7WmY/edit?usp=sharing"",""นราธิวาส!I465"")"),11)</f>
        <v>11</v>
      </c>
      <c r="P79" s="181">
        <f ca="1">IFERROR(__xludf.DUMMYFUNCTION("IMPORTRANGE(""https://docs.google.com/spreadsheets/d/1BeghqumK0IvCmRd2QOy6_afsZq7ZtAGrSnVJy2u7WmY/edit?usp=sharing"",""นราธิวาส!I466"")"),100)</f>
        <v>100</v>
      </c>
      <c r="Q79" s="181">
        <f ca="1">IFERROR(__xludf.DUMMYFUNCTION("IMPORTRANGE(""https://docs.google.com/spreadsheets/d/1BeghqumK0IvCmRd2QOy6_afsZq7ZtAGrSnVJy2u7WmY/edit?usp=sharing"",""นราธิวาส!J465"")"),11)</f>
        <v>11</v>
      </c>
      <c r="R79" s="186">
        <f t="shared" ca="1" si="6"/>
        <v>100</v>
      </c>
      <c r="S79" s="181">
        <f ca="1">IFERROR(__xludf.DUMMYFUNCTION("IMPORTRANGE(""https://docs.google.com/spreadsheets/d/1BeghqumK0IvCmRd2QOy6_afsZq7ZtAGrSnVJy2u7WmY/edit?usp=sharing"",""นราธิวาส!J466"")"),0)</f>
        <v>0</v>
      </c>
      <c r="T79" s="186">
        <f t="shared" ca="1" si="7"/>
        <v>0</v>
      </c>
      <c r="U79" s="181">
        <f ca="1">IFERROR(__xludf.DUMMYFUNCTION("IMPORTRANGE(""https://docs.google.com/spreadsheets/d/1BeghqumK0IvCmRd2QOy6_afsZq7ZtAGrSnVJy2u7WmY/edit?usp=sharing"",""นราธิวาส!I483"")"),90)</f>
        <v>90</v>
      </c>
      <c r="V79" s="181">
        <f ca="1">IFERROR(__xludf.DUMMYFUNCTION("IMPORTRANGE(""https://docs.google.com/spreadsheets/d/1BeghqumK0IvCmRd2QOy6_afsZq7ZtAGrSnVJy2u7WmY/edit?usp=sharing"",""นราธิวาส!J483"")"),90)</f>
        <v>90</v>
      </c>
      <c r="W79" s="186">
        <f t="shared" ca="1" si="32"/>
        <v>100</v>
      </c>
      <c r="X79" s="181">
        <f ca="1">IFERROR(__xludf.DUMMYFUNCTION("IMPORTRANGE(""https://docs.google.com/spreadsheets/d/1BeghqumK0IvCmRd2QOy6_afsZq7ZtAGrSnVJy2u7WmY/edit?usp=sharing"",""นราธิวาส!J484"")"),0)</f>
        <v>0</v>
      </c>
      <c r="Y79" s="181">
        <f ca="1">IFERROR(__xludf.DUMMYFUNCTION("IMPORTRANGE(""https://docs.google.com/spreadsheets/d/1BeghqumK0IvCmRd2QOy6_afsZq7ZtAGrSnVJy2u7WmY/edit?usp=sharing"",""นราธิวาส!I485"")"),9)</f>
        <v>9</v>
      </c>
      <c r="Z79" s="181">
        <f ca="1">IFERROR(__xludf.DUMMYFUNCTION("IMPORTRANGE(""https://docs.google.com/spreadsheets/d/1BeghqumK0IvCmRd2QOy6_afsZq7ZtAGrSnVJy2u7WmY/edit?usp=sharing"",""นราธิวาส!J485"")"),9)</f>
        <v>9</v>
      </c>
      <c r="AA79" s="186">
        <f t="shared" ca="1" si="33"/>
        <v>100</v>
      </c>
      <c r="AB79" s="181">
        <f ca="1">IFERROR(__xludf.DUMMYFUNCTION("IMPORTRANGE(""https://docs.google.com/spreadsheets/d/1BeghqumK0IvCmRd2QOy6_afsZq7ZtAGrSnVJy2u7WmY/edit?usp=sharing"",""นราธิวาส!I487"")"),10)</f>
        <v>10</v>
      </c>
      <c r="AC79" s="181">
        <f ca="1">IFERROR(__xludf.DUMMYFUNCTION("IMPORTRANGE(""https://docs.google.com/spreadsheets/d/1BeghqumK0IvCmRd2QOy6_afsZq7ZtAGrSnVJy2u7WmY/edit?usp=sharing"",""นราธิวาส!J487"")"),10)</f>
        <v>10</v>
      </c>
      <c r="AD79" s="186">
        <f t="shared" ca="1" si="34"/>
        <v>100</v>
      </c>
      <c r="AE79" s="181">
        <f ca="1">IFERROR(__xludf.DUMMYFUNCTION("IMPORTRANGE(""https://docs.google.com/spreadsheets/d/1BeghqumK0IvCmRd2QOy6_afsZq7ZtAGrSnVJy2u7WmY/edit?usp=sharing"",""นราธิวาส!J488"")"),0)</f>
        <v>0</v>
      </c>
      <c r="AF79" s="181">
        <f ca="1">IFERROR(__xludf.DUMMYFUNCTION("IMPORTRANGE(""https://docs.google.com/spreadsheets/d/1BeghqumK0IvCmRd2QOy6_afsZq7ZtAGrSnVJy2u7WmY/edit?usp=sharing"",""นราธิวาส!I489"")"),1)</f>
        <v>1</v>
      </c>
      <c r="AG79" s="181">
        <f ca="1">IFERROR(__xludf.DUMMYFUNCTION("IMPORTRANGE(""https://docs.google.com/spreadsheets/d/1BeghqumK0IvCmRd2QOy6_afsZq7ZtAGrSnVJy2u7WmY/edit?usp=sharing"",""นราธิวาส!J489"")"),1)</f>
        <v>1</v>
      </c>
      <c r="AH79" s="186">
        <f t="shared" ca="1" si="35"/>
        <v>100</v>
      </c>
      <c r="AI79" s="181">
        <f ca="1">IFERROR(__xludf.DUMMYFUNCTION("IMPORTRANGE(""https://docs.google.com/spreadsheets/d/1BeghqumK0IvCmRd2QOy6_afsZq7ZtAGrSnVJy2u7WmY/edit?usp=sharing"",""นราธิวาส!J491"")"),0)</f>
        <v>0</v>
      </c>
      <c r="AJ79" s="181">
        <f ca="1">IFERROR(__xludf.DUMMYFUNCTION("IMPORTRANGE(""https://docs.google.com/spreadsheets/d/1BeghqumK0IvCmRd2QOy6_afsZq7ZtAGrSnVJy2u7WmY/edit?usp=sharing"",""นราธิวาส!I492"")"),1)</f>
        <v>1</v>
      </c>
      <c r="AK79" s="181">
        <f ca="1">IFERROR(__xludf.DUMMYFUNCTION("IMPORTRANGE(""https://docs.google.com/spreadsheets/d/1BeghqumK0IvCmRd2QOy6_afsZq7ZtAGrSnVJy2u7WmY/edit?usp=sharing"",""นราธิวาส!J492"")"),1)</f>
        <v>1</v>
      </c>
      <c r="AL79" s="186">
        <f t="shared" ca="1" si="36"/>
        <v>100</v>
      </c>
      <c r="AM79" s="181">
        <f ca="1">IFERROR(__xludf.DUMMYFUNCTION("IMPORTRANGE(""https://docs.google.com/spreadsheets/d/1BeghqumK0IvCmRd2QOy6_afsZq7ZtAGrSnVJy2u7WmY/edit?usp=sharing"",""นราธิวาส!I495"")"),90)</f>
        <v>90</v>
      </c>
      <c r="AN79" s="181">
        <f ca="1">IFERROR(__xludf.DUMMYFUNCTION("IMPORTRANGE(""https://docs.google.com/spreadsheets/d/1BeghqumK0IvCmRd2QOy6_afsZq7ZtAGrSnVJy2u7WmY/edit?usp=sharing"",""นราธิวาส!J495"")"),0)</f>
        <v>0</v>
      </c>
      <c r="AO79" s="186">
        <f t="shared" ca="1" si="37"/>
        <v>0</v>
      </c>
      <c r="AP79" s="181">
        <f ca="1">IFERROR(__xludf.DUMMYFUNCTION("IMPORTRANGE(""https://docs.google.com/spreadsheets/d/1BeghqumK0IvCmRd2QOy6_afsZq7ZtAGrSnVJy2u7WmY/edit?usp=sharing"",""นราธิวาส!J496"")"),0)</f>
        <v>0</v>
      </c>
      <c r="AQ79" s="181">
        <f ca="1">IFERROR(__xludf.DUMMYFUNCTION("IMPORTRANGE(""https://docs.google.com/spreadsheets/d/1BeghqumK0IvCmRd2QOy6_afsZq7ZtAGrSnVJy2u7WmY/edit?usp=sharing"",""นราธิวาส!I498"")"),10)</f>
        <v>10</v>
      </c>
      <c r="AR79" s="181">
        <f ca="1">IFERROR(__xludf.DUMMYFUNCTION("IMPORTRANGE(""https://docs.google.com/spreadsheets/d/1BeghqumK0IvCmRd2QOy6_afsZq7ZtAGrSnVJy2u7WmY/edit?usp=sharing"",""นราธิวาส!J498"")"),0)</f>
        <v>0</v>
      </c>
      <c r="AS79" s="186">
        <f t="shared" ca="1" si="38"/>
        <v>0</v>
      </c>
      <c r="AT79" s="181">
        <f ca="1">IFERROR(__xludf.DUMMYFUNCTION("IMPORTRANGE(""https://docs.google.com/spreadsheets/d/1BeghqumK0IvCmRd2QOy6_afsZq7ZtAGrSnVJy2u7WmY/edit?usp=sharing"",""นราธิวาส!J499"")"),0)</f>
        <v>0</v>
      </c>
    </row>
    <row r="80" spans="1:46" ht="21" customHeight="1" x14ac:dyDescent="0.3">
      <c r="A80" s="178">
        <v>6</v>
      </c>
      <c r="B80" s="179" t="s">
        <v>97</v>
      </c>
      <c r="C80" s="180">
        <f t="shared" ca="1" si="86"/>
        <v>114323</v>
      </c>
      <c r="D80" s="181">
        <f ca="1">IFERROR(__xludf.DUMMYFUNCTION("IMPORTRANGE(""https://docs.google.com/spreadsheets/d/1IwnW3-jjRf74MCLW-6PiFwMUffRQXZwZA7YM609NmRc/edit?usp=sharing"",""ปัตตานี!L472"")"),114323)</f>
        <v>114323</v>
      </c>
      <c r="E80" s="187">
        <f ca="1">IFERROR(__xludf.DUMMYFUNCTION("IMPORTRANGE(""https://docs.google.com/spreadsheets/d/1IwnW3-jjRf74MCLW-6PiFwMUffRQXZwZA7YM609NmRc/edit?usp=sharing"",""ปัตตานี!L479"")"),0)</f>
        <v>0</v>
      </c>
      <c r="F80" s="182">
        <f t="shared" ca="1" si="1"/>
        <v>29633</v>
      </c>
      <c r="G80" s="183">
        <f t="shared" ca="1" si="2"/>
        <v>25.920418463476292</v>
      </c>
      <c r="H80" s="184">
        <f t="shared" ca="1" si="87"/>
        <v>29633</v>
      </c>
      <c r="I80" s="187">
        <f ca="1">IFERROR(__xludf.DUMMYFUNCTION("IMPORTRANGE(""https://docs.google.com/spreadsheets/d/1IwnW3-jjRf74MCLW-6PiFwMUffRQXZwZA7YM609NmRc/edit?usp=sharing"",""ปัตตานี!N473"")"),26683)</f>
        <v>26683</v>
      </c>
      <c r="J80" s="187">
        <f ca="1">IFERROR(__xludf.DUMMYFUNCTION("IMPORTRANGE(""https://docs.google.com/spreadsheets/d/1IwnW3-jjRf74MCLW-6PiFwMUffRQXZwZA7YM609NmRc/edit?usp=sharing"",""ปัตตานี!N474"")"),0)</f>
        <v>0</v>
      </c>
      <c r="K80" s="187">
        <f ca="1">IFERROR(__xludf.DUMMYFUNCTION("IMPORTRANGE(""https://docs.google.com/spreadsheets/d/1IwnW3-jjRf74MCLW-6PiFwMUffRQXZwZA7YM609NmRc/edit?usp=sharing"",""ปัตตานี!N475"")"),500)</f>
        <v>500</v>
      </c>
      <c r="L80" s="187">
        <f ca="1">IFERROR(__xludf.DUMMYFUNCTION("IMPORTRANGE(""https://docs.google.com/spreadsheets/d/1IwnW3-jjRf74MCLW-6PiFwMUffRQXZwZA7YM609NmRc/edit?usp=sharing"",""ปัตตานี!N476"")"),2450)</f>
        <v>2450</v>
      </c>
      <c r="M80" s="185">
        <f ca="1">IFERROR(__xludf.DUMMYFUNCTION("IMPORTRANGE(""https://docs.google.com/spreadsheets/d/1IwnW3-jjRf74MCLW-6PiFwMUffRQXZwZA7YM609NmRc/edit?usp=sharing"",""ปัตตานี!N479"")"),0)</f>
        <v>0</v>
      </c>
      <c r="N80" s="185">
        <f t="shared" ca="1" si="41"/>
        <v>0</v>
      </c>
      <c r="O80" s="181">
        <f ca="1">IFERROR(__xludf.DUMMYFUNCTION("IMPORTRANGE(""https://docs.google.com/spreadsheets/d/1IwnW3-jjRf74MCLW-6PiFwMUffRQXZwZA7YM609NmRc/edit?usp=sharing"",""ปัตตานี!I465"")"),11)</f>
        <v>11</v>
      </c>
      <c r="P80" s="181">
        <f ca="1">IFERROR(__xludf.DUMMYFUNCTION("IMPORTRANGE(""https://docs.google.com/spreadsheets/d/1IwnW3-jjRf74MCLW-6PiFwMUffRQXZwZA7YM609NmRc/edit?usp=sharing"",""ปัตตานี!I466"")"),100)</f>
        <v>100</v>
      </c>
      <c r="Q80" s="181">
        <f ca="1">IFERROR(__xludf.DUMMYFUNCTION("IMPORTRANGE(""https://docs.google.com/spreadsheets/d/1IwnW3-jjRf74MCLW-6PiFwMUffRQXZwZA7YM609NmRc/edit?usp=sharing"",""ปัตตานี!J465"")"),11)</f>
        <v>11</v>
      </c>
      <c r="R80" s="186">
        <f t="shared" ca="1" si="6"/>
        <v>100</v>
      </c>
      <c r="S80" s="181">
        <f ca="1">IFERROR(__xludf.DUMMYFUNCTION("IMPORTRANGE(""https://docs.google.com/spreadsheets/d/1IwnW3-jjRf74MCLW-6PiFwMUffRQXZwZA7YM609NmRc/edit?usp=sharing"",""ปัตตานี!J466"")"),0)</f>
        <v>0</v>
      </c>
      <c r="T80" s="186">
        <f t="shared" ca="1" si="7"/>
        <v>0</v>
      </c>
      <c r="U80" s="181">
        <f ca="1">IFERROR(__xludf.DUMMYFUNCTION("IMPORTRANGE(""https://docs.google.com/spreadsheets/d/1IwnW3-jjRf74MCLW-6PiFwMUffRQXZwZA7YM609NmRc/edit?usp=sharing"",""ปัตตานี!I483"")"),90)</f>
        <v>90</v>
      </c>
      <c r="V80" s="181">
        <f ca="1">IFERROR(__xludf.DUMMYFUNCTION("IMPORTRANGE(""https://docs.google.com/spreadsheets/d/1IwnW3-jjRf74MCLW-6PiFwMUffRQXZwZA7YM609NmRc/edit?usp=sharing"",""ปัตตานี!J483"")"),90)</f>
        <v>90</v>
      </c>
      <c r="W80" s="186">
        <f t="shared" ca="1" si="32"/>
        <v>100</v>
      </c>
      <c r="X80" s="181">
        <f ca="1">IFERROR(__xludf.DUMMYFUNCTION("IMPORTRANGE(""https://docs.google.com/spreadsheets/d/1IwnW3-jjRf74MCLW-6PiFwMUffRQXZwZA7YM609NmRc/edit?usp=sharing"",""ปัตตานี!J484"")"),0)</f>
        <v>0</v>
      </c>
      <c r="Y80" s="181">
        <f ca="1">IFERROR(__xludf.DUMMYFUNCTION("IMPORTRANGE(""https://docs.google.com/spreadsheets/d/1IwnW3-jjRf74MCLW-6PiFwMUffRQXZwZA7YM609NmRc/edit?usp=sharing"",""ปัตตานี!I485"")"),9)</f>
        <v>9</v>
      </c>
      <c r="Z80" s="181">
        <f ca="1">IFERROR(__xludf.DUMMYFUNCTION("IMPORTRANGE(""https://docs.google.com/spreadsheets/d/1IwnW3-jjRf74MCLW-6PiFwMUffRQXZwZA7YM609NmRc/edit?usp=sharing"",""ปัตตานี!J485"")"),9)</f>
        <v>9</v>
      </c>
      <c r="AA80" s="186">
        <f t="shared" ca="1" si="33"/>
        <v>100</v>
      </c>
      <c r="AB80" s="181">
        <f ca="1">IFERROR(__xludf.DUMMYFUNCTION("IMPORTRANGE(""https://docs.google.com/spreadsheets/d/1IwnW3-jjRf74MCLW-6PiFwMUffRQXZwZA7YM609NmRc/edit?usp=sharing"",""ปัตตานี!I487"")"),10)</f>
        <v>10</v>
      </c>
      <c r="AC80" s="181">
        <f ca="1">IFERROR(__xludf.DUMMYFUNCTION("IMPORTRANGE(""https://docs.google.com/spreadsheets/d/1IwnW3-jjRf74MCLW-6PiFwMUffRQXZwZA7YM609NmRc/edit?usp=sharing"",""ปัตตานี!J487"")"),10)</f>
        <v>10</v>
      </c>
      <c r="AD80" s="186">
        <f t="shared" ca="1" si="34"/>
        <v>100</v>
      </c>
      <c r="AE80" s="181">
        <f ca="1">IFERROR(__xludf.DUMMYFUNCTION("IMPORTRANGE(""https://docs.google.com/spreadsheets/d/1IwnW3-jjRf74MCLW-6PiFwMUffRQXZwZA7YM609NmRc/edit?usp=sharing"",""ปัตตานี!J488"")"),1)</f>
        <v>1</v>
      </c>
      <c r="AF80" s="181">
        <f ca="1">IFERROR(__xludf.DUMMYFUNCTION("IMPORTRANGE(""https://docs.google.com/spreadsheets/d/1IwnW3-jjRf74MCLW-6PiFwMUffRQXZwZA7YM609NmRc/edit?usp=sharing"",""ปัตตานี!I489"")"),1)</f>
        <v>1</v>
      </c>
      <c r="AG80" s="181">
        <f ca="1">IFERROR(__xludf.DUMMYFUNCTION("IMPORTRANGE(""https://docs.google.com/spreadsheets/d/1IwnW3-jjRf74MCLW-6PiFwMUffRQXZwZA7YM609NmRc/edit?usp=sharing"",""ปัตตานี!J489"")"),1)</f>
        <v>1</v>
      </c>
      <c r="AH80" s="186">
        <f t="shared" ca="1" si="35"/>
        <v>100</v>
      </c>
      <c r="AI80" s="181">
        <f ca="1">IFERROR(__xludf.DUMMYFUNCTION("IMPORTRANGE(""https://docs.google.com/spreadsheets/d/1IwnW3-jjRf74MCLW-6PiFwMUffRQXZwZA7YM609NmRc/edit?usp=sharing"",""ปัตตานี!J491"")"),1)</f>
        <v>1</v>
      </c>
      <c r="AJ80" s="181">
        <f ca="1">IFERROR(__xludf.DUMMYFUNCTION("IMPORTRANGE(""https://docs.google.com/spreadsheets/d/1IwnW3-jjRf74MCLW-6PiFwMUffRQXZwZA7YM609NmRc/edit?usp=sharing"",""ปัตตานี!I492"")"),1)</f>
        <v>1</v>
      </c>
      <c r="AK80" s="181">
        <f ca="1">IFERROR(__xludf.DUMMYFUNCTION("IMPORTRANGE(""https://docs.google.com/spreadsheets/d/1IwnW3-jjRf74MCLW-6PiFwMUffRQXZwZA7YM609NmRc/edit?usp=sharing"",""ปัตตานี!J492"")"),1)</f>
        <v>1</v>
      </c>
      <c r="AL80" s="186">
        <f t="shared" ca="1" si="36"/>
        <v>100</v>
      </c>
      <c r="AM80" s="181">
        <f ca="1">IFERROR(__xludf.DUMMYFUNCTION("IMPORTRANGE(""https://docs.google.com/spreadsheets/d/1IwnW3-jjRf74MCLW-6PiFwMUffRQXZwZA7YM609NmRc/edit?usp=sharing"",""ปัตตานี!I495"")"),90)</f>
        <v>90</v>
      </c>
      <c r="AN80" s="181">
        <f ca="1">IFERROR(__xludf.DUMMYFUNCTION("IMPORTRANGE(""https://docs.google.com/spreadsheets/d/1IwnW3-jjRf74MCLW-6PiFwMUffRQXZwZA7YM609NmRc/edit?usp=sharing"",""ปัตตานี!J495"")"),0)</f>
        <v>0</v>
      </c>
      <c r="AO80" s="186">
        <f t="shared" ca="1" si="37"/>
        <v>0</v>
      </c>
      <c r="AP80" s="181">
        <f ca="1">IFERROR(__xludf.DUMMYFUNCTION("IMPORTRANGE(""https://docs.google.com/spreadsheets/d/1IwnW3-jjRf74MCLW-6PiFwMUffRQXZwZA7YM609NmRc/edit?usp=sharing"",""ปัตตานี!J496"")"),0)</f>
        <v>0</v>
      </c>
      <c r="AQ80" s="181">
        <f ca="1">IFERROR(__xludf.DUMMYFUNCTION("IMPORTRANGE(""https://docs.google.com/spreadsheets/d/1IwnW3-jjRf74MCLW-6PiFwMUffRQXZwZA7YM609NmRc/edit?usp=sharing"",""ปัตตานี!I498"")"),10)</f>
        <v>10</v>
      </c>
      <c r="AR80" s="181">
        <f ca="1">IFERROR(__xludf.DUMMYFUNCTION("IMPORTRANGE(""https://docs.google.com/spreadsheets/d/1IwnW3-jjRf74MCLW-6PiFwMUffRQXZwZA7YM609NmRc/edit?usp=sharing"",""ปัตตานี!J498"")"),0)</f>
        <v>0</v>
      </c>
      <c r="AS80" s="186">
        <f t="shared" ca="1" si="38"/>
        <v>0</v>
      </c>
      <c r="AT80" s="181">
        <f ca="1">IFERROR(__xludf.DUMMYFUNCTION("IMPORTRANGE(""https://docs.google.com/spreadsheets/d/1IwnW3-jjRf74MCLW-6PiFwMUffRQXZwZA7YM609NmRc/edit?usp=sharing"",""ปัตตานี!J499"")"),0)</f>
        <v>0</v>
      </c>
    </row>
    <row r="81" spans="1:46" ht="21" customHeight="1" x14ac:dyDescent="0.3">
      <c r="A81" s="178">
        <v>7</v>
      </c>
      <c r="B81" s="179" t="s">
        <v>98</v>
      </c>
      <c r="C81" s="180">
        <f t="shared" ca="1" si="86"/>
        <v>340483</v>
      </c>
      <c r="D81" s="181">
        <f ca="1">IFERROR(__xludf.DUMMYFUNCTION("IMPORTRANGE(""https://docs.google.com/spreadsheets/d/1vl4QWbWdFruual5o_wdo6ZSqXZ_it806oja4CctTLKs/edit?usp=sharing"",""พังงา!L472"")"),340483)</f>
        <v>340483</v>
      </c>
      <c r="E81" s="187">
        <f ca="1">IFERROR(__xludf.DUMMYFUNCTION("IMPORTRANGE(""https://docs.google.com/spreadsheets/d/1vl4QWbWdFruual5o_wdo6ZSqXZ_it806oja4CctTLKs/edit?usp=sharing"",""พังงา!L479"")"),0)</f>
        <v>0</v>
      </c>
      <c r="F81" s="182">
        <f t="shared" ca="1" si="1"/>
        <v>40880</v>
      </c>
      <c r="G81" s="183">
        <f t="shared" ca="1" si="2"/>
        <v>12.006473157250142</v>
      </c>
      <c r="H81" s="184">
        <f t="shared" ca="1" si="87"/>
        <v>40880</v>
      </c>
      <c r="I81" s="187">
        <f ca="1">IFERROR(__xludf.DUMMYFUNCTION("IMPORTRANGE(""https://docs.google.com/spreadsheets/d/1vl4QWbWdFruual5o_wdo6ZSqXZ_it806oja4CctTLKs/edit?usp=sharing"",""พังงา!N473"")"),38380)</f>
        <v>38380</v>
      </c>
      <c r="J81" s="187">
        <f ca="1">IFERROR(__xludf.DUMMYFUNCTION("IMPORTRANGE(""https://docs.google.com/spreadsheets/d/1vl4QWbWdFruual5o_wdo6ZSqXZ_it806oja4CctTLKs/edit?usp=sharing"",""พังงา!N474"")"),0)</f>
        <v>0</v>
      </c>
      <c r="K81" s="187">
        <f ca="1">IFERROR(__xludf.DUMMYFUNCTION("IMPORTRANGE(""https://docs.google.com/spreadsheets/d/1vl4QWbWdFruual5o_wdo6ZSqXZ_it806oja4CctTLKs/edit?usp=sharing"",""พังงา!N475"")"),0)</f>
        <v>0</v>
      </c>
      <c r="L81" s="187">
        <f ca="1">IFERROR(__xludf.DUMMYFUNCTION("IMPORTRANGE(""https://docs.google.com/spreadsheets/d/1vl4QWbWdFruual5o_wdo6ZSqXZ_it806oja4CctTLKs/edit?usp=sharing"",""พังงา!N476"")"),2500)</f>
        <v>2500</v>
      </c>
      <c r="M81" s="185">
        <f ca="1">IFERROR(__xludf.DUMMYFUNCTION("IMPORTRANGE(""https://docs.google.com/spreadsheets/d/1vl4QWbWdFruual5o_wdo6ZSqXZ_it806oja4CctTLKs/edit?usp=sharing"",""พังงา!N479"")"),0)</f>
        <v>0</v>
      </c>
      <c r="N81" s="185">
        <f t="shared" ca="1" si="41"/>
        <v>0</v>
      </c>
      <c r="O81" s="181">
        <f ca="1">IFERROR(__xludf.DUMMYFUNCTION("IMPORTRANGE(""https://docs.google.com/spreadsheets/d/1vl4QWbWdFruual5o_wdo6ZSqXZ_it806oja4CctTLKs/edit?usp=sharing"",""พังงา!I465"")"),41)</f>
        <v>41</v>
      </c>
      <c r="P81" s="181">
        <f ca="1">IFERROR(__xludf.DUMMYFUNCTION("IMPORTRANGE(""https://docs.google.com/spreadsheets/d/1vl4QWbWdFruual5o_wdo6ZSqXZ_it806oja4CctTLKs/edit?usp=sharing"",""พังงา!I466"")"),400)</f>
        <v>400</v>
      </c>
      <c r="Q81" s="181">
        <f ca="1">IFERROR(__xludf.DUMMYFUNCTION("IMPORTRANGE(""https://docs.google.com/spreadsheets/d/1vl4QWbWdFruual5o_wdo6ZSqXZ_it806oja4CctTLKs/edit?usp=sharing"",""พังงา!J465"")"),41)</f>
        <v>41</v>
      </c>
      <c r="R81" s="186">
        <f t="shared" ca="1" si="6"/>
        <v>100</v>
      </c>
      <c r="S81" s="181">
        <f ca="1">IFERROR(__xludf.DUMMYFUNCTION("IMPORTRANGE(""https://docs.google.com/spreadsheets/d/1vl4QWbWdFruual5o_wdo6ZSqXZ_it806oja4CctTLKs/edit?usp=sharing"",""พังงา!J466"")"),0)</f>
        <v>0</v>
      </c>
      <c r="T81" s="186">
        <f t="shared" ca="1" si="7"/>
        <v>0</v>
      </c>
      <c r="U81" s="181">
        <f ca="1">IFERROR(__xludf.DUMMYFUNCTION("IMPORTRANGE(""https://docs.google.com/spreadsheets/d/1vl4QWbWdFruual5o_wdo6ZSqXZ_it806oja4CctTLKs/edit?usp=sharing"",""พังงา!I483"")"),360)</f>
        <v>360</v>
      </c>
      <c r="V81" s="181">
        <f ca="1">IFERROR(__xludf.DUMMYFUNCTION("IMPORTRANGE(""https://docs.google.com/spreadsheets/d/1vl4QWbWdFruual5o_wdo6ZSqXZ_it806oja4CctTLKs/edit?usp=sharing"",""พังงา!J483"")"),0)</f>
        <v>0</v>
      </c>
      <c r="W81" s="186">
        <f t="shared" ca="1" si="32"/>
        <v>0</v>
      </c>
      <c r="X81" s="181">
        <f ca="1">IFERROR(__xludf.DUMMYFUNCTION("IMPORTRANGE(""https://docs.google.com/spreadsheets/d/1vl4QWbWdFruual5o_wdo6ZSqXZ_it806oja4CctTLKs/edit?usp=sharing"",""พังงา!J484"")"),0)</f>
        <v>0</v>
      </c>
      <c r="Y81" s="181">
        <f ca="1">IFERROR(__xludf.DUMMYFUNCTION("IMPORTRANGE(""https://docs.google.com/spreadsheets/d/1vl4QWbWdFruual5o_wdo6ZSqXZ_it806oja4CctTLKs/edit?usp=sharing"",""พังงา!I485"")"),36)</f>
        <v>36</v>
      </c>
      <c r="Z81" s="181">
        <f ca="1">IFERROR(__xludf.DUMMYFUNCTION("IMPORTRANGE(""https://docs.google.com/spreadsheets/d/1vl4QWbWdFruual5o_wdo6ZSqXZ_it806oja4CctTLKs/edit?usp=sharing"",""พังงา!J485"")"),36)</f>
        <v>36</v>
      </c>
      <c r="AA81" s="186">
        <f t="shared" ca="1" si="33"/>
        <v>100</v>
      </c>
      <c r="AB81" s="181">
        <f ca="1">IFERROR(__xludf.DUMMYFUNCTION("IMPORTRANGE(""https://docs.google.com/spreadsheets/d/1vl4QWbWdFruual5o_wdo6ZSqXZ_it806oja4CctTLKs/edit?usp=sharing"",""พังงา!I487"")"),40)</f>
        <v>40</v>
      </c>
      <c r="AC81" s="181">
        <f ca="1">IFERROR(__xludf.DUMMYFUNCTION("IMPORTRANGE(""https://docs.google.com/spreadsheets/d/1vl4QWbWdFruual5o_wdo6ZSqXZ_it806oja4CctTLKs/edit?usp=sharing"",""พังงา!J487"")"),0)</f>
        <v>0</v>
      </c>
      <c r="AD81" s="186">
        <f t="shared" ca="1" si="34"/>
        <v>0</v>
      </c>
      <c r="AE81" s="181">
        <f ca="1">IFERROR(__xludf.DUMMYFUNCTION("IMPORTRANGE(""https://docs.google.com/spreadsheets/d/1vl4QWbWdFruual5o_wdo6ZSqXZ_it806oja4CctTLKs/edit?usp=sharing"",""พังงา!J488"")"),0)</f>
        <v>0</v>
      </c>
      <c r="AF81" s="181">
        <f ca="1">IFERROR(__xludf.DUMMYFUNCTION("IMPORTRANGE(""https://docs.google.com/spreadsheets/d/1vl4QWbWdFruual5o_wdo6ZSqXZ_it806oja4CctTLKs/edit?usp=sharing"",""พังงา!I489"")"),4)</f>
        <v>4</v>
      </c>
      <c r="AG81" s="181">
        <f ca="1">IFERROR(__xludf.DUMMYFUNCTION("IMPORTRANGE(""https://docs.google.com/spreadsheets/d/1vl4QWbWdFruual5o_wdo6ZSqXZ_it806oja4CctTLKs/edit?usp=sharing"",""พังงา!J489"")"),4)</f>
        <v>4</v>
      </c>
      <c r="AH81" s="186">
        <f t="shared" ca="1" si="35"/>
        <v>100</v>
      </c>
      <c r="AI81" s="181">
        <f ca="1">IFERROR(__xludf.DUMMYFUNCTION("IMPORTRANGE(""https://docs.google.com/spreadsheets/d/1vl4QWbWdFruual5o_wdo6ZSqXZ_it806oja4CctTLKs/edit?usp=sharing"",""พังงา!J491"")"),0)</f>
        <v>0</v>
      </c>
      <c r="AJ81" s="181">
        <f ca="1">IFERROR(__xludf.DUMMYFUNCTION("IMPORTRANGE(""https://docs.google.com/spreadsheets/d/1vl4QWbWdFruual5o_wdo6ZSqXZ_it806oja4CctTLKs/edit?usp=sharing"",""พังงา!I492"")"),1)</f>
        <v>1</v>
      </c>
      <c r="AK81" s="181">
        <f ca="1">IFERROR(__xludf.DUMMYFUNCTION("IMPORTRANGE(""https://docs.google.com/spreadsheets/d/1vl4QWbWdFruual5o_wdo6ZSqXZ_it806oja4CctTLKs/edit?usp=sharing"",""พังงา!J492"")"),1)</f>
        <v>1</v>
      </c>
      <c r="AL81" s="186">
        <f t="shared" ca="1" si="36"/>
        <v>100</v>
      </c>
      <c r="AM81" s="181">
        <f ca="1">IFERROR(__xludf.DUMMYFUNCTION("IMPORTRANGE(""https://docs.google.com/spreadsheets/d/1vl4QWbWdFruual5o_wdo6ZSqXZ_it806oja4CctTLKs/edit?usp=sharing"",""พังงา!I495"")"),360)</f>
        <v>360</v>
      </c>
      <c r="AN81" s="181">
        <f ca="1">IFERROR(__xludf.DUMMYFUNCTION("IMPORTRANGE(""https://docs.google.com/spreadsheets/d/1vl4QWbWdFruual5o_wdo6ZSqXZ_it806oja4CctTLKs/edit?usp=sharing"",""พังงา!J495"")"),0)</f>
        <v>0</v>
      </c>
      <c r="AO81" s="186">
        <f t="shared" ca="1" si="37"/>
        <v>0</v>
      </c>
      <c r="AP81" s="181">
        <f ca="1">IFERROR(__xludf.DUMMYFUNCTION("IMPORTRANGE(""https://docs.google.com/spreadsheets/d/1vl4QWbWdFruual5o_wdo6ZSqXZ_it806oja4CctTLKs/edit?usp=sharing"",""พังงา!J496"")"),0)</f>
        <v>0</v>
      </c>
      <c r="AQ81" s="181">
        <f ca="1">IFERROR(__xludf.DUMMYFUNCTION("IMPORTRANGE(""https://docs.google.com/spreadsheets/d/1vl4QWbWdFruual5o_wdo6ZSqXZ_it806oja4CctTLKs/edit?usp=sharing"",""พังงา!I498"")"),40)</f>
        <v>40</v>
      </c>
      <c r="AR81" s="181">
        <f ca="1">IFERROR(__xludf.DUMMYFUNCTION("IMPORTRANGE(""https://docs.google.com/spreadsheets/d/1vl4QWbWdFruual5o_wdo6ZSqXZ_it806oja4CctTLKs/edit?usp=sharing"",""พังงา!J498"")"),0)</f>
        <v>0</v>
      </c>
      <c r="AS81" s="186">
        <f t="shared" ca="1" si="38"/>
        <v>0</v>
      </c>
      <c r="AT81" s="181">
        <f ca="1">IFERROR(__xludf.DUMMYFUNCTION("IMPORTRANGE(""https://docs.google.com/spreadsheets/d/1vl4QWbWdFruual5o_wdo6ZSqXZ_it806oja4CctTLKs/edit?usp=sharing"",""พังงา!J499"")"),0)</f>
        <v>0</v>
      </c>
    </row>
    <row r="82" spans="1:46" ht="21" customHeight="1" x14ac:dyDescent="0.3">
      <c r="A82" s="178">
        <v>8</v>
      </c>
      <c r="B82" s="179" t="s">
        <v>99</v>
      </c>
      <c r="C82" s="188">
        <f t="shared" ca="1" si="86"/>
        <v>263773</v>
      </c>
      <c r="D82" s="189">
        <f ca="1">IFERROR(__xludf.DUMMYFUNCTION("IMPORTRANGE(""https://docs.google.com/spreadsheets/d/1b6QssHQp2FoAPSMKHOy273KNzAomaIKhtdlvuZ_zDNE/edit?usp=sharing"",""พัทลุง!L472"")"),263773)</f>
        <v>263773</v>
      </c>
      <c r="E82" s="190">
        <f ca="1">IFERROR(__xludf.DUMMYFUNCTION("IMPORTRANGE(""https://docs.google.com/spreadsheets/d/1b6QssHQp2FoAPSMKHOy273KNzAomaIKhtdlvuZ_zDNE/edit?usp=sharing"",""พัทลุง!L479"")"),0)</f>
        <v>0</v>
      </c>
      <c r="F82" s="182">
        <f t="shared" ca="1" si="1"/>
        <v>22650</v>
      </c>
      <c r="G82" s="191">
        <f t="shared" ca="1" si="2"/>
        <v>8.5869289123602499</v>
      </c>
      <c r="H82" s="184">
        <f t="shared" ca="1" si="87"/>
        <v>22650</v>
      </c>
      <c r="I82" s="187">
        <f ca="1">IFERROR(__xludf.DUMMYFUNCTION("IMPORTRANGE(""https://docs.google.com/spreadsheets/d/1b6QssHQp2FoAPSMKHOy273KNzAomaIKhtdlvuZ_zDNE/edit?usp=sharing"",""พัทลุง!N473"")"),8340)</f>
        <v>8340</v>
      </c>
      <c r="J82" s="187">
        <f ca="1">IFERROR(__xludf.DUMMYFUNCTION("IMPORTRANGE(""https://docs.google.com/spreadsheets/d/1b6QssHQp2FoAPSMKHOy273KNzAomaIKhtdlvuZ_zDNE/edit?usp=sharing"",""พัทลุง!N474"")"),0)</f>
        <v>0</v>
      </c>
      <c r="K82" s="187">
        <f ca="1">IFERROR(__xludf.DUMMYFUNCTION("IMPORTRANGE(""https://docs.google.com/spreadsheets/d/1b6QssHQp2FoAPSMKHOy273KNzAomaIKhtdlvuZ_zDNE/edit?usp=sharing"",""พัทลุง!N475"")"),0)</f>
        <v>0</v>
      </c>
      <c r="L82" s="187">
        <f ca="1">IFERROR(__xludf.DUMMYFUNCTION("IMPORTRANGE(""https://docs.google.com/spreadsheets/d/1b6QssHQp2FoAPSMKHOy273KNzAomaIKhtdlvuZ_zDNE/edit?usp=sharing"",""พัทลุง!N476"")"),14310)</f>
        <v>14310</v>
      </c>
      <c r="M82" s="185">
        <f ca="1">IFERROR(__xludf.DUMMYFUNCTION("IMPORTRANGE(""https://docs.google.com/spreadsheets/d/1b6QssHQp2FoAPSMKHOy273KNzAomaIKhtdlvuZ_zDNE/edit?usp=sharing"",""พัทลุง!N479"")"),0)</f>
        <v>0</v>
      </c>
      <c r="N82" s="185">
        <f t="shared" ca="1" si="41"/>
        <v>0</v>
      </c>
      <c r="O82" s="189">
        <f ca="1">IFERROR(__xludf.DUMMYFUNCTION("IMPORTRANGE(""https://docs.google.com/spreadsheets/d/1b6QssHQp2FoAPSMKHOy273KNzAomaIKhtdlvuZ_zDNE/edit?usp=sharing"",""พัทลุง!I465"")"),31)</f>
        <v>31</v>
      </c>
      <c r="P82" s="189">
        <f ca="1">IFERROR(__xludf.DUMMYFUNCTION("IMPORTRANGE(""https://docs.google.com/spreadsheets/d/1b6QssHQp2FoAPSMKHOy273KNzAomaIKhtdlvuZ_zDNE/edit?usp=sharing"",""พัทลุง!I466"")"),300)</f>
        <v>300</v>
      </c>
      <c r="Q82" s="181">
        <f ca="1">IFERROR(__xludf.DUMMYFUNCTION("IMPORTRANGE(""https://docs.google.com/spreadsheets/d/1b6QssHQp2FoAPSMKHOy273KNzAomaIKhtdlvuZ_zDNE/edit?usp=sharing"",""พัทลุง!J465"")"),0)</f>
        <v>0</v>
      </c>
      <c r="R82" s="186">
        <f t="shared" ca="1" si="6"/>
        <v>0</v>
      </c>
      <c r="S82" s="181">
        <f ca="1">IFERROR(__xludf.DUMMYFUNCTION("IMPORTRANGE(""https://docs.google.com/spreadsheets/d/1b6QssHQp2FoAPSMKHOy273KNzAomaIKhtdlvuZ_zDNE/edit?usp=sharing"",""พัทลุง!J466"")"),0)</f>
        <v>0</v>
      </c>
      <c r="T82" s="186">
        <f t="shared" ca="1" si="7"/>
        <v>0</v>
      </c>
      <c r="U82" s="189">
        <f ca="1">IFERROR(__xludf.DUMMYFUNCTION("IMPORTRANGE(""https://docs.google.com/spreadsheets/d/1b6QssHQp2FoAPSMKHOy273KNzAomaIKhtdlvuZ_zDNE/edit?usp=sharing"",""พัทลุง!I483"")"),270)</f>
        <v>270</v>
      </c>
      <c r="V82" s="181">
        <f ca="1">IFERROR(__xludf.DUMMYFUNCTION("IMPORTRANGE(""https://docs.google.com/spreadsheets/d/1b6QssHQp2FoAPSMKHOy273KNzAomaIKhtdlvuZ_zDNE/edit?usp=sharing"",""พัทลุง!J483"")"),0)</f>
        <v>0</v>
      </c>
      <c r="W82" s="186">
        <f t="shared" ca="1" si="32"/>
        <v>0</v>
      </c>
      <c r="X82" s="181">
        <f ca="1">IFERROR(__xludf.DUMMYFUNCTION("IMPORTRANGE(""https://docs.google.com/spreadsheets/d/1b6QssHQp2FoAPSMKHOy273KNzAomaIKhtdlvuZ_zDNE/edit?usp=sharing"",""พัทลุง!J484"")"),0)</f>
        <v>0</v>
      </c>
      <c r="Y82" s="189">
        <f ca="1">IFERROR(__xludf.DUMMYFUNCTION("IMPORTRANGE(""https://docs.google.com/spreadsheets/d/1b6QssHQp2FoAPSMKHOy273KNzAomaIKhtdlvuZ_zDNE/edit?usp=sharing"",""พัทลุง!I485"")"),27)</f>
        <v>27</v>
      </c>
      <c r="Z82" s="181">
        <f ca="1">IFERROR(__xludf.DUMMYFUNCTION("IMPORTRANGE(""https://docs.google.com/spreadsheets/d/1b6QssHQp2FoAPSMKHOy273KNzAomaIKhtdlvuZ_zDNE/edit?usp=sharing"",""พัทลุง!J485"")"),0)</f>
        <v>0</v>
      </c>
      <c r="AA82" s="186">
        <f t="shared" ca="1" si="33"/>
        <v>0</v>
      </c>
      <c r="AB82" s="189">
        <f ca="1">IFERROR(__xludf.DUMMYFUNCTION("IMPORTRANGE(""https://docs.google.com/spreadsheets/d/1b6QssHQp2FoAPSMKHOy273KNzAomaIKhtdlvuZ_zDNE/edit?usp=sharing"",""พัทลุง!I487"")"),30)</f>
        <v>30</v>
      </c>
      <c r="AC82" s="181">
        <f ca="1">IFERROR(__xludf.DUMMYFUNCTION("IMPORTRANGE(""https://docs.google.com/spreadsheets/d/1b6QssHQp2FoAPSMKHOy273KNzAomaIKhtdlvuZ_zDNE/edit?usp=sharing"",""พัทลุง!J487"")"),0)</f>
        <v>0</v>
      </c>
      <c r="AD82" s="186">
        <f t="shared" ca="1" si="34"/>
        <v>0</v>
      </c>
      <c r="AE82" s="181">
        <f ca="1">IFERROR(__xludf.DUMMYFUNCTION("IMPORTRANGE(""https://docs.google.com/spreadsheets/d/1b6QssHQp2FoAPSMKHOy273KNzAomaIKhtdlvuZ_zDNE/edit?usp=sharing"",""พัทลุง!J488"")"),0)</f>
        <v>0</v>
      </c>
      <c r="AF82" s="189">
        <f ca="1">IFERROR(__xludf.DUMMYFUNCTION("IMPORTRANGE(""https://docs.google.com/spreadsheets/d/1b6QssHQp2FoAPSMKHOy273KNzAomaIKhtdlvuZ_zDNE/edit?usp=sharing"",""พัทลุง!I489"")"),3)</f>
        <v>3</v>
      </c>
      <c r="AG82" s="181">
        <f ca="1">IFERROR(__xludf.DUMMYFUNCTION("IMPORTRANGE(""https://docs.google.com/spreadsheets/d/1b6QssHQp2FoAPSMKHOy273KNzAomaIKhtdlvuZ_zDNE/edit?usp=sharing"",""พัทลุง!J489"")"),0)</f>
        <v>0</v>
      </c>
      <c r="AH82" s="186">
        <f t="shared" ca="1" si="35"/>
        <v>0</v>
      </c>
      <c r="AI82" s="181">
        <f ca="1">IFERROR(__xludf.DUMMYFUNCTION("IMPORTRANGE(""https://docs.google.com/spreadsheets/d/1b6QssHQp2FoAPSMKHOy273KNzAomaIKhtdlvuZ_zDNE/edit?usp=sharing"",""พัทลุง!J491"")"),0)</f>
        <v>0</v>
      </c>
      <c r="AJ82" s="189">
        <f ca="1">IFERROR(__xludf.DUMMYFUNCTION("IMPORTRANGE(""https://docs.google.com/spreadsheets/d/1b6QssHQp2FoAPSMKHOy273KNzAomaIKhtdlvuZ_zDNE/edit?usp=sharing"",""พัทลุง!I492"")"),1)</f>
        <v>1</v>
      </c>
      <c r="AK82" s="181">
        <f ca="1">IFERROR(__xludf.DUMMYFUNCTION("IMPORTRANGE(""https://docs.google.com/spreadsheets/d/1b6QssHQp2FoAPSMKHOy273KNzAomaIKhtdlvuZ_zDNE/edit?usp=sharing"",""พัทลุง!J492"")"),0)</f>
        <v>0</v>
      </c>
      <c r="AL82" s="186">
        <f t="shared" ca="1" si="36"/>
        <v>0</v>
      </c>
      <c r="AM82" s="189">
        <f ca="1">IFERROR(__xludf.DUMMYFUNCTION("IMPORTRANGE(""https://docs.google.com/spreadsheets/d/1b6QssHQp2FoAPSMKHOy273KNzAomaIKhtdlvuZ_zDNE/edit?usp=sharing"",""พัทลุง!I495"")"),270)</f>
        <v>270</v>
      </c>
      <c r="AN82" s="181">
        <f ca="1">IFERROR(__xludf.DUMMYFUNCTION("IMPORTRANGE(""https://docs.google.com/spreadsheets/d/1b6QssHQp2FoAPSMKHOy273KNzAomaIKhtdlvuZ_zDNE/edit?usp=sharing"",""พัทลุง!J495"")"),0)</f>
        <v>0</v>
      </c>
      <c r="AO82" s="186">
        <f t="shared" ca="1" si="37"/>
        <v>0</v>
      </c>
      <c r="AP82" s="181">
        <f ca="1">IFERROR(__xludf.DUMMYFUNCTION("IMPORTRANGE(""https://docs.google.com/spreadsheets/d/1b6QssHQp2FoAPSMKHOy273KNzAomaIKhtdlvuZ_zDNE/edit?usp=sharing"",""พัทลุง!J496"")"),0)</f>
        <v>0</v>
      </c>
      <c r="AQ82" s="189">
        <f ca="1">IFERROR(__xludf.DUMMYFUNCTION("IMPORTRANGE(""https://docs.google.com/spreadsheets/d/1b6QssHQp2FoAPSMKHOy273KNzAomaIKhtdlvuZ_zDNE/edit?usp=sharing"",""พัทลุง!I498"")"),30)</f>
        <v>30</v>
      </c>
      <c r="AR82" s="181">
        <f ca="1">IFERROR(__xludf.DUMMYFUNCTION("IMPORTRANGE(""https://docs.google.com/spreadsheets/d/1b6QssHQp2FoAPSMKHOy273KNzAomaIKhtdlvuZ_zDNE/edit?usp=sharing"",""พัทลุง!J498"")"),0)</f>
        <v>0</v>
      </c>
      <c r="AS82" s="186">
        <f t="shared" ca="1" si="38"/>
        <v>0</v>
      </c>
      <c r="AT82" s="181">
        <f ca="1">IFERROR(__xludf.DUMMYFUNCTION("IMPORTRANGE(""https://docs.google.com/spreadsheets/d/1b6QssHQp2FoAPSMKHOy273KNzAomaIKhtdlvuZ_zDNE/edit?usp=sharing"",""พัทลุง!J499"")"),0)</f>
        <v>0</v>
      </c>
    </row>
    <row r="83" spans="1:46" ht="21" customHeight="1" x14ac:dyDescent="0.3">
      <c r="A83" s="178">
        <v>9</v>
      </c>
      <c r="B83" s="179" t="s">
        <v>100</v>
      </c>
      <c r="C83" s="180">
        <f t="shared" ca="1" si="86"/>
        <v>111463</v>
      </c>
      <c r="D83" s="181">
        <f ca="1">IFERROR(__xludf.DUMMYFUNCTION("IMPORTRANGE(""https://docs.google.com/spreadsheets/d/1o7UZe4_OqlqtLDHrj01Z2YFRSZDf1DMy1n3XViHaxRc/edit?usp=sharing"",""ภูเก็ต!L472"")"),111463)</f>
        <v>111463</v>
      </c>
      <c r="E83" s="187">
        <f ca="1">IFERROR(__xludf.DUMMYFUNCTION("IMPORTRANGE(""https://docs.google.com/spreadsheets/d/1o7UZe4_OqlqtLDHrj01Z2YFRSZDf1DMy1n3XViHaxRc/edit?usp=sharing"",""ภูเก็ต!L479"")"),0)</f>
        <v>0</v>
      </c>
      <c r="F83" s="182">
        <f t="shared" ca="1" si="1"/>
        <v>36230</v>
      </c>
      <c r="G83" s="183">
        <f t="shared" ca="1" si="2"/>
        <v>32.504059643110267</v>
      </c>
      <c r="H83" s="184">
        <f t="shared" ca="1" si="87"/>
        <v>36230</v>
      </c>
      <c r="I83" s="187">
        <f ca="1">IFERROR(__xludf.DUMMYFUNCTION("IMPORTRANGE(""https://docs.google.com/spreadsheets/d/1o7UZe4_OqlqtLDHrj01Z2YFRSZDf1DMy1n3XViHaxRc/edit?usp=sharing"",""ภูเก็ต!N473"")"),13040)</f>
        <v>13040</v>
      </c>
      <c r="J83" s="187">
        <f ca="1">IFERROR(__xludf.DUMMYFUNCTION("IMPORTRANGE(""https://docs.google.com/spreadsheets/d/1o7UZe4_OqlqtLDHrj01Z2YFRSZDf1DMy1n3XViHaxRc/edit?usp=sharing"",""ภูเก็ต!N474"")"),0)</f>
        <v>0</v>
      </c>
      <c r="K83" s="187">
        <f ca="1">IFERROR(__xludf.DUMMYFUNCTION("IMPORTRANGE(""https://docs.google.com/spreadsheets/d/1o7UZe4_OqlqtLDHrj01Z2YFRSZDf1DMy1n3XViHaxRc/edit?usp=sharing"",""ภูเก็ต!N475"")"),0)</f>
        <v>0</v>
      </c>
      <c r="L83" s="187">
        <f ca="1">IFERROR(__xludf.DUMMYFUNCTION("IMPORTRANGE(""https://docs.google.com/spreadsheets/d/1o7UZe4_OqlqtLDHrj01Z2YFRSZDf1DMy1n3XViHaxRc/edit?usp=sharing"",""ภูเก็ต!N476"")"),23190)</f>
        <v>23190</v>
      </c>
      <c r="M83" s="185">
        <f ca="1">IFERROR(__xludf.DUMMYFUNCTION("IMPORTRANGE(""https://docs.google.com/spreadsheets/d/1o7UZe4_OqlqtLDHrj01Z2YFRSZDf1DMy1n3XViHaxRc/edit?usp=sharing"",""ภูเก็ต!N479"")"),0)</f>
        <v>0</v>
      </c>
      <c r="N83" s="185">
        <f t="shared" ca="1" si="41"/>
        <v>0</v>
      </c>
      <c r="O83" s="181">
        <f ca="1">IFERROR(__xludf.DUMMYFUNCTION("IMPORTRANGE(""https://docs.google.com/spreadsheets/d/1o7UZe4_OqlqtLDHrj01Z2YFRSZDf1DMy1n3XViHaxRc/edit?usp=sharing"",""ภูเก็ต!I465"")"),11)</f>
        <v>11</v>
      </c>
      <c r="P83" s="181">
        <f ca="1">IFERROR(__xludf.DUMMYFUNCTION("IMPORTRANGE(""https://docs.google.com/spreadsheets/d/1o7UZe4_OqlqtLDHrj01Z2YFRSZDf1DMy1n3XViHaxRc/edit?usp=sharing"",""ภูเก็ต!I466"")"),100)</f>
        <v>100</v>
      </c>
      <c r="Q83" s="181">
        <f ca="1">IFERROR(__xludf.DUMMYFUNCTION("IMPORTRANGE(""https://docs.google.com/spreadsheets/d/1o7UZe4_OqlqtLDHrj01Z2YFRSZDf1DMy1n3XViHaxRc/edit?usp=sharing"",""ภูเก็ต!J465"")"),11)</f>
        <v>11</v>
      </c>
      <c r="R83" s="186">
        <f t="shared" ca="1" si="6"/>
        <v>100</v>
      </c>
      <c r="S83" s="181">
        <f ca="1">IFERROR(__xludf.DUMMYFUNCTION("IMPORTRANGE(""https://docs.google.com/spreadsheets/d/1o7UZe4_OqlqtLDHrj01Z2YFRSZDf1DMy1n3XViHaxRc/edit?usp=sharing"",""ภูเก็ต!J466"")"),10)</f>
        <v>10</v>
      </c>
      <c r="T83" s="186">
        <f t="shared" ca="1" si="7"/>
        <v>10</v>
      </c>
      <c r="U83" s="181">
        <f ca="1">IFERROR(__xludf.DUMMYFUNCTION("IMPORTRANGE(""https://docs.google.com/spreadsheets/d/1o7UZe4_OqlqtLDHrj01Z2YFRSZDf1DMy1n3XViHaxRc/edit?usp=sharing"",""ภูเก็ต!I483"")"),90)</f>
        <v>90</v>
      </c>
      <c r="V83" s="181">
        <f ca="1">IFERROR(__xludf.DUMMYFUNCTION("IMPORTRANGE(""https://docs.google.com/spreadsheets/d/1o7UZe4_OqlqtLDHrj01Z2YFRSZDf1DMy1n3XViHaxRc/edit?usp=sharing"",""ภูเก็ต!J483"")"),0)</f>
        <v>0</v>
      </c>
      <c r="W83" s="186">
        <f t="shared" ca="1" si="32"/>
        <v>0</v>
      </c>
      <c r="X83" s="181">
        <f ca="1">IFERROR(__xludf.DUMMYFUNCTION("IMPORTRANGE(""https://docs.google.com/spreadsheets/d/1o7UZe4_OqlqtLDHrj01Z2YFRSZDf1DMy1n3XViHaxRc/edit?usp=sharing"",""ภูเก็ต!J484"")"),0)</f>
        <v>0</v>
      </c>
      <c r="Y83" s="181">
        <f ca="1">IFERROR(__xludf.DUMMYFUNCTION("IMPORTRANGE(""https://docs.google.com/spreadsheets/d/1o7UZe4_OqlqtLDHrj01Z2YFRSZDf1DMy1n3XViHaxRc/edit?usp=sharing"",""ภูเก็ต!I485"")"),9)</f>
        <v>9</v>
      </c>
      <c r="Z83" s="181">
        <f ca="1">IFERROR(__xludf.DUMMYFUNCTION("IMPORTRANGE(""https://docs.google.com/spreadsheets/d/1o7UZe4_OqlqtLDHrj01Z2YFRSZDf1DMy1n3XViHaxRc/edit?usp=sharing"",""ภูเก็ต!J485"")"),9)</f>
        <v>9</v>
      </c>
      <c r="AA83" s="186">
        <f t="shared" ca="1" si="33"/>
        <v>100</v>
      </c>
      <c r="AB83" s="181">
        <f ca="1">IFERROR(__xludf.DUMMYFUNCTION("IMPORTRANGE(""https://docs.google.com/spreadsheets/d/1o7UZe4_OqlqtLDHrj01Z2YFRSZDf1DMy1n3XViHaxRc/edit?usp=sharing"",""ภูเก็ต!I487"")"),10)</f>
        <v>10</v>
      </c>
      <c r="AC83" s="181">
        <f ca="1">IFERROR(__xludf.DUMMYFUNCTION("IMPORTRANGE(""https://docs.google.com/spreadsheets/d/1o7UZe4_OqlqtLDHrj01Z2YFRSZDf1DMy1n3XViHaxRc/edit?usp=sharing"",""ภูเก็ต!J487"")"),10)</f>
        <v>10</v>
      </c>
      <c r="AD83" s="186">
        <f t="shared" ca="1" si="34"/>
        <v>100</v>
      </c>
      <c r="AE83" s="181">
        <f ca="1">IFERROR(__xludf.DUMMYFUNCTION("IMPORTRANGE(""https://docs.google.com/spreadsheets/d/1o7UZe4_OqlqtLDHrj01Z2YFRSZDf1DMy1n3XViHaxRc/edit?usp=sharing"",""ภูเก็ต!J488"")"),0)</f>
        <v>0</v>
      </c>
      <c r="AF83" s="181">
        <f ca="1">IFERROR(__xludf.DUMMYFUNCTION("IMPORTRANGE(""https://docs.google.com/spreadsheets/d/1o7UZe4_OqlqtLDHrj01Z2YFRSZDf1DMy1n3XViHaxRc/edit?usp=sharing"",""ภูเก็ต!I489"")"),1)</f>
        <v>1</v>
      </c>
      <c r="AG83" s="181">
        <f ca="1">IFERROR(__xludf.DUMMYFUNCTION("IMPORTRANGE(""https://docs.google.com/spreadsheets/d/1o7UZe4_OqlqtLDHrj01Z2YFRSZDf1DMy1n3XViHaxRc/edit?usp=sharing"",""ภูเก็ต!J489"")"),1)</f>
        <v>1</v>
      </c>
      <c r="AH83" s="186">
        <f t="shared" ca="1" si="35"/>
        <v>100</v>
      </c>
      <c r="AI83" s="181">
        <f ca="1">IFERROR(__xludf.DUMMYFUNCTION("IMPORTRANGE(""https://docs.google.com/spreadsheets/d/1o7UZe4_OqlqtLDHrj01Z2YFRSZDf1DMy1n3XViHaxRc/edit?usp=sharing"",""ภูเก็ต!J491"")"),0)</f>
        <v>0</v>
      </c>
      <c r="AJ83" s="181">
        <f ca="1">IFERROR(__xludf.DUMMYFUNCTION("IMPORTRANGE(""https://docs.google.com/spreadsheets/d/1o7UZe4_OqlqtLDHrj01Z2YFRSZDf1DMy1n3XViHaxRc/edit?usp=sharing"",""ภูเก็ต!I492"")"),1)</f>
        <v>1</v>
      </c>
      <c r="AK83" s="181">
        <f ca="1">IFERROR(__xludf.DUMMYFUNCTION("IMPORTRANGE(""https://docs.google.com/spreadsheets/d/1o7UZe4_OqlqtLDHrj01Z2YFRSZDf1DMy1n3XViHaxRc/edit?usp=sharing"",""ภูเก็ต!J492"")"),1)</f>
        <v>1</v>
      </c>
      <c r="AL83" s="186">
        <f t="shared" ca="1" si="36"/>
        <v>100</v>
      </c>
      <c r="AM83" s="181">
        <f ca="1">IFERROR(__xludf.DUMMYFUNCTION("IMPORTRANGE(""https://docs.google.com/spreadsheets/d/1o7UZe4_OqlqtLDHrj01Z2YFRSZDf1DMy1n3XViHaxRc/edit?usp=sharing"",""ภูเก็ต!I495"")"),90)</f>
        <v>90</v>
      </c>
      <c r="AN83" s="181">
        <f ca="1">IFERROR(__xludf.DUMMYFUNCTION("IMPORTRANGE(""https://docs.google.com/spreadsheets/d/1o7UZe4_OqlqtLDHrj01Z2YFRSZDf1DMy1n3XViHaxRc/edit?usp=sharing"",""ภูเก็ต!J495"")"),0)</f>
        <v>0</v>
      </c>
      <c r="AO83" s="186">
        <f t="shared" ca="1" si="37"/>
        <v>0</v>
      </c>
      <c r="AP83" s="181">
        <f ca="1">IFERROR(__xludf.DUMMYFUNCTION("IMPORTRANGE(""https://docs.google.com/spreadsheets/d/1o7UZe4_OqlqtLDHrj01Z2YFRSZDf1DMy1n3XViHaxRc/edit?usp=sharing"",""ภูเก็ต!J496"")"),0)</f>
        <v>0</v>
      </c>
      <c r="AQ83" s="181">
        <f ca="1">IFERROR(__xludf.DUMMYFUNCTION("IMPORTRANGE(""https://docs.google.com/spreadsheets/d/1o7UZe4_OqlqtLDHrj01Z2YFRSZDf1DMy1n3XViHaxRc/edit?usp=sharing"",""ภูเก็ต!I498"")"),10)</f>
        <v>10</v>
      </c>
      <c r="AR83" s="181">
        <f ca="1">IFERROR(__xludf.DUMMYFUNCTION("IMPORTRANGE(""https://docs.google.com/spreadsheets/d/1o7UZe4_OqlqtLDHrj01Z2YFRSZDf1DMy1n3XViHaxRc/edit?usp=sharing"",""ภูเก็ต!J498"")"),10)</f>
        <v>10</v>
      </c>
      <c r="AS83" s="186">
        <f t="shared" ca="1" si="38"/>
        <v>100</v>
      </c>
      <c r="AT83" s="181">
        <f ca="1">IFERROR(__xludf.DUMMYFUNCTION("IMPORTRANGE(""https://docs.google.com/spreadsheets/d/1o7UZe4_OqlqtLDHrj01Z2YFRSZDf1DMy1n3XViHaxRc/edit?usp=sharing"",""ภูเก็ต!J499"")"),0)</f>
        <v>0</v>
      </c>
    </row>
    <row r="84" spans="1:46" ht="21" customHeight="1" x14ac:dyDescent="0.3">
      <c r="A84" s="178">
        <v>10</v>
      </c>
      <c r="B84" s="179" t="s">
        <v>101</v>
      </c>
      <c r="C84" s="180">
        <f t="shared" ca="1" si="86"/>
        <v>114463</v>
      </c>
      <c r="D84" s="181">
        <f ca="1">IFERROR(__xludf.DUMMYFUNCTION("IMPORTRANGE(""https://docs.google.com/spreadsheets/d/1ctPm1vUzcUCPuOj9-eoHUD85PqINFqUB0TjdSWmR5-c/edit?usp=sharing"",""ยะลา!L472"")"),114463)</f>
        <v>114463</v>
      </c>
      <c r="E84" s="187">
        <f ca="1">IFERROR(__xludf.DUMMYFUNCTION("IMPORTRANGE(""https://docs.google.com/spreadsheets/d/1ctPm1vUzcUCPuOj9-eoHUD85PqINFqUB0TjdSWmR5-c/edit?usp=sharing"",""ยะลา!L479"")"),0)</f>
        <v>0</v>
      </c>
      <c r="F84" s="182">
        <f t="shared" ca="1" si="1"/>
        <v>112145</v>
      </c>
      <c r="G84" s="183">
        <f t="shared" ca="1" si="2"/>
        <v>97.974891449638747</v>
      </c>
      <c r="H84" s="184">
        <f t="shared" ca="1" si="87"/>
        <v>112145</v>
      </c>
      <c r="I84" s="187">
        <f ca="1">IFERROR(__xludf.DUMMYFUNCTION("IMPORTRANGE(""https://docs.google.com/spreadsheets/d/1ctPm1vUzcUCPuOj9-eoHUD85PqINFqUB0TjdSWmR5-c/edit?usp=sharing"",""ยะลา!N473"")"),14293)</f>
        <v>14293</v>
      </c>
      <c r="J84" s="187">
        <f ca="1">IFERROR(__xludf.DUMMYFUNCTION("IMPORTRANGE(""https://docs.google.com/spreadsheets/d/1ctPm1vUzcUCPuOj9-eoHUD85PqINFqUB0TjdSWmR5-c/edit?usp=sharing"",""ยะลา!N474"")"),66000)</f>
        <v>66000</v>
      </c>
      <c r="K84" s="187">
        <f ca="1">IFERROR(__xludf.DUMMYFUNCTION("IMPORTRANGE(""https://docs.google.com/spreadsheets/d/1ctPm1vUzcUCPuOj9-eoHUD85PqINFqUB0TjdSWmR5-c/edit?usp=sharing"",""ยะลา!N475"")"),0)</f>
        <v>0</v>
      </c>
      <c r="L84" s="187">
        <f ca="1">IFERROR(__xludf.DUMMYFUNCTION("IMPORTRANGE(""https://docs.google.com/spreadsheets/d/1ctPm1vUzcUCPuOj9-eoHUD85PqINFqUB0TjdSWmR5-c/edit?usp=sharing"",""ยะลา!N476"")"),31852)</f>
        <v>31852</v>
      </c>
      <c r="M84" s="185">
        <f ca="1">IFERROR(__xludf.DUMMYFUNCTION("IMPORTRANGE(""https://docs.google.com/spreadsheets/d/1ctPm1vUzcUCPuOj9-eoHUD85PqINFqUB0TjdSWmR5-c/edit?usp=sharing"",""ยะลา!N479"")"),0)</f>
        <v>0</v>
      </c>
      <c r="N84" s="185">
        <f t="shared" ca="1" si="41"/>
        <v>0</v>
      </c>
      <c r="O84" s="181">
        <f ca="1">IFERROR(__xludf.DUMMYFUNCTION("IMPORTRANGE(""https://docs.google.com/spreadsheets/d/1ctPm1vUzcUCPuOj9-eoHUD85PqINFqUB0TjdSWmR5-c/edit?usp=sharing"",""ยะลา!I465"")"),11)</f>
        <v>11</v>
      </c>
      <c r="P84" s="181">
        <f ca="1">IFERROR(__xludf.DUMMYFUNCTION("IMPORTRANGE(""https://docs.google.com/spreadsheets/d/1ctPm1vUzcUCPuOj9-eoHUD85PqINFqUB0TjdSWmR5-c/edit?usp=sharing"",""ยะลา!I466"")"),100)</f>
        <v>100</v>
      </c>
      <c r="Q84" s="181">
        <f ca="1">IFERROR(__xludf.DUMMYFUNCTION("IMPORTRANGE(""https://docs.google.com/spreadsheets/d/1ctPm1vUzcUCPuOj9-eoHUD85PqINFqUB0TjdSWmR5-c/edit?usp=sharing"",""ยะลา!J465"")"),11)</f>
        <v>11</v>
      </c>
      <c r="R84" s="186">
        <f t="shared" ca="1" si="6"/>
        <v>100</v>
      </c>
      <c r="S84" s="181">
        <f ca="1">IFERROR(__xludf.DUMMYFUNCTION("IMPORTRANGE(""https://docs.google.com/spreadsheets/d/1ctPm1vUzcUCPuOj9-eoHUD85PqINFqUB0TjdSWmR5-c/edit?usp=sharing"",""ยะลา!J466"")"),100)</f>
        <v>100</v>
      </c>
      <c r="T84" s="186">
        <f t="shared" ca="1" si="7"/>
        <v>100</v>
      </c>
      <c r="U84" s="181">
        <f ca="1">IFERROR(__xludf.DUMMYFUNCTION("IMPORTRANGE(""https://docs.google.com/spreadsheets/d/1ctPm1vUzcUCPuOj9-eoHUD85PqINFqUB0TjdSWmR5-c/edit?usp=sharing"",""ยะลา!I483"")"),90)</f>
        <v>90</v>
      </c>
      <c r="V84" s="181">
        <f ca="1">IFERROR(__xludf.DUMMYFUNCTION("IMPORTRANGE(""https://docs.google.com/spreadsheets/d/1ctPm1vUzcUCPuOj9-eoHUD85PqINFqUB0TjdSWmR5-c/edit?usp=sharing"",""ยะลา!J483"")"),90)</f>
        <v>90</v>
      </c>
      <c r="W84" s="186">
        <f t="shared" ca="1" si="32"/>
        <v>100</v>
      </c>
      <c r="X84" s="181">
        <f ca="1">IFERROR(__xludf.DUMMYFUNCTION("IMPORTRANGE(""https://docs.google.com/spreadsheets/d/1ctPm1vUzcUCPuOj9-eoHUD85PqINFqUB0TjdSWmR5-c/edit?usp=sharing"",""ยะลา!J484"")"),9)</f>
        <v>9</v>
      </c>
      <c r="Y84" s="181">
        <f ca="1">IFERROR(__xludf.DUMMYFUNCTION("IMPORTRANGE(""https://docs.google.com/spreadsheets/d/1ctPm1vUzcUCPuOj9-eoHUD85PqINFqUB0TjdSWmR5-c/edit?usp=sharing"",""ยะลา!I485"")"),9)</f>
        <v>9</v>
      </c>
      <c r="Z84" s="181">
        <f ca="1">IFERROR(__xludf.DUMMYFUNCTION("IMPORTRANGE(""https://docs.google.com/spreadsheets/d/1ctPm1vUzcUCPuOj9-eoHUD85PqINFqUB0TjdSWmR5-c/edit?usp=sharing"",""ยะลา!J485"")"),9)</f>
        <v>9</v>
      </c>
      <c r="AA84" s="186">
        <f t="shared" ca="1" si="33"/>
        <v>100</v>
      </c>
      <c r="AB84" s="181">
        <f ca="1">IFERROR(__xludf.DUMMYFUNCTION("IMPORTRANGE(""https://docs.google.com/spreadsheets/d/1ctPm1vUzcUCPuOj9-eoHUD85PqINFqUB0TjdSWmR5-c/edit?usp=sharing"",""ยะลา!I487"")"),10)</f>
        <v>10</v>
      </c>
      <c r="AC84" s="181">
        <f ca="1">IFERROR(__xludf.DUMMYFUNCTION("IMPORTRANGE(""https://docs.google.com/spreadsheets/d/1ctPm1vUzcUCPuOj9-eoHUD85PqINFqUB0TjdSWmR5-c/edit?usp=sharing"",""ยะลา!J487"")"),10)</f>
        <v>10</v>
      </c>
      <c r="AD84" s="186">
        <f t="shared" ca="1" si="34"/>
        <v>100</v>
      </c>
      <c r="AE84" s="181">
        <f ca="1">IFERROR(__xludf.DUMMYFUNCTION("IMPORTRANGE(""https://docs.google.com/spreadsheets/d/1ctPm1vUzcUCPuOj9-eoHUD85PqINFqUB0TjdSWmR5-c/edit?usp=sharing"",""ยะลา!J488"")"),1)</f>
        <v>1</v>
      </c>
      <c r="AF84" s="181">
        <f ca="1">IFERROR(__xludf.DUMMYFUNCTION("IMPORTRANGE(""https://docs.google.com/spreadsheets/d/1ctPm1vUzcUCPuOj9-eoHUD85PqINFqUB0TjdSWmR5-c/edit?usp=sharing"",""ยะลา!I489"")"),1)</f>
        <v>1</v>
      </c>
      <c r="AG84" s="181">
        <f ca="1">IFERROR(__xludf.DUMMYFUNCTION("IMPORTRANGE(""https://docs.google.com/spreadsheets/d/1ctPm1vUzcUCPuOj9-eoHUD85PqINFqUB0TjdSWmR5-c/edit?usp=sharing"",""ยะลา!J489"")"),1)</f>
        <v>1</v>
      </c>
      <c r="AH84" s="186">
        <f t="shared" ca="1" si="35"/>
        <v>100</v>
      </c>
      <c r="AI84" s="181">
        <f ca="1">IFERROR(__xludf.DUMMYFUNCTION("IMPORTRANGE(""https://docs.google.com/spreadsheets/d/1ctPm1vUzcUCPuOj9-eoHUD85PqINFqUB0TjdSWmR5-c/edit?usp=sharing"",""ยะลา!J491"")"),1)</f>
        <v>1</v>
      </c>
      <c r="AJ84" s="181">
        <f ca="1">IFERROR(__xludf.DUMMYFUNCTION("IMPORTRANGE(""https://docs.google.com/spreadsheets/d/1ctPm1vUzcUCPuOj9-eoHUD85PqINFqUB0TjdSWmR5-c/edit?usp=sharing"",""ยะลา!I492"")"),1)</f>
        <v>1</v>
      </c>
      <c r="AK84" s="181">
        <f ca="1">IFERROR(__xludf.DUMMYFUNCTION("IMPORTRANGE(""https://docs.google.com/spreadsheets/d/1ctPm1vUzcUCPuOj9-eoHUD85PqINFqUB0TjdSWmR5-c/edit?usp=sharing"",""ยะลา!J492"")"),1)</f>
        <v>1</v>
      </c>
      <c r="AL84" s="186">
        <f t="shared" ca="1" si="36"/>
        <v>100</v>
      </c>
      <c r="AM84" s="181">
        <f ca="1">IFERROR(__xludf.DUMMYFUNCTION("IMPORTRANGE(""https://docs.google.com/spreadsheets/d/1ctPm1vUzcUCPuOj9-eoHUD85PqINFqUB0TjdSWmR5-c/edit?usp=sharing"",""ยะลา!I495"")"),90)</f>
        <v>90</v>
      </c>
      <c r="AN84" s="181">
        <f ca="1">IFERROR(__xludf.DUMMYFUNCTION("IMPORTRANGE(""https://docs.google.com/spreadsheets/d/1ctPm1vUzcUCPuOj9-eoHUD85PqINFqUB0TjdSWmR5-c/edit?usp=sharing"",""ยะลา!J495"")"),90)</f>
        <v>90</v>
      </c>
      <c r="AO84" s="186">
        <f t="shared" ca="1" si="37"/>
        <v>100</v>
      </c>
      <c r="AP84" s="181">
        <f ca="1">IFERROR(__xludf.DUMMYFUNCTION("IMPORTRANGE(""https://docs.google.com/spreadsheets/d/1ctPm1vUzcUCPuOj9-eoHUD85PqINFqUB0TjdSWmR5-c/edit?usp=sharing"",""ยะลา!J496"")"),0)</f>
        <v>0</v>
      </c>
      <c r="AQ84" s="181">
        <f ca="1">IFERROR(__xludf.DUMMYFUNCTION("IMPORTRANGE(""https://docs.google.com/spreadsheets/d/1ctPm1vUzcUCPuOj9-eoHUD85PqINFqUB0TjdSWmR5-c/edit?usp=sharing"",""ยะลา!I498"")"),10)</f>
        <v>10</v>
      </c>
      <c r="AR84" s="181">
        <f ca="1">IFERROR(__xludf.DUMMYFUNCTION("IMPORTRANGE(""https://docs.google.com/spreadsheets/d/1ctPm1vUzcUCPuOj9-eoHUD85PqINFqUB0TjdSWmR5-c/edit?usp=sharing"",""ยะลา!J498"")"),10)</f>
        <v>10</v>
      </c>
      <c r="AS84" s="186">
        <f t="shared" ca="1" si="38"/>
        <v>100</v>
      </c>
      <c r="AT84" s="181">
        <f ca="1">IFERROR(__xludf.DUMMYFUNCTION("IMPORTRANGE(""https://docs.google.com/spreadsheets/d/1ctPm1vUzcUCPuOj9-eoHUD85PqINFqUB0TjdSWmR5-c/edit?usp=sharing"",""ยะลา!J499"")"),0)</f>
        <v>0</v>
      </c>
    </row>
    <row r="85" spans="1:46" ht="21" customHeight="1" x14ac:dyDescent="0.3">
      <c r="A85" s="178">
        <v>11</v>
      </c>
      <c r="B85" s="179" t="s">
        <v>102</v>
      </c>
      <c r="C85" s="180">
        <f t="shared" ca="1" si="86"/>
        <v>1172908</v>
      </c>
      <c r="D85" s="181">
        <f ca="1">IFERROR(__xludf.DUMMYFUNCTION("IMPORTRANGE(""https://docs.google.com/spreadsheets/d/1YiDIE7Klmt8osgdapRqYWNr7iPGFSsiJqq46S7PYRE0/edit?usp=sharing"",""ระนอง!L472"")"),1172908)</f>
        <v>1172908</v>
      </c>
      <c r="E85" s="187">
        <f ca="1">IFERROR(__xludf.DUMMYFUNCTION("IMPORTRANGE(""https://docs.google.com/spreadsheets/d/1YiDIE7Klmt8osgdapRqYWNr7iPGFSsiJqq46S7PYRE0/edit?usp=sharing"",""ระนอง!L479"")"),0)</f>
        <v>0</v>
      </c>
      <c r="F85" s="182">
        <f t="shared" ca="1" si="1"/>
        <v>210825</v>
      </c>
      <c r="G85" s="183">
        <f t="shared" ca="1" si="2"/>
        <v>17.974555549113827</v>
      </c>
      <c r="H85" s="184">
        <f t="shared" ca="1" si="87"/>
        <v>210825</v>
      </c>
      <c r="I85" s="187">
        <f ca="1">IFERROR(__xludf.DUMMYFUNCTION("IMPORTRANGE(""https://docs.google.com/spreadsheets/d/1YiDIE7Klmt8osgdapRqYWNr7iPGFSsiJqq46S7PYRE0/edit?usp=sharing"",""ระนอง!N473"")"),161485)</f>
        <v>161485</v>
      </c>
      <c r="J85" s="187">
        <f ca="1">IFERROR(__xludf.DUMMYFUNCTION("IMPORTRANGE(""https://docs.google.com/spreadsheets/d/1YiDIE7Klmt8osgdapRqYWNr7iPGFSsiJqq46S7PYRE0/edit?usp=sharing"",""ระนอง!N474"")"),0)</f>
        <v>0</v>
      </c>
      <c r="K85" s="187">
        <f ca="1">IFERROR(__xludf.DUMMYFUNCTION("IMPORTRANGE(""https://docs.google.com/spreadsheets/d/1YiDIE7Klmt8osgdapRqYWNr7iPGFSsiJqq46S7PYRE0/edit?usp=sharing"",""ระนอง!N475"")"),39000)</f>
        <v>39000</v>
      </c>
      <c r="L85" s="187">
        <f ca="1">IFERROR(__xludf.DUMMYFUNCTION("IMPORTRANGE(""https://docs.google.com/spreadsheets/d/1YiDIE7Klmt8osgdapRqYWNr7iPGFSsiJqq46S7PYRE0/edit?usp=sharing"",""ระนอง!N476"")"),10340)</f>
        <v>10340</v>
      </c>
      <c r="M85" s="185">
        <f ca="1">IFERROR(__xludf.DUMMYFUNCTION("IMPORTRANGE(""https://docs.google.com/spreadsheets/d/1YiDIE7Klmt8osgdapRqYWNr7iPGFSsiJqq46S7PYRE0/edit?usp=sharing"",""ระนอง!N479"")"),0)</f>
        <v>0</v>
      </c>
      <c r="N85" s="185">
        <f t="shared" ca="1" si="41"/>
        <v>0</v>
      </c>
      <c r="O85" s="181">
        <f ca="1">IFERROR(__xludf.DUMMYFUNCTION("IMPORTRANGE(""https://docs.google.com/spreadsheets/d/1YiDIE7Klmt8osgdapRqYWNr7iPGFSsiJqq46S7PYRE0/edit?usp=sharing"",""ระนอง!I465"")"),131)</f>
        <v>131</v>
      </c>
      <c r="P85" s="181">
        <f ca="1">IFERROR(__xludf.DUMMYFUNCTION("IMPORTRANGE(""https://docs.google.com/spreadsheets/d/1YiDIE7Klmt8osgdapRqYWNr7iPGFSsiJqq46S7PYRE0/edit?usp=sharing"",""ระนอง!I466"")"),1300)</f>
        <v>1300</v>
      </c>
      <c r="Q85" s="181">
        <f ca="1">IFERROR(__xludf.DUMMYFUNCTION("IMPORTRANGE(""https://docs.google.com/spreadsheets/d/1YiDIE7Klmt8osgdapRqYWNr7iPGFSsiJqq46S7PYRE0/edit?usp=sharing"",""ระนอง!J465"")"),130)</f>
        <v>130</v>
      </c>
      <c r="R85" s="186">
        <f t="shared" ca="1" si="6"/>
        <v>99.236641221374043</v>
      </c>
      <c r="S85" s="181">
        <f ca="1">IFERROR(__xludf.DUMMYFUNCTION("IMPORTRANGE(""https://docs.google.com/spreadsheets/d/1YiDIE7Klmt8osgdapRqYWNr7iPGFSsiJqq46S7PYRE0/edit?usp=sharing"",""ระนอง!J466"")"),0)</f>
        <v>0</v>
      </c>
      <c r="T85" s="186">
        <f t="shared" ca="1" si="7"/>
        <v>0</v>
      </c>
      <c r="U85" s="181">
        <f ca="1">IFERROR(__xludf.DUMMYFUNCTION("IMPORTRANGE(""https://docs.google.com/spreadsheets/d/1YiDIE7Klmt8osgdapRqYWNr7iPGFSsiJqq46S7PYRE0/edit?usp=sharing"",""ระนอง!I483"")"),1170)</f>
        <v>1170</v>
      </c>
      <c r="V85" s="181">
        <f ca="1">IFERROR(__xludf.DUMMYFUNCTION("IMPORTRANGE(""https://docs.google.com/spreadsheets/d/1YiDIE7Klmt8osgdapRqYWNr7iPGFSsiJqq46S7PYRE0/edit?usp=sharing"",""ระนอง!J483"")"),1455)</f>
        <v>1455</v>
      </c>
      <c r="W85" s="186">
        <f t="shared" ca="1" si="32"/>
        <v>124.35897435897436</v>
      </c>
      <c r="X85" s="181">
        <f ca="1">IFERROR(__xludf.DUMMYFUNCTION("IMPORTRANGE(""https://docs.google.com/spreadsheets/d/1YiDIE7Klmt8osgdapRqYWNr7iPGFSsiJqq46S7PYRE0/edit?usp=sharing"",""ระนอง!J484"")"),0)</f>
        <v>0</v>
      </c>
      <c r="Y85" s="181">
        <f ca="1">IFERROR(__xludf.DUMMYFUNCTION("IMPORTRANGE(""https://docs.google.com/spreadsheets/d/1YiDIE7Klmt8osgdapRqYWNr7iPGFSsiJqq46S7PYRE0/edit?usp=sharing"",""ระนอง!I485"")"),117)</f>
        <v>117</v>
      </c>
      <c r="Z85" s="181">
        <f ca="1">IFERROR(__xludf.DUMMYFUNCTION("IMPORTRANGE(""https://docs.google.com/spreadsheets/d/1YiDIE7Klmt8osgdapRqYWNr7iPGFSsiJqq46S7PYRE0/edit?usp=sharing"",""ระนอง!J485"")"),117)</f>
        <v>117</v>
      </c>
      <c r="AA85" s="186">
        <f t="shared" ca="1" si="33"/>
        <v>100</v>
      </c>
      <c r="AB85" s="181">
        <f ca="1">IFERROR(__xludf.DUMMYFUNCTION("IMPORTRANGE(""https://docs.google.com/spreadsheets/d/1YiDIE7Klmt8osgdapRqYWNr7iPGFSsiJqq46S7PYRE0/edit?usp=sharing"",""ระนอง!I487"")"),130)</f>
        <v>130</v>
      </c>
      <c r="AC85" s="181">
        <f ca="1">IFERROR(__xludf.DUMMYFUNCTION("IMPORTRANGE(""https://docs.google.com/spreadsheets/d/1YiDIE7Klmt8osgdapRqYWNr7iPGFSsiJqq46S7PYRE0/edit?usp=sharing"",""ระนอง!J487"")"),159)</f>
        <v>159</v>
      </c>
      <c r="AD85" s="186">
        <f t="shared" ca="1" si="34"/>
        <v>122.30769230769231</v>
      </c>
      <c r="AE85" s="181">
        <f ca="1">IFERROR(__xludf.DUMMYFUNCTION("IMPORTRANGE(""https://docs.google.com/spreadsheets/d/1YiDIE7Klmt8osgdapRqYWNr7iPGFSsiJqq46S7PYRE0/edit?usp=sharing"",""ระนอง!J488"")"),0)</f>
        <v>0</v>
      </c>
      <c r="AF85" s="181">
        <f ca="1">IFERROR(__xludf.DUMMYFUNCTION("IMPORTRANGE(""https://docs.google.com/spreadsheets/d/1YiDIE7Klmt8osgdapRqYWNr7iPGFSsiJqq46S7PYRE0/edit?usp=sharing"",""ระนอง!I489"")"),13)</f>
        <v>13</v>
      </c>
      <c r="AG85" s="181">
        <f ca="1">IFERROR(__xludf.DUMMYFUNCTION("IMPORTRANGE(""https://docs.google.com/spreadsheets/d/1YiDIE7Klmt8osgdapRqYWNr7iPGFSsiJqq46S7PYRE0/edit?usp=sharing"",""ระนอง!J489"")"),13)</f>
        <v>13</v>
      </c>
      <c r="AH85" s="186">
        <f t="shared" ca="1" si="35"/>
        <v>100</v>
      </c>
      <c r="AI85" s="181">
        <f ca="1">IFERROR(__xludf.DUMMYFUNCTION("IMPORTRANGE(""https://docs.google.com/spreadsheets/d/1YiDIE7Klmt8osgdapRqYWNr7iPGFSsiJqq46S7PYRE0/edit?usp=sharing"",""ระนอง!J491"")"),0)</f>
        <v>0</v>
      </c>
      <c r="AJ85" s="181">
        <f ca="1">IFERROR(__xludf.DUMMYFUNCTION("IMPORTRANGE(""https://docs.google.com/spreadsheets/d/1YiDIE7Klmt8osgdapRqYWNr7iPGFSsiJqq46S7PYRE0/edit?usp=sharing"",""ระนอง!I492"")"),1)</f>
        <v>1</v>
      </c>
      <c r="AK85" s="181">
        <f ca="1">IFERROR(__xludf.DUMMYFUNCTION("IMPORTRANGE(""https://docs.google.com/spreadsheets/d/1YiDIE7Klmt8osgdapRqYWNr7iPGFSsiJqq46S7PYRE0/edit?usp=sharing"",""ระนอง!J492"")"),0)</f>
        <v>0</v>
      </c>
      <c r="AL85" s="186">
        <f t="shared" ca="1" si="36"/>
        <v>0</v>
      </c>
      <c r="AM85" s="181">
        <f ca="1">IFERROR(__xludf.DUMMYFUNCTION("IMPORTRANGE(""https://docs.google.com/spreadsheets/d/1YiDIE7Klmt8osgdapRqYWNr7iPGFSsiJqq46S7PYRE0/edit?usp=sharing"",""ระนอง!I495"")"),1170)</f>
        <v>1170</v>
      </c>
      <c r="AN85" s="181">
        <f ca="1">IFERROR(__xludf.DUMMYFUNCTION("IMPORTRANGE(""https://docs.google.com/spreadsheets/d/1YiDIE7Klmt8osgdapRqYWNr7iPGFSsiJqq46S7PYRE0/edit?usp=sharing"",""ระนอง!J495"")"),0)</f>
        <v>0</v>
      </c>
      <c r="AO85" s="186">
        <f t="shared" ca="1" si="37"/>
        <v>0</v>
      </c>
      <c r="AP85" s="181">
        <f ca="1">IFERROR(__xludf.DUMMYFUNCTION("IMPORTRANGE(""https://docs.google.com/spreadsheets/d/1YiDIE7Klmt8osgdapRqYWNr7iPGFSsiJqq46S7PYRE0/edit?usp=sharing"",""ระนอง!J496"")"),0)</f>
        <v>0</v>
      </c>
      <c r="AQ85" s="181">
        <f ca="1">IFERROR(__xludf.DUMMYFUNCTION("IMPORTRANGE(""https://docs.google.com/spreadsheets/d/1YiDIE7Klmt8osgdapRqYWNr7iPGFSsiJqq46S7PYRE0/edit?usp=sharing"",""ระนอง!I498"")"),130)</f>
        <v>130</v>
      </c>
      <c r="AR85" s="181">
        <f ca="1">IFERROR(__xludf.DUMMYFUNCTION("IMPORTRANGE(""https://docs.google.com/spreadsheets/d/1YiDIE7Klmt8osgdapRqYWNr7iPGFSsiJqq46S7PYRE0/edit?usp=sharing"",""ระนอง!J498"")"),0)</f>
        <v>0</v>
      </c>
      <c r="AS85" s="186">
        <f t="shared" ca="1" si="38"/>
        <v>0</v>
      </c>
      <c r="AT85" s="181">
        <f ca="1">IFERROR(__xludf.DUMMYFUNCTION("IMPORTRANGE(""https://docs.google.com/spreadsheets/d/1YiDIE7Klmt8osgdapRqYWNr7iPGFSsiJqq46S7PYRE0/edit?usp=sharing"",""ระนอง!J499"")"),0)</f>
        <v>0</v>
      </c>
    </row>
    <row r="86" spans="1:46" ht="24" customHeight="1" x14ac:dyDescent="0.3">
      <c r="A86" s="178">
        <v>12</v>
      </c>
      <c r="B86" s="179" t="s">
        <v>103</v>
      </c>
      <c r="C86" s="180">
        <f t="shared" ca="1" si="86"/>
        <v>189883</v>
      </c>
      <c r="D86" s="181">
        <f ca="1">IFERROR(__xludf.DUMMYFUNCTION("IMPORTRANGE(""https://docs.google.com/spreadsheets/d/16o_4B-V7AWw_6E93bSpXj_XxVv1oVQctk-B6z1dNEWU/edit?usp=sharing"",""สงขลา!L472"")"),189883)</f>
        <v>189883</v>
      </c>
      <c r="E86" s="187">
        <f ca="1">IFERROR(__xludf.DUMMYFUNCTION("IMPORTRANGE(""https://docs.google.com/spreadsheets/d/16o_4B-V7AWw_6E93bSpXj_XxVv1oVQctk-B6z1dNEWU/edit?usp=sharing"",""สงขลา!L479"")"),0)</f>
        <v>0</v>
      </c>
      <c r="F86" s="182">
        <f t="shared" ca="1" si="1"/>
        <v>74113</v>
      </c>
      <c r="G86" s="183">
        <f t="shared" ca="1" si="2"/>
        <v>39.030876908412019</v>
      </c>
      <c r="H86" s="184">
        <f t="shared" ca="1" si="87"/>
        <v>74113</v>
      </c>
      <c r="I86" s="187">
        <f ca="1">IFERROR(__xludf.DUMMYFUNCTION("IMPORTRANGE(""https://docs.google.com/spreadsheets/d/16o_4B-V7AWw_6E93bSpXj_XxVv1oVQctk-B6z1dNEWU/edit?usp=sharing"",""สงขลา!N473"")"),40383)</f>
        <v>40383</v>
      </c>
      <c r="J86" s="187">
        <f ca="1">IFERROR(__xludf.DUMMYFUNCTION("IMPORTRANGE(""https://docs.google.com/spreadsheets/d/16o_4B-V7AWw_6E93bSpXj_XxVv1oVQctk-B6z1dNEWU/edit?usp=sharing"",""สงขลา!N474"")"),24000)</f>
        <v>24000</v>
      </c>
      <c r="K86" s="187">
        <f ca="1">IFERROR(__xludf.DUMMYFUNCTION("IMPORTRANGE(""https://docs.google.com/spreadsheets/d/16o_4B-V7AWw_6E93bSpXj_XxVv1oVQctk-B6z1dNEWU/edit?usp=sharing"",""สงขลา!N475"")"),0)</f>
        <v>0</v>
      </c>
      <c r="L86" s="187">
        <f ca="1">IFERROR(__xludf.DUMMYFUNCTION("IMPORTRANGE(""https://docs.google.com/spreadsheets/d/16o_4B-V7AWw_6E93bSpXj_XxVv1oVQctk-B6z1dNEWU/edit?usp=sharing"",""สงขลา!N476"")"),9730)</f>
        <v>9730</v>
      </c>
      <c r="M86" s="185">
        <f ca="1">IFERROR(__xludf.DUMMYFUNCTION("IMPORTRANGE(""https://docs.google.com/spreadsheets/d/16o_4B-V7AWw_6E93bSpXj_XxVv1oVQctk-B6z1dNEWU/edit?usp=sharing"",""สงขลา!N479"")"),0)</f>
        <v>0</v>
      </c>
      <c r="N86" s="185">
        <f t="shared" ca="1" si="41"/>
        <v>0</v>
      </c>
      <c r="O86" s="181">
        <f ca="1">IFERROR(__xludf.DUMMYFUNCTION("IMPORTRANGE(""https://docs.google.com/spreadsheets/d/16o_4B-V7AWw_6E93bSpXj_XxVv1oVQctk-B6z1dNEWU/edit?usp=sharing"",""สงขลา!I465"")"),21)</f>
        <v>21</v>
      </c>
      <c r="P86" s="181">
        <f ca="1">IFERROR(__xludf.DUMMYFUNCTION("IMPORTRANGE(""https://docs.google.com/spreadsheets/d/16o_4B-V7AWw_6E93bSpXj_XxVv1oVQctk-B6z1dNEWU/edit?usp=sharing"",""สงขลา!I466"")"),200)</f>
        <v>200</v>
      </c>
      <c r="Q86" s="181">
        <f ca="1">IFERROR(__xludf.DUMMYFUNCTION("IMPORTRANGE(""https://docs.google.com/spreadsheets/d/16o_4B-V7AWw_6E93bSpXj_XxVv1oVQctk-B6z1dNEWU/edit?usp=sharing"",""สงขลา!J465"")"),21)</f>
        <v>21</v>
      </c>
      <c r="R86" s="186">
        <f t="shared" ca="1" si="6"/>
        <v>100</v>
      </c>
      <c r="S86" s="181">
        <f ca="1">IFERROR(__xludf.DUMMYFUNCTION("IMPORTRANGE(""https://docs.google.com/spreadsheets/d/16o_4B-V7AWw_6E93bSpXj_XxVv1oVQctk-B6z1dNEWU/edit?usp=sharing"",""สงขลา!J466"")"),0)</f>
        <v>0</v>
      </c>
      <c r="T86" s="186">
        <f t="shared" ca="1" si="7"/>
        <v>0</v>
      </c>
      <c r="U86" s="181">
        <f ca="1">IFERROR(__xludf.DUMMYFUNCTION("IMPORTRANGE(""https://docs.google.com/spreadsheets/d/16o_4B-V7AWw_6E93bSpXj_XxVv1oVQctk-B6z1dNEWU/edit?usp=sharing"",""สงขลา!I483"")"),180)</f>
        <v>180</v>
      </c>
      <c r="V86" s="181">
        <f ca="1">IFERROR(__xludf.DUMMYFUNCTION("IMPORTRANGE(""https://docs.google.com/spreadsheets/d/16o_4B-V7AWw_6E93bSpXj_XxVv1oVQctk-B6z1dNEWU/edit?usp=sharing"",""สงขลา!J483"")"),180)</f>
        <v>180</v>
      </c>
      <c r="W86" s="186">
        <f t="shared" ca="1" si="32"/>
        <v>100</v>
      </c>
      <c r="X86" s="181">
        <f ca="1">IFERROR(__xludf.DUMMYFUNCTION("IMPORTRANGE(""https://docs.google.com/spreadsheets/d/16o_4B-V7AWw_6E93bSpXj_XxVv1oVQctk-B6z1dNEWU/edit?usp=sharing"",""สงขลา!J484"")"),22)</f>
        <v>22</v>
      </c>
      <c r="Y86" s="181">
        <f ca="1">IFERROR(__xludf.DUMMYFUNCTION("IMPORTRANGE(""https://docs.google.com/spreadsheets/d/16o_4B-V7AWw_6E93bSpXj_XxVv1oVQctk-B6z1dNEWU/edit?usp=sharing"",""สงขลา!I485"")"),18)</f>
        <v>18</v>
      </c>
      <c r="Z86" s="181">
        <f ca="1">IFERROR(__xludf.DUMMYFUNCTION("IMPORTRANGE(""https://docs.google.com/spreadsheets/d/16o_4B-V7AWw_6E93bSpXj_XxVv1oVQctk-B6z1dNEWU/edit?usp=sharing"",""สงขลา!J485"")"),18)</f>
        <v>18</v>
      </c>
      <c r="AA86" s="186">
        <f t="shared" ca="1" si="33"/>
        <v>100</v>
      </c>
      <c r="AB86" s="181">
        <f ca="1">IFERROR(__xludf.DUMMYFUNCTION("IMPORTRANGE(""https://docs.google.com/spreadsheets/d/16o_4B-V7AWw_6E93bSpXj_XxVv1oVQctk-B6z1dNEWU/edit?usp=sharing"",""สงขลา!I487"")"),20)</f>
        <v>20</v>
      </c>
      <c r="AC86" s="181">
        <f ca="1">IFERROR(__xludf.DUMMYFUNCTION("IMPORTRANGE(""https://docs.google.com/spreadsheets/d/16o_4B-V7AWw_6E93bSpXj_XxVv1oVQctk-B6z1dNEWU/edit?usp=sharing"",""สงขลา!J487"")"),23)</f>
        <v>23</v>
      </c>
      <c r="AD86" s="186">
        <f t="shared" ca="1" si="34"/>
        <v>115</v>
      </c>
      <c r="AE86" s="181">
        <f ca="1">IFERROR(__xludf.DUMMYFUNCTION("IMPORTRANGE(""https://docs.google.com/spreadsheets/d/16o_4B-V7AWw_6E93bSpXj_XxVv1oVQctk-B6z1dNEWU/edit?usp=sharing"",""สงขลา!J488"")"),2)</f>
        <v>2</v>
      </c>
      <c r="AF86" s="181">
        <f ca="1">IFERROR(__xludf.DUMMYFUNCTION("IMPORTRANGE(""https://docs.google.com/spreadsheets/d/16o_4B-V7AWw_6E93bSpXj_XxVv1oVQctk-B6z1dNEWU/edit?usp=sharing"",""สงขลา!I489"")"),2)</f>
        <v>2</v>
      </c>
      <c r="AG86" s="181">
        <f ca="1">IFERROR(__xludf.DUMMYFUNCTION("IMPORTRANGE(""https://docs.google.com/spreadsheets/d/16o_4B-V7AWw_6E93bSpXj_XxVv1oVQctk-B6z1dNEWU/edit?usp=sharing"",""สงขลา!J489"")"),2)</f>
        <v>2</v>
      </c>
      <c r="AH86" s="186">
        <f t="shared" ca="1" si="35"/>
        <v>100</v>
      </c>
      <c r="AI86" s="181">
        <f ca="1">IFERROR(__xludf.DUMMYFUNCTION("IMPORTRANGE(""https://docs.google.com/spreadsheets/d/16o_4B-V7AWw_6E93bSpXj_XxVv1oVQctk-B6z1dNEWU/edit?usp=sharing"",""สงขลา!J491"")"),1)</f>
        <v>1</v>
      </c>
      <c r="AJ86" s="181">
        <f ca="1">IFERROR(__xludf.DUMMYFUNCTION("IMPORTRANGE(""https://docs.google.com/spreadsheets/d/16o_4B-V7AWw_6E93bSpXj_XxVv1oVQctk-B6z1dNEWU/edit?usp=sharing"",""สงขลา!I492"")"),1)</f>
        <v>1</v>
      </c>
      <c r="AK86" s="181">
        <f ca="1">IFERROR(__xludf.DUMMYFUNCTION("IMPORTRANGE(""https://docs.google.com/spreadsheets/d/16o_4B-V7AWw_6E93bSpXj_XxVv1oVQctk-B6z1dNEWU/edit?usp=sharing"",""สงขลา!J492"")"),1)</f>
        <v>1</v>
      </c>
      <c r="AL86" s="186">
        <f t="shared" ca="1" si="36"/>
        <v>100</v>
      </c>
      <c r="AM86" s="181">
        <f ca="1">IFERROR(__xludf.DUMMYFUNCTION("IMPORTRANGE(""https://docs.google.com/spreadsheets/d/16o_4B-V7AWw_6E93bSpXj_XxVv1oVQctk-B6z1dNEWU/edit?usp=sharing"",""สงขลา!I495"")"),180)</f>
        <v>180</v>
      </c>
      <c r="AN86" s="181">
        <f ca="1">IFERROR(__xludf.DUMMYFUNCTION("IMPORTRANGE(""https://docs.google.com/spreadsheets/d/16o_4B-V7AWw_6E93bSpXj_XxVv1oVQctk-B6z1dNEWU/edit?usp=sharing"",""สงขลา!J495"")"),0)</f>
        <v>0</v>
      </c>
      <c r="AO86" s="186">
        <f t="shared" ca="1" si="37"/>
        <v>0</v>
      </c>
      <c r="AP86" s="181">
        <f ca="1">IFERROR(__xludf.DUMMYFUNCTION("IMPORTRANGE(""https://docs.google.com/spreadsheets/d/16o_4B-V7AWw_6E93bSpXj_XxVv1oVQctk-B6z1dNEWU/edit?usp=sharing"",""สงขลา!J496"")"),0)</f>
        <v>0</v>
      </c>
      <c r="AQ86" s="181">
        <f ca="1">IFERROR(__xludf.DUMMYFUNCTION("IMPORTRANGE(""https://docs.google.com/spreadsheets/d/16o_4B-V7AWw_6E93bSpXj_XxVv1oVQctk-B6z1dNEWU/edit?usp=sharing"",""สงขลา!I498"")"),20)</f>
        <v>20</v>
      </c>
      <c r="AR86" s="181">
        <f ca="1">IFERROR(__xludf.DUMMYFUNCTION("IMPORTRANGE(""https://docs.google.com/spreadsheets/d/16o_4B-V7AWw_6E93bSpXj_XxVv1oVQctk-B6z1dNEWU/edit?usp=sharing"",""สงขลา!J498"")"),0)</f>
        <v>0</v>
      </c>
      <c r="AS86" s="186">
        <f t="shared" ca="1" si="38"/>
        <v>0</v>
      </c>
      <c r="AT86" s="181">
        <f ca="1">IFERROR(__xludf.DUMMYFUNCTION("IMPORTRANGE(""https://docs.google.com/spreadsheets/d/16o_4B-V7AWw_6E93bSpXj_XxVv1oVQctk-B6z1dNEWU/edit?usp=sharing"",""สงขลา!J499"")"),0)</f>
        <v>0</v>
      </c>
    </row>
    <row r="87" spans="1:46" ht="24" customHeight="1" x14ac:dyDescent="0.3">
      <c r="A87" s="178">
        <v>13</v>
      </c>
      <c r="B87" s="179" t="s">
        <v>104</v>
      </c>
      <c r="C87" s="188">
        <f t="shared" ca="1" si="86"/>
        <v>113833</v>
      </c>
      <c r="D87" s="189">
        <f ca="1">IFERROR(__xludf.DUMMYFUNCTION("IMPORTRANGE(""https://docs.google.com/spreadsheets/d/16cywr71Fj4fA5OGRHsZh30ZG2gwJhMAQv69oVBzYHv0/edit?usp=sharing"",""สตูล!L472"")"),113833)</f>
        <v>113833</v>
      </c>
      <c r="E87" s="190">
        <f ca="1">IFERROR(__xludf.DUMMYFUNCTION("IMPORTRANGE(""https://docs.google.com/spreadsheets/d/16cywr71Fj4fA5OGRHsZh30ZG2gwJhMAQv69oVBzYHv0/edit?usp=sharing"",""สตูล!L479"")"),0)</f>
        <v>0</v>
      </c>
      <c r="F87" s="182">
        <f t="shared" ca="1" si="1"/>
        <v>33570</v>
      </c>
      <c r="G87" s="191">
        <f t="shared" ca="1" si="2"/>
        <v>29.490569518505179</v>
      </c>
      <c r="H87" s="184">
        <f t="shared" ca="1" si="87"/>
        <v>33570</v>
      </c>
      <c r="I87" s="187">
        <f ca="1">IFERROR(__xludf.DUMMYFUNCTION("IMPORTRANGE(""https://docs.google.com/spreadsheets/d/16cywr71Fj4fA5OGRHsZh30ZG2gwJhMAQv69oVBzYHv0/edit?usp=sharing"",""สตูล!N473"")"),28603)</f>
        <v>28603</v>
      </c>
      <c r="J87" s="187">
        <f ca="1">IFERROR(__xludf.DUMMYFUNCTION("IMPORTRANGE(""https://docs.google.com/spreadsheets/d/16cywr71Fj4fA5OGRHsZh30ZG2gwJhMAQv69oVBzYHv0/edit?usp=sharing"",""สตูล!N474"")"),0)</f>
        <v>0</v>
      </c>
      <c r="K87" s="187">
        <f ca="1">IFERROR(__xludf.DUMMYFUNCTION("IMPORTRANGE(""https://docs.google.com/spreadsheets/d/16cywr71Fj4fA5OGRHsZh30ZG2gwJhMAQv69oVBzYHv0/edit?usp=sharing"",""สตูล!N475"")"),0)</f>
        <v>0</v>
      </c>
      <c r="L87" s="187">
        <f ca="1">IFERROR(__xludf.DUMMYFUNCTION("IMPORTRANGE(""https://docs.google.com/spreadsheets/d/16cywr71Fj4fA5OGRHsZh30ZG2gwJhMAQv69oVBzYHv0/edit?usp=sharing"",""สตูล!N476"")"),4967)</f>
        <v>4967</v>
      </c>
      <c r="M87" s="185">
        <f ca="1">IFERROR(__xludf.DUMMYFUNCTION("IMPORTRANGE(""https://docs.google.com/spreadsheets/d/16cywr71Fj4fA5OGRHsZh30ZG2gwJhMAQv69oVBzYHv0/edit?usp=sharing"",""สตูล!N479"")"),0)</f>
        <v>0</v>
      </c>
      <c r="N87" s="185">
        <f t="shared" ca="1" si="41"/>
        <v>0</v>
      </c>
      <c r="O87" s="189">
        <f ca="1">IFERROR(__xludf.DUMMYFUNCTION("IMPORTRANGE(""https://docs.google.com/spreadsheets/d/16cywr71Fj4fA5OGRHsZh30ZG2gwJhMAQv69oVBzYHv0/edit?usp=sharing"",""สตูล!I465"")"),11)</f>
        <v>11</v>
      </c>
      <c r="P87" s="189">
        <f ca="1">IFERROR(__xludf.DUMMYFUNCTION("IMPORTRANGE(""https://docs.google.com/spreadsheets/d/16cywr71Fj4fA5OGRHsZh30ZG2gwJhMAQv69oVBzYHv0/edit?usp=sharing"",""สตูล!I466"")"),100)</f>
        <v>100</v>
      </c>
      <c r="Q87" s="181">
        <f ca="1">IFERROR(__xludf.DUMMYFUNCTION("IMPORTRANGE(""https://docs.google.com/spreadsheets/d/16cywr71Fj4fA5OGRHsZh30ZG2gwJhMAQv69oVBzYHv0/edit?usp=sharing"",""สตูล!J465"")"),10)</f>
        <v>10</v>
      </c>
      <c r="R87" s="186">
        <f t="shared" ca="1" si="6"/>
        <v>90.909090909090907</v>
      </c>
      <c r="S87" s="181">
        <f ca="1">IFERROR(__xludf.DUMMYFUNCTION("IMPORTRANGE(""https://docs.google.com/spreadsheets/d/16cywr71Fj4fA5OGRHsZh30ZG2gwJhMAQv69oVBzYHv0/edit?usp=sharing"",""สตูล!J466"")"),0)</f>
        <v>0</v>
      </c>
      <c r="T87" s="186">
        <f t="shared" ca="1" si="7"/>
        <v>0</v>
      </c>
      <c r="U87" s="189">
        <f ca="1">IFERROR(__xludf.DUMMYFUNCTION("IMPORTRANGE(""https://docs.google.com/spreadsheets/d/16cywr71Fj4fA5OGRHsZh30ZG2gwJhMAQv69oVBzYHv0/edit?usp=sharing"",""สตูล!I483"")"),90)</f>
        <v>90</v>
      </c>
      <c r="V87" s="181">
        <f ca="1">IFERROR(__xludf.DUMMYFUNCTION("IMPORTRANGE(""https://docs.google.com/spreadsheets/d/16cywr71Fj4fA5OGRHsZh30ZG2gwJhMAQv69oVBzYHv0/edit?usp=sharing"",""สตูล!J483"")"),90)</f>
        <v>90</v>
      </c>
      <c r="W87" s="186">
        <f t="shared" ca="1" si="32"/>
        <v>100</v>
      </c>
      <c r="X87" s="181">
        <f ca="1">IFERROR(__xludf.DUMMYFUNCTION("IMPORTRANGE(""https://docs.google.com/spreadsheets/d/16cywr71Fj4fA5OGRHsZh30ZG2gwJhMAQv69oVBzYHv0/edit?usp=sharing"",""สตูล!J484"")"),0)</f>
        <v>0</v>
      </c>
      <c r="Y87" s="189">
        <f ca="1">IFERROR(__xludf.DUMMYFUNCTION("IMPORTRANGE(""https://docs.google.com/spreadsheets/d/16cywr71Fj4fA5OGRHsZh30ZG2gwJhMAQv69oVBzYHv0/edit?usp=sharing"",""สตูล!I485"")"),9)</f>
        <v>9</v>
      </c>
      <c r="Z87" s="181">
        <f ca="1">IFERROR(__xludf.DUMMYFUNCTION("IMPORTRANGE(""https://docs.google.com/spreadsheets/d/16cywr71Fj4fA5OGRHsZh30ZG2gwJhMAQv69oVBzYHv0/edit?usp=sharing"",""สตูล!J485"")"),9)</f>
        <v>9</v>
      </c>
      <c r="AA87" s="186">
        <f t="shared" ca="1" si="33"/>
        <v>100</v>
      </c>
      <c r="AB87" s="189">
        <f ca="1">IFERROR(__xludf.DUMMYFUNCTION("IMPORTRANGE(""https://docs.google.com/spreadsheets/d/16cywr71Fj4fA5OGRHsZh30ZG2gwJhMAQv69oVBzYHv0/edit?usp=sharing"",""สตูล!I487"")"),10)</f>
        <v>10</v>
      </c>
      <c r="AC87" s="181">
        <f ca="1">IFERROR(__xludf.DUMMYFUNCTION("IMPORTRANGE(""https://docs.google.com/spreadsheets/d/16cywr71Fj4fA5OGRHsZh30ZG2gwJhMAQv69oVBzYHv0/edit?usp=sharing"",""สตูล!J487"")"),10)</f>
        <v>10</v>
      </c>
      <c r="AD87" s="186">
        <f t="shared" ca="1" si="34"/>
        <v>100</v>
      </c>
      <c r="AE87" s="181">
        <f ca="1">IFERROR(__xludf.DUMMYFUNCTION("IMPORTRANGE(""https://docs.google.com/spreadsheets/d/16cywr71Fj4fA5OGRHsZh30ZG2gwJhMAQv69oVBzYHv0/edit?usp=sharing"",""สตูล!J488"")"),0)</f>
        <v>0</v>
      </c>
      <c r="AF87" s="189">
        <f ca="1">IFERROR(__xludf.DUMMYFUNCTION("IMPORTRANGE(""https://docs.google.com/spreadsheets/d/16cywr71Fj4fA5OGRHsZh30ZG2gwJhMAQv69oVBzYHv0/edit?usp=sharing"",""สตูล!I489"")"),1)</f>
        <v>1</v>
      </c>
      <c r="AG87" s="181">
        <f ca="1">IFERROR(__xludf.DUMMYFUNCTION("IMPORTRANGE(""https://docs.google.com/spreadsheets/d/16cywr71Fj4fA5OGRHsZh30ZG2gwJhMAQv69oVBzYHv0/edit?usp=sharing"",""สตูล!J489"")"),1)</f>
        <v>1</v>
      </c>
      <c r="AH87" s="186">
        <f t="shared" ca="1" si="35"/>
        <v>100</v>
      </c>
      <c r="AI87" s="181">
        <f ca="1">IFERROR(__xludf.DUMMYFUNCTION("IMPORTRANGE(""https://docs.google.com/spreadsheets/d/16cywr71Fj4fA5OGRHsZh30ZG2gwJhMAQv69oVBzYHv0/edit?usp=sharing"",""สตูล!J491"")"),0)</f>
        <v>0</v>
      </c>
      <c r="AJ87" s="189">
        <f ca="1">IFERROR(__xludf.DUMMYFUNCTION("IMPORTRANGE(""https://docs.google.com/spreadsheets/d/16cywr71Fj4fA5OGRHsZh30ZG2gwJhMAQv69oVBzYHv0/edit?usp=sharing"",""สตูล!I492"")"),1)</f>
        <v>1</v>
      </c>
      <c r="AK87" s="181">
        <f ca="1">IFERROR(__xludf.DUMMYFUNCTION("IMPORTRANGE(""https://docs.google.com/spreadsheets/d/16cywr71Fj4fA5OGRHsZh30ZG2gwJhMAQv69oVBzYHv0/edit?usp=sharing"",""สตูล!J492"")"),0)</f>
        <v>0</v>
      </c>
      <c r="AL87" s="186">
        <f t="shared" ca="1" si="36"/>
        <v>0</v>
      </c>
      <c r="AM87" s="189">
        <f ca="1">IFERROR(__xludf.DUMMYFUNCTION("IMPORTRANGE(""https://docs.google.com/spreadsheets/d/16cywr71Fj4fA5OGRHsZh30ZG2gwJhMAQv69oVBzYHv0/edit?usp=sharing"",""สตูล!I495"")"),90)</f>
        <v>90</v>
      </c>
      <c r="AN87" s="181">
        <f ca="1">IFERROR(__xludf.DUMMYFUNCTION("IMPORTRANGE(""https://docs.google.com/spreadsheets/d/16cywr71Fj4fA5OGRHsZh30ZG2gwJhMAQv69oVBzYHv0/edit?usp=sharing"",""สตูล!J495"")"),0)</f>
        <v>0</v>
      </c>
      <c r="AO87" s="186">
        <f t="shared" ca="1" si="37"/>
        <v>0</v>
      </c>
      <c r="AP87" s="181">
        <f ca="1">IFERROR(__xludf.DUMMYFUNCTION("IMPORTRANGE(""https://docs.google.com/spreadsheets/d/16cywr71Fj4fA5OGRHsZh30ZG2gwJhMAQv69oVBzYHv0/edit?usp=sharing"",""สตูล!J496"")"),0)</f>
        <v>0</v>
      </c>
      <c r="AQ87" s="189">
        <f ca="1">IFERROR(__xludf.DUMMYFUNCTION("IMPORTRANGE(""https://docs.google.com/spreadsheets/d/16cywr71Fj4fA5OGRHsZh30ZG2gwJhMAQv69oVBzYHv0/edit?usp=sharing"",""สตูล!I498"")"),10)</f>
        <v>10</v>
      </c>
      <c r="AR87" s="181">
        <f ca="1">IFERROR(__xludf.DUMMYFUNCTION("IMPORTRANGE(""https://docs.google.com/spreadsheets/d/16cywr71Fj4fA5OGRHsZh30ZG2gwJhMAQv69oVBzYHv0/edit?usp=sharing"",""สตูล!J498"")"),0)</f>
        <v>0</v>
      </c>
      <c r="AS87" s="186">
        <f t="shared" ca="1" si="38"/>
        <v>0</v>
      </c>
      <c r="AT87" s="181">
        <f ca="1">IFERROR(__xludf.DUMMYFUNCTION("IMPORTRANGE(""https://docs.google.com/spreadsheets/d/16cywr71Fj4fA5OGRHsZh30ZG2gwJhMAQv69oVBzYHv0/edit?usp=sharing"",""สตูล!J499"")"),0)</f>
        <v>0</v>
      </c>
    </row>
    <row r="88" spans="1:46" ht="24" customHeight="1" x14ac:dyDescent="0.3">
      <c r="A88" s="192">
        <v>14</v>
      </c>
      <c r="B88" s="193" t="s">
        <v>105</v>
      </c>
      <c r="C88" s="204">
        <f t="shared" ca="1" si="86"/>
        <v>570443</v>
      </c>
      <c r="D88" s="202">
        <f ca="1">IFERROR(__xludf.DUMMYFUNCTION("IMPORTRANGE(""https://docs.google.com/spreadsheets/d/1vO9Sws6kMtrVtyvrAJptINXjK8TFBoX9xLYOVK_C8bQ/edit?usp=sharing"",""สุราษฎร์ธานี!L472"")"),570443)</f>
        <v>570443</v>
      </c>
      <c r="E88" s="200">
        <f ca="1">IFERROR(__xludf.DUMMYFUNCTION("IMPORTRANGE(""https://docs.google.com/spreadsheets/d/1vO9Sws6kMtrVtyvrAJptINXjK8TFBoX9xLYOVK_C8bQ/edit?usp=sharing"",""สุราษฎร์ธานี!L479"")"),0)</f>
        <v>0</v>
      </c>
      <c r="F88" s="197">
        <f t="shared" ca="1" si="1"/>
        <v>112653</v>
      </c>
      <c r="G88" s="205">
        <f t="shared" ca="1" si="2"/>
        <v>19.748335942416684</v>
      </c>
      <c r="H88" s="199">
        <f t="shared" ca="1" si="87"/>
        <v>112653</v>
      </c>
      <c r="I88" s="200">
        <f ca="1">IFERROR(__xludf.DUMMYFUNCTION("IMPORTRANGE(""https://docs.google.com/spreadsheets/d/1vO9Sws6kMtrVtyvrAJptINXjK8TFBoX9xLYOVK_C8bQ/edit?usp=sharing"",""สุราษฎร์ธานี!N473"")"),84153)</f>
        <v>84153</v>
      </c>
      <c r="J88" s="200">
        <f ca="1">IFERROR(__xludf.DUMMYFUNCTION("IMPORTRANGE(""https://docs.google.com/spreadsheets/d/1vO9Sws6kMtrVtyvrAJptINXjK8TFBoX9xLYOVK_C8bQ/edit?usp=sharing"",""สุราษฎร์ธานี!N474"")"),0)</f>
        <v>0</v>
      </c>
      <c r="K88" s="200">
        <f ca="1">IFERROR(__xludf.DUMMYFUNCTION("IMPORTRANGE(""https://docs.google.com/spreadsheets/d/1vO9Sws6kMtrVtyvrAJptINXjK8TFBoX9xLYOVK_C8bQ/edit?usp=sharing"",""สุราษฎร์ธานี!N475"")"),0)</f>
        <v>0</v>
      </c>
      <c r="L88" s="200">
        <f ca="1">IFERROR(__xludf.DUMMYFUNCTION("IMPORTRANGE(""https://docs.google.com/spreadsheets/d/1vO9Sws6kMtrVtyvrAJptINXjK8TFBoX9xLYOVK_C8bQ/edit?usp=sharing"",""สุราษฎร์ธานี!N476"")"),28500)</f>
        <v>28500</v>
      </c>
      <c r="M88" s="201">
        <f ca="1">IFERROR(__xludf.DUMMYFUNCTION("IMPORTRANGE(""https://docs.google.com/spreadsheets/d/1vO9Sws6kMtrVtyvrAJptINXjK8TFBoX9xLYOVK_C8bQ/edit?usp=sharing"",""สุราษฎร์ธานี!N479"")"),0)</f>
        <v>0</v>
      </c>
      <c r="N88" s="201">
        <f t="shared" ca="1" si="41"/>
        <v>0</v>
      </c>
      <c r="O88" s="202">
        <f ca="1">IFERROR(__xludf.DUMMYFUNCTION("IMPORTRANGE(""https://docs.google.com/spreadsheets/d/1vO9Sws6kMtrVtyvrAJptINXjK8TFBoX9xLYOVK_C8bQ/edit?usp=sharing"",""สุราษฎร์ธานี!I465"")"),71)</f>
        <v>71</v>
      </c>
      <c r="P88" s="202">
        <f ca="1">IFERROR(__xludf.DUMMYFUNCTION("IMPORTRANGE(""https://docs.google.com/spreadsheets/d/1vO9Sws6kMtrVtyvrAJptINXjK8TFBoX9xLYOVK_C8bQ/edit?usp=sharing"",""สุราษฎร์ธานี!I466"")"),700)</f>
        <v>700</v>
      </c>
      <c r="Q88" s="202">
        <f ca="1">IFERROR(__xludf.DUMMYFUNCTION("IMPORTRANGE(""https://docs.google.com/spreadsheets/d/1vO9Sws6kMtrVtyvrAJptINXjK8TFBoX9xLYOVK_C8bQ/edit?usp=sharing"",""สุราษฎร์ธานี!J465"")"),71)</f>
        <v>71</v>
      </c>
      <c r="R88" s="203">
        <f t="shared" ca="1" si="6"/>
        <v>100</v>
      </c>
      <c r="S88" s="202">
        <f ca="1">IFERROR(__xludf.DUMMYFUNCTION("IMPORTRANGE(""https://docs.google.com/spreadsheets/d/1vO9Sws6kMtrVtyvrAJptINXjK8TFBoX9xLYOVK_C8bQ/edit?usp=sharing"",""สุราษฎร์ธานี!J466"")"),0)</f>
        <v>0</v>
      </c>
      <c r="T88" s="203">
        <f t="shared" ca="1" si="7"/>
        <v>0</v>
      </c>
      <c r="U88" s="202">
        <f ca="1">IFERROR(__xludf.DUMMYFUNCTION("IMPORTRANGE(""https://docs.google.com/spreadsheets/d/1vO9Sws6kMtrVtyvrAJptINXjK8TFBoX9xLYOVK_C8bQ/edit?usp=sharing"",""สุราษฎร์ธานี!I483"")"),630)</f>
        <v>630</v>
      </c>
      <c r="V88" s="202">
        <f ca="1">IFERROR(__xludf.DUMMYFUNCTION("IMPORTRANGE(""https://docs.google.com/spreadsheets/d/1vO9Sws6kMtrVtyvrAJptINXjK8TFBoX9xLYOVK_C8bQ/edit?usp=sharing"",""สุราษฎร์ธานี!J483"")"),630)</f>
        <v>630</v>
      </c>
      <c r="W88" s="203">
        <f t="shared" ca="1" si="32"/>
        <v>100</v>
      </c>
      <c r="X88" s="202">
        <f ca="1">IFERROR(__xludf.DUMMYFUNCTION("IMPORTRANGE(""https://docs.google.com/spreadsheets/d/1vO9Sws6kMtrVtyvrAJptINXjK8TFBoX9xLYOVK_C8bQ/edit?usp=sharing"",""สุราษฎร์ธานี!J484"")"),63)</f>
        <v>63</v>
      </c>
      <c r="Y88" s="202">
        <f ca="1">IFERROR(__xludf.DUMMYFUNCTION("IMPORTRANGE(""https://docs.google.com/spreadsheets/d/1vO9Sws6kMtrVtyvrAJptINXjK8TFBoX9xLYOVK_C8bQ/edit?usp=sharing"",""สุราษฎร์ธานี!I485"")"),63)</f>
        <v>63</v>
      </c>
      <c r="Z88" s="202">
        <f ca="1">IFERROR(__xludf.DUMMYFUNCTION("IMPORTRANGE(""https://docs.google.com/spreadsheets/d/1vO9Sws6kMtrVtyvrAJptINXjK8TFBoX9xLYOVK_C8bQ/edit?usp=sharing"",""สุราษฎร์ธานี!J485"")"),63)</f>
        <v>63</v>
      </c>
      <c r="AA88" s="203">
        <f t="shared" ca="1" si="33"/>
        <v>100</v>
      </c>
      <c r="AB88" s="202">
        <f ca="1">IFERROR(__xludf.DUMMYFUNCTION("IMPORTRANGE(""https://docs.google.com/spreadsheets/d/1vO9Sws6kMtrVtyvrAJptINXjK8TFBoX9xLYOVK_C8bQ/edit?usp=sharing"",""สุราษฎร์ธานี!I487"")"),70)</f>
        <v>70</v>
      </c>
      <c r="AC88" s="202">
        <f ca="1">IFERROR(__xludf.DUMMYFUNCTION("IMPORTRANGE(""https://docs.google.com/spreadsheets/d/1vO9Sws6kMtrVtyvrAJptINXjK8TFBoX9xLYOVK_C8bQ/edit?usp=sharing"",""สุราษฎร์ธานี!J487"")"),70)</f>
        <v>70</v>
      </c>
      <c r="AD88" s="203">
        <f t="shared" ca="1" si="34"/>
        <v>100</v>
      </c>
      <c r="AE88" s="202">
        <f ca="1">IFERROR(__xludf.DUMMYFUNCTION("IMPORTRANGE(""https://docs.google.com/spreadsheets/d/1vO9Sws6kMtrVtyvrAJptINXjK8TFBoX9xLYOVK_C8bQ/edit?usp=sharing"",""สุราษฎร์ธานี!J488"")"),7)</f>
        <v>7</v>
      </c>
      <c r="AF88" s="202">
        <f ca="1">IFERROR(__xludf.DUMMYFUNCTION("IMPORTRANGE(""https://docs.google.com/spreadsheets/d/1vO9Sws6kMtrVtyvrAJptINXjK8TFBoX9xLYOVK_C8bQ/edit?usp=sharing"",""สุราษฎร์ธานี!I489"")"),7)</f>
        <v>7</v>
      </c>
      <c r="AG88" s="202">
        <f ca="1">IFERROR(__xludf.DUMMYFUNCTION("IMPORTRANGE(""https://docs.google.com/spreadsheets/d/1vO9Sws6kMtrVtyvrAJptINXjK8TFBoX9xLYOVK_C8bQ/edit?usp=sharing"",""สุราษฎร์ธานี!J489"")"),7)</f>
        <v>7</v>
      </c>
      <c r="AH88" s="203">
        <f t="shared" ca="1" si="35"/>
        <v>100</v>
      </c>
      <c r="AI88" s="202">
        <f ca="1">IFERROR(__xludf.DUMMYFUNCTION("IMPORTRANGE(""https://docs.google.com/spreadsheets/d/1vO9Sws6kMtrVtyvrAJptINXjK8TFBoX9xLYOVK_C8bQ/edit?usp=sharing"",""สุราษฎร์ธานี!J491"")"),0)</f>
        <v>0</v>
      </c>
      <c r="AJ88" s="202">
        <f ca="1">IFERROR(__xludf.DUMMYFUNCTION("IMPORTRANGE(""https://docs.google.com/spreadsheets/d/1vO9Sws6kMtrVtyvrAJptINXjK8TFBoX9xLYOVK_C8bQ/edit?usp=sharing"",""สุราษฎร์ธานี!I492"")"),1)</f>
        <v>1</v>
      </c>
      <c r="AK88" s="202">
        <f ca="1">IFERROR(__xludf.DUMMYFUNCTION("IMPORTRANGE(""https://docs.google.com/spreadsheets/d/1vO9Sws6kMtrVtyvrAJptINXjK8TFBoX9xLYOVK_C8bQ/edit?usp=sharing"",""สุราษฎร์ธานี!J492"")"),1)</f>
        <v>1</v>
      </c>
      <c r="AL88" s="203">
        <f t="shared" ca="1" si="36"/>
        <v>100</v>
      </c>
      <c r="AM88" s="202">
        <f ca="1">IFERROR(__xludf.DUMMYFUNCTION("IMPORTRANGE(""https://docs.google.com/spreadsheets/d/1vO9Sws6kMtrVtyvrAJptINXjK8TFBoX9xLYOVK_C8bQ/edit?usp=sharing"",""สุราษฎร์ธานี!I495"")"),630)</f>
        <v>630</v>
      </c>
      <c r="AN88" s="202">
        <f ca="1">IFERROR(__xludf.DUMMYFUNCTION("IMPORTRANGE(""https://docs.google.com/spreadsheets/d/1vO9Sws6kMtrVtyvrAJptINXjK8TFBoX9xLYOVK_C8bQ/edit?usp=sharing"",""สุราษฎร์ธานี!J495"")"),0)</f>
        <v>0</v>
      </c>
      <c r="AO88" s="203">
        <f t="shared" ca="1" si="37"/>
        <v>0</v>
      </c>
      <c r="AP88" s="202">
        <f ca="1">IFERROR(__xludf.DUMMYFUNCTION("IMPORTRANGE(""https://docs.google.com/spreadsheets/d/1vO9Sws6kMtrVtyvrAJptINXjK8TFBoX9xLYOVK_C8bQ/edit?usp=sharing"",""สุราษฎร์ธานี!J496"")"),0)</f>
        <v>0</v>
      </c>
      <c r="AQ88" s="202">
        <f ca="1">IFERROR(__xludf.DUMMYFUNCTION("IMPORTRANGE(""https://docs.google.com/spreadsheets/d/1vO9Sws6kMtrVtyvrAJptINXjK8TFBoX9xLYOVK_C8bQ/edit?usp=sharing"",""สุราษฎร์ธานี!I498"")"),70)</f>
        <v>70</v>
      </c>
      <c r="AR88" s="202">
        <f ca="1">IFERROR(__xludf.DUMMYFUNCTION("IMPORTRANGE(""https://docs.google.com/spreadsheets/d/1vO9Sws6kMtrVtyvrAJptINXjK8TFBoX9xLYOVK_C8bQ/edit?usp=sharing"",""สุราษฎร์ธานี!J498"")"),0)</f>
        <v>0</v>
      </c>
      <c r="AS88" s="203">
        <f t="shared" ca="1" si="38"/>
        <v>0</v>
      </c>
      <c r="AT88" s="202">
        <f ca="1">IFERROR(__xludf.DUMMYFUNCTION("IMPORTRANGE(""https://docs.google.com/spreadsheets/d/1vO9Sws6kMtrVtyvrAJptINXjK8TFBoX9xLYOVK_C8bQ/edit?usp=sharing"",""สุราษฎร์ธานี!J499"")"),0)</f>
        <v>0</v>
      </c>
    </row>
    <row r="89" spans="1:46" ht="21" hidden="1" customHeight="1" x14ac:dyDescent="0.3">
      <c r="A89" s="341" t="s">
        <v>106</v>
      </c>
      <c r="B89" s="339"/>
      <c r="C89" s="207">
        <f>+C90+C91+C92+C93+C94+C95+C96+C97+C98+C99+C100+C101+C102+C103</f>
        <v>0</v>
      </c>
      <c r="D89" s="166"/>
      <c r="E89" s="166"/>
      <c r="F89" s="165">
        <f t="shared" si="1"/>
        <v>0</v>
      </c>
      <c r="G89" s="167">
        <f t="shared" si="2"/>
        <v>0</v>
      </c>
      <c r="H89" s="165">
        <f>+H90+H91+H92+H93+H94+H95+H96+H97+H98+H99+H100+H101+H102+H103</f>
        <v>0</v>
      </c>
      <c r="I89" s="166"/>
      <c r="J89" s="166"/>
      <c r="K89" s="166"/>
      <c r="L89" s="166"/>
      <c r="M89" s="168"/>
      <c r="N89" s="168">
        <f t="shared" si="41"/>
        <v>0</v>
      </c>
      <c r="O89" s="166"/>
      <c r="P89" s="166"/>
      <c r="Q89" s="166"/>
      <c r="R89" s="166"/>
      <c r="S89" s="166"/>
      <c r="T89" s="166"/>
      <c r="U89" s="166"/>
      <c r="V89" s="166"/>
      <c r="W89" s="170"/>
      <c r="X89" s="166"/>
      <c r="Y89" s="166"/>
      <c r="Z89" s="166"/>
      <c r="AA89" s="170"/>
      <c r="AB89" s="166"/>
      <c r="AC89" s="166"/>
      <c r="AD89" s="170"/>
      <c r="AE89" s="166"/>
      <c r="AF89" s="166"/>
      <c r="AG89" s="166"/>
      <c r="AH89" s="170"/>
      <c r="AI89" s="166"/>
      <c r="AJ89" s="166"/>
      <c r="AK89" s="166"/>
      <c r="AL89" s="170"/>
      <c r="AM89" s="166"/>
      <c r="AN89" s="166"/>
      <c r="AO89" s="170"/>
      <c r="AP89" s="166"/>
      <c r="AQ89" s="166"/>
      <c r="AR89" s="166"/>
      <c r="AS89" s="170"/>
      <c r="AT89" s="166"/>
    </row>
    <row r="90" spans="1:46" ht="24" hidden="1" customHeight="1" x14ac:dyDescent="0.3">
      <c r="A90" s="178">
        <v>1</v>
      </c>
      <c r="B90" s="179" t="s">
        <v>107</v>
      </c>
      <c r="C90" s="180">
        <f t="shared" ref="C90:C103" si="88">D90+E90</f>
        <v>0</v>
      </c>
      <c r="D90" s="181">
        <v>0</v>
      </c>
      <c r="E90" s="187">
        <v>0</v>
      </c>
      <c r="F90" s="182">
        <f t="shared" si="1"/>
        <v>0</v>
      </c>
      <c r="G90" s="183">
        <f t="shared" si="2"/>
        <v>0</v>
      </c>
      <c r="H90" s="184">
        <f t="shared" ref="H90:H103" si="89">I90+J90+K90+L90</f>
        <v>0</v>
      </c>
      <c r="I90" s="187">
        <v>0</v>
      </c>
      <c r="J90" s="187">
        <v>0</v>
      </c>
      <c r="K90" s="187">
        <v>0</v>
      </c>
      <c r="L90" s="187">
        <v>0</v>
      </c>
      <c r="M90" s="185">
        <v>0</v>
      </c>
      <c r="N90" s="185">
        <f t="shared" si="41"/>
        <v>0</v>
      </c>
      <c r="O90" s="208"/>
      <c r="P90" s="208"/>
      <c r="Q90" s="208"/>
      <c r="R90" s="208"/>
      <c r="S90" s="208"/>
      <c r="T90" s="208"/>
      <c r="U90" s="208"/>
      <c r="V90" s="208"/>
      <c r="W90" s="209"/>
      <c r="X90" s="208"/>
      <c r="Y90" s="208"/>
      <c r="Z90" s="208"/>
      <c r="AA90" s="209"/>
      <c r="AB90" s="208"/>
      <c r="AC90" s="208"/>
      <c r="AD90" s="209"/>
      <c r="AE90" s="208"/>
      <c r="AF90" s="208"/>
      <c r="AG90" s="208"/>
      <c r="AH90" s="209"/>
      <c r="AI90" s="208"/>
      <c r="AJ90" s="208"/>
      <c r="AK90" s="208"/>
      <c r="AL90" s="209"/>
      <c r="AM90" s="208"/>
      <c r="AN90" s="208"/>
      <c r="AO90" s="209"/>
      <c r="AP90" s="208"/>
      <c r="AQ90" s="208"/>
      <c r="AR90" s="208"/>
      <c r="AS90" s="209"/>
      <c r="AT90" s="208"/>
    </row>
    <row r="91" spans="1:46" ht="24" hidden="1" customHeight="1" x14ac:dyDescent="0.3">
      <c r="A91" s="178">
        <v>2</v>
      </c>
      <c r="B91" s="179" t="s">
        <v>108</v>
      </c>
      <c r="C91" s="180">
        <f t="shared" si="88"/>
        <v>0</v>
      </c>
      <c r="D91" s="181">
        <v>0</v>
      </c>
      <c r="E91" s="187">
        <v>0</v>
      </c>
      <c r="F91" s="182">
        <f t="shared" si="1"/>
        <v>0</v>
      </c>
      <c r="G91" s="183">
        <f t="shared" si="2"/>
        <v>0</v>
      </c>
      <c r="H91" s="184">
        <f t="shared" si="89"/>
        <v>0</v>
      </c>
      <c r="I91" s="187">
        <v>0</v>
      </c>
      <c r="J91" s="187">
        <v>0</v>
      </c>
      <c r="K91" s="187">
        <v>0</v>
      </c>
      <c r="L91" s="187">
        <v>0</v>
      </c>
      <c r="M91" s="185">
        <v>0</v>
      </c>
      <c r="N91" s="185">
        <f t="shared" si="41"/>
        <v>0</v>
      </c>
      <c r="O91" s="208"/>
      <c r="P91" s="208"/>
      <c r="Q91" s="208"/>
      <c r="R91" s="208"/>
      <c r="S91" s="208"/>
      <c r="T91" s="208"/>
      <c r="U91" s="208"/>
      <c r="V91" s="208"/>
      <c r="W91" s="209"/>
      <c r="X91" s="208"/>
      <c r="Y91" s="208"/>
      <c r="Z91" s="208"/>
      <c r="AA91" s="209"/>
      <c r="AB91" s="208"/>
      <c r="AC91" s="208"/>
      <c r="AD91" s="209"/>
      <c r="AE91" s="208"/>
      <c r="AF91" s="208"/>
      <c r="AG91" s="208"/>
      <c r="AH91" s="209"/>
      <c r="AI91" s="208"/>
      <c r="AJ91" s="208"/>
      <c r="AK91" s="208"/>
      <c r="AL91" s="209"/>
      <c r="AM91" s="208"/>
      <c r="AN91" s="208"/>
      <c r="AO91" s="209"/>
      <c r="AP91" s="208"/>
      <c r="AQ91" s="208"/>
      <c r="AR91" s="208"/>
      <c r="AS91" s="209"/>
      <c r="AT91" s="208"/>
    </row>
    <row r="92" spans="1:46" ht="24" hidden="1" customHeight="1" x14ac:dyDescent="0.3">
      <c r="A92" s="178">
        <v>3</v>
      </c>
      <c r="B92" s="179" t="s">
        <v>109</v>
      </c>
      <c r="C92" s="180">
        <f t="shared" si="88"/>
        <v>0</v>
      </c>
      <c r="D92" s="181">
        <v>0</v>
      </c>
      <c r="E92" s="187">
        <v>0</v>
      </c>
      <c r="F92" s="182">
        <f t="shared" si="1"/>
        <v>0</v>
      </c>
      <c r="G92" s="183">
        <f t="shared" si="2"/>
        <v>0</v>
      </c>
      <c r="H92" s="184">
        <f t="shared" si="89"/>
        <v>0</v>
      </c>
      <c r="I92" s="187">
        <v>0</v>
      </c>
      <c r="J92" s="187">
        <v>0</v>
      </c>
      <c r="K92" s="187">
        <v>0</v>
      </c>
      <c r="L92" s="187">
        <v>0</v>
      </c>
      <c r="M92" s="185">
        <v>0</v>
      </c>
      <c r="N92" s="185">
        <f t="shared" si="41"/>
        <v>0</v>
      </c>
      <c r="O92" s="208"/>
      <c r="P92" s="208"/>
      <c r="Q92" s="208"/>
      <c r="R92" s="208"/>
      <c r="S92" s="208"/>
      <c r="T92" s="208"/>
      <c r="U92" s="208"/>
      <c r="V92" s="208"/>
      <c r="W92" s="209"/>
      <c r="X92" s="208"/>
      <c r="Y92" s="208"/>
      <c r="Z92" s="208"/>
      <c r="AA92" s="209"/>
      <c r="AB92" s="208"/>
      <c r="AC92" s="208"/>
      <c r="AD92" s="209"/>
      <c r="AE92" s="208"/>
      <c r="AF92" s="208"/>
      <c r="AG92" s="208"/>
      <c r="AH92" s="209"/>
      <c r="AI92" s="208"/>
      <c r="AJ92" s="208"/>
      <c r="AK92" s="208"/>
      <c r="AL92" s="209"/>
      <c r="AM92" s="208"/>
      <c r="AN92" s="208"/>
      <c r="AO92" s="209"/>
      <c r="AP92" s="208"/>
      <c r="AQ92" s="208"/>
      <c r="AR92" s="208"/>
      <c r="AS92" s="209"/>
      <c r="AT92" s="208"/>
    </row>
    <row r="93" spans="1:46" ht="24" hidden="1" customHeight="1" x14ac:dyDescent="0.3">
      <c r="A93" s="178">
        <f t="shared" ref="A93:A103" si="90">+A92+1</f>
        <v>4</v>
      </c>
      <c r="B93" s="179" t="s">
        <v>110</v>
      </c>
      <c r="C93" s="180">
        <f t="shared" si="88"/>
        <v>0</v>
      </c>
      <c r="D93" s="181">
        <v>0</v>
      </c>
      <c r="E93" s="187">
        <v>0</v>
      </c>
      <c r="F93" s="182">
        <f t="shared" si="1"/>
        <v>0</v>
      </c>
      <c r="G93" s="183">
        <f t="shared" si="2"/>
        <v>0</v>
      </c>
      <c r="H93" s="184">
        <f t="shared" si="89"/>
        <v>0</v>
      </c>
      <c r="I93" s="187">
        <v>0</v>
      </c>
      <c r="J93" s="187">
        <v>0</v>
      </c>
      <c r="K93" s="187">
        <v>0</v>
      </c>
      <c r="L93" s="187">
        <v>0</v>
      </c>
      <c r="M93" s="185">
        <v>0</v>
      </c>
      <c r="N93" s="185">
        <f t="shared" si="41"/>
        <v>0</v>
      </c>
      <c r="O93" s="208"/>
      <c r="P93" s="208"/>
      <c r="Q93" s="208"/>
      <c r="R93" s="208"/>
      <c r="S93" s="208"/>
      <c r="T93" s="208"/>
      <c r="U93" s="208"/>
      <c r="V93" s="208"/>
      <c r="W93" s="209"/>
      <c r="X93" s="208"/>
      <c r="Y93" s="208"/>
      <c r="Z93" s="208"/>
      <c r="AA93" s="209"/>
      <c r="AB93" s="208"/>
      <c r="AC93" s="208"/>
      <c r="AD93" s="209"/>
      <c r="AE93" s="208"/>
      <c r="AF93" s="208"/>
      <c r="AG93" s="208"/>
      <c r="AH93" s="209"/>
      <c r="AI93" s="208"/>
      <c r="AJ93" s="208"/>
      <c r="AK93" s="208"/>
      <c r="AL93" s="209"/>
      <c r="AM93" s="208"/>
      <c r="AN93" s="208"/>
      <c r="AO93" s="209"/>
      <c r="AP93" s="208"/>
      <c r="AQ93" s="208"/>
      <c r="AR93" s="208"/>
      <c r="AS93" s="209"/>
      <c r="AT93" s="208"/>
    </row>
    <row r="94" spans="1:46" ht="24" hidden="1" customHeight="1" x14ac:dyDescent="0.3">
      <c r="A94" s="178">
        <f t="shared" si="90"/>
        <v>5</v>
      </c>
      <c r="B94" s="179" t="s">
        <v>111</v>
      </c>
      <c r="C94" s="180">
        <f t="shared" si="88"/>
        <v>0</v>
      </c>
      <c r="D94" s="181">
        <v>0</v>
      </c>
      <c r="E94" s="187">
        <v>0</v>
      </c>
      <c r="F94" s="182">
        <f t="shared" si="1"/>
        <v>0</v>
      </c>
      <c r="G94" s="183">
        <f t="shared" si="2"/>
        <v>0</v>
      </c>
      <c r="H94" s="184">
        <f t="shared" si="89"/>
        <v>0</v>
      </c>
      <c r="I94" s="187">
        <v>0</v>
      </c>
      <c r="J94" s="187">
        <v>0</v>
      </c>
      <c r="K94" s="187">
        <v>0</v>
      </c>
      <c r="L94" s="187">
        <v>0</v>
      </c>
      <c r="M94" s="185">
        <v>0</v>
      </c>
      <c r="N94" s="185">
        <f t="shared" si="41"/>
        <v>0</v>
      </c>
      <c r="O94" s="208"/>
      <c r="P94" s="208"/>
      <c r="Q94" s="208"/>
      <c r="R94" s="208"/>
      <c r="S94" s="208"/>
      <c r="T94" s="208"/>
      <c r="U94" s="208"/>
      <c r="V94" s="208"/>
      <c r="W94" s="209"/>
      <c r="X94" s="208"/>
      <c r="Y94" s="208"/>
      <c r="Z94" s="208"/>
      <c r="AA94" s="209"/>
      <c r="AB94" s="208"/>
      <c r="AC94" s="208"/>
      <c r="AD94" s="209"/>
      <c r="AE94" s="208"/>
      <c r="AF94" s="208"/>
      <c r="AG94" s="208"/>
      <c r="AH94" s="209"/>
      <c r="AI94" s="208"/>
      <c r="AJ94" s="208"/>
      <c r="AK94" s="208"/>
      <c r="AL94" s="209"/>
      <c r="AM94" s="208"/>
      <c r="AN94" s="208"/>
      <c r="AO94" s="209"/>
      <c r="AP94" s="208"/>
      <c r="AQ94" s="208"/>
      <c r="AR94" s="208"/>
      <c r="AS94" s="209"/>
      <c r="AT94" s="208"/>
    </row>
    <row r="95" spans="1:46" ht="24" hidden="1" customHeight="1" x14ac:dyDescent="0.3">
      <c r="A95" s="178">
        <f t="shared" si="90"/>
        <v>6</v>
      </c>
      <c r="B95" s="179" t="s">
        <v>112</v>
      </c>
      <c r="C95" s="180">
        <f t="shared" si="88"/>
        <v>0</v>
      </c>
      <c r="D95" s="181">
        <v>0</v>
      </c>
      <c r="E95" s="187">
        <v>0</v>
      </c>
      <c r="F95" s="182">
        <f t="shared" si="1"/>
        <v>0</v>
      </c>
      <c r="G95" s="183">
        <f t="shared" si="2"/>
        <v>0</v>
      </c>
      <c r="H95" s="184">
        <f t="shared" si="89"/>
        <v>0</v>
      </c>
      <c r="I95" s="187">
        <v>0</v>
      </c>
      <c r="J95" s="187">
        <v>0</v>
      </c>
      <c r="K95" s="187">
        <v>0</v>
      </c>
      <c r="L95" s="187">
        <v>0</v>
      </c>
      <c r="M95" s="185">
        <v>0</v>
      </c>
      <c r="N95" s="185">
        <f t="shared" si="41"/>
        <v>0</v>
      </c>
      <c r="O95" s="208"/>
      <c r="P95" s="208"/>
      <c r="Q95" s="208"/>
      <c r="R95" s="208"/>
      <c r="S95" s="208"/>
      <c r="T95" s="208"/>
      <c r="U95" s="208"/>
      <c r="V95" s="208"/>
      <c r="W95" s="209"/>
      <c r="X95" s="208"/>
      <c r="Y95" s="208"/>
      <c r="Z95" s="208"/>
      <c r="AA95" s="209"/>
      <c r="AB95" s="208"/>
      <c r="AC95" s="208"/>
      <c r="AD95" s="209"/>
      <c r="AE95" s="208"/>
      <c r="AF95" s="208"/>
      <c r="AG95" s="208"/>
      <c r="AH95" s="209"/>
      <c r="AI95" s="208"/>
      <c r="AJ95" s="208"/>
      <c r="AK95" s="208"/>
      <c r="AL95" s="209"/>
      <c r="AM95" s="208"/>
      <c r="AN95" s="208"/>
      <c r="AO95" s="209"/>
      <c r="AP95" s="208"/>
      <c r="AQ95" s="208"/>
      <c r="AR95" s="208"/>
      <c r="AS95" s="209"/>
      <c r="AT95" s="208"/>
    </row>
    <row r="96" spans="1:46" ht="24" hidden="1" customHeight="1" x14ac:dyDescent="0.3">
      <c r="A96" s="178">
        <f t="shared" si="90"/>
        <v>7</v>
      </c>
      <c r="B96" s="179" t="s">
        <v>113</v>
      </c>
      <c r="C96" s="180">
        <f t="shared" si="88"/>
        <v>0</v>
      </c>
      <c r="D96" s="181">
        <v>0</v>
      </c>
      <c r="E96" s="187">
        <v>0</v>
      </c>
      <c r="F96" s="182">
        <f t="shared" si="1"/>
        <v>0</v>
      </c>
      <c r="G96" s="183">
        <f t="shared" si="2"/>
        <v>0</v>
      </c>
      <c r="H96" s="184">
        <f t="shared" si="89"/>
        <v>0</v>
      </c>
      <c r="I96" s="187">
        <v>0</v>
      </c>
      <c r="J96" s="187">
        <v>0</v>
      </c>
      <c r="K96" s="187">
        <v>0</v>
      </c>
      <c r="L96" s="187">
        <v>0</v>
      </c>
      <c r="M96" s="185">
        <v>0</v>
      </c>
      <c r="N96" s="185">
        <f t="shared" si="41"/>
        <v>0</v>
      </c>
      <c r="O96" s="208"/>
      <c r="P96" s="208"/>
      <c r="Q96" s="208"/>
      <c r="R96" s="208"/>
      <c r="S96" s="208"/>
      <c r="T96" s="208"/>
      <c r="U96" s="208"/>
      <c r="V96" s="208"/>
      <c r="W96" s="209"/>
      <c r="X96" s="208"/>
      <c r="Y96" s="208"/>
      <c r="Z96" s="208"/>
      <c r="AA96" s="209"/>
      <c r="AB96" s="208"/>
      <c r="AC96" s="208"/>
      <c r="AD96" s="209"/>
      <c r="AE96" s="208"/>
      <c r="AF96" s="208"/>
      <c r="AG96" s="208"/>
      <c r="AH96" s="209"/>
      <c r="AI96" s="208"/>
      <c r="AJ96" s="208"/>
      <c r="AK96" s="208"/>
      <c r="AL96" s="209"/>
      <c r="AM96" s="208"/>
      <c r="AN96" s="208"/>
      <c r="AO96" s="209"/>
      <c r="AP96" s="208"/>
      <c r="AQ96" s="208"/>
      <c r="AR96" s="208"/>
      <c r="AS96" s="209"/>
      <c r="AT96" s="208"/>
    </row>
    <row r="97" spans="1:46" ht="24" hidden="1" customHeight="1" x14ac:dyDescent="0.3">
      <c r="A97" s="178">
        <f t="shared" si="90"/>
        <v>8</v>
      </c>
      <c r="B97" s="179" t="s">
        <v>114</v>
      </c>
      <c r="C97" s="180">
        <f t="shared" si="88"/>
        <v>0</v>
      </c>
      <c r="D97" s="181">
        <v>0</v>
      </c>
      <c r="E97" s="187">
        <v>0</v>
      </c>
      <c r="F97" s="182">
        <f t="shared" si="1"/>
        <v>0</v>
      </c>
      <c r="G97" s="183">
        <f t="shared" si="2"/>
        <v>0</v>
      </c>
      <c r="H97" s="184">
        <f t="shared" si="89"/>
        <v>0</v>
      </c>
      <c r="I97" s="187">
        <v>0</v>
      </c>
      <c r="J97" s="187">
        <v>0</v>
      </c>
      <c r="K97" s="187">
        <v>0</v>
      </c>
      <c r="L97" s="187">
        <v>0</v>
      </c>
      <c r="M97" s="185">
        <v>0</v>
      </c>
      <c r="N97" s="185">
        <f t="shared" si="41"/>
        <v>0</v>
      </c>
      <c r="O97" s="208"/>
      <c r="P97" s="208"/>
      <c r="Q97" s="208"/>
      <c r="R97" s="208"/>
      <c r="S97" s="208"/>
      <c r="T97" s="208"/>
      <c r="U97" s="208"/>
      <c r="V97" s="208"/>
      <c r="W97" s="209"/>
      <c r="X97" s="208"/>
      <c r="Y97" s="208"/>
      <c r="Z97" s="208"/>
      <c r="AA97" s="209"/>
      <c r="AB97" s="208"/>
      <c r="AC97" s="208"/>
      <c r="AD97" s="209"/>
      <c r="AE97" s="208"/>
      <c r="AF97" s="208"/>
      <c r="AG97" s="208"/>
      <c r="AH97" s="209"/>
      <c r="AI97" s="208"/>
      <c r="AJ97" s="208"/>
      <c r="AK97" s="208"/>
      <c r="AL97" s="209"/>
      <c r="AM97" s="208"/>
      <c r="AN97" s="208"/>
      <c r="AO97" s="209"/>
      <c r="AP97" s="208"/>
      <c r="AQ97" s="208"/>
      <c r="AR97" s="208"/>
      <c r="AS97" s="209"/>
      <c r="AT97" s="208"/>
    </row>
    <row r="98" spans="1:46" ht="24" hidden="1" customHeight="1" x14ac:dyDescent="0.3">
      <c r="A98" s="178">
        <f t="shared" si="90"/>
        <v>9</v>
      </c>
      <c r="B98" s="179" t="s">
        <v>115</v>
      </c>
      <c r="C98" s="180">
        <f t="shared" si="88"/>
        <v>0</v>
      </c>
      <c r="D98" s="181">
        <v>0</v>
      </c>
      <c r="E98" s="187">
        <v>0</v>
      </c>
      <c r="F98" s="182">
        <f t="shared" si="1"/>
        <v>0</v>
      </c>
      <c r="G98" s="183">
        <f t="shared" si="2"/>
        <v>0</v>
      </c>
      <c r="H98" s="184">
        <f t="shared" si="89"/>
        <v>0</v>
      </c>
      <c r="I98" s="187">
        <v>0</v>
      </c>
      <c r="J98" s="187">
        <v>0</v>
      </c>
      <c r="K98" s="187">
        <v>0</v>
      </c>
      <c r="L98" s="187">
        <v>0</v>
      </c>
      <c r="M98" s="185">
        <v>0</v>
      </c>
      <c r="N98" s="185">
        <f t="shared" si="41"/>
        <v>0</v>
      </c>
      <c r="O98" s="208"/>
      <c r="P98" s="208"/>
      <c r="Q98" s="208"/>
      <c r="R98" s="208"/>
      <c r="S98" s="208"/>
      <c r="T98" s="208"/>
      <c r="U98" s="208"/>
      <c r="V98" s="208"/>
      <c r="W98" s="209"/>
      <c r="X98" s="208"/>
      <c r="Y98" s="208"/>
      <c r="Z98" s="208"/>
      <c r="AA98" s="209"/>
      <c r="AB98" s="208"/>
      <c r="AC98" s="208"/>
      <c r="AD98" s="209"/>
      <c r="AE98" s="208"/>
      <c r="AF98" s="208"/>
      <c r="AG98" s="208"/>
      <c r="AH98" s="209"/>
      <c r="AI98" s="208"/>
      <c r="AJ98" s="208"/>
      <c r="AK98" s="208"/>
      <c r="AL98" s="209"/>
      <c r="AM98" s="208"/>
      <c r="AN98" s="208"/>
      <c r="AO98" s="209"/>
      <c r="AP98" s="208"/>
      <c r="AQ98" s="208"/>
      <c r="AR98" s="208"/>
      <c r="AS98" s="209"/>
      <c r="AT98" s="208"/>
    </row>
    <row r="99" spans="1:46" ht="24" hidden="1" customHeight="1" x14ac:dyDescent="0.3">
      <c r="A99" s="178">
        <f t="shared" si="90"/>
        <v>10</v>
      </c>
      <c r="B99" s="179" t="s">
        <v>116</v>
      </c>
      <c r="C99" s="180">
        <f t="shared" si="88"/>
        <v>0</v>
      </c>
      <c r="D99" s="181">
        <v>0</v>
      </c>
      <c r="E99" s="187">
        <v>0</v>
      </c>
      <c r="F99" s="182">
        <f t="shared" si="1"/>
        <v>0</v>
      </c>
      <c r="G99" s="183">
        <f t="shared" si="2"/>
        <v>0</v>
      </c>
      <c r="H99" s="184">
        <f t="shared" si="89"/>
        <v>0</v>
      </c>
      <c r="I99" s="187">
        <v>0</v>
      </c>
      <c r="J99" s="187">
        <v>0</v>
      </c>
      <c r="K99" s="187">
        <v>0</v>
      </c>
      <c r="L99" s="187">
        <v>0</v>
      </c>
      <c r="M99" s="185">
        <v>0</v>
      </c>
      <c r="N99" s="185">
        <f t="shared" si="41"/>
        <v>0</v>
      </c>
      <c r="O99" s="208"/>
      <c r="P99" s="208"/>
      <c r="Q99" s="208"/>
      <c r="R99" s="208"/>
      <c r="S99" s="208"/>
      <c r="T99" s="208"/>
      <c r="U99" s="208"/>
      <c r="V99" s="208"/>
      <c r="W99" s="209"/>
      <c r="X99" s="208"/>
      <c r="Y99" s="208"/>
      <c r="Z99" s="208"/>
      <c r="AA99" s="209"/>
      <c r="AB99" s="208"/>
      <c r="AC99" s="208"/>
      <c r="AD99" s="209"/>
      <c r="AE99" s="208"/>
      <c r="AF99" s="208"/>
      <c r="AG99" s="208"/>
      <c r="AH99" s="209"/>
      <c r="AI99" s="208"/>
      <c r="AJ99" s="208"/>
      <c r="AK99" s="208"/>
      <c r="AL99" s="209"/>
      <c r="AM99" s="208"/>
      <c r="AN99" s="208"/>
      <c r="AO99" s="209"/>
      <c r="AP99" s="208"/>
      <c r="AQ99" s="208"/>
      <c r="AR99" s="208"/>
      <c r="AS99" s="209"/>
      <c r="AT99" s="208"/>
    </row>
    <row r="100" spans="1:46" ht="24" hidden="1" customHeight="1" x14ac:dyDescent="0.3">
      <c r="A100" s="178">
        <f t="shared" si="90"/>
        <v>11</v>
      </c>
      <c r="B100" s="179" t="s">
        <v>117</v>
      </c>
      <c r="C100" s="180">
        <f t="shared" si="88"/>
        <v>0</v>
      </c>
      <c r="D100" s="181">
        <v>0</v>
      </c>
      <c r="E100" s="187">
        <v>0</v>
      </c>
      <c r="F100" s="182">
        <f t="shared" si="1"/>
        <v>0</v>
      </c>
      <c r="G100" s="183">
        <f t="shared" si="2"/>
        <v>0</v>
      </c>
      <c r="H100" s="184">
        <f t="shared" si="89"/>
        <v>0</v>
      </c>
      <c r="I100" s="187">
        <v>0</v>
      </c>
      <c r="J100" s="187">
        <v>0</v>
      </c>
      <c r="K100" s="187">
        <v>0</v>
      </c>
      <c r="L100" s="187">
        <v>0</v>
      </c>
      <c r="M100" s="185">
        <v>0</v>
      </c>
      <c r="N100" s="185">
        <f t="shared" si="41"/>
        <v>0</v>
      </c>
      <c r="O100" s="208"/>
      <c r="P100" s="208"/>
      <c r="Q100" s="208"/>
      <c r="R100" s="208"/>
      <c r="S100" s="208"/>
      <c r="T100" s="208"/>
      <c r="U100" s="208"/>
      <c r="V100" s="208"/>
      <c r="W100" s="209"/>
      <c r="X100" s="208"/>
      <c r="Y100" s="208"/>
      <c r="Z100" s="208"/>
      <c r="AA100" s="209"/>
      <c r="AB100" s="208"/>
      <c r="AC100" s="208"/>
      <c r="AD100" s="209"/>
      <c r="AE100" s="208"/>
      <c r="AF100" s="208"/>
      <c r="AG100" s="208"/>
      <c r="AH100" s="209"/>
      <c r="AI100" s="208"/>
      <c r="AJ100" s="208"/>
      <c r="AK100" s="208"/>
      <c r="AL100" s="209"/>
      <c r="AM100" s="208"/>
      <c r="AN100" s="208"/>
      <c r="AO100" s="209"/>
      <c r="AP100" s="208"/>
      <c r="AQ100" s="208"/>
      <c r="AR100" s="208"/>
      <c r="AS100" s="209"/>
      <c r="AT100" s="208"/>
    </row>
    <row r="101" spans="1:46" ht="24" hidden="1" customHeight="1" x14ac:dyDescent="0.3">
      <c r="A101" s="178">
        <f t="shared" si="90"/>
        <v>12</v>
      </c>
      <c r="B101" s="179" t="s">
        <v>118</v>
      </c>
      <c r="C101" s="180">
        <f t="shared" si="88"/>
        <v>0</v>
      </c>
      <c r="D101" s="181">
        <v>0</v>
      </c>
      <c r="E101" s="187">
        <v>0</v>
      </c>
      <c r="F101" s="182">
        <f t="shared" si="1"/>
        <v>0</v>
      </c>
      <c r="G101" s="183">
        <f t="shared" si="2"/>
        <v>0</v>
      </c>
      <c r="H101" s="184">
        <f t="shared" si="89"/>
        <v>0</v>
      </c>
      <c r="I101" s="187">
        <v>0</v>
      </c>
      <c r="J101" s="187">
        <v>0</v>
      </c>
      <c r="K101" s="187">
        <v>0</v>
      </c>
      <c r="L101" s="187">
        <v>0</v>
      </c>
      <c r="M101" s="185">
        <v>0</v>
      </c>
      <c r="N101" s="185">
        <f t="shared" si="41"/>
        <v>0</v>
      </c>
      <c r="O101" s="208"/>
      <c r="P101" s="208"/>
      <c r="Q101" s="208"/>
      <c r="R101" s="208"/>
      <c r="S101" s="208"/>
      <c r="T101" s="208"/>
      <c r="U101" s="208"/>
      <c r="V101" s="208"/>
      <c r="W101" s="209"/>
      <c r="X101" s="208"/>
      <c r="Y101" s="208"/>
      <c r="Z101" s="208"/>
      <c r="AA101" s="209"/>
      <c r="AB101" s="208"/>
      <c r="AC101" s="208"/>
      <c r="AD101" s="209"/>
      <c r="AE101" s="208"/>
      <c r="AF101" s="208"/>
      <c r="AG101" s="208"/>
      <c r="AH101" s="209"/>
      <c r="AI101" s="208"/>
      <c r="AJ101" s="208"/>
      <c r="AK101" s="208"/>
      <c r="AL101" s="209"/>
      <c r="AM101" s="208"/>
      <c r="AN101" s="208"/>
      <c r="AO101" s="209"/>
      <c r="AP101" s="208"/>
      <c r="AQ101" s="208"/>
      <c r="AR101" s="208"/>
      <c r="AS101" s="209"/>
      <c r="AT101" s="208"/>
    </row>
    <row r="102" spans="1:46" ht="24" hidden="1" customHeight="1" x14ac:dyDescent="0.3">
      <c r="A102" s="178">
        <f t="shared" si="90"/>
        <v>13</v>
      </c>
      <c r="B102" s="179" t="s">
        <v>119</v>
      </c>
      <c r="C102" s="180">
        <f t="shared" si="88"/>
        <v>0</v>
      </c>
      <c r="D102" s="181">
        <v>0</v>
      </c>
      <c r="E102" s="187">
        <v>0</v>
      </c>
      <c r="F102" s="182">
        <f t="shared" si="1"/>
        <v>0</v>
      </c>
      <c r="G102" s="183">
        <f t="shared" si="2"/>
        <v>0</v>
      </c>
      <c r="H102" s="184">
        <f t="shared" si="89"/>
        <v>0</v>
      </c>
      <c r="I102" s="187">
        <v>0</v>
      </c>
      <c r="J102" s="187">
        <v>0</v>
      </c>
      <c r="K102" s="187">
        <v>0</v>
      </c>
      <c r="L102" s="187">
        <v>0</v>
      </c>
      <c r="M102" s="185">
        <v>0</v>
      </c>
      <c r="N102" s="185">
        <f t="shared" si="41"/>
        <v>0</v>
      </c>
      <c r="O102" s="208"/>
      <c r="P102" s="208"/>
      <c r="Q102" s="208"/>
      <c r="R102" s="208"/>
      <c r="S102" s="208"/>
      <c r="T102" s="208"/>
      <c r="U102" s="208"/>
      <c r="V102" s="208"/>
      <c r="W102" s="209"/>
      <c r="X102" s="208"/>
      <c r="Y102" s="208"/>
      <c r="Z102" s="208"/>
      <c r="AA102" s="209"/>
      <c r="AB102" s="208"/>
      <c r="AC102" s="208"/>
      <c r="AD102" s="209"/>
      <c r="AE102" s="208"/>
      <c r="AF102" s="208"/>
      <c r="AG102" s="208"/>
      <c r="AH102" s="209"/>
      <c r="AI102" s="208"/>
      <c r="AJ102" s="208"/>
      <c r="AK102" s="208"/>
      <c r="AL102" s="209"/>
      <c r="AM102" s="208"/>
      <c r="AN102" s="208"/>
      <c r="AO102" s="209"/>
      <c r="AP102" s="208"/>
      <c r="AQ102" s="208"/>
      <c r="AR102" s="208"/>
      <c r="AS102" s="209"/>
      <c r="AT102" s="208"/>
    </row>
    <row r="103" spans="1:46" ht="24" hidden="1" customHeight="1" x14ac:dyDescent="0.3">
      <c r="A103" s="192">
        <f t="shared" si="90"/>
        <v>14</v>
      </c>
      <c r="B103" s="193" t="s">
        <v>120</v>
      </c>
      <c r="C103" s="204">
        <f t="shared" si="88"/>
        <v>0</v>
      </c>
      <c r="D103" s="202">
        <v>0</v>
      </c>
      <c r="E103" s="200">
        <v>0</v>
      </c>
      <c r="F103" s="197">
        <f t="shared" si="1"/>
        <v>0</v>
      </c>
      <c r="G103" s="205">
        <f t="shared" si="2"/>
        <v>0</v>
      </c>
      <c r="H103" s="199">
        <f t="shared" si="89"/>
        <v>0</v>
      </c>
      <c r="I103" s="200">
        <v>0</v>
      </c>
      <c r="J103" s="200">
        <v>0</v>
      </c>
      <c r="K103" s="200">
        <v>0</v>
      </c>
      <c r="L103" s="200">
        <v>0</v>
      </c>
      <c r="M103" s="201">
        <v>0</v>
      </c>
      <c r="N103" s="201">
        <f t="shared" si="41"/>
        <v>0</v>
      </c>
      <c r="O103" s="210"/>
      <c r="P103" s="210"/>
      <c r="Q103" s="210"/>
      <c r="R103" s="210"/>
      <c r="S103" s="210"/>
      <c r="T103" s="210"/>
      <c r="U103" s="210"/>
      <c r="V103" s="210"/>
      <c r="W103" s="211"/>
      <c r="X103" s="210"/>
      <c r="Y103" s="210"/>
      <c r="Z103" s="210"/>
      <c r="AA103" s="211"/>
      <c r="AB103" s="210"/>
      <c r="AC103" s="210"/>
      <c r="AD103" s="211"/>
      <c r="AE103" s="210"/>
      <c r="AF103" s="210"/>
      <c r="AG103" s="210"/>
      <c r="AH103" s="211"/>
      <c r="AI103" s="210"/>
      <c r="AJ103" s="210"/>
      <c r="AK103" s="210"/>
      <c r="AL103" s="211"/>
      <c r="AM103" s="210"/>
      <c r="AN103" s="210"/>
      <c r="AO103" s="211"/>
      <c r="AP103" s="210"/>
      <c r="AQ103" s="210"/>
      <c r="AR103" s="210"/>
      <c r="AS103" s="211"/>
      <c r="AT103" s="210"/>
    </row>
    <row r="104" spans="1:46" ht="21" hidden="1" customHeight="1" x14ac:dyDescent="0.3">
      <c r="A104" s="341" t="s">
        <v>121</v>
      </c>
      <c r="B104" s="339"/>
      <c r="C104" s="207">
        <f>SUM(C105:C116)</f>
        <v>0</v>
      </c>
      <c r="D104" s="166"/>
      <c r="E104" s="166"/>
      <c r="F104" s="165">
        <f t="shared" si="1"/>
        <v>0</v>
      </c>
      <c r="G104" s="167">
        <f t="shared" si="2"/>
        <v>0</v>
      </c>
      <c r="H104" s="165">
        <f>SUM(H105:H116)</f>
        <v>0</v>
      </c>
      <c r="I104" s="166"/>
      <c r="J104" s="166"/>
      <c r="K104" s="166"/>
      <c r="L104" s="166"/>
      <c r="M104" s="166"/>
      <c r="N104" s="165">
        <f t="shared" si="41"/>
        <v>0</v>
      </c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</row>
    <row r="105" spans="1:46" ht="24" hidden="1" customHeight="1" x14ac:dyDescent="0.3">
      <c r="A105" s="178">
        <v>1</v>
      </c>
      <c r="B105" s="212" t="s">
        <v>122</v>
      </c>
      <c r="C105" s="180">
        <f t="shared" ref="C105:C116" si="91">D105+E105</f>
        <v>0</v>
      </c>
      <c r="D105" s="181">
        <v>0</v>
      </c>
      <c r="E105" s="187">
        <v>0</v>
      </c>
      <c r="F105" s="182">
        <f t="shared" si="1"/>
        <v>0</v>
      </c>
      <c r="G105" s="183">
        <f t="shared" si="2"/>
        <v>0</v>
      </c>
      <c r="H105" s="184">
        <f t="shared" ref="H105:H116" si="92">I105+J105+K105+L105</f>
        <v>0</v>
      </c>
      <c r="I105" s="187">
        <v>0</v>
      </c>
      <c r="J105" s="187">
        <v>0</v>
      </c>
      <c r="K105" s="187">
        <v>0</v>
      </c>
      <c r="L105" s="187">
        <v>0</v>
      </c>
      <c r="M105" s="185">
        <v>0</v>
      </c>
      <c r="N105" s="185">
        <f t="shared" si="41"/>
        <v>0</v>
      </c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</row>
    <row r="106" spans="1:46" ht="24" hidden="1" customHeight="1" x14ac:dyDescent="0.3">
      <c r="A106" s="178">
        <v>2</v>
      </c>
      <c r="B106" s="212" t="s">
        <v>123</v>
      </c>
      <c r="C106" s="180">
        <f t="shared" si="91"/>
        <v>0</v>
      </c>
      <c r="D106" s="181">
        <v>0</v>
      </c>
      <c r="E106" s="187">
        <v>0</v>
      </c>
      <c r="F106" s="182">
        <f t="shared" si="1"/>
        <v>0</v>
      </c>
      <c r="G106" s="183">
        <f t="shared" si="2"/>
        <v>0</v>
      </c>
      <c r="H106" s="184">
        <f t="shared" si="92"/>
        <v>0</v>
      </c>
      <c r="I106" s="187">
        <v>0</v>
      </c>
      <c r="J106" s="187">
        <v>0</v>
      </c>
      <c r="K106" s="187">
        <v>0</v>
      </c>
      <c r="L106" s="187">
        <v>0</v>
      </c>
      <c r="M106" s="185">
        <v>0</v>
      </c>
      <c r="N106" s="185">
        <f t="shared" si="41"/>
        <v>0</v>
      </c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</row>
    <row r="107" spans="1:46" ht="24" hidden="1" customHeight="1" x14ac:dyDescent="0.3">
      <c r="A107" s="178">
        <v>3</v>
      </c>
      <c r="B107" s="212" t="s">
        <v>124</v>
      </c>
      <c r="C107" s="180">
        <f t="shared" si="91"/>
        <v>0</v>
      </c>
      <c r="D107" s="181">
        <v>0</v>
      </c>
      <c r="E107" s="187">
        <v>0</v>
      </c>
      <c r="F107" s="182">
        <f t="shared" si="1"/>
        <v>0</v>
      </c>
      <c r="G107" s="183">
        <f t="shared" si="2"/>
        <v>0</v>
      </c>
      <c r="H107" s="184">
        <f t="shared" si="92"/>
        <v>0</v>
      </c>
      <c r="I107" s="187">
        <v>0</v>
      </c>
      <c r="J107" s="187">
        <v>0</v>
      </c>
      <c r="K107" s="187">
        <v>0</v>
      </c>
      <c r="L107" s="187">
        <v>0</v>
      </c>
      <c r="M107" s="185">
        <v>0</v>
      </c>
      <c r="N107" s="185">
        <f t="shared" si="41"/>
        <v>0</v>
      </c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</row>
    <row r="108" spans="1:46" ht="24" hidden="1" customHeight="1" x14ac:dyDescent="0.3">
      <c r="A108" s="213">
        <v>4</v>
      </c>
      <c r="B108" s="212" t="s">
        <v>125</v>
      </c>
      <c r="C108" s="180">
        <f t="shared" si="91"/>
        <v>0</v>
      </c>
      <c r="D108" s="181">
        <v>0</v>
      </c>
      <c r="E108" s="187">
        <v>0</v>
      </c>
      <c r="F108" s="182">
        <f t="shared" si="1"/>
        <v>0</v>
      </c>
      <c r="G108" s="183">
        <f t="shared" si="2"/>
        <v>0</v>
      </c>
      <c r="H108" s="184">
        <f t="shared" si="92"/>
        <v>0</v>
      </c>
      <c r="I108" s="187">
        <v>0</v>
      </c>
      <c r="J108" s="187">
        <v>0</v>
      </c>
      <c r="K108" s="187">
        <v>0</v>
      </c>
      <c r="L108" s="187">
        <v>0</v>
      </c>
      <c r="M108" s="185">
        <v>0</v>
      </c>
      <c r="N108" s="185">
        <f t="shared" si="41"/>
        <v>0</v>
      </c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</row>
    <row r="109" spans="1:46" ht="24" hidden="1" customHeight="1" x14ac:dyDescent="0.3">
      <c r="A109" s="213">
        <v>5</v>
      </c>
      <c r="B109" s="212" t="s">
        <v>126</v>
      </c>
      <c r="C109" s="180">
        <f t="shared" si="91"/>
        <v>0</v>
      </c>
      <c r="D109" s="181">
        <v>0</v>
      </c>
      <c r="E109" s="187">
        <v>0</v>
      </c>
      <c r="F109" s="182">
        <f t="shared" si="1"/>
        <v>0</v>
      </c>
      <c r="G109" s="183">
        <f t="shared" si="2"/>
        <v>0</v>
      </c>
      <c r="H109" s="184">
        <f t="shared" si="92"/>
        <v>0</v>
      </c>
      <c r="I109" s="187">
        <v>0</v>
      </c>
      <c r="J109" s="187">
        <v>0</v>
      </c>
      <c r="K109" s="187">
        <v>0</v>
      </c>
      <c r="L109" s="187">
        <v>0</v>
      </c>
      <c r="M109" s="185">
        <v>0</v>
      </c>
      <c r="N109" s="185">
        <f t="shared" si="41"/>
        <v>0</v>
      </c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</row>
    <row r="110" spans="1:46" ht="24" hidden="1" customHeight="1" x14ac:dyDescent="0.3">
      <c r="A110" s="213">
        <v>6</v>
      </c>
      <c r="B110" s="212" t="s">
        <v>127</v>
      </c>
      <c r="C110" s="180">
        <f t="shared" si="91"/>
        <v>0</v>
      </c>
      <c r="D110" s="181">
        <v>0</v>
      </c>
      <c r="E110" s="187">
        <v>0</v>
      </c>
      <c r="F110" s="182">
        <f t="shared" si="1"/>
        <v>0</v>
      </c>
      <c r="G110" s="183">
        <f t="shared" si="2"/>
        <v>0</v>
      </c>
      <c r="H110" s="184">
        <f t="shared" si="92"/>
        <v>0</v>
      </c>
      <c r="I110" s="187">
        <v>0</v>
      </c>
      <c r="J110" s="187">
        <v>0</v>
      </c>
      <c r="K110" s="187">
        <v>0</v>
      </c>
      <c r="L110" s="187">
        <v>0</v>
      </c>
      <c r="M110" s="185">
        <v>0</v>
      </c>
      <c r="N110" s="185">
        <f t="shared" si="41"/>
        <v>0</v>
      </c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</row>
    <row r="111" spans="1:46" ht="24" hidden="1" customHeight="1" x14ac:dyDescent="0.3">
      <c r="A111" s="213">
        <v>7</v>
      </c>
      <c r="B111" s="212" t="s">
        <v>128</v>
      </c>
      <c r="C111" s="180">
        <f t="shared" si="91"/>
        <v>0</v>
      </c>
      <c r="D111" s="181">
        <v>0</v>
      </c>
      <c r="E111" s="187">
        <v>0</v>
      </c>
      <c r="F111" s="182">
        <f t="shared" si="1"/>
        <v>0</v>
      </c>
      <c r="G111" s="183">
        <f t="shared" si="2"/>
        <v>0</v>
      </c>
      <c r="H111" s="184">
        <f t="shared" si="92"/>
        <v>0</v>
      </c>
      <c r="I111" s="187">
        <v>0</v>
      </c>
      <c r="J111" s="187">
        <v>0</v>
      </c>
      <c r="K111" s="187">
        <v>0</v>
      </c>
      <c r="L111" s="187">
        <v>0</v>
      </c>
      <c r="M111" s="185">
        <v>0</v>
      </c>
      <c r="N111" s="185">
        <f t="shared" si="41"/>
        <v>0</v>
      </c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</row>
    <row r="112" spans="1:46" ht="24" hidden="1" customHeight="1" x14ac:dyDescent="0.3">
      <c r="A112" s="213">
        <v>8</v>
      </c>
      <c r="B112" s="212" t="s">
        <v>129</v>
      </c>
      <c r="C112" s="180">
        <f t="shared" si="91"/>
        <v>0</v>
      </c>
      <c r="D112" s="181">
        <v>0</v>
      </c>
      <c r="E112" s="187">
        <v>0</v>
      </c>
      <c r="F112" s="182">
        <f t="shared" si="1"/>
        <v>0</v>
      </c>
      <c r="G112" s="183">
        <f t="shared" si="2"/>
        <v>0</v>
      </c>
      <c r="H112" s="184">
        <f t="shared" si="92"/>
        <v>0</v>
      </c>
      <c r="I112" s="187">
        <v>0</v>
      </c>
      <c r="J112" s="187">
        <v>0</v>
      </c>
      <c r="K112" s="187">
        <v>0</v>
      </c>
      <c r="L112" s="187">
        <v>0</v>
      </c>
      <c r="M112" s="185">
        <v>0</v>
      </c>
      <c r="N112" s="185">
        <f t="shared" si="41"/>
        <v>0</v>
      </c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</row>
    <row r="113" spans="1:46" ht="24" hidden="1" customHeight="1" x14ac:dyDescent="0.3">
      <c r="A113" s="213">
        <v>9</v>
      </c>
      <c r="B113" s="212" t="s">
        <v>130</v>
      </c>
      <c r="C113" s="180">
        <f t="shared" si="91"/>
        <v>0</v>
      </c>
      <c r="D113" s="181">
        <v>0</v>
      </c>
      <c r="E113" s="187">
        <v>0</v>
      </c>
      <c r="F113" s="182">
        <f t="shared" si="1"/>
        <v>0</v>
      </c>
      <c r="G113" s="183">
        <f t="shared" si="2"/>
        <v>0</v>
      </c>
      <c r="H113" s="184">
        <f t="shared" si="92"/>
        <v>0</v>
      </c>
      <c r="I113" s="187">
        <v>0</v>
      </c>
      <c r="J113" s="187">
        <v>0</v>
      </c>
      <c r="K113" s="187">
        <v>0</v>
      </c>
      <c r="L113" s="187">
        <v>0</v>
      </c>
      <c r="M113" s="185">
        <v>0</v>
      </c>
      <c r="N113" s="185">
        <f t="shared" si="41"/>
        <v>0</v>
      </c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</row>
    <row r="114" spans="1:46" ht="24" hidden="1" customHeight="1" x14ac:dyDescent="0.3">
      <c r="A114" s="213">
        <v>10</v>
      </c>
      <c r="B114" s="212" t="s">
        <v>131</v>
      </c>
      <c r="C114" s="180">
        <f t="shared" si="91"/>
        <v>0</v>
      </c>
      <c r="D114" s="181">
        <v>0</v>
      </c>
      <c r="E114" s="187">
        <v>0</v>
      </c>
      <c r="F114" s="182">
        <f t="shared" si="1"/>
        <v>0</v>
      </c>
      <c r="G114" s="183">
        <f t="shared" si="2"/>
        <v>0</v>
      </c>
      <c r="H114" s="184">
        <f t="shared" si="92"/>
        <v>0</v>
      </c>
      <c r="I114" s="187">
        <v>0</v>
      </c>
      <c r="J114" s="187">
        <v>0</v>
      </c>
      <c r="K114" s="187">
        <v>0</v>
      </c>
      <c r="L114" s="187">
        <v>0</v>
      </c>
      <c r="M114" s="185">
        <v>0</v>
      </c>
      <c r="N114" s="185">
        <f t="shared" si="41"/>
        <v>0</v>
      </c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</row>
    <row r="115" spans="1:46" ht="24" hidden="1" customHeight="1" x14ac:dyDescent="0.3">
      <c r="A115" s="213">
        <v>11</v>
      </c>
      <c r="B115" s="212" t="s">
        <v>132</v>
      </c>
      <c r="C115" s="180">
        <f t="shared" si="91"/>
        <v>0</v>
      </c>
      <c r="D115" s="181">
        <v>0</v>
      </c>
      <c r="E115" s="187">
        <v>0</v>
      </c>
      <c r="F115" s="182">
        <f t="shared" si="1"/>
        <v>0</v>
      </c>
      <c r="G115" s="183">
        <f t="shared" si="2"/>
        <v>0</v>
      </c>
      <c r="H115" s="184">
        <f t="shared" si="92"/>
        <v>0</v>
      </c>
      <c r="I115" s="187">
        <v>0</v>
      </c>
      <c r="J115" s="187">
        <v>0</v>
      </c>
      <c r="K115" s="187">
        <v>0</v>
      </c>
      <c r="L115" s="187">
        <v>0</v>
      </c>
      <c r="M115" s="185">
        <v>0</v>
      </c>
      <c r="N115" s="185">
        <f t="shared" si="41"/>
        <v>0</v>
      </c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</row>
    <row r="116" spans="1:46" ht="24" hidden="1" customHeight="1" x14ac:dyDescent="0.3">
      <c r="A116" s="213">
        <v>12</v>
      </c>
      <c r="B116" s="212" t="s">
        <v>133</v>
      </c>
      <c r="C116" s="180">
        <f t="shared" si="91"/>
        <v>0</v>
      </c>
      <c r="D116" s="181">
        <v>0</v>
      </c>
      <c r="E116" s="187">
        <v>0</v>
      </c>
      <c r="F116" s="182">
        <f t="shared" si="1"/>
        <v>0</v>
      </c>
      <c r="G116" s="183">
        <f t="shared" si="2"/>
        <v>0</v>
      </c>
      <c r="H116" s="184">
        <f t="shared" si="92"/>
        <v>0</v>
      </c>
      <c r="I116" s="187">
        <v>0</v>
      </c>
      <c r="J116" s="187">
        <v>0</v>
      </c>
      <c r="K116" s="187">
        <v>0</v>
      </c>
      <c r="L116" s="187">
        <v>0</v>
      </c>
      <c r="M116" s="185">
        <v>0</v>
      </c>
      <c r="N116" s="185">
        <f t="shared" si="41"/>
        <v>0</v>
      </c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</row>
    <row r="117" spans="1:46" ht="24" customHeight="1" x14ac:dyDescent="0.2">
      <c r="A117" s="214"/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5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</row>
    <row r="118" spans="1:46" ht="24" customHeight="1" x14ac:dyDescent="0.2">
      <c r="A118" s="214"/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5"/>
      <c r="N118" s="215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</row>
    <row r="119" spans="1:46" ht="24" customHeight="1" x14ac:dyDescent="0.2">
      <c r="A119" s="214"/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5"/>
      <c r="N119" s="215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</row>
    <row r="120" spans="1:46" ht="24" customHeight="1" x14ac:dyDescent="0.2">
      <c r="A120" s="214"/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5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</row>
    <row r="121" spans="1:46" ht="24" customHeight="1" x14ac:dyDescent="0.2">
      <c r="A121" s="214"/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5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</row>
    <row r="122" spans="1:46" ht="24" customHeight="1" x14ac:dyDescent="0.2">
      <c r="A122" s="214"/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5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</row>
    <row r="123" spans="1:46" ht="24" customHeight="1" x14ac:dyDescent="0.2">
      <c r="A123" s="214"/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5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</row>
    <row r="124" spans="1:46" ht="24" customHeight="1" x14ac:dyDescent="0.2">
      <c r="A124" s="214"/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5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</row>
    <row r="125" spans="1:46" ht="24" customHeight="1" x14ac:dyDescent="0.2">
      <c r="A125" s="214"/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5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</row>
    <row r="126" spans="1:46" ht="24" customHeight="1" x14ac:dyDescent="0.2">
      <c r="A126" s="214"/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5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</row>
    <row r="127" spans="1:46" ht="24" customHeight="1" x14ac:dyDescent="0.2">
      <c r="A127" s="214"/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5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</row>
    <row r="128" spans="1:46" ht="24" customHeight="1" x14ac:dyDescent="0.2">
      <c r="A128" s="214"/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5"/>
      <c r="N128" s="215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</row>
    <row r="129" spans="1:46" ht="24" customHeight="1" x14ac:dyDescent="0.2">
      <c r="A129" s="214"/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5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</row>
    <row r="130" spans="1:46" ht="24" customHeight="1" x14ac:dyDescent="0.2">
      <c r="A130" s="214"/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5"/>
      <c r="N130" s="215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</row>
    <row r="131" spans="1:46" ht="24" customHeight="1" x14ac:dyDescent="0.2">
      <c r="A131" s="214"/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5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</row>
    <row r="132" spans="1:46" ht="24" customHeight="1" x14ac:dyDescent="0.2">
      <c r="A132" s="214"/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5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</row>
    <row r="133" spans="1:46" ht="24" customHeight="1" x14ac:dyDescent="0.2">
      <c r="A133" s="214"/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5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</row>
    <row r="134" spans="1:46" ht="24" customHeight="1" x14ac:dyDescent="0.2">
      <c r="A134" s="214"/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5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</row>
    <row r="135" spans="1:46" ht="24" customHeight="1" x14ac:dyDescent="0.2">
      <c r="A135" s="214"/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5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</row>
    <row r="136" spans="1:46" ht="24" customHeight="1" x14ac:dyDescent="0.2">
      <c r="A136" s="214"/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5"/>
      <c r="N136" s="215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</row>
    <row r="137" spans="1:46" ht="24" customHeight="1" x14ac:dyDescent="0.2">
      <c r="A137" s="214"/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5"/>
      <c r="N137" s="215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</row>
    <row r="138" spans="1:46" ht="24" customHeight="1" x14ac:dyDescent="0.2">
      <c r="A138" s="214"/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5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</row>
    <row r="139" spans="1:46" ht="24" customHeight="1" x14ac:dyDescent="0.2">
      <c r="A139" s="214"/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5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</row>
    <row r="140" spans="1:46" ht="24" customHeight="1" x14ac:dyDescent="0.2">
      <c r="A140" s="214"/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5"/>
      <c r="N140" s="215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</row>
    <row r="141" spans="1:46" ht="24" customHeight="1" x14ac:dyDescent="0.2">
      <c r="A141" s="214"/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5"/>
      <c r="N141" s="215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</row>
    <row r="142" spans="1:46" ht="24" customHeight="1" x14ac:dyDescent="0.2">
      <c r="A142" s="214"/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5"/>
      <c r="N142" s="215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</row>
    <row r="143" spans="1:46" ht="24" customHeight="1" x14ac:dyDescent="0.2">
      <c r="A143" s="214"/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5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</row>
    <row r="144" spans="1:46" ht="24" customHeight="1" x14ac:dyDescent="0.2">
      <c r="A144" s="214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5"/>
      <c r="N144" s="215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</row>
    <row r="145" spans="1:46" ht="24" customHeight="1" x14ac:dyDescent="0.2">
      <c r="A145" s="214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5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</row>
    <row r="146" spans="1:46" ht="24" customHeight="1" x14ac:dyDescent="0.2">
      <c r="A146" s="214"/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5"/>
      <c r="N146" s="215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</row>
    <row r="147" spans="1:46" ht="24" customHeight="1" x14ac:dyDescent="0.2">
      <c r="A147" s="214"/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5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</row>
    <row r="148" spans="1:46" ht="24" customHeight="1" x14ac:dyDescent="0.2">
      <c r="A148" s="214"/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5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</row>
    <row r="149" spans="1:46" ht="24" customHeight="1" x14ac:dyDescent="0.2">
      <c r="A149" s="214"/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5"/>
      <c r="N149" s="215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</row>
    <row r="150" spans="1:46" ht="24" customHeight="1" x14ac:dyDescent="0.2">
      <c r="A150" s="214"/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5"/>
      <c r="N150" s="215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</row>
    <row r="151" spans="1:46" ht="24" customHeight="1" x14ac:dyDescent="0.2">
      <c r="A151" s="214"/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5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</row>
    <row r="152" spans="1:46" ht="24" customHeight="1" x14ac:dyDescent="0.2">
      <c r="A152" s="214"/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5"/>
      <c r="N152" s="215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</row>
    <row r="153" spans="1:46" ht="24" customHeight="1" x14ac:dyDescent="0.2">
      <c r="A153" s="214"/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5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</row>
    <row r="154" spans="1:46" ht="24" customHeight="1" x14ac:dyDescent="0.2">
      <c r="A154" s="214"/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5"/>
      <c r="N154" s="215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</row>
    <row r="155" spans="1:46" ht="24" customHeight="1" x14ac:dyDescent="0.2">
      <c r="A155" s="214"/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5"/>
      <c r="N155" s="215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</row>
    <row r="156" spans="1:46" ht="24" customHeight="1" x14ac:dyDescent="0.2">
      <c r="A156" s="214"/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5"/>
      <c r="N156" s="215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</row>
    <row r="157" spans="1:46" ht="24" customHeight="1" x14ac:dyDescent="0.2">
      <c r="A157" s="214"/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5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</row>
    <row r="158" spans="1:46" ht="24" customHeight="1" x14ac:dyDescent="0.2">
      <c r="A158" s="214"/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5"/>
      <c r="N158" s="215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</row>
    <row r="159" spans="1:46" ht="24" customHeight="1" x14ac:dyDescent="0.2">
      <c r="A159" s="214"/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5"/>
      <c r="N159" s="215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</row>
    <row r="160" spans="1:46" ht="24" customHeight="1" x14ac:dyDescent="0.2">
      <c r="A160" s="214"/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5"/>
      <c r="N160" s="215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</row>
    <row r="161" spans="1:46" ht="24" customHeight="1" x14ac:dyDescent="0.2">
      <c r="A161" s="214"/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5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</row>
    <row r="162" spans="1:46" ht="24" customHeight="1" x14ac:dyDescent="0.2">
      <c r="A162" s="214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5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</row>
    <row r="163" spans="1:46" ht="24" customHeight="1" x14ac:dyDescent="0.2">
      <c r="A163" s="214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5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</row>
    <row r="164" spans="1:46" ht="24" customHeight="1" x14ac:dyDescent="0.2">
      <c r="A164" s="214"/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5"/>
      <c r="N164" s="215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</row>
    <row r="165" spans="1:46" ht="24" customHeight="1" x14ac:dyDescent="0.2">
      <c r="A165" s="214"/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5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</row>
    <row r="166" spans="1:46" ht="24" customHeight="1" x14ac:dyDescent="0.2">
      <c r="A166" s="214"/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5"/>
      <c r="N166" s="215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</row>
    <row r="167" spans="1:46" ht="24" customHeight="1" x14ac:dyDescent="0.2">
      <c r="A167" s="214"/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5"/>
      <c r="N167" s="215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</row>
    <row r="168" spans="1:46" ht="24" customHeight="1" x14ac:dyDescent="0.2">
      <c r="A168" s="214"/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5"/>
      <c r="N168" s="215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</row>
    <row r="169" spans="1:46" ht="24" customHeight="1" x14ac:dyDescent="0.2">
      <c r="A169" s="214"/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5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</row>
    <row r="170" spans="1:46" ht="24" customHeight="1" x14ac:dyDescent="0.2">
      <c r="A170" s="214"/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5"/>
      <c r="N170" s="215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</row>
    <row r="171" spans="1:46" ht="24" customHeight="1" x14ac:dyDescent="0.2">
      <c r="A171" s="214"/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5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</row>
    <row r="172" spans="1:46" ht="24" customHeight="1" x14ac:dyDescent="0.2">
      <c r="A172" s="214"/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5"/>
      <c r="N172" s="215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</row>
    <row r="173" spans="1:46" ht="24" customHeight="1" x14ac:dyDescent="0.2">
      <c r="A173" s="214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5"/>
      <c r="N173" s="215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</row>
    <row r="174" spans="1:46" ht="24" customHeight="1" x14ac:dyDescent="0.2">
      <c r="A174" s="214"/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5"/>
      <c r="N174" s="215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</row>
    <row r="175" spans="1:46" ht="24" customHeight="1" x14ac:dyDescent="0.2">
      <c r="A175" s="214"/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5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</row>
    <row r="176" spans="1:46" ht="24" customHeight="1" x14ac:dyDescent="0.2">
      <c r="A176" s="214"/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5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</row>
    <row r="177" spans="1:46" ht="24" customHeight="1" x14ac:dyDescent="0.2">
      <c r="A177" s="214"/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5"/>
      <c r="N177" s="215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</row>
    <row r="178" spans="1:46" ht="24" customHeight="1" x14ac:dyDescent="0.2">
      <c r="A178" s="214"/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5"/>
      <c r="N178" s="215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</row>
    <row r="179" spans="1:46" ht="24" customHeight="1" x14ac:dyDescent="0.2">
      <c r="A179" s="214"/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5"/>
      <c r="N179" s="215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</row>
    <row r="180" spans="1:46" ht="24" customHeight="1" x14ac:dyDescent="0.2">
      <c r="A180" s="214"/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5"/>
      <c r="N180" s="215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</row>
    <row r="181" spans="1:46" ht="24" customHeight="1" x14ac:dyDescent="0.2">
      <c r="A181" s="214"/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5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</row>
    <row r="182" spans="1:46" ht="24" customHeight="1" x14ac:dyDescent="0.2">
      <c r="A182" s="214"/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5"/>
      <c r="N182" s="215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</row>
    <row r="183" spans="1:46" ht="24" customHeight="1" x14ac:dyDescent="0.2">
      <c r="A183" s="214"/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5"/>
      <c r="N183" s="215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</row>
    <row r="184" spans="1:46" ht="24" customHeight="1" x14ac:dyDescent="0.2">
      <c r="A184" s="214"/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5"/>
      <c r="N184" s="215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</row>
    <row r="185" spans="1:46" ht="24" customHeight="1" x14ac:dyDescent="0.2">
      <c r="A185" s="214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5"/>
      <c r="N185" s="215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</row>
    <row r="186" spans="1:46" ht="24" customHeight="1" x14ac:dyDescent="0.2">
      <c r="A186" s="214"/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5"/>
      <c r="N186" s="215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</row>
    <row r="187" spans="1:46" ht="24" customHeight="1" x14ac:dyDescent="0.2">
      <c r="A187" s="214"/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5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</row>
    <row r="188" spans="1:46" ht="24" customHeight="1" x14ac:dyDescent="0.2">
      <c r="A188" s="214"/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5"/>
      <c r="N188" s="215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</row>
    <row r="189" spans="1:46" ht="24" customHeight="1" x14ac:dyDescent="0.2">
      <c r="A189" s="214"/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5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</row>
    <row r="190" spans="1:46" ht="24" customHeight="1" x14ac:dyDescent="0.2">
      <c r="A190" s="214"/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5"/>
      <c r="N190" s="215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</row>
    <row r="191" spans="1:46" ht="24" customHeight="1" x14ac:dyDescent="0.2">
      <c r="A191" s="214"/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5"/>
      <c r="N191" s="215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</row>
    <row r="192" spans="1:46" ht="24" customHeight="1" x14ac:dyDescent="0.2">
      <c r="A192" s="214"/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5"/>
      <c r="N192" s="215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</row>
    <row r="193" spans="1:46" ht="24" customHeight="1" x14ac:dyDescent="0.2">
      <c r="A193" s="214"/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5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</row>
    <row r="194" spans="1:46" ht="24" customHeight="1" x14ac:dyDescent="0.2">
      <c r="A194" s="214"/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5"/>
      <c r="N194" s="215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</row>
    <row r="195" spans="1:46" ht="24" customHeight="1" x14ac:dyDescent="0.2">
      <c r="A195" s="214"/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5"/>
      <c r="N195" s="215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</row>
    <row r="196" spans="1:46" ht="24" customHeight="1" x14ac:dyDescent="0.2">
      <c r="A196" s="214"/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5"/>
      <c r="N196" s="215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</row>
    <row r="197" spans="1:46" ht="24" customHeight="1" x14ac:dyDescent="0.2">
      <c r="A197" s="214"/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5"/>
      <c r="N197" s="215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</row>
    <row r="198" spans="1:46" ht="24" customHeight="1" x14ac:dyDescent="0.2">
      <c r="A198" s="214"/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5"/>
      <c r="N198" s="215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</row>
    <row r="199" spans="1:46" ht="24" customHeight="1" x14ac:dyDescent="0.2">
      <c r="A199" s="214"/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5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</row>
    <row r="200" spans="1:46" ht="24" customHeight="1" x14ac:dyDescent="0.2">
      <c r="A200" s="214"/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5"/>
      <c r="N200" s="215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</row>
    <row r="201" spans="1:46" ht="24" customHeight="1" x14ac:dyDescent="0.2">
      <c r="A201" s="214"/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5"/>
      <c r="N201" s="2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</row>
    <row r="202" spans="1:46" ht="24" customHeight="1" x14ac:dyDescent="0.2">
      <c r="A202" s="214"/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5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</row>
    <row r="203" spans="1:46" ht="24" customHeight="1" x14ac:dyDescent="0.2">
      <c r="A203" s="214"/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5"/>
      <c r="N203" s="215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</row>
    <row r="204" spans="1:46" ht="24" customHeight="1" x14ac:dyDescent="0.2">
      <c r="A204" s="214"/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5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</row>
    <row r="205" spans="1:46" ht="24" customHeight="1" x14ac:dyDescent="0.2">
      <c r="A205" s="214"/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5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</row>
    <row r="206" spans="1:46" ht="24" customHeight="1" x14ac:dyDescent="0.2">
      <c r="A206" s="214"/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5"/>
      <c r="N206" s="215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</row>
    <row r="207" spans="1:46" ht="24" customHeight="1" x14ac:dyDescent="0.2">
      <c r="A207" s="214"/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5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</row>
    <row r="208" spans="1:46" ht="24" customHeight="1" x14ac:dyDescent="0.2">
      <c r="A208" s="214"/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5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</row>
    <row r="209" spans="1:46" ht="24" customHeight="1" x14ac:dyDescent="0.2">
      <c r="A209" s="214"/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5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</row>
    <row r="210" spans="1:46" ht="24" customHeight="1" x14ac:dyDescent="0.2">
      <c r="A210" s="214"/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5"/>
      <c r="N210" s="215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</row>
    <row r="211" spans="1:46" ht="24" customHeight="1" x14ac:dyDescent="0.2">
      <c r="A211" s="214"/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5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</row>
    <row r="212" spans="1:46" ht="24" customHeight="1" x14ac:dyDescent="0.2">
      <c r="A212" s="214"/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5"/>
      <c r="N212" s="215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</row>
    <row r="213" spans="1:46" ht="24" customHeight="1" x14ac:dyDescent="0.2">
      <c r="A213" s="214"/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5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</row>
    <row r="214" spans="1:46" ht="24" customHeight="1" x14ac:dyDescent="0.2">
      <c r="A214" s="214"/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5"/>
      <c r="N214" s="215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</row>
    <row r="215" spans="1:46" ht="24" customHeight="1" x14ac:dyDescent="0.2">
      <c r="A215" s="214"/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5"/>
      <c r="N215" s="215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</row>
    <row r="216" spans="1:46" ht="24" customHeight="1" x14ac:dyDescent="0.2">
      <c r="A216" s="214"/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5"/>
      <c r="N216" s="215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</row>
    <row r="217" spans="1:46" ht="24" customHeight="1" x14ac:dyDescent="0.2">
      <c r="A217" s="214"/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5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</row>
    <row r="218" spans="1:46" ht="24" customHeight="1" x14ac:dyDescent="0.2">
      <c r="A218" s="214"/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5"/>
      <c r="N218" s="215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</row>
    <row r="219" spans="1:46" ht="24" customHeight="1" x14ac:dyDescent="0.2">
      <c r="A219" s="214"/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5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</row>
    <row r="220" spans="1:46" ht="24" customHeight="1" x14ac:dyDescent="0.2">
      <c r="A220" s="214"/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5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</row>
    <row r="221" spans="1:46" ht="24" customHeight="1" x14ac:dyDescent="0.2">
      <c r="A221" s="214"/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5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</row>
    <row r="222" spans="1:46" ht="24" customHeight="1" x14ac:dyDescent="0.2">
      <c r="A222" s="214"/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5"/>
      <c r="N222" s="215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</row>
    <row r="223" spans="1:46" ht="24" customHeight="1" x14ac:dyDescent="0.2">
      <c r="A223" s="214"/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5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</row>
    <row r="224" spans="1:46" ht="24" customHeight="1" x14ac:dyDescent="0.2">
      <c r="A224" s="214"/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5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</row>
    <row r="225" spans="1:46" ht="24" customHeight="1" x14ac:dyDescent="0.2">
      <c r="A225" s="214"/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5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</row>
    <row r="226" spans="1:46" ht="24" customHeight="1" x14ac:dyDescent="0.2">
      <c r="A226" s="214"/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5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</row>
    <row r="227" spans="1:46" ht="24" customHeight="1" x14ac:dyDescent="0.2">
      <c r="A227" s="214"/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5"/>
      <c r="N227" s="215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</row>
    <row r="228" spans="1:46" ht="24" customHeight="1" x14ac:dyDescent="0.2">
      <c r="A228" s="214"/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5"/>
      <c r="N228" s="215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</row>
    <row r="229" spans="1:46" ht="24" customHeight="1" x14ac:dyDescent="0.2">
      <c r="A229" s="214"/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5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</row>
    <row r="230" spans="1:46" ht="24" customHeight="1" x14ac:dyDescent="0.2">
      <c r="A230" s="214"/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5"/>
      <c r="N230" s="215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</row>
    <row r="231" spans="1:46" ht="24" customHeight="1" x14ac:dyDescent="0.2">
      <c r="A231" s="214"/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5"/>
      <c r="N231" s="215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</row>
    <row r="232" spans="1:46" ht="24" customHeight="1" x14ac:dyDescent="0.2">
      <c r="A232" s="214"/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5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</row>
    <row r="233" spans="1:46" ht="24" customHeight="1" x14ac:dyDescent="0.2">
      <c r="A233" s="214"/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5"/>
      <c r="N233" s="215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</row>
    <row r="234" spans="1:46" ht="24" customHeight="1" x14ac:dyDescent="0.2">
      <c r="A234" s="214"/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5"/>
      <c r="N234" s="215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</row>
    <row r="235" spans="1:46" ht="24" customHeight="1" x14ac:dyDescent="0.2">
      <c r="A235" s="214"/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5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</row>
    <row r="236" spans="1:46" ht="24" customHeight="1" x14ac:dyDescent="0.2">
      <c r="A236" s="214"/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5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</row>
    <row r="237" spans="1:46" ht="24" customHeight="1" x14ac:dyDescent="0.2">
      <c r="A237" s="214"/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5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</row>
    <row r="238" spans="1:46" ht="24" customHeight="1" x14ac:dyDescent="0.2">
      <c r="A238" s="214"/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5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</row>
    <row r="239" spans="1:46" ht="24" customHeight="1" x14ac:dyDescent="0.2">
      <c r="A239" s="214"/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5"/>
      <c r="N239" s="215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</row>
    <row r="240" spans="1:46" ht="24" customHeight="1" x14ac:dyDescent="0.2">
      <c r="A240" s="214"/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5"/>
      <c r="N240" s="215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</row>
    <row r="241" spans="1:46" ht="24" customHeight="1" x14ac:dyDescent="0.2">
      <c r="A241" s="214"/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5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</row>
    <row r="242" spans="1:46" ht="24" customHeight="1" x14ac:dyDescent="0.2">
      <c r="A242" s="214"/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5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</row>
    <row r="243" spans="1:46" ht="24" customHeight="1" x14ac:dyDescent="0.2">
      <c r="A243" s="214"/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5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</row>
    <row r="244" spans="1:46" ht="24" customHeight="1" x14ac:dyDescent="0.2">
      <c r="A244" s="214"/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5"/>
      <c r="N244" s="215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</row>
    <row r="245" spans="1:46" ht="24" customHeight="1" x14ac:dyDescent="0.2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5"/>
      <c r="N245" s="215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</row>
    <row r="246" spans="1:46" ht="24" customHeight="1" x14ac:dyDescent="0.2">
      <c r="A246" s="214"/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5"/>
      <c r="N246" s="215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</row>
    <row r="247" spans="1:46" ht="24" customHeight="1" x14ac:dyDescent="0.2">
      <c r="A247" s="214"/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5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</row>
    <row r="248" spans="1:46" ht="24" customHeight="1" x14ac:dyDescent="0.2">
      <c r="A248" s="214"/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5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</row>
    <row r="249" spans="1:46" ht="24" customHeight="1" x14ac:dyDescent="0.2">
      <c r="A249" s="214"/>
      <c r="B249" s="214"/>
      <c r="C249" s="214"/>
      <c r="D249" s="214"/>
      <c r="E249" s="214"/>
      <c r="F249" s="214"/>
      <c r="G249" s="214"/>
      <c r="H249" s="214"/>
      <c r="I249" s="214"/>
      <c r="J249" s="214"/>
      <c r="K249" s="214"/>
      <c r="L249" s="214"/>
      <c r="M249" s="215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</row>
    <row r="250" spans="1:46" ht="24" customHeight="1" x14ac:dyDescent="0.2">
      <c r="A250" s="214"/>
      <c r="B250" s="214"/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5"/>
      <c r="N250" s="215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</row>
    <row r="251" spans="1:46" ht="24" customHeight="1" x14ac:dyDescent="0.2">
      <c r="A251" s="214"/>
      <c r="B251" s="214"/>
      <c r="C251" s="214"/>
      <c r="D251" s="214"/>
      <c r="E251" s="214"/>
      <c r="F251" s="214"/>
      <c r="G251" s="214"/>
      <c r="H251" s="214"/>
      <c r="I251" s="214"/>
      <c r="J251" s="214"/>
      <c r="K251" s="214"/>
      <c r="L251" s="214"/>
      <c r="M251" s="215"/>
      <c r="N251" s="215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</row>
    <row r="252" spans="1:46" ht="24" customHeight="1" x14ac:dyDescent="0.2">
      <c r="A252" s="214"/>
      <c r="B252" s="214"/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5"/>
      <c r="N252" s="215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</row>
    <row r="253" spans="1:46" ht="24" customHeight="1" x14ac:dyDescent="0.2">
      <c r="A253" s="214"/>
      <c r="B253" s="214"/>
      <c r="C253" s="214"/>
      <c r="D253" s="214"/>
      <c r="E253" s="214"/>
      <c r="F253" s="214"/>
      <c r="G253" s="214"/>
      <c r="H253" s="214"/>
      <c r="I253" s="214"/>
      <c r="J253" s="214"/>
      <c r="K253" s="214"/>
      <c r="L253" s="214"/>
      <c r="M253" s="215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</row>
    <row r="254" spans="1:46" ht="24" customHeight="1" x14ac:dyDescent="0.2">
      <c r="A254" s="214"/>
      <c r="B254" s="214"/>
      <c r="C254" s="214"/>
      <c r="D254" s="214"/>
      <c r="E254" s="214"/>
      <c r="F254" s="214"/>
      <c r="G254" s="214"/>
      <c r="H254" s="214"/>
      <c r="I254" s="214"/>
      <c r="J254" s="214"/>
      <c r="K254" s="214"/>
      <c r="L254" s="214"/>
      <c r="M254" s="215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</row>
    <row r="255" spans="1:46" ht="24" customHeight="1" x14ac:dyDescent="0.2">
      <c r="A255" s="214"/>
      <c r="B255" s="214"/>
      <c r="C255" s="214"/>
      <c r="D255" s="214"/>
      <c r="E255" s="214"/>
      <c r="F255" s="214"/>
      <c r="G255" s="214"/>
      <c r="H255" s="214"/>
      <c r="I255" s="214"/>
      <c r="J255" s="214"/>
      <c r="K255" s="214"/>
      <c r="L255" s="214"/>
      <c r="M255" s="215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</row>
    <row r="256" spans="1:46" ht="24" customHeight="1" x14ac:dyDescent="0.2">
      <c r="A256" s="214"/>
      <c r="B256" s="214"/>
      <c r="C256" s="214"/>
      <c r="D256" s="214"/>
      <c r="E256" s="214"/>
      <c r="F256" s="214"/>
      <c r="G256" s="214"/>
      <c r="H256" s="214"/>
      <c r="I256" s="214"/>
      <c r="J256" s="214"/>
      <c r="K256" s="214"/>
      <c r="L256" s="214"/>
      <c r="M256" s="215"/>
      <c r="N256" s="215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</row>
    <row r="257" spans="1:46" ht="24" customHeight="1" x14ac:dyDescent="0.2">
      <c r="A257" s="214"/>
      <c r="B257" s="214"/>
      <c r="C257" s="214"/>
      <c r="D257" s="214"/>
      <c r="E257" s="214"/>
      <c r="F257" s="214"/>
      <c r="G257" s="214"/>
      <c r="H257" s="214"/>
      <c r="I257" s="214"/>
      <c r="J257" s="214"/>
      <c r="K257" s="214"/>
      <c r="L257" s="214"/>
      <c r="M257" s="215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</row>
    <row r="258" spans="1:46" ht="24" customHeight="1" x14ac:dyDescent="0.2">
      <c r="A258" s="214"/>
      <c r="B258" s="214"/>
      <c r="C258" s="214"/>
      <c r="D258" s="214"/>
      <c r="E258" s="214"/>
      <c r="F258" s="214"/>
      <c r="G258" s="214"/>
      <c r="H258" s="214"/>
      <c r="I258" s="214"/>
      <c r="J258" s="214"/>
      <c r="K258" s="214"/>
      <c r="L258" s="214"/>
      <c r="M258" s="215"/>
      <c r="N258" s="215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</row>
    <row r="259" spans="1:46" ht="24" customHeight="1" x14ac:dyDescent="0.2">
      <c r="A259" s="214"/>
      <c r="B259" s="214"/>
      <c r="C259" s="214"/>
      <c r="D259" s="214"/>
      <c r="E259" s="214"/>
      <c r="F259" s="214"/>
      <c r="G259" s="214"/>
      <c r="H259" s="214"/>
      <c r="I259" s="214"/>
      <c r="J259" s="214"/>
      <c r="K259" s="214"/>
      <c r="L259" s="214"/>
      <c r="M259" s="215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</row>
    <row r="260" spans="1:46" ht="24" customHeight="1" x14ac:dyDescent="0.2">
      <c r="A260" s="214"/>
      <c r="B260" s="214"/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5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</row>
    <row r="261" spans="1:46" ht="24" customHeight="1" x14ac:dyDescent="0.2">
      <c r="A261" s="214"/>
      <c r="B261" s="214"/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5"/>
      <c r="N261" s="215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</row>
    <row r="262" spans="1:46" ht="24" customHeight="1" x14ac:dyDescent="0.2">
      <c r="A262" s="214"/>
      <c r="B262" s="214"/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5"/>
      <c r="N262" s="215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</row>
    <row r="263" spans="1:46" ht="24" customHeight="1" x14ac:dyDescent="0.2">
      <c r="A263" s="214"/>
      <c r="B263" s="214"/>
      <c r="C263" s="214"/>
      <c r="D263" s="214"/>
      <c r="E263" s="214"/>
      <c r="F263" s="214"/>
      <c r="G263" s="214"/>
      <c r="H263" s="214"/>
      <c r="I263" s="214"/>
      <c r="J263" s="214"/>
      <c r="K263" s="214"/>
      <c r="L263" s="214"/>
      <c r="M263" s="215"/>
      <c r="N263" s="215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</row>
    <row r="264" spans="1:46" ht="24" customHeight="1" x14ac:dyDescent="0.2">
      <c r="A264" s="214"/>
      <c r="B264" s="214"/>
      <c r="C264" s="214"/>
      <c r="D264" s="214"/>
      <c r="E264" s="214"/>
      <c r="F264" s="214"/>
      <c r="G264" s="214"/>
      <c r="H264" s="214"/>
      <c r="I264" s="214"/>
      <c r="J264" s="214"/>
      <c r="K264" s="214"/>
      <c r="L264" s="214"/>
      <c r="M264" s="215"/>
      <c r="N264" s="215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</row>
    <row r="265" spans="1:46" ht="24" customHeight="1" x14ac:dyDescent="0.2">
      <c r="A265" s="214"/>
      <c r="B265" s="214"/>
      <c r="C265" s="214"/>
      <c r="D265" s="214"/>
      <c r="E265" s="214"/>
      <c r="F265" s="214"/>
      <c r="G265" s="214"/>
      <c r="H265" s="214"/>
      <c r="I265" s="214"/>
      <c r="J265" s="214"/>
      <c r="K265" s="214"/>
      <c r="L265" s="214"/>
      <c r="M265" s="215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</row>
    <row r="266" spans="1:46" ht="24" customHeight="1" x14ac:dyDescent="0.2">
      <c r="A266" s="214"/>
      <c r="B266" s="214"/>
      <c r="C266" s="214"/>
      <c r="D266" s="214"/>
      <c r="E266" s="214"/>
      <c r="F266" s="214"/>
      <c r="G266" s="214"/>
      <c r="H266" s="214"/>
      <c r="I266" s="214"/>
      <c r="J266" s="214"/>
      <c r="K266" s="214"/>
      <c r="L266" s="214"/>
      <c r="M266" s="215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</row>
    <row r="267" spans="1:46" ht="24" customHeight="1" x14ac:dyDescent="0.2">
      <c r="A267" s="214"/>
      <c r="B267" s="214"/>
      <c r="C267" s="214"/>
      <c r="D267" s="214"/>
      <c r="E267" s="214"/>
      <c r="F267" s="214"/>
      <c r="G267" s="214"/>
      <c r="H267" s="214"/>
      <c r="I267" s="214"/>
      <c r="J267" s="214"/>
      <c r="K267" s="214"/>
      <c r="L267" s="214"/>
      <c r="M267" s="215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</row>
    <row r="268" spans="1:46" ht="24" customHeight="1" x14ac:dyDescent="0.2">
      <c r="A268" s="214"/>
      <c r="B268" s="214"/>
      <c r="C268" s="214"/>
      <c r="D268" s="214"/>
      <c r="E268" s="214"/>
      <c r="F268" s="214"/>
      <c r="G268" s="214"/>
      <c r="H268" s="214"/>
      <c r="I268" s="214"/>
      <c r="J268" s="214"/>
      <c r="K268" s="214"/>
      <c r="L268" s="214"/>
      <c r="M268" s="215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</row>
    <row r="269" spans="1:46" ht="24" customHeight="1" x14ac:dyDescent="0.2">
      <c r="A269" s="214"/>
      <c r="B269" s="214"/>
      <c r="C269" s="214"/>
      <c r="D269" s="214"/>
      <c r="E269" s="214"/>
      <c r="F269" s="214"/>
      <c r="G269" s="214"/>
      <c r="H269" s="214"/>
      <c r="I269" s="214"/>
      <c r="J269" s="214"/>
      <c r="K269" s="214"/>
      <c r="L269" s="214"/>
      <c r="M269" s="215"/>
      <c r="N269" s="215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</row>
    <row r="270" spans="1:46" ht="24" customHeight="1" x14ac:dyDescent="0.2">
      <c r="A270" s="214"/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4"/>
      <c r="M270" s="215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</row>
    <row r="271" spans="1:46" ht="24" customHeight="1" x14ac:dyDescent="0.2">
      <c r="A271" s="214"/>
      <c r="B271" s="214"/>
      <c r="C271" s="214"/>
      <c r="D271" s="214"/>
      <c r="E271" s="214"/>
      <c r="F271" s="214"/>
      <c r="G271" s="214"/>
      <c r="H271" s="214"/>
      <c r="I271" s="214"/>
      <c r="J271" s="214"/>
      <c r="K271" s="214"/>
      <c r="L271" s="214"/>
      <c r="M271" s="215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</row>
    <row r="272" spans="1:46" ht="24" customHeight="1" x14ac:dyDescent="0.2">
      <c r="A272" s="214"/>
      <c r="B272" s="214"/>
      <c r="C272" s="214"/>
      <c r="D272" s="214"/>
      <c r="E272" s="214"/>
      <c r="F272" s="214"/>
      <c r="G272" s="214"/>
      <c r="H272" s="214"/>
      <c r="I272" s="214"/>
      <c r="J272" s="214"/>
      <c r="K272" s="214"/>
      <c r="L272" s="214"/>
      <c r="M272" s="215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</row>
    <row r="273" spans="1:46" ht="24" customHeight="1" x14ac:dyDescent="0.2">
      <c r="A273" s="214"/>
      <c r="B273" s="214"/>
      <c r="C273" s="214"/>
      <c r="D273" s="214"/>
      <c r="E273" s="214"/>
      <c r="F273" s="214"/>
      <c r="G273" s="214"/>
      <c r="H273" s="214"/>
      <c r="I273" s="214"/>
      <c r="J273" s="214"/>
      <c r="K273" s="214"/>
      <c r="L273" s="214"/>
      <c r="M273" s="215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</row>
    <row r="274" spans="1:46" ht="24" customHeight="1" x14ac:dyDescent="0.2">
      <c r="A274" s="214"/>
      <c r="B274" s="214"/>
      <c r="C274" s="214"/>
      <c r="D274" s="214"/>
      <c r="E274" s="214"/>
      <c r="F274" s="214"/>
      <c r="G274" s="214"/>
      <c r="H274" s="214"/>
      <c r="I274" s="214"/>
      <c r="J274" s="214"/>
      <c r="K274" s="214"/>
      <c r="L274" s="214"/>
      <c r="M274" s="215"/>
      <c r="N274" s="215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</row>
    <row r="275" spans="1:46" ht="24" customHeight="1" x14ac:dyDescent="0.2">
      <c r="A275" s="214"/>
      <c r="B275" s="214"/>
      <c r="C275" s="214"/>
      <c r="D275" s="214"/>
      <c r="E275" s="214"/>
      <c r="F275" s="214"/>
      <c r="G275" s="214"/>
      <c r="H275" s="214"/>
      <c r="I275" s="214"/>
      <c r="J275" s="214"/>
      <c r="K275" s="214"/>
      <c r="L275" s="214"/>
      <c r="M275" s="215"/>
      <c r="N275" s="215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</row>
    <row r="276" spans="1:46" ht="24" customHeight="1" x14ac:dyDescent="0.2">
      <c r="A276" s="214"/>
      <c r="B276" s="214"/>
      <c r="C276" s="214"/>
      <c r="D276" s="214"/>
      <c r="E276" s="214"/>
      <c r="F276" s="214"/>
      <c r="G276" s="214"/>
      <c r="H276" s="214"/>
      <c r="I276" s="214"/>
      <c r="J276" s="214"/>
      <c r="K276" s="214"/>
      <c r="L276" s="214"/>
      <c r="M276" s="215"/>
      <c r="N276" s="215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</row>
    <row r="277" spans="1:46" ht="24" customHeight="1" x14ac:dyDescent="0.2">
      <c r="A277" s="214"/>
      <c r="B277" s="214"/>
      <c r="C277" s="214"/>
      <c r="D277" s="214"/>
      <c r="E277" s="214"/>
      <c r="F277" s="214"/>
      <c r="G277" s="214"/>
      <c r="H277" s="214"/>
      <c r="I277" s="214"/>
      <c r="J277" s="214"/>
      <c r="K277" s="214"/>
      <c r="L277" s="214"/>
      <c r="M277" s="215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</row>
    <row r="278" spans="1:46" ht="24" customHeight="1" x14ac:dyDescent="0.2">
      <c r="A278" s="214"/>
      <c r="B278" s="214"/>
      <c r="C278" s="214"/>
      <c r="D278" s="214"/>
      <c r="E278" s="214"/>
      <c r="F278" s="214"/>
      <c r="G278" s="214"/>
      <c r="H278" s="214"/>
      <c r="I278" s="214"/>
      <c r="J278" s="214"/>
      <c r="K278" s="214"/>
      <c r="L278" s="214"/>
      <c r="M278" s="215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</row>
    <row r="279" spans="1:46" ht="24" customHeight="1" x14ac:dyDescent="0.2">
      <c r="A279" s="214"/>
      <c r="B279" s="214"/>
      <c r="C279" s="214"/>
      <c r="D279" s="214"/>
      <c r="E279" s="214"/>
      <c r="F279" s="214"/>
      <c r="G279" s="214"/>
      <c r="H279" s="214"/>
      <c r="I279" s="214"/>
      <c r="J279" s="214"/>
      <c r="K279" s="214"/>
      <c r="L279" s="214"/>
      <c r="M279" s="215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</row>
    <row r="280" spans="1:46" ht="24" customHeight="1" x14ac:dyDescent="0.2">
      <c r="A280" s="214"/>
      <c r="B280" s="214"/>
      <c r="C280" s="214"/>
      <c r="D280" s="214"/>
      <c r="E280" s="214"/>
      <c r="F280" s="214"/>
      <c r="G280" s="214"/>
      <c r="H280" s="214"/>
      <c r="I280" s="214"/>
      <c r="J280" s="214"/>
      <c r="K280" s="214"/>
      <c r="L280" s="214"/>
      <c r="M280" s="215"/>
      <c r="N280" s="215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</row>
    <row r="281" spans="1:46" ht="24" customHeight="1" x14ac:dyDescent="0.2">
      <c r="A281" s="214"/>
      <c r="B281" s="214"/>
      <c r="C281" s="214"/>
      <c r="D281" s="214"/>
      <c r="E281" s="214"/>
      <c r="F281" s="214"/>
      <c r="G281" s="214"/>
      <c r="H281" s="214"/>
      <c r="I281" s="214"/>
      <c r="J281" s="214"/>
      <c r="K281" s="214"/>
      <c r="L281" s="214"/>
      <c r="M281" s="215"/>
      <c r="N281" s="215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</row>
    <row r="282" spans="1:46" ht="24" customHeight="1" x14ac:dyDescent="0.2">
      <c r="A282" s="214"/>
      <c r="B282" s="214"/>
      <c r="C282" s="214"/>
      <c r="D282" s="214"/>
      <c r="E282" s="214"/>
      <c r="F282" s="214"/>
      <c r="G282" s="214"/>
      <c r="H282" s="214"/>
      <c r="I282" s="214"/>
      <c r="J282" s="214"/>
      <c r="K282" s="214"/>
      <c r="L282" s="214"/>
      <c r="M282" s="215"/>
      <c r="N282" s="215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</row>
    <row r="283" spans="1:46" ht="24" customHeight="1" x14ac:dyDescent="0.2">
      <c r="A283" s="214"/>
      <c r="B283" s="214"/>
      <c r="C283" s="214"/>
      <c r="D283" s="214"/>
      <c r="E283" s="214"/>
      <c r="F283" s="214"/>
      <c r="G283" s="214"/>
      <c r="H283" s="214"/>
      <c r="I283" s="214"/>
      <c r="J283" s="214"/>
      <c r="K283" s="214"/>
      <c r="L283" s="214"/>
      <c r="M283" s="215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</row>
    <row r="284" spans="1:46" ht="24" customHeight="1" x14ac:dyDescent="0.2">
      <c r="A284" s="214"/>
      <c r="B284" s="214"/>
      <c r="C284" s="214"/>
      <c r="D284" s="214"/>
      <c r="E284" s="214"/>
      <c r="F284" s="214"/>
      <c r="G284" s="214"/>
      <c r="H284" s="214"/>
      <c r="I284" s="214"/>
      <c r="J284" s="214"/>
      <c r="K284" s="214"/>
      <c r="L284" s="214"/>
      <c r="M284" s="215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</row>
    <row r="285" spans="1:46" ht="24" customHeight="1" x14ac:dyDescent="0.2">
      <c r="A285" s="214"/>
      <c r="B285" s="214"/>
      <c r="C285" s="214"/>
      <c r="D285" s="214"/>
      <c r="E285" s="214"/>
      <c r="F285" s="214"/>
      <c r="G285" s="214"/>
      <c r="H285" s="214"/>
      <c r="I285" s="214"/>
      <c r="J285" s="214"/>
      <c r="K285" s="214"/>
      <c r="L285" s="214"/>
      <c r="M285" s="215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</row>
    <row r="286" spans="1:46" ht="24" customHeight="1" x14ac:dyDescent="0.2">
      <c r="A286" s="214"/>
      <c r="B286" s="214"/>
      <c r="C286" s="214"/>
      <c r="D286" s="214"/>
      <c r="E286" s="214"/>
      <c r="F286" s="214"/>
      <c r="G286" s="214"/>
      <c r="H286" s="214"/>
      <c r="I286" s="214"/>
      <c r="J286" s="214"/>
      <c r="K286" s="214"/>
      <c r="L286" s="214"/>
      <c r="M286" s="215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</row>
    <row r="287" spans="1:46" ht="24" customHeight="1" x14ac:dyDescent="0.2">
      <c r="A287" s="214"/>
      <c r="B287" s="214"/>
      <c r="C287" s="214"/>
      <c r="D287" s="214"/>
      <c r="E287" s="214"/>
      <c r="F287" s="214"/>
      <c r="G287" s="214"/>
      <c r="H287" s="214"/>
      <c r="I287" s="214"/>
      <c r="J287" s="214"/>
      <c r="K287" s="214"/>
      <c r="L287" s="214"/>
      <c r="M287" s="215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</row>
    <row r="288" spans="1:46" ht="24" customHeight="1" x14ac:dyDescent="0.2">
      <c r="A288" s="214"/>
      <c r="B288" s="214"/>
      <c r="C288" s="214"/>
      <c r="D288" s="214"/>
      <c r="E288" s="214"/>
      <c r="F288" s="214"/>
      <c r="G288" s="214"/>
      <c r="H288" s="214"/>
      <c r="I288" s="214"/>
      <c r="J288" s="214"/>
      <c r="K288" s="214"/>
      <c r="L288" s="214"/>
      <c r="M288" s="215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</row>
    <row r="289" spans="1:46" ht="24" customHeight="1" x14ac:dyDescent="0.2">
      <c r="A289" s="214"/>
      <c r="B289" s="214"/>
      <c r="C289" s="214"/>
      <c r="D289" s="214"/>
      <c r="E289" s="214"/>
      <c r="F289" s="214"/>
      <c r="G289" s="214"/>
      <c r="H289" s="214"/>
      <c r="I289" s="214"/>
      <c r="J289" s="214"/>
      <c r="K289" s="214"/>
      <c r="L289" s="214"/>
      <c r="M289" s="215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</row>
    <row r="290" spans="1:46" ht="24" customHeight="1" x14ac:dyDescent="0.2">
      <c r="A290" s="214"/>
      <c r="B290" s="214"/>
      <c r="C290" s="214"/>
      <c r="D290" s="214"/>
      <c r="E290" s="214"/>
      <c r="F290" s="214"/>
      <c r="G290" s="214"/>
      <c r="H290" s="214"/>
      <c r="I290" s="214"/>
      <c r="J290" s="214"/>
      <c r="K290" s="214"/>
      <c r="L290" s="214"/>
      <c r="M290" s="215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</row>
    <row r="291" spans="1:46" ht="24" customHeight="1" x14ac:dyDescent="0.2">
      <c r="A291" s="214"/>
      <c r="B291" s="214"/>
      <c r="C291" s="214"/>
      <c r="D291" s="214"/>
      <c r="E291" s="214"/>
      <c r="F291" s="214"/>
      <c r="G291" s="214"/>
      <c r="H291" s="214"/>
      <c r="I291" s="214"/>
      <c r="J291" s="214"/>
      <c r="K291" s="214"/>
      <c r="L291" s="214"/>
      <c r="M291" s="215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</row>
    <row r="292" spans="1:46" ht="24" customHeight="1" x14ac:dyDescent="0.2">
      <c r="A292" s="214"/>
      <c r="B292" s="214"/>
      <c r="C292" s="214"/>
      <c r="D292" s="214"/>
      <c r="E292" s="214"/>
      <c r="F292" s="214"/>
      <c r="G292" s="214"/>
      <c r="H292" s="214"/>
      <c r="I292" s="214"/>
      <c r="J292" s="214"/>
      <c r="K292" s="214"/>
      <c r="L292" s="214"/>
      <c r="M292" s="215"/>
      <c r="N292" s="215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</row>
    <row r="293" spans="1:46" ht="24" customHeight="1" x14ac:dyDescent="0.2">
      <c r="A293" s="214"/>
      <c r="B293" s="214"/>
      <c r="C293" s="214"/>
      <c r="D293" s="214"/>
      <c r="E293" s="214"/>
      <c r="F293" s="214"/>
      <c r="G293" s="214"/>
      <c r="H293" s="214"/>
      <c r="I293" s="214"/>
      <c r="J293" s="214"/>
      <c r="K293" s="214"/>
      <c r="L293" s="214"/>
      <c r="M293" s="215"/>
      <c r="N293" s="215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</row>
    <row r="294" spans="1:46" ht="24" customHeight="1" x14ac:dyDescent="0.2">
      <c r="A294" s="214"/>
      <c r="B294" s="214"/>
      <c r="C294" s="214"/>
      <c r="D294" s="214"/>
      <c r="E294" s="214"/>
      <c r="F294" s="214"/>
      <c r="G294" s="214"/>
      <c r="H294" s="214"/>
      <c r="I294" s="214"/>
      <c r="J294" s="214"/>
      <c r="K294" s="214"/>
      <c r="L294" s="214"/>
      <c r="M294" s="215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</row>
    <row r="295" spans="1:46" ht="24" customHeight="1" x14ac:dyDescent="0.2">
      <c r="A295" s="214"/>
      <c r="B295" s="214"/>
      <c r="C295" s="214"/>
      <c r="D295" s="214"/>
      <c r="E295" s="214"/>
      <c r="F295" s="214"/>
      <c r="G295" s="214"/>
      <c r="H295" s="214"/>
      <c r="I295" s="214"/>
      <c r="J295" s="214"/>
      <c r="K295" s="214"/>
      <c r="L295" s="214"/>
      <c r="M295" s="215"/>
      <c r="N295" s="215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</row>
    <row r="296" spans="1:46" ht="24" customHeight="1" x14ac:dyDescent="0.2">
      <c r="A296" s="214"/>
      <c r="B296" s="214"/>
      <c r="C296" s="214"/>
      <c r="D296" s="214"/>
      <c r="E296" s="214"/>
      <c r="F296" s="214"/>
      <c r="G296" s="214"/>
      <c r="H296" s="214"/>
      <c r="I296" s="214"/>
      <c r="J296" s="214"/>
      <c r="K296" s="214"/>
      <c r="L296" s="214"/>
      <c r="M296" s="215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</row>
    <row r="297" spans="1:46" ht="24" customHeight="1" x14ac:dyDescent="0.2">
      <c r="A297" s="214"/>
      <c r="B297" s="214"/>
      <c r="C297" s="214"/>
      <c r="D297" s="214"/>
      <c r="E297" s="214"/>
      <c r="F297" s="214"/>
      <c r="G297" s="214"/>
      <c r="H297" s="214"/>
      <c r="I297" s="214"/>
      <c r="J297" s="214"/>
      <c r="K297" s="214"/>
      <c r="L297" s="214"/>
      <c r="M297" s="215"/>
      <c r="N297" s="215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</row>
    <row r="298" spans="1:46" ht="24" customHeight="1" x14ac:dyDescent="0.2">
      <c r="A298" s="214"/>
      <c r="B298" s="214"/>
      <c r="C298" s="214"/>
      <c r="D298" s="214"/>
      <c r="E298" s="214"/>
      <c r="F298" s="214"/>
      <c r="G298" s="214"/>
      <c r="H298" s="214"/>
      <c r="I298" s="214"/>
      <c r="J298" s="214"/>
      <c r="K298" s="214"/>
      <c r="L298" s="214"/>
      <c r="M298" s="215"/>
      <c r="N298" s="215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</row>
    <row r="299" spans="1:46" ht="24" customHeight="1" x14ac:dyDescent="0.2">
      <c r="A299" s="214"/>
      <c r="B299" s="214"/>
      <c r="C299" s="214"/>
      <c r="D299" s="214"/>
      <c r="E299" s="214"/>
      <c r="F299" s="214"/>
      <c r="G299" s="214"/>
      <c r="H299" s="214"/>
      <c r="I299" s="214"/>
      <c r="J299" s="214"/>
      <c r="K299" s="214"/>
      <c r="L299" s="214"/>
      <c r="M299" s="215"/>
      <c r="N299" s="215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</row>
    <row r="300" spans="1:46" ht="24" customHeight="1" x14ac:dyDescent="0.2">
      <c r="A300" s="214"/>
      <c r="B300" s="214"/>
      <c r="C300" s="214"/>
      <c r="D300" s="214"/>
      <c r="E300" s="214"/>
      <c r="F300" s="214"/>
      <c r="G300" s="214"/>
      <c r="H300" s="214"/>
      <c r="I300" s="214"/>
      <c r="J300" s="214"/>
      <c r="K300" s="214"/>
      <c r="L300" s="214"/>
      <c r="M300" s="215"/>
      <c r="N300" s="215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</row>
    <row r="301" spans="1:46" ht="24" customHeight="1" x14ac:dyDescent="0.2">
      <c r="A301" s="214"/>
      <c r="B301" s="214"/>
      <c r="C301" s="214"/>
      <c r="D301" s="214"/>
      <c r="E301" s="214"/>
      <c r="F301" s="214"/>
      <c r="G301" s="214"/>
      <c r="H301" s="214"/>
      <c r="I301" s="214"/>
      <c r="J301" s="214"/>
      <c r="K301" s="214"/>
      <c r="L301" s="214"/>
      <c r="M301" s="215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</row>
    <row r="302" spans="1:46" ht="24" customHeight="1" x14ac:dyDescent="0.2">
      <c r="A302" s="214"/>
      <c r="B302" s="214"/>
      <c r="C302" s="214"/>
      <c r="D302" s="214"/>
      <c r="E302" s="214"/>
      <c r="F302" s="214"/>
      <c r="G302" s="214"/>
      <c r="H302" s="214"/>
      <c r="I302" s="214"/>
      <c r="J302" s="214"/>
      <c r="K302" s="214"/>
      <c r="L302" s="214"/>
      <c r="M302" s="215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</row>
    <row r="303" spans="1:46" ht="24" customHeight="1" x14ac:dyDescent="0.2">
      <c r="A303" s="214"/>
      <c r="B303" s="214"/>
      <c r="C303" s="214"/>
      <c r="D303" s="214"/>
      <c r="E303" s="214"/>
      <c r="F303" s="214"/>
      <c r="G303" s="214"/>
      <c r="H303" s="214"/>
      <c r="I303" s="214"/>
      <c r="J303" s="214"/>
      <c r="K303" s="214"/>
      <c r="L303" s="214"/>
      <c r="M303" s="215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</row>
    <row r="304" spans="1:46" ht="24" customHeight="1" x14ac:dyDescent="0.2">
      <c r="A304" s="214"/>
      <c r="B304" s="214"/>
      <c r="C304" s="214"/>
      <c r="D304" s="214"/>
      <c r="E304" s="214"/>
      <c r="F304" s="214"/>
      <c r="G304" s="214"/>
      <c r="H304" s="214"/>
      <c r="I304" s="214"/>
      <c r="J304" s="214"/>
      <c r="K304" s="214"/>
      <c r="L304" s="214"/>
      <c r="M304" s="215"/>
      <c r="N304" s="215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</row>
    <row r="305" spans="1:46" ht="24" customHeight="1" x14ac:dyDescent="0.2">
      <c r="A305" s="214"/>
      <c r="B305" s="214"/>
      <c r="C305" s="214"/>
      <c r="D305" s="214"/>
      <c r="E305" s="214"/>
      <c r="F305" s="214"/>
      <c r="G305" s="214"/>
      <c r="H305" s="214"/>
      <c r="I305" s="214"/>
      <c r="J305" s="214"/>
      <c r="K305" s="214"/>
      <c r="L305" s="214"/>
      <c r="M305" s="215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</row>
    <row r="306" spans="1:46" ht="24" customHeight="1" x14ac:dyDescent="0.2">
      <c r="A306" s="214"/>
      <c r="B306" s="214"/>
      <c r="C306" s="214"/>
      <c r="D306" s="214"/>
      <c r="E306" s="214"/>
      <c r="F306" s="214"/>
      <c r="G306" s="214"/>
      <c r="H306" s="214"/>
      <c r="I306" s="214"/>
      <c r="J306" s="214"/>
      <c r="K306" s="214"/>
      <c r="L306" s="214"/>
      <c r="M306" s="215"/>
      <c r="N306" s="215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</row>
    <row r="307" spans="1:46" ht="24" customHeight="1" x14ac:dyDescent="0.2">
      <c r="A307" s="214"/>
      <c r="B307" s="214"/>
      <c r="C307" s="214"/>
      <c r="D307" s="214"/>
      <c r="E307" s="214"/>
      <c r="F307" s="214"/>
      <c r="G307" s="214"/>
      <c r="H307" s="214"/>
      <c r="I307" s="214"/>
      <c r="J307" s="214"/>
      <c r="K307" s="214"/>
      <c r="L307" s="214"/>
      <c r="M307" s="215"/>
      <c r="N307" s="215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</row>
    <row r="308" spans="1:46" ht="24" customHeight="1" x14ac:dyDescent="0.2">
      <c r="A308" s="214"/>
      <c r="B308" s="214"/>
      <c r="C308" s="214"/>
      <c r="D308" s="214"/>
      <c r="E308" s="214"/>
      <c r="F308" s="214"/>
      <c r="G308" s="214"/>
      <c r="H308" s="214"/>
      <c r="I308" s="214"/>
      <c r="J308" s="214"/>
      <c r="K308" s="214"/>
      <c r="L308" s="214"/>
      <c r="M308" s="215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</row>
    <row r="309" spans="1:46" ht="24" customHeight="1" x14ac:dyDescent="0.2">
      <c r="A309" s="214"/>
      <c r="B309" s="214"/>
      <c r="C309" s="214"/>
      <c r="D309" s="214"/>
      <c r="E309" s="214"/>
      <c r="F309" s="214"/>
      <c r="G309" s="214"/>
      <c r="H309" s="214"/>
      <c r="I309" s="214"/>
      <c r="J309" s="214"/>
      <c r="K309" s="214"/>
      <c r="L309" s="214"/>
      <c r="M309" s="215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</row>
    <row r="310" spans="1:46" ht="24" customHeight="1" x14ac:dyDescent="0.2">
      <c r="A310" s="214"/>
      <c r="B310" s="214"/>
      <c r="C310" s="214"/>
      <c r="D310" s="214"/>
      <c r="E310" s="214"/>
      <c r="F310" s="214"/>
      <c r="G310" s="214"/>
      <c r="H310" s="214"/>
      <c r="I310" s="214"/>
      <c r="J310" s="214"/>
      <c r="K310" s="214"/>
      <c r="L310" s="214"/>
      <c r="M310" s="215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</row>
    <row r="311" spans="1:46" ht="24" customHeight="1" x14ac:dyDescent="0.2">
      <c r="A311" s="214"/>
      <c r="B311" s="214"/>
      <c r="C311" s="214"/>
      <c r="D311" s="214"/>
      <c r="E311" s="214"/>
      <c r="F311" s="214"/>
      <c r="G311" s="214"/>
      <c r="H311" s="214"/>
      <c r="I311" s="214"/>
      <c r="J311" s="214"/>
      <c r="K311" s="214"/>
      <c r="L311" s="214"/>
      <c r="M311" s="215"/>
      <c r="N311" s="215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</row>
    <row r="312" spans="1:46" ht="24" customHeight="1" x14ac:dyDescent="0.2">
      <c r="A312" s="214"/>
      <c r="B312" s="214"/>
      <c r="C312" s="214"/>
      <c r="D312" s="214"/>
      <c r="E312" s="214"/>
      <c r="F312" s="214"/>
      <c r="G312" s="214"/>
      <c r="H312" s="214"/>
      <c r="I312" s="214"/>
      <c r="J312" s="214"/>
      <c r="K312" s="214"/>
      <c r="L312" s="214"/>
      <c r="M312" s="215"/>
      <c r="N312" s="215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</row>
    <row r="313" spans="1:46" ht="24" customHeight="1" x14ac:dyDescent="0.2">
      <c r="A313" s="214"/>
      <c r="B313" s="214"/>
      <c r="C313" s="214"/>
      <c r="D313" s="214"/>
      <c r="E313" s="214"/>
      <c r="F313" s="214"/>
      <c r="G313" s="214"/>
      <c r="H313" s="214"/>
      <c r="I313" s="214"/>
      <c r="J313" s="214"/>
      <c r="K313" s="214"/>
      <c r="L313" s="214"/>
      <c r="M313" s="215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</row>
    <row r="314" spans="1:46" ht="12.75" x14ac:dyDescent="0.2">
      <c r="A314" s="214"/>
      <c r="B314" s="214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/>
      <c r="M314" s="215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</row>
    <row r="315" spans="1:46" ht="12.75" x14ac:dyDescent="0.2">
      <c r="A315" s="214"/>
      <c r="B315" s="214"/>
      <c r="C315" s="214"/>
      <c r="D315" s="214"/>
      <c r="E315" s="214"/>
      <c r="F315" s="214"/>
      <c r="G315" s="214"/>
      <c r="H315" s="214"/>
      <c r="I315" s="214"/>
      <c r="J315" s="214"/>
      <c r="K315" s="214"/>
      <c r="L315" s="214"/>
      <c r="M315" s="215"/>
      <c r="N315" s="215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</row>
    <row r="316" spans="1:46" ht="12.75" x14ac:dyDescent="0.2">
      <c r="A316" s="214"/>
      <c r="B316" s="214"/>
      <c r="C316" s="214"/>
      <c r="D316" s="214"/>
      <c r="E316" s="214"/>
      <c r="F316" s="214"/>
      <c r="G316" s="214"/>
      <c r="H316" s="214"/>
      <c r="I316" s="214"/>
      <c r="J316" s="214"/>
      <c r="K316" s="214"/>
      <c r="L316" s="214"/>
      <c r="M316" s="215"/>
      <c r="N316" s="215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</row>
    <row r="317" spans="1:46" ht="12.75" x14ac:dyDescent="0.2">
      <c r="A317" s="214"/>
      <c r="B317" s="214"/>
      <c r="C317" s="214"/>
      <c r="D317" s="214"/>
      <c r="E317" s="214"/>
      <c r="F317" s="214"/>
      <c r="G317" s="214"/>
      <c r="H317" s="214"/>
      <c r="I317" s="214"/>
      <c r="J317" s="214"/>
      <c r="K317" s="214"/>
      <c r="L317" s="214"/>
      <c r="M317" s="215"/>
      <c r="N317" s="215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</row>
    <row r="318" spans="1:46" ht="12.75" x14ac:dyDescent="0.2">
      <c r="A318" s="214"/>
      <c r="B318" s="214"/>
      <c r="C318" s="214"/>
      <c r="D318" s="214"/>
      <c r="E318" s="214"/>
      <c r="F318" s="214"/>
      <c r="G318" s="214"/>
      <c r="H318" s="214"/>
      <c r="I318" s="214"/>
      <c r="J318" s="214"/>
      <c r="K318" s="214"/>
      <c r="L318" s="214"/>
      <c r="M318" s="215"/>
      <c r="N318" s="215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</row>
    <row r="319" spans="1:46" ht="12.75" x14ac:dyDescent="0.2">
      <c r="A319" s="214"/>
      <c r="B319" s="214"/>
      <c r="C319" s="214"/>
      <c r="D319" s="214"/>
      <c r="E319" s="214"/>
      <c r="F319" s="214"/>
      <c r="G319" s="214"/>
      <c r="H319" s="214"/>
      <c r="I319" s="214"/>
      <c r="J319" s="214"/>
      <c r="K319" s="214"/>
      <c r="L319" s="214"/>
      <c r="M319" s="215"/>
      <c r="N319" s="215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</row>
    <row r="320" spans="1:46" ht="12.75" x14ac:dyDescent="0.2">
      <c r="A320" s="214"/>
      <c r="B320" s="214"/>
      <c r="C320" s="214"/>
      <c r="D320" s="214"/>
      <c r="E320" s="214"/>
      <c r="F320" s="214"/>
      <c r="G320" s="214"/>
      <c r="H320" s="214"/>
      <c r="I320" s="214"/>
      <c r="J320" s="214"/>
      <c r="K320" s="214"/>
      <c r="L320" s="214"/>
      <c r="M320" s="215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</row>
    <row r="321" spans="1:46" ht="12.75" x14ac:dyDescent="0.2">
      <c r="A321" s="214"/>
      <c r="B321" s="214"/>
      <c r="C321" s="214"/>
      <c r="D321" s="214"/>
      <c r="E321" s="214"/>
      <c r="F321" s="214"/>
      <c r="G321" s="214"/>
      <c r="H321" s="214"/>
      <c r="I321" s="214"/>
      <c r="J321" s="214"/>
      <c r="K321" s="214"/>
      <c r="L321" s="214"/>
      <c r="M321" s="215"/>
      <c r="N321" s="215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</row>
    <row r="322" spans="1:46" ht="12.75" x14ac:dyDescent="0.2">
      <c r="A322" s="214"/>
      <c r="B322" s="214"/>
      <c r="C322" s="214"/>
      <c r="D322" s="214"/>
      <c r="E322" s="214"/>
      <c r="F322" s="214"/>
      <c r="G322" s="214"/>
      <c r="H322" s="214"/>
      <c r="I322" s="214"/>
      <c r="J322" s="214"/>
      <c r="K322" s="214"/>
      <c r="L322" s="214"/>
      <c r="M322" s="215"/>
      <c r="N322" s="215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</row>
    <row r="323" spans="1:46" ht="12.75" x14ac:dyDescent="0.2">
      <c r="A323" s="214"/>
      <c r="B323" s="214"/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5"/>
      <c r="N323" s="215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</row>
    <row r="324" spans="1:46" ht="12.75" x14ac:dyDescent="0.2">
      <c r="A324" s="214"/>
      <c r="B324" s="214"/>
      <c r="C324" s="214"/>
      <c r="D324" s="214"/>
      <c r="E324" s="214"/>
      <c r="F324" s="214"/>
      <c r="G324" s="214"/>
      <c r="H324" s="214"/>
      <c r="I324" s="214"/>
      <c r="J324" s="214"/>
      <c r="K324" s="214"/>
      <c r="L324" s="214"/>
      <c r="M324" s="215"/>
      <c r="N324" s="215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</row>
    <row r="325" spans="1:46" ht="12.75" x14ac:dyDescent="0.2">
      <c r="A325" s="214"/>
      <c r="B325" s="214"/>
      <c r="C325" s="214"/>
      <c r="D325" s="214"/>
      <c r="E325" s="214"/>
      <c r="F325" s="214"/>
      <c r="G325" s="214"/>
      <c r="H325" s="214"/>
      <c r="I325" s="214"/>
      <c r="J325" s="214"/>
      <c r="K325" s="214"/>
      <c r="L325" s="214"/>
      <c r="M325" s="215"/>
      <c r="N325" s="215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</row>
    <row r="326" spans="1:46" ht="12.75" x14ac:dyDescent="0.2">
      <c r="A326" s="214"/>
      <c r="B326" s="214"/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5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</row>
    <row r="327" spans="1:46" ht="12.75" x14ac:dyDescent="0.2">
      <c r="A327" s="214"/>
      <c r="B327" s="214"/>
      <c r="C327" s="214"/>
      <c r="D327" s="214"/>
      <c r="E327" s="214"/>
      <c r="F327" s="214"/>
      <c r="G327" s="214"/>
      <c r="H327" s="214"/>
      <c r="I327" s="214"/>
      <c r="J327" s="214"/>
      <c r="K327" s="214"/>
      <c r="L327" s="214"/>
      <c r="M327" s="215"/>
      <c r="N327" s="215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</row>
    <row r="328" spans="1:46" ht="12.75" x14ac:dyDescent="0.2">
      <c r="A328" s="214"/>
      <c r="B328" s="214"/>
      <c r="C328" s="214"/>
      <c r="D328" s="214"/>
      <c r="E328" s="214"/>
      <c r="F328" s="214"/>
      <c r="G328" s="214"/>
      <c r="H328" s="214"/>
      <c r="I328" s="214"/>
      <c r="J328" s="214"/>
      <c r="K328" s="214"/>
      <c r="L328" s="214"/>
      <c r="M328" s="215"/>
      <c r="N328" s="215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</row>
    <row r="329" spans="1:46" ht="12.75" x14ac:dyDescent="0.2">
      <c r="A329" s="214"/>
      <c r="B329" s="214"/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5"/>
      <c r="N329" s="215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</row>
    <row r="330" spans="1:46" ht="12.75" x14ac:dyDescent="0.2">
      <c r="A330" s="214"/>
      <c r="B330" s="214"/>
      <c r="C330" s="214"/>
      <c r="D330" s="214"/>
      <c r="E330" s="214"/>
      <c r="F330" s="214"/>
      <c r="G330" s="214"/>
      <c r="H330" s="214"/>
      <c r="I330" s="214"/>
      <c r="J330" s="214"/>
      <c r="K330" s="214"/>
      <c r="L330" s="214"/>
      <c r="M330" s="215"/>
      <c r="N330" s="215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</row>
    <row r="331" spans="1:46" ht="12.75" x14ac:dyDescent="0.2">
      <c r="A331" s="214"/>
      <c r="B331" s="214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5"/>
      <c r="N331" s="215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</row>
    <row r="332" spans="1:46" ht="12.75" x14ac:dyDescent="0.2">
      <c r="A332" s="214"/>
      <c r="B332" s="214"/>
      <c r="C332" s="214"/>
      <c r="D332" s="214"/>
      <c r="E332" s="214"/>
      <c r="F332" s="214"/>
      <c r="G332" s="214"/>
      <c r="H332" s="214"/>
      <c r="I332" s="214"/>
      <c r="J332" s="214"/>
      <c r="K332" s="214"/>
      <c r="L332" s="214"/>
      <c r="M332" s="215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</row>
    <row r="333" spans="1:46" ht="12.75" x14ac:dyDescent="0.2">
      <c r="A333" s="214"/>
      <c r="B333" s="214"/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5"/>
      <c r="N333" s="215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</row>
    <row r="334" spans="1:46" ht="12.75" x14ac:dyDescent="0.2">
      <c r="A334" s="214"/>
      <c r="B334" s="214"/>
      <c r="C334" s="214"/>
      <c r="D334" s="214"/>
      <c r="E334" s="214"/>
      <c r="F334" s="214"/>
      <c r="G334" s="214"/>
      <c r="H334" s="214"/>
      <c r="I334" s="214"/>
      <c r="J334" s="214"/>
      <c r="K334" s="214"/>
      <c r="L334" s="214"/>
      <c r="M334" s="215"/>
      <c r="N334" s="215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</row>
    <row r="335" spans="1:46" ht="12.75" x14ac:dyDescent="0.2">
      <c r="A335" s="214"/>
      <c r="B335" s="214"/>
      <c r="C335" s="214"/>
      <c r="D335" s="214"/>
      <c r="E335" s="214"/>
      <c r="F335" s="214"/>
      <c r="G335" s="214"/>
      <c r="H335" s="214"/>
      <c r="I335" s="214"/>
      <c r="J335" s="214"/>
      <c r="K335" s="214"/>
      <c r="L335" s="214"/>
      <c r="M335" s="215"/>
      <c r="N335" s="215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</row>
    <row r="336" spans="1:46" ht="12.75" x14ac:dyDescent="0.2">
      <c r="A336" s="214"/>
      <c r="B336" s="214"/>
      <c r="C336" s="214"/>
      <c r="D336" s="214"/>
      <c r="E336" s="214"/>
      <c r="F336" s="214"/>
      <c r="G336" s="214"/>
      <c r="H336" s="214"/>
      <c r="I336" s="214"/>
      <c r="J336" s="214"/>
      <c r="K336" s="214"/>
      <c r="L336" s="214"/>
      <c r="M336" s="215"/>
      <c r="N336" s="215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</row>
    <row r="337" spans="1:46" ht="12.75" x14ac:dyDescent="0.2">
      <c r="A337" s="214"/>
      <c r="B337" s="214"/>
      <c r="C337" s="214"/>
      <c r="D337" s="214"/>
      <c r="E337" s="214"/>
      <c r="F337" s="214"/>
      <c r="G337" s="214"/>
      <c r="H337" s="214"/>
      <c r="I337" s="214"/>
      <c r="J337" s="214"/>
      <c r="K337" s="214"/>
      <c r="L337" s="214"/>
      <c r="M337" s="215"/>
      <c r="N337" s="215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</row>
    <row r="338" spans="1:46" ht="12.75" x14ac:dyDescent="0.2">
      <c r="A338" s="214"/>
      <c r="B338" s="214"/>
      <c r="C338" s="214"/>
      <c r="D338" s="214"/>
      <c r="E338" s="214"/>
      <c r="F338" s="214"/>
      <c r="G338" s="214"/>
      <c r="H338" s="214"/>
      <c r="I338" s="214"/>
      <c r="J338" s="214"/>
      <c r="K338" s="214"/>
      <c r="L338" s="214"/>
      <c r="M338" s="215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</row>
    <row r="339" spans="1:46" ht="12.75" x14ac:dyDescent="0.2">
      <c r="A339" s="214"/>
      <c r="B339" s="214"/>
      <c r="C339" s="214"/>
      <c r="D339" s="214"/>
      <c r="E339" s="214"/>
      <c r="F339" s="214"/>
      <c r="G339" s="214"/>
      <c r="H339" s="214"/>
      <c r="I339" s="214"/>
      <c r="J339" s="214"/>
      <c r="K339" s="214"/>
      <c r="L339" s="214"/>
      <c r="M339" s="215"/>
      <c r="N339" s="215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</row>
    <row r="340" spans="1:46" ht="12.75" x14ac:dyDescent="0.2">
      <c r="A340" s="214"/>
      <c r="B340" s="214"/>
      <c r="C340" s="214"/>
      <c r="D340" s="214"/>
      <c r="E340" s="214"/>
      <c r="F340" s="214"/>
      <c r="G340" s="214"/>
      <c r="H340" s="214"/>
      <c r="I340" s="214"/>
      <c r="J340" s="214"/>
      <c r="K340" s="214"/>
      <c r="L340" s="214"/>
      <c r="M340" s="215"/>
      <c r="N340" s="215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</row>
    <row r="341" spans="1:46" ht="12.75" x14ac:dyDescent="0.2">
      <c r="A341" s="214"/>
      <c r="B341" s="214"/>
      <c r="C341" s="214"/>
      <c r="D341" s="214"/>
      <c r="E341" s="214"/>
      <c r="F341" s="214"/>
      <c r="G341" s="214"/>
      <c r="H341" s="214"/>
      <c r="I341" s="214"/>
      <c r="J341" s="214"/>
      <c r="K341" s="214"/>
      <c r="L341" s="214"/>
      <c r="M341" s="215"/>
      <c r="N341" s="215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</row>
    <row r="342" spans="1:46" ht="12.75" x14ac:dyDescent="0.2">
      <c r="A342" s="214"/>
      <c r="B342" s="214"/>
      <c r="C342" s="214"/>
      <c r="D342" s="214"/>
      <c r="E342" s="214"/>
      <c r="F342" s="214"/>
      <c r="G342" s="214"/>
      <c r="H342" s="214"/>
      <c r="I342" s="214"/>
      <c r="J342" s="214"/>
      <c r="K342" s="214"/>
      <c r="L342" s="214"/>
      <c r="M342" s="215"/>
      <c r="N342" s="215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</row>
    <row r="343" spans="1:46" ht="12.75" x14ac:dyDescent="0.2">
      <c r="A343" s="214"/>
      <c r="B343" s="214"/>
      <c r="C343" s="214"/>
      <c r="D343" s="214"/>
      <c r="E343" s="214"/>
      <c r="F343" s="214"/>
      <c r="G343" s="214"/>
      <c r="H343" s="214"/>
      <c r="I343" s="214"/>
      <c r="J343" s="214"/>
      <c r="K343" s="214"/>
      <c r="L343" s="214"/>
      <c r="M343" s="215"/>
      <c r="N343" s="215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</row>
    <row r="344" spans="1:46" ht="12.75" x14ac:dyDescent="0.2">
      <c r="A344" s="214"/>
      <c r="B344" s="214"/>
      <c r="C344" s="214"/>
      <c r="D344" s="214"/>
      <c r="E344" s="214"/>
      <c r="F344" s="214"/>
      <c r="G344" s="214"/>
      <c r="H344" s="214"/>
      <c r="I344" s="214"/>
      <c r="J344" s="214"/>
      <c r="K344" s="214"/>
      <c r="L344" s="214"/>
      <c r="M344" s="215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</row>
    <row r="345" spans="1:46" ht="12.75" x14ac:dyDescent="0.2">
      <c r="A345" s="214"/>
      <c r="B345" s="214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5"/>
      <c r="N345" s="215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</row>
    <row r="346" spans="1:46" ht="12.75" x14ac:dyDescent="0.2">
      <c r="A346" s="214"/>
      <c r="B346" s="214"/>
      <c r="C346" s="214"/>
      <c r="D346" s="214"/>
      <c r="E346" s="214"/>
      <c r="F346" s="214"/>
      <c r="G346" s="214"/>
      <c r="H346" s="214"/>
      <c r="I346" s="214"/>
      <c r="J346" s="214"/>
      <c r="K346" s="214"/>
      <c r="L346" s="214"/>
      <c r="M346" s="215"/>
      <c r="N346" s="215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</row>
    <row r="347" spans="1:46" ht="12.75" x14ac:dyDescent="0.2">
      <c r="A347" s="214"/>
      <c r="B347" s="214"/>
      <c r="C347" s="214"/>
      <c r="D347" s="214"/>
      <c r="E347" s="214"/>
      <c r="F347" s="214"/>
      <c r="G347" s="214"/>
      <c r="H347" s="214"/>
      <c r="I347" s="214"/>
      <c r="J347" s="214"/>
      <c r="K347" s="214"/>
      <c r="L347" s="214"/>
      <c r="M347" s="215"/>
      <c r="N347" s="215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</row>
    <row r="348" spans="1:46" ht="12.75" x14ac:dyDescent="0.2">
      <c r="A348" s="214"/>
      <c r="B348" s="214"/>
      <c r="C348" s="214"/>
      <c r="D348" s="214"/>
      <c r="E348" s="214"/>
      <c r="F348" s="214"/>
      <c r="G348" s="214"/>
      <c r="H348" s="214"/>
      <c r="I348" s="214"/>
      <c r="J348" s="214"/>
      <c r="K348" s="214"/>
      <c r="L348" s="214"/>
      <c r="M348" s="215"/>
      <c r="N348" s="215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</row>
    <row r="349" spans="1:46" ht="12.75" x14ac:dyDescent="0.2">
      <c r="A349" s="214"/>
      <c r="B349" s="214"/>
      <c r="C349" s="214"/>
      <c r="D349" s="214"/>
      <c r="E349" s="214"/>
      <c r="F349" s="214"/>
      <c r="G349" s="214"/>
      <c r="H349" s="214"/>
      <c r="I349" s="214"/>
      <c r="J349" s="214"/>
      <c r="K349" s="214"/>
      <c r="L349" s="214"/>
      <c r="M349" s="215"/>
      <c r="N349" s="215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</row>
    <row r="350" spans="1:46" ht="12.75" x14ac:dyDescent="0.2">
      <c r="A350" s="214"/>
      <c r="B350" s="214"/>
      <c r="C350" s="214"/>
      <c r="D350" s="214"/>
      <c r="E350" s="214"/>
      <c r="F350" s="214"/>
      <c r="G350" s="214"/>
      <c r="H350" s="214"/>
      <c r="I350" s="214"/>
      <c r="J350" s="214"/>
      <c r="K350" s="214"/>
      <c r="L350" s="214"/>
      <c r="M350" s="215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</row>
    <row r="351" spans="1:46" ht="12.75" x14ac:dyDescent="0.2">
      <c r="A351" s="214"/>
      <c r="B351" s="214"/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5"/>
      <c r="N351" s="215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</row>
    <row r="352" spans="1:46" ht="12.75" x14ac:dyDescent="0.2">
      <c r="A352" s="214"/>
      <c r="B352" s="214"/>
      <c r="C352" s="214"/>
      <c r="D352" s="214"/>
      <c r="E352" s="214"/>
      <c r="F352" s="214"/>
      <c r="G352" s="214"/>
      <c r="H352" s="214"/>
      <c r="I352" s="214"/>
      <c r="J352" s="214"/>
      <c r="K352" s="214"/>
      <c r="L352" s="214"/>
      <c r="M352" s="215"/>
      <c r="N352" s="215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</row>
    <row r="353" spans="1:46" ht="12.75" x14ac:dyDescent="0.2">
      <c r="A353" s="214"/>
      <c r="B353" s="214"/>
      <c r="C353" s="214"/>
      <c r="D353" s="214"/>
      <c r="E353" s="214"/>
      <c r="F353" s="214"/>
      <c r="G353" s="214"/>
      <c r="H353" s="214"/>
      <c r="I353" s="214"/>
      <c r="J353" s="214"/>
      <c r="K353" s="214"/>
      <c r="L353" s="214"/>
      <c r="M353" s="215"/>
      <c r="N353" s="215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  <c r="AM353" s="216"/>
      <c r="AN353" s="216"/>
      <c r="AO353" s="216"/>
      <c r="AP353" s="216"/>
      <c r="AQ353" s="216"/>
      <c r="AR353" s="216"/>
      <c r="AS353" s="216"/>
      <c r="AT353" s="216"/>
    </row>
    <row r="354" spans="1:46" ht="12.75" x14ac:dyDescent="0.2">
      <c r="A354" s="214"/>
      <c r="B354" s="214"/>
      <c r="C354" s="214"/>
      <c r="D354" s="214"/>
      <c r="E354" s="214"/>
      <c r="F354" s="214"/>
      <c r="G354" s="214"/>
      <c r="H354" s="214"/>
      <c r="I354" s="214"/>
      <c r="J354" s="214"/>
      <c r="K354" s="214"/>
      <c r="L354" s="214"/>
      <c r="M354" s="215"/>
      <c r="N354" s="215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</row>
    <row r="355" spans="1:46" ht="12.75" x14ac:dyDescent="0.2">
      <c r="A355" s="214"/>
      <c r="B355" s="214"/>
      <c r="C355" s="214"/>
      <c r="D355" s="214"/>
      <c r="E355" s="214"/>
      <c r="F355" s="214"/>
      <c r="G355" s="214"/>
      <c r="H355" s="214"/>
      <c r="I355" s="214"/>
      <c r="J355" s="214"/>
      <c r="K355" s="214"/>
      <c r="L355" s="214"/>
      <c r="M355" s="215"/>
      <c r="N355" s="215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  <c r="AM355" s="216"/>
      <c r="AN355" s="216"/>
      <c r="AO355" s="216"/>
      <c r="AP355" s="216"/>
      <c r="AQ355" s="216"/>
      <c r="AR355" s="216"/>
      <c r="AS355" s="216"/>
      <c r="AT355" s="216"/>
    </row>
    <row r="356" spans="1:46" ht="12.75" x14ac:dyDescent="0.2">
      <c r="A356" s="214"/>
      <c r="B356" s="214"/>
      <c r="C356" s="214"/>
      <c r="D356" s="214"/>
      <c r="E356" s="214"/>
      <c r="F356" s="214"/>
      <c r="G356" s="214"/>
      <c r="H356" s="214"/>
      <c r="I356" s="214"/>
      <c r="J356" s="214"/>
      <c r="K356" s="214"/>
      <c r="L356" s="214"/>
      <c r="M356" s="215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</row>
    <row r="357" spans="1:46" ht="12.75" x14ac:dyDescent="0.2">
      <c r="A357" s="214"/>
      <c r="B357" s="214"/>
      <c r="C357" s="214"/>
      <c r="D357" s="214"/>
      <c r="E357" s="214"/>
      <c r="F357" s="214"/>
      <c r="G357" s="214"/>
      <c r="H357" s="214"/>
      <c r="I357" s="214"/>
      <c r="J357" s="214"/>
      <c r="K357" s="214"/>
      <c r="L357" s="214"/>
      <c r="M357" s="215"/>
      <c r="N357" s="215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</row>
    <row r="358" spans="1:46" ht="12.75" x14ac:dyDescent="0.2">
      <c r="A358" s="214"/>
      <c r="B358" s="214"/>
      <c r="C358" s="214"/>
      <c r="D358" s="214"/>
      <c r="E358" s="214"/>
      <c r="F358" s="214"/>
      <c r="G358" s="214"/>
      <c r="H358" s="214"/>
      <c r="I358" s="214"/>
      <c r="J358" s="214"/>
      <c r="K358" s="214"/>
      <c r="L358" s="214"/>
      <c r="M358" s="215"/>
      <c r="N358" s="215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</row>
    <row r="359" spans="1:46" ht="12.75" x14ac:dyDescent="0.2">
      <c r="A359" s="214"/>
      <c r="B359" s="214"/>
      <c r="C359" s="214"/>
      <c r="D359" s="214"/>
      <c r="E359" s="214"/>
      <c r="F359" s="214"/>
      <c r="G359" s="214"/>
      <c r="H359" s="214"/>
      <c r="I359" s="214"/>
      <c r="J359" s="214"/>
      <c r="K359" s="214"/>
      <c r="L359" s="214"/>
      <c r="M359" s="215"/>
      <c r="N359" s="215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</row>
    <row r="360" spans="1:46" ht="12.75" x14ac:dyDescent="0.2">
      <c r="A360" s="214"/>
      <c r="B360" s="214"/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5"/>
      <c r="N360" s="215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</row>
    <row r="361" spans="1:46" ht="12.75" x14ac:dyDescent="0.2">
      <c r="A361" s="214"/>
      <c r="B361" s="214"/>
      <c r="C361" s="214"/>
      <c r="D361" s="214"/>
      <c r="E361" s="214"/>
      <c r="F361" s="214"/>
      <c r="G361" s="214"/>
      <c r="H361" s="214"/>
      <c r="I361" s="214"/>
      <c r="J361" s="214"/>
      <c r="K361" s="214"/>
      <c r="L361" s="214"/>
      <c r="M361" s="215"/>
      <c r="N361" s="215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  <c r="AM361" s="216"/>
      <c r="AN361" s="216"/>
      <c r="AO361" s="216"/>
      <c r="AP361" s="216"/>
      <c r="AQ361" s="216"/>
      <c r="AR361" s="216"/>
      <c r="AS361" s="216"/>
      <c r="AT361" s="216"/>
    </row>
    <row r="362" spans="1:46" ht="12.75" x14ac:dyDescent="0.2">
      <c r="A362" s="214"/>
      <c r="B362" s="214"/>
      <c r="C362" s="214"/>
      <c r="D362" s="214"/>
      <c r="E362" s="214"/>
      <c r="F362" s="214"/>
      <c r="G362" s="214"/>
      <c r="H362" s="214"/>
      <c r="I362" s="214"/>
      <c r="J362" s="214"/>
      <c r="K362" s="214"/>
      <c r="L362" s="214"/>
      <c r="M362" s="215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  <c r="AM362" s="216"/>
      <c r="AN362" s="216"/>
      <c r="AO362" s="216"/>
      <c r="AP362" s="216"/>
      <c r="AQ362" s="216"/>
      <c r="AR362" s="216"/>
      <c r="AS362" s="216"/>
      <c r="AT362" s="216"/>
    </row>
    <row r="363" spans="1:46" ht="12.75" x14ac:dyDescent="0.2">
      <c r="A363" s="214"/>
      <c r="B363" s="214"/>
      <c r="C363" s="214"/>
      <c r="D363" s="214"/>
      <c r="E363" s="214"/>
      <c r="F363" s="214"/>
      <c r="G363" s="214"/>
      <c r="H363" s="214"/>
      <c r="I363" s="214"/>
      <c r="J363" s="214"/>
      <c r="K363" s="214"/>
      <c r="L363" s="214"/>
      <c r="M363" s="215"/>
      <c r="N363" s="215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16"/>
      <c r="AN363" s="216"/>
      <c r="AO363" s="216"/>
      <c r="AP363" s="216"/>
      <c r="AQ363" s="216"/>
      <c r="AR363" s="216"/>
      <c r="AS363" s="216"/>
      <c r="AT363" s="216"/>
    </row>
    <row r="364" spans="1:46" ht="12.75" x14ac:dyDescent="0.2">
      <c r="A364" s="214"/>
      <c r="B364" s="214"/>
      <c r="C364" s="214"/>
      <c r="D364" s="214"/>
      <c r="E364" s="214"/>
      <c r="F364" s="214"/>
      <c r="G364" s="214"/>
      <c r="H364" s="214"/>
      <c r="I364" s="214"/>
      <c r="J364" s="214"/>
      <c r="K364" s="214"/>
      <c r="L364" s="214"/>
      <c r="M364" s="215"/>
      <c r="N364" s="215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  <c r="AM364" s="216"/>
      <c r="AN364" s="216"/>
      <c r="AO364" s="216"/>
      <c r="AP364" s="216"/>
      <c r="AQ364" s="216"/>
      <c r="AR364" s="216"/>
      <c r="AS364" s="216"/>
      <c r="AT364" s="216"/>
    </row>
    <row r="365" spans="1:46" ht="12.75" x14ac:dyDescent="0.2">
      <c r="A365" s="214"/>
      <c r="B365" s="214"/>
      <c r="C365" s="214"/>
      <c r="D365" s="214"/>
      <c r="E365" s="214"/>
      <c r="F365" s="214"/>
      <c r="G365" s="214"/>
      <c r="H365" s="214"/>
      <c r="I365" s="214"/>
      <c r="J365" s="214"/>
      <c r="K365" s="214"/>
      <c r="L365" s="214"/>
      <c r="M365" s="215"/>
      <c r="N365" s="215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16"/>
      <c r="AN365" s="216"/>
      <c r="AO365" s="216"/>
      <c r="AP365" s="216"/>
      <c r="AQ365" s="216"/>
      <c r="AR365" s="216"/>
      <c r="AS365" s="216"/>
      <c r="AT365" s="216"/>
    </row>
    <row r="366" spans="1:46" ht="12.75" x14ac:dyDescent="0.2">
      <c r="A366" s="214"/>
      <c r="B366" s="214"/>
      <c r="C366" s="214"/>
      <c r="D366" s="214"/>
      <c r="E366" s="214"/>
      <c r="F366" s="214"/>
      <c r="G366" s="214"/>
      <c r="H366" s="214"/>
      <c r="I366" s="214"/>
      <c r="J366" s="214"/>
      <c r="K366" s="214"/>
      <c r="L366" s="214"/>
      <c r="M366" s="215"/>
      <c r="N366" s="215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</row>
    <row r="367" spans="1:46" ht="12.75" x14ac:dyDescent="0.2">
      <c r="A367" s="214"/>
      <c r="B367" s="214"/>
      <c r="C367" s="214"/>
      <c r="D367" s="214"/>
      <c r="E367" s="214"/>
      <c r="F367" s="214"/>
      <c r="G367" s="214"/>
      <c r="H367" s="214"/>
      <c r="I367" s="214"/>
      <c r="J367" s="214"/>
      <c r="K367" s="214"/>
      <c r="L367" s="214"/>
      <c r="M367" s="215"/>
      <c r="N367" s="215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  <c r="AM367" s="216"/>
      <c r="AN367" s="216"/>
      <c r="AO367" s="216"/>
      <c r="AP367" s="216"/>
      <c r="AQ367" s="216"/>
      <c r="AR367" s="216"/>
      <c r="AS367" s="216"/>
      <c r="AT367" s="216"/>
    </row>
    <row r="368" spans="1:46" ht="12.75" x14ac:dyDescent="0.2">
      <c r="A368" s="214"/>
      <c r="B368" s="214"/>
      <c r="C368" s="214"/>
      <c r="D368" s="214"/>
      <c r="E368" s="214"/>
      <c r="F368" s="214"/>
      <c r="G368" s="214"/>
      <c r="H368" s="214"/>
      <c r="I368" s="214"/>
      <c r="J368" s="214"/>
      <c r="K368" s="214"/>
      <c r="L368" s="214"/>
      <c r="M368" s="215"/>
      <c r="N368" s="215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  <c r="AM368" s="216"/>
      <c r="AN368" s="216"/>
      <c r="AO368" s="216"/>
      <c r="AP368" s="216"/>
      <c r="AQ368" s="216"/>
      <c r="AR368" s="216"/>
      <c r="AS368" s="216"/>
      <c r="AT368" s="216"/>
    </row>
    <row r="369" spans="1:46" ht="12.75" x14ac:dyDescent="0.2">
      <c r="A369" s="214"/>
      <c r="B369" s="214"/>
      <c r="C369" s="214"/>
      <c r="D369" s="214"/>
      <c r="E369" s="214"/>
      <c r="F369" s="214"/>
      <c r="G369" s="214"/>
      <c r="H369" s="214"/>
      <c r="I369" s="214"/>
      <c r="J369" s="214"/>
      <c r="K369" s="214"/>
      <c r="L369" s="214"/>
      <c r="M369" s="215"/>
      <c r="N369" s="215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  <c r="AM369" s="216"/>
      <c r="AN369" s="216"/>
      <c r="AO369" s="216"/>
      <c r="AP369" s="216"/>
      <c r="AQ369" s="216"/>
      <c r="AR369" s="216"/>
      <c r="AS369" s="216"/>
      <c r="AT369" s="216"/>
    </row>
    <row r="370" spans="1:46" ht="12.75" x14ac:dyDescent="0.2">
      <c r="A370" s="214"/>
      <c r="B370" s="214"/>
      <c r="C370" s="214"/>
      <c r="D370" s="214"/>
      <c r="E370" s="214"/>
      <c r="F370" s="214"/>
      <c r="G370" s="214"/>
      <c r="H370" s="214"/>
      <c r="I370" s="214"/>
      <c r="J370" s="214"/>
      <c r="K370" s="214"/>
      <c r="L370" s="214"/>
      <c r="M370" s="215"/>
      <c r="N370" s="215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</row>
    <row r="371" spans="1:46" ht="12.75" x14ac:dyDescent="0.2">
      <c r="A371" s="214"/>
      <c r="B371" s="214"/>
      <c r="C371" s="214"/>
      <c r="D371" s="214"/>
      <c r="E371" s="214"/>
      <c r="F371" s="214"/>
      <c r="G371" s="214"/>
      <c r="H371" s="214"/>
      <c r="I371" s="214"/>
      <c r="J371" s="214"/>
      <c r="K371" s="214"/>
      <c r="L371" s="214"/>
      <c r="M371" s="215"/>
      <c r="N371" s="215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</row>
    <row r="372" spans="1:46" ht="12.75" x14ac:dyDescent="0.2">
      <c r="A372" s="214"/>
      <c r="B372" s="214"/>
      <c r="C372" s="214"/>
      <c r="D372" s="214"/>
      <c r="E372" s="214"/>
      <c r="F372" s="214"/>
      <c r="G372" s="214"/>
      <c r="H372" s="214"/>
      <c r="I372" s="214"/>
      <c r="J372" s="214"/>
      <c r="K372" s="214"/>
      <c r="L372" s="214"/>
      <c r="M372" s="215"/>
      <c r="N372" s="215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</row>
    <row r="373" spans="1:46" ht="12.75" x14ac:dyDescent="0.2">
      <c r="A373" s="214"/>
      <c r="B373" s="214"/>
      <c r="C373" s="214"/>
      <c r="D373" s="214"/>
      <c r="E373" s="214"/>
      <c r="F373" s="214"/>
      <c r="G373" s="214"/>
      <c r="H373" s="214"/>
      <c r="I373" s="214"/>
      <c r="J373" s="214"/>
      <c r="K373" s="214"/>
      <c r="L373" s="214"/>
      <c r="M373" s="215"/>
      <c r="N373" s="215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</row>
    <row r="374" spans="1:46" ht="12.75" x14ac:dyDescent="0.2">
      <c r="A374" s="214"/>
      <c r="B374" s="214"/>
      <c r="C374" s="214"/>
      <c r="D374" s="214"/>
      <c r="E374" s="214"/>
      <c r="F374" s="214"/>
      <c r="G374" s="214"/>
      <c r="H374" s="214"/>
      <c r="I374" s="214"/>
      <c r="J374" s="214"/>
      <c r="K374" s="214"/>
      <c r="L374" s="214"/>
      <c r="M374" s="215"/>
      <c r="N374" s="215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</row>
    <row r="375" spans="1:46" ht="12.75" x14ac:dyDescent="0.2">
      <c r="A375" s="214"/>
      <c r="B375" s="214"/>
      <c r="C375" s="214"/>
      <c r="D375" s="214"/>
      <c r="E375" s="214"/>
      <c r="F375" s="214"/>
      <c r="G375" s="214"/>
      <c r="H375" s="214"/>
      <c r="I375" s="214"/>
      <c r="J375" s="214"/>
      <c r="K375" s="214"/>
      <c r="L375" s="214"/>
      <c r="M375" s="215"/>
      <c r="N375" s="215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/>
      <c r="AS375" s="216"/>
      <c r="AT375" s="216"/>
    </row>
    <row r="376" spans="1:46" ht="12.75" x14ac:dyDescent="0.2">
      <c r="A376" s="214"/>
      <c r="B376" s="214"/>
      <c r="C376" s="214"/>
      <c r="D376" s="214"/>
      <c r="E376" s="214"/>
      <c r="F376" s="214"/>
      <c r="G376" s="214"/>
      <c r="H376" s="214"/>
      <c r="I376" s="214"/>
      <c r="J376" s="214"/>
      <c r="K376" s="214"/>
      <c r="L376" s="214"/>
      <c r="M376" s="215"/>
      <c r="N376" s="215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16"/>
      <c r="AN376" s="216"/>
      <c r="AO376" s="216"/>
      <c r="AP376" s="216"/>
      <c r="AQ376" s="216"/>
      <c r="AR376" s="216"/>
      <c r="AS376" s="216"/>
      <c r="AT376" s="216"/>
    </row>
    <row r="377" spans="1:46" ht="12.75" x14ac:dyDescent="0.2">
      <c r="A377" s="214"/>
      <c r="B377" s="214"/>
      <c r="C377" s="214"/>
      <c r="D377" s="214"/>
      <c r="E377" s="214"/>
      <c r="F377" s="214"/>
      <c r="G377" s="214"/>
      <c r="H377" s="214"/>
      <c r="I377" s="214"/>
      <c r="J377" s="214"/>
      <c r="K377" s="214"/>
      <c r="L377" s="214"/>
      <c r="M377" s="215"/>
      <c r="N377" s="215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</row>
    <row r="378" spans="1:46" ht="12.75" x14ac:dyDescent="0.2">
      <c r="A378" s="214"/>
      <c r="B378" s="214"/>
      <c r="C378" s="214"/>
      <c r="D378" s="214"/>
      <c r="E378" s="214"/>
      <c r="F378" s="214"/>
      <c r="G378" s="214"/>
      <c r="H378" s="214"/>
      <c r="I378" s="214"/>
      <c r="J378" s="214"/>
      <c r="K378" s="214"/>
      <c r="L378" s="214"/>
      <c r="M378" s="215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</row>
    <row r="379" spans="1:46" ht="12.75" x14ac:dyDescent="0.2">
      <c r="A379" s="214"/>
      <c r="B379" s="214"/>
      <c r="C379" s="214"/>
      <c r="D379" s="214"/>
      <c r="E379" s="214"/>
      <c r="F379" s="214"/>
      <c r="G379" s="214"/>
      <c r="H379" s="214"/>
      <c r="I379" s="214"/>
      <c r="J379" s="214"/>
      <c r="K379" s="214"/>
      <c r="L379" s="214"/>
      <c r="M379" s="215"/>
      <c r="N379" s="215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</row>
    <row r="380" spans="1:46" ht="12.75" x14ac:dyDescent="0.2">
      <c r="A380" s="214"/>
      <c r="B380" s="214"/>
      <c r="C380" s="214"/>
      <c r="D380" s="214"/>
      <c r="E380" s="214"/>
      <c r="F380" s="214"/>
      <c r="G380" s="214"/>
      <c r="H380" s="214"/>
      <c r="I380" s="214"/>
      <c r="J380" s="214"/>
      <c r="K380" s="214"/>
      <c r="L380" s="214"/>
      <c r="M380" s="215"/>
      <c r="N380" s="215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</row>
    <row r="381" spans="1:46" ht="12.75" x14ac:dyDescent="0.2">
      <c r="A381" s="214"/>
      <c r="B381" s="214"/>
      <c r="C381" s="214"/>
      <c r="D381" s="214"/>
      <c r="E381" s="214"/>
      <c r="F381" s="214"/>
      <c r="G381" s="214"/>
      <c r="H381" s="214"/>
      <c r="I381" s="214"/>
      <c r="J381" s="214"/>
      <c r="K381" s="214"/>
      <c r="L381" s="214"/>
      <c r="M381" s="215"/>
      <c r="N381" s="215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</row>
    <row r="382" spans="1:46" ht="12.75" x14ac:dyDescent="0.2">
      <c r="A382" s="214"/>
      <c r="B382" s="214"/>
      <c r="C382" s="214"/>
      <c r="D382" s="214"/>
      <c r="E382" s="214"/>
      <c r="F382" s="214"/>
      <c r="G382" s="214"/>
      <c r="H382" s="214"/>
      <c r="I382" s="214"/>
      <c r="J382" s="214"/>
      <c r="K382" s="214"/>
      <c r="L382" s="214"/>
      <c r="M382" s="215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  <c r="AM382" s="216"/>
      <c r="AN382" s="216"/>
      <c r="AO382" s="216"/>
      <c r="AP382" s="216"/>
      <c r="AQ382" s="216"/>
      <c r="AR382" s="216"/>
      <c r="AS382" s="216"/>
      <c r="AT382" s="216"/>
    </row>
    <row r="383" spans="1:46" ht="12.75" x14ac:dyDescent="0.2">
      <c r="A383" s="214"/>
      <c r="B383" s="214"/>
      <c r="C383" s="21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5"/>
      <c r="N383" s="215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  <c r="AM383" s="216"/>
      <c r="AN383" s="216"/>
      <c r="AO383" s="216"/>
      <c r="AP383" s="216"/>
      <c r="AQ383" s="216"/>
      <c r="AR383" s="216"/>
      <c r="AS383" s="216"/>
      <c r="AT383" s="216"/>
    </row>
    <row r="384" spans="1:46" ht="12.75" x14ac:dyDescent="0.2">
      <c r="A384" s="214"/>
      <c r="B384" s="214"/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5"/>
      <c r="N384" s="215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</row>
    <row r="385" spans="1:46" ht="12.75" x14ac:dyDescent="0.2">
      <c r="A385" s="214"/>
      <c r="B385" s="214"/>
      <c r="C385" s="214"/>
      <c r="D385" s="214"/>
      <c r="E385" s="214"/>
      <c r="F385" s="214"/>
      <c r="G385" s="214"/>
      <c r="H385" s="214"/>
      <c r="I385" s="214"/>
      <c r="J385" s="214"/>
      <c r="K385" s="214"/>
      <c r="L385" s="214"/>
      <c r="M385" s="215"/>
      <c r="N385" s="215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</row>
    <row r="386" spans="1:46" ht="12.75" x14ac:dyDescent="0.2">
      <c r="A386" s="214"/>
      <c r="B386" s="214"/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5"/>
      <c r="N386" s="215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</row>
    <row r="387" spans="1:46" ht="12.75" x14ac:dyDescent="0.2">
      <c r="A387" s="214"/>
      <c r="B387" s="214"/>
      <c r="C387" s="214"/>
      <c r="D387" s="214"/>
      <c r="E387" s="214"/>
      <c r="F387" s="214"/>
      <c r="G387" s="214"/>
      <c r="H387" s="214"/>
      <c r="I387" s="214"/>
      <c r="J387" s="214"/>
      <c r="K387" s="214"/>
      <c r="L387" s="214"/>
      <c r="M387" s="215"/>
      <c r="N387" s="215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</row>
    <row r="388" spans="1:46" ht="12.75" x14ac:dyDescent="0.2">
      <c r="A388" s="214"/>
      <c r="B388" s="214"/>
      <c r="C388" s="214"/>
      <c r="D388" s="214"/>
      <c r="E388" s="214"/>
      <c r="F388" s="214"/>
      <c r="G388" s="214"/>
      <c r="H388" s="214"/>
      <c r="I388" s="214"/>
      <c r="J388" s="214"/>
      <c r="K388" s="214"/>
      <c r="L388" s="214"/>
      <c r="M388" s="215"/>
      <c r="N388" s="215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</row>
    <row r="389" spans="1:46" ht="12.75" x14ac:dyDescent="0.2">
      <c r="A389" s="214"/>
      <c r="B389" s="214"/>
      <c r="C389" s="214"/>
      <c r="D389" s="214"/>
      <c r="E389" s="214"/>
      <c r="F389" s="214"/>
      <c r="G389" s="214"/>
      <c r="H389" s="214"/>
      <c r="I389" s="214"/>
      <c r="J389" s="214"/>
      <c r="K389" s="214"/>
      <c r="L389" s="214"/>
      <c r="M389" s="215"/>
      <c r="N389" s="215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16"/>
      <c r="AN389" s="216"/>
      <c r="AO389" s="216"/>
      <c r="AP389" s="216"/>
      <c r="AQ389" s="216"/>
      <c r="AR389" s="216"/>
      <c r="AS389" s="216"/>
      <c r="AT389" s="216"/>
    </row>
    <row r="390" spans="1:46" ht="12.75" x14ac:dyDescent="0.2">
      <c r="A390" s="214"/>
      <c r="B390" s="214"/>
      <c r="C390" s="214"/>
      <c r="D390" s="214"/>
      <c r="E390" s="214"/>
      <c r="F390" s="214"/>
      <c r="G390" s="214"/>
      <c r="H390" s="214"/>
      <c r="I390" s="214"/>
      <c r="J390" s="214"/>
      <c r="K390" s="214"/>
      <c r="L390" s="214"/>
      <c r="M390" s="215"/>
      <c r="N390" s="215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</row>
    <row r="391" spans="1:46" ht="12.75" x14ac:dyDescent="0.2">
      <c r="A391" s="214"/>
      <c r="B391" s="214"/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5"/>
      <c r="N391" s="215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  <c r="AM391" s="216"/>
      <c r="AN391" s="216"/>
      <c r="AO391" s="216"/>
      <c r="AP391" s="216"/>
      <c r="AQ391" s="216"/>
      <c r="AR391" s="216"/>
      <c r="AS391" s="216"/>
      <c r="AT391" s="216"/>
    </row>
    <row r="392" spans="1:46" ht="12.75" x14ac:dyDescent="0.2">
      <c r="A392" s="214"/>
      <c r="B392" s="214"/>
      <c r="C392" s="214"/>
      <c r="D392" s="214"/>
      <c r="E392" s="214"/>
      <c r="F392" s="214"/>
      <c r="G392" s="214"/>
      <c r="H392" s="214"/>
      <c r="I392" s="214"/>
      <c r="J392" s="214"/>
      <c r="K392" s="214"/>
      <c r="L392" s="214"/>
      <c r="M392" s="215"/>
      <c r="N392" s="215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16"/>
      <c r="AN392" s="216"/>
      <c r="AO392" s="216"/>
      <c r="AP392" s="216"/>
      <c r="AQ392" s="216"/>
      <c r="AR392" s="216"/>
      <c r="AS392" s="216"/>
      <c r="AT392" s="216"/>
    </row>
    <row r="393" spans="1:46" ht="12.75" x14ac:dyDescent="0.2">
      <c r="A393" s="214"/>
      <c r="B393" s="214"/>
      <c r="C393" s="214"/>
      <c r="D393" s="214"/>
      <c r="E393" s="214"/>
      <c r="F393" s="214"/>
      <c r="G393" s="214"/>
      <c r="H393" s="214"/>
      <c r="I393" s="214"/>
      <c r="J393" s="214"/>
      <c r="K393" s="214"/>
      <c r="L393" s="214"/>
      <c r="M393" s="215"/>
      <c r="N393" s="215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16"/>
      <c r="AN393" s="216"/>
      <c r="AO393" s="216"/>
      <c r="AP393" s="216"/>
      <c r="AQ393" s="216"/>
      <c r="AR393" s="216"/>
      <c r="AS393" s="216"/>
      <c r="AT393" s="216"/>
    </row>
    <row r="394" spans="1:46" ht="12.75" x14ac:dyDescent="0.2">
      <c r="A394" s="214"/>
      <c r="B394" s="214"/>
      <c r="C394" s="214"/>
      <c r="D394" s="214"/>
      <c r="E394" s="214"/>
      <c r="F394" s="214"/>
      <c r="G394" s="214"/>
      <c r="H394" s="214"/>
      <c r="I394" s="214"/>
      <c r="J394" s="214"/>
      <c r="K394" s="214"/>
      <c r="L394" s="214"/>
      <c r="M394" s="215"/>
      <c r="N394" s="215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</row>
    <row r="395" spans="1:46" ht="12.75" x14ac:dyDescent="0.2">
      <c r="A395" s="214"/>
      <c r="B395" s="214"/>
      <c r="C395" s="214"/>
      <c r="D395" s="214"/>
      <c r="E395" s="214"/>
      <c r="F395" s="214"/>
      <c r="G395" s="214"/>
      <c r="H395" s="214"/>
      <c r="I395" s="214"/>
      <c r="J395" s="214"/>
      <c r="K395" s="214"/>
      <c r="L395" s="214"/>
      <c r="M395" s="215"/>
      <c r="N395" s="215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  <c r="AM395" s="216"/>
      <c r="AN395" s="216"/>
      <c r="AO395" s="216"/>
      <c r="AP395" s="216"/>
      <c r="AQ395" s="216"/>
      <c r="AR395" s="216"/>
      <c r="AS395" s="216"/>
      <c r="AT395" s="216"/>
    </row>
    <row r="396" spans="1:46" ht="12.75" x14ac:dyDescent="0.2">
      <c r="A396" s="214"/>
      <c r="B396" s="214"/>
      <c r="C396" s="214"/>
      <c r="D396" s="214"/>
      <c r="E396" s="214"/>
      <c r="F396" s="214"/>
      <c r="G396" s="214"/>
      <c r="H396" s="214"/>
      <c r="I396" s="214"/>
      <c r="J396" s="214"/>
      <c r="K396" s="214"/>
      <c r="L396" s="214"/>
      <c r="M396" s="215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  <c r="AM396" s="216"/>
      <c r="AN396" s="216"/>
      <c r="AO396" s="216"/>
      <c r="AP396" s="216"/>
      <c r="AQ396" s="216"/>
      <c r="AR396" s="216"/>
      <c r="AS396" s="216"/>
      <c r="AT396" s="216"/>
    </row>
    <row r="397" spans="1:46" ht="12.75" x14ac:dyDescent="0.2">
      <c r="A397" s="214"/>
      <c r="B397" s="214"/>
      <c r="C397" s="214"/>
      <c r="D397" s="214"/>
      <c r="E397" s="214"/>
      <c r="F397" s="214"/>
      <c r="G397" s="214"/>
      <c r="H397" s="214"/>
      <c r="I397" s="214"/>
      <c r="J397" s="214"/>
      <c r="K397" s="214"/>
      <c r="L397" s="214"/>
      <c r="M397" s="215"/>
      <c r="N397" s="215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  <c r="AM397" s="216"/>
      <c r="AN397" s="216"/>
      <c r="AO397" s="216"/>
      <c r="AP397" s="216"/>
      <c r="AQ397" s="216"/>
      <c r="AR397" s="216"/>
      <c r="AS397" s="216"/>
      <c r="AT397" s="216"/>
    </row>
    <row r="398" spans="1:46" ht="12.75" x14ac:dyDescent="0.2">
      <c r="A398" s="214"/>
      <c r="B398" s="214"/>
      <c r="C398" s="214"/>
      <c r="D398" s="214"/>
      <c r="E398" s="214"/>
      <c r="F398" s="214"/>
      <c r="G398" s="214"/>
      <c r="H398" s="214"/>
      <c r="I398" s="214"/>
      <c r="J398" s="214"/>
      <c r="K398" s="214"/>
      <c r="L398" s="214"/>
      <c r="M398" s="215"/>
      <c r="N398" s="215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16"/>
      <c r="AS398" s="216"/>
      <c r="AT398" s="216"/>
    </row>
    <row r="399" spans="1:46" ht="12.75" x14ac:dyDescent="0.2">
      <c r="A399" s="214"/>
      <c r="B399" s="214"/>
      <c r="C399" s="214"/>
      <c r="D399" s="214"/>
      <c r="E399" s="214"/>
      <c r="F399" s="214"/>
      <c r="G399" s="214"/>
      <c r="H399" s="214"/>
      <c r="I399" s="214"/>
      <c r="J399" s="214"/>
      <c r="K399" s="214"/>
      <c r="L399" s="214"/>
      <c r="M399" s="215"/>
      <c r="N399" s="215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  <c r="AM399" s="216"/>
      <c r="AN399" s="216"/>
      <c r="AO399" s="216"/>
      <c r="AP399" s="216"/>
      <c r="AQ399" s="216"/>
      <c r="AR399" s="216"/>
      <c r="AS399" s="216"/>
      <c r="AT399" s="216"/>
    </row>
    <row r="400" spans="1:46" ht="12.75" x14ac:dyDescent="0.2">
      <c r="A400" s="214"/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5"/>
      <c r="N400" s="215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16"/>
      <c r="AN400" s="216"/>
      <c r="AO400" s="216"/>
      <c r="AP400" s="216"/>
      <c r="AQ400" s="216"/>
      <c r="AR400" s="216"/>
      <c r="AS400" s="216"/>
      <c r="AT400" s="216"/>
    </row>
    <row r="401" spans="1:46" ht="12.75" x14ac:dyDescent="0.2">
      <c r="A401" s="214"/>
      <c r="B401" s="214"/>
      <c r="C401" s="214"/>
      <c r="D401" s="214"/>
      <c r="E401" s="214"/>
      <c r="F401" s="214"/>
      <c r="G401" s="214"/>
      <c r="H401" s="214"/>
      <c r="I401" s="214"/>
      <c r="J401" s="214"/>
      <c r="K401" s="214"/>
      <c r="L401" s="214"/>
      <c r="M401" s="215"/>
      <c r="N401" s="215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  <c r="AM401" s="216"/>
      <c r="AN401" s="216"/>
      <c r="AO401" s="216"/>
      <c r="AP401" s="216"/>
      <c r="AQ401" s="216"/>
      <c r="AR401" s="216"/>
      <c r="AS401" s="216"/>
      <c r="AT401" s="216"/>
    </row>
    <row r="402" spans="1:46" ht="12.75" x14ac:dyDescent="0.2">
      <c r="A402" s="214"/>
      <c r="B402" s="214"/>
      <c r="C402" s="214"/>
      <c r="D402" s="214"/>
      <c r="E402" s="214"/>
      <c r="F402" s="214"/>
      <c r="G402" s="214"/>
      <c r="H402" s="214"/>
      <c r="I402" s="214"/>
      <c r="J402" s="214"/>
      <c r="K402" s="214"/>
      <c r="L402" s="214"/>
      <c r="M402" s="215"/>
      <c r="N402" s="215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16"/>
      <c r="AN402" s="216"/>
      <c r="AO402" s="216"/>
      <c r="AP402" s="216"/>
      <c r="AQ402" s="216"/>
      <c r="AR402" s="216"/>
      <c r="AS402" s="216"/>
      <c r="AT402" s="216"/>
    </row>
    <row r="403" spans="1:46" ht="12.75" x14ac:dyDescent="0.2">
      <c r="A403" s="214"/>
      <c r="B403" s="214"/>
      <c r="C403" s="214"/>
      <c r="D403" s="214"/>
      <c r="E403" s="214"/>
      <c r="F403" s="214"/>
      <c r="G403" s="214"/>
      <c r="H403" s="214"/>
      <c r="I403" s="214"/>
      <c r="J403" s="214"/>
      <c r="K403" s="214"/>
      <c r="L403" s="214"/>
      <c r="M403" s="215"/>
      <c r="N403" s="215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</row>
    <row r="404" spans="1:46" ht="12.75" x14ac:dyDescent="0.2">
      <c r="A404" s="214"/>
      <c r="B404" s="214"/>
      <c r="C404" s="214"/>
      <c r="D404" s="214"/>
      <c r="E404" s="214"/>
      <c r="F404" s="214"/>
      <c r="G404" s="214"/>
      <c r="H404" s="214"/>
      <c r="I404" s="214"/>
      <c r="J404" s="214"/>
      <c r="K404" s="214"/>
      <c r="L404" s="214"/>
      <c r="M404" s="215"/>
      <c r="N404" s="215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</row>
    <row r="405" spans="1:46" ht="12.75" x14ac:dyDescent="0.2">
      <c r="A405" s="214"/>
      <c r="B405" s="214"/>
      <c r="C405" s="214"/>
      <c r="D405" s="214"/>
      <c r="E405" s="214"/>
      <c r="F405" s="214"/>
      <c r="G405" s="214"/>
      <c r="H405" s="214"/>
      <c r="I405" s="214"/>
      <c r="J405" s="214"/>
      <c r="K405" s="214"/>
      <c r="L405" s="214"/>
      <c r="M405" s="215"/>
      <c r="N405" s="215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16"/>
      <c r="AN405" s="216"/>
      <c r="AO405" s="216"/>
      <c r="AP405" s="216"/>
      <c r="AQ405" s="216"/>
      <c r="AR405" s="216"/>
      <c r="AS405" s="216"/>
      <c r="AT405" s="216"/>
    </row>
    <row r="406" spans="1:46" ht="12.75" x14ac:dyDescent="0.2">
      <c r="A406" s="214"/>
      <c r="B406" s="214"/>
      <c r="C406" s="214"/>
      <c r="D406" s="214"/>
      <c r="E406" s="214"/>
      <c r="F406" s="214"/>
      <c r="G406" s="214"/>
      <c r="H406" s="214"/>
      <c r="I406" s="214"/>
      <c r="J406" s="214"/>
      <c r="K406" s="214"/>
      <c r="L406" s="214"/>
      <c r="M406" s="215"/>
      <c r="N406" s="215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16"/>
      <c r="AN406" s="216"/>
      <c r="AO406" s="216"/>
      <c r="AP406" s="216"/>
      <c r="AQ406" s="216"/>
      <c r="AR406" s="216"/>
      <c r="AS406" s="216"/>
      <c r="AT406" s="216"/>
    </row>
    <row r="407" spans="1:46" ht="12.75" x14ac:dyDescent="0.2">
      <c r="A407" s="214"/>
      <c r="B407" s="214"/>
      <c r="C407" s="214"/>
      <c r="D407" s="214"/>
      <c r="E407" s="214"/>
      <c r="F407" s="214"/>
      <c r="G407" s="214"/>
      <c r="H407" s="214"/>
      <c r="I407" s="214"/>
      <c r="J407" s="214"/>
      <c r="K407" s="214"/>
      <c r="L407" s="214"/>
      <c r="M407" s="215"/>
      <c r="N407" s="215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16"/>
      <c r="AN407" s="216"/>
      <c r="AO407" s="216"/>
      <c r="AP407" s="216"/>
      <c r="AQ407" s="216"/>
      <c r="AR407" s="216"/>
      <c r="AS407" s="216"/>
      <c r="AT407" s="216"/>
    </row>
    <row r="408" spans="1:46" ht="12.75" x14ac:dyDescent="0.2">
      <c r="A408" s="214"/>
      <c r="B408" s="214"/>
      <c r="C408" s="214"/>
      <c r="D408" s="214"/>
      <c r="E408" s="214"/>
      <c r="F408" s="214"/>
      <c r="G408" s="214"/>
      <c r="H408" s="214"/>
      <c r="I408" s="214"/>
      <c r="J408" s="214"/>
      <c r="K408" s="214"/>
      <c r="L408" s="214"/>
      <c r="M408" s="215"/>
      <c r="N408" s="215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16"/>
      <c r="AN408" s="216"/>
      <c r="AO408" s="216"/>
      <c r="AP408" s="216"/>
      <c r="AQ408" s="216"/>
      <c r="AR408" s="216"/>
      <c r="AS408" s="216"/>
      <c r="AT408" s="216"/>
    </row>
    <row r="409" spans="1:46" ht="12.75" x14ac:dyDescent="0.2">
      <c r="A409" s="214"/>
      <c r="B409" s="214"/>
      <c r="C409" s="214"/>
      <c r="D409" s="214"/>
      <c r="E409" s="214"/>
      <c r="F409" s="214"/>
      <c r="G409" s="214"/>
      <c r="H409" s="214"/>
      <c r="I409" s="214"/>
      <c r="J409" s="214"/>
      <c r="K409" s="214"/>
      <c r="L409" s="214"/>
      <c r="M409" s="215"/>
      <c r="N409" s="215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/>
    </row>
    <row r="410" spans="1:46" ht="12.75" x14ac:dyDescent="0.2">
      <c r="A410" s="214"/>
      <c r="B410" s="214"/>
      <c r="C410" s="214"/>
      <c r="D410" s="214"/>
      <c r="E410" s="214"/>
      <c r="F410" s="214"/>
      <c r="G410" s="214"/>
      <c r="H410" s="214"/>
      <c r="I410" s="214"/>
      <c r="J410" s="214"/>
      <c r="K410" s="214"/>
      <c r="L410" s="214"/>
      <c r="M410" s="215"/>
      <c r="N410" s="215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16"/>
      <c r="AN410" s="216"/>
      <c r="AO410" s="216"/>
      <c r="AP410" s="216"/>
      <c r="AQ410" s="216"/>
      <c r="AR410" s="216"/>
      <c r="AS410" s="216"/>
      <c r="AT410" s="216"/>
    </row>
    <row r="411" spans="1:46" ht="12.75" x14ac:dyDescent="0.2">
      <c r="A411" s="214"/>
      <c r="B411" s="214"/>
      <c r="C411" s="214"/>
      <c r="D411" s="214"/>
      <c r="E411" s="214"/>
      <c r="F411" s="214"/>
      <c r="G411" s="214"/>
      <c r="H411" s="214"/>
      <c r="I411" s="214"/>
      <c r="J411" s="214"/>
      <c r="K411" s="214"/>
      <c r="L411" s="214"/>
      <c r="M411" s="215"/>
      <c r="N411" s="215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</row>
    <row r="412" spans="1:46" ht="12.75" x14ac:dyDescent="0.2">
      <c r="A412" s="214"/>
      <c r="B412" s="214"/>
      <c r="C412" s="214"/>
      <c r="D412" s="214"/>
      <c r="E412" s="214"/>
      <c r="F412" s="214"/>
      <c r="G412" s="214"/>
      <c r="H412" s="214"/>
      <c r="I412" s="214"/>
      <c r="J412" s="214"/>
      <c r="K412" s="214"/>
      <c r="L412" s="214"/>
      <c r="M412" s="215"/>
      <c r="N412" s="215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</row>
    <row r="413" spans="1:46" ht="12.75" x14ac:dyDescent="0.2">
      <c r="A413" s="214"/>
      <c r="B413" s="214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/>
      <c r="M413" s="215"/>
      <c r="N413" s="215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</row>
    <row r="414" spans="1:46" ht="12.75" x14ac:dyDescent="0.2">
      <c r="A414" s="214"/>
      <c r="B414" s="214"/>
      <c r="C414" s="214"/>
      <c r="D414" s="214"/>
      <c r="E414" s="214"/>
      <c r="F414" s="214"/>
      <c r="G414" s="214"/>
      <c r="H414" s="214"/>
      <c r="I414" s="214"/>
      <c r="J414" s="214"/>
      <c r="K414" s="214"/>
      <c r="L414" s="214"/>
      <c r="M414" s="215"/>
      <c r="N414" s="215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</row>
    <row r="415" spans="1:46" ht="12.75" x14ac:dyDescent="0.2">
      <c r="A415" s="214"/>
      <c r="B415" s="214"/>
      <c r="C415" s="214"/>
      <c r="D415" s="214"/>
      <c r="E415" s="214"/>
      <c r="F415" s="214"/>
      <c r="G415" s="214"/>
      <c r="H415" s="214"/>
      <c r="I415" s="214"/>
      <c r="J415" s="214"/>
      <c r="K415" s="214"/>
      <c r="L415" s="214"/>
      <c r="M415" s="215"/>
      <c r="N415" s="215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</row>
    <row r="416" spans="1:46" ht="12.75" x14ac:dyDescent="0.2">
      <c r="A416" s="214"/>
      <c r="B416" s="214"/>
      <c r="C416" s="214"/>
      <c r="D416" s="214"/>
      <c r="E416" s="214"/>
      <c r="F416" s="214"/>
      <c r="G416" s="214"/>
      <c r="H416" s="214"/>
      <c r="I416" s="214"/>
      <c r="J416" s="214"/>
      <c r="K416" s="214"/>
      <c r="L416" s="214"/>
      <c r="M416" s="215"/>
      <c r="N416" s="215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</row>
    <row r="417" spans="1:46" ht="12.75" x14ac:dyDescent="0.2">
      <c r="A417" s="214"/>
      <c r="B417" s="214"/>
      <c r="C417" s="214"/>
      <c r="D417" s="214"/>
      <c r="E417" s="214"/>
      <c r="F417" s="214"/>
      <c r="G417" s="214"/>
      <c r="H417" s="214"/>
      <c r="I417" s="214"/>
      <c r="J417" s="214"/>
      <c r="K417" s="214"/>
      <c r="L417" s="214"/>
      <c r="M417" s="215"/>
      <c r="N417" s="215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</row>
    <row r="418" spans="1:46" ht="12.75" x14ac:dyDescent="0.2">
      <c r="A418" s="214"/>
      <c r="B418" s="214"/>
      <c r="C418" s="214"/>
      <c r="D418" s="214"/>
      <c r="E418" s="214"/>
      <c r="F418" s="214"/>
      <c r="G418" s="214"/>
      <c r="H418" s="214"/>
      <c r="I418" s="214"/>
      <c r="J418" s="214"/>
      <c r="K418" s="214"/>
      <c r="L418" s="214"/>
      <c r="M418" s="215"/>
      <c r="N418" s="215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</row>
    <row r="419" spans="1:46" ht="12.75" x14ac:dyDescent="0.2">
      <c r="A419" s="214"/>
      <c r="B419" s="214"/>
      <c r="C419" s="214"/>
      <c r="D419" s="214"/>
      <c r="E419" s="214"/>
      <c r="F419" s="214"/>
      <c r="G419" s="214"/>
      <c r="H419" s="214"/>
      <c r="I419" s="214"/>
      <c r="J419" s="214"/>
      <c r="K419" s="214"/>
      <c r="L419" s="214"/>
      <c r="M419" s="215"/>
      <c r="N419" s="215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</row>
    <row r="420" spans="1:46" ht="12.75" x14ac:dyDescent="0.2">
      <c r="A420" s="214"/>
      <c r="B420" s="214"/>
      <c r="C420" s="214"/>
      <c r="D420" s="214"/>
      <c r="E420" s="214"/>
      <c r="F420" s="214"/>
      <c r="G420" s="214"/>
      <c r="H420" s="214"/>
      <c r="I420" s="214"/>
      <c r="J420" s="214"/>
      <c r="K420" s="214"/>
      <c r="L420" s="214"/>
      <c r="M420" s="215"/>
      <c r="N420" s="215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16"/>
      <c r="AN420" s="216"/>
      <c r="AO420" s="216"/>
      <c r="AP420" s="216"/>
      <c r="AQ420" s="216"/>
      <c r="AR420" s="216"/>
      <c r="AS420" s="216"/>
      <c r="AT420" s="216"/>
    </row>
    <row r="421" spans="1:46" ht="12.75" x14ac:dyDescent="0.2">
      <c r="A421" s="214"/>
      <c r="B421" s="214"/>
      <c r="C421" s="214"/>
      <c r="D421" s="214"/>
      <c r="E421" s="214"/>
      <c r="F421" s="214"/>
      <c r="G421" s="214"/>
      <c r="H421" s="214"/>
      <c r="I421" s="214"/>
      <c r="J421" s="214"/>
      <c r="K421" s="214"/>
      <c r="L421" s="214"/>
      <c r="M421" s="215"/>
      <c r="N421" s="215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216"/>
      <c r="AR421" s="216"/>
      <c r="AS421" s="216"/>
      <c r="AT421" s="216"/>
    </row>
    <row r="422" spans="1:46" ht="12.75" x14ac:dyDescent="0.2">
      <c r="A422" s="214"/>
      <c r="B422" s="214"/>
      <c r="C422" s="214"/>
      <c r="D422" s="214"/>
      <c r="E422" s="214"/>
      <c r="F422" s="214"/>
      <c r="G422" s="214"/>
      <c r="H422" s="214"/>
      <c r="I422" s="214"/>
      <c r="J422" s="214"/>
      <c r="K422" s="214"/>
      <c r="L422" s="214"/>
      <c r="M422" s="215"/>
      <c r="N422" s="215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16"/>
      <c r="AN422" s="216"/>
      <c r="AO422" s="216"/>
      <c r="AP422" s="216"/>
      <c r="AQ422" s="216"/>
      <c r="AR422" s="216"/>
      <c r="AS422" s="216"/>
      <c r="AT422" s="216"/>
    </row>
    <row r="423" spans="1:46" ht="12.75" x14ac:dyDescent="0.2">
      <c r="A423" s="214"/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5"/>
      <c r="N423" s="215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16"/>
      <c r="AN423" s="216"/>
      <c r="AO423" s="216"/>
      <c r="AP423" s="216"/>
      <c r="AQ423" s="216"/>
      <c r="AR423" s="216"/>
      <c r="AS423" s="216"/>
      <c r="AT423" s="216"/>
    </row>
    <row r="424" spans="1:46" ht="12.75" x14ac:dyDescent="0.2">
      <c r="A424" s="214"/>
      <c r="B424" s="214"/>
      <c r="C424" s="214"/>
      <c r="D424" s="214"/>
      <c r="E424" s="214"/>
      <c r="F424" s="214"/>
      <c r="G424" s="214"/>
      <c r="H424" s="214"/>
      <c r="I424" s="214"/>
      <c r="J424" s="214"/>
      <c r="K424" s="214"/>
      <c r="L424" s="214"/>
      <c r="M424" s="215"/>
      <c r="N424" s="215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16"/>
      <c r="AN424" s="216"/>
      <c r="AO424" s="216"/>
      <c r="AP424" s="216"/>
      <c r="AQ424" s="216"/>
      <c r="AR424" s="216"/>
      <c r="AS424" s="216"/>
      <c r="AT424" s="216"/>
    </row>
    <row r="425" spans="1:46" ht="12.75" x14ac:dyDescent="0.2">
      <c r="A425" s="214"/>
      <c r="B425" s="214"/>
      <c r="C425" s="214"/>
      <c r="D425" s="214"/>
      <c r="E425" s="214"/>
      <c r="F425" s="214"/>
      <c r="G425" s="214"/>
      <c r="H425" s="214"/>
      <c r="I425" s="214"/>
      <c r="J425" s="214"/>
      <c r="K425" s="214"/>
      <c r="L425" s="214"/>
      <c r="M425" s="215"/>
      <c r="N425" s="215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16"/>
      <c r="AN425" s="216"/>
      <c r="AO425" s="216"/>
      <c r="AP425" s="216"/>
      <c r="AQ425" s="216"/>
      <c r="AR425" s="216"/>
      <c r="AS425" s="216"/>
      <c r="AT425" s="216"/>
    </row>
    <row r="426" spans="1:46" ht="12.75" x14ac:dyDescent="0.2">
      <c r="A426" s="214"/>
      <c r="B426" s="214"/>
      <c r="C426" s="214"/>
      <c r="D426" s="214"/>
      <c r="E426" s="214"/>
      <c r="F426" s="214"/>
      <c r="G426" s="214"/>
      <c r="H426" s="214"/>
      <c r="I426" s="214"/>
      <c r="J426" s="214"/>
      <c r="K426" s="214"/>
      <c r="L426" s="214"/>
      <c r="M426" s="215"/>
      <c r="N426" s="215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16"/>
      <c r="AN426" s="216"/>
      <c r="AO426" s="216"/>
      <c r="AP426" s="216"/>
      <c r="AQ426" s="216"/>
      <c r="AR426" s="216"/>
      <c r="AS426" s="216"/>
      <c r="AT426" s="216"/>
    </row>
    <row r="427" spans="1:46" ht="12.75" x14ac:dyDescent="0.2">
      <c r="A427" s="214"/>
      <c r="B427" s="214"/>
      <c r="C427" s="214"/>
      <c r="D427" s="214"/>
      <c r="E427" s="214"/>
      <c r="F427" s="214"/>
      <c r="G427" s="214"/>
      <c r="H427" s="214"/>
      <c r="I427" s="214"/>
      <c r="J427" s="214"/>
      <c r="K427" s="214"/>
      <c r="L427" s="214"/>
      <c r="M427" s="215"/>
      <c r="N427" s="215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216"/>
      <c r="AS427" s="216"/>
      <c r="AT427" s="216"/>
    </row>
    <row r="428" spans="1:46" ht="12.75" x14ac:dyDescent="0.2">
      <c r="A428" s="214"/>
      <c r="B428" s="214"/>
      <c r="C428" s="214"/>
      <c r="D428" s="214"/>
      <c r="E428" s="214"/>
      <c r="F428" s="214"/>
      <c r="G428" s="214"/>
      <c r="H428" s="214"/>
      <c r="I428" s="214"/>
      <c r="J428" s="214"/>
      <c r="K428" s="214"/>
      <c r="L428" s="214"/>
      <c r="M428" s="215"/>
      <c r="N428" s="215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216"/>
      <c r="AS428" s="216"/>
      <c r="AT428" s="216"/>
    </row>
    <row r="429" spans="1:46" ht="12.75" x14ac:dyDescent="0.2">
      <c r="A429" s="214"/>
      <c r="B429" s="214"/>
      <c r="C429" s="214"/>
      <c r="D429" s="214"/>
      <c r="E429" s="214"/>
      <c r="F429" s="214"/>
      <c r="G429" s="214"/>
      <c r="H429" s="214"/>
      <c r="I429" s="214"/>
      <c r="J429" s="214"/>
      <c r="K429" s="214"/>
      <c r="L429" s="214"/>
      <c r="M429" s="215"/>
      <c r="N429" s="215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216"/>
      <c r="AS429" s="216"/>
      <c r="AT429" s="216"/>
    </row>
    <row r="430" spans="1:46" ht="12.75" x14ac:dyDescent="0.2">
      <c r="A430" s="214"/>
      <c r="B430" s="214"/>
      <c r="C430" s="214"/>
      <c r="D430" s="214"/>
      <c r="E430" s="214"/>
      <c r="F430" s="214"/>
      <c r="G430" s="214"/>
      <c r="H430" s="214"/>
      <c r="I430" s="214"/>
      <c r="J430" s="214"/>
      <c r="K430" s="214"/>
      <c r="L430" s="214"/>
      <c r="M430" s="215"/>
      <c r="N430" s="215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6"/>
      <c r="AT430" s="216"/>
    </row>
    <row r="431" spans="1:46" ht="12.75" x14ac:dyDescent="0.2">
      <c r="A431" s="214"/>
      <c r="B431" s="214"/>
      <c r="C431" s="214"/>
      <c r="D431" s="214"/>
      <c r="E431" s="214"/>
      <c r="F431" s="214"/>
      <c r="G431" s="214"/>
      <c r="H431" s="214"/>
      <c r="I431" s="214"/>
      <c r="J431" s="214"/>
      <c r="K431" s="214"/>
      <c r="L431" s="214"/>
      <c r="M431" s="215"/>
      <c r="N431" s="215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16"/>
      <c r="AN431" s="216"/>
      <c r="AO431" s="216"/>
      <c r="AP431" s="216"/>
      <c r="AQ431" s="216"/>
      <c r="AR431" s="216"/>
      <c r="AS431" s="216"/>
      <c r="AT431" s="216"/>
    </row>
    <row r="432" spans="1:46" ht="12.75" x14ac:dyDescent="0.2">
      <c r="A432" s="214"/>
      <c r="B432" s="214"/>
      <c r="C432" s="214"/>
      <c r="D432" s="214"/>
      <c r="E432" s="214"/>
      <c r="F432" s="214"/>
      <c r="G432" s="214"/>
      <c r="H432" s="214"/>
      <c r="I432" s="214"/>
      <c r="J432" s="214"/>
      <c r="K432" s="214"/>
      <c r="L432" s="214"/>
      <c r="M432" s="215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16"/>
      <c r="AN432" s="216"/>
      <c r="AO432" s="216"/>
      <c r="AP432" s="216"/>
      <c r="AQ432" s="216"/>
      <c r="AR432" s="216"/>
      <c r="AS432" s="216"/>
      <c r="AT432" s="216"/>
    </row>
    <row r="433" spans="1:46" ht="12.75" x14ac:dyDescent="0.2">
      <c r="A433" s="214"/>
      <c r="B433" s="214"/>
      <c r="C433" s="214"/>
      <c r="D433" s="214"/>
      <c r="E433" s="214"/>
      <c r="F433" s="214"/>
      <c r="G433" s="214"/>
      <c r="H433" s="214"/>
      <c r="I433" s="214"/>
      <c r="J433" s="214"/>
      <c r="K433" s="214"/>
      <c r="L433" s="214"/>
      <c r="M433" s="215"/>
      <c r="N433" s="215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16"/>
      <c r="AN433" s="216"/>
      <c r="AO433" s="216"/>
      <c r="AP433" s="216"/>
      <c r="AQ433" s="216"/>
      <c r="AR433" s="216"/>
      <c r="AS433" s="216"/>
      <c r="AT433" s="216"/>
    </row>
    <row r="434" spans="1:46" ht="12.75" x14ac:dyDescent="0.2">
      <c r="A434" s="214"/>
      <c r="B434" s="214"/>
      <c r="C434" s="214"/>
      <c r="D434" s="214"/>
      <c r="E434" s="214"/>
      <c r="F434" s="214"/>
      <c r="G434" s="214"/>
      <c r="H434" s="214"/>
      <c r="I434" s="214"/>
      <c r="J434" s="214"/>
      <c r="K434" s="214"/>
      <c r="L434" s="214"/>
      <c r="M434" s="215"/>
      <c r="N434" s="215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16"/>
      <c r="AN434" s="216"/>
      <c r="AO434" s="216"/>
      <c r="AP434" s="216"/>
      <c r="AQ434" s="216"/>
      <c r="AR434" s="216"/>
      <c r="AS434" s="216"/>
      <c r="AT434" s="216"/>
    </row>
    <row r="435" spans="1:46" ht="12.75" x14ac:dyDescent="0.2">
      <c r="A435" s="214"/>
      <c r="B435" s="214"/>
      <c r="C435" s="214"/>
      <c r="D435" s="214"/>
      <c r="E435" s="214"/>
      <c r="F435" s="214"/>
      <c r="G435" s="214"/>
      <c r="H435" s="214"/>
      <c r="I435" s="214"/>
      <c r="J435" s="214"/>
      <c r="K435" s="214"/>
      <c r="L435" s="214"/>
      <c r="M435" s="215"/>
      <c r="N435" s="215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16"/>
      <c r="AN435" s="216"/>
      <c r="AO435" s="216"/>
      <c r="AP435" s="216"/>
      <c r="AQ435" s="216"/>
      <c r="AR435" s="216"/>
      <c r="AS435" s="216"/>
      <c r="AT435" s="216"/>
    </row>
    <row r="436" spans="1:46" ht="12.75" x14ac:dyDescent="0.2">
      <c r="A436" s="214"/>
      <c r="B436" s="214"/>
      <c r="C436" s="214"/>
      <c r="D436" s="214"/>
      <c r="E436" s="214"/>
      <c r="F436" s="214"/>
      <c r="G436" s="214"/>
      <c r="H436" s="214"/>
      <c r="I436" s="214"/>
      <c r="J436" s="214"/>
      <c r="K436" s="214"/>
      <c r="L436" s="214"/>
      <c r="M436" s="215"/>
      <c r="N436" s="215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16"/>
      <c r="AN436" s="216"/>
      <c r="AO436" s="216"/>
      <c r="AP436" s="216"/>
      <c r="AQ436" s="216"/>
      <c r="AR436" s="216"/>
      <c r="AS436" s="216"/>
      <c r="AT436" s="216"/>
    </row>
    <row r="437" spans="1:46" ht="12.75" x14ac:dyDescent="0.2">
      <c r="A437" s="214"/>
      <c r="B437" s="214"/>
      <c r="C437" s="214"/>
      <c r="D437" s="214"/>
      <c r="E437" s="214"/>
      <c r="F437" s="214"/>
      <c r="G437" s="214"/>
      <c r="H437" s="214"/>
      <c r="I437" s="214"/>
      <c r="J437" s="214"/>
      <c r="K437" s="214"/>
      <c r="L437" s="214"/>
      <c r="M437" s="215"/>
      <c r="N437" s="215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16"/>
      <c r="AN437" s="216"/>
      <c r="AO437" s="216"/>
      <c r="AP437" s="216"/>
      <c r="AQ437" s="216"/>
      <c r="AR437" s="216"/>
      <c r="AS437" s="216"/>
      <c r="AT437" s="216"/>
    </row>
    <row r="438" spans="1:46" ht="12.75" x14ac:dyDescent="0.2">
      <c r="A438" s="214"/>
      <c r="B438" s="214"/>
      <c r="C438" s="214"/>
      <c r="D438" s="214"/>
      <c r="E438" s="214"/>
      <c r="F438" s="214"/>
      <c r="G438" s="214"/>
      <c r="H438" s="214"/>
      <c r="I438" s="214"/>
      <c r="J438" s="214"/>
      <c r="K438" s="214"/>
      <c r="L438" s="214"/>
      <c r="M438" s="215"/>
      <c r="N438" s="215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16"/>
      <c r="AN438" s="216"/>
      <c r="AO438" s="216"/>
      <c r="AP438" s="216"/>
      <c r="AQ438" s="216"/>
      <c r="AR438" s="216"/>
      <c r="AS438" s="216"/>
      <c r="AT438" s="216"/>
    </row>
    <row r="439" spans="1:46" ht="12.75" x14ac:dyDescent="0.2">
      <c r="A439" s="214"/>
      <c r="B439" s="214"/>
      <c r="C439" s="214"/>
      <c r="D439" s="214"/>
      <c r="E439" s="214"/>
      <c r="F439" s="214"/>
      <c r="G439" s="214"/>
      <c r="H439" s="214"/>
      <c r="I439" s="214"/>
      <c r="J439" s="214"/>
      <c r="K439" s="214"/>
      <c r="L439" s="214"/>
      <c r="M439" s="215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16"/>
      <c r="AN439" s="216"/>
      <c r="AO439" s="216"/>
      <c r="AP439" s="216"/>
      <c r="AQ439" s="216"/>
      <c r="AR439" s="216"/>
      <c r="AS439" s="216"/>
      <c r="AT439" s="216"/>
    </row>
    <row r="440" spans="1:46" ht="12.75" x14ac:dyDescent="0.2">
      <c r="A440" s="214"/>
      <c r="B440" s="214"/>
      <c r="C440" s="214"/>
      <c r="D440" s="214"/>
      <c r="E440" s="214"/>
      <c r="F440" s="214"/>
      <c r="G440" s="214"/>
      <c r="H440" s="214"/>
      <c r="I440" s="214"/>
      <c r="J440" s="214"/>
      <c r="K440" s="214"/>
      <c r="L440" s="214"/>
      <c r="M440" s="215"/>
      <c r="N440" s="215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16"/>
      <c r="AN440" s="216"/>
      <c r="AO440" s="216"/>
      <c r="AP440" s="216"/>
      <c r="AQ440" s="216"/>
      <c r="AR440" s="216"/>
      <c r="AS440" s="216"/>
      <c r="AT440" s="216"/>
    </row>
    <row r="441" spans="1:46" ht="12.75" x14ac:dyDescent="0.2">
      <c r="A441" s="214"/>
      <c r="B441" s="214"/>
      <c r="C441" s="214"/>
      <c r="D441" s="214"/>
      <c r="E441" s="214"/>
      <c r="F441" s="214"/>
      <c r="G441" s="214"/>
      <c r="H441" s="214"/>
      <c r="I441" s="214"/>
      <c r="J441" s="214"/>
      <c r="K441" s="214"/>
      <c r="L441" s="214"/>
      <c r="M441" s="215"/>
      <c r="N441" s="215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16"/>
      <c r="AN441" s="216"/>
      <c r="AO441" s="216"/>
      <c r="AP441" s="216"/>
      <c r="AQ441" s="216"/>
      <c r="AR441" s="216"/>
      <c r="AS441" s="216"/>
      <c r="AT441" s="216"/>
    </row>
    <row r="442" spans="1:46" ht="12.75" x14ac:dyDescent="0.2">
      <c r="A442" s="214"/>
      <c r="B442" s="214"/>
      <c r="C442" s="214"/>
      <c r="D442" s="214"/>
      <c r="E442" s="214"/>
      <c r="F442" s="214"/>
      <c r="G442" s="214"/>
      <c r="H442" s="214"/>
      <c r="I442" s="214"/>
      <c r="J442" s="214"/>
      <c r="K442" s="214"/>
      <c r="L442" s="214"/>
      <c r="M442" s="215"/>
      <c r="N442" s="215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16"/>
      <c r="AN442" s="216"/>
      <c r="AO442" s="216"/>
      <c r="AP442" s="216"/>
      <c r="AQ442" s="216"/>
      <c r="AR442" s="216"/>
      <c r="AS442" s="216"/>
      <c r="AT442" s="216"/>
    </row>
    <row r="443" spans="1:46" ht="12.75" x14ac:dyDescent="0.2">
      <c r="A443" s="214"/>
      <c r="B443" s="214"/>
      <c r="C443" s="214"/>
      <c r="D443" s="214"/>
      <c r="E443" s="214"/>
      <c r="F443" s="214"/>
      <c r="G443" s="214"/>
      <c r="H443" s="214"/>
      <c r="I443" s="214"/>
      <c r="J443" s="214"/>
      <c r="K443" s="214"/>
      <c r="L443" s="214"/>
      <c r="M443" s="215"/>
      <c r="N443" s="215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16"/>
      <c r="AN443" s="216"/>
      <c r="AO443" s="216"/>
      <c r="AP443" s="216"/>
      <c r="AQ443" s="216"/>
      <c r="AR443" s="216"/>
      <c r="AS443" s="216"/>
      <c r="AT443" s="216"/>
    </row>
    <row r="444" spans="1:46" ht="12.75" x14ac:dyDescent="0.2">
      <c r="A444" s="214"/>
      <c r="B444" s="214"/>
      <c r="C444" s="214"/>
      <c r="D444" s="214"/>
      <c r="E444" s="214"/>
      <c r="F444" s="214"/>
      <c r="G444" s="214"/>
      <c r="H444" s="214"/>
      <c r="I444" s="214"/>
      <c r="J444" s="214"/>
      <c r="K444" s="214"/>
      <c r="L444" s="214"/>
      <c r="M444" s="215"/>
      <c r="N444" s="215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16"/>
      <c r="AN444" s="216"/>
      <c r="AO444" s="216"/>
      <c r="AP444" s="216"/>
      <c r="AQ444" s="216"/>
      <c r="AR444" s="216"/>
      <c r="AS444" s="216"/>
      <c r="AT444" s="216"/>
    </row>
    <row r="445" spans="1:46" ht="12.75" x14ac:dyDescent="0.2">
      <c r="A445" s="214"/>
      <c r="B445" s="214"/>
      <c r="C445" s="214"/>
      <c r="D445" s="214"/>
      <c r="E445" s="214"/>
      <c r="F445" s="214"/>
      <c r="G445" s="214"/>
      <c r="H445" s="214"/>
      <c r="I445" s="214"/>
      <c r="J445" s="214"/>
      <c r="K445" s="214"/>
      <c r="L445" s="214"/>
      <c r="M445" s="215"/>
      <c r="N445" s="215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16"/>
      <c r="AN445" s="216"/>
      <c r="AO445" s="216"/>
      <c r="AP445" s="216"/>
      <c r="AQ445" s="216"/>
      <c r="AR445" s="216"/>
      <c r="AS445" s="216"/>
      <c r="AT445" s="216"/>
    </row>
    <row r="446" spans="1:46" ht="12.75" x14ac:dyDescent="0.2">
      <c r="A446" s="214"/>
      <c r="B446" s="214"/>
      <c r="C446" s="214"/>
      <c r="D446" s="214"/>
      <c r="E446" s="214"/>
      <c r="F446" s="214"/>
      <c r="G446" s="214"/>
      <c r="H446" s="214"/>
      <c r="I446" s="214"/>
      <c r="J446" s="214"/>
      <c r="K446" s="214"/>
      <c r="L446" s="214"/>
      <c r="M446" s="215"/>
      <c r="N446" s="215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16"/>
      <c r="AN446" s="216"/>
      <c r="AO446" s="216"/>
      <c r="AP446" s="216"/>
      <c r="AQ446" s="216"/>
      <c r="AR446" s="216"/>
      <c r="AS446" s="216"/>
      <c r="AT446" s="216"/>
    </row>
    <row r="447" spans="1:46" ht="12.75" x14ac:dyDescent="0.2">
      <c r="A447" s="214"/>
      <c r="B447" s="214"/>
      <c r="C447" s="214"/>
      <c r="D447" s="214"/>
      <c r="E447" s="214"/>
      <c r="F447" s="214"/>
      <c r="G447" s="214"/>
      <c r="H447" s="214"/>
      <c r="I447" s="214"/>
      <c r="J447" s="214"/>
      <c r="K447" s="214"/>
      <c r="L447" s="214"/>
      <c r="M447" s="215"/>
      <c r="N447" s="215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16"/>
      <c r="AN447" s="216"/>
      <c r="AO447" s="216"/>
      <c r="AP447" s="216"/>
      <c r="AQ447" s="216"/>
      <c r="AR447" s="216"/>
      <c r="AS447" s="216"/>
      <c r="AT447" s="216"/>
    </row>
    <row r="448" spans="1:46" ht="12.75" x14ac:dyDescent="0.2">
      <c r="A448" s="214"/>
      <c r="B448" s="214"/>
      <c r="C448" s="214"/>
      <c r="D448" s="214"/>
      <c r="E448" s="214"/>
      <c r="F448" s="214"/>
      <c r="G448" s="214"/>
      <c r="H448" s="214"/>
      <c r="I448" s="214"/>
      <c r="J448" s="214"/>
      <c r="K448" s="214"/>
      <c r="L448" s="214"/>
      <c r="M448" s="215"/>
      <c r="N448" s="215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16"/>
      <c r="AN448" s="216"/>
      <c r="AO448" s="216"/>
      <c r="AP448" s="216"/>
      <c r="AQ448" s="216"/>
      <c r="AR448" s="216"/>
      <c r="AS448" s="216"/>
      <c r="AT448" s="216"/>
    </row>
    <row r="449" spans="1:46" ht="12.75" x14ac:dyDescent="0.2">
      <c r="A449" s="214"/>
      <c r="B449" s="214"/>
      <c r="C449" s="214"/>
      <c r="D449" s="214"/>
      <c r="E449" s="214"/>
      <c r="F449" s="214"/>
      <c r="G449" s="214"/>
      <c r="H449" s="214"/>
      <c r="I449" s="214"/>
      <c r="J449" s="214"/>
      <c r="K449" s="214"/>
      <c r="L449" s="214"/>
      <c r="M449" s="215"/>
      <c r="N449" s="215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16"/>
      <c r="AN449" s="216"/>
      <c r="AO449" s="216"/>
      <c r="AP449" s="216"/>
      <c r="AQ449" s="216"/>
      <c r="AR449" s="216"/>
      <c r="AS449" s="216"/>
      <c r="AT449" s="216"/>
    </row>
    <row r="450" spans="1:46" ht="12.75" x14ac:dyDescent="0.2">
      <c r="A450" s="214"/>
      <c r="B450" s="214"/>
      <c r="C450" s="214"/>
      <c r="D450" s="214"/>
      <c r="E450" s="214"/>
      <c r="F450" s="214"/>
      <c r="G450" s="214"/>
      <c r="H450" s="214"/>
      <c r="I450" s="214"/>
      <c r="J450" s="214"/>
      <c r="K450" s="214"/>
      <c r="L450" s="214"/>
      <c r="M450" s="215"/>
      <c r="N450" s="215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/>
    </row>
    <row r="451" spans="1:46" ht="12.75" x14ac:dyDescent="0.2">
      <c r="A451" s="214"/>
      <c r="B451" s="214"/>
      <c r="C451" s="214"/>
      <c r="D451" s="214"/>
      <c r="E451" s="214"/>
      <c r="F451" s="214"/>
      <c r="G451" s="214"/>
      <c r="H451" s="214"/>
      <c r="I451" s="214"/>
      <c r="J451" s="214"/>
      <c r="K451" s="214"/>
      <c r="L451" s="214"/>
      <c r="M451" s="215"/>
      <c r="N451" s="215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16"/>
      <c r="AN451" s="216"/>
      <c r="AO451" s="216"/>
      <c r="AP451" s="216"/>
      <c r="AQ451" s="216"/>
      <c r="AR451" s="216"/>
      <c r="AS451" s="216"/>
      <c r="AT451" s="216"/>
    </row>
    <row r="452" spans="1:46" ht="12.75" x14ac:dyDescent="0.2">
      <c r="A452" s="214"/>
      <c r="B452" s="214"/>
      <c r="C452" s="214"/>
      <c r="D452" s="214"/>
      <c r="E452" s="214"/>
      <c r="F452" s="214"/>
      <c r="G452" s="214"/>
      <c r="H452" s="214"/>
      <c r="I452" s="214"/>
      <c r="J452" s="214"/>
      <c r="K452" s="214"/>
      <c r="L452" s="214"/>
      <c r="M452" s="215"/>
      <c r="N452" s="215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</row>
    <row r="453" spans="1:46" ht="12.75" x14ac:dyDescent="0.2">
      <c r="A453" s="214"/>
      <c r="B453" s="214"/>
      <c r="C453" s="214"/>
      <c r="D453" s="214"/>
      <c r="E453" s="214"/>
      <c r="F453" s="214"/>
      <c r="G453" s="214"/>
      <c r="H453" s="214"/>
      <c r="I453" s="214"/>
      <c r="J453" s="214"/>
      <c r="K453" s="214"/>
      <c r="L453" s="214"/>
      <c r="M453" s="215"/>
      <c r="N453" s="215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</row>
    <row r="454" spans="1:46" ht="12.75" x14ac:dyDescent="0.2">
      <c r="A454" s="214"/>
      <c r="B454" s="214"/>
      <c r="C454" s="214"/>
      <c r="D454" s="214"/>
      <c r="E454" s="214"/>
      <c r="F454" s="214"/>
      <c r="G454" s="214"/>
      <c r="H454" s="214"/>
      <c r="I454" s="214"/>
      <c r="J454" s="214"/>
      <c r="K454" s="214"/>
      <c r="L454" s="214"/>
      <c r="M454" s="215"/>
      <c r="N454" s="215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</row>
    <row r="455" spans="1:46" ht="12.75" x14ac:dyDescent="0.2">
      <c r="A455" s="214"/>
      <c r="B455" s="214"/>
      <c r="C455" s="214"/>
      <c r="D455" s="214"/>
      <c r="E455" s="214"/>
      <c r="F455" s="214"/>
      <c r="G455" s="214"/>
      <c r="H455" s="214"/>
      <c r="I455" s="214"/>
      <c r="J455" s="214"/>
      <c r="K455" s="214"/>
      <c r="L455" s="214"/>
      <c r="M455" s="215"/>
      <c r="N455" s="215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</row>
    <row r="456" spans="1:46" ht="12.75" x14ac:dyDescent="0.2">
      <c r="A456" s="214"/>
      <c r="B456" s="214"/>
      <c r="C456" s="214"/>
      <c r="D456" s="214"/>
      <c r="E456" s="214"/>
      <c r="F456" s="214"/>
      <c r="G456" s="214"/>
      <c r="H456" s="214"/>
      <c r="I456" s="214"/>
      <c r="J456" s="214"/>
      <c r="K456" s="214"/>
      <c r="L456" s="214"/>
      <c r="M456" s="215"/>
      <c r="N456" s="215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16"/>
      <c r="AN456" s="216"/>
      <c r="AO456" s="216"/>
      <c r="AP456" s="216"/>
      <c r="AQ456" s="216"/>
      <c r="AR456" s="216"/>
      <c r="AS456" s="216"/>
      <c r="AT456" s="216"/>
    </row>
    <row r="457" spans="1:46" ht="12.75" x14ac:dyDescent="0.2">
      <c r="A457" s="214"/>
      <c r="B457" s="214"/>
      <c r="C457" s="214"/>
      <c r="D457" s="214"/>
      <c r="E457" s="214"/>
      <c r="F457" s="214"/>
      <c r="G457" s="214"/>
      <c r="H457" s="214"/>
      <c r="I457" s="214"/>
      <c r="J457" s="214"/>
      <c r="K457" s="214"/>
      <c r="L457" s="214"/>
      <c r="M457" s="215"/>
      <c r="N457" s="215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</row>
    <row r="458" spans="1:46" ht="12.75" x14ac:dyDescent="0.2">
      <c r="A458" s="214"/>
      <c r="B458" s="214"/>
      <c r="C458" s="214"/>
      <c r="D458" s="214"/>
      <c r="E458" s="214"/>
      <c r="F458" s="214"/>
      <c r="G458" s="214"/>
      <c r="H458" s="214"/>
      <c r="I458" s="214"/>
      <c r="J458" s="214"/>
      <c r="K458" s="214"/>
      <c r="L458" s="214"/>
      <c r="M458" s="215"/>
      <c r="N458" s="215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16"/>
      <c r="AN458" s="216"/>
      <c r="AO458" s="216"/>
      <c r="AP458" s="216"/>
      <c r="AQ458" s="216"/>
      <c r="AR458" s="216"/>
      <c r="AS458" s="216"/>
      <c r="AT458" s="216"/>
    </row>
    <row r="459" spans="1:46" ht="12.75" x14ac:dyDescent="0.2">
      <c r="A459" s="214"/>
      <c r="B459" s="214"/>
      <c r="C459" s="214"/>
      <c r="D459" s="214"/>
      <c r="E459" s="214"/>
      <c r="F459" s="214"/>
      <c r="G459" s="214"/>
      <c r="H459" s="214"/>
      <c r="I459" s="214"/>
      <c r="J459" s="214"/>
      <c r="K459" s="214"/>
      <c r="L459" s="214"/>
      <c r="M459" s="215"/>
      <c r="N459" s="215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16"/>
      <c r="AN459" s="216"/>
      <c r="AO459" s="216"/>
      <c r="AP459" s="216"/>
      <c r="AQ459" s="216"/>
      <c r="AR459" s="216"/>
      <c r="AS459" s="216"/>
      <c r="AT459" s="216"/>
    </row>
    <row r="460" spans="1:46" ht="12.75" x14ac:dyDescent="0.2">
      <c r="A460" s="214"/>
      <c r="B460" s="214"/>
      <c r="C460" s="214"/>
      <c r="D460" s="214"/>
      <c r="E460" s="214"/>
      <c r="F460" s="214"/>
      <c r="G460" s="214"/>
      <c r="H460" s="214"/>
      <c r="I460" s="214"/>
      <c r="J460" s="214"/>
      <c r="K460" s="214"/>
      <c r="L460" s="214"/>
      <c r="M460" s="215"/>
      <c r="N460" s="215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16"/>
      <c r="AN460" s="216"/>
      <c r="AO460" s="216"/>
      <c r="AP460" s="216"/>
      <c r="AQ460" s="216"/>
      <c r="AR460" s="216"/>
      <c r="AS460" s="216"/>
      <c r="AT460" s="216"/>
    </row>
    <row r="461" spans="1:46" ht="12.75" x14ac:dyDescent="0.2">
      <c r="A461" s="214"/>
      <c r="B461" s="214"/>
      <c r="C461" s="214"/>
      <c r="D461" s="214"/>
      <c r="E461" s="214"/>
      <c r="F461" s="214"/>
      <c r="G461" s="214"/>
      <c r="H461" s="214"/>
      <c r="I461" s="214"/>
      <c r="J461" s="214"/>
      <c r="K461" s="214"/>
      <c r="L461" s="214"/>
      <c r="M461" s="215"/>
      <c r="N461" s="215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216"/>
      <c r="AR461" s="216"/>
      <c r="AS461" s="216"/>
      <c r="AT461" s="216"/>
    </row>
    <row r="462" spans="1:46" ht="12.75" x14ac:dyDescent="0.2">
      <c r="A462" s="214"/>
      <c r="B462" s="214"/>
      <c r="C462" s="214"/>
      <c r="D462" s="214"/>
      <c r="E462" s="214"/>
      <c r="F462" s="214"/>
      <c r="G462" s="214"/>
      <c r="H462" s="214"/>
      <c r="I462" s="214"/>
      <c r="J462" s="214"/>
      <c r="K462" s="214"/>
      <c r="L462" s="214"/>
      <c r="M462" s="215"/>
      <c r="N462" s="215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16"/>
      <c r="AN462" s="216"/>
      <c r="AO462" s="216"/>
      <c r="AP462" s="216"/>
      <c r="AQ462" s="216"/>
      <c r="AR462" s="216"/>
      <c r="AS462" s="216"/>
      <c r="AT462" s="216"/>
    </row>
    <row r="463" spans="1:46" ht="12.75" x14ac:dyDescent="0.2">
      <c r="A463" s="214"/>
      <c r="B463" s="214"/>
      <c r="C463" s="214"/>
      <c r="D463" s="214"/>
      <c r="E463" s="214"/>
      <c r="F463" s="214"/>
      <c r="G463" s="214"/>
      <c r="H463" s="214"/>
      <c r="I463" s="214"/>
      <c r="J463" s="214"/>
      <c r="K463" s="214"/>
      <c r="L463" s="214"/>
      <c r="M463" s="215"/>
      <c r="N463" s="215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</row>
    <row r="464" spans="1:46" ht="12.75" x14ac:dyDescent="0.2">
      <c r="A464" s="214"/>
      <c r="B464" s="214"/>
      <c r="C464" s="214"/>
      <c r="D464" s="214"/>
      <c r="E464" s="214"/>
      <c r="F464" s="214"/>
      <c r="G464" s="214"/>
      <c r="H464" s="214"/>
      <c r="I464" s="214"/>
      <c r="J464" s="214"/>
      <c r="K464" s="214"/>
      <c r="L464" s="214"/>
      <c r="M464" s="215"/>
      <c r="N464" s="215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</row>
    <row r="465" spans="1:46" ht="12.75" x14ac:dyDescent="0.2">
      <c r="A465" s="214"/>
      <c r="B465" s="214"/>
      <c r="C465" s="214"/>
      <c r="D465" s="214"/>
      <c r="E465" s="214"/>
      <c r="F465" s="214"/>
      <c r="G465" s="214"/>
      <c r="H465" s="214"/>
      <c r="I465" s="214"/>
      <c r="J465" s="214"/>
      <c r="K465" s="214"/>
      <c r="L465" s="214"/>
      <c r="M465" s="215"/>
      <c r="N465" s="215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</row>
    <row r="466" spans="1:46" ht="12.75" x14ac:dyDescent="0.2">
      <c r="A466" s="214"/>
      <c r="B466" s="214"/>
      <c r="C466" s="214"/>
      <c r="D466" s="214"/>
      <c r="E466" s="214"/>
      <c r="F466" s="214"/>
      <c r="G466" s="214"/>
      <c r="H466" s="214"/>
      <c r="I466" s="214"/>
      <c r="J466" s="214"/>
      <c r="K466" s="214"/>
      <c r="L466" s="214"/>
      <c r="M466" s="215"/>
      <c r="N466" s="215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</row>
    <row r="467" spans="1:46" ht="12.75" x14ac:dyDescent="0.2">
      <c r="A467" s="214"/>
      <c r="B467" s="214"/>
      <c r="C467" s="214"/>
      <c r="D467" s="214"/>
      <c r="E467" s="214"/>
      <c r="F467" s="214"/>
      <c r="G467" s="214"/>
      <c r="H467" s="214"/>
      <c r="I467" s="214"/>
      <c r="J467" s="214"/>
      <c r="K467" s="214"/>
      <c r="L467" s="214"/>
      <c r="M467" s="215"/>
      <c r="N467" s="215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</row>
    <row r="468" spans="1:46" ht="12.75" x14ac:dyDescent="0.2">
      <c r="A468" s="214"/>
      <c r="B468" s="214"/>
      <c r="C468" s="214"/>
      <c r="D468" s="214"/>
      <c r="E468" s="214"/>
      <c r="F468" s="214"/>
      <c r="G468" s="214"/>
      <c r="H468" s="214"/>
      <c r="I468" s="214"/>
      <c r="J468" s="214"/>
      <c r="K468" s="214"/>
      <c r="L468" s="214"/>
      <c r="M468" s="215"/>
      <c r="N468" s="215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</row>
    <row r="469" spans="1:46" ht="12.75" x14ac:dyDescent="0.2">
      <c r="A469" s="214"/>
      <c r="B469" s="214"/>
      <c r="C469" s="214"/>
      <c r="D469" s="214"/>
      <c r="E469" s="214"/>
      <c r="F469" s="214"/>
      <c r="G469" s="214"/>
      <c r="H469" s="214"/>
      <c r="I469" s="214"/>
      <c r="J469" s="214"/>
      <c r="K469" s="214"/>
      <c r="L469" s="214"/>
      <c r="M469" s="215"/>
      <c r="N469" s="215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</row>
    <row r="470" spans="1:46" ht="12.75" x14ac:dyDescent="0.2">
      <c r="A470" s="214"/>
      <c r="B470" s="214"/>
      <c r="C470" s="214"/>
      <c r="D470" s="214"/>
      <c r="E470" s="214"/>
      <c r="F470" s="214"/>
      <c r="G470" s="214"/>
      <c r="H470" s="214"/>
      <c r="I470" s="214"/>
      <c r="J470" s="214"/>
      <c r="K470" s="214"/>
      <c r="L470" s="214"/>
      <c r="M470" s="215"/>
      <c r="N470" s="215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</row>
    <row r="471" spans="1:46" ht="12.75" x14ac:dyDescent="0.2">
      <c r="A471" s="214"/>
      <c r="B471" s="214"/>
      <c r="C471" s="214"/>
      <c r="D471" s="214"/>
      <c r="E471" s="214"/>
      <c r="F471" s="214"/>
      <c r="G471" s="214"/>
      <c r="H471" s="214"/>
      <c r="I471" s="214"/>
      <c r="J471" s="214"/>
      <c r="K471" s="214"/>
      <c r="L471" s="214"/>
      <c r="M471" s="215"/>
      <c r="N471" s="215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16"/>
      <c r="AN471" s="216"/>
      <c r="AO471" s="216"/>
      <c r="AP471" s="216"/>
      <c r="AQ471" s="216"/>
      <c r="AR471" s="216"/>
      <c r="AS471" s="216"/>
      <c r="AT471" s="216"/>
    </row>
    <row r="472" spans="1:46" ht="12.75" x14ac:dyDescent="0.2">
      <c r="A472" s="214"/>
      <c r="B472" s="214"/>
      <c r="C472" s="214"/>
      <c r="D472" s="214"/>
      <c r="E472" s="214"/>
      <c r="F472" s="214"/>
      <c r="G472" s="214"/>
      <c r="H472" s="214"/>
      <c r="I472" s="214"/>
      <c r="J472" s="214"/>
      <c r="K472" s="214"/>
      <c r="L472" s="214"/>
      <c r="M472" s="215"/>
      <c r="N472" s="215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16"/>
      <c r="AN472" s="216"/>
      <c r="AO472" s="216"/>
      <c r="AP472" s="216"/>
      <c r="AQ472" s="216"/>
      <c r="AR472" s="216"/>
      <c r="AS472" s="216"/>
      <c r="AT472" s="216"/>
    </row>
    <row r="473" spans="1:46" ht="12.75" x14ac:dyDescent="0.2">
      <c r="A473" s="214"/>
      <c r="B473" s="214"/>
      <c r="C473" s="214"/>
      <c r="D473" s="214"/>
      <c r="E473" s="214"/>
      <c r="F473" s="214"/>
      <c r="G473" s="214"/>
      <c r="H473" s="214"/>
      <c r="I473" s="214"/>
      <c r="J473" s="214"/>
      <c r="K473" s="214"/>
      <c r="L473" s="214"/>
      <c r="M473" s="215"/>
      <c r="N473" s="215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16"/>
      <c r="AN473" s="216"/>
      <c r="AO473" s="216"/>
      <c r="AP473" s="216"/>
      <c r="AQ473" s="216"/>
      <c r="AR473" s="216"/>
      <c r="AS473" s="216"/>
      <c r="AT473" s="216"/>
    </row>
    <row r="474" spans="1:46" ht="12.75" x14ac:dyDescent="0.2">
      <c r="A474" s="214"/>
      <c r="B474" s="214"/>
      <c r="C474" s="214"/>
      <c r="D474" s="214"/>
      <c r="E474" s="214"/>
      <c r="F474" s="214"/>
      <c r="G474" s="214"/>
      <c r="H474" s="214"/>
      <c r="I474" s="214"/>
      <c r="J474" s="214"/>
      <c r="K474" s="214"/>
      <c r="L474" s="214"/>
      <c r="M474" s="215"/>
      <c r="N474" s="215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16"/>
      <c r="AN474" s="216"/>
      <c r="AO474" s="216"/>
      <c r="AP474" s="216"/>
      <c r="AQ474" s="216"/>
      <c r="AR474" s="216"/>
      <c r="AS474" s="216"/>
      <c r="AT474" s="216"/>
    </row>
    <row r="475" spans="1:46" ht="12.75" x14ac:dyDescent="0.2">
      <c r="A475" s="214"/>
      <c r="B475" s="214"/>
      <c r="C475" s="214"/>
      <c r="D475" s="214"/>
      <c r="E475" s="214"/>
      <c r="F475" s="214"/>
      <c r="G475" s="214"/>
      <c r="H475" s="214"/>
      <c r="I475" s="214"/>
      <c r="J475" s="214"/>
      <c r="K475" s="214"/>
      <c r="L475" s="214"/>
      <c r="M475" s="215"/>
      <c r="N475" s="215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16"/>
      <c r="AN475" s="216"/>
      <c r="AO475" s="216"/>
      <c r="AP475" s="216"/>
      <c r="AQ475" s="216"/>
      <c r="AR475" s="216"/>
      <c r="AS475" s="216"/>
      <c r="AT475" s="216"/>
    </row>
    <row r="476" spans="1:46" ht="12.75" x14ac:dyDescent="0.2">
      <c r="A476" s="214"/>
      <c r="B476" s="214"/>
      <c r="C476" s="214"/>
      <c r="D476" s="214"/>
      <c r="E476" s="214"/>
      <c r="F476" s="214"/>
      <c r="G476" s="214"/>
      <c r="H476" s="214"/>
      <c r="I476" s="214"/>
      <c r="J476" s="214"/>
      <c r="K476" s="214"/>
      <c r="L476" s="214"/>
      <c r="M476" s="215"/>
      <c r="N476" s="215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16"/>
      <c r="AN476" s="216"/>
      <c r="AO476" s="216"/>
      <c r="AP476" s="216"/>
      <c r="AQ476" s="216"/>
      <c r="AR476" s="216"/>
      <c r="AS476" s="216"/>
      <c r="AT476" s="216"/>
    </row>
    <row r="477" spans="1:46" ht="12.75" x14ac:dyDescent="0.2">
      <c r="A477" s="214"/>
      <c r="B477" s="214"/>
      <c r="C477" s="214"/>
      <c r="D477" s="214"/>
      <c r="E477" s="214"/>
      <c r="F477" s="214"/>
      <c r="G477" s="214"/>
      <c r="H477" s="214"/>
      <c r="I477" s="214"/>
      <c r="J477" s="214"/>
      <c r="K477" s="214"/>
      <c r="L477" s="214"/>
      <c r="M477" s="215"/>
      <c r="N477" s="215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16"/>
      <c r="AN477" s="216"/>
      <c r="AO477" s="216"/>
      <c r="AP477" s="216"/>
      <c r="AQ477" s="216"/>
      <c r="AR477" s="216"/>
      <c r="AS477" s="216"/>
      <c r="AT477" s="216"/>
    </row>
    <row r="478" spans="1:46" ht="12.75" x14ac:dyDescent="0.2">
      <c r="A478" s="214"/>
      <c r="B478" s="214"/>
      <c r="C478" s="214"/>
      <c r="D478" s="214"/>
      <c r="E478" s="214"/>
      <c r="F478" s="214"/>
      <c r="G478" s="214"/>
      <c r="H478" s="214"/>
      <c r="I478" s="214"/>
      <c r="J478" s="214"/>
      <c r="K478" s="214"/>
      <c r="L478" s="214"/>
      <c r="M478" s="215"/>
      <c r="N478" s="215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16"/>
      <c r="AN478" s="216"/>
      <c r="AO478" s="216"/>
      <c r="AP478" s="216"/>
      <c r="AQ478" s="216"/>
      <c r="AR478" s="216"/>
      <c r="AS478" s="216"/>
      <c r="AT478" s="216"/>
    </row>
    <row r="479" spans="1:46" ht="12.75" x14ac:dyDescent="0.2">
      <c r="A479" s="214"/>
      <c r="B479" s="214"/>
      <c r="C479" s="214"/>
      <c r="D479" s="214"/>
      <c r="E479" s="214"/>
      <c r="F479" s="214"/>
      <c r="G479" s="214"/>
      <c r="H479" s="214"/>
      <c r="I479" s="214"/>
      <c r="J479" s="214"/>
      <c r="K479" s="214"/>
      <c r="L479" s="214"/>
      <c r="M479" s="215"/>
      <c r="N479" s="215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</row>
    <row r="480" spans="1:46" ht="12.75" x14ac:dyDescent="0.2">
      <c r="A480" s="214"/>
      <c r="B480" s="214"/>
      <c r="C480" s="214"/>
      <c r="D480" s="214"/>
      <c r="E480" s="214"/>
      <c r="F480" s="214"/>
      <c r="G480" s="214"/>
      <c r="H480" s="214"/>
      <c r="I480" s="214"/>
      <c r="J480" s="214"/>
      <c r="K480" s="214"/>
      <c r="L480" s="214"/>
      <c r="M480" s="215"/>
      <c r="N480" s="215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</row>
    <row r="481" spans="1:46" ht="12.75" x14ac:dyDescent="0.2">
      <c r="A481" s="214"/>
      <c r="B481" s="214"/>
      <c r="C481" s="214"/>
      <c r="D481" s="214"/>
      <c r="E481" s="214"/>
      <c r="F481" s="214"/>
      <c r="G481" s="214"/>
      <c r="H481" s="214"/>
      <c r="I481" s="214"/>
      <c r="J481" s="214"/>
      <c r="K481" s="214"/>
      <c r="L481" s="214"/>
      <c r="M481" s="215"/>
      <c r="N481" s="215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</row>
    <row r="482" spans="1:46" ht="12.75" x14ac:dyDescent="0.2">
      <c r="A482" s="214"/>
      <c r="B482" s="214"/>
      <c r="C482" s="214"/>
      <c r="D482" s="214"/>
      <c r="E482" s="214"/>
      <c r="F482" s="214"/>
      <c r="G482" s="214"/>
      <c r="H482" s="214"/>
      <c r="I482" s="214"/>
      <c r="J482" s="214"/>
      <c r="K482" s="214"/>
      <c r="L482" s="214"/>
      <c r="M482" s="215"/>
      <c r="N482" s="215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</row>
    <row r="483" spans="1:46" ht="12.75" x14ac:dyDescent="0.2">
      <c r="A483" s="214"/>
      <c r="B483" s="214"/>
      <c r="C483" s="214"/>
      <c r="D483" s="214"/>
      <c r="E483" s="214"/>
      <c r="F483" s="214"/>
      <c r="G483" s="214"/>
      <c r="H483" s="214"/>
      <c r="I483" s="214"/>
      <c r="J483" s="214"/>
      <c r="K483" s="214"/>
      <c r="L483" s="214"/>
      <c r="M483" s="215"/>
      <c r="N483" s="215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</row>
    <row r="484" spans="1:46" ht="12.75" x14ac:dyDescent="0.2">
      <c r="A484" s="214"/>
      <c r="B484" s="214"/>
      <c r="C484" s="214"/>
      <c r="D484" s="214"/>
      <c r="E484" s="214"/>
      <c r="F484" s="214"/>
      <c r="G484" s="214"/>
      <c r="H484" s="214"/>
      <c r="I484" s="214"/>
      <c r="J484" s="214"/>
      <c r="K484" s="214"/>
      <c r="L484" s="214"/>
      <c r="M484" s="215"/>
      <c r="N484" s="215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</row>
    <row r="485" spans="1:46" ht="12.75" x14ac:dyDescent="0.2">
      <c r="A485" s="214"/>
      <c r="B485" s="214"/>
      <c r="C485" s="214"/>
      <c r="D485" s="214"/>
      <c r="E485" s="214"/>
      <c r="F485" s="214"/>
      <c r="G485" s="214"/>
      <c r="H485" s="214"/>
      <c r="I485" s="214"/>
      <c r="J485" s="214"/>
      <c r="K485" s="214"/>
      <c r="L485" s="214"/>
      <c r="M485" s="215"/>
      <c r="N485" s="215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</row>
    <row r="486" spans="1:46" ht="12.75" x14ac:dyDescent="0.2">
      <c r="A486" s="214"/>
      <c r="B486" s="214"/>
      <c r="C486" s="214"/>
      <c r="D486" s="214"/>
      <c r="E486" s="214"/>
      <c r="F486" s="214"/>
      <c r="G486" s="214"/>
      <c r="H486" s="214"/>
      <c r="I486" s="214"/>
      <c r="J486" s="214"/>
      <c r="K486" s="214"/>
      <c r="L486" s="214"/>
      <c r="M486" s="215"/>
      <c r="N486" s="215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</row>
    <row r="487" spans="1:46" ht="12.75" x14ac:dyDescent="0.2">
      <c r="A487" s="214"/>
      <c r="B487" s="214"/>
      <c r="C487" s="214"/>
      <c r="D487" s="214"/>
      <c r="E487" s="214"/>
      <c r="F487" s="214"/>
      <c r="G487" s="214"/>
      <c r="H487" s="214"/>
      <c r="I487" s="214"/>
      <c r="J487" s="214"/>
      <c r="K487" s="214"/>
      <c r="L487" s="214"/>
      <c r="M487" s="215"/>
      <c r="N487" s="215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</row>
    <row r="488" spans="1:46" ht="12.75" x14ac:dyDescent="0.2">
      <c r="A488" s="214"/>
      <c r="B488" s="214"/>
      <c r="C488" s="214"/>
      <c r="D488" s="214"/>
      <c r="E488" s="214"/>
      <c r="F488" s="214"/>
      <c r="G488" s="214"/>
      <c r="H488" s="214"/>
      <c r="I488" s="214"/>
      <c r="J488" s="214"/>
      <c r="K488" s="214"/>
      <c r="L488" s="214"/>
      <c r="M488" s="215"/>
      <c r="N488" s="215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</row>
    <row r="489" spans="1:46" ht="12.75" x14ac:dyDescent="0.2">
      <c r="A489" s="214"/>
      <c r="B489" s="214"/>
      <c r="C489" s="214"/>
      <c r="D489" s="214"/>
      <c r="E489" s="214"/>
      <c r="F489" s="214"/>
      <c r="G489" s="214"/>
      <c r="H489" s="214"/>
      <c r="I489" s="214"/>
      <c r="J489" s="214"/>
      <c r="K489" s="214"/>
      <c r="L489" s="214"/>
      <c r="M489" s="215"/>
      <c r="N489" s="215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</row>
    <row r="490" spans="1:46" ht="12.75" x14ac:dyDescent="0.2">
      <c r="A490" s="214"/>
      <c r="B490" s="214"/>
      <c r="C490" s="214"/>
      <c r="D490" s="214"/>
      <c r="E490" s="214"/>
      <c r="F490" s="214"/>
      <c r="G490" s="214"/>
      <c r="H490" s="214"/>
      <c r="I490" s="214"/>
      <c r="J490" s="214"/>
      <c r="K490" s="214"/>
      <c r="L490" s="214"/>
      <c r="M490" s="215"/>
      <c r="N490" s="215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</row>
    <row r="491" spans="1:46" ht="12.75" x14ac:dyDescent="0.2">
      <c r="A491" s="214"/>
      <c r="B491" s="214"/>
      <c r="C491" s="214"/>
      <c r="D491" s="214"/>
      <c r="E491" s="214"/>
      <c r="F491" s="214"/>
      <c r="G491" s="214"/>
      <c r="H491" s="214"/>
      <c r="I491" s="214"/>
      <c r="J491" s="214"/>
      <c r="K491" s="214"/>
      <c r="L491" s="214"/>
      <c r="M491" s="215"/>
      <c r="N491" s="215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16"/>
      <c r="AN491" s="216"/>
      <c r="AO491" s="216"/>
      <c r="AP491" s="216"/>
      <c r="AQ491" s="216"/>
      <c r="AR491" s="216"/>
      <c r="AS491" s="216"/>
      <c r="AT491" s="216"/>
    </row>
    <row r="492" spans="1:46" ht="12.75" x14ac:dyDescent="0.2">
      <c r="A492" s="214"/>
      <c r="B492" s="214"/>
      <c r="C492" s="214"/>
      <c r="D492" s="214"/>
      <c r="E492" s="214"/>
      <c r="F492" s="214"/>
      <c r="G492" s="214"/>
      <c r="H492" s="214"/>
      <c r="I492" s="214"/>
      <c r="J492" s="214"/>
      <c r="K492" s="214"/>
      <c r="L492" s="214"/>
      <c r="M492" s="215"/>
      <c r="N492" s="215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16"/>
      <c r="AN492" s="216"/>
      <c r="AO492" s="216"/>
      <c r="AP492" s="216"/>
      <c r="AQ492" s="216"/>
      <c r="AR492" s="216"/>
      <c r="AS492" s="216"/>
      <c r="AT492" s="216"/>
    </row>
    <row r="493" spans="1:46" ht="12.75" x14ac:dyDescent="0.2">
      <c r="A493" s="214"/>
      <c r="B493" s="214"/>
      <c r="C493" s="214"/>
      <c r="D493" s="214"/>
      <c r="E493" s="214"/>
      <c r="F493" s="214"/>
      <c r="G493" s="214"/>
      <c r="H493" s="214"/>
      <c r="I493" s="214"/>
      <c r="J493" s="214"/>
      <c r="K493" s="214"/>
      <c r="L493" s="214"/>
      <c r="M493" s="215"/>
      <c r="N493" s="215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16"/>
      <c r="AN493" s="216"/>
      <c r="AO493" s="216"/>
      <c r="AP493" s="216"/>
      <c r="AQ493" s="216"/>
      <c r="AR493" s="216"/>
      <c r="AS493" s="216"/>
      <c r="AT493" s="216"/>
    </row>
    <row r="494" spans="1:46" ht="12.75" x14ac:dyDescent="0.2">
      <c r="A494" s="214"/>
      <c r="B494" s="214"/>
      <c r="C494" s="214"/>
      <c r="D494" s="214"/>
      <c r="E494" s="214"/>
      <c r="F494" s="214"/>
      <c r="G494" s="214"/>
      <c r="H494" s="214"/>
      <c r="I494" s="214"/>
      <c r="J494" s="214"/>
      <c r="K494" s="214"/>
      <c r="L494" s="214"/>
      <c r="M494" s="215"/>
      <c r="N494" s="215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16"/>
      <c r="AN494" s="216"/>
      <c r="AO494" s="216"/>
      <c r="AP494" s="216"/>
      <c r="AQ494" s="216"/>
      <c r="AR494" s="216"/>
      <c r="AS494" s="216"/>
      <c r="AT494" s="216"/>
    </row>
    <row r="495" spans="1:46" ht="12.75" x14ac:dyDescent="0.2">
      <c r="A495" s="214"/>
      <c r="B495" s="214"/>
      <c r="C495" s="214"/>
      <c r="D495" s="214"/>
      <c r="E495" s="214"/>
      <c r="F495" s="214"/>
      <c r="G495" s="214"/>
      <c r="H495" s="214"/>
      <c r="I495" s="214"/>
      <c r="J495" s="214"/>
      <c r="K495" s="214"/>
      <c r="L495" s="214"/>
      <c r="M495" s="215"/>
      <c r="N495" s="215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16"/>
      <c r="AN495" s="216"/>
      <c r="AO495" s="216"/>
      <c r="AP495" s="216"/>
      <c r="AQ495" s="216"/>
      <c r="AR495" s="216"/>
      <c r="AS495" s="216"/>
      <c r="AT495" s="216"/>
    </row>
    <row r="496" spans="1:46" ht="12.75" x14ac:dyDescent="0.2">
      <c r="A496" s="214"/>
      <c r="B496" s="214"/>
      <c r="C496" s="214"/>
      <c r="D496" s="214"/>
      <c r="E496" s="214"/>
      <c r="F496" s="214"/>
      <c r="G496" s="214"/>
      <c r="H496" s="214"/>
      <c r="I496" s="214"/>
      <c r="J496" s="214"/>
      <c r="K496" s="214"/>
      <c r="L496" s="214"/>
      <c r="M496" s="215"/>
      <c r="N496" s="215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16"/>
      <c r="AN496" s="216"/>
      <c r="AO496" s="216"/>
      <c r="AP496" s="216"/>
      <c r="AQ496" s="216"/>
      <c r="AR496" s="216"/>
      <c r="AS496" s="216"/>
      <c r="AT496" s="216"/>
    </row>
    <row r="497" spans="1:46" ht="12.75" x14ac:dyDescent="0.2">
      <c r="A497" s="214"/>
      <c r="B497" s="214"/>
      <c r="C497" s="214"/>
      <c r="D497" s="214"/>
      <c r="E497" s="214"/>
      <c r="F497" s="214"/>
      <c r="G497" s="214"/>
      <c r="H497" s="214"/>
      <c r="I497" s="214"/>
      <c r="J497" s="214"/>
      <c r="K497" s="214"/>
      <c r="L497" s="214"/>
      <c r="M497" s="215"/>
      <c r="N497" s="215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16"/>
      <c r="AN497" s="216"/>
      <c r="AO497" s="216"/>
      <c r="AP497" s="216"/>
      <c r="AQ497" s="216"/>
      <c r="AR497" s="216"/>
      <c r="AS497" s="216"/>
      <c r="AT497" s="216"/>
    </row>
    <row r="498" spans="1:46" ht="12.75" x14ac:dyDescent="0.2">
      <c r="A498" s="214"/>
      <c r="B498" s="214"/>
      <c r="C498" s="214"/>
      <c r="D498" s="214"/>
      <c r="E498" s="214"/>
      <c r="F498" s="214"/>
      <c r="G498" s="214"/>
      <c r="H498" s="214"/>
      <c r="I498" s="214"/>
      <c r="J498" s="214"/>
      <c r="K498" s="214"/>
      <c r="L498" s="214"/>
      <c r="M498" s="215"/>
      <c r="N498" s="215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16"/>
      <c r="AN498" s="216"/>
      <c r="AO498" s="216"/>
      <c r="AP498" s="216"/>
      <c r="AQ498" s="216"/>
      <c r="AR498" s="216"/>
      <c r="AS498" s="216"/>
      <c r="AT498" s="216"/>
    </row>
    <row r="499" spans="1:46" ht="12.75" x14ac:dyDescent="0.2">
      <c r="A499" s="214"/>
      <c r="B499" s="214"/>
      <c r="C499" s="214"/>
      <c r="D499" s="214"/>
      <c r="E499" s="214"/>
      <c r="F499" s="214"/>
      <c r="G499" s="214"/>
      <c r="H499" s="214"/>
      <c r="I499" s="214"/>
      <c r="J499" s="214"/>
      <c r="K499" s="214"/>
      <c r="L499" s="214"/>
      <c r="M499" s="215"/>
      <c r="N499" s="215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16"/>
      <c r="AN499" s="216"/>
      <c r="AO499" s="216"/>
      <c r="AP499" s="216"/>
      <c r="AQ499" s="216"/>
      <c r="AR499" s="216"/>
      <c r="AS499" s="216"/>
      <c r="AT499" s="216"/>
    </row>
    <row r="500" spans="1:46" ht="12.75" x14ac:dyDescent="0.2">
      <c r="A500" s="214"/>
      <c r="B500" s="214"/>
      <c r="C500" s="214"/>
      <c r="D500" s="214"/>
      <c r="E500" s="214"/>
      <c r="F500" s="214"/>
      <c r="G500" s="214"/>
      <c r="H500" s="214"/>
      <c r="I500" s="214"/>
      <c r="J500" s="214"/>
      <c r="K500" s="214"/>
      <c r="L500" s="214"/>
      <c r="M500" s="215"/>
      <c r="N500" s="215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16"/>
      <c r="AN500" s="216"/>
      <c r="AO500" s="216"/>
      <c r="AP500" s="216"/>
      <c r="AQ500" s="216"/>
      <c r="AR500" s="216"/>
      <c r="AS500" s="216"/>
      <c r="AT500" s="216"/>
    </row>
    <row r="501" spans="1:46" ht="12.75" x14ac:dyDescent="0.2">
      <c r="A501" s="214"/>
      <c r="B501" s="214"/>
      <c r="C501" s="214"/>
      <c r="D501" s="214"/>
      <c r="E501" s="214"/>
      <c r="F501" s="214"/>
      <c r="G501" s="214"/>
      <c r="H501" s="214"/>
      <c r="I501" s="214"/>
      <c r="J501" s="214"/>
      <c r="K501" s="214"/>
      <c r="L501" s="214"/>
      <c r="M501" s="215"/>
      <c r="N501" s="215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16"/>
      <c r="AN501" s="216"/>
      <c r="AO501" s="216"/>
      <c r="AP501" s="216"/>
      <c r="AQ501" s="216"/>
      <c r="AR501" s="216"/>
      <c r="AS501" s="216"/>
      <c r="AT501" s="216"/>
    </row>
    <row r="502" spans="1:46" ht="12.75" x14ac:dyDescent="0.2">
      <c r="A502" s="214"/>
      <c r="B502" s="214"/>
      <c r="C502" s="214"/>
      <c r="D502" s="214"/>
      <c r="E502" s="214"/>
      <c r="F502" s="214"/>
      <c r="G502" s="214"/>
      <c r="H502" s="214"/>
      <c r="I502" s="214"/>
      <c r="J502" s="214"/>
      <c r="K502" s="214"/>
      <c r="L502" s="214"/>
      <c r="M502" s="215"/>
      <c r="N502" s="215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16"/>
      <c r="AN502" s="216"/>
      <c r="AO502" s="216"/>
      <c r="AP502" s="216"/>
      <c r="AQ502" s="216"/>
      <c r="AR502" s="216"/>
      <c r="AS502" s="216"/>
      <c r="AT502" s="216"/>
    </row>
    <row r="503" spans="1:46" ht="12.75" x14ac:dyDescent="0.2">
      <c r="A503" s="214"/>
      <c r="B503" s="214"/>
      <c r="C503" s="214"/>
      <c r="D503" s="214"/>
      <c r="E503" s="214"/>
      <c r="F503" s="214"/>
      <c r="G503" s="214"/>
      <c r="H503" s="214"/>
      <c r="I503" s="214"/>
      <c r="J503" s="214"/>
      <c r="K503" s="214"/>
      <c r="L503" s="214"/>
      <c r="M503" s="215"/>
      <c r="N503" s="215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16"/>
      <c r="AN503" s="216"/>
      <c r="AO503" s="216"/>
      <c r="AP503" s="216"/>
      <c r="AQ503" s="216"/>
      <c r="AR503" s="216"/>
      <c r="AS503" s="216"/>
      <c r="AT503" s="216"/>
    </row>
    <row r="504" spans="1:46" ht="12.75" x14ac:dyDescent="0.2">
      <c r="A504" s="214"/>
      <c r="B504" s="214"/>
      <c r="C504" s="214"/>
      <c r="D504" s="214"/>
      <c r="E504" s="214"/>
      <c r="F504" s="214"/>
      <c r="G504" s="214"/>
      <c r="H504" s="214"/>
      <c r="I504" s="214"/>
      <c r="J504" s="214"/>
      <c r="K504" s="214"/>
      <c r="L504" s="214"/>
      <c r="M504" s="215"/>
      <c r="N504" s="215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16"/>
      <c r="AN504" s="216"/>
      <c r="AO504" s="216"/>
      <c r="AP504" s="216"/>
      <c r="AQ504" s="216"/>
      <c r="AR504" s="216"/>
      <c r="AS504" s="216"/>
      <c r="AT504" s="216"/>
    </row>
    <row r="505" spans="1:46" ht="12.75" x14ac:dyDescent="0.2">
      <c r="A505" s="214"/>
      <c r="B505" s="214"/>
      <c r="C505" s="214"/>
      <c r="D505" s="214"/>
      <c r="E505" s="214"/>
      <c r="F505" s="214"/>
      <c r="G505" s="214"/>
      <c r="H505" s="214"/>
      <c r="I505" s="214"/>
      <c r="J505" s="214"/>
      <c r="K505" s="214"/>
      <c r="L505" s="214"/>
      <c r="M505" s="215"/>
      <c r="N505" s="215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16"/>
      <c r="AN505" s="216"/>
      <c r="AO505" s="216"/>
      <c r="AP505" s="216"/>
      <c r="AQ505" s="216"/>
      <c r="AR505" s="216"/>
      <c r="AS505" s="216"/>
      <c r="AT505" s="216"/>
    </row>
    <row r="506" spans="1:46" ht="12.75" x14ac:dyDescent="0.2">
      <c r="A506" s="214"/>
      <c r="B506" s="214"/>
      <c r="C506" s="214"/>
      <c r="D506" s="214"/>
      <c r="E506" s="214"/>
      <c r="F506" s="214"/>
      <c r="G506" s="214"/>
      <c r="H506" s="214"/>
      <c r="I506" s="214"/>
      <c r="J506" s="214"/>
      <c r="K506" s="214"/>
      <c r="L506" s="214"/>
      <c r="M506" s="215"/>
      <c r="N506" s="215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16"/>
      <c r="AN506" s="216"/>
      <c r="AO506" s="216"/>
      <c r="AP506" s="216"/>
      <c r="AQ506" s="216"/>
      <c r="AR506" s="216"/>
      <c r="AS506" s="216"/>
      <c r="AT506" s="216"/>
    </row>
    <row r="507" spans="1:46" ht="12.75" x14ac:dyDescent="0.2">
      <c r="A507" s="214"/>
      <c r="B507" s="214"/>
      <c r="C507" s="214"/>
      <c r="D507" s="214"/>
      <c r="E507" s="214"/>
      <c r="F507" s="214"/>
      <c r="G507" s="214"/>
      <c r="H507" s="214"/>
      <c r="I507" s="214"/>
      <c r="J507" s="214"/>
      <c r="K507" s="214"/>
      <c r="L507" s="214"/>
      <c r="M507" s="215"/>
      <c r="N507" s="215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16"/>
      <c r="AN507" s="216"/>
      <c r="AO507" s="216"/>
      <c r="AP507" s="216"/>
      <c r="AQ507" s="216"/>
      <c r="AR507" s="216"/>
      <c r="AS507" s="216"/>
      <c r="AT507" s="216"/>
    </row>
    <row r="508" spans="1:46" ht="12.75" x14ac:dyDescent="0.2">
      <c r="A508" s="214"/>
      <c r="B508" s="214"/>
      <c r="C508" s="214"/>
      <c r="D508" s="214"/>
      <c r="E508" s="214"/>
      <c r="F508" s="214"/>
      <c r="G508" s="214"/>
      <c r="H508" s="214"/>
      <c r="I508" s="214"/>
      <c r="J508" s="214"/>
      <c r="K508" s="214"/>
      <c r="L508" s="214"/>
      <c r="M508" s="215"/>
      <c r="N508" s="215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16"/>
      <c r="AN508" s="216"/>
      <c r="AO508" s="216"/>
      <c r="AP508" s="216"/>
      <c r="AQ508" s="216"/>
      <c r="AR508" s="216"/>
      <c r="AS508" s="216"/>
      <c r="AT508" s="216"/>
    </row>
    <row r="509" spans="1:46" ht="12.75" x14ac:dyDescent="0.2">
      <c r="A509" s="214"/>
      <c r="B509" s="214"/>
      <c r="C509" s="214"/>
      <c r="D509" s="214"/>
      <c r="E509" s="214"/>
      <c r="F509" s="214"/>
      <c r="G509" s="214"/>
      <c r="H509" s="214"/>
      <c r="I509" s="214"/>
      <c r="J509" s="214"/>
      <c r="K509" s="214"/>
      <c r="L509" s="214"/>
      <c r="M509" s="215"/>
      <c r="N509" s="215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16"/>
      <c r="AN509" s="216"/>
      <c r="AO509" s="216"/>
      <c r="AP509" s="216"/>
      <c r="AQ509" s="216"/>
      <c r="AR509" s="216"/>
      <c r="AS509" s="216"/>
      <c r="AT509" s="216"/>
    </row>
    <row r="510" spans="1:46" ht="12.75" x14ac:dyDescent="0.2">
      <c r="A510" s="214"/>
      <c r="B510" s="214"/>
      <c r="C510" s="214"/>
      <c r="D510" s="214"/>
      <c r="E510" s="214"/>
      <c r="F510" s="214"/>
      <c r="G510" s="214"/>
      <c r="H510" s="214"/>
      <c r="I510" s="214"/>
      <c r="J510" s="214"/>
      <c r="K510" s="214"/>
      <c r="L510" s="214"/>
      <c r="M510" s="215"/>
      <c r="N510" s="215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</row>
    <row r="511" spans="1:46" ht="12.75" x14ac:dyDescent="0.2">
      <c r="A511" s="214"/>
      <c r="B511" s="214"/>
      <c r="C511" s="214"/>
      <c r="D511" s="214"/>
      <c r="E511" s="214"/>
      <c r="F511" s="214"/>
      <c r="G511" s="214"/>
      <c r="H511" s="214"/>
      <c r="I511" s="214"/>
      <c r="J511" s="214"/>
      <c r="K511" s="214"/>
      <c r="L511" s="214"/>
      <c r="M511" s="215"/>
      <c r="N511" s="215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16"/>
      <c r="AN511" s="216"/>
      <c r="AO511" s="216"/>
      <c r="AP511" s="216"/>
      <c r="AQ511" s="216"/>
      <c r="AR511" s="216"/>
      <c r="AS511" s="216"/>
      <c r="AT511" s="216"/>
    </row>
    <row r="512" spans="1:46" ht="12.75" x14ac:dyDescent="0.2">
      <c r="A512" s="214"/>
      <c r="B512" s="214"/>
      <c r="C512" s="214"/>
      <c r="D512" s="214"/>
      <c r="E512" s="214"/>
      <c r="F512" s="214"/>
      <c r="G512" s="214"/>
      <c r="H512" s="214"/>
      <c r="I512" s="214"/>
      <c r="J512" s="214"/>
      <c r="K512" s="214"/>
      <c r="L512" s="214"/>
      <c r="M512" s="215"/>
      <c r="N512" s="215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</row>
    <row r="513" spans="1:46" ht="12.75" x14ac:dyDescent="0.2">
      <c r="A513" s="214"/>
      <c r="B513" s="214"/>
      <c r="C513" s="214"/>
      <c r="D513" s="214"/>
      <c r="E513" s="214"/>
      <c r="F513" s="214"/>
      <c r="G513" s="214"/>
      <c r="H513" s="214"/>
      <c r="I513" s="214"/>
      <c r="J513" s="214"/>
      <c r="K513" s="214"/>
      <c r="L513" s="214"/>
      <c r="M513" s="215"/>
      <c r="N513" s="215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16"/>
      <c r="AN513" s="216"/>
      <c r="AO513" s="216"/>
      <c r="AP513" s="216"/>
      <c r="AQ513" s="216"/>
      <c r="AR513" s="216"/>
      <c r="AS513" s="216"/>
      <c r="AT513" s="216"/>
    </row>
    <row r="514" spans="1:46" ht="12.75" x14ac:dyDescent="0.2">
      <c r="A514" s="214"/>
      <c r="B514" s="214"/>
      <c r="C514" s="214"/>
      <c r="D514" s="214"/>
      <c r="E514" s="214"/>
      <c r="F514" s="214"/>
      <c r="G514" s="214"/>
      <c r="H514" s="214"/>
      <c r="I514" s="214"/>
      <c r="J514" s="214"/>
      <c r="K514" s="214"/>
      <c r="L514" s="214"/>
      <c r="M514" s="215"/>
      <c r="N514" s="215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</row>
    <row r="515" spans="1:46" ht="12.75" x14ac:dyDescent="0.2">
      <c r="A515" s="214"/>
      <c r="B515" s="214"/>
      <c r="C515" s="214"/>
      <c r="D515" s="214"/>
      <c r="E515" s="214"/>
      <c r="F515" s="214"/>
      <c r="G515" s="214"/>
      <c r="H515" s="214"/>
      <c r="I515" s="214"/>
      <c r="J515" s="214"/>
      <c r="K515" s="214"/>
      <c r="L515" s="214"/>
      <c r="M515" s="215"/>
      <c r="N515" s="215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16"/>
      <c r="AN515" s="216"/>
      <c r="AO515" s="216"/>
      <c r="AP515" s="216"/>
      <c r="AQ515" s="216"/>
      <c r="AR515" s="216"/>
      <c r="AS515" s="216"/>
      <c r="AT515" s="216"/>
    </row>
    <row r="516" spans="1:46" ht="12.75" x14ac:dyDescent="0.2">
      <c r="A516" s="214"/>
      <c r="B516" s="214"/>
      <c r="C516" s="214"/>
      <c r="D516" s="214"/>
      <c r="E516" s="214"/>
      <c r="F516" s="214"/>
      <c r="G516" s="214"/>
      <c r="H516" s="214"/>
      <c r="I516" s="214"/>
      <c r="J516" s="214"/>
      <c r="K516" s="214"/>
      <c r="L516" s="214"/>
      <c r="M516" s="215"/>
      <c r="N516" s="215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16"/>
      <c r="AN516" s="216"/>
      <c r="AO516" s="216"/>
      <c r="AP516" s="216"/>
      <c r="AQ516" s="216"/>
      <c r="AR516" s="216"/>
      <c r="AS516" s="216"/>
      <c r="AT516" s="216"/>
    </row>
    <row r="517" spans="1:46" ht="12.75" x14ac:dyDescent="0.2">
      <c r="A517" s="214"/>
      <c r="B517" s="214"/>
      <c r="C517" s="214"/>
      <c r="D517" s="214"/>
      <c r="E517" s="214"/>
      <c r="F517" s="214"/>
      <c r="G517" s="214"/>
      <c r="H517" s="214"/>
      <c r="I517" s="214"/>
      <c r="J517" s="214"/>
      <c r="K517" s="214"/>
      <c r="L517" s="214"/>
      <c r="M517" s="215"/>
      <c r="N517" s="215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16"/>
      <c r="AN517" s="216"/>
      <c r="AO517" s="216"/>
      <c r="AP517" s="216"/>
      <c r="AQ517" s="216"/>
      <c r="AR517" s="216"/>
      <c r="AS517" s="216"/>
      <c r="AT517" s="216"/>
    </row>
    <row r="518" spans="1:46" ht="12.75" x14ac:dyDescent="0.2">
      <c r="A518" s="214"/>
      <c r="B518" s="214"/>
      <c r="C518" s="214"/>
      <c r="D518" s="214"/>
      <c r="E518" s="214"/>
      <c r="F518" s="214"/>
      <c r="G518" s="214"/>
      <c r="H518" s="214"/>
      <c r="I518" s="214"/>
      <c r="J518" s="214"/>
      <c r="K518" s="214"/>
      <c r="L518" s="214"/>
      <c r="M518" s="215"/>
      <c r="N518" s="215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16"/>
      <c r="AN518" s="216"/>
      <c r="AO518" s="216"/>
      <c r="AP518" s="216"/>
      <c r="AQ518" s="216"/>
      <c r="AR518" s="216"/>
      <c r="AS518" s="216"/>
      <c r="AT518" s="216"/>
    </row>
    <row r="519" spans="1:46" ht="12.75" x14ac:dyDescent="0.2">
      <c r="A519" s="214"/>
      <c r="B519" s="214"/>
      <c r="C519" s="214"/>
      <c r="D519" s="214"/>
      <c r="E519" s="214"/>
      <c r="F519" s="214"/>
      <c r="G519" s="214"/>
      <c r="H519" s="214"/>
      <c r="I519" s="214"/>
      <c r="J519" s="214"/>
      <c r="K519" s="214"/>
      <c r="L519" s="214"/>
      <c r="M519" s="215"/>
      <c r="N519" s="215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16"/>
      <c r="AN519" s="216"/>
      <c r="AO519" s="216"/>
      <c r="AP519" s="216"/>
      <c r="AQ519" s="216"/>
      <c r="AR519" s="216"/>
      <c r="AS519" s="216"/>
      <c r="AT519" s="216"/>
    </row>
    <row r="520" spans="1:46" ht="12.75" x14ac:dyDescent="0.2">
      <c r="A520" s="214"/>
      <c r="B520" s="214"/>
      <c r="C520" s="214"/>
      <c r="D520" s="214"/>
      <c r="E520" s="214"/>
      <c r="F520" s="214"/>
      <c r="G520" s="214"/>
      <c r="H520" s="214"/>
      <c r="I520" s="214"/>
      <c r="J520" s="214"/>
      <c r="K520" s="214"/>
      <c r="L520" s="214"/>
      <c r="M520" s="215"/>
      <c r="N520" s="215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16"/>
      <c r="AN520" s="216"/>
      <c r="AO520" s="216"/>
      <c r="AP520" s="216"/>
      <c r="AQ520" s="216"/>
      <c r="AR520" s="216"/>
      <c r="AS520" s="216"/>
      <c r="AT520" s="216"/>
    </row>
    <row r="521" spans="1:46" ht="12.75" x14ac:dyDescent="0.2">
      <c r="A521" s="214"/>
      <c r="B521" s="214"/>
      <c r="C521" s="214"/>
      <c r="D521" s="214"/>
      <c r="E521" s="214"/>
      <c r="F521" s="214"/>
      <c r="G521" s="214"/>
      <c r="H521" s="214"/>
      <c r="I521" s="214"/>
      <c r="J521" s="214"/>
      <c r="K521" s="214"/>
      <c r="L521" s="214"/>
      <c r="M521" s="215"/>
      <c r="N521" s="215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16"/>
      <c r="AN521" s="216"/>
      <c r="AO521" s="216"/>
      <c r="AP521" s="216"/>
      <c r="AQ521" s="216"/>
      <c r="AR521" s="216"/>
      <c r="AS521" s="216"/>
      <c r="AT521" s="216"/>
    </row>
    <row r="522" spans="1:46" ht="12.75" x14ac:dyDescent="0.2">
      <c r="A522" s="214"/>
      <c r="B522" s="214"/>
      <c r="C522" s="214"/>
      <c r="D522" s="214"/>
      <c r="E522" s="214"/>
      <c r="F522" s="214"/>
      <c r="G522" s="214"/>
      <c r="H522" s="214"/>
      <c r="I522" s="214"/>
      <c r="J522" s="214"/>
      <c r="K522" s="214"/>
      <c r="L522" s="214"/>
      <c r="M522" s="215"/>
      <c r="N522" s="215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16"/>
      <c r="AN522" s="216"/>
      <c r="AO522" s="216"/>
      <c r="AP522" s="216"/>
      <c r="AQ522" s="216"/>
      <c r="AR522" s="216"/>
      <c r="AS522" s="216"/>
      <c r="AT522" s="216"/>
    </row>
    <row r="523" spans="1:46" ht="12.75" x14ac:dyDescent="0.2">
      <c r="A523" s="214"/>
      <c r="B523" s="214"/>
      <c r="C523" s="214"/>
      <c r="D523" s="214"/>
      <c r="E523" s="214"/>
      <c r="F523" s="214"/>
      <c r="G523" s="214"/>
      <c r="H523" s="214"/>
      <c r="I523" s="214"/>
      <c r="J523" s="214"/>
      <c r="K523" s="214"/>
      <c r="L523" s="214"/>
      <c r="M523" s="215"/>
      <c r="N523" s="215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16"/>
      <c r="AN523" s="216"/>
      <c r="AO523" s="216"/>
      <c r="AP523" s="216"/>
      <c r="AQ523" s="216"/>
      <c r="AR523" s="216"/>
      <c r="AS523" s="216"/>
      <c r="AT523" s="216"/>
    </row>
    <row r="524" spans="1:46" ht="12.75" x14ac:dyDescent="0.2">
      <c r="A524" s="214"/>
      <c r="B524" s="214"/>
      <c r="C524" s="214"/>
      <c r="D524" s="214"/>
      <c r="E524" s="214"/>
      <c r="F524" s="214"/>
      <c r="G524" s="214"/>
      <c r="H524" s="214"/>
      <c r="I524" s="214"/>
      <c r="J524" s="214"/>
      <c r="K524" s="214"/>
      <c r="L524" s="214"/>
      <c r="M524" s="215"/>
      <c r="N524" s="215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16"/>
      <c r="AN524" s="216"/>
      <c r="AO524" s="216"/>
      <c r="AP524" s="216"/>
      <c r="AQ524" s="216"/>
      <c r="AR524" s="216"/>
      <c r="AS524" s="216"/>
      <c r="AT524" s="216"/>
    </row>
    <row r="525" spans="1:46" ht="12.75" x14ac:dyDescent="0.2">
      <c r="A525" s="214"/>
      <c r="B525" s="214"/>
      <c r="C525" s="214"/>
      <c r="D525" s="214"/>
      <c r="E525" s="214"/>
      <c r="F525" s="214"/>
      <c r="G525" s="214"/>
      <c r="H525" s="214"/>
      <c r="I525" s="214"/>
      <c r="J525" s="214"/>
      <c r="K525" s="214"/>
      <c r="L525" s="214"/>
      <c r="M525" s="215"/>
      <c r="N525" s="215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16"/>
      <c r="AN525" s="216"/>
      <c r="AO525" s="216"/>
      <c r="AP525" s="216"/>
      <c r="AQ525" s="216"/>
      <c r="AR525" s="216"/>
      <c r="AS525" s="216"/>
      <c r="AT525" s="216"/>
    </row>
    <row r="526" spans="1:46" ht="12.75" x14ac:dyDescent="0.2">
      <c r="A526" s="214"/>
      <c r="B526" s="214"/>
      <c r="C526" s="214"/>
      <c r="D526" s="214"/>
      <c r="E526" s="214"/>
      <c r="F526" s="214"/>
      <c r="G526" s="214"/>
      <c r="H526" s="214"/>
      <c r="I526" s="214"/>
      <c r="J526" s="214"/>
      <c r="K526" s="214"/>
      <c r="L526" s="214"/>
      <c r="M526" s="215"/>
      <c r="N526" s="215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16"/>
      <c r="AN526" s="216"/>
      <c r="AO526" s="216"/>
      <c r="AP526" s="216"/>
      <c r="AQ526" s="216"/>
      <c r="AR526" s="216"/>
      <c r="AS526" s="216"/>
      <c r="AT526" s="216"/>
    </row>
    <row r="527" spans="1:46" ht="12.75" x14ac:dyDescent="0.2">
      <c r="A527" s="214"/>
      <c r="B527" s="214"/>
      <c r="C527" s="214"/>
      <c r="D527" s="214"/>
      <c r="E527" s="214"/>
      <c r="F527" s="214"/>
      <c r="G527" s="214"/>
      <c r="H527" s="214"/>
      <c r="I527" s="214"/>
      <c r="J527" s="214"/>
      <c r="K527" s="214"/>
      <c r="L527" s="214"/>
      <c r="M527" s="215"/>
      <c r="N527" s="215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16"/>
      <c r="AN527" s="216"/>
      <c r="AO527" s="216"/>
      <c r="AP527" s="216"/>
      <c r="AQ527" s="216"/>
      <c r="AR527" s="216"/>
      <c r="AS527" s="216"/>
      <c r="AT527" s="216"/>
    </row>
    <row r="528" spans="1:46" ht="12.75" x14ac:dyDescent="0.2">
      <c r="A528" s="214"/>
      <c r="B528" s="214"/>
      <c r="C528" s="214"/>
      <c r="D528" s="214"/>
      <c r="E528" s="214"/>
      <c r="F528" s="214"/>
      <c r="G528" s="214"/>
      <c r="H528" s="214"/>
      <c r="I528" s="214"/>
      <c r="J528" s="214"/>
      <c r="K528" s="214"/>
      <c r="L528" s="214"/>
      <c r="M528" s="215"/>
      <c r="N528" s="215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16"/>
      <c r="AN528" s="216"/>
      <c r="AO528" s="216"/>
      <c r="AP528" s="216"/>
      <c r="AQ528" s="216"/>
      <c r="AR528" s="216"/>
      <c r="AS528" s="216"/>
      <c r="AT528" s="216"/>
    </row>
    <row r="529" spans="1:46" ht="12.75" x14ac:dyDescent="0.2">
      <c r="A529" s="214"/>
      <c r="B529" s="214"/>
      <c r="C529" s="214"/>
      <c r="D529" s="214"/>
      <c r="E529" s="214"/>
      <c r="F529" s="214"/>
      <c r="G529" s="214"/>
      <c r="H529" s="214"/>
      <c r="I529" s="214"/>
      <c r="J529" s="214"/>
      <c r="K529" s="214"/>
      <c r="L529" s="214"/>
      <c r="M529" s="215"/>
      <c r="N529" s="215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16"/>
      <c r="AN529" s="216"/>
      <c r="AO529" s="216"/>
      <c r="AP529" s="216"/>
      <c r="AQ529" s="216"/>
      <c r="AR529" s="216"/>
      <c r="AS529" s="216"/>
      <c r="AT529" s="216"/>
    </row>
    <row r="530" spans="1:46" ht="12.75" x14ac:dyDescent="0.2">
      <c r="A530" s="214"/>
      <c r="B530" s="214"/>
      <c r="C530" s="214"/>
      <c r="D530" s="214"/>
      <c r="E530" s="214"/>
      <c r="F530" s="214"/>
      <c r="G530" s="214"/>
      <c r="H530" s="214"/>
      <c r="I530" s="214"/>
      <c r="J530" s="214"/>
      <c r="K530" s="214"/>
      <c r="L530" s="214"/>
      <c r="M530" s="215"/>
      <c r="N530" s="215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16"/>
      <c r="AN530" s="216"/>
      <c r="AO530" s="216"/>
      <c r="AP530" s="216"/>
      <c r="AQ530" s="216"/>
      <c r="AR530" s="216"/>
      <c r="AS530" s="216"/>
      <c r="AT530" s="216"/>
    </row>
    <row r="531" spans="1:46" ht="12.75" x14ac:dyDescent="0.2">
      <c r="A531" s="214"/>
      <c r="B531" s="214"/>
      <c r="C531" s="214"/>
      <c r="D531" s="214"/>
      <c r="E531" s="214"/>
      <c r="F531" s="214"/>
      <c r="G531" s="214"/>
      <c r="H531" s="214"/>
      <c r="I531" s="214"/>
      <c r="J531" s="214"/>
      <c r="K531" s="214"/>
      <c r="L531" s="214"/>
      <c r="M531" s="215"/>
      <c r="N531" s="215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16"/>
      <c r="AN531" s="216"/>
      <c r="AO531" s="216"/>
      <c r="AP531" s="216"/>
      <c r="AQ531" s="216"/>
      <c r="AR531" s="216"/>
      <c r="AS531" s="216"/>
      <c r="AT531" s="216"/>
    </row>
    <row r="532" spans="1:46" ht="12.75" x14ac:dyDescent="0.2">
      <c r="A532" s="214"/>
      <c r="B532" s="214"/>
      <c r="C532" s="214"/>
      <c r="D532" s="214"/>
      <c r="E532" s="214"/>
      <c r="F532" s="214"/>
      <c r="G532" s="214"/>
      <c r="H532" s="214"/>
      <c r="I532" s="214"/>
      <c r="J532" s="214"/>
      <c r="K532" s="214"/>
      <c r="L532" s="214"/>
      <c r="M532" s="215"/>
      <c r="N532" s="215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16"/>
      <c r="AN532" s="216"/>
      <c r="AO532" s="216"/>
      <c r="AP532" s="216"/>
      <c r="AQ532" s="216"/>
      <c r="AR532" s="216"/>
      <c r="AS532" s="216"/>
      <c r="AT532" s="216"/>
    </row>
    <row r="533" spans="1:46" ht="12.75" x14ac:dyDescent="0.2">
      <c r="A533" s="214"/>
      <c r="B533" s="214"/>
      <c r="C533" s="214"/>
      <c r="D533" s="214"/>
      <c r="E533" s="214"/>
      <c r="F533" s="214"/>
      <c r="G533" s="214"/>
      <c r="H533" s="214"/>
      <c r="I533" s="214"/>
      <c r="J533" s="214"/>
      <c r="K533" s="214"/>
      <c r="L533" s="214"/>
      <c r="M533" s="215"/>
      <c r="N533" s="215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16"/>
      <c r="AN533" s="216"/>
      <c r="AO533" s="216"/>
      <c r="AP533" s="216"/>
      <c r="AQ533" s="216"/>
      <c r="AR533" s="216"/>
      <c r="AS533" s="216"/>
      <c r="AT533" s="216"/>
    </row>
    <row r="534" spans="1:46" ht="12.75" x14ac:dyDescent="0.2">
      <c r="A534" s="214"/>
      <c r="B534" s="214"/>
      <c r="C534" s="214"/>
      <c r="D534" s="214"/>
      <c r="E534" s="214"/>
      <c r="F534" s="214"/>
      <c r="G534" s="214"/>
      <c r="H534" s="214"/>
      <c r="I534" s="214"/>
      <c r="J534" s="214"/>
      <c r="K534" s="214"/>
      <c r="L534" s="214"/>
      <c r="M534" s="215"/>
      <c r="N534" s="215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16"/>
      <c r="AN534" s="216"/>
      <c r="AO534" s="216"/>
      <c r="AP534" s="216"/>
      <c r="AQ534" s="216"/>
      <c r="AR534" s="216"/>
      <c r="AS534" s="216"/>
      <c r="AT534" s="216"/>
    </row>
    <row r="535" spans="1:46" ht="12.75" x14ac:dyDescent="0.2">
      <c r="A535" s="214"/>
      <c r="B535" s="214"/>
      <c r="C535" s="214"/>
      <c r="D535" s="214"/>
      <c r="E535" s="214"/>
      <c r="F535" s="214"/>
      <c r="G535" s="214"/>
      <c r="H535" s="214"/>
      <c r="I535" s="214"/>
      <c r="J535" s="214"/>
      <c r="K535" s="214"/>
      <c r="L535" s="214"/>
      <c r="M535" s="215"/>
      <c r="N535" s="215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16"/>
      <c r="AN535" s="216"/>
      <c r="AO535" s="216"/>
      <c r="AP535" s="216"/>
      <c r="AQ535" s="216"/>
      <c r="AR535" s="216"/>
      <c r="AS535" s="216"/>
      <c r="AT535" s="216"/>
    </row>
    <row r="536" spans="1:46" ht="12.75" x14ac:dyDescent="0.2">
      <c r="A536" s="214"/>
      <c r="B536" s="214"/>
      <c r="C536" s="214"/>
      <c r="D536" s="214"/>
      <c r="E536" s="214"/>
      <c r="F536" s="214"/>
      <c r="G536" s="214"/>
      <c r="H536" s="214"/>
      <c r="I536" s="214"/>
      <c r="J536" s="214"/>
      <c r="K536" s="214"/>
      <c r="L536" s="214"/>
      <c r="M536" s="215"/>
      <c r="N536" s="215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16"/>
      <c r="AN536" s="216"/>
      <c r="AO536" s="216"/>
      <c r="AP536" s="216"/>
      <c r="AQ536" s="216"/>
      <c r="AR536" s="216"/>
      <c r="AS536" s="216"/>
      <c r="AT536" s="216"/>
    </row>
    <row r="537" spans="1:46" ht="12.75" x14ac:dyDescent="0.2">
      <c r="A537" s="214"/>
      <c r="B537" s="214"/>
      <c r="C537" s="214"/>
      <c r="D537" s="214"/>
      <c r="E537" s="214"/>
      <c r="F537" s="214"/>
      <c r="G537" s="214"/>
      <c r="H537" s="214"/>
      <c r="I537" s="214"/>
      <c r="J537" s="214"/>
      <c r="K537" s="214"/>
      <c r="L537" s="214"/>
      <c r="M537" s="215"/>
      <c r="N537" s="215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16"/>
      <c r="AN537" s="216"/>
      <c r="AO537" s="216"/>
      <c r="AP537" s="216"/>
      <c r="AQ537" s="216"/>
      <c r="AR537" s="216"/>
      <c r="AS537" s="216"/>
      <c r="AT537" s="216"/>
    </row>
    <row r="538" spans="1:46" ht="12.75" x14ac:dyDescent="0.2">
      <c r="A538" s="214"/>
      <c r="B538" s="214"/>
      <c r="C538" s="214"/>
      <c r="D538" s="214"/>
      <c r="E538" s="214"/>
      <c r="F538" s="214"/>
      <c r="G538" s="214"/>
      <c r="H538" s="214"/>
      <c r="I538" s="214"/>
      <c r="J538" s="214"/>
      <c r="K538" s="214"/>
      <c r="L538" s="214"/>
      <c r="M538" s="215"/>
      <c r="N538" s="215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16"/>
      <c r="AN538" s="216"/>
      <c r="AO538" s="216"/>
      <c r="AP538" s="216"/>
      <c r="AQ538" s="216"/>
      <c r="AR538" s="216"/>
      <c r="AS538" s="216"/>
      <c r="AT538" s="216"/>
    </row>
    <row r="539" spans="1:46" ht="12.75" x14ac:dyDescent="0.2">
      <c r="A539" s="214"/>
      <c r="B539" s="214"/>
      <c r="C539" s="214"/>
      <c r="D539" s="214"/>
      <c r="E539" s="214"/>
      <c r="F539" s="214"/>
      <c r="G539" s="214"/>
      <c r="H539" s="214"/>
      <c r="I539" s="214"/>
      <c r="J539" s="214"/>
      <c r="K539" s="214"/>
      <c r="L539" s="214"/>
      <c r="M539" s="215"/>
      <c r="N539" s="215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16"/>
      <c r="AN539" s="216"/>
      <c r="AO539" s="216"/>
      <c r="AP539" s="216"/>
      <c r="AQ539" s="216"/>
      <c r="AR539" s="216"/>
      <c r="AS539" s="216"/>
      <c r="AT539" s="216"/>
    </row>
    <row r="540" spans="1:46" ht="12.75" x14ac:dyDescent="0.2">
      <c r="A540" s="214"/>
      <c r="B540" s="214"/>
      <c r="C540" s="214"/>
      <c r="D540" s="214"/>
      <c r="E540" s="214"/>
      <c r="F540" s="214"/>
      <c r="G540" s="214"/>
      <c r="H540" s="214"/>
      <c r="I540" s="214"/>
      <c r="J540" s="214"/>
      <c r="K540" s="214"/>
      <c r="L540" s="214"/>
      <c r="M540" s="215"/>
      <c r="N540" s="215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16"/>
      <c r="AN540" s="216"/>
      <c r="AO540" s="216"/>
      <c r="AP540" s="216"/>
      <c r="AQ540" s="216"/>
      <c r="AR540" s="216"/>
      <c r="AS540" s="216"/>
      <c r="AT540" s="216"/>
    </row>
    <row r="541" spans="1:46" ht="12.75" x14ac:dyDescent="0.2">
      <c r="A541" s="214"/>
      <c r="B541" s="214"/>
      <c r="C541" s="214"/>
      <c r="D541" s="214"/>
      <c r="E541" s="214"/>
      <c r="F541" s="214"/>
      <c r="G541" s="214"/>
      <c r="H541" s="214"/>
      <c r="I541" s="214"/>
      <c r="J541" s="214"/>
      <c r="K541" s="214"/>
      <c r="L541" s="214"/>
      <c r="M541" s="215"/>
      <c r="N541" s="215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16"/>
      <c r="AN541" s="216"/>
      <c r="AO541" s="216"/>
      <c r="AP541" s="216"/>
      <c r="AQ541" s="216"/>
      <c r="AR541" s="216"/>
      <c r="AS541" s="216"/>
      <c r="AT541" s="216"/>
    </row>
    <row r="542" spans="1:46" ht="12.75" x14ac:dyDescent="0.2">
      <c r="A542" s="214"/>
      <c r="B542" s="214"/>
      <c r="C542" s="214"/>
      <c r="D542" s="214"/>
      <c r="E542" s="214"/>
      <c r="F542" s="214"/>
      <c r="G542" s="214"/>
      <c r="H542" s="214"/>
      <c r="I542" s="214"/>
      <c r="J542" s="214"/>
      <c r="K542" s="214"/>
      <c r="L542" s="214"/>
      <c r="M542" s="215"/>
      <c r="N542" s="215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16"/>
      <c r="AN542" s="216"/>
      <c r="AO542" s="216"/>
      <c r="AP542" s="216"/>
      <c r="AQ542" s="216"/>
      <c r="AR542" s="216"/>
      <c r="AS542" s="216"/>
      <c r="AT542" s="216"/>
    </row>
    <row r="543" spans="1:46" ht="12.75" x14ac:dyDescent="0.2">
      <c r="A543" s="214"/>
      <c r="B543" s="214"/>
      <c r="C543" s="214"/>
      <c r="D543" s="214"/>
      <c r="E543" s="214"/>
      <c r="F543" s="214"/>
      <c r="G543" s="214"/>
      <c r="H543" s="214"/>
      <c r="I543" s="214"/>
      <c r="J543" s="214"/>
      <c r="K543" s="214"/>
      <c r="L543" s="214"/>
      <c r="M543" s="215"/>
      <c r="N543" s="215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16"/>
      <c r="AN543" s="216"/>
      <c r="AO543" s="216"/>
      <c r="AP543" s="216"/>
      <c r="AQ543" s="216"/>
      <c r="AR543" s="216"/>
      <c r="AS543" s="216"/>
      <c r="AT543" s="216"/>
    </row>
    <row r="544" spans="1:46" ht="12.75" x14ac:dyDescent="0.2">
      <c r="A544" s="214"/>
      <c r="B544" s="214"/>
      <c r="C544" s="214"/>
      <c r="D544" s="214"/>
      <c r="E544" s="214"/>
      <c r="F544" s="214"/>
      <c r="G544" s="214"/>
      <c r="H544" s="214"/>
      <c r="I544" s="214"/>
      <c r="J544" s="214"/>
      <c r="K544" s="214"/>
      <c r="L544" s="214"/>
      <c r="M544" s="215"/>
      <c r="N544" s="215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16"/>
      <c r="AN544" s="216"/>
      <c r="AO544" s="216"/>
      <c r="AP544" s="216"/>
      <c r="AQ544" s="216"/>
      <c r="AR544" s="216"/>
      <c r="AS544" s="216"/>
      <c r="AT544" s="216"/>
    </row>
    <row r="545" spans="1:46" ht="12.75" x14ac:dyDescent="0.2">
      <c r="A545" s="214"/>
      <c r="B545" s="214"/>
      <c r="C545" s="214"/>
      <c r="D545" s="214"/>
      <c r="E545" s="214"/>
      <c r="F545" s="214"/>
      <c r="G545" s="214"/>
      <c r="H545" s="214"/>
      <c r="I545" s="214"/>
      <c r="J545" s="214"/>
      <c r="K545" s="214"/>
      <c r="L545" s="214"/>
      <c r="M545" s="215"/>
      <c r="N545" s="215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16"/>
      <c r="AN545" s="216"/>
      <c r="AO545" s="216"/>
      <c r="AP545" s="216"/>
      <c r="AQ545" s="216"/>
      <c r="AR545" s="216"/>
      <c r="AS545" s="216"/>
      <c r="AT545" s="216"/>
    </row>
    <row r="546" spans="1:46" ht="12.75" x14ac:dyDescent="0.2">
      <c r="A546" s="214"/>
      <c r="B546" s="214"/>
      <c r="C546" s="214"/>
      <c r="D546" s="214"/>
      <c r="E546" s="214"/>
      <c r="F546" s="214"/>
      <c r="G546" s="214"/>
      <c r="H546" s="214"/>
      <c r="I546" s="214"/>
      <c r="J546" s="214"/>
      <c r="K546" s="214"/>
      <c r="L546" s="214"/>
      <c r="M546" s="215"/>
      <c r="N546" s="215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16"/>
      <c r="AN546" s="216"/>
      <c r="AO546" s="216"/>
      <c r="AP546" s="216"/>
      <c r="AQ546" s="216"/>
      <c r="AR546" s="216"/>
      <c r="AS546" s="216"/>
      <c r="AT546" s="216"/>
    </row>
    <row r="547" spans="1:46" ht="12.75" x14ac:dyDescent="0.2">
      <c r="A547" s="214"/>
      <c r="B547" s="214"/>
      <c r="C547" s="214"/>
      <c r="D547" s="214"/>
      <c r="E547" s="214"/>
      <c r="F547" s="214"/>
      <c r="G547" s="214"/>
      <c r="H547" s="214"/>
      <c r="I547" s="214"/>
      <c r="J547" s="214"/>
      <c r="K547" s="214"/>
      <c r="L547" s="214"/>
      <c r="M547" s="215"/>
      <c r="N547" s="215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16"/>
      <c r="AN547" s="216"/>
      <c r="AO547" s="216"/>
      <c r="AP547" s="216"/>
      <c r="AQ547" s="216"/>
      <c r="AR547" s="216"/>
      <c r="AS547" s="216"/>
      <c r="AT547" s="216"/>
    </row>
    <row r="548" spans="1:46" ht="12.75" x14ac:dyDescent="0.2">
      <c r="A548" s="214"/>
      <c r="B548" s="214"/>
      <c r="C548" s="214"/>
      <c r="D548" s="214"/>
      <c r="E548" s="214"/>
      <c r="F548" s="214"/>
      <c r="G548" s="214"/>
      <c r="H548" s="214"/>
      <c r="I548" s="214"/>
      <c r="J548" s="214"/>
      <c r="K548" s="214"/>
      <c r="L548" s="214"/>
      <c r="M548" s="215"/>
      <c r="N548" s="215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16"/>
      <c r="AN548" s="216"/>
      <c r="AO548" s="216"/>
      <c r="AP548" s="216"/>
      <c r="AQ548" s="216"/>
      <c r="AR548" s="216"/>
      <c r="AS548" s="216"/>
      <c r="AT548" s="216"/>
    </row>
    <row r="549" spans="1:46" ht="12.75" x14ac:dyDescent="0.2">
      <c r="A549" s="214"/>
      <c r="B549" s="214"/>
      <c r="C549" s="214"/>
      <c r="D549" s="214"/>
      <c r="E549" s="214"/>
      <c r="F549" s="214"/>
      <c r="G549" s="214"/>
      <c r="H549" s="214"/>
      <c r="I549" s="214"/>
      <c r="J549" s="214"/>
      <c r="K549" s="214"/>
      <c r="L549" s="214"/>
      <c r="M549" s="215"/>
      <c r="N549" s="215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16"/>
      <c r="AN549" s="216"/>
      <c r="AO549" s="216"/>
      <c r="AP549" s="216"/>
      <c r="AQ549" s="216"/>
      <c r="AR549" s="216"/>
      <c r="AS549" s="216"/>
      <c r="AT549" s="216"/>
    </row>
    <row r="550" spans="1:46" ht="12.75" x14ac:dyDescent="0.2">
      <c r="A550" s="214"/>
      <c r="B550" s="214"/>
      <c r="C550" s="214"/>
      <c r="D550" s="214"/>
      <c r="E550" s="214"/>
      <c r="F550" s="214"/>
      <c r="G550" s="214"/>
      <c r="H550" s="214"/>
      <c r="I550" s="214"/>
      <c r="J550" s="214"/>
      <c r="K550" s="214"/>
      <c r="L550" s="214"/>
      <c r="M550" s="215"/>
      <c r="N550" s="215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16"/>
      <c r="AN550" s="216"/>
      <c r="AO550" s="216"/>
      <c r="AP550" s="216"/>
      <c r="AQ550" s="216"/>
      <c r="AR550" s="216"/>
      <c r="AS550" s="216"/>
      <c r="AT550" s="216"/>
    </row>
    <row r="551" spans="1:46" ht="12.75" x14ac:dyDescent="0.2">
      <c r="A551" s="214"/>
      <c r="B551" s="214"/>
      <c r="C551" s="214"/>
      <c r="D551" s="214"/>
      <c r="E551" s="214"/>
      <c r="F551" s="214"/>
      <c r="G551" s="214"/>
      <c r="H551" s="214"/>
      <c r="I551" s="214"/>
      <c r="J551" s="214"/>
      <c r="K551" s="214"/>
      <c r="L551" s="214"/>
      <c r="M551" s="215"/>
      <c r="N551" s="215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16"/>
      <c r="AN551" s="216"/>
      <c r="AO551" s="216"/>
      <c r="AP551" s="216"/>
      <c r="AQ551" s="216"/>
      <c r="AR551" s="216"/>
      <c r="AS551" s="216"/>
      <c r="AT551" s="216"/>
    </row>
    <row r="552" spans="1:46" ht="12.75" x14ac:dyDescent="0.2">
      <c r="A552" s="214"/>
      <c r="B552" s="214"/>
      <c r="C552" s="214"/>
      <c r="D552" s="214"/>
      <c r="E552" s="214"/>
      <c r="F552" s="214"/>
      <c r="G552" s="214"/>
      <c r="H552" s="214"/>
      <c r="I552" s="214"/>
      <c r="J552" s="214"/>
      <c r="K552" s="214"/>
      <c r="L552" s="214"/>
      <c r="M552" s="215"/>
      <c r="N552" s="215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16"/>
      <c r="AN552" s="216"/>
      <c r="AO552" s="216"/>
      <c r="AP552" s="216"/>
      <c r="AQ552" s="216"/>
      <c r="AR552" s="216"/>
      <c r="AS552" s="216"/>
      <c r="AT552" s="216"/>
    </row>
    <row r="553" spans="1:46" ht="12.75" x14ac:dyDescent="0.2">
      <c r="A553" s="214"/>
      <c r="B553" s="214"/>
      <c r="C553" s="214"/>
      <c r="D553" s="214"/>
      <c r="E553" s="214"/>
      <c r="F553" s="214"/>
      <c r="G553" s="214"/>
      <c r="H553" s="214"/>
      <c r="I553" s="214"/>
      <c r="J553" s="214"/>
      <c r="K553" s="214"/>
      <c r="L553" s="214"/>
      <c r="M553" s="215"/>
      <c r="N553" s="215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16"/>
      <c r="AN553" s="216"/>
      <c r="AO553" s="216"/>
      <c r="AP553" s="216"/>
      <c r="AQ553" s="216"/>
      <c r="AR553" s="216"/>
      <c r="AS553" s="216"/>
      <c r="AT553" s="216"/>
    </row>
    <row r="554" spans="1:46" ht="12.75" x14ac:dyDescent="0.2">
      <c r="A554" s="214"/>
      <c r="B554" s="214"/>
      <c r="C554" s="214"/>
      <c r="D554" s="214"/>
      <c r="E554" s="214"/>
      <c r="F554" s="214"/>
      <c r="G554" s="214"/>
      <c r="H554" s="214"/>
      <c r="I554" s="214"/>
      <c r="J554" s="214"/>
      <c r="K554" s="214"/>
      <c r="L554" s="214"/>
      <c r="M554" s="215"/>
      <c r="N554" s="215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16"/>
      <c r="AN554" s="216"/>
      <c r="AO554" s="216"/>
      <c r="AP554" s="216"/>
      <c r="AQ554" s="216"/>
      <c r="AR554" s="216"/>
      <c r="AS554" s="216"/>
      <c r="AT554" s="216"/>
    </row>
    <row r="555" spans="1:46" ht="12.75" x14ac:dyDescent="0.2">
      <c r="A555" s="214"/>
      <c r="B555" s="214"/>
      <c r="C555" s="214"/>
      <c r="D555" s="214"/>
      <c r="E555" s="214"/>
      <c r="F555" s="214"/>
      <c r="G555" s="214"/>
      <c r="H555" s="214"/>
      <c r="I555" s="214"/>
      <c r="J555" s="214"/>
      <c r="K555" s="214"/>
      <c r="L555" s="214"/>
      <c r="M555" s="215"/>
      <c r="N555" s="215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16"/>
      <c r="AN555" s="216"/>
      <c r="AO555" s="216"/>
      <c r="AP555" s="216"/>
      <c r="AQ555" s="216"/>
      <c r="AR555" s="216"/>
      <c r="AS555" s="216"/>
      <c r="AT555" s="216"/>
    </row>
    <row r="556" spans="1:46" ht="12.75" x14ac:dyDescent="0.2">
      <c r="A556" s="214"/>
      <c r="B556" s="214"/>
      <c r="C556" s="214"/>
      <c r="D556" s="214"/>
      <c r="E556" s="214"/>
      <c r="F556" s="214"/>
      <c r="G556" s="214"/>
      <c r="H556" s="214"/>
      <c r="I556" s="214"/>
      <c r="J556" s="214"/>
      <c r="K556" s="214"/>
      <c r="L556" s="214"/>
      <c r="M556" s="215"/>
      <c r="N556" s="215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16"/>
      <c r="AN556" s="216"/>
      <c r="AO556" s="216"/>
      <c r="AP556" s="216"/>
      <c r="AQ556" s="216"/>
      <c r="AR556" s="216"/>
      <c r="AS556" s="216"/>
      <c r="AT556" s="216"/>
    </row>
    <row r="557" spans="1:46" ht="12.75" x14ac:dyDescent="0.2">
      <c r="A557" s="214"/>
      <c r="B557" s="214"/>
      <c r="C557" s="214"/>
      <c r="D557" s="214"/>
      <c r="E557" s="214"/>
      <c r="F557" s="214"/>
      <c r="G557" s="214"/>
      <c r="H557" s="214"/>
      <c r="I557" s="214"/>
      <c r="J557" s="214"/>
      <c r="K557" s="214"/>
      <c r="L557" s="214"/>
      <c r="M557" s="215"/>
      <c r="N557" s="215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16"/>
      <c r="AN557" s="216"/>
      <c r="AO557" s="216"/>
      <c r="AP557" s="216"/>
      <c r="AQ557" s="216"/>
      <c r="AR557" s="216"/>
      <c r="AS557" s="216"/>
      <c r="AT557" s="216"/>
    </row>
    <row r="558" spans="1:46" ht="12.75" x14ac:dyDescent="0.2">
      <c r="A558" s="214"/>
      <c r="B558" s="214"/>
      <c r="C558" s="214"/>
      <c r="D558" s="214"/>
      <c r="E558" s="214"/>
      <c r="F558" s="214"/>
      <c r="G558" s="214"/>
      <c r="H558" s="214"/>
      <c r="I558" s="214"/>
      <c r="J558" s="214"/>
      <c r="K558" s="214"/>
      <c r="L558" s="214"/>
      <c r="M558" s="215"/>
      <c r="N558" s="215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16"/>
      <c r="AN558" s="216"/>
      <c r="AO558" s="216"/>
      <c r="AP558" s="216"/>
      <c r="AQ558" s="216"/>
      <c r="AR558" s="216"/>
      <c r="AS558" s="216"/>
      <c r="AT558" s="216"/>
    </row>
    <row r="559" spans="1:46" ht="12.75" x14ac:dyDescent="0.2">
      <c r="A559" s="214"/>
      <c r="B559" s="214"/>
      <c r="C559" s="214"/>
      <c r="D559" s="214"/>
      <c r="E559" s="214"/>
      <c r="F559" s="214"/>
      <c r="G559" s="214"/>
      <c r="H559" s="214"/>
      <c r="I559" s="214"/>
      <c r="J559" s="214"/>
      <c r="K559" s="214"/>
      <c r="L559" s="214"/>
      <c r="M559" s="215"/>
      <c r="N559" s="215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16"/>
      <c r="AN559" s="216"/>
      <c r="AO559" s="216"/>
      <c r="AP559" s="216"/>
      <c r="AQ559" s="216"/>
      <c r="AR559" s="216"/>
      <c r="AS559" s="216"/>
      <c r="AT559" s="216"/>
    </row>
    <row r="560" spans="1:46" ht="12.75" x14ac:dyDescent="0.2">
      <c r="A560" s="214"/>
      <c r="B560" s="214"/>
      <c r="C560" s="214"/>
      <c r="D560" s="214"/>
      <c r="E560" s="214"/>
      <c r="F560" s="214"/>
      <c r="G560" s="214"/>
      <c r="H560" s="214"/>
      <c r="I560" s="214"/>
      <c r="J560" s="214"/>
      <c r="K560" s="214"/>
      <c r="L560" s="214"/>
      <c r="M560" s="215"/>
      <c r="N560" s="215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16"/>
      <c r="AN560" s="216"/>
      <c r="AO560" s="216"/>
      <c r="AP560" s="216"/>
      <c r="AQ560" s="216"/>
      <c r="AR560" s="216"/>
      <c r="AS560" s="216"/>
      <c r="AT560" s="216"/>
    </row>
    <row r="561" spans="1:46" ht="12.75" x14ac:dyDescent="0.2">
      <c r="A561" s="214"/>
      <c r="B561" s="214"/>
      <c r="C561" s="214"/>
      <c r="D561" s="214"/>
      <c r="E561" s="214"/>
      <c r="F561" s="214"/>
      <c r="G561" s="214"/>
      <c r="H561" s="214"/>
      <c r="I561" s="214"/>
      <c r="J561" s="214"/>
      <c r="K561" s="214"/>
      <c r="L561" s="214"/>
      <c r="M561" s="215"/>
      <c r="N561" s="215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16"/>
      <c r="AN561" s="216"/>
      <c r="AO561" s="216"/>
      <c r="AP561" s="216"/>
      <c r="AQ561" s="216"/>
      <c r="AR561" s="216"/>
      <c r="AS561" s="216"/>
      <c r="AT561" s="216"/>
    </row>
    <row r="562" spans="1:46" ht="12.75" x14ac:dyDescent="0.2">
      <c r="A562" s="214"/>
      <c r="B562" s="214"/>
      <c r="C562" s="214"/>
      <c r="D562" s="214"/>
      <c r="E562" s="214"/>
      <c r="F562" s="214"/>
      <c r="G562" s="214"/>
      <c r="H562" s="214"/>
      <c r="I562" s="214"/>
      <c r="J562" s="214"/>
      <c r="K562" s="214"/>
      <c r="L562" s="214"/>
      <c r="M562" s="215"/>
      <c r="N562" s="215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16"/>
      <c r="AN562" s="216"/>
      <c r="AO562" s="216"/>
      <c r="AP562" s="216"/>
      <c r="AQ562" s="216"/>
      <c r="AR562" s="216"/>
      <c r="AS562" s="216"/>
      <c r="AT562" s="216"/>
    </row>
    <row r="563" spans="1:46" ht="12.75" x14ac:dyDescent="0.2">
      <c r="A563" s="214"/>
      <c r="B563" s="214"/>
      <c r="C563" s="214"/>
      <c r="D563" s="214"/>
      <c r="E563" s="214"/>
      <c r="F563" s="214"/>
      <c r="G563" s="214"/>
      <c r="H563" s="214"/>
      <c r="I563" s="214"/>
      <c r="J563" s="214"/>
      <c r="K563" s="214"/>
      <c r="L563" s="214"/>
      <c r="M563" s="215"/>
      <c r="N563" s="215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16"/>
      <c r="AN563" s="216"/>
      <c r="AO563" s="216"/>
      <c r="AP563" s="216"/>
      <c r="AQ563" s="216"/>
      <c r="AR563" s="216"/>
      <c r="AS563" s="216"/>
      <c r="AT563" s="216"/>
    </row>
    <row r="564" spans="1:46" ht="12.75" x14ac:dyDescent="0.2">
      <c r="A564" s="214"/>
      <c r="B564" s="214"/>
      <c r="C564" s="214"/>
      <c r="D564" s="214"/>
      <c r="E564" s="214"/>
      <c r="F564" s="214"/>
      <c r="G564" s="214"/>
      <c r="H564" s="214"/>
      <c r="I564" s="214"/>
      <c r="J564" s="214"/>
      <c r="K564" s="214"/>
      <c r="L564" s="214"/>
      <c r="M564" s="215"/>
      <c r="N564" s="215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216"/>
      <c r="AR564" s="216"/>
      <c r="AS564" s="216"/>
      <c r="AT564" s="216"/>
    </row>
    <row r="565" spans="1:46" ht="12.75" x14ac:dyDescent="0.2">
      <c r="A565" s="214"/>
      <c r="B565" s="214"/>
      <c r="C565" s="214"/>
      <c r="D565" s="214"/>
      <c r="E565" s="214"/>
      <c r="F565" s="214"/>
      <c r="G565" s="214"/>
      <c r="H565" s="214"/>
      <c r="I565" s="214"/>
      <c r="J565" s="214"/>
      <c r="K565" s="214"/>
      <c r="L565" s="214"/>
      <c r="M565" s="215"/>
      <c r="N565" s="215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</row>
    <row r="566" spans="1:46" ht="12.75" x14ac:dyDescent="0.2">
      <c r="A566" s="214"/>
      <c r="B566" s="214"/>
      <c r="C566" s="214"/>
      <c r="D566" s="214"/>
      <c r="E566" s="214"/>
      <c r="F566" s="214"/>
      <c r="G566" s="214"/>
      <c r="H566" s="214"/>
      <c r="I566" s="214"/>
      <c r="J566" s="214"/>
      <c r="K566" s="214"/>
      <c r="L566" s="214"/>
      <c r="M566" s="215"/>
      <c r="N566" s="215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6"/>
      <c r="AT566" s="216"/>
    </row>
    <row r="567" spans="1:46" ht="12.75" x14ac:dyDescent="0.2">
      <c r="A567" s="214"/>
      <c r="B567" s="214"/>
      <c r="C567" s="214"/>
      <c r="D567" s="214"/>
      <c r="E567" s="214"/>
      <c r="F567" s="214"/>
      <c r="G567" s="214"/>
      <c r="H567" s="214"/>
      <c r="I567" s="214"/>
      <c r="J567" s="214"/>
      <c r="K567" s="214"/>
      <c r="L567" s="214"/>
      <c r="M567" s="215"/>
      <c r="N567" s="215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6"/>
      <c r="AT567" s="216"/>
    </row>
    <row r="568" spans="1:46" ht="12.75" x14ac:dyDescent="0.2">
      <c r="A568" s="214"/>
      <c r="B568" s="214"/>
      <c r="C568" s="214"/>
      <c r="D568" s="214"/>
      <c r="E568" s="214"/>
      <c r="F568" s="214"/>
      <c r="G568" s="214"/>
      <c r="H568" s="214"/>
      <c r="I568" s="214"/>
      <c r="J568" s="214"/>
      <c r="K568" s="214"/>
      <c r="L568" s="214"/>
      <c r="M568" s="215"/>
      <c r="N568" s="215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16"/>
      <c r="AN568" s="216"/>
      <c r="AO568" s="216"/>
      <c r="AP568" s="216"/>
      <c r="AQ568" s="216"/>
      <c r="AR568" s="216"/>
      <c r="AS568" s="216"/>
      <c r="AT568" s="216"/>
    </row>
    <row r="569" spans="1:46" ht="12.75" x14ac:dyDescent="0.2">
      <c r="A569" s="214"/>
      <c r="B569" s="214"/>
      <c r="C569" s="214"/>
      <c r="D569" s="214"/>
      <c r="E569" s="214"/>
      <c r="F569" s="214"/>
      <c r="G569" s="214"/>
      <c r="H569" s="214"/>
      <c r="I569" s="214"/>
      <c r="J569" s="214"/>
      <c r="K569" s="214"/>
      <c r="L569" s="214"/>
      <c r="M569" s="215"/>
      <c r="N569" s="215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16"/>
      <c r="AN569" s="216"/>
      <c r="AO569" s="216"/>
      <c r="AP569" s="216"/>
      <c r="AQ569" s="216"/>
      <c r="AR569" s="216"/>
      <c r="AS569" s="216"/>
      <c r="AT569" s="216"/>
    </row>
    <row r="570" spans="1:46" ht="12.75" x14ac:dyDescent="0.2">
      <c r="A570" s="214"/>
      <c r="B570" s="214"/>
      <c r="C570" s="214"/>
      <c r="D570" s="214"/>
      <c r="E570" s="214"/>
      <c r="F570" s="214"/>
      <c r="G570" s="214"/>
      <c r="H570" s="214"/>
      <c r="I570" s="214"/>
      <c r="J570" s="214"/>
      <c r="K570" s="214"/>
      <c r="L570" s="214"/>
      <c r="M570" s="215"/>
      <c r="N570" s="215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16"/>
      <c r="AN570" s="216"/>
      <c r="AO570" s="216"/>
      <c r="AP570" s="216"/>
      <c r="AQ570" s="216"/>
      <c r="AR570" s="216"/>
      <c r="AS570" s="216"/>
      <c r="AT570" s="216"/>
    </row>
    <row r="571" spans="1:46" ht="12.75" x14ac:dyDescent="0.2">
      <c r="A571" s="214"/>
      <c r="B571" s="214"/>
      <c r="C571" s="214"/>
      <c r="D571" s="214"/>
      <c r="E571" s="214"/>
      <c r="F571" s="214"/>
      <c r="G571" s="214"/>
      <c r="H571" s="214"/>
      <c r="I571" s="214"/>
      <c r="J571" s="214"/>
      <c r="K571" s="214"/>
      <c r="L571" s="214"/>
      <c r="M571" s="215"/>
      <c r="N571" s="215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16"/>
      <c r="AN571" s="216"/>
      <c r="AO571" s="216"/>
      <c r="AP571" s="216"/>
      <c r="AQ571" s="216"/>
      <c r="AR571" s="216"/>
      <c r="AS571" s="216"/>
      <c r="AT571" s="216"/>
    </row>
    <row r="572" spans="1:46" ht="12.75" x14ac:dyDescent="0.2">
      <c r="A572" s="214"/>
      <c r="B572" s="214"/>
      <c r="C572" s="214"/>
      <c r="D572" s="214"/>
      <c r="E572" s="214"/>
      <c r="F572" s="214"/>
      <c r="G572" s="214"/>
      <c r="H572" s="214"/>
      <c r="I572" s="214"/>
      <c r="J572" s="214"/>
      <c r="K572" s="214"/>
      <c r="L572" s="214"/>
      <c r="M572" s="215"/>
      <c r="N572" s="215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16"/>
      <c r="AN572" s="216"/>
      <c r="AO572" s="216"/>
      <c r="AP572" s="216"/>
      <c r="AQ572" s="216"/>
      <c r="AR572" s="216"/>
      <c r="AS572" s="216"/>
      <c r="AT572" s="216"/>
    </row>
    <row r="573" spans="1:46" ht="12.75" x14ac:dyDescent="0.2">
      <c r="A573" s="214"/>
      <c r="B573" s="214"/>
      <c r="C573" s="214"/>
      <c r="D573" s="214"/>
      <c r="E573" s="214"/>
      <c r="F573" s="214"/>
      <c r="G573" s="214"/>
      <c r="H573" s="214"/>
      <c r="I573" s="214"/>
      <c r="J573" s="214"/>
      <c r="K573" s="214"/>
      <c r="L573" s="214"/>
      <c r="M573" s="215"/>
      <c r="N573" s="215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16"/>
      <c r="AN573" s="216"/>
      <c r="AO573" s="216"/>
      <c r="AP573" s="216"/>
      <c r="AQ573" s="216"/>
      <c r="AR573" s="216"/>
      <c r="AS573" s="216"/>
      <c r="AT573" s="216"/>
    </row>
    <row r="574" spans="1:46" ht="12.75" x14ac:dyDescent="0.2">
      <c r="A574" s="214"/>
      <c r="B574" s="214"/>
      <c r="C574" s="214"/>
      <c r="D574" s="214"/>
      <c r="E574" s="214"/>
      <c r="F574" s="214"/>
      <c r="G574" s="214"/>
      <c r="H574" s="214"/>
      <c r="I574" s="214"/>
      <c r="J574" s="214"/>
      <c r="K574" s="214"/>
      <c r="L574" s="214"/>
      <c r="M574" s="215"/>
      <c r="N574" s="215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16"/>
      <c r="AN574" s="216"/>
      <c r="AO574" s="216"/>
      <c r="AP574" s="216"/>
      <c r="AQ574" s="216"/>
      <c r="AR574" s="216"/>
      <c r="AS574" s="216"/>
      <c r="AT574" s="216"/>
    </row>
    <row r="575" spans="1:46" ht="12.75" x14ac:dyDescent="0.2">
      <c r="A575" s="214"/>
      <c r="B575" s="214"/>
      <c r="C575" s="214"/>
      <c r="D575" s="214"/>
      <c r="E575" s="214"/>
      <c r="F575" s="214"/>
      <c r="G575" s="214"/>
      <c r="H575" s="214"/>
      <c r="I575" s="214"/>
      <c r="J575" s="214"/>
      <c r="K575" s="214"/>
      <c r="L575" s="214"/>
      <c r="M575" s="215"/>
      <c r="N575" s="215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16"/>
      <c r="AN575" s="216"/>
      <c r="AO575" s="216"/>
      <c r="AP575" s="216"/>
      <c r="AQ575" s="216"/>
      <c r="AR575" s="216"/>
      <c r="AS575" s="216"/>
      <c r="AT575" s="216"/>
    </row>
    <row r="576" spans="1:46" ht="12.75" x14ac:dyDescent="0.2">
      <c r="A576" s="214"/>
      <c r="B576" s="214"/>
      <c r="C576" s="214"/>
      <c r="D576" s="214"/>
      <c r="E576" s="214"/>
      <c r="F576" s="214"/>
      <c r="G576" s="214"/>
      <c r="H576" s="214"/>
      <c r="I576" s="214"/>
      <c r="J576" s="214"/>
      <c r="K576" s="214"/>
      <c r="L576" s="214"/>
      <c r="M576" s="215"/>
      <c r="N576" s="215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16"/>
      <c r="AN576" s="216"/>
      <c r="AO576" s="216"/>
      <c r="AP576" s="216"/>
      <c r="AQ576" s="216"/>
      <c r="AR576" s="216"/>
      <c r="AS576" s="216"/>
      <c r="AT576" s="216"/>
    </row>
    <row r="577" spans="1:46" ht="12.75" x14ac:dyDescent="0.2">
      <c r="A577" s="214"/>
      <c r="B577" s="214"/>
      <c r="C577" s="214"/>
      <c r="D577" s="214"/>
      <c r="E577" s="214"/>
      <c r="F577" s="214"/>
      <c r="G577" s="214"/>
      <c r="H577" s="214"/>
      <c r="I577" s="214"/>
      <c r="J577" s="214"/>
      <c r="K577" s="214"/>
      <c r="L577" s="214"/>
      <c r="M577" s="215"/>
      <c r="N577" s="215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16"/>
      <c r="AN577" s="216"/>
      <c r="AO577" s="216"/>
      <c r="AP577" s="216"/>
      <c r="AQ577" s="216"/>
      <c r="AR577" s="216"/>
      <c r="AS577" s="216"/>
      <c r="AT577" s="216"/>
    </row>
    <row r="578" spans="1:46" ht="12.75" x14ac:dyDescent="0.2">
      <c r="A578" s="214"/>
      <c r="B578" s="214"/>
      <c r="C578" s="214"/>
      <c r="D578" s="214"/>
      <c r="E578" s="214"/>
      <c r="F578" s="214"/>
      <c r="G578" s="214"/>
      <c r="H578" s="214"/>
      <c r="I578" s="214"/>
      <c r="J578" s="214"/>
      <c r="K578" s="214"/>
      <c r="L578" s="214"/>
      <c r="M578" s="215"/>
      <c r="N578" s="215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16"/>
      <c r="AN578" s="216"/>
      <c r="AO578" s="216"/>
      <c r="AP578" s="216"/>
      <c r="AQ578" s="216"/>
      <c r="AR578" s="216"/>
      <c r="AS578" s="216"/>
      <c r="AT578" s="216"/>
    </row>
    <row r="579" spans="1:46" ht="12.75" x14ac:dyDescent="0.2">
      <c r="A579" s="214"/>
      <c r="B579" s="214"/>
      <c r="C579" s="214"/>
      <c r="D579" s="214"/>
      <c r="E579" s="214"/>
      <c r="F579" s="214"/>
      <c r="G579" s="214"/>
      <c r="H579" s="214"/>
      <c r="I579" s="214"/>
      <c r="J579" s="214"/>
      <c r="K579" s="214"/>
      <c r="L579" s="214"/>
      <c r="M579" s="215"/>
      <c r="N579" s="215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16"/>
      <c r="AN579" s="216"/>
      <c r="AO579" s="216"/>
      <c r="AP579" s="216"/>
      <c r="AQ579" s="216"/>
      <c r="AR579" s="216"/>
      <c r="AS579" s="216"/>
      <c r="AT579" s="216"/>
    </row>
    <row r="580" spans="1:46" ht="12.75" x14ac:dyDescent="0.2">
      <c r="A580" s="214"/>
      <c r="B580" s="214"/>
      <c r="C580" s="214"/>
      <c r="D580" s="214"/>
      <c r="E580" s="214"/>
      <c r="F580" s="214"/>
      <c r="G580" s="214"/>
      <c r="H580" s="214"/>
      <c r="I580" s="214"/>
      <c r="J580" s="214"/>
      <c r="K580" s="214"/>
      <c r="L580" s="214"/>
      <c r="M580" s="215"/>
      <c r="N580" s="215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16"/>
      <c r="AN580" s="216"/>
      <c r="AO580" s="216"/>
      <c r="AP580" s="216"/>
      <c r="AQ580" s="216"/>
      <c r="AR580" s="216"/>
      <c r="AS580" s="216"/>
      <c r="AT580" s="216"/>
    </row>
    <row r="581" spans="1:46" ht="12.75" x14ac:dyDescent="0.2">
      <c r="A581" s="214"/>
      <c r="B581" s="214"/>
      <c r="C581" s="214"/>
      <c r="D581" s="214"/>
      <c r="E581" s="214"/>
      <c r="F581" s="214"/>
      <c r="G581" s="214"/>
      <c r="H581" s="214"/>
      <c r="I581" s="214"/>
      <c r="J581" s="214"/>
      <c r="K581" s="214"/>
      <c r="L581" s="214"/>
      <c r="M581" s="215"/>
      <c r="N581" s="215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16"/>
      <c r="AN581" s="216"/>
      <c r="AO581" s="216"/>
      <c r="AP581" s="216"/>
      <c r="AQ581" s="216"/>
      <c r="AR581" s="216"/>
      <c r="AS581" s="216"/>
      <c r="AT581" s="216"/>
    </row>
    <row r="582" spans="1:46" ht="12.75" x14ac:dyDescent="0.2">
      <c r="A582" s="214"/>
      <c r="B582" s="214"/>
      <c r="C582" s="214"/>
      <c r="D582" s="214"/>
      <c r="E582" s="214"/>
      <c r="F582" s="214"/>
      <c r="G582" s="214"/>
      <c r="H582" s="214"/>
      <c r="I582" s="214"/>
      <c r="J582" s="214"/>
      <c r="K582" s="214"/>
      <c r="L582" s="214"/>
      <c r="M582" s="215"/>
      <c r="N582" s="215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16"/>
      <c r="AN582" s="216"/>
      <c r="AO582" s="216"/>
      <c r="AP582" s="216"/>
      <c r="AQ582" s="216"/>
      <c r="AR582" s="216"/>
      <c r="AS582" s="216"/>
      <c r="AT582" s="216"/>
    </row>
    <row r="583" spans="1:46" ht="12.75" x14ac:dyDescent="0.2">
      <c r="A583" s="214"/>
      <c r="B583" s="214"/>
      <c r="C583" s="214"/>
      <c r="D583" s="214"/>
      <c r="E583" s="214"/>
      <c r="F583" s="214"/>
      <c r="G583" s="214"/>
      <c r="H583" s="214"/>
      <c r="I583" s="214"/>
      <c r="J583" s="214"/>
      <c r="K583" s="214"/>
      <c r="L583" s="214"/>
      <c r="M583" s="215"/>
      <c r="N583" s="215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16"/>
      <c r="AN583" s="216"/>
      <c r="AO583" s="216"/>
      <c r="AP583" s="216"/>
      <c r="AQ583" s="216"/>
      <c r="AR583" s="216"/>
      <c r="AS583" s="216"/>
      <c r="AT583" s="216"/>
    </row>
    <row r="584" spans="1:46" ht="12.75" x14ac:dyDescent="0.2">
      <c r="A584" s="214"/>
      <c r="B584" s="214"/>
      <c r="C584" s="214"/>
      <c r="D584" s="214"/>
      <c r="E584" s="214"/>
      <c r="F584" s="214"/>
      <c r="G584" s="214"/>
      <c r="H584" s="214"/>
      <c r="I584" s="214"/>
      <c r="J584" s="214"/>
      <c r="K584" s="214"/>
      <c r="L584" s="214"/>
      <c r="M584" s="215"/>
      <c r="N584" s="215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16"/>
      <c r="AN584" s="216"/>
      <c r="AO584" s="216"/>
      <c r="AP584" s="216"/>
      <c r="AQ584" s="216"/>
      <c r="AR584" s="216"/>
      <c r="AS584" s="216"/>
      <c r="AT584" s="216"/>
    </row>
    <row r="585" spans="1:46" ht="12.75" x14ac:dyDescent="0.2">
      <c r="A585" s="214"/>
      <c r="B585" s="214"/>
      <c r="C585" s="214"/>
      <c r="D585" s="214"/>
      <c r="E585" s="214"/>
      <c r="F585" s="214"/>
      <c r="G585" s="214"/>
      <c r="H585" s="214"/>
      <c r="I585" s="214"/>
      <c r="J585" s="214"/>
      <c r="K585" s="214"/>
      <c r="L585" s="214"/>
      <c r="M585" s="215"/>
      <c r="N585" s="215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16"/>
      <c r="AN585" s="216"/>
      <c r="AO585" s="216"/>
      <c r="AP585" s="216"/>
      <c r="AQ585" s="216"/>
      <c r="AR585" s="216"/>
      <c r="AS585" s="216"/>
      <c r="AT585" s="216"/>
    </row>
    <row r="586" spans="1:46" ht="12.75" x14ac:dyDescent="0.2">
      <c r="A586" s="214"/>
      <c r="B586" s="214"/>
      <c r="C586" s="214"/>
      <c r="D586" s="214"/>
      <c r="E586" s="214"/>
      <c r="F586" s="214"/>
      <c r="G586" s="214"/>
      <c r="H586" s="214"/>
      <c r="I586" s="214"/>
      <c r="J586" s="214"/>
      <c r="K586" s="214"/>
      <c r="L586" s="214"/>
      <c r="M586" s="215"/>
      <c r="N586" s="215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16"/>
      <c r="AN586" s="216"/>
      <c r="AO586" s="216"/>
      <c r="AP586" s="216"/>
      <c r="AQ586" s="216"/>
      <c r="AR586" s="216"/>
      <c r="AS586" s="216"/>
      <c r="AT586" s="216"/>
    </row>
    <row r="587" spans="1:46" ht="12.75" x14ac:dyDescent="0.2">
      <c r="A587" s="214"/>
      <c r="B587" s="214"/>
      <c r="C587" s="214"/>
      <c r="D587" s="214"/>
      <c r="E587" s="214"/>
      <c r="F587" s="214"/>
      <c r="G587" s="214"/>
      <c r="H587" s="214"/>
      <c r="I587" s="214"/>
      <c r="J587" s="214"/>
      <c r="K587" s="214"/>
      <c r="L587" s="214"/>
      <c r="M587" s="215"/>
      <c r="N587" s="215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16"/>
      <c r="AN587" s="216"/>
      <c r="AO587" s="216"/>
      <c r="AP587" s="216"/>
      <c r="AQ587" s="216"/>
      <c r="AR587" s="216"/>
      <c r="AS587" s="216"/>
      <c r="AT587" s="216"/>
    </row>
    <row r="588" spans="1:46" ht="12.75" x14ac:dyDescent="0.2">
      <c r="A588" s="214"/>
      <c r="B588" s="214"/>
      <c r="C588" s="214"/>
      <c r="D588" s="214"/>
      <c r="E588" s="214"/>
      <c r="F588" s="214"/>
      <c r="G588" s="214"/>
      <c r="H588" s="214"/>
      <c r="I588" s="214"/>
      <c r="J588" s="214"/>
      <c r="K588" s="214"/>
      <c r="L588" s="214"/>
      <c r="M588" s="215"/>
      <c r="N588" s="215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16"/>
      <c r="AN588" s="216"/>
      <c r="AO588" s="216"/>
      <c r="AP588" s="216"/>
      <c r="AQ588" s="216"/>
      <c r="AR588" s="216"/>
      <c r="AS588" s="216"/>
      <c r="AT588" s="216"/>
    </row>
    <row r="589" spans="1:46" ht="12.75" x14ac:dyDescent="0.2">
      <c r="A589" s="214"/>
      <c r="B589" s="214"/>
      <c r="C589" s="214"/>
      <c r="D589" s="214"/>
      <c r="E589" s="214"/>
      <c r="F589" s="214"/>
      <c r="G589" s="214"/>
      <c r="H589" s="214"/>
      <c r="I589" s="214"/>
      <c r="J589" s="214"/>
      <c r="K589" s="214"/>
      <c r="L589" s="214"/>
      <c r="M589" s="215"/>
      <c r="N589" s="215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</row>
    <row r="590" spans="1:46" ht="12.75" x14ac:dyDescent="0.2">
      <c r="A590" s="214"/>
      <c r="B590" s="214"/>
      <c r="C590" s="214"/>
      <c r="D590" s="214"/>
      <c r="E590" s="214"/>
      <c r="F590" s="214"/>
      <c r="G590" s="214"/>
      <c r="H590" s="214"/>
      <c r="I590" s="214"/>
      <c r="J590" s="214"/>
      <c r="K590" s="214"/>
      <c r="L590" s="214"/>
      <c r="M590" s="215"/>
      <c r="N590" s="215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</row>
    <row r="591" spans="1:46" ht="12.75" x14ac:dyDescent="0.2">
      <c r="A591" s="214"/>
      <c r="B591" s="214"/>
      <c r="C591" s="214"/>
      <c r="D591" s="214"/>
      <c r="E591" s="214"/>
      <c r="F591" s="214"/>
      <c r="G591" s="214"/>
      <c r="H591" s="214"/>
      <c r="I591" s="214"/>
      <c r="J591" s="214"/>
      <c r="K591" s="214"/>
      <c r="L591" s="214"/>
      <c r="M591" s="215"/>
      <c r="N591" s="215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</row>
    <row r="592" spans="1:46" ht="12.75" x14ac:dyDescent="0.2">
      <c r="A592" s="214"/>
      <c r="B592" s="214"/>
      <c r="C592" s="214"/>
      <c r="D592" s="214"/>
      <c r="E592" s="214"/>
      <c r="F592" s="214"/>
      <c r="G592" s="214"/>
      <c r="H592" s="214"/>
      <c r="I592" s="214"/>
      <c r="J592" s="214"/>
      <c r="K592" s="214"/>
      <c r="L592" s="214"/>
      <c r="M592" s="215"/>
      <c r="N592" s="215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</row>
    <row r="593" spans="1:46" ht="12.75" x14ac:dyDescent="0.2">
      <c r="A593" s="214"/>
      <c r="B593" s="214"/>
      <c r="C593" s="214"/>
      <c r="D593" s="214"/>
      <c r="E593" s="214"/>
      <c r="F593" s="214"/>
      <c r="G593" s="214"/>
      <c r="H593" s="214"/>
      <c r="I593" s="214"/>
      <c r="J593" s="214"/>
      <c r="K593" s="214"/>
      <c r="L593" s="214"/>
      <c r="M593" s="215"/>
      <c r="N593" s="215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</row>
    <row r="594" spans="1:46" ht="12.75" x14ac:dyDescent="0.2">
      <c r="A594" s="214"/>
      <c r="B594" s="214"/>
      <c r="C594" s="214"/>
      <c r="D594" s="214"/>
      <c r="E594" s="214"/>
      <c r="F594" s="214"/>
      <c r="G594" s="214"/>
      <c r="H594" s="214"/>
      <c r="I594" s="214"/>
      <c r="J594" s="214"/>
      <c r="K594" s="214"/>
      <c r="L594" s="214"/>
      <c r="M594" s="215"/>
      <c r="N594" s="215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</row>
    <row r="595" spans="1:46" ht="12.75" x14ac:dyDescent="0.2">
      <c r="A595" s="214"/>
      <c r="B595" s="214"/>
      <c r="C595" s="214"/>
      <c r="D595" s="214"/>
      <c r="E595" s="214"/>
      <c r="F595" s="214"/>
      <c r="G595" s="214"/>
      <c r="H595" s="214"/>
      <c r="I595" s="214"/>
      <c r="J595" s="214"/>
      <c r="K595" s="214"/>
      <c r="L595" s="214"/>
      <c r="M595" s="215"/>
      <c r="N595" s="215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</row>
    <row r="596" spans="1:46" ht="12.75" x14ac:dyDescent="0.2">
      <c r="A596" s="214"/>
      <c r="B596" s="214"/>
      <c r="C596" s="214"/>
      <c r="D596" s="214"/>
      <c r="E596" s="214"/>
      <c r="F596" s="214"/>
      <c r="G596" s="214"/>
      <c r="H596" s="214"/>
      <c r="I596" s="214"/>
      <c r="J596" s="214"/>
      <c r="K596" s="214"/>
      <c r="L596" s="214"/>
      <c r="M596" s="215"/>
      <c r="N596" s="215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216"/>
      <c r="AR596" s="216"/>
      <c r="AS596" s="216"/>
      <c r="AT596" s="216"/>
    </row>
    <row r="597" spans="1:46" ht="12.75" x14ac:dyDescent="0.2">
      <c r="A597" s="214"/>
      <c r="B597" s="214"/>
      <c r="C597" s="214"/>
      <c r="D597" s="214"/>
      <c r="E597" s="214"/>
      <c r="F597" s="214"/>
      <c r="G597" s="214"/>
      <c r="H597" s="214"/>
      <c r="I597" s="214"/>
      <c r="J597" s="214"/>
      <c r="K597" s="214"/>
      <c r="L597" s="214"/>
      <c r="M597" s="215"/>
      <c r="N597" s="215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216"/>
      <c r="AR597" s="216"/>
      <c r="AS597" s="216"/>
      <c r="AT597" s="216"/>
    </row>
    <row r="598" spans="1:46" ht="12.75" x14ac:dyDescent="0.2">
      <c r="A598" s="214"/>
      <c r="B598" s="214"/>
      <c r="C598" s="214"/>
      <c r="D598" s="214"/>
      <c r="E598" s="214"/>
      <c r="F598" s="214"/>
      <c r="G598" s="214"/>
      <c r="H598" s="214"/>
      <c r="I598" s="214"/>
      <c r="J598" s="214"/>
      <c r="K598" s="214"/>
      <c r="L598" s="214"/>
      <c r="M598" s="215"/>
      <c r="N598" s="215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16"/>
      <c r="AN598" s="216"/>
      <c r="AO598" s="216"/>
      <c r="AP598" s="216"/>
      <c r="AQ598" s="216"/>
      <c r="AR598" s="216"/>
      <c r="AS598" s="216"/>
      <c r="AT598" s="216"/>
    </row>
    <row r="599" spans="1:46" ht="12.75" x14ac:dyDescent="0.2">
      <c r="A599" s="214"/>
      <c r="B599" s="214"/>
      <c r="C599" s="214"/>
      <c r="D599" s="214"/>
      <c r="E599" s="214"/>
      <c r="F599" s="214"/>
      <c r="G599" s="214"/>
      <c r="H599" s="214"/>
      <c r="I599" s="214"/>
      <c r="J599" s="214"/>
      <c r="K599" s="214"/>
      <c r="L599" s="214"/>
      <c r="M599" s="215"/>
      <c r="N599" s="215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16"/>
      <c r="AN599" s="216"/>
      <c r="AO599" s="216"/>
      <c r="AP599" s="216"/>
      <c r="AQ599" s="216"/>
      <c r="AR599" s="216"/>
      <c r="AS599" s="216"/>
      <c r="AT599" s="216"/>
    </row>
    <row r="600" spans="1:46" ht="12.75" x14ac:dyDescent="0.2">
      <c r="A600" s="214"/>
      <c r="B600" s="214"/>
      <c r="C600" s="214"/>
      <c r="D600" s="214"/>
      <c r="E600" s="214"/>
      <c r="F600" s="214"/>
      <c r="G600" s="214"/>
      <c r="H600" s="214"/>
      <c r="I600" s="214"/>
      <c r="J600" s="214"/>
      <c r="K600" s="214"/>
      <c r="L600" s="214"/>
      <c r="M600" s="215"/>
      <c r="N600" s="215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16"/>
      <c r="AN600" s="216"/>
      <c r="AO600" s="216"/>
      <c r="AP600" s="216"/>
      <c r="AQ600" s="216"/>
      <c r="AR600" s="216"/>
      <c r="AS600" s="216"/>
      <c r="AT600" s="216"/>
    </row>
    <row r="601" spans="1:46" ht="12.75" x14ac:dyDescent="0.2">
      <c r="A601" s="214"/>
      <c r="B601" s="214"/>
      <c r="C601" s="214"/>
      <c r="D601" s="214"/>
      <c r="E601" s="214"/>
      <c r="F601" s="214"/>
      <c r="G601" s="214"/>
      <c r="H601" s="214"/>
      <c r="I601" s="214"/>
      <c r="J601" s="214"/>
      <c r="K601" s="214"/>
      <c r="L601" s="214"/>
      <c r="M601" s="215"/>
      <c r="N601" s="215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16"/>
      <c r="AN601" s="216"/>
      <c r="AO601" s="216"/>
      <c r="AP601" s="216"/>
      <c r="AQ601" s="216"/>
      <c r="AR601" s="216"/>
      <c r="AS601" s="216"/>
      <c r="AT601" s="216"/>
    </row>
    <row r="602" spans="1:46" ht="12.75" x14ac:dyDescent="0.2">
      <c r="A602" s="214"/>
      <c r="B602" s="214"/>
      <c r="C602" s="214"/>
      <c r="D602" s="214"/>
      <c r="E602" s="214"/>
      <c r="F602" s="214"/>
      <c r="G602" s="214"/>
      <c r="H602" s="214"/>
      <c r="I602" s="214"/>
      <c r="J602" s="214"/>
      <c r="K602" s="214"/>
      <c r="L602" s="214"/>
      <c r="M602" s="215"/>
      <c r="N602" s="215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16"/>
      <c r="AN602" s="216"/>
      <c r="AO602" s="216"/>
      <c r="AP602" s="216"/>
      <c r="AQ602" s="216"/>
      <c r="AR602" s="216"/>
      <c r="AS602" s="216"/>
      <c r="AT602" s="216"/>
    </row>
    <row r="603" spans="1:46" ht="12.75" x14ac:dyDescent="0.2">
      <c r="A603" s="214"/>
      <c r="B603" s="214"/>
      <c r="C603" s="214"/>
      <c r="D603" s="214"/>
      <c r="E603" s="214"/>
      <c r="F603" s="214"/>
      <c r="G603" s="214"/>
      <c r="H603" s="214"/>
      <c r="I603" s="214"/>
      <c r="J603" s="214"/>
      <c r="K603" s="214"/>
      <c r="L603" s="214"/>
      <c r="M603" s="215"/>
      <c r="N603" s="215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16"/>
      <c r="AN603" s="216"/>
      <c r="AO603" s="216"/>
      <c r="AP603" s="216"/>
      <c r="AQ603" s="216"/>
      <c r="AR603" s="216"/>
      <c r="AS603" s="216"/>
      <c r="AT603" s="216"/>
    </row>
    <row r="604" spans="1:46" ht="12.75" x14ac:dyDescent="0.2">
      <c r="A604" s="214"/>
      <c r="B604" s="214"/>
      <c r="C604" s="214"/>
      <c r="D604" s="214"/>
      <c r="E604" s="214"/>
      <c r="F604" s="214"/>
      <c r="G604" s="214"/>
      <c r="H604" s="214"/>
      <c r="I604" s="214"/>
      <c r="J604" s="214"/>
      <c r="K604" s="214"/>
      <c r="L604" s="214"/>
      <c r="M604" s="215"/>
      <c r="N604" s="215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16"/>
      <c r="AN604" s="216"/>
      <c r="AO604" s="216"/>
      <c r="AP604" s="216"/>
      <c r="AQ604" s="216"/>
      <c r="AR604" s="216"/>
      <c r="AS604" s="216"/>
      <c r="AT604" s="216"/>
    </row>
    <row r="605" spans="1:46" ht="12.75" x14ac:dyDescent="0.2">
      <c r="A605" s="214"/>
      <c r="B605" s="214"/>
      <c r="C605" s="214"/>
      <c r="D605" s="214"/>
      <c r="E605" s="214"/>
      <c r="F605" s="214"/>
      <c r="G605" s="214"/>
      <c r="H605" s="214"/>
      <c r="I605" s="214"/>
      <c r="J605" s="214"/>
      <c r="K605" s="214"/>
      <c r="L605" s="214"/>
      <c r="M605" s="215"/>
      <c r="N605" s="215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16"/>
      <c r="AN605" s="216"/>
      <c r="AO605" s="216"/>
      <c r="AP605" s="216"/>
      <c r="AQ605" s="216"/>
      <c r="AR605" s="216"/>
      <c r="AS605" s="216"/>
      <c r="AT605" s="216"/>
    </row>
    <row r="606" spans="1:46" ht="12.75" x14ac:dyDescent="0.2">
      <c r="A606" s="214"/>
      <c r="B606" s="214"/>
      <c r="C606" s="214"/>
      <c r="D606" s="214"/>
      <c r="E606" s="214"/>
      <c r="F606" s="214"/>
      <c r="G606" s="214"/>
      <c r="H606" s="214"/>
      <c r="I606" s="214"/>
      <c r="J606" s="214"/>
      <c r="K606" s="214"/>
      <c r="L606" s="214"/>
      <c r="M606" s="215"/>
      <c r="N606" s="215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216"/>
      <c r="AR606" s="216"/>
      <c r="AS606" s="216"/>
      <c r="AT606" s="216"/>
    </row>
    <row r="607" spans="1:46" ht="12.75" x14ac:dyDescent="0.2">
      <c r="A607" s="214"/>
      <c r="B607" s="214"/>
      <c r="C607" s="214"/>
      <c r="D607" s="214"/>
      <c r="E607" s="214"/>
      <c r="F607" s="214"/>
      <c r="G607" s="214"/>
      <c r="H607" s="214"/>
      <c r="I607" s="214"/>
      <c r="J607" s="214"/>
      <c r="K607" s="214"/>
      <c r="L607" s="214"/>
      <c r="M607" s="215"/>
      <c r="N607" s="215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</row>
    <row r="608" spans="1:46" ht="12.75" x14ac:dyDescent="0.2">
      <c r="A608" s="214"/>
      <c r="B608" s="214"/>
      <c r="C608" s="214"/>
      <c r="D608" s="214"/>
      <c r="E608" s="214"/>
      <c r="F608" s="214"/>
      <c r="G608" s="214"/>
      <c r="H608" s="214"/>
      <c r="I608" s="214"/>
      <c r="J608" s="214"/>
      <c r="K608" s="214"/>
      <c r="L608" s="214"/>
      <c r="M608" s="215"/>
      <c r="N608" s="215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</row>
    <row r="609" spans="1:46" ht="12.75" x14ac:dyDescent="0.2">
      <c r="A609" s="214"/>
      <c r="B609" s="214"/>
      <c r="C609" s="214"/>
      <c r="D609" s="214"/>
      <c r="E609" s="214"/>
      <c r="F609" s="214"/>
      <c r="G609" s="214"/>
      <c r="H609" s="214"/>
      <c r="I609" s="214"/>
      <c r="J609" s="214"/>
      <c r="K609" s="214"/>
      <c r="L609" s="214"/>
      <c r="M609" s="215"/>
      <c r="N609" s="215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</row>
    <row r="610" spans="1:46" ht="12.75" x14ac:dyDescent="0.2">
      <c r="A610" s="214"/>
      <c r="B610" s="214"/>
      <c r="C610" s="214"/>
      <c r="D610" s="214"/>
      <c r="E610" s="214"/>
      <c r="F610" s="214"/>
      <c r="G610" s="214"/>
      <c r="H610" s="214"/>
      <c r="I610" s="214"/>
      <c r="J610" s="214"/>
      <c r="K610" s="214"/>
      <c r="L610" s="214"/>
      <c r="M610" s="215"/>
      <c r="N610" s="215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</row>
    <row r="611" spans="1:46" ht="12.75" x14ac:dyDescent="0.2">
      <c r="A611" s="214"/>
      <c r="B611" s="214"/>
      <c r="C611" s="214"/>
      <c r="D611" s="214"/>
      <c r="E611" s="214"/>
      <c r="F611" s="214"/>
      <c r="G611" s="214"/>
      <c r="H611" s="214"/>
      <c r="I611" s="214"/>
      <c r="J611" s="214"/>
      <c r="K611" s="214"/>
      <c r="L611" s="214"/>
      <c r="M611" s="215"/>
      <c r="N611" s="215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</row>
    <row r="612" spans="1:46" ht="12.75" x14ac:dyDescent="0.2">
      <c r="A612" s="214"/>
      <c r="B612" s="214"/>
      <c r="C612" s="214"/>
      <c r="D612" s="214"/>
      <c r="E612" s="214"/>
      <c r="F612" s="214"/>
      <c r="G612" s="214"/>
      <c r="H612" s="214"/>
      <c r="I612" s="214"/>
      <c r="J612" s="214"/>
      <c r="K612" s="214"/>
      <c r="L612" s="214"/>
      <c r="M612" s="215"/>
      <c r="N612" s="215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</row>
    <row r="613" spans="1:46" ht="12.75" x14ac:dyDescent="0.2">
      <c r="A613" s="214"/>
      <c r="B613" s="214"/>
      <c r="C613" s="214"/>
      <c r="D613" s="214"/>
      <c r="E613" s="214"/>
      <c r="F613" s="214"/>
      <c r="G613" s="214"/>
      <c r="H613" s="214"/>
      <c r="I613" s="214"/>
      <c r="J613" s="214"/>
      <c r="K613" s="214"/>
      <c r="L613" s="214"/>
      <c r="M613" s="215"/>
      <c r="N613" s="215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</row>
    <row r="614" spans="1:46" ht="12.75" x14ac:dyDescent="0.2">
      <c r="A614" s="214"/>
      <c r="B614" s="214"/>
      <c r="C614" s="214"/>
      <c r="D614" s="214"/>
      <c r="E614" s="214"/>
      <c r="F614" s="214"/>
      <c r="G614" s="214"/>
      <c r="H614" s="214"/>
      <c r="I614" s="214"/>
      <c r="J614" s="214"/>
      <c r="K614" s="214"/>
      <c r="L614" s="214"/>
      <c r="M614" s="215"/>
      <c r="N614" s="215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</row>
    <row r="615" spans="1:46" ht="12.75" x14ac:dyDescent="0.2">
      <c r="A615" s="214"/>
      <c r="B615" s="214"/>
      <c r="C615" s="214"/>
      <c r="D615" s="214"/>
      <c r="E615" s="214"/>
      <c r="F615" s="214"/>
      <c r="G615" s="214"/>
      <c r="H615" s="214"/>
      <c r="I615" s="214"/>
      <c r="J615" s="214"/>
      <c r="K615" s="214"/>
      <c r="L615" s="214"/>
      <c r="M615" s="215"/>
      <c r="N615" s="215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16"/>
      <c r="AN615" s="216"/>
      <c r="AO615" s="216"/>
      <c r="AP615" s="216"/>
      <c r="AQ615" s="216"/>
      <c r="AR615" s="216"/>
      <c r="AS615" s="216"/>
      <c r="AT615" s="216"/>
    </row>
    <row r="616" spans="1:46" ht="12.75" x14ac:dyDescent="0.2">
      <c r="A616" s="214"/>
      <c r="B616" s="214"/>
      <c r="C616" s="214"/>
      <c r="D616" s="214"/>
      <c r="E616" s="214"/>
      <c r="F616" s="214"/>
      <c r="G616" s="214"/>
      <c r="H616" s="214"/>
      <c r="I616" s="214"/>
      <c r="J616" s="214"/>
      <c r="K616" s="214"/>
      <c r="L616" s="214"/>
      <c r="M616" s="215"/>
      <c r="N616" s="215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16"/>
      <c r="AN616" s="216"/>
      <c r="AO616" s="216"/>
      <c r="AP616" s="216"/>
      <c r="AQ616" s="216"/>
      <c r="AR616" s="216"/>
      <c r="AS616" s="216"/>
      <c r="AT616" s="216"/>
    </row>
    <row r="617" spans="1:46" ht="12.75" x14ac:dyDescent="0.2">
      <c r="A617" s="214"/>
      <c r="B617" s="214"/>
      <c r="C617" s="214"/>
      <c r="D617" s="214"/>
      <c r="E617" s="214"/>
      <c r="F617" s="214"/>
      <c r="G617" s="214"/>
      <c r="H617" s="214"/>
      <c r="I617" s="214"/>
      <c r="J617" s="214"/>
      <c r="K617" s="214"/>
      <c r="L617" s="214"/>
      <c r="M617" s="215"/>
      <c r="N617" s="215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16"/>
      <c r="AN617" s="216"/>
      <c r="AO617" s="216"/>
      <c r="AP617" s="216"/>
      <c r="AQ617" s="216"/>
      <c r="AR617" s="216"/>
      <c r="AS617" s="216"/>
      <c r="AT617" s="216"/>
    </row>
    <row r="618" spans="1:46" ht="12.75" x14ac:dyDescent="0.2">
      <c r="A618" s="214"/>
      <c r="B618" s="214"/>
      <c r="C618" s="214"/>
      <c r="D618" s="214"/>
      <c r="E618" s="214"/>
      <c r="F618" s="214"/>
      <c r="G618" s="214"/>
      <c r="H618" s="214"/>
      <c r="I618" s="214"/>
      <c r="J618" s="214"/>
      <c r="K618" s="214"/>
      <c r="L618" s="214"/>
      <c r="M618" s="215"/>
      <c r="N618" s="215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16"/>
      <c r="AN618" s="216"/>
      <c r="AO618" s="216"/>
      <c r="AP618" s="216"/>
      <c r="AQ618" s="216"/>
      <c r="AR618" s="216"/>
      <c r="AS618" s="216"/>
      <c r="AT618" s="216"/>
    </row>
    <row r="619" spans="1:46" ht="12.75" x14ac:dyDescent="0.2">
      <c r="A619" s="214"/>
      <c r="B619" s="214"/>
      <c r="C619" s="214"/>
      <c r="D619" s="214"/>
      <c r="E619" s="214"/>
      <c r="F619" s="214"/>
      <c r="G619" s="214"/>
      <c r="H619" s="214"/>
      <c r="I619" s="214"/>
      <c r="J619" s="214"/>
      <c r="K619" s="214"/>
      <c r="L619" s="214"/>
      <c r="M619" s="215"/>
      <c r="N619" s="215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16"/>
      <c r="AN619" s="216"/>
      <c r="AO619" s="216"/>
      <c r="AP619" s="216"/>
      <c r="AQ619" s="216"/>
      <c r="AR619" s="216"/>
      <c r="AS619" s="216"/>
      <c r="AT619" s="216"/>
    </row>
    <row r="620" spans="1:46" ht="12.75" x14ac:dyDescent="0.2">
      <c r="A620" s="214"/>
      <c r="B620" s="214"/>
      <c r="C620" s="214"/>
      <c r="D620" s="214"/>
      <c r="E620" s="214"/>
      <c r="F620" s="214"/>
      <c r="G620" s="214"/>
      <c r="H620" s="214"/>
      <c r="I620" s="214"/>
      <c r="J620" s="214"/>
      <c r="K620" s="214"/>
      <c r="L620" s="214"/>
      <c r="M620" s="215"/>
      <c r="N620" s="215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16"/>
      <c r="AN620" s="216"/>
      <c r="AO620" s="216"/>
      <c r="AP620" s="216"/>
      <c r="AQ620" s="216"/>
      <c r="AR620" s="216"/>
      <c r="AS620" s="216"/>
      <c r="AT620" s="216"/>
    </row>
    <row r="621" spans="1:46" ht="12.75" x14ac:dyDescent="0.2">
      <c r="A621" s="214"/>
      <c r="B621" s="214"/>
      <c r="C621" s="214"/>
      <c r="D621" s="214"/>
      <c r="E621" s="214"/>
      <c r="F621" s="214"/>
      <c r="G621" s="214"/>
      <c r="H621" s="214"/>
      <c r="I621" s="214"/>
      <c r="J621" s="214"/>
      <c r="K621" s="214"/>
      <c r="L621" s="214"/>
      <c r="M621" s="215"/>
      <c r="N621" s="215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16"/>
      <c r="AN621" s="216"/>
      <c r="AO621" s="216"/>
      <c r="AP621" s="216"/>
      <c r="AQ621" s="216"/>
      <c r="AR621" s="216"/>
      <c r="AS621" s="216"/>
      <c r="AT621" s="216"/>
    </row>
    <row r="622" spans="1:46" ht="12.75" x14ac:dyDescent="0.2">
      <c r="A622" s="214"/>
      <c r="B622" s="214"/>
      <c r="C622" s="214"/>
      <c r="D622" s="214"/>
      <c r="E622" s="214"/>
      <c r="F622" s="214"/>
      <c r="G622" s="214"/>
      <c r="H622" s="214"/>
      <c r="I622" s="214"/>
      <c r="J622" s="214"/>
      <c r="K622" s="214"/>
      <c r="L622" s="214"/>
      <c r="M622" s="215"/>
      <c r="N622" s="215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16"/>
      <c r="AN622" s="216"/>
      <c r="AO622" s="216"/>
      <c r="AP622" s="216"/>
      <c r="AQ622" s="216"/>
      <c r="AR622" s="216"/>
      <c r="AS622" s="216"/>
      <c r="AT622" s="216"/>
    </row>
    <row r="623" spans="1:46" ht="12.75" x14ac:dyDescent="0.2">
      <c r="A623" s="214"/>
      <c r="B623" s="214"/>
      <c r="C623" s="214"/>
      <c r="D623" s="214"/>
      <c r="E623" s="214"/>
      <c r="F623" s="214"/>
      <c r="G623" s="214"/>
      <c r="H623" s="214"/>
      <c r="I623" s="214"/>
      <c r="J623" s="214"/>
      <c r="K623" s="214"/>
      <c r="L623" s="214"/>
      <c r="M623" s="215"/>
      <c r="N623" s="215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16"/>
      <c r="AN623" s="216"/>
      <c r="AO623" s="216"/>
      <c r="AP623" s="216"/>
      <c r="AQ623" s="216"/>
      <c r="AR623" s="216"/>
      <c r="AS623" s="216"/>
      <c r="AT623" s="216"/>
    </row>
    <row r="624" spans="1:46" ht="12.75" x14ac:dyDescent="0.2">
      <c r="A624" s="214"/>
      <c r="B624" s="214"/>
      <c r="C624" s="214"/>
      <c r="D624" s="214"/>
      <c r="E624" s="214"/>
      <c r="F624" s="214"/>
      <c r="G624" s="214"/>
      <c r="H624" s="214"/>
      <c r="I624" s="214"/>
      <c r="J624" s="214"/>
      <c r="K624" s="214"/>
      <c r="L624" s="214"/>
      <c r="M624" s="215"/>
      <c r="N624" s="215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16"/>
      <c r="AN624" s="216"/>
      <c r="AO624" s="216"/>
      <c r="AP624" s="216"/>
      <c r="AQ624" s="216"/>
      <c r="AR624" s="216"/>
      <c r="AS624" s="216"/>
      <c r="AT624" s="216"/>
    </row>
    <row r="625" spans="1:46" ht="12.75" x14ac:dyDescent="0.2">
      <c r="A625" s="214"/>
      <c r="B625" s="214"/>
      <c r="C625" s="214"/>
      <c r="D625" s="214"/>
      <c r="E625" s="214"/>
      <c r="F625" s="214"/>
      <c r="G625" s="214"/>
      <c r="H625" s="214"/>
      <c r="I625" s="214"/>
      <c r="J625" s="214"/>
      <c r="K625" s="214"/>
      <c r="L625" s="214"/>
      <c r="M625" s="215"/>
      <c r="N625" s="215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16"/>
      <c r="AN625" s="216"/>
      <c r="AO625" s="216"/>
      <c r="AP625" s="216"/>
      <c r="AQ625" s="216"/>
      <c r="AR625" s="216"/>
      <c r="AS625" s="216"/>
      <c r="AT625" s="216"/>
    </row>
    <row r="626" spans="1:46" ht="12.75" x14ac:dyDescent="0.2">
      <c r="A626" s="214"/>
      <c r="B626" s="214"/>
      <c r="C626" s="214"/>
      <c r="D626" s="214"/>
      <c r="E626" s="214"/>
      <c r="F626" s="214"/>
      <c r="G626" s="214"/>
      <c r="H626" s="214"/>
      <c r="I626" s="214"/>
      <c r="J626" s="214"/>
      <c r="K626" s="214"/>
      <c r="L626" s="214"/>
      <c r="M626" s="215"/>
      <c r="N626" s="215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</row>
    <row r="627" spans="1:46" ht="12.75" x14ac:dyDescent="0.2">
      <c r="A627" s="214"/>
      <c r="B627" s="214"/>
      <c r="C627" s="214"/>
      <c r="D627" s="214"/>
      <c r="E627" s="214"/>
      <c r="F627" s="214"/>
      <c r="G627" s="214"/>
      <c r="H627" s="214"/>
      <c r="I627" s="214"/>
      <c r="J627" s="214"/>
      <c r="K627" s="214"/>
      <c r="L627" s="214"/>
      <c r="M627" s="215"/>
      <c r="N627" s="215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</row>
    <row r="628" spans="1:46" ht="12.75" x14ac:dyDescent="0.2">
      <c r="A628" s="214"/>
      <c r="B628" s="214"/>
      <c r="C628" s="214"/>
      <c r="D628" s="214"/>
      <c r="E628" s="214"/>
      <c r="F628" s="214"/>
      <c r="G628" s="214"/>
      <c r="H628" s="214"/>
      <c r="I628" s="214"/>
      <c r="J628" s="214"/>
      <c r="K628" s="214"/>
      <c r="L628" s="214"/>
      <c r="M628" s="215"/>
      <c r="N628" s="215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</row>
    <row r="629" spans="1:46" ht="12.75" x14ac:dyDescent="0.2">
      <c r="A629" s="214"/>
      <c r="B629" s="214"/>
      <c r="C629" s="214"/>
      <c r="D629" s="214"/>
      <c r="E629" s="214"/>
      <c r="F629" s="214"/>
      <c r="G629" s="214"/>
      <c r="H629" s="214"/>
      <c r="I629" s="214"/>
      <c r="J629" s="214"/>
      <c r="K629" s="214"/>
      <c r="L629" s="214"/>
      <c r="M629" s="215"/>
      <c r="N629" s="215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</row>
    <row r="630" spans="1:46" ht="12.75" x14ac:dyDescent="0.2">
      <c r="A630" s="214"/>
      <c r="B630" s="214"/>
      <c r="C630" s="214"/>
      <c r="D630" s="214"/>
      <c r="E630" s="214"/>
      <c r="F630" s="214"/>
      <c r="G630" s="214"/>
      <c r="H630" s="214"/>
      <c r="I630" s="214"/>
      <c r="J630" s="214"/>
      <c r="K630" s="214"/>
      <c r="L630" s="214"/>
      <c r="M630" s="215"/>
      <c r="N630" s="215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</row>
    <row r="631" spans="1:46" ht="12.75" x14ac:dyDescent="0.2">
      <c r="A631" s="214"/>
      <c r="B631" s="214"/>
      <c r="C631" s="214"/>
      <c r="D631" s="214"/>
      <c r="E631" s="214"/>
      <c r="F631" s="214"/>
      <c r="G631" s="214"/>
      <c r="H631" s="214"/>
      <c r="I631" s="214"/>
      <c r="J631" s="214"/>
      <c r="K631" s="214"/>
      <c r="L631" s="214"/>
      <c r="M631" s="215"/>
      <c r="N631" s="215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</row>
    <row r="632" spans="1:46" ht="12.75" x14ac:dyDescent="0.2">
      <c r="A632" s="214"/>
      <c r="B632" s="214"/>
      <c r="C632" s="214"/>
      <c r="D632" s="214"/>
      <c r="E632" s="214"/>
      <c r="F632" s="214"/>
      <c r="G632" s="214"/>
      <c r="H632" s="214"/>
      <c r="I632" s="214"/>
      <c r="J632" s="214"/>
      <c r="K632" s="214"/>
      <c r="L632" s="214"/>
      <c r="M632" s="215"/>
      <c r="N632" s="215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</row>
    <row r="633" spans="1:46" ht="12.75" x14ac:dyDescent="0.2">
      <c r="A633" s="214"/>
      <c r="B633" s="214"/>
      <c r="C633" s="214"/>
      <c r="D633" s="214"/>
      <c r="E633" s="214"/>
      <c r="F633" s="214"/>
      <c r="G633" s="214"/>
      <c r="H633" s="214"/>
      <c r="I633" s="214"/>
      <c r="J633" s="214"/>
      <c r="K633" s="214"/>
      <c r="L633" s="214"/>
      <c r="M633" s="215"/>
      <c r="N633" s="215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</row>
    <row r="634" spans="1:46" ht="12.75" x14ac:dyDescent="0.2">
      <c r="A634" s="214"/>
      <c r="B634" s="214"/>
      <c r="C634" s="214"/>
      <c r="D634" s="214"/>
      <c r="E634" s="214"/>
      <c r="F634" s="214"/>
      <c r="G634" s="214"/>
      <c r="H634" s="214"/>
      <c r="I634" s="214"/>
      <c r="J634" s="214"/>
      <c r="K634" s="214"/>
      <c r="L634" s="214"/>
      <c r="M634" s="215"/>
      <c r="N634" s="215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</row>
    <row r="635" spans="1:46" ht="12.75" x14ac:dyDescent="0.2">
      <c r="A635" s="214"/>
      <c r="B635" s="214"/>
      <c r="C635" s="214"/>
      <c r="D635" s="214"/>
      <c r="E635" s="214"/>
      <c r="F635" s="214"/>
      <c r="G635" s="214"/>
      <c r="H635" s="214"/>
      <c r="I635" s="214"/>
      <c r="J635" s="214"/>
      <c r="K635" s="214"/>
      <c r="L635" s="214"/>
      <c r="M635" s="215"/>
      <c r="N635" s="215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</row>
    <row r="636" spans="1:46" ht="12.75" x14ac:dyDescent="0.2">
      <c r="A636" s="214"/>
      <c r="B636" s="214"/>
      <c r="C636" s="214"/>
      <c r="D636" s="214"/>
      <c r="E636" s="214"/>
      <c r="F636" s="214"/>
      <c r="G636" s="214"/>
      <c r="H636" s="214"/>
      <c r="I636" s="214"/>
      <c r="J636" s="214"/>
      <c r="K636" s="214"/>
      <c r="L636" s="214"/>
      <c r="M636" s="215"/>
      <c r="N636" s="215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</row>
    <row r="637" spans="1:46" ht="12.75" x14ac:dyDescent="0.2">
      <c r="A637" s="214"/>
      <c r="B637" s="214"/>
      <c r="C637" s="214"/>
      <c r="D637" s="214"/>
      <c r="E637" s="214"/>
      <c r="F637" s="214"/>
      <c r="G637" s="214"/>
      <c r="H637" s="214"/>
      <c r="I637" s="214"/>
      <c r="J637" s="214"/>
      <c r="K637" s="214"/>
      <c r="L637" s="214"/>
      <c r="M637" s="215"/>
      <c r="N637" s="215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</row>
    <row r="638" spans="1:46" ht="12.75" x14ac:dyDescent="0.2">
      <c r="A638" s="214"/>
      <c r="B638" s="214"/>
      <c r="C638" s="214"/>
      <c r="D638" s="214"/>
      <c r="E638" s="214"/>
      <c r="F638" s="214"/>
      <c r="G638" s="214"/>
      <c r="H638" s="214"/>
      <c r="I638" s="214"/>
      <c r="J638" s="214"/>
      <c r="K638" s="214"/>
      <c r="L638" s="214"/>
      <c r="M638" s="215"/>
      <c r="N638" s="215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</row>
    <row r="639" spans="1:46" ht="12.75" x14ac:dyDescent="0.2">
      <c r="A639" s="214"/>
      <c r="B639" s="214"/>
      <c r="C639" s="214"/>
      <c r="D639" s="214"/>
      <c r="E639" s="214"/>
      <c r="F639" s="214"/>
      <c r="G639" s="214"/>
      <c r="H639" s="214"/>
      <c r="I639" s="214"/>
      <c r="J639" s="214"/>
      <c r="K639" s="214"/>
      <c r="L639" s="214"/>
      <c r="M639" s="215"/>
      <c r="N639" s="215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6"/>
      <c r="AT639" s="216"/>
    </row>
    <row r="640" spans="1:46" ht="12.75" x14ac:dyDescent="0.2">
      <c r="A640" s="214"/>
      <c r="B640" s="214"/>
      <c r="C640" s="214"/>
      <c r="D640" s="214"/>
      <c r="E640" s="214"/>
      <c r="F640" s="214"/>
      <c r="G640" s="214"/>
      <c r="H640" s="214"/>
      <c r="I640" s="214"/>
      <c r="J640" s="214"/>
      <c r="K640" s="214"/>
      <c r="L640" s="214"/>
      <c r="M640" s="215"/>
      <c r="N640" s="215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</row>
    <row r="641" spans="1:46" ht="12.75" x14ac:dyDescent="0.2">
      <c r="A641" s="214"/>
      <c r="B641" s="214"/>
      <c r="C641" s="214"/>
      <c r="D641" s="214"/>
      <c r="E641" s="214"/>
      <c r="F641" s="214"/>
      <c r="G641" s="214"/>
      <c r="H641" s="214"/>
      <c r="I641" s="214"/>
      <c r="J641" s="214"/>
      <c r="K641" s="214"/>
      <c r="L641" s="214"/>
      <c r="M641" s="215"/>
      <c r="N641" s="215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16"/>
      <c r="AN641" s="216"/>
      <c r="AO641" s="216"/>
      <c r="AP641" s="216"/>
      <c r="AQ641" s="216"/>
      <c r="AR641" s="216"/>
      <c r="AS641" s="216"/>
      <c r="AT641" s="216"/>
    </row>
    <row r="642" spans="1:46" ht="12.75" x14ac:dyDescent="0.2">
      <c r="A642" s="214"/>
      <c r="B642" s="214"/>
      <c r="C642" s="214"/>
      <c r="D642" s="214"/>
      <c r="E642" s="214"/>
      <c r="F642" s="214"/>
      <c r="G642" s="214"/>
      <c r="H642" s="214"/>
      <c r="I642" s="214"/>
      <c r="J642" s="214"/>
      <c r="K642" s="214"/>
      <c r="L642" s="214"/>
      <c r="M642" s="215"/>
      <c r="N642" s="215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16"/>
      <c r="AN642" s="216"/>
      <c r="AO642" s="216"/>
      <c r="AP642" s="216"/>
      <c r="AQ642" s="216"/>
      <c r="AR642" s="216"/>
      <c r="AS642" s="216"/>
      <c r="AT642" s="216"/>
    </row>
    <row r="643" spans="1:46" ht="12.75" x14ac:dyDescent="0.2">
      <c r="A643" s="214"/>
      <c r="B643" s="214"/>
      <c r="C643" s="214"/>
      <c r="D643" s="214"/>
      <c r="E643" s="214"/>
      <c r="F643" s="214"/>
      <c r="G643" s="214"/>
      <c r="H643" s="214"/>
      <c r="I643" s="214"/>
      <c r="J643" s="214"/>
      <c r="K643" s="214"/>
      <c r="L643" s="214"/>
      <c r="M643" s="215"/>
      <c r="N643" s="215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16"/>
      <c r="AN643" s="216"/>
      <c r="AO643" s="216"/>
      <c r="AP643" s="216"/>
      <c r="AQ643" s="216"/>
      <c r="AR643" s="216"/>
      <c r="AS643" s="216"/>
      <c r="AT643" s="216"/>
    </row>
    <row r="644" spans="1:46" ht="12.75" x14ac:dyDescent="0.2">
      <c r="A644" s="214"/>
      <c r="B644" s="214"/>
      <c r="C644" s="214"/>
      <c r="D644" s="214"/>
      <c r="E644" s="214"/>
      <c r="F644" s="214"/>
      <c r="G644" s="214"/>
      <c r="H644" s="214"/>
      <c r="I644" s="214"/>
      <c r="J644" s="214"/>
      <c r="K644" s="214"/>
      <c r="L644" s="214"/>
      <c r="M644" s="215"/>
      <c r="N644" s="215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16"/>
      <c r="AN644" s="216"/>
      <c r="AO644" s="216"/>
      <c r="AP644" s="216"/>
      <c r="AQ644" s="216"/>
      <c r="AR644" s="216"/>
      <c r="AS644" s="216"/>
      <c r="AT644" s="216"/>
    </row>
    <row r="645" spans="1:46" ht="12.75" x14ac:dyDescent="0.2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214"/>
      <c r="L645" s="214"/>
      <c r="M645" s="215"/>
      <c r="N645" s="215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16"/>
      <c r="AN645" s="216"/>
      <c r="AO645" s="216"/>
      <c r="AP645" s="216"/>
      <c r="AQ645" s="216"/>
      <c r="AR645" s="216"/>
      <c r="AS645" s="216"/>
      <c r="AT645" s="216"/>
    </row>
    <row r="646" spans="1:46" ht="12.75" x14ac:dyDescent="0.2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214"/>
      <c r="L646" s="214"/>
      <c r="M646" s="215"/>
      <c r="N646" s="215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16"/>
      <c r="AN646" s="216"/>
      <c r="AO646" s="216"/>
      <c r="AP646" s="216"/>
      <c r="AQ646" s="216"/>
      <c r="AR646" s="216"/>
      <c r="AS646" s="216"/>
      <c r="AT646" s="216"/>
    </row>
    <row r="647" spans="1:46" ht="12.75" x14ac:dyDescent="0.2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214"/>
      <c r="L647" s="214"/>
      <c r="M647" s="215"/>
      <c r="N647" s="215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216"/>
      <c r="AR647" s="216"/>
      <c r="AS647" s="216"/>
      <c r="AT647" s="216"/>
    </row>
    <row r="648" spans="1:46" ht="12.75" x14ac:dyDescent="0.2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214"/>
      <c r="L648" s="214"/>
      <c r="M648" s="215"/>
      <c r="N648" s="215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6"/>
      <c r="AT648" s="216"/>
    </row>
    <row r="649" spans="1:46" ht="12.75" x14ac:dyDescent="0.2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214"/>
      <c r="L649" s="214"/>
      <c r="M649" s="215"/>
      <c r="N649" s="215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</row>
    <row r="650" spans="1:46" ht="12.75" x14ac:dyDescent="0.2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214"/>
      <c r="L650" s="214"/>
      <c r="M650" s="215"/>
      <c r="N650" s="215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</row>
    <row r="651" spans="1:46" ht="12.75" x14ac:dyDescent="0.2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214"/>
      <c r="L651" s="214"/>
      <c r="M651" s="215"/>
      <c r="N651" s="215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</row>
    <row r="652" spans="1:46" ht="12.75" x14ac:dyDescent="0.2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214"/>
      <c r="L652" s="214"/>
      <c r="M652" s="215"/>
      <c r="N652" s="215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</row>
    <row r="653" spans="1:46" ht="12.75" x14ac:dyDescent="0.2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214"/>
      <c r="L653" s="214"/>
      <c r="M653" s="215"/>
      <c r="N653" s="215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</row>
    <row r="654" spans="1:46" ht="12.75" x14ac:dyDescent="0.2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214"/>
      <c r="L654" s="214"/>
      <c r="M654" s="215"/>
      <c r="N654" s="215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</row>
    <row r="655" spans="1:46" ht="12.75" x14ac:dyDescent="0.2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214"/>
      <c r="L655" s="214"/>
      <c r="M655" s="215"/>
      <c r="N655" s="215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16"/>
      <c r="AN655" s="216"/>
      <c r="AO655" s="216"/>
      <c r="AP655" s="216"/>
      <c r="AQ655" s="216"/>
      <c r="AR655" s="216"/>
      <c r="AS655" s="216"/>
      <c r="AT655" s="216"/>
    </row>
    <row r="656" spans="1:46" ht="12.75" x14ac:dyDescent="0.2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214"/>
      <c r="L656" s="214"/>
      <c r="M656" s="215"/>
      <c r="N656" s="215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16"/>
      <c r="AN656" s="216"/>
      <c r="AO656" s="216"/>
      <c r="AP656" s="216"/>
      <c r="AQ656" s="216"/>
      <c r="AR656" s="216"/>
      <c r="AS656" s="216"/>
      <c r="AT656" s="216"/>
    </row>
    <row r="657" spans="1:46" ht="12.75" x14ac:dyDescent="0.2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214"/>
      <c r="L657" s="214"/>
      <c r="M657" s="215"/>
      <c r="N657" s="215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  <c r="AM657" s="216"/>
      <c r="AN657" s="216"/>
      <c r="AO657" s="216"/>
      <c r="AP657" s="216"/>
      <c r="AQ657" s="216"/>
      <c r="AR657" s="216"/>
      <c r="AS657" s="216"/>
      <c r="AT657" s="216"/>
    </row>
    <row r="658" spans="1:46" ht="12.75" x14ac:dyDescent="0.2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214"/>
      <c r="L658" s="214"/>
      <c r="M658" s="215"/>
      <c r="N658" s="215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  <c r="AM658" s="216"/>
      <c r="AN658" s="216"/>
      <c r="AO658" s="216"/>
      <c r="AP658" s="216"/>
      <c r="AQ658" s="216"/>
      <c r="AR658" s="216"/>
      <c r="AS658" s="216"/>
      <c r="AT658" s="216"/>
    </row>
    <row r="659" spans="1:46" ht="12.75" x14ac:dyDescent="0.2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214"/>
      <c r="L659" s="214"/>
      <c r="M659" s="215"/>
      <c r="N659" s="215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  <c r="AM659" s="216"/>
      <c r="AN659" s="216"/>
      <c r="AO659" s="216"/>
      <c r="AP659" s="216"/>
      <c r="AQ659" s="216"/>
      <c r="AR659" s="216"/>
      <c r="AS659" s="216"/>
      <c r="AT659" s="216"/>
    </row>
    <row r="660" spans="1:46" ht="12.75" x14ac:dyDescent="0.2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214"/>
      <c r="L660" s="214"/>
      <c r="M660" s="215"/>
      <c r="N660" s="215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16"/>
      <c r="AN660" s="216"/>
      <c r="AO660" s="216"/>
      <c r="AP660" s="216"/>
      <c r="AQ660" s="216"/>
      <c r="AR660" s="216"/>
      <c r="AS660" s="216"/>
      <c r="AT660" s="216"/>
    </row>
    <row r="661" spans="1:46" ht="12.75" x14ac:dyDescent="0.2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214"/>
      <c r="L661" s="214"/>
      <c r="M661" s="215"/>
      <c r="N661" s="215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16"/>
      <c r="AN661" s="216"/>
      <c r="AO661" s="216"/>
      <c r="AP661" s="216"/>
      <c r="AQ661" s="216"/>
      <c r="AR661" s="216"/>
      <c r="AS661" s="216"/>
      <c r="AT661" s="216"/>
    </row>
    <row r="662" spans="1:46" ht="12.75" x14ac:dyDescent="0.2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214"/>
      <c r="L662" s="214"/>
      <c r="M662" s="215"/>
      <c r="N662" s="215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</row>
    <row r="663" spans="1:46" ht="12.75" x14ac:dyDescent="0.2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214"/>
      <c r="L663" s="214"/>
      <c r="M663" s="215"/>
      <c r="N663" s="215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</row>
    <row r="664" spans="1:46" ht="12.75" x14ac:dyDescent="0.2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214"/>
      <c r="L664" s="214"/>
      <c r="M664" s="215"/>
      <c r="N664" s="215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</row>
    <row r="665" spans="1:46" ht="12.75" x14ac:dyDescent="0.2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214"/>
      <c r="L665" s="214"/>
      <c r="M665" s="215"/>
      <c r="N665" s="215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</row>
    <row r="666" spans="1:46" ht="12.75" x14ac:dyDescent="0.2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214"/>
      <c r="L666" s="214"/>
      <c r="M666" s="215"/>
      <c r="N666" s="215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</row>
    <row r="667" spans="1:46" ht="12.75" x14ac:dyDescent="0.2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214"/>
      <c r="L667" s="214"/>
      <c r="M667" s="215"/>
      <c r="N667" s="215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</row>
    <row r="668" spans="1:46" ht="12.75" x14ac:dyDescent="0.2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214"/>
      <c r="L668" s="214"/>
      <c r="M668" s="215"/>
      <c r="N668" s="215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</row>
    <row r="669" spans="1:46" ht="12.75" x14ac:dyDescent="0.2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214"/>
      <c r="L669" s="214"/>
      <c r="M669" s="215"/>
      <c r="N669" s="215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</row>
    <row r="670" spans="1:46" ht="12.75" x14ac:dyDescent="0.2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214"/>
      <c r="L670" s="214"/>
      <c r="M670" s="215"/>
      <c r="N670" s="215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16"/>
      <c r="AT670" s="216"/>
    </row>
    <row r="671" spans="1:46" ht="12.75" x14ac:dyDescent="0.2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214"/>
      <c r="L671" s="214"/>
      <c r="M671" s="215"/>
      <c r="N671" s="215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16"/>
      <c r="AN671" s="216"/>
      <c r="AO671" s="216"/>
      <c r="AP671" s="216"/>
      <c r="AQ671" s="216"/>
      <c r="AR671" s="216"/>
      <c r="AS671" s="216"/>
      <c r="AT671" s="216"/>
    </row>
    <row r="672" spans="1:46" ht="12.75" x14ac:dyDescent="0.2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214"/>
      <c r="L672" s="214"/>
      <c r="M672" s="215"/>
      <c r="N672" s="215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16"/>
      <c r="AN672" s="216"/>
      <c r="AO672" s="216"/>
      <c r="AP672" s="216"/>
      <c r="AQ672" s="216"/>
      <c r="AR672" s="216"/>
      <c r="AS672" s="216"/>
      <c r="AT672" s="216"/>
    </row>
    <row r="673" spans="1:46" ht="12.75" x14ac:dyDescent="0.2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214"/>
      <c r="L673" s="214"/>
      <c r="M673" s="215"/>
      <c r="N673" s="215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16"/>
      <c r="AN673" s="216"/>
      <c r="AO673" s="216"/>
      <c r="AP673" s="216"/>
      <c r="AQ673" s="216"/>
      <c r="AR673" s="216"/>
      <c r="AS673" s="216"/>
      <c r="AT673" s="216"/>
    </row>
    <row r="674" spans="1:46" ht="12.75" x14ac:dyDescent="0.2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214"/>
      <c r="L674" s="214"/>
      <c r="M674" s="215"/>
      <c r="N674" s="215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16"/>
      <c r="AN674" s="216"/>
      <c r="AO674" s="216"/>
      <c r="AP674" s="216"/>
      <c r="AQ674" s="216"/>
      <c r="AR674" s="216"/>
      <c r="AS674" s="216"/>
      <c r="AT674" s="216"/>
    </row>
    <row r="675" spans="1:46" ht="12.75" x14ac:dyDescent="0.2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214"/>
      <c r="L675" s="214"/>
      <c r="M675" s="215"/>
      <c r="N675" s="215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16"/>
      <c r="AN675" s="216"/>
      <c r="AO675" s="216"/>
      <c r="AP675" s="216"/>
      <c r="AQ675" s="216"/>
      <c r="AR675" s="216"/>
      <c r="AS675" s="216"/>
      <c r="AT675" s="216"/>
    </row>
    <row r="676" spans="1:46" ht="12.75" x14ac:dyDescent="0.2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214"/>
      <c r="L676" s="214"/>
      <c r="M676" s="215"/>
      <c r="N676" s="215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  <c r="AM676" s="216"/>
      <c r="AN676" s="216"/>
      <c r="AO676" s="216"/>
      <c r="AP676" s="216"/>
      <c r="AQ676" s="216"/>
      <c r="AR676" s="216"/>
      <c r="AS676" s="216"/>
      <c r="AT676" s="216"/>
    </row>
    <row r="677" spans="1:46" ht="12.75" x14ac:dyDescent="0.2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214"/>
      <c r="L677" s="214"/>
      <c r="M677" s="215"/>
      <c r="N677" s="215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  <c r="AM677" s="216"/>
      <c r="AN677" s="216"/>
      <c r="AO677" s="216"/>
      <c r="AP677" s="216"/>
      <c r="AQ677" s="216"/>
      <c r="AR677" s="216"/>
      <c r="AS677" s="216"/>
      <c r="AT677" s="216"/>
    </row>
    <row r="678" spans="1:46" ht="12.75" x14ac:dyDescent="0.2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214"/>
      <c r="L678" s="214"/>
      <c r="M678" s="215"/>
      <c r="N678" s="215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  <c r="AM678" s="216"/>
      <c r="AN678" s="216"/>
      <c r="AO678" s="216"/>
      <c r="AP678" s="216"/>
      <c r="AQ678" s="216"/>
      <c r="AR678" s="216"/>
      <c r="AS678" s="216"/>
      <c r="AT678" s="216"/>
    </row>
    <row r="679" spans="1:46" ht="12.75" x14ac:dyDescent="0.2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214"/>
      <c r="L679" s="214"/>
      <c r="M679" s="215"/>
      <c r="N679" s="215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16"/>
      <c r="AN679" s="216"/>
      <c r="AO679" s="216"/>
      <c r="AP679" s="216"/>
      <c r="AQ679" s="216"/>
      <c r="AR679" s="216"/>
      <c r="AS679" s="216"/>
      <c r="AT679" s="216"/>
    </row>
    <row r="680" spans="1:46" ht="12.75" x14ac:dyDescent="0.2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214"/>
      <c r="L680" s="214"/>
      <c r="M680" s="215"/>
      <c r="N680" s="215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16"/>
      <c r="AN680" s="216"/>
      <c r="AO680" s="216"/>
      <c r="AP680" s="216"/>
      <c r="AQ680" s="216"/>
      <c r="AR680" s="216"/>
      <c r="AS680" s="216"/>
      <c r="AT680" s="216"/>
    </row>
    <row r="681" spans="1:46" ht="12.75" x14ac:dyDescent="0.2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214"/>
      <c r="L681" s="214"/>
      <c r="M681" s="215"/>
      <c r="N681" s="215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16"/>
      <c r="AN681" s="216"/>
      <c r="AO681" s="216"/>
      <c r="AP681" s="216"/>
      <c r="AQ681" s="216"/>
      <c r="AR681" s="216"/>
      <c r="AS681" s="216"/>
      <c r="AT681" s="216"/>
    </row>
    <row r="682" spans="1:46" ht="12.75" x14ac:dyDescent="0.2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214"/>
      <c r="L682" s="214"/>
      <c r="M682" s="215"/>
      <c r="N682" s="215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16"/>
      <c r="AN682" s="216"/>
      <c r="AO682" s="216"/>
      <c r="AP682" s="216"/>
      <c r="AQ682" s="216"/>
      <c r="AR682" s="216"/>
      <c r="AS682" s="216"/>
      <c r="AT682" s="216"/>
    </row>
    <row r="683" spans="1:46" ht="12.75" x14ac:dyDescent="0.2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214"/>
      <c r="L683" s="214"/>
      <c r="M683" s="215"/>
      <c r="N683" s="215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16"/>
      <c r="AN683" s="216"/>
      <c r="AO683" s="216"/>
      <c r="AP683" s="216"/>
      <c r="AQ683" s="216"/>
      <c r="AR683" s="216"/>
      <c r="AS683" s="216"/>
      <c r="AT683" s="216"/>
    </row>
    <row r="684" spans="1:46" ht="12.75" x14ac:dyDescent="0.2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214"/>
      <c r="L684" s="214"/>
      <c r="M684" s="215"/>
      <c r="N684" s="215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16"/>
      <c r="AN684" s="216"/>
      <c r="AO684" s="216"/>
      <c r="AP684" s="216"/>
      <c r="AQ684" s="216"/>
      <c r="AR684" s="216"/>
      <c r="AS684" s="216"/>
      <c r="AT684" s="216"/>
    </row>
    <row r="685" spans="1:46" ht="12.75" x14ac:dyDescent="0.2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214"/>
      <c r="L685" s="214"/>
      <c r="M685" s="215"/>
      <c r="N685" s="215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16"/>
      <c r="AN685" s="216"/>
      <c r="AO685" s="216"/>
      <c r="AP685" s="216"/>
      <c r="AQ685" s="216"/>
      <c r="AR685" s="216"/>
      <c r="AS685" s="216"/>
      <c r="AT685" s="216"/>
    </row>
    <row r="686" spans="1:46" ht="12.75" x14ac:dyDescent="0.2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214"/>
      <c r="L686" s="214"/>
      <c r="M686" s="215"/>
      <c r="N686" s="215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16"/>
      <c r="AN686" s="216"/>
      <c r="AO686" s="216"/>
      <c r="AP686" s="216"/>
      <c r="AQ686" s="216"/>
      <c r="AR686" s="216"/>
      <c r="AS686" s="216"/>
      <c r="AT686" s="216"/>
    </row>
    <row r="687" spans="1:46" ht="12.75" x14ac:dyDescent="0.2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214"/>
      <c r="L687" s="214"/>
      <c r="M687" s="215"/>
      <c r="N687" s="215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16"/>
      <c r="AN687" s="216"/>
      <c r="AO687" s="216"/>
      <c r="AP687" s="216"/>
      <c r="AQ687" s="216"/>
      <c r="AR687" s="216"/>
      <c r="AS687" s="216"/>
      <c r="AT687" s="216"/>
    </row>
    <row r="688" spans="1:46" ht="12.75" x14ac:dyDescent="0.2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214"/>
      <c r="L688" s="214"/>
      <c r="M688" s="215"/>
      <c r="N688" s="215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16"/>
      <c r="AN688" s="216"/>
      <c r="AO688" s="216"/>
      <c r="AP688" s="216"/>
      <c r="AQ688" s="216"/>
      <c r="AR688" s="216"/>
      <c r="AS688" s="216"/>
      <c r="AT688" s="216"/>
    </row>
    <row r="689" spans="1:46" ht="12.75" x14ac:dyDescent="0.2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214"/>
      <c r="L689" s="214"/>
      <c r="M689" s="215"/>
      <c r="N689" s="215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16"/>
      <c r="AN689" s="216"/>
      <c r="AO689" s="216"/>
      <c r="AP689" s="216"/>
      <c r="AQ689" s="216"/>
      <c r="AR689" s="216"/>
      <c r="AS689" s="216"/>
      <c r="AT689" s="216"/>
    </row>
    <row r="690" spans="1:46" ht="12.75" x14ac:dyDescent="0.2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214"/>
      <c r="L690" s="214"/>
      <c r="M690" s="215"/>
      <c r="N690" s="215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16"/>
      <c r="AN690" s="216"/>
      <c r="AO690" s="216"/>
      <c r="AP690" s="216"/>
      <c r="AQ690" s="216"/>
      <c r="AR690" s="216"/>
      <c r="AS690" s="216"/>
      <c r="AT690" s="216"/>
    </row>
    <row r="691" spans="1:46" ht="12.75" x14ac:dyDescent="0.2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214"/>
      <c r="L691" s="214"/>
      <c r="M691" s="215"/>
      <c r="N691" s="215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16"/>
      <c r="AN691" s="216"/>
      <c r="AO691" s="216"/>
      <c r="AP691" s="216"/>
      <c r="AQ691" s="216"/>
      <c r="AR691" s="216"/>
      <c r="AS691" s="216"/>
      <c r="AT691" s="216"/>
    </row>
    <row r="692" spans="1:46" ht="12.75" x14ac:dyDescent="0.2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214"/>
      <c r="L692" s="214"/>
      <c r="M692" s="215"/>
      <c r="N692" s="215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</row>
    <row r="693" spans="1:46" ht="12.75" x14ac:dyDescent="0.2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214"/>
      <c r="L693" s="214"/>
      <c r="M693" s="215"/>
      <c r="N693" s="215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216"/>
      <c r="AR693" s="216"/>
      <c r="AS693" s="216"/>
      <c r="AT693" s="216"/>
    </row>
    <row r="694" spans="1:46" ht="12.75" x14ac:dyDescent="0.2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214"/>
      <c r="L694" s="214"/>
      <c r="M694" s="215"/>
      <c r="N694" s="215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</row>
    <row r="695" spans="1:46" ht="12.75" x14ac:dyDescent="0.2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214"/>
      <c r="L695" s="214"/>
      <c r="M695" s="215"/>
      <c r="N695" s="215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216"/>
      <c r="AR695" s="216"/>
      <c r="AS695" s="216"/>
      <c r="AT695" s="216"/>
    </row>
    <row r="696" spans="1:46" ht="12.75" x14ac:dyDescent="0.2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214"/>
      <c r="L696" s="214"/>
      <c r="M696" s="215"/>
      <c r="N696" s="215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216"/>
      <c r="AR696" s="216"/>
      <c r="AS696" s="216"/>
      <c r="AT696" s="216"/>
    </row>
    <row r="697" spans="1:46" ht="12.75" x14ac:dyDescent="0.2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214"/>
      <c r="L697" s="214"/>
      <c r="M697" s="215"/>
      <c r="N697" s="215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16"/>
      <c r="AN697" s="216"/>
      <c r="AO697" s="216"/>
      <c r="AP697" s="216"/>
      <c r="AQ697" s="216"/>
      <c r="AR697" s="216"/>
      <c r="AS697" s="216"/>
      <c r="AT697" s="216"/>
    </row>
    <row r="698" spans="1:46" ht="12.75" x14ac:dyDescent="0.2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214"/>
      <c r="L698" s="214"/>
      <c r="M698" s="215"/>
      <c r="N698" s="215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216"/>
      <c r="AR698" s="216"/>
      <c r="AS698" s="216"/>
      <c r="AT698" s="216"/>
    </row>
    <row r="699" spans="1:46" ht="12.75" x14ac:dyDescent="0.2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214"/>
      <c r="L699" s="214"/>
      <c r="M699" s="215"/>
      <c r="N699" s="215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216"/>
      <c r="AR699" s="216"/>
      <c r="AS699" s="216"/>
      <c r="AT699" s="216"/>
    </row>
    <row r="700" spans="1:46" ht="12.75" x14ac:dyDescent="0.2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214"/>
      <c r="L700" s="214"/>
      <c r="M700" s="215"/>
      <c r="N700" s="215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</row>
    <row r="701" spans="1:46" ht="12.75" x14ac:dyDescent="0.2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214"/>
      <c r="L701" s="214"/>
      <c r="M701" s="215"/>
      <c r="N701" s="215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</row>
    <row r="702" spans="1:46" ht="12.75" x14ac:dyDescent="0.2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214"/>
      <c r="L702" s="214"/>
      <c r="M702" s="215"/>
      <c r="N702" s="215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</row>
    <row r="703" spans="1:46" ht="12.75" x14ac:dyDescent="0.2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214"/>
      <c r="L703" s="214"/>
      <c r="M703" s="215"/>
      <c r="N703" s="215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</row>
    <row r="704" spans="1:46" ht="12.75" x14ac:dyDescent="0.2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214"/>
      <c r="L704" s="214"/>
      <c r="M704" s="215"/>
      <c r="N704" s="215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</row>
    <row r="705" spans="1:46" ht="12.75" x14ac:dyDescent="0.2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214"/>
      <c r="L705" s="214"/>
      <c r="M705" s="215"/>
      <c r="N705" s="215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</row>
    <row r="706" spans="1:46" ht="12.75" x14ac:dyDescent="0.2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214"/>
      <c r="L706" s="214"/>
      <c r="M706" s="215"/>
      <c r="N706" s="215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</row>
    <row r="707" spans="1:46" ht="12.75" x14ac:dyDescent="0.2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214"/>
      <c r="L707" s="214"/>
      <c r="M707" s="215"/>
      <c r="N707" s="215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</row>
    <row r="708" spans="1:46" ht="12.75" x14ac:dyDescent="0.2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214"/>
      <c r="L708" s="214"/>
      <c r="M708" s="215"/>
      <c r="N708" s="215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</row>
    <row r="709" spans="1:46" ht="12.75" x14ac:dyDescent="0.2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214"/>
      <c r="L709" s="214"/>
      <c r="M709" s="215"/>
      <c r="N709" s="215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</row>
    <row r="710" spans="1:46" ht="12.75" x14ac:dyDescent="0.2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214"/>
      <c r="L710" s="214"/>
      <c r="M710" s="215"/>
      <c r="N710" s="215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</row>
    <row r="711" spans="1:46" ht="12.75" x14ac:dyDescent="0.2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214"/>
      <c r="L711" s="214"/>
      <c r="M711" s="215"/>
      <c r="N711" s="215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216"/>
      <c r="AR711" s="216"/>
      <c r="AS711" s="216"/>
      <c r="AT711" s="216"/>
    </row>
    <row r="712" spans="1:46" ht="12.75" x14ac:dyDescent="0.2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214"/>
      <c r="L712" s="214"/>
      <c r="M712" s="215"/>
      <c r="N712" s="215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16"/>
      <c r="AN712" s="216"/>
      <c r="AO712" s="216"/>
      <c r="AP712" s="216"/>
      <c r="AQ712" s="216"/>
      <c r="AR712" s="216"/>
      <c r="AS712" s="216"/>
      <c r="AT712" s="216"/>
    </row>
    <row r="713" spans="1:46" ht="12.75" x14ac:dyDescent="0.2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214"/>
      <c r="L713" s="214"/>
      <c r="M713" s="215"/>
      <c r="N713" s="215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  <c r="AM713" s="216"/>
      <c r="AN713" s="216"/>
      <c r="AO713" s="216"/>
      <c r="AP713" s="216"/>
      <c r="AQ713" s="216"/>
      <c r="AR713" s="216"/>
      <c r="AS713" s="216"/>
      <c r="AT713" s="216"/>
    </row>
    <row r="714" spans="1:46" ht="12.75" x14ac:dyDescent="0.2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214"/>
      <c r="L714" s="214"/>
      <c r="M714" s="215"/>
      <c r="N714" s="215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  <c r="AM714" s="216"/>
      <c r="AN714" s="216"/>
      <c r="AO714" s="216"/>
      <c r="AP714" s="216"/>
      <c r="AQ714" s="216"/>
      <c r="AR714" s="216"/>
      <c r="AS714" s="216"/>
      <c r="AT714" s="216"/>
    </row>
    <row r="715" spans="1:46" ht="12.75" x14ac:dyDescent="0.2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214"/>
      <c r="L715" s="214"/>
      <c r="M715" s="215"/>
      <c r="N715" s="215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  <c r="AM715" s="216"/>
      <c r="AN715" s="216"/>
      <c r="AO715" s="216"/>
      <c r="AP715" s="216"/>
      <c r="AQ715" s="216"/>
      <c r="AR715" s="216"/>
      <c r="AS715" s="216"/>
      <c r="AT715" s="216"/>
    </row>
    <row r="716" spans="1:46" ht="12.75" x14ac:dyDescent="0.2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214"/>
      <c r="L716" s="214"/>
      <c r="M716" s="215"/>
      <c r="N716" s="215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  <c r="AM716" s="216"/>
      <c r="AN716" s="216"/>
      <c r="AO716" s="216"/>
      <c r="AP716" s="216"/>
      <c r="AQ716" s="216"/>
      <c r="AR716" s="216"/>
      <c r="AS716" s="216"/>
      <c r="AT716" s="216"/>
    </row>
    <row r="717" spans="1:46" ht="12.75" x14ac:dyDescent="0.2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214"/>
      <c r="L717" s="214"/>
      <c r="M717" s="215"/>
      <c r="N717" s="215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16"/>
      <c r="AN717" s="216"/>
      <c r="AO717" s="216"/>
      <c r="AP717" s="216"/>
      <c r="AQ717" s="216"/>
      <c r="AR717" s="216"/>
      <c r="AS717" s="216"/>
      <c r="AT717" s="216"/>
    </row>
    <row r="718" spans="1:46" ht="12.75" x14ac:dyDescent="0.2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214"/>
      <c r="L718" s="214"/>
      <c r="M718" s="215"/>
      <c r="N718" s="215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16"/>
      <c r="AN718" s="216"/>
      <c r="AO718" s="216"/>
      <c r="AP718" s="216"/>
      <c r="AQ718" s="216"/>
      <c r="AR718" s="216"/>
      <c r="AS718" s="216"/>
      <c r="AT718" s="216"/>
    </row>
    <row r="719" spans="1:46" ht="12.75" x14ac:dyDescent="0.2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214"/>
      <c r="L719" s="214"/>
      <c r="M719" s="215"/>
      <c r="N719" s="215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16"/>
      <c r="AN719" s="216"/>
      <c r="AO719" s="216"/>
      <c r="AP719" s="216"/>
      <c r="AQ719" s="216"/>
      <c r="AR719" s="216"/>
      <c r="AS719" s="216"/>
      <c r="AT719" s="216"/>
    </row>
    <row r="720" spans="1:46" ht="12.75" x14ac:dyDescent="0.2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214"/>
      <c r="L720" s="214"/>
      <c r="M720" s="215"/>
      <c r="N720" s="215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16"/>
      <c r="AN720" s="216"/>
      <c r="AO720" s="216"/>
      <c r="AP720" s="216"/>
      <c r="AQ720" s="216"/>
      <c r="AR720" s="216"/>
      <c r="AS720" s="216"/>
      <c r="AT720" s="216"/>
    </row>
    <row r="721" spans="1:46" ht="12.75" x14ac:dyDescent="0.2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214"/>
      <c r="L721" s="214"/>
      <c r="M721" s="215"/>
      <c r="N721" s="215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16"/>
      <c r="AN721" s="216"/>
      <c r="AO721" s="216"/>
      <c r="AP721" s="216"/>
      <c r="AQ721" s="216"/>
      <c r="AR721" s="216"/>
      <c r="AS721" s="216"/>
      <c r="AT721" s="216"/>
    </row>
    <row r="722" spans="1:46" ht="12.75" x14ac:dyDescent="0.2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214"/>
      <c r="L722" s="214"/>
      <c r="M722" s="215"/>
      <c r="N722" s="215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16"/>
      <c r="AN722" s="216"/>
      <c r="AO722" s="216"/>
      <c r="AP722" s="216"/>
      <c r="AQ722" s="216"/>
      <c r="AR722" s="216"/>
      <c r="AS722" s="216"/>
      <c r="AT722" s="216"/>
    </row>
    <row r="723" spans="1:46" ht="12.75" x14ac:dyDescent="0.2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214"/>
      <c r="L723" s="214"/>
      <c r="M723" s="215"/>
      <c r="N723" s="215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16"/>
      <c r="AN723" s="216"/>
      <c r="AO723" s="216"/>
      <c r="AP723" s="216"/>
      <c r="AQ723" s="216"/>
      <c r="AR723" s="216"/>
      <c r="AS723" s="216"/>
      <c r="AT723" s="216"/>
    </row>
    <row r="724" spans="1:46" ht="12.75" x14ac:dyDescent="0.2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214"/>
      <c r="L724" s="214"/>
      <c r="M724" s="215"/>
      <c r="N724" s="215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16"/>
      <c r="AN724" s="216"/>
      <c r="AO724" s="216"/>
      <c r="AP724" s="216"/>
      <c r="AQ724" s="216"/>
      <c r="AR724" s="216"/>
      <c r="AS724" s="216"/>
      <c r="AT724" s="216"/>
    </row>
    <row r="725" spans="1:46" ht="12.75" x14ac:dyDescent="0.2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214"/>
      <c r="L725" s="214"/>
      <c r="M725" s="215"/>
      <c r="N725" s="215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16"/>
      <c r="AN725" s="216"/>
      <c r="AO725" s="216"/>
      <c r="AP725" s="216"/>
      <c r="AQ725" s="216"/>
      <c r="AR725" s="216"/>
      <c r="AS725" s="216"/>
      <c r="AT725" s="216"/>
    </row>
    <row r="726" spans="1:46" ht="12.75" x14ac:dyDescent="0.2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214"/>
      <c r="L726" s="214"/>
      <c r="M726" s="215"/>
      <c r="N726" s="215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16"/>
      <c r="AN726" s="216"/>
      <c r="AO726" s="216"/>
      <c r="AP726" s="216"/>
      <c r="AQ726" s="216"/>
      <c r="AR726" s="216"/>
      <c r="AS726" s="216"/>
      <c r="AT726" s="216"/>
    </row>
    <row r="727" spans="1:46" ht="12.75" x14ac:dyDescent="0.2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214"/>
      <c r="L727" s="214"/>
      <c r="M727" s="215"/>
      <c r="N727" s="215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  <c r="AM727" s="216"/>
      <c r="AN727" s="216"/>
      <c r="AO727" s="216"/>
      <c r="AP727" s="216"/>
      <c r="AQ727" s="216"/>
      <c r="AR727" s="216"/>
      <c r="AS727" s="216"/>
      <c r="AT727" s="216"/>
    </row>
    <row r="728" spans="1:46" ht="12.75" x14ac:dyDescent="0.2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214"/>
      <c r="L728" s="214"/>
      <c r="M728" s="215"/>
      <c r="N728" s="215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  <c r="AM728" s="216"/>
      <c r="AN728" s="216"/>
      <c r="AO728" s="216"/>
      <c r="AP728" s="216"/>
      <c r="AQ728" s="216"/>
      <c r="AR728" s="216"/>
      <c r="AS728" s="216"/>
      <c r="AT728" s="216"/>
    </row>
    <row r="729" spans="1:46" ht="12.75" x14ac:dyDescent="0.2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214"/>
      <c r="L729" s="214"/>
      <c r="M729" s="215"/>
      <c r="N729" s="215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  <c r="AM729" s="216"/>
      <c r="AN729" s="216"/>
      <c r="AO729" s="216"/>
      <c r="AP729" s="216"/>
      <c r="AQ729" s="216"/>
      <c r="AR729" s="216"/>
      <c r="AS729" s="216"/>
      <c r="AT729" s="216"/>
    </row>
    <row r="730" spans="1:46" ht="12.75" x14ac:dyDescent="0.2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214"/>
      <c r="L730" s="214"/>
      <c r="M730" s="215"/>
      <c r="N730" s="215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  <c r="AM730" s="216"/>
      <c r="AN730" s="216"/>
      <c r="AO730" s="216"/>
      <c r="AP730" s="216"/>
      <c r="AQ730" s="216"/>
      <c r="AR730" s="216"/>
      <c r="AS730" s="216"/>
      <c r="AT730" s="216"/>
    </row>
    <row r="731" spans="1:46" ht="12.75" x14ac:dyDescent="0.2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214"/>
      <c r="L731" s="214"/>
      <c r="M731" s="215"/>
      <c r="N731" s="215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  <c r="AM731" s="216"/>
      <c r="AN731" s="216"/>
      <c r="AO731" s="216"/>
      <c r="AP731" s="216"/>
      <c r="AQ731" s="216"/>
      <c r="AR731" s="216"/>
      <c r="AS731" s="216"/>
      <c r="AT731" s="216"/>
    </row>
    <row r="732" spans="1:46" ht="12.75" x14ac:dyDescent="0.2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214"/>
      <c r="L732" s="214"/>
      <c r="M732" s="215"/>
      <c r="N732" s="215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  <c r="AM732" s="216"/>
      <c r="AN732" s="216"/>
      <c r="AO732" s="216"/>
      <c r="AP732" s="216"/>
      <c r="AQ732" s="216"/>
      <c r="AR732" s="216"/>
      <c r="AS732" s="216"/>
      <c r="AT732" s="216"/>
    </row>
    <row r="733" spans="1:46" ht="12.75" x14ac:dyDescent="0.2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214"/>
      <c r="L733" s="214"/>
      <c r="M733" s="215"/>
      <c r="N733" s="215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  <c r="AM733" s="216"/>
      <c r="AN733" s="216"/>
      <c r="AO733" s="216"/>
      <c r="AP733" s="216"/>
      <c r="AQ733" s="216"/>
      <c r="AR733" s="216"/>
      <c r="AS733" s="216"/>
      <c r="AT733" s="216"/>
    </row>
    <row r="734" spans="1:46" ht="12.75" x14ac:dyDescent="0.2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214"/>
      <c r="L734" s="214"/>
      <c r="M734" s="215"/>
      <c r="N734" s="215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  <c r="AM734" s="216"/>
      <c r="AN734" s="216"/>
      <c r="AO734" s="216"/>
      <c r="AP734" s="216"/>
      <c r="AQ734" s="216"/>
      <c r="AR734" s="216"/>
      <c r="AS734" s="216"/>
      <c r="AT734" s="216"/>
    </row>
    <row r="735" spans="1:46" ht="12.75" x14ac:dyDescent="0.2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214"/>
      <c r="L735" s="214"/>
      <c r="M735" s="215"/>
      <c r="N735" s="215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  <c r="AM735" s="216"/>
      <c r="AN735" s="216"/>
      <c r="AO735" s="216"/>
      <c r="AP735" s="216"/>
      <c r="AQ735" s="216"/>
      <c r="AR735" s="216"/>
      <c r="AS735" s="216"/>
      <c r="AT735" s="216"/>
    </row>
    <row r="736" spans="1:46" ht="12.75" x14ac:dyDescent="0.2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214"/>
      <c r="L736" s="214"/>
      <c r="M736" s="215"/>
      <c r="N736" s="215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  <c r="AM736" s="216"/>
      <c r="AN736" s="216"/>
      <c r="AO736" s="216"/>
      <c r="AP736" s="216"/>
      <c r="AQ736" s="216"/>
      <c r="AR736" s="216"/>
      <c r="AS736" s="216"/>
      <c r="AT736" s="216"/>
    </row>
    <row r="737" spans="1:46" ht="12.75" x14ac:dyDescent="0.2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214"/>
      <c r="L737" s="214"/>
      <c r="M737" s="215"/>
      <c r="N737" s="215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  <c r="AM737" s="216"/>
      <c r="AN737" s="216"/>
      <c r="AO737" s="216"/>
      <c r="AP737" s="216"/>
      <c r="AQ737" s="216"/>
      <c r="AR737" s="216"/>
      <c r="AS737" s="216"/>
      <c r="AT737" s="216"/>
    </row>
    <row r="738" spans="1:46" ht="12.75" x14ac:dyDescent="0.2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214"/>
      <c r="L738" s="214"/>
      <c r="M738" s="215"/>
      <c r="N738" s="215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  <c r="AM738" s="216"/>
      <c r="AN738" s="216"/>
      <c r="AO738" s="216"/>
      <c r="AP738" s="216"/>
      <c r="AQ738" s="216"/>
      <c r="AR738" s="216"/>
      <c r="AS738" s="216"/>
      <c r="AT738" s="216"/>
    </row>
    <row r="739" spans="1:46" ht="12.75" x14ac:dyDescent="0.2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214"/>
      <c r="L739" s="214"/>
      <c r="M739" s="215"/>
      <c r="N739" s="215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16"/>
      <c r="AN739" s="216"/>
      <c r="AO739" s="216"/>
      <c r="AP739" s="216"/>
      <c r="AQ739" s="216"/>
      <c r="AR739" s="216"/>
      <c r="AS739" s="216"/>
      <c r="AT739" s="216"/>
    </row>
    <row r="740" spans="1:46" ht="12.75" x14ac:dyDescent="0.2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214"/>
      <c r="L740" s="214"/>
      <c r="M740" s="215"/>
      <c r="N740" s="215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16"/>
      <c r="AN740" s="216"/>
      <c r="AO740" s="216"/>
      <c r="AP740" s="216"/>
      <c r="AQ740" s="216"/>
      <c r="AR740" s="216"/>
      <c r="AS740" s="216"/>
      <c r="AT740" s="216"/>
    </row>
    <row r="741" spans="1:46" ht="12.75" x14ac:dyDescent="0.2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214"/>
      <c r="L741" s="214"/>
      <c r="M741" s="215"/>
      <c r="N741" s="215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16"/>
      <c r="AN741" s="216"/>
      <c r="AO741" s="216"/>
      <c r="AP741" s="216"/>
      <c r="AQ741" s="216"/>
      <c r="AR741" s="216"/>
      <c r="AS741" s="216"/>
      <c r="AT741" s="216"/>
    </row>
    <row r="742" spans="1:46" ht="12.75" x14ac:dyDescent="0.2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214"/>
      <c r="L742" s="214"/>
      <c r="M742" s="215"/>
      <c r="N742" s="215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16"/>
      <c r="AN742" s="216"/>
      <c r="AO742" s="216"/>
      <c r="AP742" s="216"/>
      <c r="AQ742" s="216"/>
      <c r="AR742" s="216"/>
      <c r="AS742" s="216"/>
      <c r="AT742" s="216"/>
    </row>
    <row r="743" spans="1:46" ht="12.75" x14ac:dyDescent="0.2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214"/>
      <c r="L743" s="214"/>
      <c r="M743" s="215"/>
      <c r="N743" s="215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16"/>
      <c r="AN743" s="216"/>
      <c r="AO743" s="216"/>
      <c r="AP743" s="216"/>
      <c r="AQ743" s="216"/>
      <c r="AR743" s="216"/>
      <c r="AS743" s="216"/>
      <c r="AT743" s="216"/>
    </row>
    <row r="744" spans="1:46" ht="12.75" x14ac:dyDescent="0.2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214"/>
      <c r="L744" s="214"/>
      <c r="M744" s="215"/>
      <c r="N744" s="215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16"/>
      <c r="AN744" s="216"/>
      <c r="AO744" s="216"/>
      <c r="AP744" s="216"/>
      <c r="AQ744" s="216"/>
      <c r="AR744" s="216"/>
      <c r="AS744" s="216"/>
      <c r="AT744" s="216"/>
    </row>
    <row r="745" spans="1:46" ht="12.75" x14ac:dyDescent="0.2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214"/>
      <c r="L745" s="214"/>
      <c r="M745" s="215"/>
      <c r="N745" s="215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16"/>
      <c r="AN745" s="216"/>
      <c r="AO745" s="216"/>
      <c r="AP745" s="216"/>
      <c r="AQ745" s="216"/>
      <c r="AR745" s="216"/>
      <c r="AS745" s="216"/>
      <c r="AT745" s="216"/>
    </row>
    <row r="746" spans="1:46" ht="12.75" x14ac:dyDescent="0.2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214"/>
      <c r="L746" s="214"/>
      <c r="M746" s="215"/>
      <c r="N746" s="215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16"/>
      <c r="AN746" s="216"/>
      <c r="AO746" s="216"/>
      <c r="AP746" s="216"/>
      <c r="AQ746" s="216"/>
      <c r="AR746" s="216"/>
      <c r="AS746" s="216"/>
      <c r="AT746" s="216"/>
    </row>
    <row r="747" spans="1:46" ht="12.75" x14ac:dyDescent="0.2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214"/>
      <c r="L747" s="214"/>
      <c r="M747" s="215"/>
      <c r="N747" s="215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16"/>
      <c r="AN747" s="216"/>
      <c r="AO747" s="216"/>
      <c r="AP747" s="216"/>
      <c r="AQ747" s="216"/>
      <c r="AR747" s="216"/>
      <c r="AS747" s="216"/>
      <c r="AT747" s="216"/>
    </row>
    <row r="748" spans="1:46" ht="12.75" x14ac:dyDescent="0.2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214"/>
      <c r="L748" s="214"/>
      <c r="M748" s="215"/>
      <c r="N748" s="215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16"/>
      <c r="AN748" s="216"/>
      <c r="AO748" s="216"/>
      <c r="AP748" s="216"/>
      <c r="AQ748" s="216"/>
      <c r="AR748" s="216"/>
      <c r="AS748" s="216"/>
      <c r="AT748" s="216"/>
    </row>
    <row r="749" spans="1:46" ht="12.75" x14ac:dyDescent="0.2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214"/>
      <c r="L749" s="214"/>
      <c r="M749" s="215"/>
      <c r="N749" s="215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  <c r="AM749" s="216"/>
      <c r="AN749" s="216"/>
      <c r="AO749" s="216"/>
      <c r="AP749" s="216"/>
      <c r="AQ749" s="216"/>
      <c r="AR749" s="216"/>
      <c r="AS749" s="216"/>
      <c r="AT749" s="216"/>
    </row>
    <row r="750" spans="1:46" ht="12.75" x14ac:dyDescent="0.2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214"/>
      <c r="L750" s="214"/>
      <c r="M750" s="215"/>
      <c r="N750" s="215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16"/>
      <c r="AN750" s="216"/>
      <c r="AO750" s="216"/>
      <c r="AP750" s="216"/>
      <c r="AQ750" s="216"/>
      <c r="AR750" s="216"/>
      <c r="AS750" s="216"/>
      <c r="AT750" s="216"/>
    </row>
    <row r="751" spans="1:46" ht="12.75" x14ac:dyDescent="0.2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214"/>
      <c r="L751" s="214"/>
      <c r="M751" s="215"/>
      <c r="N751" s="215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16"/>
      <c r="AN751" s="216"/>
      <c r="AO751" s="216"/>
      <c r="AP751" s="216"/>
      <c r="AQ751" s="216"/>
      <c r="AR751" s="216"/>
      <c r="AS751" s="216"/>
      <c r="AT751" s="216"/>
    </row>
    <row r="752" spans="1:46" ht="12.75" x14ac:dyDescent="0.2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214"/>
      <c r="L752" s="214"/>
      <c r="M752" s="215"/>
      <c r="N752" s="215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</row>
    <row r="753" spans="1:46" ht="12.75" x14ac:dyDescent="0.2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214"/>
      <c r="L753" s="214"/>
      <c r="M753" s="215"/>
      <c r="N753" s="215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6"/>
      <c r="AT753" s="216"/>
    </row>
    <row r="754" spans="1:46" ht="12.75" x14ac:dyDescent="0.2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214"/>
      <c r="L754" s="214"/>
      <c r="M754" s="215"/>
      <c r="N754" s="215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</row>
    <row r="755" spans="1:46" ht="12.75" x14ac:dyDescent="0.2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214"/>
      <c r="L755" s="214"/>
      <c r="M755" s="215"/>
      <c r="N755" s="215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</row>
    <row r="756" spans="1:46" ht="12.75" x14ac:dyDescent="0.2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214"/>
      <c r="L756" s="214"/>
      <c r="M756" s="215"/>
      <c r="N756" s="215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</row>
    <row r="757" spans="1:46" ht="12.75" x14ac:dyDescent="0.2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214"/>
      <c r="L757" s="214"/>
      <c r="M757" s="215"/>
      <c r="N757" s="215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</row>
    <row r="758" spans="1:46" ht="12.75" x14ac:dyDescent="0.2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214"/>
      <c r="L758" s="214"/>
      <c r="M758" s="215"/>
      <c r="N758" s="215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</row>
    <row r="759" spans="1:46" ht="12.75" x14ac:dyDescent="0.2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214"/>
      <c r="L759" s="214"/>
      <c r="M759" s="215"/>
      <c r="N759" s="215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</row>
    <row r="760" spans="1:46" ht="12.75" x14ac:dyDescent="0.2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214"/>
      <c r="L760" s="214"/>
      <c r="M760" s="215"/>
      <c r="N760" s="215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16"/>
      <c r="AN760" s="216"/>
      <c r="AO760" s="216"/>
      <c r="AP760" s="216"/>
      <c r="AQ760" s="216"/>
      <c r="AR760" s="216"/>
      <c r="AS760" s="216"/>
      <c r="AT760" s="216"/>
    </row>
    <row r="761" spans="1:46" ht="12.75" x14ac:dyDescent="0.2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214"/>
      <c r="L761" s="214"/>
      <c r="M761" s="215"/>
      <c r="N761" s="215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16"/>
      <c r="AN761" s="216"/>
      <c r="AO761" s="216"/>
      <c r="AP761" s="216"/>
      <c r="AQ761" s="216"/>
      <c r="AR761" s="216"/>
      <c r="AS761" s="216"/>
      <c r="AT761" s="216"/>
    </row>
    <row r="762" spans="1:46" ht="12.75" x14ac:dyDescent="0.2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214"/>
      <c r="L762" s="214"/>
      <c r="M762" s="215"/>
      <c r="N762" s="215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16"/>
      <c r="AN762" s="216"/>
      <c r="AO762" s="216"/>
      <c r="AP762" s="216"/>
      <c r="AQ762" s="216"/>
      <c r="AR762" s="216"/>
      <c r="AS762" s="216"/>
      <c r="AT762" s="216"/>
    </row>
    <row r="763" spans="1:46" ht="12.75" x14ac:dyDescent="0.2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214"/>
      <c r="L763" s="214"/>
      <c r="M763" s="215"/>
      <c r="N763" s="215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16"/>
      <c r="AN763" s="216"/>
      <c r="AO763" s="216"/>
      <c r="AP763" s="216"/>
      <c r="AQ763" s="216"/>
      <c r="AR763" s="216"/>
      <c r="AS763" s="216"/>
      <c r="AT763" s="216"/>
    </row>
    <row r="764" spans="1:46" ht="12.75" x14ac:dyDescent="0.2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214"/>
      <c r="L764" s="214"/>
      <c r="M764" s="215"/>
      <c r="N764" s="215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16"/>
      <c r="AN764" s="216"/>
      <c r="AO764" s="216"/>
      <c r="AP764" s="216"/>
      <c r="AQ764" s="216"/>
      <c r="AR764" s="216"/>
      <c r="AS764" s="216"/>
      <c r="AT764" s="216"/>
    </row>
    <row r="765" spans="1:46" ht="12.75" x14ac:dyDescent="0.2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214"/>
      <c r="L765" s="214"/>
      <c r="M765" s="215"/>
      <c r="N765" s="215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16"/>
      <c r="AN765" s="216"/>
      <c r="AO765" s="216"/>
      <c r="AP765" s="216"/>
      <c r="AQ765" s="216"/>
      <c r="AR765" s="216"/>
      <c r="AS765" s="216"/>
      <c r="AT765" s="216"/>
    </row>
    <row r="766" spans="1:46" ht="12.75" x14ac:dyDescent="0.2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214"/>
      <c r="L766" s="214"/>
      <c r="M766" s="215"/>
      <c r="N766" s="215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  <c r="AM766" s="216"/>
      <c r="AN766" s="216"/>
      <c r="AO766" s="216"/>
      <c r="AP766" s="216"/>
      <c r="AQ766" s="216"/>
      <c r="AR766" s="216"/>
      <c r="AS766" s="216"/>
      <c r="AT766" s="216"/>
    </row>
    <row r="767" spans="1:46" ht="12.75" x14ac:dyDescent="0.2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214"/>
      <c r="L767" s="214"/>
      <c r="M767" s="215"/>
      <c r="N767" s="215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  <c r="AM767" s="216"/>
      <c r="AN767" s="216"/>
      <c r="AO767" s="216"/>
      <c r="AP767" s="216"/>
      <c r="AQ767" s="216"/>
      <c r="AR767" s="216"/>
      <c r="AS767" s="216"/>
      <c r="AT767" s="216"/>
    </row>
    <row r="768" spans="1:46" ht="12.75" x14ac:dyDescent="0.2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214"/>
      <c r="L768" s="214"/>
      <c r="M768" s="215"/>
      <c r="N768" s="215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  <c r="AM768" s="216"/>
      <c r="AN768" s="216"/>
      <c r="AO768" s="216"/>
      <c r="AP768" s="216"/>
      <c r="AQ768" s="216"/>
      <c r="AR768" s="216"/>
      <c r="AS768" s="216"/>
      <c r="AT768" s="216"/>
    </row>
    <row r="769" spans="1:46" ht="12.75" x14ac:dyDescent="0.2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214"/>
      <c r="L769" s="214"/>
      <c r="M769" s="215"/>
      <c r="N769" s="215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16"/>
      <c r="AN769" s="216"/>
      <c r="AO769" s="216"/>
      <c r="AP769" s="216"/>
      <c r="AQ769" s="216"/>
      <c r="AR769" s="216"/>
      <c r="AS769" s="216"/>
      <c r="AT769" s="216"/>
    </row>
    <row r="770" spans="1:46" ht="12.75" x14ac:dyDescent="0.2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214"/>
      <c r="L770" s="214"/>
      <c r="M770" s="215"/>
      <c r="N770" s="215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16"/>
      <c r="AN770" s="216"/>
      <c r="AO770" s="216"/>
      <c r="AP770" s="216"/>
      <c r="AQ770" s="216"/>
      <c r="AR770" s="216"/>
      <c r="AS770" s="216"/>
      <c r="AT770" s="216"/>
    </row>
    <row r="771" spans="1:46" ht="12.75" x14ac:dyDescent="0.2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214"/>
      <c r="L771" s="214"/>
      <c r="M771" s="215"/>
      <c r="N771" s="215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16"/>
      <c r="AN771" s="216"/>
      <c r="AO771" s="216"/>
      <c r="AP771" s="216"/>
      <c r="AQ771" s="216"/>
      <c r="AR771" s="216"/>
      <c r="AS771" s="216"/>
      <c r="AT771" s="216"/>
    </row>
    <row r="772" spans="1:46" ht="12.75" x14ac:dyDescent="0.2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214"/>
      <c r="L772" s="214"/>
      <c r="M772" s="215"/>
      <c r="N772" s="215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216"/>
      <c r="AR772" s="216"/>
      <c r="AS772" s="216"/>
      <c r="AT772" s="216"/>
    </row>
    <row r="773" spans="1:46" ht="12.75" x14ac:dyDescent="0.2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214"/>
      <c r="L773" s="214"/>
      <c r="M773" s="215"/>
      <c r="N773" s="215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216"/>
      <c r="AR773" s="216"/>
      <c r="AS773" s="216"/>
      <c r="AT773" s="216"/>
    </row>
    <row r="774" spans="1:46" ht="12.75" x14ac:dyDescent="0.2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214"/>
      <c r="L774" s="214"/>
      <c r="M774" s="215"/>
      <c r="N774" s="215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6"/>
      <c r="AT774" s="216"/>
    </row>
    <row r="775" spans="1:46" ht="12.75" x14ac:dyDescent="0.2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214"/>
      <c r="L775" s="214"/>
      <c r="M775" s="215"/>
      <c r="N775" s="215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</row>
    <row r="776" spans="1:46" ht="12.75" x14ac:dyDescent="0.2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214"/>
      <c r="L776" s="214"/>
      <c r="M776" s="215"/>
      <c r="N776" s="215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</row>
    <row r="777" spans="1:46" ht="12.75" x14ac:dyDescent="0.2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214"/>
      <c r="L777" s="214"/>
      <c r="M777" s="215"/>
      <c r="N777" s="215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16"/>
      <c r="AN777" s="216"/>
      <c r="AO777" s="216"/>
      <c r="AP777" s="216"/>
      <c r="AQ777" s="216"/>
      <c r="AR777" s="216"/>
      <c r="AS777" s="216"/>
      <c r="AT777" s="216"/>
    </row>
    <row r="778" spans="1:46" ht="12.75" x14ac:dyDescent="0.2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214"/>
      <c r="L778" s="214"/>
      <c r="M778" s="215"/>
      <c r="N778" s="215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16"/>
      <c r="AN778" s="216"/>
      <c r="AO778" s="216"/>
      <c r="AP778" s="216"/>
      <c r="AQ778" s="216"/>
      <c r="AR778" s="216"/>
      <c r="AS778" s="216"/>
      <c r="AT778" s="216"/>
    </row>
    <row r="779" spans="1:46" ht="12.75" x14ac:dyDescent="0.2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214"/>
      <c r="L779" s="214"/>
      <c r="M779" s="215"/>
      <c r="N779" s="215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216"/>
      <c r="AR779" s="216"/>
      <c r="AS779" s="216"/>
      <c r="AT779" s="216"/>
    </row>
    <row r="780" spans="1:46" ht="12.75" x14ac:dyDescent="0.2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214"/>
      <c r="L780" s="214"/>
      <c r="M780" s="215"/>
      <c r="N780" s="215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16"/>
      <c r="AN780" s="216"/>
      <c r="AO780" s="216"/>
      <c r="AP780" s="216"/>
      <c r="AQ780" s="216"/>
      <c r="AR780" s="216"/>
      <c r="AS780" s="216"/>
      <c r="AT780" s="216"/>
    </row>
    <row r="781" spans="1:46" ht="12.75" x14ac:dyDescent="0.2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214"/>
      <c r="L781" s="214"/>
      <c r="M781" s="215"/>
      <c r="N781" s="215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16"/>
      <c r="AN781" s="216"/>
      <c r="AO781" s="216"/>
      <c r="AP781" s="216"/>
      <c r="AQ781" s="216"/>
      <c r="AR781" s="216"/>
      <c r="AS781" s="216"/>
      <c r="AT781" s="216"/>
    </row>
    <row r="782" spans="1:46" ht="12.75" x14ac:dyDescent="0.2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214"/>
      <c r="L782" s="214"/>
      <c r="M782" s="215"/>
      <c r="N782" s="215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16"/>
      <c r="AN782" s="216"/>
      <c r="AO782" s="216"/>
      <c r="AP782" s="216"/>
      <c r="AQ782" s="216"/>
      <c r="AR782" s="216"/>
      <c r="AS782" s="216"/>
      <c r="AT782" s="216"/>
    </row>
    <row r="783" spans="1:46" ht="12.75" x14ac:dyDescent="0.2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214"/>
      <c r="L783" s="214"/>
      <c r="M783" s="215"/>
      <c r="N783" s="215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  <c r="AM783" s="216"/>
      <c r="AN783" s="216"/>
      <c r="AO783" s="216"/>
      <c r="AP783" s="216"/>
      <c r="AQ783" s="216"/>
      <c r="AR783" s="216"/>
      <c r="AS783" s="216"/>
      <c r="AT783" s="216"/>
    </row>
    <row r="784" spans="1:46" ht="12.75" x14ac:dyDescent="0.2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214"/>
      <c r="L784" s="214"/>
      <c r="M784" s="215"/>
      <c r="N784" s="215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  <c r="AM784" s="216"/>
      <c r="AN784" s="216"/>
      <c r="AO784" s="216"/>
      <c r="AP784" s="216"/>
      <c r="AQ784" s="216"/>
      <c r="AR784" s="216"/>
      <c r="AS784" s="216"/>
      <c r="AT784" s="216"/>
    </row>
    <row r="785" spans="1:46" ht="12.75" x14ac:dyDescent="0.2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214"/>
      <c r="L785" s="214"/>
      <c r="M785" s="215"/>
      <c r="N785" s="215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  <c r="AM785" s="216"/>
      <c r="AN785" s="216"/>
      <c r="AO785" s="216"/>
      <c r="AP785" s="216"/>
      <c r="AQ785" s="216"/>
      <c r="AR785" s="216"/>
      <c r="AS785" s="216"/>
      <c r="AT785" s="216"/>
    </row>
    <row r="786" spans="1:46" ht="12.75" x14ac:dyDescent="0.2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214"/>
      <c r="L786" s="214"/>
      <c r="M786" s="215"/>
      <c r="N786" s="215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  <c r="AM786" s="216"/>
      <c r="AN786" s="216"/>
      <c r="AO786" s="216"/>
      <c r="AP786" s="216"/>
      <c r="AQ786" s="216"/>
      <c r="AR786" s="216"/>
      <c r="AS786" s="216"/>
      <c r="AT786" s="216"/>
    </row>
    <row r="787" spans="1:46" ht="12.75" x14ac:dyDescent="0.2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214"/>
      <c r="L787" s="214"/>
      <c r="M787" s="215"/>
      <c r="N787" s="215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  <c r="AM787" s="216"/>
      <c r="AN787" s="216"/>
      <c r="AO787" s="216"/>
      <c r="AP787" s="216"/>
      <c r="AQ787" s="216"/>
      <c r="AR787" s="216"/>
      <c r="AS787" s="216"/>
      <c r="AT787" s="216"/>
    </row>
    <row r="788" spans="1:46" ht="12.75" x14ac:dyDescent="0.2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214"/>
      <c r="L788" s="214"/>
      <c r="M788" s="215"/>
      <c r="N788" s="215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  <c r="AM788" s="216"/>
      <c r="AN788" s="216"/>
      <c r="AO788" s="216"/>
      <c r="AP788" s="216"/>
      <c r="AQ788" s="216"/>
      <c r="AR788" s="216"/>
      <c r="AS788" s="216"/>
      <c r="AT788" s="216"/>
    </row>
    <row r="789" spans="1:46" ht="12.75" x14ac:dyDescent="0.2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214"/>
      <c r="L789" s="214"/>
      <c r="M789" s="215"/>
      <c r="N789" s="215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  <c r="AM789" s="216"/>
      <c r="AN789" s="216"/>
      <c r="AO789" s="216"/>
      <c r="AP789" s="216"/>
      <c r="AQ789" s="216"/>
      <c r="AR789" s="216"/>
      <c r="AS789" s="216"/>
      <c r="AT789" s="216"/>
    </row>
    <row r="790" spans="1:46" ht="12.75" x14ac:dyDescent="0.2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214"/>
      <c r="L790" s="214"/>
      <c r="M790" s="215"/>
      <c r="N790" s="215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  <c r="AM790" s="216"/>
      <c r="AN790" s="216"/>
      <c r="AO790" s="216"/>
      <c r="AP790" s="216"/>
      <c r="AQ790" s="216"/>
      <c r="AR790" s="216"/>
      <c r="AS790" s="216"/>
      <c r="AT790" s="216"/>
    </row>
    <row r="791" spans="1:46" ht="12.75" x14ac:dyDescent="0.2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214"/>
      <c r="L791" s="214"/>
      <c r="M791" s="215"/>
      <c r="N791" s="215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  <c r="AM791" s="216"/>
      <c r="AN791" s="216"/>
      <c r="AO791" s="216"/>
      <c r="AP791" s="216"/>
      <c r="AQ791" s="216"/>
      <c r="AR791" s="216"/>
      <c r="AS791" s="216"/>
      <c r="AT791" s="216"/>
    </row>
    <row r="792" spans="1:46" ht="12.75" x14ac:dyDescent="0.2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214"/>
      <c r="L792" s="214"/>
      <c r="M792" s="215"/>
      <c r="N792" s="215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16"/>
      <c r="AN792" s="216"/>
      <c r="AO792" s="216"/>
      <c r="AP792" s="216"/>
      <c r="AQ792" s="216"/>
      <c r="AR792" s="216"/>
      <c r="AS792" s="216"/>
      <c r="AT792" s="216"/>
    </row>
    <row r="793" spans="1:46" ht="12.75" x14ac:dyDescent="0.2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214"/>
      <c r="L793" s="214"/>
      <c r="M793" s="215"/>
      <c r="N793" s="215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16"/>
      <c r="AN793" s="216"/>
      <c r="AO793" s="216"/>
      <c r="AP793" s="216"/>
      <c r="AQ793" s="216"/>
      <c r="AR793" s="216"/>
      <c r="AS793" s="216"/>
      <c r="AT793" s="216"/>
    </row>
    <row r="794" spans="1:46" ht="12.75" x14ac:dyDescent="0.2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214"/>
      <c r="L794" s="214"/>
      <c r="M794" s="215"/>
      <c r="N794" s="215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16"/>
      <c r="AN794" s="216"/>
      <c r="AO794" s="216"/>
      <c r="AP794" s="216"/>
      <c r="AQ794" s="216"/>
      <c r="AR794" s="216"/>
      <c r="AS794" s="216"/>
      <c r="AT794" s="216"/>
    </row>
    <row r="795" spans="1:46" ht="12.75" x14ac:dyDescent="0.2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214"/>
      <c r="L795" s="214"/>
      <c r="M795" s="215"/>
      <c r="N795" s="215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16"/>
      <c r="AN795" s="216"/>
      <c r="AO795" s="216"/>
      <c r="AP795" s="216"/>
      <c r="AQ795" s="216"/>
      <c r="AR795" s="216"/>
      <c r="AS795" s="216"/>
      <c r="AT795" s="216"/>
    </row>
    <row r="796" spans="1:46" ht="12.75" x14ac:dyDescent="0.2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214"/>
      <c r="L796" s="214"/>
      <c r="M796" s="215"/>
      <c r="N796" s="215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16"/>
      <c r="AN796" s="216"/>
      <c r="AO796" s="216"/>
      <c r="AP796" s="216"/>
      <c r="AQ796" s="216"/>
      <c r="AR796" s="216"/>
      <c r="AS796" s="216"/>
      <c r="AT796" s="216"/>
    </row>
    <row r="797" spans="1:46" ht="12.75" x14ac:dyDescent="0.2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214"/>
      <c r="L797" s="214"/>
      <c r="M797" s="215"/>
      <c r="N797" s="215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16"/>
      <c r="AN797" s="216"/>
      <c r="AO797" s="216"/>
      <c r="AP797" s="216"/>
      <c r="AQ797" s="216"/>
      <c r="AR797" s="216"/>
      <c r="AS797" s="216"/>
      <c r="AT797" s="216"/>
    </row>
    <row r="798" spans="1:46" ht="12.75" x14ac:dyDescent="0.2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214"/>
      <c r="L798" s="214"/>
      <c r="M798" s="215"/>
      <c r="N798" s="215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16"/>
      <c r="AN798" s="216"/>
      <c r="AO798" s="216"/>
      <c r="AP798" s="216"/>
      <c r="AQ798" s="216"/>
      <c r="AR798" s="216"/>
      <c r="AS798" s="216"/>
      <c r="AT798" s="216"/>
    </row>
    <row r="799" spans="1:46" ht="12.75" x14ac:dyDescent="0.2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214"/>
      <c r="L799" s="214"/>
      <c r="M799" s="215"/>
      <c r="N799" s="215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16"/>
      <c r="AN799" s="216"/>
      <c r="AO799" s="216"/>
      <c r="AP799" s="216"/>
      <c r="AQ799" s="216"/>
      <c r="AR799" s="216"/>
      <c r="AS799" s="216"/>
      <c r="AT799" s="216"/>
    </row>
    <row r="800" spans="1:46" ht="12.75" x14ac:dyDescent="0.2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214"/>
      <c r="L800" s="214"/>
      <c r="M800" s="215"/>
      <c r="N800" s="215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16"/>
      <c r="AN800" s="216"/>
      <c r="AO800" s="216"/>
      <c r="AP800" s="216"/>
      <c r="AQ800" s="216"/>
      <c r="AR800" s="216"/>
      <c r="AS800" s="216"/>
      <c r="AT800" s="216"/>
    </row>
    <row r="801" spans="1:46" ht="12.75" x14ac:dyDescent="0.2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214"/>
      <c r="L801" s="214"/>
      <c r="M801" s="215"/>
      <c r="N801" s="215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  <c r="AM801" s="216"/>
      <c r="AN801" s="216"/>
      <c r="AO801" s="216"/>
      <c r="AP801" s="216"/>
      <c r="AQ801" s="216"/>
      <c r="AR801" s="216"/>
      <c r="AS801" s="216"/>
      <c r="AT801" s="216"/>
    </row>
    <row r="802" spans="1:46" ht="12.75" x14ac:dyDescent="0.2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214"/>
      <c r="L802" s="214"/>
      <c r="M802" s="215"/>
      <c r="N802" s="215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  <c r="AM802" s="216"/>
      <c r="AN802" s="216"/>
      <c r="AO802" s="216"/>
      <c r="AP802" s="216"/>
      <c r="AQ802" s="216"/>
      <c r="AR802" s="216"/>
      <c r="AS802" s="216"/>
      <c r="AT802" s="216"/>
    </row>
    <row r="803" spans="1:46" ht="12.75" x14ac:dyDescent="0.2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214"/>
      <c r="L803" s="214"/>
      <c r="M803" s="215"/>
      <c r="N803" s="215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16"/>
      <c r="AN803" s="216"/>
      <c r="AO803" s="216"/>
      <c r="AP803" s="216"/>
      <c r="AQ803" s="216"/>
      <c r="AR803" s="216"/>
      <c r="AS803" s="216"/>
      <c r="AT803" s="216"/>
    </row>
    <row r="804" spans="1:46" ht="12.75" x14ac:dyDescent="0.2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214"/>
      <c r="L804" s="214"/>
      <c r="M804" s="215"/>
      <c r="N804" s="215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  <c r="AM804" s="216"/>
      <c r="AN804" s="216"/>
      <c r="AO804" s="216"/>
      <c r="AP804" s="216"/>
      <c r="AQ804" s="216"/>
      <c r="AR804" s="216"/>
      <c r="AS804" s="216"/>
      <c r="AT804" s="216"/>
    </row>
    <row r="805" spans="1:46" ht="12.75" x14ac:dyDescent="0.2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214"/>
      <c r="L805" s="214"/>
      <c r="M805" s="215"/>
      <c r="N805" s="215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  <c r="AM805" s="216"/>
      <c r="AN805" s="216"/>
      <c r="AO805" s="216"/>
      <c r="AP805" s="216"/>
      <c r="AQ805" s="216"/>
      <c r="AR805" s="216"/>
      <c r="AS805" s="216"/>
      <c r="AT805" s="216"/>
    </row>
    <row r="806" spans="1:46" ht="12.75" x14ac:dyDescent="0.2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214"/>
      <c r="L806" s="214"/>
      <c r="M806" s="215"/>
      <c r="N806" s="215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  <c r="AM806" s="216"/>
      <c r="AN806" s="216"/>
      <c r="AO806" s="216"/>
      <c r="AP806" s="216"/>
      <c r="AQ806" s="216"/>
      <c r="AR806" s="216"/>
      <c r="AS806" s="216"/>
      <c r="AT806" s="216"/>
    </row>
    <row r="807" spans="1:46" ht="12.75" x14ac:dyDescent="0.2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214"/>
      <c r="L807" s="214"/>
      <c r="M807" s="215"/>
      <c r="N807" s="215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16"/>
      <c r="AN807" s="216"/>
      <c r="AO807" s="216"/>
      <c r="AP807" s="216"/>
      <c r="AQ807" s="216"/>
      <c r="AR807" s="216"/>
      <c r="AS807" s="216"/>
      <c r="AT807" s="216"/>
    </row>
    <row r="808" spans="1:46" ht="12.75" x14ac:dyDescent="0.2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214"/>
      <c r="L808" s="214"/>
      <c r="M808" s="215"/>
      <c r="N808" s="215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16"/>
      <c r="AN808" s="216"/>
      <c r="AO808" s="216"/>
      <c r="AP808" s="216"/>
      <c r="AQ808" s="216"/>
      <c r="AR808" s="216"/>
      <c r="AS808" s="216"/>
      <c r="AT808" s="216"/>
    </row>
    <row r="809" spans="1:46" ht="12.75" x14ac:dyDescent="0.2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214"/>
      <c r="L809" s="214"/>
      <c r="M809" s="215"/>
      <c r="N809" s="215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16"/>
      <c r="AN809" s="216"/>
      <c r="AO809" s="216"/>
      <c r="AP809" s="216"/>
      <c r="AQ809" s="216"/>
      <c r="AR809" s="216"/>
      <c r="AS809" s="216"/>
      <c r="AT809" s="216"/>
    </row>
    <row r="810" spans="1:46" ht="12.75" x14ac:dyDescent="0.2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214"/>
      <c r="L810" s="214"/>
      <c r="M810" s="215"/>
      <c r="N810" s="215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16"/>
      <c r="AN810" s="216"/>
      <c r="AO810" s="216"/>
      <c r="AP810" s="216"/>
      <c r="AQ810" s="216"/>
      <c r="AR810" s="216"/>
      <c r="AS810" s="216"/>
      <c r="AT810" s="216"/>
    </row>
    <row r="811" spans="1:46" ht="12.75" x14ac:dyDescent="0.2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214"/>
      <c r="L811" s="214"/>
      <c r="M811" s="215"/>
      <c r="N811" s="215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16"/>
      <c r="AN811" s="216"/>
      <c r="AO811" s="216"/>
      <c r="AP811" s="216"/>
      <c r="AQ811" s="216"/>
      <c r="AR811" s="216"/>
      <c r="AS811" s="216"/>
      <c r="AT811" s="216"/>
    </row>
    <row r="812" spans="1:46" ht="12.75" x14ac:dyDescent="0.2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214"/>
      <c r="L812" s="214"/>
      <c r="M812" s="215"/>
      <c r="N812" s="215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16"/>
      <c r="AN812" s="216"/>
      <c r="AO812" s="216"/>
      <c r="AP812" s="216"/>
      <c r="AQ812" s="216"/>
      <c r="AR812" s="216"/>
      <c r="AS812" s="216"/>
      <c r="AT812" s="216"/>
    </row>
    <row r="813" spans="1:46" ht="12.75" x14ac:dyDescent="0.2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214"/>
      <c r="L813" s="214"/>
      <c r="M813" s="215"/>
      <c r="N813" s="215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16"/>
      <c r="AN813" s="216"/>
      <c r="AO813" s="216"/>
      <c r="AP813" s="216"/>
      <c r="AQ813" s="216"/>
      <c r="AR813" s="216"/>
      <c r="AS813" s="216"/>
      <c r="AT813" s="216"/>
    </row>
    <row r="814" spans="1:46" ht="12.75" x14ac:dyDescent="0.2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214"/>
      <c r="L814" s="214"/>
      <c r="M814" s="215"/>
      <c r="N814" s="215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16"/>
      <c r="AN814" s="216"/>
      <c r="AO814" s="216"/>
      <c r="AP814" s="216"/>
      <c r="AQ814" s="216"/>
      <c r="AR814" s="216"/>
      <c r="AS814" s="216"/>
      <c r="AT814" s="216"/>
    </row>
    <row r="815" spans="1:46" ht="12.75" x14ac:dyDescent="0.2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214"/>
      <c r="L815" s="214"/>
      <c r="M815" s="215"/>
      <c r="N815" s="215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16"/>
      <c r="AN815" s="216"/>
      <c r="AO815" s="216"/>
      <c r="AP815" s="216"/>
      <c r="AQ815" s="216"/>
      <c r="AR815" s="216"/>
      <c r="AS815" s="216"/>
      <c r="AT815" s="216"/>
    </row>
    <row r="816" spans="1:46" ht="12.75" x14ac:dyDescent="0.2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214"/>
      <c r="L816" s="214"/>
      <c r="M816" s="215"/>
      <c r="N816" s="215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16"/>
      <c r="AN816" s="216"/>
      <c r="AO816" s="216"/>
      <c r="AP816" s="216"/>
      <c r="AQ816" s="216"/>
      <c r="AR816" s="216"/>
      <c r="AS816" s="216"/>
      <c r="AT816" s="216"/>
    </row>
    <row r="817" spans="1:46" ht="12.75" x14ac:dyDescent="0.2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214"/>
      <c r="L817" s="214"/>
      <c r="M817" s="215"/>
      <c r="N817" s="215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  <c r="AM817" s="216"/>
      <c r="AN817" s="216"/>
      <c r="AO817" s="216"/>
      <c r="AP817" s="216"/>
      <c r="AQ817" s="216"/>
      <c r="AR817" s="216"/>
      <c r="AS817" s="216"/>
      <c r="AT817" s="216"/>
    </row>
    <row r="818" spans="1:46" ht="12.75" x14ac:dyDescent="0.2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214"/>
      <c r="L818" s="214"/>
      <c r="M818" s="215"/>
      <c r="N818" s="215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  <c r="AM818" s="216"/>
      <c r="AN818" s="216"/>
      <c r="AO818" s="216"/>
      <c r="AP818" s="216"/>
      <c r="AQ818" s="216"/>
      <c r="AR818" s="216"/>
      <c r="AS818" s="216"/>
      <c r="AT818" s="216"/>
    </row>
    <row r="819" spans="1:46" ht="12.75" x14ac:dyDescent="0.2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214"/>
      <c r="L819" s="214"/>
      <c r="M819" s="215"/>
      <c r="N819" s="215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  <c r="AM819" s="216"/>
      <c r="AN819" s="216"/>
      <c r="AO819" s="216"/>
      <c r="AP819" s="216"/>
      <c r="AQ819" s="216"/>
      <c r="AR819" s="216"/>
      <c r="AS819" s="216"/>
      <c r="AT819" s="216"/>
    </row>
    <row r="820" spans="1:46" ht="12.75" x14ac:dyDescent="0.2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214"/>
      <c r="L820" s="214"/>
      <c r="M820" s="215"/>
      <c r="N820" s="215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  <c r="AM820" s="216"/>
      <c r="AN820" s="216"/>
      <c r="AO820" s="216"/>
      <c r="AP820" s="216"/>
      <c r="AQ820" s="216"/>
      <c r="AR820" s="216"/>
      <c r="AS820" s="216"/>
      <c r="AT820" s="216"/>
    </row>
    <row r="821" spans="1:46" ht="12.75" x14ac:dyDescent="0.2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214"/>
      <c r="L821" s="214"/>
      <c r="M821" s="215"/>
      <c r="N821" s="215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  <c r="AM821" s="216"/>
      <c r="AN821" s="216"/>
      <c r="AO821" s="216"/>
      <c r="AP821" s="216"/>
      <c r="AQ821" s="216"/>
      <c r="AR821" s="216"/>
      <c r="AS821" s="216"/>
      <c r="AT821" s="216"/>
    </row>
    <row r="822" spans="1:46" ht="12.75" x14ac:dyDescent="0.2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214"/>
      <c r="L822" s="214"/>
      <c r="M822" s="215"/>
      <c r="N822" s="215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  <c r="AM822" s="216"/>
      <c r="AN822" s="216"/>
      <c r="AO822" s="216"/>
      <c r="AP822" s="216"/>
      <c r="AQ822" s="216"/>
      <c r="AR822" s="216"/>
      <c r="AS822" s="216"/>
      <c r="AT822" s="216"/>
    </row>
    <row r="823" spans="1:46" ht="12.75" x14ac:dyDescent="0.2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214"/>
      <c r="L823" s="214"/>
      <c r="M823" s="215"/>
      <c r="N823" s="215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  <c r="AM823" s="216"/>
      <c r="AN823" s="216"/>
      <c r="AO823" s="216"/>
      <c r="AP823" s="216"/>
      <c r="AQ823" s="216"/>
      <c r="AR823" s="216"/>
      <c r="AS823" s="216"/>
      <c r="AT823" s="216"/>
    </row>
    <row r="824" spans="1:46" ht="12.75" x14ac:dyDescent="0.2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214"/>
      <c r="L824" s="214"/>
      <c r="M824" s="215"/>
      <c r="N824" s="215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  <c r="AM824" s="216"/>
      <c r="AN824" s="216"/>
      <c r="AO824" s="216"/>
      <c r="AP824" s="216"/>
      <c r="AQ824" s="216"/>
      <c r="AR824" s="216"/>
      <c r="AS824" s="216"/>
      <c r="AT824" s="216"/>
    </row>
    <row r="825" spans="1:46" ht="12.75" x14ac:dyDescent="0.2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214"/>
      <c r="L825" s="214"/>
      <c r="M825" s="215"/>
      <c r="N825" s="215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16"/>
      <c r="AN825" s="216"/>
      <c r="AO825" s="216"/>
      <c r="AP825" s="216"/>
      <c r="AQ825" s="216"/>
      <c r="AR825" s="216"/>
      <c r="AS825" s="216"/>
      <c r="AT825" s="216"/>
    </row>
    <row r="826" spans="1:46" ht="12.75" x14ac:dyDescent="0.2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214"/>
      <c r="L826" s="214"/>
      <c r="M826" s="215"/>
      <c r="N826" s="215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16"/>
      <c r="AN826" s="216"/>
      <c r="AO826" s="216"/>
      <c r="AP826" s="216"/>
      <c r="AQ826" s="216"/>
      <c r="AR826" s="216"/>
      <c r="AS826" s="216"/>
      <c r="AT826" s="216"/>
    </row>
    <row r="827" spans="1:46" ht="12.75" x14ac:dyDescent="0.2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214"/>
      <c r="L827" s="214"/>
      <c r="M827" s="215"/>
      <c r="N827" s="215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16"/>
      <c r="AN827" s="216"/>
      <c r="AO827" s="216"/>
      <c r="AP827" s="216"/>
      <c r="AQ827" s="216"/>
      <c r="AR827" s="216"/>
      <c r="AS827" s="216"/>
      <c r="AT827" s="216"/>
    </row>
    <row r="828" spans="1:46" ht="12.75" x14ac:dyDescent="0.2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214"/>
      <c r="L828" s="214"/>
      <c r="M828" s="215"/>
      <c r="N828" s="215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16"/>
      <c r="AN828" s="216"/>
      <c r="AO828" s="216"/>
      <c r="AP828" s="216"/>
      <c r="AQ828" s="216"/>
      <c r="AR828" s="216"/>
      <c r="AS828" s="216"/>
      <c r="AT828" s="216"/>
    </row>
    <row r="829" spans="1:46" ht="12.75" x14ac:dyDescent="0.2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214"/>
      <c r="L829" s="214"/>
      <c r="M829" s="215"/>
      <c r="N829" s="215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16"/>
      <c r="AN829" s="216"/>
      <c r="AO829" s="216"/>
      <c r="AP829" s="216"/>
      <c r="AQ829" s="216"/>
      <c r="AR829" s="216"/>
      <c r="AS829" s="216"/>
      <c r="AT829" s="216"/>
    </row>
    <row r="830" spans="1:46" ht="12.75" x14ac:dyDescent="0.2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214"/>
      <c r="L830" s="214"/>
      <c r="M830" s="215"/>
      <c r="N830" s="215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16"/>
      <c r="AN830" s="216"/>
      <c r="AO830" s="216"/>
      <c r="AP830" s="216"/>
      <c r="AQ830" s="216"/>
      <c r="AR830" s="216"/>
      <c r="AS830" s="216"/>
      <c r="AT830" s="216"/>
    </row>
    <row r="831" spans="1:46" ht="12.75" x14ac:dyDescent="0.2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214"/>
      <c r="L831" s="214"/>
      <c r="M831" s="215"/>
      <c r="N831" s="215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16"/>
      <c r="AN831" s="216"/>
      <c r="AO831" s="216"/>
      <c r="AP831" s="216"/>
      <c r="AQ831" s="216"/>
      <c r="AR831" s="216"/>
      <c r="AS831" s="216"/>
      <c r="AT831" s="216"/>
    </row>
    <row r="832" spans="1:46" ht="12.75" x14ac:dyDescent="0.2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214"/>
      <c r="L832" s="214"/>
      <c r="M832" s="215"/>
      <c r="N832" s="215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16"/>
      <c r="AN832" s="216"/>
      <c r="AO832" s="216"/>
      <c r="AP832" s="216"/>
      <c r="AQ832" s="216"/>
      <c r="AR832" s="216"/>
      <c r="AS832" s="216"/>
      <c r="AT832" s="216"/>
    </row>
    <row r="833" spans="1:46" ht="12.75" x14ac:dyDescent="0.2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214"/>
      <c r="L833" s="214"/>
      <c r="M833" s="215"/>
      <c r="N833" s="215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16"/>
      <c r="AN833" s="216"/>
      <c r="AO833" s="216"/>
      <c r="AP833" s="216"/>
      <c r="AQ833" s="216"/>
      <c r="AR833" s="216"/>
      <c r="AS833" s="216"/>
      <c r="AT833" s="216"/>
    </row>
    <row r="834" spans="1:46" ht="12.75" x14ac:dyDescent="0.2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214"/>
      <c r="L834" s="214"/>
      <c r="M834" s="215"/>
      <c r="N834" s="215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16"/>
      <c r="AN834" s="216"/>
      <c r="AO834" s="216"/>
      <c r="AP834" s="216"/>
      <c r="AQ834" s="216"/>
      <c r="AR834" s="216"/>
      <c r="AS834" s="216"/>
      <c r="AT834" s="216"/>
    </row>
    <row r="835" spans="1:46" ht="12.75" x14ac:dyDescent="0.2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214"/>
      <c r="L835" s="214"/>
      <c r="M835" s="215"/>
      <c r="N835" s="215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  <c r="AM835" s="216"/>
      <c r="AN835" s="216"/>
      <c r="AO835" s="216"/>
      <c r="AP835" s="216"/>
      <c r="AQ835" s="216"/>
      <c r="AR835" s="216"/>
      <c r="AS835" s="216"/>
      <c r="AT835" s="216"/>
    </row>
    <row r="836" spans="1:46" ht="12.75" x14ac:dyDescent="0.2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214"/>
      <c r="L836" s="214"/>
      <c r="M836" s="215"/>
      <c r="N836" s="215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  <c r="AM836" s="216"/>
      <c r="AN836" s="216"/>
      <c r="AO836" s="216"/>
      <c r="AP836" s="216"/>
      <c r="AQ836" s="216"/>
      <c r="AR836" s="216"/>
      <c r="AS836" s="216"/>
      <c r="AT836" s="216"/>
    </row>
    <row r="837" spans="1:46" ht="12.75" x14ac:dyDescent="0.2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214"/>
      <c r="L837" s="214"/>
      <c r="M837" s="215"/>
      <c r="N837" s="215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16"/>
      <c r="AN837" s="216"/>
      <c r="AO837" s="216"/>
      <c r="AP837" s="216"/>
      <c r="AQ837" s="216"/>
      <c r="AR837" s="216"/>
      <c r="AS837" s="216"/>
      <c r="AT837" s="216"/>
    </row>
    <row r="838" spans="1:46" ht="12.75" x14ac:dyDescent="0.2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214"/>
      <c r="L838" s="214"/>
      <c r="M838" s="215"/>
      <c r="N838" s="215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  <c r="AM838" s="216"/>
      <c r="AN838" s="216"/>
      <c r="AO838" s="216"/>
      <c r="AP838" s="216"/>
      <c r="AQ838" s="216"/>
      <c r="AR838" s="216"/>
      <c r="AS838" s="216"/>
      <c r="AT838" s="216"/>
    </row>
    <row r="839" spans="1:46" ht="12.75" x14ac:dyDescent="0.2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214"/>
      <c r="L839" s="214"/>
      <c r="M839" s="215"/>
      <c r="N839" s="215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  <c r="AM839" s="216"/>
      <c r="AN839" s="216"/>
      <c r="AO839" s="216"/>
      <c r="AP839" s="216"/>
      <c r="AQ839" s="216"/>
      <c r="AR839" s="216"/>
      <c r="AS839" s="216"/>
      <c r="AT839" s="216"/>
    </row>
    <row r="840" spans="1:46" ht="12.75" x14ac:dyDescent="0.2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214"/>
      <c r="L840" s="214"/>
      <c r="M840" s="215"/>
      <c r="N840" s="215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  <c r="AM840" s="216"/>
      <c r="AN840" s="216"/>
      <c r="AO840" s="216"/>
      <c r="AP840" s="216"/>
      <c r="AQ840" s="216"/>
      <c r="AR840" s="216"/>
      <c r="AS840" s="216"/>
      <c r="AT840" s="216"/>
    </row>
    <row r="841" spans="1:46" ht="12.75" x14ac:dyDescent="0.2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214"/>
      <c r="L841" s="214"/>
      <c r="M841" s="215"/>
      <c r="N841" s="215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  <c r="AM841" s="216"/>
      <c r="AN841" s="216"/>
      <c r="AO841" s="216"/>
      <c r="AP841" s="216"/>
      <c r="AQ841" s="216"/>
      <c r="AR841" s="216"/>
      <c r="AS841" s="216"/>
      <c r="AT841" s="216"/>
    </row>
    <row r="842" spans="1:46" ht="12.75" x14ac:dyDescent="0.2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214"/>
      <c r="L842" s="214"/>
      <c r="M842" s="215"/>
      <c r="N842" s="215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  <c r="AM842" s="216"/>
      <c r="AN842" s="216"/>
      <c r="AO842" s="216"/>
      <c r="AP842" s="216"/>
      <c r="AQ842" s="216"/>
      <c r="AR842" s="216"/>
      <c r="AS842" s="216"/>
      <c r="AT842" s="216"/>
    </row>
    <row r="843" spans="1:46" ht="12.75" x14ac:dyDescent="0.2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214"/>
      <c r="L843" s="214"/>
      <c r="M843" s="215"/>
      <c r="N843" s="215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  <c r="AM843" s="216"/>
      <c r="AN843" s="216"/>
      <c r="AO843" s="216"/>
      <c r="AP843" s="216"/>
      <c r="AQ843" s="216"/>
      <c r="AR843" s="216"/>
      <c r="AS843" s="216"/>
      <c r="AT843" s="216"/>
    </row>
    <row r="844" spans="1:46" ht="12.75" x14ac:dyDescent="0.2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214"/>
      <c r="L844" s="214"/>
      <c r="M844" s="215"/>
      <c r="N844" s="215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  <c r="AM844" s="216"/>
      <c r="AN844" s="216"/>
      <c r="AO844" s="216"/>
      <c r="AP844" s="216"/>
      <c r="AQ844" s="216"/>
      <c r="AR844" s="216"/>
      <c r="AS844" s="216"/>
      <c r="AT844" s="216"/>
    </row>
    <row r="845" spans="1:46" ht="12.75" x14ac:dyDescent="0.2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214"/>
      <c r="L845" s="214"/>
      <c r="M845" s="215"/>
      <c r="N845" s="215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  <c r="AM845" s="216"/>
      <c r="AN845" s="216"/>
      <c r="AO845" s="216"/>
      <c r="AP845" s="216"/>
      <c r="AQ845" s="216"/>
      <c r="AR845" s="216"/>
      <c r="AS845" s="216"/>
      <c r="AT845" s="216"/>
    </row>
    <row r="846" spans="1:46" ht="12.75" x14ac:dyDescent="0.2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214"/>
      <c r="L846" s="214"/>
      <c r="M846" s="215"/>
      <c r="N846" s="215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  <c r="AM846" s="216"/>
      <c r="AN846" s="216"/>
      <c r="AO846" s="216"/>
      <c r="AP846" s="216"/>
      <c r="AQ846" s="216"/>
      <c r="AR846" s="216"/>
      <c r="AS846" s="216"/>
      <c r="AT846" s="216"/>
    </row>
    <row r="847" spans="1:46" ht="12.75" x14ac:dyDescent="0.2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214"/>
      <c r="L847" s="214"/>
      <c r="M847" s="215"/>
      <c r="N847" s="215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  <c r="AM847" s="216"/>
      <c r="AN847" s="216"/>
      <c r="AO847" s="216"/>
      <c r="AP847" s="216"/>
      <c r="AQ847" s="216"/>
      <c r="AR847" s="216"/>
      <c r="AS847" s="216"/>
      <c r="AT847" s="216"/>
    </row>
    <row r="848" spans="1:46" ht="12.75" x14ac:dyDescent="0.2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214"/>
      <c r="L848" s="214"/>
      <c r="M848" s="215"/>
      <c r="N848" s="215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  <c r="AM848" s="216"/>
      <c r="AN848" s="216"/>
      <c r="AO848" s="216"/>
      <c r="AP848" s="216"/>
      <c r="AQ848" s="216"/>
      <c r="AR848" s="216"/>
      <c r="AS848" s="216"/>
      <c r="AT848" s="216"/>
    </row>
    <row r="849" spans="1:46" ht="12.75" x14ac:dyDescent="0.2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214"/>
      <c r="L849" s="214"/>
      <c r="M849" s="215"/>
      <c r="N849" s="215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16"/>
      <c r="AN849" s="216"/>
      <c r="AO849" s="216"/>
      <c r="AP849" s="216"/>
      <c r="AQ849" s="216"/>
      <c r="AR849" s="216"/>
      <c r="AS849" s="216"/>
      <c r="AT849" s="216"/>
    </row>
    <row r="850" spans="1:46" ht="12.75" x14ac:dyDescent="0.2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214"/>
      <c r="L850" s="214"/>
      <c r="M850" s="215"/>
      <c r="N850" s="215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16"/>
      <c r="AN850" s="216"/>
      <c r="AO850" s="216"/>
      <c r="AP850" s="216"/>
      <c r="AQ850" s="216"/>
      <c r="AR850" s="216"/>
      <c r="AS850" s="216"/>
      <c r="AT850" s="216"/>
    </row>
    <row r="851" spans="1:46" ht="12.75" x14ac:dyDescent="0.2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214"/>
      <c r="L851" s="214"/>
      <c r="M851" s="215"/>
      <c r="N851" s="215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16"/>
      <c r="AN851" s="216"/>
      <c r="AO851" s="216"/>
      <c r="AP851" s="216"/>
      <c r="AQ851" s="216"/>
      <c r="AR851" s="216"/>
      <c r="AS851" s="216"/>
      <c r="AT851" s="216"/>
    </row>
    <row r="852" spans="1:46" ht="12.75" x14ac:dyDescent="0.2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214"/>
      <c r="L852" s="214"/>
      <c r="M852" s="215"/>
      <c r="N852" s="215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16"/>
      <c r="AN852" s="216"/>
      <c r="AO852" s="216"/>
      <c r="AP852" s="216"/>
      <c r="AQ852" s="216"/>
      <c r="AR852" s="216"/>
      <c r="AS852" s="216"/>
      <c r="AT852" s="216"/>
    </row>
    <row r="853" spans="1:46" ht="12.75" x14ac:dyDescent="0.2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214"/>
      <c r="L853" s="214"/>
      <c r="M853" s="215"/>
      <c r="N853" s="215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16"/>
      <c r="AN853" s="216"/>
      <c r="AO853" s="216"/>
      <c r="AP853" s="216"/>
      <c r="AQ853" s="216"/>
      <c r="AR853" s="216"/>
      <c r="AS853" s="216"/>
      <c r="AT853" s="216"/>
    </row>
    <row r="854" spans="1:46" ht="12.75" x14ac:dyDescent="0.2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214"/>
      <c r="L854" s="214"/>
      <c r="M854" s="215"/>
      <c r="N854" s="215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16"/>
      <c r="AN854" s="216"/>
      <c r="AO854" s="216"/>
      <c r="AP854" s="216"/>
      <c r="AQ854" s="216"/>
      <c r="AR854" s="216"/>
      <c r="AS854" s="216"/>
      <c r="AT854" s="216"/>
    </row>
    <row r="855" spans="1:46" ht="12.75" x14ac:dyDescent="0.2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214"/>
      <c r="L855" s="214"/>
      <c r="M855" s="215"/>
      <c r="N855" s="215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16"/>
      <c r="AN855" s="216"/>
      <c r="AO855" s="216"/>
      <c r="AP855" s="216"/>
      <c r="AQ855" s="216"/>
      <c r="AR855" s="216"/>
      <c r="AS855" s="216"/>
      <c r="AT855" s="216"/>
    </row>
    <row r="856" spans="1:46" ht="12.75" x14ac:dyDescent="0.2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214"/>
      <c r="L856" s="214"/>
      <c r="M856" s="215"/>
      <c r="N856" s="215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16"/>
      <c r="AN856" s="216"/>
      <c r="AO856" s="216"/>
      <c r="AP856" s="216"/>
      <c r="AQ856" s="216"/>
      <c r="AR856" s="216"/>
      <c r="AS856" s="216"/>
      <c r="AT856" s="216"/>
    </row>
    <row r="857" spans="1:46" ht="12.75" x14ac:dyDescent="0.2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214"/>
      <c r="L857" s="214"/>
      <c r="M857" s="215"/>
      <c r="N857" s="215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16"/>
      <c r="AN857" s="216"/>
      <c r="AO857" s="216"/>
      <c r="AP857" s="216"/>
      <c r="AQ857" s="216"/>
      <c r="AR857" s="216"/>
      <c r="AS857" s="216"/>
      <c r="AT857" s="216"/>
    </row>
    <row r="858" spans="1:46" ht="12.75" x14ac:dyDescent="0.2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214"/>
      <c r="L858" s="214"/>
      <c r="M858" s="215"/>
      <c r="N858" s="215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16"/>
      <c r="AN858" s="216"/>
      <c r="AO858" s="216"/>
      <c r="AP858" s="216"/>
      <c r="AQ858" s="216"/>
      <c r="AR858" s="216"/>
      <c r="AS858" s="216"/>
      <c r="AT858" s="216"/>
    </row>
    <row r="859" spans="1:46" ht="12.75" x14ac:dyDescent="0.2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214"/>
      <c r="L859" s="214"/>
      <c r="M859" s="215"/>
      <c r="N859" s="215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  <c r="AM859" s="216"/>
      <c r="AN859" s="216"/>
      <c r="AO859" s="216"/>
      <c r="AP859" s="216"/>
      <c r="AQ859" s="216"/>
      <c r="AR859" s="216"/>
      <c r="AS859" s="216"/>
      <c r="AT859" s="216"/>
    </row>
    <row r="860" spans="1:46" ht="12.75" x14ac:dyDescent="0.2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214"/>
      <c r="L860" s="214"/>
      <c r="M860" s="215"/>
      <c r="N860" s="215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  <c r="AM860" s="216"/>
      <c r="AN860" s="216"/>
      <c r="AO860" s="216"/>
      <c r="AP860" s="216"/>
      <c r="AQ860" s="216"/>
      <c r="AR860" s="216"/>
      <c r="AS860" s="216"/>
      <c r="AT860" s="216"/>
    </row>
    <row r="861" spans="1:46" ht="12.75" x14ac:dyDescent="0.2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214"/>
      <c r="L861" s="214"/>
      <c r="M861" s="215"/>
      <c r="N861" s="215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  <c r="AM861" s="216"/>
      <c r="AN861" s="216"/>
      <c r="AO861" s="216"/>
      <c r="AP861" s="216"/>
      <c r="AQ861" s="216"/>
      <c r="AR861" s="216"/>
      <c r="AS861" s="216"/>
      <c r="AT861" s="216"/>
    </row>
    <row r="862" spans="1:46" ht="12.75" x14ac:dyDescent="0.2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214"/>
      <c r="L862" s="214"/>
      <c r="M862" s="215"/>
      <c r="N862" s="215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  <c r="AM862" s="216"/>
      <c r="AN862" s="216"/>
      <c r="AO862" s="216"/>
      <c r="AP862" s="216"/>
      <c r="AQ862" s="216"/>
      <c r="AR862" s="216"/>
      <c r="AS862" s="216"/>
      <c r="AT862" s="216"/>
    </row>
    <row r="863" spans="1:46" ht="12.75" x14ac:dyDescent="0.2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214"/>
      <c r="L863" s="214"/>
      <c r="M863" s="215"/>
      <c r="N863" s="215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  <c r="AM863" s="216"/>
      <c r="AN863" s="216"/>
      <c r="AO863" s="216"/>
      <c r="AP863" s="216"/>
      <c r="AQ863" s="216"/>
      <c r="AR863" s="216"/>
      <c r="AS863" s="216"/>
      <c r="AT863" s="216"/>
    </row>
    <row r="864" spans="1:46" ht="12.75" x14ac:dyDescent="0.2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214"/>
      <c r="L864" s="214"/>
      <c r="M864" s="215"/>
      <c r="N864" s="215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  <c r="AM864" s="216"/>
      <c r="AN864" s="216"/>
      <c r="AO864" s="216"/>
      <c r="AP864" s="216"/>
      <c r="AQ864" s="216"/>
      <c r="AR864" s="216"/>
      <c r="AS864" s="216"/>
      <c r="AT864" s="216"/>
    </row>
    <row r="865" spans="1:46" ht="12.75" x14ac:dyDescent="0.2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214"/>
      <c r="L865" s="214"/>
      <c r="M865" s="215"/>
      <c r="N865" s="215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  <c r="AM865" s="216"/>
      <c r="AN865" s="216"/>
      <c r="AO865" s="216"/>
      <c r="AP865" s="216"/>
      <c r="AQ865" s="216"/>
      <c r="AR865" s="216"/>
      <c r="AS865" s="216"/>
      <c r="AT865" s="216"/>
    </row>
    <row r="866" spans="1:46" ht="12.75" x14ac:dyDescent="0.2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214"/>
      <c r="L866" s="214"/>
      <c r="M866" s="215"/>
      <c r="N866" s="215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  <c r="AM866" s="216"/>
      <c r="AN866" s="216"/>
      <c r="AO866" s="216"/>
      <c r="AP866" s="216"/>
      <c r="AQ866" s="216"/>
      <c r="AR866" s="216"/>
      <c r="AS866" s="216"/>
      <c r="AT866" s="216"/>
    </row>
    <row r="867" spans="1:46" ht="12.75" x14ac:dyDescent="0.2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214"/>
      <c r="L867" s="214"/>
      <c r="M867" s="215"/>
      <c r="N867" s="215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16"/>
      <c r="AN867" s="216"/>
      <c r="AO867" s="216"/>
      <c r="AP867" s="216"/>
      <c r="AQ867" s="216"/>
      <c r="AR867" s="216"/>
      <c r="AS867" s="216"/>
      <c r="AT867" s="216"/>
    </row>
    <row r="868" spans="1:46" ht="12.75" x14ac:dyDescent="0.2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214"/>
      <c r="L868" s="214"/>
      <c r="M868" s="215"/>
      <c r="N868" s="215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16"/>
      <c r="AN868" s="216"/>
      <c r="AO868" s="216"/>
      <c r="AP868" s="216"/>
      <c r="AQ868" s="216"/>
      <c r="AR868" s="216"/>
      <c r="AS868" s="216"/>
      <c r="AT868" s="216"/>
    </row>
    <row r="869" spans="1:46" ht="12.75" x14ac:dyDescent="0.2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214"/>
      <c r="L869" s="214"/>
      <c r="M869" s="215"/>
      <c r="N869" s="215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16"/>
      <c r="AN869" s="216"/>
      <c r="AO869" s="216"/>
      <c r="AP869" s="216"/>
      <c r="AQ869" s="216"/>
      <c r="AR869" s="216"/>
      <c r="AS869" s="216"/>
      <c r="AT869" s="216"/>
    </row>
    <row r="870" spans="1:46" ht="12.75" x14ac:dyDescent="0.2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214"/>
      <c r="L870" s="214"/>
      <c r="M870" s="215"/>
      <c r="N870" s="215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16"/>
      <c r="AN870" s="216"/>
      <c r="AO870" s="216"/>
      <c r="AP870" s="216"/>
      <c r="AQ870" s="216"/>
      <c r="AR870" s="216"/>
      <c r="AS870" s="216"/>
      <c r="AT870" s="216"/>
    </row>
    <row r="871" spans="1:46" ht="12.75" x14ac:dyDescent="0.2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214"/>
      <c r="L871" s="214"/>
      <c r="M871" s="215"/>
      <c r="N871" s="215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16"/>
      <c r="AN871" s="216"/>
      <c r="AO871" s="216"/>
      <c r="AP871" s="216"/>
      <c r="AQ871" s="216"/>
      <c r="AR871" s="216"/>
      <c r="AS871" s="216"/>
      <c r="AT871" s="216"/>
    </row>
    <row r="872" spans="1:46" ht="12.75" x14ac:dyDescent="0.2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214"/>
      <c r="L872" s="214"/>
      <c r="M872" s="215"/>
      <c r="N872" s="215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16"/>
      <c r="AN872" s="216"/>
      <c r="AO872" s="216"/>
      <c r="AP872" s="216"/>
      <c r="AQ872" s="216"/>
      <c r="AR872" s="216"/>
      <c r="AS872" s="216"/>
      <c r="AT872" s="216"/>
    </row>
    <row r="873" spans="1:46" ht="12.75" x14ac:dyDescent="0.2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214"/>
      <c r="L873" s="214"/>
      <c r="M873" s="215"/>
      <c r="N873" s="215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16"/>
      <c r="AN873" s="216"/>
      <c r="AO873" s="216"/>
      <c r="AP873" s="216"/>
      <c r="AQ873" s="216"/>
      <c r="AR873" s="216"/>
      <c r="AS873" s="216"/>
      <c r="AT873" s="216"/>
    </row>
    <row r="874" spans="1:46" ht="12.75" x14ac:dyDescent="0.2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214"/>
      <c r="L874" s="214"/>
      <c r="M874" s="215"/>
      <c r="N874" s="215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16"/>
      <c r="AN874" s="216"/>
      <c r="AO874" s="216"/>
      <c r="AP874" s="216"/>
      <c r="AQ874" s="216"/>
      <c r="AR874" s="216"/>
      <c r="AS874" s="216"/>
      <c r="AT874" s="216"/>
    </row>
    <row r="875" spans="1:46" ht="12.75" x14ac:dyDescent="0.2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214"/>
      <c r="L875" s="214"/>
      <c r="M875" s="215"/>
      <c r="N875" s="215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16"/>
      <c r="AN875" s="216"/>
      <c r="AO875" s="216"/>
      <c r="AP875" s="216"/>
      <c r="AQ875" s="216"/>
      <c r="AR875" s="216"/>
      <c r="AS875" s="216"/>
      <c r="AT875" s="216"/>
    </row>
    <row r="876" spans="1:46" ht="12.75" x14ac:dyDescent="0.2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214"/>
      <c r="L876" s="214"/>
      <c r="M876" s="215"/>
      <c r="N876" s="215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  <c r="AM876" s="216"/>
      <c r="AN876" s="216"/>
      <c r="AO876" s="216"/>
      <c r="AP876" s="216"/>
      <c r="AQ876" s="216"/>
      <c r="AR876" s="216"/>
      <c r="AS876" s="216"/>
      <c r="AT876" s="216"/>
    </row>
    <row r="877" spans="1:46" ht="12.75" x14ac:dyDescent="0.2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214"/>
      <c r="L877" s="214"/>
      <c r="M877" s="215"/>
      <c r="N877" s="215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  <c r="AM877" s="216"/>
      <c r="AN877" s="216"/>
      <c r="AO877" s="216"/>
      <c r="AP877" s="216"/>
      <c r="AQ877" s="216"/>
      <c r="AR877" s="216"/>
      <c r="AS877" s="216"/>
      <c r="AT877" s="216"/>
    </row>
    <row r="878" spans="1:46" ht="12.75" x14ac:dyDescent="0.2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214"/>
      <c r="L878" s="214"/>
      <c r="M878" s="215"/>
      <c r="N878" s="215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  <c r="AM878" s="216"/>
      <c r="AN878" s="216"/>
      <c r="AO878" s="216"/>
      <c r="AP878" s="216"/>
      <c r="AQ878" s="216"/>
      <c r="AR878" s="216"/>
      <c r="AS878" s="216"/>
      <c r="AT878" s="216"/>
    </row>
    <row r="879" spans="1:46" ht="12.75" x14ac:dyDescent="0.2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214"/>
      <c r="L879" s="214"/>
      <c r="M879" s="215"/>
      <c r="N879" s="215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  <c r="AM879" s="216"/>
      <c r="AN879" s="216"/>
      <c r="AO879" s="216"/>
      <c r="AP879" s="216"/>
      <c r="AQ879" s="216"/>
      <c r="AR879" s="216"/>
      <c r="AS879" s="216"/>
      <c r="AT879" s="216"/>
    </row>
    <row r="880" spans="1:46" ht="12.75" x14ac:dyDescent="0.2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214"/>
      <c r="L880" s="214"/>
      <c r="M880" s="215"/>
      <c r="N880" s="215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  <c r="AM880" s="216"/>
      <c r="AN880" s="216"/>
      <c r="AO880" s="216"/>
      <c r="AP880" s="216"/>
      <c r="AQ880" s="216"/>
      <c r="AR880" s="216"/>
      <c r="AS880" s="216"/>
      <c r="AT880" s="216"/>
    </row>
    <row r="881" spans="1:46" ht="12.75" x14ac:dyDescent="0.2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214"/>
      <c r="L881" s="214"/>
      <c r="M881" s="215"/>
      <c r="N881" s="215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  <c r="AM881" s="216"/>
      <c r="AN881" s="216"/>
      <c r="AO881" s="216"/>
      <c r="AP881" s="216"/>
      <c r="AQ881" s="216"/>
      <c r="AR881" s="216"/>
      <c r="AS881" s="216"/>
      <c r="AT881" s="216"/>
    </row>
    <row r="882" spans="1:46" ht="12.75" x14ac:dyDescent="0.2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214"/>
      <c r="L882" s="214"/>
      <c r="M882" s="215"/>
      <c r="N882" s="215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  <c r="AM882" s="216"/>
      <c r="AN882" s="216"/>
      <c r="AO882" s="216"/>
      <c r="AP882" s="216"/>
      <c r="AQ882" s="216"/>
      <c r="AR882" s="216"/>
      <c r="AS882" s="216"/>
      <c r="AT882" s="216"/>
    </row>
    <row r="883" spans="1:46" ht="12.75" x14ac:dyDescent="0.2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214"/>
      <c r="L883" s="214"/>
      <c r="M883" s="215"/>
      <c r="N883" s="215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  <c r="AM883" s="216"/>
      <c r="AN883" s="216"/>
      <c r="AO883" s="216"/>
      <c r="AP883" s="216"/>
      <c r="AQ883" s="216"/>
      <c r="AR883" s="216"/>
      <c r="AS883" s="216"/>
      <c r="AT883" s="216"/>
    </row>
    <row r="884" spans="1:46" ht="12.75" x14ac:dyDescent="0.2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214"/>
      <c r="L884" s="214"/>
      <c r="M884" s="215"/>
      <c r="N884" s="215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  <c r="AM884" s="216"/>
      <c r="AN884" s="216"/>
      <c r="AO884" s="216"/>
      <c r="AP884" s="216"/>
      <c r="AQ884" s="216"/>
      <c r="AR884" s="216"/>
      <c r="AS884" s="216"/>
      <c r="AT884" s="216"/>
    </row>
    <row r="885" spans="1:46" ht="12.75" x14ac:dyDescent="0.2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214"/>
      <c r="L885" s="214"/>
      <c r="M885" s="215"/>
      <c r="N885" s="215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  <c r="AM885" s="216"/>
      <c r="AN885" s="216"/>
      <c r="AO885" s="216"/>
      <c r="AP885" s="216"/>
      <c r="AQ885" s="216"/>
      <c r="AR885" s="216"/>
      <c r="AS885" s="216"/>
      <c r="AT885" s="216"/>
    </row>
    <row r="886" spans="1:46" ht="12.75" x14ac:dyDescent="0.2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214"/>
      <c r="L886" s="214"/>
      <c r="M886" s="215"/>
      <c r="N886" s="215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  <c r="AM886" s="216"/>
      <c r="AN886" s="216"/>
      <c r="AO886" s="216"/>
      <c r="AP886" s="216"/>
      <c r="AQ886" s="216"/>
      <c r="AR886" s="216"/>
      <c r="AS886" s="216"/>
      <c r="AT886" s="216"/>
    </row>
    <row r="887" spans="1:46" ht="12.75" x14ac:dyDescent="0.2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214"/>
      <c r="L887" s="214"/>
      <c r="M887" s="215"/>
      <c r="N887" s="215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  <c r="AM887" s="216"/>
      <c r="AN887" s="216"/>
      <c r="AO887" s="216"/>
      <c r="AP887" s="216"/>
      <c r="AQ887" s="216"/>
      <c r="AR887" s="216"/>
      <c r="AS887" s="216"/>
      <c r="AT887" s="216"/>
    </row>
    <row r="888" spans="1:46" ht="12.75" x14ac:dyDescent="0.2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214"/>
      <c r="L888" s="214"/>
      <c r="M888" s="215"/>
      <c r="N888" s="215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  <c r="AM888" s="216"/>
      <c r="AN888" s="216"/>
      <c r="AO888" s="216"/>
      <c r="AP888" s="216"/>
      <c r="AQ888" s="216"/>
      <c r="AR888" s="216"/>
      <c r="AS888" s="216"/>
      <c r="AT888" s="216"/>
    </row>
    <row r="889" spans="1:46" ht="12.75" x14ac:dyDescent="0.2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214"/>
      <c r="L889" s="214"/>
      <c r="M889" s="215"/>
      <c r="N889" s="215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  <c r="AM889" s="216"/>
      <c r="AN889" s="216"/>
      <c r="AO889" s="216"/>
      <c r="AP889" s="216"/>
      <c r="AQ889" s="216"/>
      <c r="AR889" s="216"/>
      <c r="AS889" s="216"/>
      <c r="AT889" s="216"/>
    </row>
    <row r="890" spans="1:46" ht="12.75" x14ac:dyDescent="0.2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214"/>
      <c r="L890" s="214"/>
      <c r="M890" s="215"/>
      <c r="N890" s="215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  <c r="AM890" s="216"/>
      <c r="AN890" s="216"/>
      <c r="AO890" s="216"/>
      <c r="AP890" s="216"/>
      <c r="AQ890" s="216"/>
      <c r="AR890" s="216"/>
      <c r="AS890" s="216"/>
      <c r="AT890" s="216"/>
    </row>
    <row r="891" spans="1:46" ht="12.75" x14ac:dyDescent="0.2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214"/>
      <c r="L891" s="214"/>
      <c r="M891" s="215"/>
      <c r="N891" s="215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  <c r="AM891" s="216"/>
      <c r="AN891" s="216"/>
      <c r="AO891" s="216"/>
      <c r="AP891" s="216"/>
      <c r="AQ891" s="216"/>
      <c r="AR891" s="216"/>
      <c r="AS891" s="216"/>
      <c r="AT891" s="216"/>
    </row>
    <row r="892" spans="1:46" ht="12.75" x14ac:dyDescent="0.2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214"/>
      <c r="L892" s="214"/>
      <c r="M892" s="215"/>
      <c r="N892" s="215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  <c r="AM892" s="216"/>
      <c r="AN892" s="216"/>
      <c r="AO892" s="216"/>
      <c r="AP892" s="216"/>
      <c r="AQ892" s="216"/>
      <c r="AR892" s="216"/>
      <c r="AS892" s="216"/>
      <c r="AT892" s="216"/>
    </row>
    <row r="893" spans="1:46" ht="12.75" x14ac:dyDescent="0.2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214"/>
      <c r="L893" s="214"/>
      <c r="M893" s="215"/>
      <c r="N893" s="215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  <c r="AM893" s="216"/>
      <c r="AN893" s="216"/>
      <c r="AO893" s="216"/>
      <c r="AP893" s="216"/>
      <c r="AQ893" s="216"/>
      <c r="AR893" s="216"/>
      <c r="AS893" s="216"/>
      <c r="AT893" s="216"/>
    </row>
    <row r="894" spans="1:46" ht="12.75" x14ac:dyDescent="0.2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214"/>
      <c r="L894" s="214"/>
      <c r="M894" s="215"/>
      <c r="N894" s="215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  <c r="AM894" s="216"/>
      <c r="AN894" s="216"/>
      <c r="AO894" s="216"/>
      <c r="AP894" s="216"/>
      <c r="AQ894" s="216"/>
      <c r="AR894" s="216"/>
      <c r="AS894" s="216"/>
      <c r="AT894" s="216"/>
    </row>
    <row r="895" spans="1:46" ht="12.75" x14ac:dyDescent="0.2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214"/>
      <c r="L895" s="214"/>
      <c r="M895" s="215"/>
      <c r="N895" s="215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  <c r="AM895" s="216"/>
      <c r="AN895" s="216"/>
      <c r="AO895" s="216"/>
      <c r="AP895" s="216"/>
      <c r="AQ895" s="216"/>
      <c r="AR895" s="216"/>
      <c r="AS895" s="216"/>
      <c r="AT895" s="216"/>
    </row>
    <row r="896" spans="1:46" ht="12.75" x14ac:dyDescent="0.2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214"/>
      <c r="L896" s="214"/>
      <c r="M896" s="215"/>
      <c r="N896" s="215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  <c r="AM896" s="216"/>
      <c r="AN896" s="216"/>
      <c r="AO896" s="216"/>
      <c r="AP896" s="216"/>
      <c r="AQ896" s="216"/>
      <c r="AR896" s="216"/>
      <c r="AS896" s="216"/>
      <c r="AT896" s="216"/>
    </row>
    <row r="897" spans="1:46" ht="12.75" x14ac:dyDescent="0.2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214"/>
      <c r="L897" s="214"/>
      <c r="M897" s="215"/>
      <c r="N897" s="215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16"/>
      <c r="AN897" s="216"/>
      <c r="AO897" s="216"/>
      <c r="AP897" s="216"/>
      <c r="AQ897" s="216"/>
      <c r="AR897" s="216"/>
      <c r="AS897" s="216"/>
      <c r="AT897" s="216"/>
    </row>
    <row r="898" spans="1:46" ht="12.75" x14ac:dyDescent="0.2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214"/>
      <c r="L898" s="214"/>
      <c r="M898" s="215"/>
      <c r="N898" s="215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16"/>
      <c r="AN898" s="216"/>
      <c r="AO898" s="216"/>
      <c r="AP898" s="216"/>
      <c r="AQ898" s="216"/>
      <c r="AR898" s="216"/>
      <c r="AS898" s="216"/>
      <c r="AT898" s="216"/>
    </row>
    <row r="899" spans="1:46" ht="12.75" x14ac:dyDescent="0.2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214"/>
      <c r="L899" s="214"/>
      <c r="M899" s="215"/>
      <c r="N899" s="215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16"/>
      <c r="AN899" s="216"/>
      <c r="AO899" s="216"/>
      <c r="AP899" s="216"/>
      <c r="AQ899" s="216"/>
      <c r="AR899" s="216"/>
      <c r="AS899" s="216"/>
      <c r="AT899" s="216"/>
    </row>
    <row r="900" spans="1:46" ht="12.75" x14ac:dyDescent="0.2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214"/>
      <c r="L900" s="214"/>
      <c r="M900" s="215"/>
      <c r="N900" s="215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16"/>
      <c r="AN900" s="216"/>
      <c r="AO900" s="216"/>
      <c r="AP900" s="216"/>
      <c r="AQ900" s="216"/>
      <c r="AR900" s="216"/>
      <c r="AS900" s="216"/>
      <c r="AT900" s="216"/>
    </row>
    <row r="901" spans="1:46" ht="12.75" x14ac:dyDescent="0.2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214"/>
      <c r="L901" s="214"/>
      <c r="M901" s="215"/>
      <c r="N901" s="215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16"/>
      <c r="AN901" s="216"/>
      <c r="AO901" s="216"/>
      <c r="AP901" s="216"/>
      <c r="AQ901" s="216"/>
      <c r="AR901" s="216"/>
      <c r="AS901" s="216"/>
      <c r="AT901" s="216"/>
    </row>
    <row r="902" spans="1:46" ht="12.75" x14ac:dyDescent="0.2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214"/>
      <c r="L902" s="214"/>
      <c r="M902" s="215"/>
      <c r="N902" s="215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216"/>
      <c r="AR902" s="216"/>
      <c r="AS902" s="216"/>
      <c r="AT902" s="216"/>
    </row>
    <row r="903" spans="1:46" ht="12.75" x14ac:dyDescent="0.2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214"/>
      <c r="L903" s="214"/>
      <c r="M903" s="215"/>
      <c r="N903" s="215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6"/>
      <c r="AT903" s="216"/>
    </row>
    <row r="904" spans="1:46" ht="12.75" x14ac:dyDescent="0.2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214"/>
      <c r="L904" s="214"/>
      <c r="M904" s="215"/>
      <c r="N904" s="215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16"/>
      <c r="AT904" s="216"/>
    </row>
    <row r="905" spans="1:46" ht="12.75" x14ac:dyDescent="0.2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214"/>
      <c r="L905" s="214"/>
      <c r="M905" s="215"/>
      <c r="N905" s="215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16"/>
      <c r="AT905" s="216"/>
    </row>
    <row r="906" spans="1:46" ht="12.75" x14ac:dyDescent="0.2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214"/>
      <c r="L906" s="214"/>
      <c r="M906" s="215"/>
      <c r="N906" s="215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216"/>
      <c r="AR906" s="216"/>
      <c r="AS906" s="216"/>
      <c r="AT906" s="216"/>
    </row>
    <row r="907" spans="1:46" ht="12.75" x14ac:dyDescent="0.2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214"/>
      <c r="L907" s="214"/>
      <c r="M907" s="215"/>
      <c r="N907" s="215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</row>
    <row r="908" spans="1:46" ht="12.75" x14ac:dyDescent="0.2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214"/>
      <c r="L908" s="214"/>
      <c r="M908" s="215"/>
      <c r="N908" s="215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16"/>
      <c r="AN908" s="216"/>
      <c r="AO908" s="216"/>
      <c r="AP908" s="216"/>
      <c r="AQ908" s="216"/>
      <c r="AR908" s="216"/>
      <c r="AS908" s="216"/>
      <c r="AT908" s="216"/>
    </row>
    <row r="909" spans="1:46" ht="12.75" x14ac:dyDescent="0.2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214"/>
      <c r="L909" s="214"/>
      <c r="M909" s="215"/>
      <c r="N909" s="215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</row>
    <row r="910" spans="1:46" ht="12.75" x14ac:dyDescent="0.2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214"/>
      <c r="L910" s="214"/>
      <c r="M910" s="215"/>
      <c r="N910" s="215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16"/>
      <c r="AN910" s="216"/>
      <c r="AO910" s="216"/>
      <c r="AP910" s="216"/>
      <c r="AQ910" s="216"/>
      <c r="AR910" s="216"/>
      <c r="AS910" s="216"/>
      <c r="AT910" s="216"/>
    </row>
    <row r="911" spans="1:46" ht="12.75" x14ac:dyDescent="0.2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214"/>
      <c r="L911" s="214"/>
      <c r="M911" s="215"/>
      <c r="N911" s="215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16"/>
      <c r="AN911" s="216"/>
      <c r="AO911" s="216"/>
      <c r="AP911" s="216"/>
      <c r="AQ911" s="216"/>
      <c r="AR911" s="216"/>
      <c r="AS911" s="216"/>
      <c r="AT911" s="216"/>
    </row>
    <row r="912" spans="1:46" ht="12.75" x14ac:dyDescent="0.2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214"/>
      <c r="L912" s="214"/>
      <c r="M912" s="215"/>
      <c r="N912" s="215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16"/>
      <c r="AN912" s="216"/>
      <c r="AO912" s="216"/>
      <c r="AP912" s="216"/>
      <c r="AQ912" s="216"/>
      <c r="AR912" s="216"/>
      <c r="AS912" s="216"/>
      <c r="AT912" s="216"/>
    </row>
    <row r="913" spans="1:46" ht="12.75" x14ac:dyDescent="0.2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214"/>
      <c r="L913" s="214"/>
      <c r="M913" s="215"/>
      <c r="N913" s="215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  <c r="AJ913" s="216"/>
      <c r="AK913" s="216"/>
      <c r="AL913" s="216"/>
      <c r="AM913" s="216"/>
      <c r="AN913" s="216"/>
      <c r="AO913" s="216"/>
      <c r="AP913" s="216"/>
      <c r="AQ913" s="216"/>
      <c r="AR913" s="216"/>
      <c r="AS913" s="216"/>
      <c r="AT913" s="216"/>
    </row>
    <row r="914" spans="1:46" ht="12.75" x14ac:dyDescent="0.2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214"/>
      <c r="L914" s="214"/>
      <c r="M914" s="215"/>
      <c r="N914" s="215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  <c r="AJ914" s="216"/>
      <c r="AK914" s="216"/>
      <c r="AL914" s="216"/>
      <c r="AM914" s="216"/>
      <c r="AN914" s="216"/>
      <c r="AO914" s="216"/>
      <c r="AP914" s="216"/>
      <c r="AQ914" s="216"/>
      <c r="AR914" s="216"/>
      <c r="AS914" s="216"/>
      <c r="AT914" s="216"/>
    </row>
    <row r="915" spans="1:46" ht="12.75" x14ac:dyDescent="0.2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214"/>
      <c r="L915" s="214"/>
      <c r="M915" s="215"/>
      <c r="N915" s="215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  <c r="AJ915" s="216"/>
      <c r="AK915" s="216"/>
      <c r="AL915" s="216"/>
      <c r="AM915" s="216"/>
      <c r="AN915" s="216"/>
      <c r="AO915" s="216"/>
      <c r="AP915" s="216"/>
      <c r="AQ915" s="216"/>
      <c r="AR915" s="216"/>
      <c r="AS915" s="216"/>
      <c r="AT915" s="216"/>
    </row>
    <row r="916" spans="1:46" ht="12.75" x14ac:dyDescent="0.2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214"/>
      <c r="L916" s="214"/>
      <c r="M916" s="215"/>
      <c r="N916" s="215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  <c r="AJ916" s="216"/>
      <c r="AK916" s="216"/>
      <c r="AL916" s="216"/>
      <c r="AM916" s="216"/>
      <c r="AN916" s="216"/>
      <c r="AO916" s="216"/>
      <c r="AP916" s="216"/>
      <c r="AQ916" s="216"/>
      <c r="AR916" s="216"/>
      <c r="AS916" s="216"/>
      <c r="AT916" s="216"/>
    </row>
    <row r="917" spans="1:46" ht="12.75" x14ac:dyDescent="0.2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214"/>
      <c r="L917" s="214"/>
      <c r="M917" s="215"/>
      <c r="N917" s="215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  <c r="AJ917" s="216"/>
      <c r="AK917" s="216"/>
      <c r="AL917" s="216"/>
      <c r="AM917" s="216"/>
      <c r="AN917" s="216"/>
      <c r="AO917" s="216"/>
      <c r="AP917" s="216"/>
      <c r="AQ917" s="216"/>
      <c r="AR917" s="216"/>
      <c r="AS917" s="216"/>
      <c r="AT917" s="216"/>
    </row>
    <row r="918" spans="1:46" ht="12.75" x14ac:dyDescent="0.2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214"/>
      <c r="L918" s="214"/>
      <c r="M918" s="215"/>
      <c r="N918" s="215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  <c r="AJ918" s="216"/>
      <c r="AK918" s="216"/>
      <c r="AL918" s="216"/>
      <c r="AM918" s="216"/>
      <c r="AN918" s="216"/>
      <c r="AO918" s="216"/>
      <c r="AP918" s="216"/>
      <c r="AQ918" s="216"/>
      <c r="AR918" s="216"/>
      <c r="AS918" s="216"/>
      <c r="AT918" s="216"/>
    </row>
    <row r="919" spans="1:46" ht="12.75" x14ac:dyDescent="0.2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214"/>
      <c r="L919" s="214"/>
      <c r="M919" s="215"/>
      <c r="N919" s="215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  <c r="AJ919" s="216"/>
      <c r="AK919" s="216"/>
      <c r="AL919" s="216"/>
      <c r="AM919" s="216"/>
      <c r="AN919" s="216"/>
      <c r="AO919" s="216"/>
      <c r="AP919" s="216"/>
      <c r="AQ919" s="216"/>
      <c r="AR919" s="216"/>
      <c r="AS919" s="216"/>
      <c r="AT919" s="216"/>
    </row>
    <row r="920" spans="1:46" ht="12.75" x14ac:dyDescent="0.2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214"/>
      <c r="L920" s="214"/>
      <c r="M920" s="215"/>
      <c r="N920" s="215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  <c r="AJ920" s="216"/>
      <c r="AK920" s="216"/>
      <c r="AL920" s="216"/>
      <c r="AM920" s="216"/>
      <c r="AN920" s="216"/>
      <c r="AO920" s="216"/>
      <c r="AP920" s="216"/>
      <c r="AQ920" s="216"/>
      <c r="AR920" s="216"/>
      <c r="AS920" s="216"/>
      <c r="AT920" s="216"/>
    </row>
    <row r="921" spans="1:46" ht="12.75" x14ac:dyDescent="0.2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214"/>
      <c r="L921" s="214"/>
      <c r="M921" s="215"/>
      <c r="N921" s="215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  <c r="AJ921" s="216"/>
      <c r="AK921" s="216"/>
      <c r="AL921" s="216"/>
      <c r="AM921" s="216"/>
      <c r="AN921" s="216"/>
      <c r="AO921" s="216"/>
      <c r="AP921" s="216"/>
      <c r="AQ921" s="216"/>
      <c r="AR921" s="216"/>
      <c r="AS921" s="216"/>
      <c r="AT921" s="216"/>
    </row>
    <row r="922" spans="1:46" ht="12.75" x14ac:dyDescent="0.2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214"/>
      <c r="L922" s="214"/>
      <c r="M922" s="215"/>
      <c r="N922" s="215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  <c r="AJ922" s="216"/>
      <c r="AK922" s="216"/>
      <c r="AL922" s="216"/>
      <c r="AM922" s="216"/>
      <c r="AN922" s="216"/>
      <c r="AO922" s="216"/>
      <c r="AP922" s="216"/>
      <c r="AQ922" s="216"/>
      <c r="AR922" s="216"/>
      <c r="AS922" s="216"/>
      <c r="AT922" s="216"/>
    </row>
    <row r="923" spans="1:46" ht="12.75" x14ac:dyDescent="0.2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214"/>
      <c r="L923" s="214"/>
      <c r="M923" s="215"/>
      <c r="N923" s="215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  <c r="AJ923" s="216"/>
      <c r="AK923" s="216"/>
      <c r="AL923" s="216"/>
      <c r="AM923" s="216"/>
      <c r="AN923" s="216"/>
      <c r="AO923" s="216"/>
      <c r="AP923" s="216"/>
      <c r="AQ923" s="216"/>
      <c r="AR923" s="216"/>
      <c r="AS923" s="216"/>
      <c r="AT923" s="216"/>
    </row>
    <row r="924" spans="1:46" ht="12.75" x14ac:dyDescent="0.2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214"/>
      <c r="L924" s="214"/>
      <c r="M924" s="215"/>
      <c r="N924" s="215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  <c r="AJ924" s="216"/>
      <c r="AK924" s="216"/>
      <c r="AL924" s="216"/>
      <c r="AM924" s="216"/>
      <c r="AN924" s="216"/>
      <c r="AO924" s="216"/>
      <c r="AP924" s="216"/>
      <c r="AQ924" s="216"/>
      <c r="AR924" s="216"/>
      <c r="AS924" s="216"/>
      <c r="AT924" s="216"/>
    </row>
    <row r="925" spans="1:46" ht="12.75" x14ac:dyDescent="0.2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214"/>
      <c r="L925" s="214"/>
      <c r="M925" s="215"/>
      <c r="N925" s="215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  <c r="AJ925" s="216"/>
      <c r="AK925" s="216"/>
      <c r="AL925" s="216"/>
      <c r="AM925" s="216"/>
      <c r="AN925" s="216"/>
      <c r="AO925" s="216"/>
      <c r="AP925" s="216"/>
      <c r="AQ925" s="216"/>
      <c r="AR925" s="216"/>
      <c r="AS925" s="216"/>
      <c r="AT925" s="216"/>
    </row>
    <row r="926" spans="1:46" ht="12.75" x14ac:dyDescent="0.2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214"/>
      <c r="L926" s="214"/>
      <c r="M926" s="215"/>
      <c r="N926" s="215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  <c r="AJ926" s="216"/>
      <c r="AK926" s="216"/>
      <c r="AL926" s="216"/>
      <c r="AM926" s="216"/>
      <c r="AN926" s="216"/>
      <c r="AO926" s="216"/>
      <c r="AP926" s="216"/>
      <c r="AQ926" s="216"/>
      <c r="AR926" s="216"/>
      <c r="AS926" s="216"/>
      <c r="AT926" s="216"/>
    </row>
    <row r="927" spans="1:46" ht="12.75" x14ac:dyDescent="0.2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214"/>
      <c r="L927" s="214"/>
      <c r="M927" s="215"/>
      <c r="N927" s="215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  <c r="AJ927" s="216"/>
      <c r="AK927" s="216"/>
      <c r="AL927" s="216"/>
      <c r="AM927" s="216"/>
      <c r="AN927" s="216"/>
      <c r="AO927" s="216"/>
      <c r="AP927" s="216"/>
      <c r="AQ927" s="216"/>
      <c r="AR927" s="216"/>
      <c r="AS927" s="216"/>
      <c r="AT927" s="216"/>
    </row>
    <row r="928" spans="1:46" ht="12.75" x14ac:dyDescent="0.2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214"/>
      <c r="L928" s="214"/>
      <c r="M928" s="215"/>
      <c r="N928" s="215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  <c r="AJ928" s="216"/>
      <c r="AK928" s="216"/>
      <c r="AL928" s="216"/>
      <c r="AM928" s="216"/>
      <c r="AN928" s="216"/>
      <c r="AO928" s="216"/>
      <c r="AP928" s="216"/>
      <c r="AQ928" s="216"/>
      <c r="AR928" s="216"/>
      <c r="AS928" s="216"/>
      <c r="AT928" s="216"/>
    </row>
    <row r="929" spans="1:46" ht="12.75" x14ac:dyDescent="0.2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214"/>
      <c r="L929" s="214"/>
      <c r="M929" s="215"/>
      <c r="N929" s="215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  <c r="AJ929" s="216"/>
      <c r="AK929" s="216"/>
      <c r="AL929" s="216"/>
      <c r="AM929" s="216"/>
      <c r="AN929" s="216"/>
      <c r="AO929" s="216"/>
      <c r="AP929" s="216"/>
      <c r="AQ929" s="216"/>
      <c r="AR929" s="216"/>
      <c r="AS929" s="216"/>
      <c r="AT929" s="216"/>
    </row>
    <row r="930" spans="1:46" ht="12.75" x14ac:dyDescent="0.2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214"/>
      <c r="L930" s="214"/>
      <c r="M930" s="215"/>
      <c r="N930" s="215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  <c r="AJ930" s="216"/>
      <c r="AK930" s="216"/>
      <c r="AL930" s="216"/>
      <c r="AM930" s="216"/>
      <c r="AN930" s="216"/>
      <c r="AO930" s="216"/>
      <c r="AP930" s="216"/>
      <c r="AQ930" s="216"/>
      <c r="AR930" s="216"/>
      <c r="AS930" s="216"/>
      <c r="AT930" s="216"/>
    </row>
    <row r="931" spans="1:46" ht="12.75" x14ac:dyDescent="0.2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214"/>
      <c r="L931" s="214"/>
      <c r="M931" s="215"/>
      <c r="N931" s="215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  <c r="AJ931" s="216"/>
      <c r="AK931" s="216"/>
      <c r="AL931" s="216"/>
      <c r="AM931" s="216"/>
      <c r="AN931" s="216"/>
      <c r="AO931" s="216"/>
      <c r="AP931" s="216"/>
      <c r="AQ931" s="216"/>
      <c r="AR931" s="216"/>
      <c r="AS931" s="216"/>
      <c r="AT931" s="216"/>
    </row>
    <row r="932" spans="1:46" ht="12.75" x14ac:dyDescent="0.2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214"/>
      <c r="L932" s="214"/>
      <c r="M932" s="215"/>
      <c r="N932" s="215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  <c r="AJ932" s="216"/>
      <c r="AK932" s="216"/>
      <c r="AL932" s="216"/>
      <c r="AM932" s="216"/>
      <c r="AN932" s="216"/>
      <c r="AO932" s="216"/>
      <c r="AP932" s="216"/>
      <c r="AQ932" s="216"/>
      <c r="AR932" s="216"/>
      <c r="AS932" s="216"/>
      <c r="AT932" s="216"/>
    </row>
    <row r="933" spans="1:46" ht="12.75" x14ac:dyDescent="0.2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214"/>
      <c r="L933" s="214"/>
      <c r="M933" s="215"/>
      <c r="N933" s="215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  <c r="AJ933" s="216"/>
      <c r="AK933" s="216"/>
      <c r="AL933" s="216"/>
      <c r="AM933" s="216"/>
      <c r="AN933" s="216"/>
      <c r="AO933" s="216"/>
      <c r="AP933" s="216"/>
      <c r="AQ933" s="216"/>
      <c r="AR933" s="216"/>
      <c r="AS933" s="216"/>
      <c r="AT933" s="216"/>
    </row>
    <row r="934" spans="1:46" ht="12.75" x14ac:dyDescent="0.2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214"/>
      <c r="L934" s="214"/>
      <c r="M934" s="215"/>
      <c r="N934" s="215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  <c r="AJ934" s="216"/>
      <c r="AK934" s="216"/>
      <c r="AL934" s="216"/>
      <c r="AM934" s="216"/>
      <c r="AN934" s="216"/>
      <c r="AO934" s="216"/>
      <c r="AP934" s="216"/>
      <c r="AQ934" s="216"/>
      <c r="AR934" s="216"/>
      <c r="AS934" s="216"/>
      <c r="AT934" s="216"/>
    </row>
    <row r="935" spans="1:46" ht="12.75" x14ac:dyDescent="0.2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214"/>
      <c r="L935" s="214"/>
      <c r="M935" s="215"/>
      <c r="N935" s="215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  <c r="AJ935" s="216"/>
      <c r="AK935" s="216"/>
      <c r="AL935" s="216"/>
      <c r="AM935" s="216"/>
      <c r="AN935" s="216"/>
      <c r="AO935" s="216"/>
      <c r="AP935" s="216"/>
      <c r="AQ935" s="216"/>
      <c r="AR935" s="216"/>
      <c r="AS935" s="216"/>
      <c r="AT935" s="216"/>
    </row>
    <row r="936" spans="1:46" ht="12.75" x14ac:dyDescent="0.2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214"/>
      <c r="L936" s="214"/>
      <c r="M936" s="215"/>
      <c r="N936" s="215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  <c r="AJ936" s="216"/>
      <c r="AK936" s="216"/>
      <c r="AL936" s="216"/>
      <c r="AM936" s="216"/>
      <c r="AN936" s="216"/>
      <c r="AO936" s="216"/>
      <c r="AP936" s="216"/>
      <c r="AQ936" s="216"/>
      <c r="AR936" s="216"/>
      <c r="AS936" s="216"/>
      <c r="AT936" s="216"/>
    </row>
    <row r="937" spans="1:46" ht="12.75" x14ac:dyDescent="0.2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214"/>
      <c r="L937" s="214"/>
      <c r="M937" s="215"/>
      <c r="N937" s="215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  <c r="AJ937" s="216"/>
      <c r="AK937" s="216"/>
      <c r="AL937" s="216"/>
      <c r="AM937" s="216"/>
      <c r="AN937" s="216"/>
      <c r="AO937" s="216"/>
      <c r="AP937" s="216"/>
      <c r="AQ937" s="216"/>
      <c r="AR937" s="216"/>
      <c r="AS937" s="216"/>
      <c r="AT937" s="216"/>
    </row>
    <row r="938" spans="1:46" ht="12.75" x14ac:dyDescent="0.2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214"/>
      <c r="L938" s="214"/>
      <c r="M938" s="215"/>
      <c r="N938" s="215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  <c r="AJ938" s="216"/>
      <c r="AK938" s="216"/>
      <c r="AL938" s="216"/>
      <c r="AM938" s="216"/>
      <c r="AN938" s="216"/>
      <c r="AO938" s="216"/>
      <c r="AP938" s="216"/>
      <c r="AQ938" s="216"/>
      <c r="AR938" s="216"/>
      <c r="AS938" s="216"/>
      <c r="AT938" s="216"/>
    </row>
    <row r="939" spans="1:46" ht="12.75" x14ac:dyDescent="0.2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214"/>
      <c r="L939" s="214"/>
      <c r="M939" s="215"/>
      <c r="N939" s="215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16"/>
      <c r="AN939" s="216"/>
      <c r="AO939" s="216"/>
      <c r="AP939" s="216"/>
      <c r="AQ939" s="216"/>
      <c r="AR939" s="216"/>
      <c r="AS939" s="216"/>
      <c r="AT939" s="216"/>
    </row>
    <row r="940" spans="1:46" ht="12.75" x14ac:dyDescent="0.2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214"/>
      <c r="L940" s="214"/>
      <c r="M940" s="215"/>
      <c r="N940" s="215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16"/>
      <c r="AN940" s="216"/>
      <c r="AO940" s="216"/>
      <c r="AP940" s="216"/>
      <c r="AQ940" s="216"/>
      <c r="AR940" s="216"/>
      <c r="AS940" s="216"/>
      <c r="AT940" s="216"/>
    </row>
    <row r="941" spans="1:46" ht="12.75" x14ac:dyDescent="0.2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214"/>
      <c r="L941" s="214"/>
      <c r="M941" s="215"/>
      <c r="N941" s="215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16"/>
      <c r="AN941" s="216"/>
      <c r="AO941" s="216"/>
      <c r="AP941" s="216"/>
      <c r="AQ941" s="216"/>
      <c r="AR941" s="216"/>
      <c r="AS941" s="216"/>
      <c r="AT941" s="216"/>
    </row>
    <row r="942" spans="1:46" ht="12.75" x14ac:dyDescent="0.2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214"/>
      <c r="L942" s="214"/>
      <c r="M942" s="215"/>
      <c r="N942" s="215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16"/>
      <c r="AN942" s="216"/>
      <c r="AO942" s="216"/>
      <c r="AP942" s="216"/>
      <c r="AQ942" s="216"/>
      <c r="AR942" s="216"/>
      <c r="AS942" s="216"/>
      <c r="AT942" s="216"/>
    </row>
    <row r="943" spans="1:46" ht="12.75" x14ac:dyDescent="0.2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214"/>
      <c r="L943" s="214"/>
      <c r="M943" s="215"/>
      <c r="N943" s="215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16"/>
      <c r="AN943" s="216"/>
      <c r="AO943" s="216"/>
      <c r="AP943" s="216"/>
      <c r="AQ943" s="216"/>
      <c r="AR943" s="216"/>
      <c r="AS943" s="216"/>
      <c r="AT943" s="216"/>
    </row>
    <row r="944" spans="1:46" ht="12.75" x14ac:dyDescent="0.2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214"/>
      <c r="L944" s="214"/>
      <c r="M944" s="215"/>
      <c r="N944" s="215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16"/>
      <c r="AN944" s="216"/>
      <c r="AO944" s="216"/>
      <c r="AP944" s="216"/>
      <c r="AQ944" s="216"/>
      <c r="AR944" s="216"/>
      <c r="AS944" s="216"/>
      <c r="AT944" s="216"/>
    </row>
    <row r="945" spans="1:46" ht="12.75" x14ac:dyDescent="0.2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214"/>
      <c r="L945" s="214"/>
      <c r="M945" s="215"/>
      <c r="N945" s="215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16"/>
      <c r="AN945" s="216"/>
      <c r="AO945" s="216"/>
      <c r="AP945" s="216"/>
      <c r="AQ945" s="216"/>
      <c r="AR945" s="216"/>
      <c r="AS945" s="216"/>
      <c r="AT945" s="216"/>
    </row>
    <row r="946" spans="1:46" ht="12.75" x14ac:dyDescent="0.2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214"/>
      <c r="L946" s="214"/>
      <c r="M946" s="215"/>
      <c r="N946" s="215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16"/>
      <c r="AN946" s="216"/>
      <c r="AO946" s="216"/>
      <c r="AP946" s="216"/>
      <c r="AQ946" s="216"/>
      <c r="AR946" s="216"/>
      <c r="AS946" s="216"/>
      <c r="AT946" s="216"/>
    </row>
    <row r="947" spans="1:46" ht="12.75" x14ac:dyDescent="0.2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214"/>
      <c r="L947" s="214"/>
      <c r="M947" s="215"/>
      <c r="N947" s="215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16"/>
      <c r="AN947" s="216"/>
      <c r="AO947" s="216"/>
      <c r="AP947" s="216"/>
      <c r="AQ947" s="216"/>
      <c r="AR947" s="216"/>
      <c r="AS947" s="216"/>
      <c r="AT947" s="216"/>
    </row>
    <row r="948" spans="1:46" ht="12.75" x14ac:dyDescent="0.2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214"/>
      <c r="L948" s="214"/>
      <c r="M948" s="215"/>
      <c r="N948" s="215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  <c r="AJ948" s="216"/>
      <c r="AK948" s="216"/>
      <c r="AL948" s="216"/>
      <c r="AM948" s="216"/>
      <c r="AN948" s="216"/>
      <c r="AO948" s="216"/>
      <c r="AP948" s="216"/>
      <c r="AQ948" s="216"/>
      <c r="AR948" s="216"/>
      <c r="AS948" s="216"/>
      <c r="AT948" s="216"/>
    </row>
    <row r="949" spans="1:46" ht="12.75" x14ac:dyDescent="0.2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214"/>
      <c r="L949" s="214"/>
      <c r="M949" s="215"/>
      <c r="N949" s="215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  <c r="AJ949" s="216"/>
      <c r="AK949" s="216"/>
      <c r="AL949" s="216"/>
      <c r="AM949" s="216"/>
      <c r="AN949" s="216"/>
      <c r="AO949" s="216"/>
      <c r="AP949" s="216"/>
      <c r="AQ949" s="216"/>
      <c r="AR949" s="216"/>
      <c r="AS949" s="216"/>
      <c r="AT949" s="216"/>
    </row>
    <row r="950" spans="1:46" ht="12.75" x14ac:dyDescent="0.2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214"/>
      <c r="L950" s="214"/>
      <c r="M950" s="215"/>
      <c r="N950" s="215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  <c r="AJ950" s="216"/>
      <c r="AK950" s="216"/>
      <c r="AL950" s="216"/>
      <c r="AM950" s="216"/>
      <c r="AN950" s="216"/>
      <c r="AO950" s="216"/>
      <c r="AP950" s="216"/>
      <c r="AQ950" s="216"/>
      <c r="AR950" s="216"/>
      <c r="AS950" s="216"/>
      <c r="AT950" s="216"/>
    </row>
    <row r="951" spans="1:46" ht="12.75" x14ac:dyDescent="0.2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214"/>
      <c r="L951" s="214"/>
      <c r="M951" s="215"/>
      <c r="N951" s="215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  <c r="AJ951" s="216"/>
      <c r="AK951" s="216"/>
      <c r="AL951" s="216"/>
      <c r="AM951" s="216"/>
      <c r="AN951" s="216"/>
      <c r="AO951" s="216"/>
      <c r="AP951" s="216"/>
      <c r="AQ951" s="216"/>
      <c r="AR951" s="216"/>
      <c r="AS951" s="216"/>
      <c r="AT951" s="216"/>
    </row>
    <row r="952" spans="1:46" ht="12.75" x14ac:dyDescent="0.2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214"/>
      <c r="L952" s="214"/>
      <c r="M952" s="215"/>
      <c r="N952" s="215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16"/>
      <c r="AN952" s="216"/>
      <c r="AO952" s="216"/>
      <c r="AP952" s="216"/>
      <c r="AQ952" s="216"/>
      <c r="AR952" s="216"/>
      <c r="AS952" s="216"/>
      <c r="AT952" s="216"/>
    </row>
    <row r="953" spans="1:46" ht="12.75" x14ac:dyDescent="0.2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214"/>
      <c r="L953" s="214"/>
      <c r="M953" s="215"/>
      <c r="N953" s="215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16"/>
      <c r="AN953" s="216"/>
      <c r="AO953" s="216"/>
      <c r="AP953" s="216"/>
      <c r="AQ953" s="216"/>
      <c r="AR953" s="216"/>
      <c r="AS953" s="216"/>
      <c r="AT953" s="216"/>
    </row>
    <row r="954" spans="1:46" ht="12.75" x14ac:dyDescent="0.2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214"/>
      <c r="L954" s="214"/>
      <c r="M954" s="215"/>
      <c r="N954" s="215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16"/>
      <c r="AN954" s="216"/>
      <c r="AO954" s="216"/>
      <c r="AP954" s="216"/>
      <c r="AQ954" s="216"/>
      <c r="AR954" s="216"/>
      <c r="AS954" s="216"/>
      <c r="AT954" s="216"/>
    </row>
    <row r="955" spans="1:46" ht="12.75" x14ac:dyDescent="0.2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214"/>
      <c r="L955" s="214"/>
      <c r="M955" s="215"/>
      <c r="N955" s="215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16"/>
      <c r="AN955" s="216"/>
      <c r="AO955" s="216"/>
      <c r="AP955" s="216"/>
      <c r="AQ955" s="216"/>
      <c r="AR955" s="216"/>
      <c r="AS955" s="216"/>
      <c r="AT955" s="216"/>
    </row>
    <row r="956" spans="1:46" ht="12.75" x14ac:dyDescent="0.2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214"/>
      <c r="L956" s="214"/>
      <c r="M956" s="215"/>
      <c r="N956" s="215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16"/>
      <c r="AN956" s="216"/>
      <c r="AO956" s="216"/>
      <c r="AP956" s="216"/>
      <c r="AQ956" s="216"/>
      <c r="AR956" s="216"/>
      <c r="AS956" s="216"/>
      <c r="AT956" s="216"/>
    </row>
    <row r="957" spans="1:46" ht="12.75" x14ac:dyDescent="0.2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214"/>
      <c r="L957" s="214"/>
      <c r="M957" s="215"/>
      <c r="N957" s="215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16"/>
      <c r="AN957" s="216"/>
      <c r="AO957" s="216"/>
      <c r="AP957" s="216"/>
      <c r="AQ957" s="216"/>
      <c r="AR957" s="216"/>
      <c r="AS957" s="216"/>
      <c r="AT957" s="216"/>
    </row>
    <row r="958" spans="1:46" ht="12.75" x14ac:dyDescent="0.2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214"/>
      <c r="L958" s="214"/>
      <c r="M958" s="215"/>
      <c r="N958" s="215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16"/>
      <c r="AN958" s="216"/>
      <c r="AO958" s="216"/>
      <c r="AP958" s="216"/>
      <c r="AQ958" s="216"/>
      <c r="AR958" s="216"/>
      <c r="AS958" s="216"/>
      <c r="AT958" s="216"/>
    </row>
    <row r="959" spans="1:46" ht="12.75" x14ac:dyDescent="0.2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214"/>
      <c r="L959" s="214"/>
      <c r="M959" s="215"/>
      <c r="N959" s="215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16"/>
      <c r="AN959" s="216"/>
      <c r="AO959" s="216"/>
      <c r="AP959" s="216"/>
      <c r="AQ959" s="216"/>
      <c r="AR959" s="216"/>
      <c r="AS959" s="216"/>
      <c r="AT959" s="216"/>
    </row>
    <row r="960" spans="1:46" ht="12.75" x14ac:dyDescent="0.2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214"/>
      <c r="L960" s="214"/>
      <c r="M960" s="215"/>
      <c r="N960" s="215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16"/>
      <c r="AN960" s="216"/>
      <c r="AO960" s="216"/>
      <c r="AP960" s="216"/>
      <c r="AQ960" s="216"/>
      <c r="AR960" s="216"/>
      <c r="AS960" s="216"/>
      <c r="AT960" s="216"/>
    </row>
    <row r="961" spans="1:46" ht="12.75" x14ac:dyDescent="0.2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214"/>
      <c r="L961" s="214"/>
      <c r="M961" s="215"/>
      <c r="N961" s="215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16"/>
      <c r="AN961" s="216"/>
      <c r="AO961" s="216"/>
      <c r="AP961" s="216"/>
      <c r="AQ961" s="216"/>
      <c r="AR961" s="216"/>
      <c r="AS961" s="216"/>
      <c r="AT961" s="216"/>
    </row>
    <row r="962" spans="1:46" ht="12.75" x14ac:dyDescent="0.2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214"/>
      <c r="L962" s="214"/>
      <c r="M962" s="215"/>
      <c r="N962" s="215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16"/>
      <c r="AN962" s="216"/>
      <c r="AO962" s="216"/>
      <c r="AP962" s="216"/>
      <c r="AQ962" s="216"/>
      <c r="AR962" s="216"/>
      <c r="AS962" s="216"/>
      <c r="AT962" s="216"/>
    </row>
    <row r="963" spans="1:46" ht="12.75" x14ac:dyDescent="0.2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214"/>
      <c r="L963" s="214"/>
      <c r="M963" s="215"/>
      <c r="N963" s="215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  <c r="AJ963" s="216"/>
      <c r="AK963" s="216"/>
      <c r="AL963" s="216"/>
      <c r="AM963" s="216"/>
      <c r="AN963" s="216"/>
      <c r="AO963" s="216"/>
      <c r="AP963" s="216"/>
      <c r="AQ963" s="216"/>
      <c r="AR963" s="216"/>
      <c r="AS963" s="216"/>
      <c r="AT963" s="216"/>
    </row>
    <row r="964" spans="1:46" ht="12.75" x14ac:dyDescent="0.2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214"/>
      <c r="L964" s="214"/>
      <c r="M964" s="215"/>
      <c r="N964" s="215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  <c r="AJ964" s="216"/>
      <c r="AK964" s="216"/>
      <c r="AL964" s="216"/>
      <c r="AM964" s="216"/>
      <c r="AN964" s="216"/>
      <c r="AO964" s="216"/>
      <c r="AP964" s="216"/>
      <c r="AQ964" s="216"/>
      <c r="AR964" s="216"/>
      <c r="AS964" s="216"/>
      <c r="AT964" s="216"/>
    </row>
    <row r="965" spans="1:46" ht="12.75" x14ac:dyDescent="0.2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214"/>
      <c r="L965" s="214"/>
      <c r="M965" s="215"/>
      <c r="N965" s="215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  <c r="AJ965" s="216"/>
      <c r="AK965" s="216"/>
      <c r="AL965" s="216"/>
      <c r="AM965" s="216"/>
      <c r="AN965" s="216"/>
      <c r="AO965" s="216"/>
      <c r="AP965" s="216"/>
      <c r="AQ965" s="216"/>
      <c r="AR965" s="216"/>
      <c r="AS965" s="216"/>
      <c r="AT965" s="216"/>
    </row>
    <row r="966" spans="1:46" ht="12.75" x14ac:dyDescent="0.2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214"/>
      <c r="L966" s="214"/>
      <c r="M966" s="215"/>
      <c r="N966" s="215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  <c r="AJ966" s="216"/>
      <c r="AK966" s="216"/>
      <c r="AL966" s="216"/>
      <c r="AM966" s="216"/>
      <c r="AN966" s="216"/>
      <c r="AO966" s="216"/>
      <c r="AP966" s="216"/>
      <c r="AQ966" s="216"/>
      <c r="AR966" s="216"/>
      <c r="AS966" s="216"/>
      <c r="AT966" s="216"/>
    </row>
    <row r="967" spans="1:46" ht="12.75" x14ac:dyDescent="0.2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214"/>
      <c r="L967" s="214"/>
      <c r="M967" s="215"/>
      <c r="N967" s="215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  <c r="AJ967" s="216"/>
      <c r="AK967" s="216"/>
      <c r="AL967" s="216"/>
      <c r="AM967" s="216"/>
      <c r="AN967" s="216"/>
      <c r="AO967" s="216"/>
      <c r="AP967" s="216"/>
      <c r="AQ967" s="216"/>
      <c r="AR967" s="216"/>
      <c r="AS967" s="216"/>
      <c r="AT967" s="216"/>
    </row>
    <row r="968" spans="1:46" ht="12.75" x14ac:dyDescent="0.2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214"/>
      <c r="L968" s="214"/>
      <c r="M968" s="215"/>
      <c r="N968" s="215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  <c r="AJ968" s="216"/>
      <c r="AK968" s="216"/>
      <c r="AL968" s="216"/>
      <c r="AM968" s="216"/>
      <c r="AN968" s="216"/>
      <c r="AO968" s="216"/>
      <c r="AP968" s="216"/>
      <c r="AQ968" s="216"/>
      <c r="AR968" s="216"/>
      <c r="AS968" s="216"/>
      <c r="AT968" s="216"/>
    </row>
    <row r="969" spans="1:46" ht="12.75" x14ac:dyDescent="0.2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214"/>
      <c r="L969" s="214"/>
      <c r="M969" s="215"/>
      <c r="N969" s="215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  <c r="AJ969" s="216"/>
      <c r="AK969" s="216"/>
      <c r="AL969" s="216"/>
      <c r="AM969" s="216"/>
      <c r="AN969" s="216"/>
      <c r="AO969" s="216"/>
      <c r="AP969" s="216"/>
      <c r="AQ969" s="216"/>
      <c r="AR969" s="216"/>
      <c r="AS969" s="216"/>
      <c r="AT969" s="216"/>
    </row>
    <row r="970" spans="1:46" ht="12.75" x14ac:dyDescent="0.2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214"/>
      <c r="L970" s="214"/>
      <c r="M970" s="215"/>
      <c r="N970" s="215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  <c r="AJ970" s="216"/>
      <c r="AK970" s="216"/>
      <c r="AL970" s="216"/>
      <c r="AM970" s="216"/>
      <c r="AN970" s="216"/>
      <c r="AO970" s="216"/>
      <c r="AP970" s="216"/>
      <c r="AQ970" s="216"/>
      <c r="AR970" s="216"/>
      <c r="AS970" s="216"/>
      <c r="AT970" s="216"/>
    </row>
    <row r="971" spans="1:46" ht="12.75" x14ac:dyDescent="0.2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214"/>
      <c r="L971" s="214"/>
      <c r="M971" s="215"/>
      <c r="N971" s="215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  <c r="AJ971" s="216"/>
      <c r="AK971" s="216"/>
      <c r="AL971" s="216"/>
      <c r="AM971" s="216"/>
      <c r="AN971" s="216"/>
      <c r="AO971" s="216"/>
      <c r="AP971" s="216"/>
      <c r="AQ971" s="216"/>
      <c r="AR971" s="216"/>
      <c r="AS971" s="216"/>
      <c r="AT971" s="216"/>
    </row>
    <row r="972" spans="1:46" ht="12.75" x14ac:dyDescent="0.2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214"/>
      <c r="L972" s="214"/>
      <c r="M972" s="215"/>
      <c r="N972" s="215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  <c r="AJ972" s="216"/>
      <c r="AK972" s="216"/>
      <c r="AL972" s="216"/>
      <c r="AM972" s="216"/>
      <c r="AN972" s="216"/>
      <c r="AO972" s="216"/>
      <c r="AP972" s="216"/>
      <c r="AQ972" s="216"/>
      <c r="AR972" s="216"/>
      <c r="AS972" s="216"/>
      <c r="AT972" s="216"/>
    </row>
    <row r="973" spans="1:46" ht="12.75" x14ac:dyDescent="0.2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214"/>
      <c r="L973" s="214"/>
      <c r="M973" s="215"/>
      <c r="N973" s="215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  <c r="AJ973" s="216"/>
      <c r="AK973" s="216"/>
      <c r="AL973" s="216"/>
      <c r="AM973" s="216"/>
      <c r="AN973" s="216"/>
      <c r="AO973" s="216"/>
      <c r="AP973" s="216"/>
      <c r="AQ973" s="216"/>
      <c r="AR973" s="216"/>
      <c r="AS973" s="216"/>
      <c r="AT973" s="216"/>
    </row>
    <row r="974" spans="1:46" ht="12.75" x14ac:dyDescent="0.2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214"/>
      <c r="L974" s="214"/>
      <c r="M974" s="215"/>
      <c r="N974" s="215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  <c r="AJ974" s="216"/>
      <c r="AK974" s="216"/>
      <c r="AL974" s="216"/>
      <c r="AM974" s="216"/>
      <c r="AN974" s="216"/>
      <c r="AO974" s="216"/>
      <c r="AP974" s="216"/>
      <c r="AQ974" s="216"/>
      <c r="AR974" s="216"/>
      <c r="AS974" s="216"/>
      <c r="AT974" s="216"/>
    </row>
    <row r="975" spans="1:46" ht="12.75" x14ac:dyDescent="0.2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214"/>
      <c r="L975" s="214"/>
      <c r="M975" s="215"/>
      <c r="N975" s="215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  <c r="AJ975" s="216"/>
      <c r="AK975" s="216"/>
      <c r="AL975" s="216"/>
      <c r="AM975" s="216"/>
      <c r="AN975" s="216"/>
      <c r="AO975" s="216"/>
      <c r="AP975" s="216"/>
      <c r="AQ975" s="216"/>
      <c r="AR975" s="216"/>
      <c r="AS975" s="216"/>
      <c r="AT975" s="216"/>
    </row>
    <row r="976" spans="1:46" ht="12.75" x14ac:dyDescent="0.2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214"/>
      <c r="L976" s="214"/>
      <c r="M976" s="215"/>
      <c r="N976" s="215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  <c r="AJ976" s="216"/>
      <c r="AK976" s="216"/>
      <c r="AL976" s="216"/>
      <c r="AM976" s="216"/>
      <c r="AN976" s="216"/>
      <c r="AO976" s="216"/>
      <c r="AP976" s="216"/>
      <c r="AQ976" s="216"/>
      <c r="AR976" s="216"/>
      <c r="AS976" s="216"/>
      <c r="AT976" s="216"/>
    </row>
    <row r="977" spans="1:46" ht="12.75" x14ac:dyDescent="0.2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214"/>
      <c r="L977" s="214"/>
      <c r="M977" s="215"/>
      <c r="N977" s="215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  <c r="AJ977" s="216"/>
      <c r="AK977" s="216"/>
      <c r="AL977" s="216"/>
      <c r="AM977" s="216"/>
      <c r="AN977" s="216"/>
      <c r="AO977" s="216"/>
      <c r="AP977" s="216"/>
      <c r="AQ977" s="216"/>
      <c r="AR977" s="216"/>
      <c r="AS977" s="216"/>
      <c r="AT977" s="216"/>
    </row>
    <row r="978" spans="1:46" ht="12.75" x14ac:dyDescent="0.2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214"/>
      <c r="L978" s="214"/>
      <c r="M978" s="215"/>
      <c r="N978" s="215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  <c r="AJ978" s="216"/>
      <c r="AK978" s="216"/>
      <c r="AL978" s="216"/>
      <c r="AM978" s="216"/>
      <c r="AN978" s="216"/>
      <c r="AO978" s="216"/>
      <c r="AP978" s="216"/>
      <c r="AQ978" s="216"/>
      <c r="AR978" s="216"/>
      <c r="AS978" s="216"/>
      <c r="AT978" s="216"/>
    </row>
    <row r="979" spans="1:46" ht="12.75" x14ac:dyDescent="0.2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214"/>
      <c r="L979" s="214"/>
      <c r="M979" s="215"/>
      <c r="N979" s="215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  <c r="AJ979" s="216"/>
      <c r="AK979" s="216"/>
      <c r="AL979" s="216"/>
      <c r="AM979" s="216"/>
      <c r="AN979" s="216"/>
      <c r="AO979" s="216"/>
      <c r="AP979" s="216"/>
      <c r="AQ979" s="216"/>
      <c r="AR979" s="216"/>
      <c r="AS979" s="216"/>
      <c r="AT979" s="216"/>
    </row>
    <row r="980" spans="1:46" ht="12.75" x14ac:dyDescent="0.2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214"/>
      <c r="L980" s="214"/>
      <c r="M980" s="215"/>
      <c r="N980" s="215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  <c r="AJ980" s="216"/>
      <c r="AK980" s="216"/>
      <c r="AL980" s="216"/>
      <c r="AM980" s="216"/>
      <c r="AN980" s="216"/>
      <c r="AO980" s="216"/>
      <c r="AP980" s="216"/>
      <c r="AQ980" s="216"/>
      <c r="AR980" s="216"/>
      <c r="AS980" s="216"/>
      <c r="AT980" s="216"/>
    </row>
    <row r="981" spans="1:46" ht="12.75" x14ac:dyDescent="0.2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214"/>
      <c r="L981" s="214"/>
      <c r="M981" s="215"/>
      <c r="N981" s="215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  <c r="AJ981" s="216"/>
      <c r="AK981" s="216"/>
      <c r="AL981" s="216"/>
      <c r="AM981" s="216"/>
      <c r="AN981" s="216"/>
      <c r="AO981" s="216"/>
      <c r="AP981" s="216"/>
      <c r="AQ981" s="216"/>
      <c r="AR981" s="216"/>
      <c r="AS981" s="216"/>
      <c r="AT981" s="216"/>
    </row>
    <row r="982" spans="1:46" ht="12.75" x14ac:dyDescent="0.2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214"/>
      <c r="L982" s="214"/>
      <c r="M982" s="215"/>
      <c r="N982" s="215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  <c r="AJ982" s="216"/>
      <c r="AK982" s="216"/>
      <c r="AL982" s="216"/>
      <c r="AM982" s="216"/>
      <c r="AN982" s="216"/>
      <c r="AO982" s="216"/>
      <c r="AP982" s="216"/>
      <c r="AQ982" s="216"/>
      <c r="AR982" s="216"/>
      <c r="AS982" s="216"/>
      <c r="AT982" s="216"/>
    </row>
    <row r="983" spans="1:46" ht="12.75" x14ac:dyDescent="0.2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214"/>
      <c r="L983" s="214"/>
      <c r="M983" s="215"/>
      <c r="N983" s="215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  <c r="AJ983" s="216"/>
      <c r="AK983" s="216"/>
      <c r="AL983" s="216"/>
      <c r="AM983" s="216"/>
      <c r="AN983" s="216"/>
      <c r="AO983" s="216"/>
      <c r="AP983" s="216"/>
      <c r="AQ983" s="216"/>
      <c r="AR983" s="216"/>
      <c r="AS983" s="216"/>
      <c r="AT983" s="216"/>
    </row>
    <row r="984" spans="1:46" ht="12.75" x14ac:dyDescent="0.2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214"/>
      <c r="L984" s="214"/>
      <c r="M984" s="215"/>
      <c r="N984" s="215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  <c r="AJ984" s="216"/>
      <c r="AK984" s="216"/>
      <c r="AL984" s="216"/>
      <c r="AM984" s="216"/>
      <c r="AN984" s="216"/>
      <c r="AO984" s="216"/>
      <c r="AP984" s="216"/>
      <c r="AQ984" s="216"/>
      <c r="AR984" s="216"/>
      <c r="AS984" s="216"/>
      <c r="AT984" s="216"/>
    </row>
    <row r="985" spans="1:46" ht="12.75" x14ac:dyDescent="0.2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214"/>
      <c r="L985" s="214"/>
      <c r="M985" s="215"/>
      <c r="N985" s="215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  <c r="AJ985" s="216"/>
      <c r="AK985" s="216"/>
      <c r="AL985" s="216"/>
      <c r="AM985" s="216"/>
      <c r="AN985" s="216"/>
      <c r="AO985" s="216"/>
      <c r="AP985" s="216"/>
      <c r="AQ985" s="216"/>
      <c r="AR985" s="216"/>
      <c r="AS985" s="216"/>
      <c r="AT985" s="216"/>
    </row>
    <row r="986" spans="1:46" ht="12.75" x14ac:dyDescent="0.2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214"/>
      <c r="L986" s="214"/>
      <c r="M986" s="215"/>
      <c r="N986" s="215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  <c r="AJ986" s="216"/>
      <c r="AK986" s="216"/>
      <c r="AL986" s="216"/>
      <c r="AM986" s="216"/>
      <c r="AN986" s="216"/>
      <c r="AO986" s="216"/>
      <c r="AP986" s="216"/>
      <c r="AQ986" s="216"/>
      <c r="AR986" s="216"/>
      <c r="AS986" s="216"/>
      <c r="AT986" s="216"/>
    </row>
    <row r="987" spans="1:46" ht="12.75" x14ac:dyDescent="0.2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214"/>
      <c r="L987" s="214"/>
      <c r="M987" s="215"/>
      <c r="N987" s="215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  <c r="AJ987" s="216"/>
      <c r="AK987" s="216"/>
      <c r="AL987" s="216"/>
      <c r="AM987" s="216"/>
      <c r="AN987" s="216"/>
      <c r="AO987" s="216"/>
      <c r="AP987" s="216"/>
      <c r="AQ987" s="216"/>
      <c r="AR987" s="216"/>
      <c r="AS987" s="216"/>
      <c r="AT987" s="216"/>
    </row>
    <row r="988" spans="1:46" ht="12.75" x14ac:dyDescent="0.2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214"/>
      <c r="L988" s="214"/>
      <c r="M988" s="215"/>
      <c r="N988" s="215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  <c r="AJ988" s="216"/>
      <c r="AK988" s="216"/>
      <c r="AL988" s="216"/>
      <c r="AM988" s="216"/>
      <c r="AN988" s="216"/>
      <c r="AO988" s="216"/>
      <c r="AP988" s="216"/>
      <c r="AQ988" s="216"/>
      <c r="AR988" s="216"/>
      <c r="AS988" s="216"/>
      <c r="AT988" s="216"/>
    </row>
    <row r="989" spans="1:46" ht="12.75" x14ac:dyDescent="0.2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214"/>
      <c r="L989" s="214"/>
      <c r="M989" s="215"/>
      <c r="N989" s="215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  <c r="AJ989" s="216"/>
      <c r="AK989" s="216"/>
      <c r="AL989" s="216"/>
      <c r="AM989" s="216"/>
      <c r="AN989" s="216"/>
      <c r="AO989" s="216"/>
      <c r="AP989" s="216"/>
      <c r="AQ989" s="216"/>
      <c r="AR989" s="216"/>
      <c r="AS989" s="216"/>
      <c r="AT989" s="216"/>
    </row>
    <row r="990" spans="1:46" ht="12.75" x14ac:dyDescent="0.2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214"/>
      <c r="L990" s="214"/>
      <c r="M990" s="215"/>
      <c r="N990" s="215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  <c r="AJ990" s="216"/>
      <c r="AK990" s="216"/>
      <c r="AL990" s="216"/>
      <c r="AM990" s="216"/>
      <c r="AN990" s="216"/>
      <c r="AO990" s="216"/>
      <c r="AP990" s="216"/>
      <c r="AQ990" s="216"/>
      <c r="AR990" s="216"/>
      <c r="AS990" s="216"/>
      <c r="AT990" s="216"/>
    </row>
    <row r="991" spans="1:46" ht="12.75" x14ac:dyDescent="0.2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214"/>
      <c r="L991" s="214"/>
      <c r="M991" s="215"/>
      <c r="N991" s="215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  <c r="AJ991" s="216"/>
      <c r="AK991" s="216"/>
      <c r="AL991" s="216"/>
      <c r="AM991" s="216"/>
      <c r="AN991" s="216"/>
      <c r="AO991" s="216"/>
      <c r="AP991" s="216"/>
      <c r="AQ991" s="216"/>
      <c r="AR991" s="216"/>
      <c r="AS991" s="216"/>
      <c r="AT991" s="216"/>
    </row>
    <row r="992" spans="1:46" ht="12.75" x14ac:dyDescent="0.2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214"/>
      <c r="L992" s="214"/>
      <c r="M992" s="215"/>
      <c r="N992" s="215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  <c r="AJ992" s="216"/>
      <c r="AK992" s="216"/>
      <c r="AL992" s="216"/>
      <c r="AM992" s="216"/>
      <c r="AN992" s="216"/>
      <c r="AO992" s="216"/>
      <c r="AP992" s="216"/>
      <c r="AQ992" s="216"/>
      <c r="AR992" s="216"/>
      <c r="AS992" s="216"/>
      <c r="AT992" s="216"/>
    </row>
    <row r="993" spans="1:46" ht="12.75" x14ac:dyDescent="0.2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214"/>
      <c r="L993" s="214"/>
      <c r="M993" s="215"/>
      <c r="N993" s="215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  <c r="AJ993" s="216"/>
      <c r="AK993" s="216"/>
      <c r="AL993" s="216"/>
      <c r="AM993" s="216"/>
      <c r="AN993" s="216"/>
      <c r="AO993" s="216"/>
      <c r="AP993" s="216"/>
      <c r="AQ993" s="216"/>
      <c r="AR993" s="216"/>
      <c r="AS993" s="216"/>
      <c r="AT993" s="216"/>
    </row>
    <row r="994" spans="1:46" ht="12.75" x14ac:dyDescent="0.2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214"/>
      <c r="L994" s="214"/>
      <c r="M994" s="215"/>
      <c r="N994" s="215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  <c r="AJ994" s="216"/>
      <c r="AK994" s="216"/>
      <c r="AL994" s="216"/>
      <c r="AM994" s="216"/>
      <c r="AN994" s="216"/>
      <c r="AO994" s="216"/>
      <c r="AP994" s="216"/>
      <c r="AQ994" s="216"/>
      <c r="AR994" s="216"/>
      <c r="AS994" s="216"/>
      <c r="AT994" s="216"/>
    </row>
    <row r="995" spans="1:46" ht="12.75" x14ac:dyDescent="0.2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214"/>
      <c r="L995" s="214"/>
      <c r="M995" s="215"/>
      <c r="N995" s="215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  <c r="AJ995" s="216"/>
      <c r="AK995" s="216"/>
      <c r="AL995" s="216"/>
      <c r="AM995" s="216"/>
      <c r="AN995" s="216"/>
      <c r="AO995" s="216"/>
      <c r="AP995" s="216"/>
      <c r="AQ995" s="216"/>
      <c r="AR995" s="216"/>
      <c r="AS995" s="216"/>
      <c r="AT995" s="216"/>
    </row>
    <row r="996" spans="1:46" ht="12.75" x14ac:dyDescent="0.2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214"/>
      <c r="L996" s="214"/>
      <c r="M996" s="215"/>
      <c r="N996" s="215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  <c r="AJ996" s="216"/>
      <c r="AK996" s="216"/>
      <c r="AL996" s="216"/>
      <c r="AM996" s="216"/>
      <c r="AN996" s="216"/>
      <c r="AO996" s="216"/>
      <c r="AP996" s="216"/>
      <c r="AQ996" s="216"/>
      <c r="AR996" s="216"/>
      <c r="AS996" s="216"/>
      <c r="AT996" s="216"/>
    </row>
    <row r="997" spans="1:46" ht="12.75" x14ac:dyDescent="0.2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214"/>
      <c r="L997" s="214"/>
      <c r="M997" s="215"/>
      <c r="N997" s="215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  <c r="AJ997" s="216"/>
      <c r="AK997" s="216"/>
      <c r="AL997" s="216"/>
      <c r="AM997" s="216"/>
      <c r="AN997" s="216"/>
      <c r="AO997" s="216"/>
      <c r="AP997" s="216"/>
      <c r="AQ997" s="216"/>
      <c r="AR997" s="216"/>
      <c r="AS997" s="216"/>
      <c r="AT997" s="216"/>
    </row>
    <row r="998" spans="1:46" ht="12.75" x14ac:dyDescent="0.2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214"/>
      <c r="L998" s="214"/>
      <c r="M998" s="215"/>
      <c r="N998" s="215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  <c r="AJ998" s="216"/>
      <c r="AK998" s="216"/>
      <c r="AL998" s="216"/>
      <c r="AM998" s="216"/>
      <c r="AN998" s="216"/>
      <c r="AO998" s="216"/>
      <c r="AP998" s="216"/>
      <c r="AQ998" s="216"/>
      <c r="AR998" s="216"/>
      <c r="AS998" s="216"/>
      <c r="AT998" s="216"/>
    </row>
    <row r="999" spans="1:46" ht="12.75" x14ac:dyDescent="0.2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214"/>
      <c r="L999" s="214"/>
      <c r="M999" s="215"/>
      <c r="N999" s="215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  <c r="AJ999" s="216"/>
      <c r="AK999" s="216"/>
      <c r="AL999" s="216"/>
      <c r="AM999" s="216"/>
      <c r="AN999" s="216"/>
      <c r="AO999" s="216"/>
      <c r="AP999" s="216"/>
      <c r="AQ999" s="216"/>
      <c r="AR999" s="216"/>
      <c r="AS999" s="216"/>
      <c r="AT999" s="216"/>
    </row>
    <row r="1000" spans="1:46" ht="12.75" x14ac:dyDescent="0.2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  <c r="AA1000" s="216"/>
      <c r="AB1000" s="216"/>
      <c r="AC1000" s="216"/>
      <c r="AD1000" s="216"/>
      <c r="AE1000" s="216"/>
      <c r="AF1000" s="216"/>
      <c r="AG1000" s="216"/>
      <c r="AH1000" s="216"/>
      <c r="AI1000" s="216"/>
      <c r="AJ1000" s="216"/>
      <c r="AK1000" s="216"/>
      <c r="AL1000" s="216"/>
      <c r="AM1000" s="216"/>
      <c r="AN1000" s="216"/>
      <c r="AO1000" s="216"/>
      <c r="AP1000" s="216"/>
      <c r="AQ1000" s="216"/>
      <c r="AR1000" s="216"/>
      <c r="AS1000" s="216"/>
      <c r="AT1000" s="216"/>
    </row>
  </sheetData>
  <mergeCells count="39">
    <mergeCell ref="A7:B7"/>
    <mergeCell ref="A13:B13"/>
    <mergeCell ref="A2:B6"/>
    <mergeCell ref="C5:C6"/>
    <mergeCell ref="D5:D6"/>
    <mergeCell ref="E5:E6"/>
    <mergeCell ref="F5:G5"/>
    <mergeCell ref="A31:B31"/>
    <mergeCell ref="A52:B52"/>
    <mergeCell ref="A74:B74"/>
    <mergeCell ref="A89:B89"/>
    <mergeCell ref="A104:B104"/>
    <mergeCell ref="AM4:AO4"/>
    <mergeCell ref="AK5:AL5"/>
    <mergeCell ref="AN5:AO5"/>
    <mergeCell ref="AR5:AS5"/>
    <mergeCell ref="C2:AT2"/>
    <mergeCell ref="C3:N3"/>
    <mergeCell ref="O3:T4"/>
    <mergeCell ref="U3:AA3"/>
    <mergeCell ref="AB3:AH3"/>
    <mergeCell ref="AI3:AL3"/>
    <mergeCell ref="AQ4:AS4"/>
    <mergeCell ref="AM3:AP3"/>
    <mergeCell ref="AQ3:AT3"/>
    <mergeCell ref="C4:E4"/>
    <mergeCell ref="F4:N4"/>
    <mergeCell ref="M5:N5"/>
    <mergeCell ref="O5:P5"/>
    <mergeCell ref="Q5:T5"/>
    <mergeCell ref="V5:W5"/>
    <mergeCell ref="U4:W4"/>
    <mergeCell ref="Y4:AA4"/>
    <mergeCell ref="Z5:AA5"/>
    <mergeCell ref="AC5:AD5"/>
    <mergeCell ref="AB4:AD4"/>
    <mergeCell ref="AF4:AH4"/>
    <mergeCell ref="AG5:AH5"/>
    <mergeCell ref="AJ4:AL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20" max="1048575" man="1"/>
    <brk id="3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F1000"/>
  <sheetViews>
    <sheetView view="pageBreakPreview" zoomScale="60" zoomScaleNormal="100" workbookViewId="0">
      <pane xSplit="2" ySplit="7" topLeftCell="I8" activePane="bottomRight" state="frozen"/>
      <selection activeCell="P71" sqref="P71"/>
      <selection pane="topRight" activeCell="P71" sqref="P71"/>
      <selection pane="bottomLeft" activeCell="P71" sqref="P71"/>
      <selection pane="bottomRight" activeCell="Y20" sqref="Y20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32" width="13.85546875" customWidth="1"/>
  </cols>
  <sheetData>
    <row r="1" spans="1:32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ht="24" customHeight="1" x14ac:dyDescent="0.2">
      <c r="A2" s="357" t="s">
        <v>1</v>
      </c>
      <c r="B2" s="358"/>
      <c r="C2" s="320" t="s">
        <v>158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2"/>
    </row>
    <row r="3" spans="1:32" ht="30" customHeight="1" x14ac:dyDescent="0.2">
      <c r="A3" s="344"/>
      <c r="B3" s="343"/>
      <c r="C3" s="353" t="s">
        <v>3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4"/>
      <c r="O3" s="354" t="s">
        <v>159</v>
      </c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55" t="s">
        <v>138</v>
      </c>
      <c r="AE3" s="324"/>
      <c r="AF3" s="317"/>
    </row>
    <row r="4" spans="1:32" ht="60" customHeight="1" x14ac:dyDescent="0.2">
      <c r="A4" s="344"/>
      <c r="B4" s="343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49" t="s">
        <v>160</v>
      </c>
      <c r="P4" s="325"/>
      <c r="Q4" s="313"/>
      <c r="R4" s="350" t="s">
        <v>161</v>
      </c>
      <c r="S4" s="325"/>
      <c r="T4" s="313"/>
      <c r="U4" s="350" t="s">
        <v>162</v>
      </c>
      <c r="V4" s="325"/>
      <c r="W4" s="313"/>
      <c r="X4" s="350" t="s">
        <v>163</v>
      </c>
      <c r="Y4" s="325"/>
      <c r="Z4" s="313"/>
      <c r="AA4" s="356" t="s">
        <v>164</v>
      </c>
      <c r="AB4" s="309"/>
      <c r="AC4" s="304"/>
      <c r="AD4" s="319"/>
      <c r="AE4" s="325"/>
      <c r="AF4" s="313"/>
    </row>
    <row r="5" spans="1:32" ht="56.25" customHeight="1" x14ac:dyDescent="0.2">
      <c r="A5" s="344"/>
      <c r="B5" s="343"/>
      <c r="C5" s="405" t="s">
        <v>10</v>
      </c>
      <c r="D5" s="406" t="s">
        <v>11</v>
      </c>
      <c r="E5" s="407" t="s">
        <v>12</v>
      </c>
      <c r="F5" s="413" t="s">
        <v>13</v>
      </c>
      <c r="G5" s="414"/>
      <c r="H5" s="415" t="s">
        <v>14</v>
      </c>
      <c r="I5" s="416" t="s">
        <v>15</v>
      </c>
      <c r="J5" s="416" t="s">
        <v>16</v>
      </c>
      <c r="K5" s="416" t="s">
        <v>17</v>
      </c>
      <c r="L5" s="416" t="s">
        <v>18</v>
      </c>
      <c r="M5" s="417" t="s">
        <v>19</v>
      </c>
      <c r="N5" s="412"/>
      <c r="O5" s="217" t="s">
        <v>20</v>
      </c>
      <c r="P5" s="315" t="s">
        <v>21</v>
      </c>
      <c r="Q5" s="304"/>
      <c r="R5" s="218" t="s">
        <v>20</v>
      </c>
      <c r="S5" s="315" t="s">
        <v>21</v>
      </c>
      <c r="T5" s="304"/>
      <c r="U5" s="218" t="s">
        <v>20</v>
      </c>
      <c r="V5" s="315" t="s">
        <v>21</v>
      </c>
      <c r="W5" s="304"/>
      <c r="X5" s="218" t="s">
        <v>20</v>
      </c>
      <c r="Y5" s="351" t="s">
        <v>21</v>
      </c>
      <c r="Z5" s="304"/>
      <c r="AA5" s="219" t="s">
        <v>20</v>
      </c>
      <c r="AB5" s="352" t="s">
        <v>21</v>
      </c>
      <c r="AC5" s="313"/>
      <c r="AD5" s="220" t="s">
        <v>20</v>
      </c>
      <c r="AE5" s="352" t="s">
        <v>21</v>
      </c>
      <c r="AF5" s="313"/>
    </row>
    <row r="6" spans="1:32" ht="30" customHeight="1" x14ac:dyDescent="0.3">
      <c r="A6" s="345"/>
      <c r="B6" s="346"/>
      <c r="C6" s="408"/>
      <c r="D6" s="408"/>
      <c r="E6" s="408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1" t="s">
        <v>24</v>
      </c>
      <c r="P6" s="21" t="s">
        <v>24</v>
      </c>
      <c r="Q6" s="20" t="s">
        <v>23</v>
      </c>
      <c r="R6" s="222" t="s">
        <v>24</v>
      </c>
      <c r="S6" s="21" t="s">
        <v>24</v>
      </c>
      <c r="T6" s="20" t="s">
        <v>23</v>
      </c>
      <c r="U6" s="222" t="s">
        <v>24</v>
      </c>
      <c r="V6" s="21" t="s">
        <v>24</v>
      </c>
      <c r="W6" s="20" t="s">
        <v>23</v>
      </c>
      <c r="X6" s="218" t="s">
        <v>24</v>
      </c>
      <c r="Y6" s="21" t="s">
        <v>24</v>
      </c>
      <c r="Z6" s="20" t="s">
        <v>23</v>
      </c>
      <c r="AA6" s="223" t="s">
        <v>24</v>
      </c>
      <c r="AB6" s="224" t="s">
        <v>24</v>
      </c>
      <c r="AC6" s="146" t="s">
        <v>23</v>
      </c>
      <c r="AD6" s="225" t="s">
        <v>24</v>
      </c>
      <c r="AE6" s="224" t="s">
        <v>24</v>
      </c>
      <c r="AF6" s="146" t="s">
        <v>23</v>
      </c>
    </row>
    <row r="7" spans="1:32" ht="24" customHeight="1" x14ac:dyDescent="0.3">
      <c r="A7" s="359" t="s">
        <v>248</v>
      </c>
      <c r="B7" s="360"/>
      <c r="C7" s="23">
        <f ca="1">C8+C9+C12</f>
        <v>4314600</v>
      </c>
      <c r="D7" s="24">
        <f t="shared" ref="D7:E7" ca="1" si="0">D8</f>
        <v>4314600</v>
      </c>
      <c r="E7" s="25">
        <f t="shared" ca="1" si="0"/>
        <v>0</v>
      </c>
      <c r="F7" s="26">
        <f t="shared" ref="F7:F116" ca="1" si="1">H7+M7</f>
        <v>1163728</v>
      </c>
      <c r="G7" s="27">
        <f t="shared" ref="G7:G116" ca="1" si="2">IF(D7&gt;0,F7*100/D7,0)</f>
        <v>26.971862976869236</v>
      </c>
      <c r="H7" s="26">
        <f t="shared" ref="H7:M7" ca="1" si="3">H8</f>
        <v>1163728</v>
      </c>
      <c r="I7" s="26">
        <f t="shared" ca="1" si="3"/>
        <v>818763</v>
      </c>
      <c r="J7" s="26">
        <f t="shared" ca="1" si="3"/>
        <v>250000</v>
      </c>
      <c r="K7" s="26">
        <f t="shared" ca="1" si="3"/>
        <v>0</v>
      </c>
      <c r="L7" s="26">
        <f t="shared" ca="1" si="3"/>
        <v>94965</v>
      </c>
      <c r="M7" s="28">
        <f t="shared" ca="1" si="3"/>
        <v>0</v>
      </c>
      <c r="N7" s="28">
        <f t="shared" ref="N7:N11" ca="1" si="4">IF(E7&gt;0,M7*100/E7,0)</f>
        <v>0</v>
      </c>
      <c r="O7" s="226">
        <f t="shared" ref="O7:P7" ca="1" si="5">O8</f>
        <v>500</v>
      </c>
      <c r="P7" s="30">
        <f t="shared" ca="1" si="5"/>
        <v>150</v>
      </c>
      <c r="Q7" s="31">
        <f t="shared" ref="Q7:Q8" ca="1" si="6">IF(O7&gt;0,P7*100/O7,0)</f>
        <v>30</v>
      </c>
      <c r="R7" s="227">
        <f t="shared" ref="R7:S7" ca="1" si="7">R8</f>
        <v>500</v>
      </c>
      <c r="S7" s="30">
        <f t="shared" ca="1" si="7"/>
        <v>438</v>
      </c>
      <c r="T7" s="31">
        <f t="shared" ref="T7:T8" ca="1" si="8">IF(R7&gt;0,S7*100/R7,0)</f>
        <v>87.6</v>
      </c>
      <c r="U7" s="227">
        <f t="shared" ref="U7:V7" ca="1" si="9">U8</f>
        <v>160</v>
      </c>
      <c r="V7" s="30">
        <f t="shared" ca="1" si="9"/>
        <v>72</v>
      </c>
      <c r="W7" s="31">
        <f t="shared" ref="W7:W8" ca="1" si="10">IF(U7&gt;0,V7*100/U7,0)</f>
        <v>45</v>
      </c>
      <c r="X7" s="228">
        <f t="shared" ref="X7:Y7" ca="1" si="11">X8</f>
        <v>160</v>
      </c>
      <c r="Y7" s="30">
        <f t="shared" ca="1" si="11"/>
        <v>80</v>
      </c>
      <c r="Z7" s="31">
        <f t="shared" ref="Z7:Z8" ca="1" si="12">IF(X7&gt;0,Y7*100/X7,0)</f>
        <v>50</v>
      </c>
      <c r="AA7" s="229">
        <f t="shared" ref="AA7:AB7" ca="1" si="13">AA8</f>
        <v>340</v>
      </c>
      <c r="AB7" s="154">
        <f t="shared" ca="1" si="13"/>
        <v>124</v>
      </c>
      <c r="AC7" s="155">
        <f t="shared" ref="AC7:AC8" ca="1" si="14">IF(AA7&gt;0,AB7*100/AA7,0)</f>
        <v>36.470588235294116</v>
      </c>
      <c r="AD7" s="230">
        <f t="shared" ref="AD7:AE7" ca="1" si="15">AD8</f>
        <v>500</v>
      </c>
      <c r="AE7" s="154">
        <f t="shared" ca="1" si="15"/>
        <v>50</v>
      </c>
      <c r="AF7" s="155">
        <f t="shared" ref="AF7:AF8" ca="1" si="16">IF(AD7&gt;0,AE7*100/AD7,0)</f>
        <v>10</v>
      </c>
    </row>
    <row r="8" spans="1:32" ht="28.5" customHeight="1" x14ac:dyDescent="0.3">
      <c r="A8" s="32" t="s">
        <v>26</v>
      </c>
      <c r="B8" s="33"/>
      <c r="C8" s="34">
        <f t="shared" ref="C8:E8" ca="1" si="17">+C13+C31+C52+C74</f>
        <v>4314600</v>
      </c>
      <c r="D8" s="35">
        <f t="shared" ca="1" si="17"/>
        <v>4314600</v>
      </c>
      <c r="E8" s="36">
        <f t="shared" ca="1" si="17"/>
        <v>0</v>
      </c>
      <c r="F8" s="36">
        <f t="shared" ca="1" si="1"/>
        <v>1163728</v>
      </c>
      <c r="G8" s="37">
        <f t="shared" ca="1" si="2"/>
        <v>26.971862976869236</v>
      </c>
      <c r="H8" s="36">
        <f t="shared" ref="H8:M8" ca="1" si="18">+H13+H31+H52+H74</f>
        <v>1163728</v>
      </c>
      <c r="I8" s="36">
        <f t="shared" ca="1" si="18"/>
        <v>818763</v>
      </c>
      <c r="J8" s="36">
        <f t="shared" ca="1" si="18"/>
        <v>250000</v>
      </c>
      <c r="K8" s="36">
        <f t="shared" ca="1" si="18"/>
        <v>0</v>
      </c>
      <c r="L8" s="36">
        <f t="shared" ca="1" si="18"/>
        <v>94965</v>
      </c>
      <c r="M8" s="38">
        <f t="shared" ca="1" si="18"/>
        <v>0</v>
      </c>
      <c r="N8" s="38">
        <f t="shared" ca="1" si="4"/>
        <v>0</v>
      </c>
      <c r="O8" s="36">
        <f t="shared" ref="O8:P8" ca="1" si="19">+O13+O31+O52+O74</f>
        <v>500</v>
      </c>
      <c r="P8" s="36">
        <f t="shared" ca="1" si="19"/>
        <v>150</v>
      </c>
      <c r="Q8" s="39">
        <f t="shared" ca="1" si="6"/>
        <v>30</v>
      </c>
      <c r="R8" s="36">
        <f t="shared" ref="R8:S8" ca="1" si="20">+R13+R31+R52+R74</f>
        <v>500</v>
      </c>
      <c r="S8" s="36">
        <f t="shared" ca="1" si="20"/>
        <v>438</v>
      </c>
      <c r="T8" s="39">
        <f t="shared" ca="1" si="8"/>
        <v>87.6</v>
      </c>
      <c r="U8" s="36">
        <f t="shared" ref="U8:V8" ca="1" si="21">+U13+U31+U52+U74</f>
        <v>160</v>
      </c>
      <c r="V8" s="36">
        <f t="shared" ca="1" si="21"/>
        <v>72</v>
      </c>
      <c r="W8" s="39">
        <f t="shared" ca="1" si="10"/>
        <v>45</v>
      </c>
      <c r="X8" s="35">
        <f t="shared" ref="X8:Y8" ca="1" si="22">+X13+X31+X52+X74</f>
        <v>160</v>
      </c>
      <c r="Y8" s="36">
        <f t="shared" ca="1" si="22"/>
        <v>80</v>
      </c>
      <c r="Z8" s="39">
        <f t="shared" ca="1" si="12"/>
        <v>50</v>
      </c>
      <c r="AA8" s="231">
        <f t="shared" ref="AA8:AB8" ca="1" si="23">+AA13+AA31+AA52+AA74</f>
        <v>340</v>
      </c>
      <c r="AB8" s="159">
        <f t="shared" ca="1" si="23"/>
        <v>124</v>
      </c>
      <c r="AC8" s="162">
        <f t="shared" ca="1" si="14"/>
        <v>36.470588235294116</v>
      </c>
      <c r="AD8" s="231">
        <f t="shared" ref="AD8:AE8" ca="1" si="24">+AD13+AD31+AD52+AD74</f>
        <v>500</v>
      </c>
      <c r="AE8" s="159">
        <f t="shared" ca="1" si="24"/>
        <v>50</v>
      </c>
      <c r="AF8" s="162">
        <f t="shared" ca="1" si="16"/>
        <v>10</v>
      </c>
    </row>
    <row r="9" spans="1:32" ht="28.5" customHeight="1" x14ac:dyDescent="0.2">
      <c r="A9" s="40" t="s">
        <v>249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43"/>
      <c r="W9" s="46"/>
      <c r="X9" s="43"/>
      <c r="Y9" s="43"/>
      <c r="Z9" s="46"/>
      <c r="AA9" s="232"/>
      <c r="AB9" s="166"/>
      <c r="AC9" s="170"/>
      <c r="AD9" s="232"/>
      <c r="AE9" s="166"/>
      <c r="AF9" s="170"/>
    </row>
    <row r="10" spans="1:32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43"/>
      <c r="W10" s="46"/>
      <c r="X10" s="43"/>
      <c r="Y10" s="43"/>
      <c r="Z10" s="46"/>
      <c r="AA10" s="232"/>
      <c r="AB10" s="166"/>
      <c r="AC10" s="170"/>
      <c r="AD10" s="232"/>
      <c r="AE10" s="166"/>
      <c r="AF10" s="170"/>
    </row>
    <row r="11" spans="1:32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43"/>
      <c r="W11" s="46"/>
      <c r="X11" s="43"/>
      <c r="Y11" s="43"/>
      <c r="Z11" s="46"/>
      <c r="AA11" s="232"/>
      <c r="AB11" s="166"/>
      <c r="AC11" s="170"/>
      <c r="AD11" s="232"/>
      <c r="AE11" s="166"/>
      <c r="AF11" s="170"/>
    </row>
    <row r="12" spans="1:32" ht="28.5" hidden="1" customHeight="1" x14ac:dyDescent="0.3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5">IF(O12&gt;0,P12*100/O12,0)</f>
        <v>0</v>
      </c>
      <c r="R12" s="52">
        <v>0</v>
      </c>
      <c r="S12" s="52">
        <v>0</v>
      </c>
      <c r="T12" s="55">
        <f t="shared" ref="T12:T88" si="26">IF(R12&gt;0,S12*100/R12,0)</f>
        <v>0</v>
      </c>
      <c r="U12" s="52">
        <v>0</v>
      </c>
      <c r="V12" s="52">
        <v>0</v>
      </c>
      <c r="W12" s="55">
        <f t="shared" ref="W12:W88" si="27">IF(U12&gt;0,V12*100/U12,0)</f>
        <v>0</v>
      </c>
      <c r="X12" s="52">
        <v>0</v>
      </c>
      <c r="Y12" s="52">
        <v>0</v>
      </c>
      <c r="Z12" s="55">
        <f t="shared" ref="Z12:Z88" si="28">IF(X12&gt;0,Y12*100/X12,0)</f>
        <v>0</v>
      </c>
      <c r="AA12" s="233">
        <v>0</v>
      </c>
      <c r="AB12" s="174">
        <v>0</v>
      </c>
      <c r="AC12" s="177">
        <f t="shared" ref="AC12:AC88" si="29">IF(AA12&gt;0,AB12*100/AA12,0)</f>
        <v>0</v>
      </c>
      <c r="AD12" s="233">
        <v>0</v>
      </c>
      <c r="AE12" s="174">
        <v>0</v>
      </c>
      <c r="AF12" s="177">
        <f t="shared" ref="AF12:AF88" si="30">IF(AD12&gt;0,AE12*100/AD12,0)</f>
        <v>0</v>
      </c>
    </row>
    <row r="13" spans="1:32" ht="28.5" customHeight="1" x14ac:dyDescent="0.3">
      <c r="A13" s="303" t="s">
        <v>30</v>
      </c>
      <c r="B13" s="304"/>
      <c r="C13" s="56">
        <f t="shared" ref="C13:E13" ca="1" si="31">SUM(C14:C30)</f>
        <v>652760</v>
      </c>
      <c r="D13" s="57">
        <f t="shared" ca="1" si="31"/>
        <v>652760</v>
      </c>
      <c r="E13" s="58">
        <f t="shared" ca="1" si="31"/>
        <v>0</v>
      </c>
      <c r="F13" s="58">
        <f t="shared" ca="1" si="1"/>
        <v>148970</v>
      </c>
      <c r="G13" s="59">
        <f t="shared" ca="1" si="2"/>
        <v>22.82155769348612</v>
      </c>
      <c r="H13" s="58">
        <f t="shared" ref="H13:M13" ca="1" si="32">SUM(H14:H30)</f>
        <v>148970</v>
      </c>
      <c r="I13" s="58">
        <f t="shared" ca="1" si="32"/>
        <v>141470</v>
      </c>
      <c r="J13" s="58">
        <f t="shared" ca="1" si="32"/>
        <v>0</v>
      </c>
      <c r="K13" s="58">
        <f t="shared" ca="1" si="32"/>
        <v>0</v>
      </c>
      <c r="L13" s="58">
        <f t="shared" ca="1" si="32"/>
        <v>7500</v>
      </c>
      <c r="M13" s="60">
        <f t="shared" ca="1" si="32"/>
        <v>0</v>
      </c>
      <c r="N13" s="60">
        <f t="shared" ref="N13:N116" ca="1" si="33">IF(E13&gt;0,M13*100/E13,0)</f>
        <v>0</v>
      </c>
      <c r="O13" s="58">
        <f t="shared" ref="O13:P13" ca="1" si="34">SUM(O14:O30)</f>
        <v>80</v>
      </c>
      <c r="P13" s="58">
        <f t="shared" ca="1" si="34"/>
        <v>0</v>
      </c>
      <c r="Q13" s="61">
        <f t="shared" ca="1" si="25"/>
        <v>0</v>
      </c>
      <c r="R13" s="58">
        <f t="shared" ref="R13:S13" ca="1" si="35">SUM(R14:R30)</f>
        <v>80</v>
      </c>
      <c r="S13" s="58">
        <f t="shared" ca="1" si="35"/>
        <v>40</v>
      </c>
      <c r="T13" s="61">
        <f t="shared" ca="1" si="26"/>
        <v>50</v>
      </c>
      <c r="U13" s="58">
        <f t="shared" ref="U13:V13" ca="1" si="36">SUM(U14:U30)</f>
        <v>0</v>
      </c>
      <c r="V13" s="58">
        <f t="shared" ca="1" si="36"/>
        <v>0</v>
      </c>
      <c r="W13" s="61">
        <f t="shared" ca="1" si="27"/>
        <v>0</v>
      </c>
      <c r="X13" s="58">
        <f t="shared" ref="X13:Y13" ca="1" si="37">SUM(X14:X30)</f>
        <v>0</v>
      </c>
      <c r="Y13" s="58">
        <f t="shared" ca="1" si="37"/>
        <v>0</v>
      </c>
      <c r="Z13" s="61">
        <f t="shared" ca="1" si="28"/>
        <v>0</v>
      </c>
      <c r="AA13" s="231">
        <f t="shared" ref="AA13:AB13" ca="1" si="38">SUM(AA14:AA30)</f>
        <v>80</v>
      </c>
      <c r="AB13" s="159">
        <f t="shared" ca="1" si="38"/>
        <v>24</v>
      </c>
      <c r="AC13" s="162">
        <f t="shared" ca="1" si="29"/>
        <v>30</v>
      </c>
      <c r="AD13" s="231">
        <f t="shared" ref="AD13:AE13" ca="1" si="39">SUM(AD14:AD30)</f>
        <v>80</v>
      </c>
      <c r="AE13" s="159">
        <f t="shared" ca="1" si="39"/>
        <v>0</v>
      </c>
      <c r="AF13" s="162">
        <f t="shared" ca="1" si="30"/>
        <v>0</v>
      </c>
    </row>
    <row r="14" spans="1:32" ht="24" customHeight="1" x14ac:dyDescent="0.3">
      <c r="A14" s="62">
        <v>1</v>
      </c>
      <c r="B14" s="63" t="s">
        <v>31</v>
      </c>
      <c r="C14" s="64">
        <f t="shared" ref="C14:C30" ca="1" si="40">D14+E14</f>
        <v>0</v>
      </c>
      <c r="D14" s="65">
        <f ca="1">IFERROR(__xludf.DUMMYFUNCTION("IMPORTRANGE(""https://docs.google.com/spreadsheets/d/1KxicF4apzSqm0-jIpmueT4kyZtE-Cwn5zskl7GD4loQ/edit?usp=sharing"",""กำแพงเพชร!L528"")"),0)</f>
        <v>0</v>
      </c>
      <c r="E14" s="66">
        <f ca="1">IFERROR(__xludf.DUMMYFUNCTION("IMPORTRANGE(""https://docs.google.com/spreadsheets/d/1KxicF4apzSqm0-jIpmueT4kyZtE-Cwn5zskl7GD4loQ/edit?usp=sharing"",""กำแพงเพชร!L535"")"),0)</f>
        <v>0</v>
      </c>
      <c r="F14" s="67">
        <f t="shared" ca="1" si="1"/>
        <v>0</v>
      </c>
      <c r="G14" s="68">
        <f t="shared" ca="1" si="2"/>
        <v>0</v>
      </c>
      <c r="H14" s="69">
        <f t="shared" ref="H14:H30" ca="1" si="41">I14+J14+K14+L14</f>
        <v>0</v>
      </c>
      <c r="I14" s="66">
        <f ca="1">IFERROR(__xludf.DUMMYFUNCTION("IMPORTRANGE(""https://docs.google.com/spreadsheets/d/1KxicF4apzSqm0-jIpmueT4kyZtE-Cwn5zskl7GD4loQ/edit?usp=sharing"",""กำแพงเพชร!N529"")"),0)</f>
        <v>0</v>
      </c>
      <c r="J14" s="66">
        <f ca="1">IFERROR(__xludf.DUMMYFUNCTION("IMPORTRANGE(""https://docs.google.com/spreadsheets/d/1KxicF4apzSqm0-jIpmueT4kyZtE-Cwn5zskl7GD4loQ/edit?usp=sharing"",""กำแพงเพชร!N530"")"),0)</f>
        <v>0</v>
      </c>
      <c r="K14" s="66">
        <f ca="1">IFERROR(__xludf.DUMMYFUNCTION("IMPORTRANGE(""https://docs.google.com/spreadsheets/d/1KxicF4apzSqm0-jIpmueT4kyZtE-Cwn5zskl7GD4loQ/edit?usp=sharing"",""กำแพงเพชร!N531"")"),0)</f>
        <v>0</v>
      </c>
      <c r="L14" s="66">
        <f ca="1">IFERROR(__xludf.DUMMYFUNCTION("IMPORTRANGE(""https://docs.google.com/spreadsheets/d/1KxicF4apzSqm0-jIpmueT4kyZtE-Cwn5zskl7GD4loQ/edit?usp=sharing"",""กำแพงเพชร!N532"")"),0)</f>
        <v>0</v>
      </c>
      <c r="M14" s="70">
        <f ca="1">IFERROR(__xludf.DUMMYFUNCTION("IMPORTRANGE(""https://docs.google.com/spreadsheets/d/1KxicF4apzSqm0-jIpmueT4kyZtE-Cwn5zskl7GD4loQ/edit?usp=sharing"",""กำแพงเพชร!N535"")"),0)</f>
        <v>0</v>
      </c>
      <c r="N14" s="70">
        <f t="shared" ca="1" si="33"/>
        <v>0</v>
      </c>
      <c r="O14" s="66">
        <f ca="1">IFERROR(__xludf.DUMMYFUNCTION("IMPORTRANGE(""https://docs.google.com/spreadsheets/d/1KxicF4apzSqm0-jIpmueT4kyZtE-Cwn5zskl7GD4loQ/edit?usp=sharing"",""กำแพงเพชร!I537"")"),0)</f>
        <v>0</v>
      </c>
      <c r="P14" s="66">
        <f ca="1">IFERROR(__xludf.DUMMYFUNCTION("IMPORTRANGE(""https://docs.google.com/spreadsheets/d/1KxicF4apzSqm0-jIpmueT4kyZtE-Cwn5zskl7GD4loQ/edit?usp=sharing"",""กำแพงเพชร!J537"")"),0)</f>
        <v>0</v>
      </c>
      <c r="Q14" s="71">
        <f t="shared" ca="1" si="25"/>
        <v>0</v>
      </c>
      <c r="R14" s="66">
        <f ca="1">IFERROR(__xludf.DUMMYFUNCTION("IMPORTRANGE(""https://docs.google.com/spreadsheets/d/1KxicF4apzSqm0-jIpmueT4kyZtE-Cwn5zskl7GD4loQ/edit?usp=sharing"",""กำแพงเพชร!I538"")"),0)</f>
        <v>0</v>
      </c>
      <c r="S14" s="66">
        <f ca="1">IFERROR(__xludf.DUMMYFUNCTION("IMPORTRANGE(""https://docs.google.com/spreadsheets/d/1KxicF4apzSqm0-jIpmueT4kyZtE-Cwn5zskl7GD4loQ/edit?usp=sharing"",""กำแพงเพชร!J538"")"),0)</f>
        <v>0</v>
      </c>
      <c r="T14" s="71">
        <f t="shared" ca="1" si="26"/>
        <v>0</v>
      </c>
      <c r="U14" s="66">
        <f ca="1">IFERROR(__xludf.DUMMYFUNCTION("IMPORTRANGE(""https://docs.google.com/spreadsheets/d/1KxicF4apzSqm0-jIpmueT4kyZtE-Cwn5zskl7GD4loQ/edit?usp=sharing"",""กำแพงเพชร!I539"")"),0)</f>
        <v>0</v>
      </c>
      <c r="V14" s="66">
        <f ca="1">IFERROR(__xludf.DUMMYFUNCTION("IMPORTRANGE(""https://docs.google.com/spreadsheets/d/1KxicF4apzSqm0-jIpmueT4kyZtE-Cwn5zskl7GD4loQ/edit?usp=sharing"",""กำแพงเพชร!J539"")"),0)</f>
        <v>0</v>
      </c>
      <c r="W14" s="71">
        <f t="shared" ca="1" si="27"/>
        <v>0</v>
      </c>
      <c r="X14" s="66">
        <f ca="1">IFERROR(__xludf.DUMMYFUNCTION("IMPORTRANGE(""https://docs.google.com/spreadsheets/d/1KxicF4apzSqm0-jIpmueT4kyZtE-Cwn5zskl7GD4loQ/edit?usp=sharing"",""กำแพงเพชร!I540"")"),0)</f>
        <v>0</v>
      </c>
      <c r="Y14" s="66">
        <f ca="1">IFERROR(__xludf.DUMMYFUNCTION("IMPORTRANGE(""https://docs.google.com/spreadsheets/d/1KxicF4apzSqm0-jIpmueT4kyZtE-Cwn5zskl7GD4loQ/edit?usp=sharing"",""กำแพงเพชร!J540"")"),0)</f>
        <v>0</v>
      </c>
      <c r="Z14" s="71">
        <f t="shared" ca="1" si="28"/>
        <v>0</v>
      </c>
      <c r="AA14" s="234">
        <f ca="1">IFERROR(__xludf.DUMMYFUNCTION("IMPORTRANGE(""https://docs.google.com/spreadsheets/d/1KxicF4apzSqm0-jIpmueT4kyZtE-Cwn5zskl7GD4loQ/edit?usp=sharing"",""กำแพงเพชร!I541"")"),0)</f>
        <v>0</v>
      </c>
      <c r="AB14" s="181">
        <f ca="1">IFERROR(__xludf.DUMMYFUNCTION("IMPORTRANGE(""https://docs.google.com/spreadsheets/d/1KxicF4apzSqm0-jIpmueT4kyZtE-Cwn5zskl7GD4loQ/edit?usp=sharing"",""กำแพงเพชร!J541"")"),0)</f>
        <v>0</v>
      </c>
      <c r="AC14" s="186">
        <f t="shared" ca="1" si="29"/>
        <v>0</v>
      </c>
      <c r="AD14" s="234">
        <f ca="1">IFERROR(__xludf.DUMMYFUNCTION("IMPORTRANGE(""https://docs.google.com/spreadsheets/d/1KxicF4apzSqm0-jIpmueT4kyZtE-Cwn5zskl7GD4loQ/edit?usp=sharing"",""กำแพงเพชร!I542"")"),0)</f>
        <v>0</v>
      </c>
      <c r="AE14" s="181">
        <f ca="1">IFERROR(__xludf.DUMMYFUNCTION("IMPORTRANGE(""https://docs.google.com/spreadsheets/d/1KxicF4apzSqm0-jIpmueT4kyZtE-Cwn5zskl7GD4loQ/edit?usp=sharing"",""กำแพงเพชร!J542"")"),0)</f>
        <v>0</v>
      </c>
      <c r="AF14" s="186">
        <f t="shared" ca="1" si="30"/>
        <v>0</v>
      </c>
    </row>
    <row r="15" spans="1:32" ht="24" customHeight="1" x14ac:dyDescent="0.3">
      <c r="A15" s="72">
        <v>2</v>
      </c>
      <c r="B15" s="73" t="s">
        <v>32</v>
      </c>
      <c r="C15" s="74">
        <f t="shared" ca="1" si="40"/>
        <v>0</v>
      </c>
      <c r="D15" s="75">
        <f ca="1">IFERROR(__xludf.DUMMYFUNCTION("IMPORTRANGE(""https://docs.google.com/spreadsheets/d/1ZNYWeiFoFA1K1U4xKWqRX29MBvEyRHXORjo734Gnq_c/edit?usp=sharing"",""เชียงราย!L528"")"),0)</f>
        <v>0</v>
      </c>
      <c r="E15" s="76">
        <f ca="1">IFERROR(__xludf.DUMMYFUNCTION("IMPORTRANGE(""https://docs.google.com/spreadsheets/d/1ZNYWeiFoFA1K1U4xKWqRX29MBvEyRHXORjo734Gnq_c/edit?usp=sharing"",""เชียงราย!L535"")"),0)</f>
        <v>0</v>
      </c>
      <c r="F15" s="77">
        <f t="shared" ca="1" si="1"/>
        <v>0</v>
      </c>
      <c r="G15" s="78">
        <f t="shared" ca="1" si="2"/>
        <v>0</v>
      </c>
      <c r="H15" s="79">
        <f t="shared" ca="1" si="41"/>
        <v>0</v>
      </c>
      <c r="I15" s="76">
        <f ca="1">IFERROR(__xludf.DUMMYFUNCTION("IMPORTRANGE(""https://docs.google.com/spreadsheets/d/1ZNYWeiFoFA1K1U4xKWqRX29MBvEyRHXORjo734Gnq_c/edit?usp=sharing"",""เชียงราย!N529"")"),0)</f>
        <v>0</v>
      </c>
      <c r="J15" s="76">
        <f ca="1">IFERROR(__xludf.DUMMYFUNCTION("IMPORTRANGE(""https://docs.google.com/spreadsheets/d/1ZNYWeiFoFA1K1U4xKWqRX29MBvEyRHXORjo734Gnq_c/edit?usp=sharing"",""เชียงราย!N530"")"),0)</f>
        <v>0</v>
      </c>
      <c r="K15" s="76">
        <f ca="1">IFERROR(__xludf.DUMMYFUNCTION("IMPORTRANGE(""https://docs.google.com/spreadsheets/d/1ZNYWeiFoFA1K1U4xKWqRX29MBvEyRHXORjo734Gnq_c/edit?usp=sharing"",""เชียงราย!N531"")"),0)</f>
        <v>0</v>
      </c>
      <c r="L15" s="76">
        <f ca="1">IFERROR(__xludf.DUMMYFUNCTION("IMPORTRANGE(""https://docs.google.com/spreadsheets/d/1ZNYWeiFoFA1K1U4xKWqRX29MBvEyRHXORjo734Gnq_c/edit?usp=sharing"",""เชียงราย!N532"")"),0)</f>
        <v>0</v>
      </c>
      <c r="M15" s="80">
        <f ca="1">IFERROR(__xludf.DUMMYFUNCTION("IMPORTRANGE(""https://docs.google.com/spreadsheets/d/1ZNYWeiFoFA1K1U4xKWqRX29MBvEyRHXORjo734Gnq_c/edit?usp=sharing"",""เชียงราย!N535"")"),0)</f>
        <v>0</v>
      </c>
      <c r="N15" s="80">
        <f t="shared" ca="1" si="33"/>
        <v>0</v>
      </c>
      <c r="O15" s="81">
        <f ca="1">IFERROR(__xludf.DUMMYFUNCTION("IMPORTRANGE(""https://docs.google.com/spreadsheets/d/1ZNYWeiFoFA1K1U4xKWqRX29MBvEyRHXORjo734Gnq_c/edit?usp=sharing"",""เชียงราย!I537"")"),0)</f>
        <v>0</v>
      </c>
      <c r="P15" s="81">
        <f ca="1">IFERROR(__xludf.DUMMYFUNCTION("IMPORTRANGE(""https://docs.google.com/spreadsheets/d/1ZNYWeiFoFA1K1U4xKWqRX29MBvEyRHXORjo734Gnq_c/edit?usp=sharing"",""เชียงราย!J537"")"),0)</f>
        <v>0</v>
      </c>
      <c r="Q15" s="82">
        <f t="shared" ca="1" si="25"/>
        <v>0</v>
      </c>
      <c r="R15" s="81">
        <f ca="1">IFERROR(__xludf.DUMMYFUNCTION("IMPORTRANGE(""https://docs.google.com/spreadsheets/d/1ZNYWeiFoFA1K1U4xKWqRX29MBvEyRHXORjo734Gnq_c/edit?usp=sharing"",""เชียงราย!I538"")"),0)</f>
        <v>0</v>
      </c>
      <c r="S15" s="81">
        <f ca="1">IFERROR(__xludf.DUMMYFUNCTION("IMPORTRANGE(""https://docs.google.com/spreadsheets/d/1ZNYWeiFoFA1K1U4xKWqRX29MBvEyRHXORjo734Gnq_c/edit?usp=sharing"",""เชียงราย!J538"")"),0)</f>
        <v>0</v>
      </c>
      <c r="T15" s="82">
        <f t="shared" ca="1" si="26"/>
        <v>0</v>
      </c>
      <c r="U15" s="81">
        <f ca="1">IFERROR(__xludf.DUMMYFUNCTION("IMPORTRANGE(""https://docs.google.com/spreadsheets/d/1ZNYWeiFoFA1K1U4xKWqRX29MBvEyRHXORjo734Gnq_c/edit?usp=sharing"",""เชียงราย!I539"")"),0)</f>
        <v>0</v>
      </c>
      <c r="V15" s="81">
        <f ca="1">IFERROR(__xludf.DUMMYFUNCTION("IMPORTRANGE(""https://docs.google.com/spreadsheets/d/1ZNYWeiFoFA1K1U4xKWqRX29MBvEyRHXORjo734Gnq_c/edit?usp=sharing"",""เชียงราย!J539"")"),0)</f>
        <v>0</v>
      </c>
      <c r="W15" s="82">
        <f t="shared" ca="1" si="27"/>
        <v>0</v>
      </c>
      <c r="X15" s="81">
        <f ca="1">IFERROR(__xludf.DUMMYFUNCTION("IMPORTRANGE(""https://docs.google.com/spreadsheets/d/1ZNYWeiFoFA1K1U4xKWqRX29MBvEyRHXORjo734Gnq_c/edit?usp=sharing"",""เชียงราย!I540"")"),0)</f>
        <v>0</v>
      </c>
      <c r="Y15" s="81">
        <f ca="1">IFERROR(__xludf.DUMMYFUNCTION("IMPORTRANGE(""https://docs.google.com/spreadsheets/d/1ZNYWeiFoFA1K1U4xKWqRX29MBvEyRHXORjo734Gnq_c/edit?usp=sharing"",""เชียงราย!J540"")"),0)</f>
        <v>0</v>
      </c>
      <c r="Z15" s="82">
        <f t="shared" ca="1" si="28"/>
        <v>0</v>
      </c>
      <c r="AA15" s="234">
        <f ca="1">IFERROR(__xludf.DUMMYFUNCTION("IMPORTRANGE(""https://docs.google.com/spreadsheets/d/1ZNYWeiFoFA1K1U4xKWqRX29MBvEyRHXORjo734Gnq_c/edit?usp=sharing"",""เชียงราย!I541"")"),0)</f>
        <v>0</v>
      </c>
      <c r="AB15" s="181">
        <f ca="1">IFERROR(__xludf.DUMMYFUNCTION("IMPORTRANGE(""https://docs.google.com/spreadsheets/d/1ZNYWeiFoFA1K1U4xKWqRX29MBvEyRHXORjo734Gnq_c/edit?usp=sharing"",""เชียงราย!J541"")"),0)</f>
        <v>0</v>
      </c>
      <c r="AC15" s="186">
        <f t="shared" ca="1" si="29"/>
        <v>0</v>
      </c>
      <c r="AD15" s="234">
        <f ca="1">IFERROR(__xludf.DUMMYFUNCTION("IMPORTRANGE(""https://docs.google.com/spreadsheets/d/1ZNYWeiFoFA1K1U4xKWqRX29MBvEyRHXORjo734Gnq_c/edit?usp=sharing"",""เชียงราย!I542"")"),0)</f>
        <v>0</v>
      </c>
      <c r="AE15" s="181">
        <f ca="1">IFERROR(__xludf.DUMMYFUNCTION("IMPORTRANGE(""https://docs.google.com/spreadsheets/d/1ZNYWeiFoFA1K1U4xKWqRX29MBvEyRHXORjo734Gnq_c/edit?usp=sharing"",""เชียงราย!J542"")"),0)</f>
        <v>0</v>
      </c>
      <c r="AF15" s="186">
        <f t="shared" ca="1" si="30"/>
        <v>0</v>
      </c>
    </row>
    <row r="16" spans="1:32" ht="24" customHeight="1" x14ac:dyDescent="0.3">
      <c r="A16" s="72">
        <v>3</v>
      </c>
      <c r="B16" s="73" t="s">
        <v>33</v>
      </c>
      <c r="C16" s="74">
        <f t="shared" ca="1" si="40"/>
        <v>0</v>
      </c>
      <c r="D16" s="75">
        <f ca="1">IFERROR(__xludf.DUMMYFUNCTION("IMPORTRANGE(""https://docs.google.com/spreadsheets/d/1Jgv0Y7YlHDtsiDawwp-uvifEJ8HVaSn0k2aGHG8-hwM/edit?usp=sharing"",""เชียงใหม่!L528"")"),0)</f>
        <v>0</v>
      </c>
      <c r="E16" s="76">
        <f ca="1">IFERROR(__xludf.DUMMYFUNCTION("IMPORTRANGE(""https://docs.google.com/spreadsheets/d/1Jgv0Y7YlHDtsiDawwp-uvifEJ8HVaSn0k2aGHG8-hwM/edit?usp=sharing"",""เชียงใหม่!L535"")"),0)</f>
        <v>0</v>
      </c>
      <c r="F16" s="77">
        <f t="shared" ca="1" si="1"/>
        <v>0</v>
      </c>
      <c r="G16" s="78">
        <f t="shared" ca="1" si="2"/>
        <v>0</v>
      </c>
      <c r="H16" s="79">
        <f t="shared" ca="1" si="41"/>
        <v>0</v>
      </c>
      <c r="I16" s="76">
        <f ca="1">IFERROR(__xludf.DUMMYFUNCTION("IMPORTRANGE(""https://docs.google.com/spreadsheets/d/1Jgv0Y7YlHDtsiDawwp-uvifEJ8HVaSn0k2aGHG8-hwM/edit?usp=sharing"",""เชียงใหม่!N529"")"),0)</f>
        <v>0</v>
      </c>
      <c r="J16" s="76">
        <f ca="1">IFERROR(__xludf.DUMMYFUNCTION("IMPORTRANGE(""https://docs.google.com/spreadsheets/d/1Jgv0Y7YlHDtsiDawwp-uvifEJ8HVaSn0k2aGHG8-hwM/edit?usp=sharing"",""เชียงใหม่!N530"")"),0)</f>
        <v>0</v>
      </c>
      <c r="K16" s="76">
        <f ca="1">IFERROR(__xludf.DUMMYFUNCTION("IMPORTRANGE(""https://docs.google.com/spreadsheets/d/1Jgv0Y7YlHDtsiDawwp-uvifEJ8HVaSn0k2aGHG8-hwM/edit?usp=sharing"",""เชียงใหม่!N531"")"),0)</f>
        <v>0</v>
      </c>
      <c r="L16" s="76">
        <f ca="1">IFERROR(__xludf.DUMMYFUNCTION("IMPORTRANGE(""https://docs.google.com/spreadsheets/d/1Jgv0Y7YlHDtsiDawwp-uvifEJ8HVaSn0k2aGHG8-hwM/edit?usp=sharing"",""เชียงใหม่!N532"")"),0)</f>
        <v>0</v>
      </c>
      <c r="M16" s="80">
        <f ca="1">IFERROR(__xludf.DUMMYFUNCTION("IMPORTRANGE(""https://docs.google.com/spreadsheets/d/1Jgv0Y7YlHDtsiDawwp-uvifEJ8HVaSn0k2aGHG8-hwM/edit?usp=sharing"",""เชียงใหม่!N535"")"),0)</f>
        <v>0</v>
      </c>
      <c r="N16" s="80">
        <f t="shared" ca="1" si="33"/>
        <v>0</v>
      </c>
      <c r="O16" s="81">
        <f ca="1">IFERROR(__xludf.DUMMYFUNCTION("IMPORTRANGE(""https://docs.google.com/spreadsheets/d/1Jgv0Y7YlHDtsiDawwp-uvifEJ8HVaSn0k2aGHG8-hwM/edit?usp=sharing"",""เชียงใหม่!I537"")"),0)</f>
        <v>0</v>
      </c>
      <c r="P16" s="81">
        <f ca="1">IFERROR(__xludf.DUMMYFUNCTION("IMPORTRANGE(""https://docs.google.com/spreadsheets/d/1Jgv0Y7YlHDtsiDawwp-uvifEJ8HVaSn0k2aGHG8-hwM/edit?usp=sharing"",""เชียงใหม่!J537"")"),0)</f>
        <v>0</v>
      </c>
      <c r="Q16" s="82">
        <f t="shared" ca="1" si="25"/>
        <v>0</v>
      </c>
      <c r="R16" s="81">
        <f ca="1">IFERROR(__xludf.DUMMYFUNCTION("IMPORTRANGE(""https://docs.google.com/spreadsheets/d/1Jgv0Y7YlHDtsiDawwp-uvifEJ8HVaSn0k2aGHG8-hwM/edit?usp=sharing"",""เชียงใหม่!I538"")"),0)</f>
        <v>0</v>
      </c>
      <c r="S16" s="81">
        <f ca="1">IFERROR(__xludf.DUMMYFUNCTION("IMPORTRANGE(""https://docs.google.com/spreadsheets/d/1Jgv0Y7YlHDtsiDawwp-uvifEJ8HVaSn0k2aGHG8-hwM/edit?usp=sharing"",""เชียงใหม่!J538"")"),0)</f>
        <v>0</v>
      </c>
      <c r="T16" s="82">
        <f t="shared" ca="1" si="26"/>
        <v>0</v>
      </c>
      <c r="U16" s="81">
        <f ca="1">IFERROR(__xludf.DUMMYFUNCTION("IMPORTRANGE(""https://docs.google.com/spreadsheets/d/1Jgv0Y7YlHDtsiDawwp-uvifEJ8HVaSn0k2aGHG8-hwM/edit?usp=sharing"",""เชียงใหม่!I539"")"),0)</f>
        <v>0</v>
      </c>
      <c r="V16" s="81">
        <f ca="1">IFERROR(__xludf.DUMMYFUNCTION("IMPORTRANGE(""https://docs.google.com/spreadsheets/d/1Jgv0Y7YlHDtsiDawwp-uvifEJ8HVaSn0k2aGHG8-hwM/edit?usp=sharing"",""เชียงใหม่!J539"")"),0)</f>
        <v>0</v>
      </c>
      <c r="W16" s="82">
        <f t="shared" ca="1" si="27"/>
        <v>0</v>
      </c>
      <c r="X16" s="81">
        <f ca="1">IFERROR(__xludf.DUMMYFUNCTION("IMPORTRANGE(""https://docs.google.com/spreadsheets/d/1Jgv0Y7YlHDtsiDawwp-uvifEJ8HVaSn0k2aGHG8-hwM/edit?usp=sharing"",""เชียงใหม่!I540"")"),0)</f>
        <v>0</v>
      </c>
      <c r="Y16" s="81">
        <f ca="1">IFERROR(__xludf.DUMMYFUNCTION("IMPORTRANGE(""https://docs.google.com/spreadsheets/d/1Jgv0Y7YlHDtsiDawwp-uvifEJ8HVaSn0k2aGHG8-hwM/edit?usp=sharing"",""เชียงใหม่!J540"")"),0)</f>
        <v>0</v>
      </c>
      <c r="Z16" s="82">
        <f t="shared" ca="1" si="28"/>
        <v>0</v>
      </c>
      <c r="AA16" s="234">
        <f ca="1">IFERROR(__xludf.DUMMYFUNCTION("IMPORTRANGE(""https://docs.google.com/spreadsheets/d/1Jgv0Y7YlHDtsiDawwp-uvifEJ8HVaSn0k2aGHG8-hwM/edit?usp=sharing"",""เชียงใหม่!I541"")"),0)</f>
        <v>0</v>
      </c>
      <c r="AB16" s="181">
        <f ca="1">IFERROR(__xludf.DUMMYFUNCTION("IMPORTRANGE(""https://docs.google.com/spreadsheets/d/1Jgv0Y7YlHDtsiDawwp-uvifEJ8HVaSn0k2aGHG8-hwM/edit?usp=sharing"",""เชียงใหม่!J541"")"),0)</f>
        <v>0</v>
      </c>
      <c r="AC16" s="186">
        <f t="shared" ca="1" si="29"/>
        <v>0</v>
      </c>
      <c r="AD16" s="234">
        <f ca="1">IFERROR(__xludf.DUMMYFUNCTION("IMPORTRANGE(""https://docs.google.com/spreadsheets/d/1Jgv0Y7YlHDtsiDawwp-uvifEJ8HVaSn0k2aGHG8-hwM/edit?usp=sharing"",""เชียงใหม่!I542"")"),0)</f>
        <v>0</v>
      </c>
      <c r="AE16" s="181">
        <f ca="1">IFERROR(__xludf.DUMMYFUNCTION("IMPORTRANGE(""https://docs.google.com/spreadsheets/d/1Jgv0Y7YlHDtsiDawwp-uvifEJ8HVaSn0k2aGHG8-hwM/edit?usp=sharing"",""เชียงใหม่!J542"")"),0)</f>
        <v>0</v>
      </c>
      <c r="AF16" s="186">
        <f t="shared" ca="1" si="30"/>
        <v>0</v>
      </c>
    </row>
    <row r="17" spans="1:32" ht="24" customHeight="1" x14ac:dyDescent="0.3">
      <c r="A17" s="72">
        <v>4</v>
      </c>
      <c r="B17" s="73" t="s">
        <v>34</v>
      </c>
      <c r="C17" s="74">
        <f t="shared" ca="1" si="40"/>
        <v>0</v>
      </c>
      <c r="D17" s="75">
        <f ca="1">IFERROR(__xludf.DUMMYFUNCTION("IMPORTRANGE(""https://docs.google.com/spreadsheets/d/1JWG2rZePOz9pe-f-ObA-yDr0VoOX2kSb0qIix2mTUo8/edit?usp=sharing"",""ตาก!L528"")"),0)</f>
        <v>0</v>
      </c>
      <c r="E17" s="76">
        <f ca="1">IFERROR(__xludf.DUMMYFUNCTION("IMPORTRANGE(""https://docs.google.com/spreadsheets/d/1JWG2rZePOz9pe-f-ObA-yDr0VoOX2kSb0qIix2mTUo8/edit?usp=sharing"",""ตาก!L535"")"),0)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41"/>
        <v>0</v>
      </c>
      <c r="I17" s="76">
        <f ca="1">IFERROR(__xludf.DUMMYFUNCTION("IMPORTRANGE(""https://docs.google.com/spreadsheets/d/1JWG2rZePOz9pe-f-ObA-yDr0VoOX2kSb0qIix2mTUo8/edit?usp=sharing"",""ตาก!N529"")"),0)</f>
        <v>0</v>
      </c>
      <c r="J17" s="76">
        <f ca="1">IFERROR(__xludf.DUMMYFUNCTION("IMPORTRANGE(""https://docs.google.com/spreadsheets/d/1JWG2rZePOz9pe-f-ObA-yDr0VoOX2kSb0qIix2mTUo8/edit?usp=sharing"",""ตาก!N530"")"),0)</f>
        <v>0</v>
      </c>
      <c r="K17" s="76">
        <f ca="1">IFERROR(__xludf.DUMMYFUNCTION("IMPORTRANGE(""https://docs.google.com/spreadsheets/d/1JWG2rZePOz9pe-f-ObA-yDr0VoOX2kSb0qIix2mTUo8/edit?usp=sharing"",""ตาก!N531"")"),0)</f>
        <v>0</v>
      </c>
      <c r="L17" s="76">
        <f ca="1">IFERROR(__xludf.DUMMYFUNCTION("IMPORTRANGE(""https://docs.google.com/spreadsheets/d/1JWG2rZePOz9pe-f-ObA-yDr0VoOX2kSb0qIix2mTUo8/edit?usp=sharing"",""ตาก!N532"")"),0)</f>
        <v>0</v>
      </c>
      <c r="M17" s="80">
        <f ca="1">IFERROR(__xludf.DUMMYFUNCTION("IMPORTRANGE(""https://docs.google.com/spreadsheets/d/1JWG2rZePOz9pe-f-ObA-yDr0VoOX2kSb0qIix2mTUo8/edit?usp=sharing"",""ตาก!N535"")"),0)</f>
        <v>0</v>
      </c>
      <c r="N17" s="80">
        <f t="shared" ca="1" si="33"/>
        <v>0</v>
      </c>
      <c r="O17" s="81">
        <f ca="1">IFERROR(__xludf.DUMMYFUNCTION("IMPORTRANGE(""https://docs.google.com/spreadsheets/d/1JWG2rZePOz9pe-f-ObA-yDr0VoOX2kSb0qIix2mTUo8/edit?usp=sharing"",""ตาก!I537"")"),0)</f>
        <v>0</v>
      </c>
      <c r="P17" s="81">
        <f ca="1">IFERROR(__xludf.DUMMYFUNCTION("IMPORTRANGE(""https://docs.google.com/spreadsheets/d/1JWG2rZePOz9pe-f-ObA-yDr0VoOX2kSb0qIix2mTUo8/edit?usp=sharing"",""ตาก!J537"")"),0)</f>
        <v>0</v>
      </c>
      <c r="Q17" s="82">
        <f t="shared" ca="1" si="25"/>
        <v>0</v>
      </c>
      <c r="R17" s="81">
        <f ca="1">IFERROR(__xludf.DUMMYFUNCTION("IMPORTRANGE(""https://docs.google.com/spreadsheets/d/1JWG2rZePOz9pe-f-ObA-yDr0VoOX2kSb0qIix2mTUo8/edit?usp=sharing"",""ตาก!I538"")"),0)</f>
        <v>0</v>
      </c>
      <c r="S17" s="81">
        <f ca="1">IFERROR(__xludf.DUMMYFUNCTION("IMPORTRANGE(""https://docs.google.com/spreadsheets/d/1JWG2rZePOz9pe-f-ObA-yDr0VoOX2kSb0qIix2mTUo8/edit?usp=sharing"",""ตาก!J538"")"),0)</f>
        <v>0</v>
      </c>
      <c r="T17" s="82">
        <f t="shared" ca="1" si="26"/>
        <v>0</v>
      </c>
      <c r="U17" s="81">
        <f ca="1">IFERROR(__xludf.DUMMYFUNCTION("IMPORTRANGE(""https://docs.google.com/spreadsheets/d/1JWG2rZePOz9pe-f-ObA-yDr0VoOX2kSb0qIix2mTUo8/edit?usp=sharing"",""ตาก!I539"")"),0)</f>
        <v>0</v>
      </c>
      <c r="V17" s="81">
        <f ca="1">IFERROR(__xludf.DUMMYFUNCTION("IMPORTRANGE(""https://docs.google.com/spreadsheets/d/1JWG2rZePOz9pe-f-ObA-yDr0VoOX2kSb0qIix2mTUo8/edit?usp=sharing"",""ตาก!J539"")"),0)</f>
        <v>0</v>
      </c>
      <c r="W17" s="82">
        <f t="shared" ca="1" si="27"/>
        <v>0</v>
      </c>
      <c r="X17" s="81">
        <f ca="1">IFERROR(__xludf.DUMMYFUNCTION("IMPORTRANGE(""https://docs.google.com/spreadsheets/d/1JWG2rZePOz9pe-f-ObA-yDr0VoOX2kSb0qIix2mTUo8/edit?usp=sharing"",""ตาก!I540"")"),0)</f>
        <v>0</v>
      </c>
      <c r="Y17" s="81">
        <f ca="1">IFERROR(__xludf.DUMMYFUNCTION("IMPORTRANGE(""https://docs.google.com/spreadsheets/d/1JWG2rZePOz9pe-f-ObA-yDr0VoOX2kSb0qIix2mTUo8/edit?usp=sharing"",""ตาก!J540"")"),0)</f>
        <v>0</v>
      </c>
      <c r="Z17" s="82">
        <f t="shared" ca="1" si="28"/>
        <v>0</v>
      </c>
      <c r="AA17" s="234">
        <f ca="1">IFERROR(__xludf.DUMMYFUNCTION("IMPORTRANGE(""https://docs.google.com/spreadsheets/d/1JWG2rZePOz9pe-f-ObA-yDr0VoOX2kSb0qIix2mTUo8/edit?usp=sharing"",""ตาก!I541"")"),0)</f>
        <v>0</v>
      </c>
      <c r="AB17" s="181">
        <f ca="1">IFERROR(__xludf.DUMMYFUNCTION("IMPORTRANGE(""https://docs.google.com/spreadsheets/d/1JWG2rZePOz9pe-f-ObA-yDr0VoOX2kSb0qIix2mTUo8/edit?usp=sharing"",""ตาก!J541"")"),0)</f>
        <v>0</v>
      </c>
      <c r="AC17" s="186">
        <f t="shared" ca="1" si="29"/>
        <v>0</v>
      </c>
      <c r="AD17" s="234">
        <f ca="1">IFERROR(__xludf.DUMMYFUNCTION("IMPORTRANGE(""https://docs.google.com/spreadsheets/d/1JWG2rZePOz9pe-f-ObA-yDr0VoOX2kSb0qIix2mTUo8/edit?usp=sharing"",""ตาก!I542"")"),0)</f>
        <v>0</v>
      </c>
      <c r="AE17" s="181">
        <f ca="1">IFERROR(__xludf.DUMMYFUNCTION("IMPORTRANGE(""https://docs.google.com/spreadsheets/d/1JWG2rZePOz9pe-f-ObA-yDr0VoOX2kSb0qIix2mTUo8/edit?usp=sharing"",""ตาก!J542"")"),0)</f>
        <v>0</v>
      </c>
      <c r="AF17" s="186">
        <f t="shared" ca="1" si="30"/>
        <v>0</v>
      </c>
    </row>
    <row r="18" spans="1:32" ht="24" customHeight="1" x14ac:dyDescent="0.3">
      <c r="A18" s="72">
        <v>5</v>
      </c>
      <c r="B18" s="73" t="s">
        <v>35</v>
      </c>
      <c r="C18" s="74">
        <f t="shared" ca="1" si="40"/>
        <v>0</v>
      </c>
      <c r="D18" s="75">
        <f ca="1">IFERROR(__xludf.DUMMYFUNCTION("IMPORTRANGE(""https://docs.google.com/spreadsheets/d/10nSRjK08hx8Y6HgSOQKNw81lyY46Zc7U_Cj72hBMp9U/edit?usp=sharing"",""นครสวรรค์!L528"")"),0)</f>
        <v>0</v>
      </c>
      <c r="E18" s="76">
        <f ca="1">IFERROR(__xludf.DUMMYFUNCTION("IMPORTRANGE(""https://docs.google.com/spreadsheets/d/10nSRjK08hx8Y6HgSOQKNw81lyY46Zc7U_Cj72hBMp9U/edit?usp=sharing"",""นครสวรรค์!L535"")"),0)</f>
        <v>0</v>
      </c>
      <c r="F18" s="77">
        <f t="shared" ca="1" si="1"/>
        <v>0</v>
      </c>
      <c r="G18" s="78">
        <f t="shared" ca="1" si="2"/>
        <v>0</v>
      </c>
      <c r="H18" s="79">
        <f t="shared" ca="1" si="41"/>
        <v>0</v>
      </c>
      <c r="I18" s="76">
        <f ca="1">IFERROR(__xludf.DUMMYFUNCTION("IMPORTRANGE(""https://docs.google.com/spreadsheets/d/10nSRjK08hx8Y6HgSOQKNw81lyY46Zc7U_Cj72hBMp9U/edit?usp=sharing"",""นครสวรรค์!N529"")"),0)</f>
        <v>0</v>
      </c>
      <c r="J18" s="76">
        <f ca="1">IFERROR(__xludf.DUMMYFUNCTION("IMPORTRANGE(""https://docs.google.com/spreadsheets/d/10nSRjK08hx8Y6HgSOQKNw81lyY46Zc7U_Cj72hBMp9U/edit?usp=sharing"",""นครสวรรค์!N530"")"),0)</f>
        <v>0</v>
      </c>
      <c r="K18" s="76">
        <f ca="1">IFERROR(__xludf.DUMMYFUNCTION("IMPORTRANGE(""https://docs.google.com/spreadsheets/d/10nSRjK08hx8Y6HgSOQKNw81lyY46Zc7U_Cj72hBMp9U/edit?usp=sharing"",""นครสวรรค์!N531"")"),0)</f>
        <v>0</v>
      </c>
      <c r="L18" s="76">
        <f ca="1">IFERROR(__xludf.DUMMYFUNCTION("IMPORTRANGE(""https://docs.google.com/spreadsheets/d/10nSRjK08hx8Y6HgSOQKNw81lyY46Zc7U_Cj72hBMp9U/edit?usp=sharing"",""นครสวรรค์!N532"")"),0)</f>
        <v>0</v>
      </c>
      <c r="M18" s="80">
        <f ca="1">IFERROR(__xludf.DUMMYFUNCTION("IMPORTRANGE(""https://docs.google.com/spreadsheets/d/10nSRjK08hx8Y6HgSOQKNw81lyY46Zc7U_Cj72hBMp9U/edit?usp=sharing"",""นครสวรรค์!N535"")"),0)</f>
        <v>0</v>
      </c>
      <c r="N18" s="80">
        <f t="shared" ca="1" si="33"/>
        <v>0</v>
      </c>
      <c r="O18" s="81">
        <f ca="1">IFERROR(__xludf.DUMMYFUNCTION("IMPORTRANGE(""https://docs.google.com/spreadsheets/d/10nSRjK08hx8Y6HgSOQKNw81lyY46Zc7U_Cj72hBMp9U/edit?usp=sharing"",""นครสวรรค์!I537"")"),0)</f>
        <v>0</v>
      </c>
      <c r="P18" s="81">
        <f ca="1">IFERROR(__xludf.DUMMYFUNCTION("IMPORTRANGE(""https://docs.google.com/spreadsheets/d/10nSRjK08hx8Y6HgSOQKNw81lyY46Zc7U_Cj72hBMp9U/edit?usp=sharing"",""นครสวรรค์!J537"")"),0)</f>
        <v>0</v>
      </c>
      <c r="Q18" s="82">
        <f t="shared" ca="1" si="25"/>
        <v>0</v>
      </c>
      <c r="R18" s="81">
        <f ca="1">IFERROR(__xludf.DUMMYFUNCTION("IMPORTRANGE(""https://docs.google.com/spreadsheets/d/10nSRjK08hx8Y6HgSOQKNw81lyY46Zc7U_Cj72hBMp9U/edit?usp=sharing"",""นครสวรรค์!I538"")"),0)</f>
        <v>0</v>
      </c>
      <c r="S18" s="81">
        <f ca="1">IFERROR(__xludf.DUMMYFUNCTION("IMPORTRANGE(""https://docs.google.com/spreadsheets/d/10nSRjK08hx8Y6HgSOQKNw81lyY46Zc7U_Cj72hBMp9U/edit?usp=sharing"",""นครสวรรค์!J538"")"),0)</f>
        <v>0</v>
      </c>
      <c r="T18" s="82">
        <f t="shared" ca="1" si="26"/>
        <v>0</v>
      </c>
      <c r="U18" s="81">
        <f ca="1">IFERROR(__xludf.DUMMYFUNCTION("IMPORTRANGE(""https://docs.google.com/spreadsheets/d/10nSRjK08hx8Y6HgSOQKNw81lyY46Zc7U_Cj72hBMp9U/edit?usp=sharing"",""นครสวรรค์!I539"")"),0)</f>
        <v>0</v>
      </c>
      <c r="V18" s="81">
        <f ca="1">IFERROR(__xludf.DUMMYFUNCTION("IMPORTRANGE(""https://docs.google.com/spreadsheets/d/10nSRjK08hx8Y6HgSOQKNw81lyY46Zc7U_Cj72hBMp9U/edit?usp=sharing"",""นครสวรรค์!J539"")"),0)</f>
        <v>0</v>
      </c>
      <c r="W18" s="82">
        <f t="shared" ca="1" si="27"/>
        <v>0</v>
      </c>
      <c r="X18" s="81">
        <f ca="1">IFERROR(__xludf.DUMMYFUNCTION("IMPORTRANGE(""https://docs.google.com/spreadsheets/d/10nSRjK08hx8Y6HgSOQKNw81lyY46Zc7U_Cj72hBMp9U/edit?usp=sharing"",""นครสวรรค์!I540"")"),0)</f>
        <v>0</v>
      </c>
      <c r="Y18" s="81">
        <f ca="1">IFERROR(__xludf.DUMMYFUNCTION("IMPORTRANGE(""https://docs.google.com/spreadsheets/d/10nSRjK08hx8Y6HgSOQKNw81lyY46Zc7U_Cj72hBMp9U/edit?usp=sharing"",""นครสวรรค์!J540"")"),0)</f>
        <v>0</v>
      </c>
      <c r="Z18" s="82">
        <f t="shared" ca="1" si="28"/>
        <v>0</v>
      </c>
      <c r="AA18" s="234">
        <f ca="1">IFERROR(__xludf.DUMMYFUNCTION("IMPORTRANGE(""https://docs.google.com/spreadsheets/d/10nSRjK08hx8Y6HgSOQKNw81lyY46Zc7U_Cj72hBMp9U/edit?usp=sharing"",""นครสวรรค์!I541"")"),0)</f>
        <v>0</v>
      </c>
      <c r="AB18" s="181">
        <f ca="1">IFERROR(__xludf.DUMMYFUNCTION("IMPORTRANGE(""https://docs.google.com/spreadsheets/d/10nSRjK08hx8Y6HgSOQKNw81lyY46Zc7U_Cj72hBMp9U/edit?usp=sharing"",""นครสวรรค์!J541"")"),0)</f>
        <v>0</v>
      </c>
      <c r="AC18" s="186">
        <f t="shared" ca="1" si="29"/>
        <v>0</v>
      </c>
      <c r="AD18" s="234">
        <f ca="1">IFERROR(__xludf.DUMMYFUNCTION("IMPORTRANGE(""https://docs.google.com/spreadsheets/d/10nSRjK08hx8Y6HgSOQKNw81lyY46Zc7U_Cj72hBMp9U/edit?usp=sharing"",""นครสวรรค์!I542"")"),0)</f>
        <v>0</v>
      </c>
      <c r="AE18" s="181">
        <f ca="1">IFERROR(__xludf.DUMMYFUNCTION("IMPORTRANGE(""https://docs.google.com/spreadsheets/d/10nSRjK08hx8Y6HgSOQKNw81lyY46Zc7U_Cj72hBMp9U/edit?usp=sharing"",""นครสวรรค์!J542"")"),0)</f>
        <v>0</v>
      </c>
      <c r="AF18" s="186">
        <f t="shared" ca="1" si="30"/>
        <v>0</v>
      </c>
    </row>
    <row r="19" spans="1:32" ht="24" customHeight="1" x14ac:dyDescent="0.3">
      <c r="A19" s="72">
        <v>6</v>
      </c>
      <c r="B19" s="73" t="s">
        <v>36</v>
      </c>
      <c r="C19" s="74">
        <f t="shared" ca="1" si="40"/>
        <v>0</v>
      </c>
      <c r="D19" s="75">
        <f ca="1">IFERROR(__xludf.DUMMYFUNCTION("IMPORTRANGE(""https://docs.google.com/spreadsheets/d/1gFVb7qd7amutrIxAAoM7lcy35hllxznovot8lyOfvDo/edit?usp=sharing"",""น่าน!L528"")"),0)</f>
        <v>0</v>
      </c>
      <c r="E19" s="76">
        <f ca="1">IFERROR(__xludf.DUMMYFUNCTION("IMPORTRANGE(""https://docs.google.com/spreadsheets/d/1gFVb7qd7amutrIxAAoM7lcy35hllxznovot8lyOfvDo/edit?usp=sharing"",""น่าน!L535"")"),0)</f>
        <v>0</v>
      </c>
      <c r="F19" s="77">
        <f t="shared" ca="1" si="1"/>
        <v>0</v>
      </c>
      <c r="G19" s="78">
        <f t="shared" ca="1" si="2"/>
        <v>0</v>
      </c>
      <c r="H19" s="79">
        <f t="shared" ca="1" si="41"/>
        <v>0</v>
      </c>
      <c r="I19" s="76">
        <f ca="1">IFERROR(__xludf.DUMMYFUNCTION("IMPORTRANGE(""https://docs.google.com/spreadsheets/d/1gFVb7qd7amutrIxAAoM7lcy35hllxznovot8lyOfvDo/edit?usp=sharing"",""น่าน!N529"")"),0)</f>
        <v>0</v>
      </c>
      <c r="J19" s="76">
        <f ca="1">IFERROR(__xludf.DUMMYFUNCTION("IMPORTRANGE(""https://docs.google.com/spreadsheets/d/1gFVb7qd7amutrIxAAoM7lcy35hllxznovot8lyOfvDo/edit?usp=sharing"",""น่าน!N530"")"),0)</f>
        <v>0</v>
      </c>
      <c r="K19" s="76">
        <f ca="1">IFERROR(__xludf.DUMMYFUNCTION("IMPORTRANGE(""https://docs.google.com/spreadsheets/d/1gFVb7qd7amutrIxAAoM7lcy35hllxznovot8lyOfvDo/edit?usp=sharing"",""น่าน!N531"")"),0)</f>
        <v>0</v>
      </c>
      <c r="L19" s="76">
        <f ca="1">IFERROR(__xludf.DUMMYFUNCTION("IMPORTRANGE(""https://docs.google.com/spreadsheets/d/1gFVb7qd7amutrIxAAoM7lcy35hllxznovot8lyOfvDo/edit?usp=sharing"",""น่าน!N532"")"),0)</f>
        <v>0</v>
      </c>
      <c r="M19" s="80">
        <f ca="1">IFERROR(__xludf.DUMMYFUNCTION("IMPORTRANGE(""https://docs.google.com/spreadsheets/d/1gFVb7qd7amutrIxAAoM7lcy35hllxznovot8lyOfvDo/edit?usp=sharing"",""น่าน!N535"")"),0)</f>
        <v>0</v>
      </c>
      <c r="N19" s="80">
        <f t="shared" ca="1" si="33"/>
        <v>0</v>
      </c>
      <c r="O19" s="81">
        <f ca="1">IFERROR(__xludf.DUMMYFUNCTION("IMPORTRANGE(""https://docs.google.com/spreadsheets/d/1gFVb7qd7amutrIxAAoM7lcy35hllxznovot8lyOfvDo/edit?usp=sharing"",""น่าน!I537"")"),0)</f>
        <v>0</v>
      </c>
      <c r="P19" s="81">
        <f ca="1">IFERROR(__xludf.DUMMYFUNCTION("IMPORTRANGE(""https://docs.google.com/spreadsheets/d/1gFVb7qd7amutrIxAAoM7lcy35hllxznovot8lyOfvDo/edit?usp=sharing"",""น่าน!J537"")"),0)</f>
        <v>0</v>
      </c>
      <c r="Q19" s="82">
        <f t="shared" ca="1" si="25"/>
        <v>0</v>
      </c>
      <c r="R19" s="81">
        <f ca="1">IFERROR(__xludf.DUMMYFUNCTION("IMPORTRANGE(""https://docs.google.com/spreadsheets/d/1gFVb7qd7amutrIxAAoM7lcy35hllxznovot8lyOfvDo/edit?usp=sharing"",""น่าน!I538"")"),0)</f>
        <v>0</v>
      </c>
      <c r="S19" s="81">
        <f ca="1">IFERROR(__xludf.DUMMYFUNCTION("IMPORTRANGE(""https://docs.google.com/spreadsheets/d/1gFVb7qd7amutrIxAAoM7lcy35hllxznovot8lyOfvDo/edit?usp=sharing"",""น่าน!J538"")"),0)</f>
        <v>0</v>
      </c>
      <c r="T19" s="82">
        <f t="shared" ca="1" si="26"/>
        <v>0</v>
      </c>
      <c r="U19" s="81">
        <f ca="1">IFERROR(__xludf.DUMMYFUNCTION("IMPORTRANGE(""https://docs.google.com/spreadsheets/d/1gFVb7qd7amutrIxAAoM7lcy35hllxznovot8lyOfvDo/edit?usp=sharing"",""น่าน!I539"")"),0)</f>
        <v>0</v>
      </c>
      <c r="V19" s="81">
        <f ca="1">IFERROR(__xludf.DUMMYFUNCTION("IMPORTRANGE(""https://docs.google.com/spreadsheets/d/1gFVb7qd7amutrIxAAoM7lcy35hllxznovot8lyOfvDo/edit?usp=sharing"",""น่าน!J539"")"),0)</f>
        <v>0</v>
      </c>
      <c r="W19" s="82">
        <f t="shared" ca="1" si="27"/>
        <v>0</v>
      </c>
      <c r="X19" s="81">
        <f ca="1">IFERROR(__xludf.DUMMYFUNCTION("IMPORTRANGE(""https://docs.google.com/spreadsheets/d/1gFVb7qd7amutrIxAAoM7lcy35hllxznovot8lyOfvDo/edit?usp=sharing"",""น่าน!I540"")"),0)</f>
        <v>0</v>
      </c>
      <c r="Y19" s="81">
        <f ca="1">IFERROR(__xludf.DUMMYFUNCTION("IMPORTRANGE(""https://docs.google.com/spreadsheets/d/1gFVb7qd7amutrIxAAoM7lcy35hllxznovot8lyOfvDo/edit?usp=sharing"",""น่าน!J540"")"),0)</f>
        <v>0</v>
      </c>
      <c r="Z19" s="82">
        <f t="shared" ca="1" si="28"/>
        <v>0</v>
      </c>
      <c r="AA19" s="234">
        <f ca="1">IFERROR(__xludf.DUMMYFUNCTION("IMPORTRANGE(""https://docs.google.com/spreadsheets/d/1gFVb7qd7amutrIxAAoM7lcy35hllxznovot8lyOfvDo/edit?usp=sharing"",""น่าน!I541"")"),0)</f>
        <v>0</v>
      </c>
      <c r="AB19" s="181">
        <f ca="1">IFERROR(__xludf.DUMMYFUNCTION("IMPORTRANGE(""https://docs.google.com/spreadsheets/d/1gFVb7qd7amutrIxAAoM7lcy35hllxznovot8lyOfvDo/edit?usp=sharing"",""น่าน!J541"")"),0)</f>
        <v>0</v>
      </c>
      <c r="AC19" s="186">
        <f t="shared" ca="1" si="29"/>
        <v>0</v>
      </c>
      <c r="AD19" s="234">
        <f ca="1">IFERROR(__xludf.DUMMYFUNCTION("IMPORTRANGE(""https://docs.google.com/spreadsheets/d/1gFVb7qd7amutrIxAAoM7lcy35hllxznovot8lyOfvDo/edit?usp=sharing"",""น่าน!I542"")"),0)</f>
        <v>0</v>
      </c>
      <c r="AE19" s="181">
        <f ca="1">IFERROR(__xludf.DUMMYFUNCTION("IMPORTRANGE(""https://docs.google.com/spreadsheets/d/1gFVb7qd7amutrIxAAoM7lcy35hllxznovot8lyOfvDo/edit?usp=sharing"",""น่าน!J542"")"),0)</f>
        <v>0</v>
      </c>
      <c r="AF19" s="186">
        <f t="shared" ca="1" si="30"/>
        <v>0</v>
      </c>
    </row>
    <row r="20" spans="1:32" ht="24" customHeight="1" x14ac:dyDescent="0.3">
      <c r="A20" s="72">
        <v>7</v>
      </c>
      <c r="B20" s="73" t="s">
        <v>37</v>
      </c>
      <c r="C20" s="74">
        <f t="shared" ca="1" si="40"/>
        <v>0</v>
      </c>
      <c r="D20" s="75">
        <f ca="1">IFERROR(__xludf.DUMMYFUNCTION("IMPORTRANGE(""https://docs.google.com/spreadsheets/d/1K0Aa9s-6EuHE5M0FG1F9aHLXRCOV917xvycTdLdct0w/edit?usp=sharing"",""พะเยา!L528"")"),0)</f>
        <v>0</v>
      </c>
      <c r="E20" s="76">
        <f ca="1">IFERROR(__xludf.DUMMYFUNCTION("IMPORTRANGE(""https://docs.google.com/spreadsheets/d/1K0Aa9s-6EuHE5M0FG1F9aHLXRCOV917xvycTdLdct0w/edit?usp=sharing"",""พะเยา!L535"")"),0)</f>
        <v>0</v>
      </c>
      <c r="F20" s="77">
        <f t="shared" ca="1" si="1"/>
        <v>0</v>
      </c>
      <c r="G20" s="78">
        <f t="shared" ca="1" si="2"/>
        <v>0</v>
      </c>
      <c r="H20" s="79">
        <f t="shared" ca="1" si="41"/>
        <v>0</v>
      </c>
      <c r="I20" s="76">
        <f ca="1">IFERROR(__xludf.DUMMYFUNCTION("IMPORTRANGE(""https://docs.google.com/spreadsheets/d/1K0Aa9s-6EuHE5M0FG1F9aHLXRCOV917xvycTdLdct0w/edit?usp=sharing"",""พะเยา!N529"")"),0)</f>
        <v>0</v>
      </c>
      <c r="J20" s="76">
        <f ca="1">IFERROR(__xludf.DUMMYFUNCTION("IMPORTRANGE(""https://docs.google.com/spreadsheets/d/1K0Aa9s-6EuHE5M0FG1F9aHLXRCOV917xvycTdLdct0w/edit?usp=sharing"",""พะเยา!N530"")"),0)</f>
        <v>0</v>
      </c>
      <c r="K20" s="76">
        <f ca="1">IFERROR(__xludf.DUMMYFUNCTION("IMPORTRANGE(""https://docs.google.com/spreadsheets/d/1K0Aa9s-6EuHE5M0FG1F9aHLXRCOV917xvycTdLdct0w/edit?usp=sharing"",""พะเยา!N531"")"),0)</f>
        <v>0</v>
      </c>
      <c r="L20" s="76">
        <f ca="1">IFERROR(__xludf.DUMMYFUNCTION("IMPORTRANGE(""https://docs.google.com/spreadsheets/d/1K0Aa9s-6EuHE5M0FG1F9aHLXRCOV917xvycTdLdct0w/edit?usp=sharing"",""พะเยา!N532"")"),0)</f>
        <v>0</v>
      </c>
      <c r="M20" s="80">
        <f ca="1">IFERROR(__xludf.DUMMYFUNCTION("IMPORTRANGE(""https://docs.google.com/spreadsheets/d/1K0Aa9s-6EuHE5M0FG1F9aHLXRCOV917xvycTdLdct0w/edit?usp=sharing"",""พะเยา!N535"")"),0)</f>
        <v>0</v>
      </c>
      <c r="N20" s="80">
        <f t="shared" ca="1" si="33"/>
        <v>0</v>
      </c>
      <c r="O20" s="81">
        <f ca="1">IFERROR(__xludf.DUMMYFUNCTION("IMPORTRANGE(""https://docs.google.com/spreadsheets/d/1K0Aa9s-6EuHE5M0FG1F9aHLXRCOV917xvycTdLdct0w/edit?usp=sharing"",""พะเยา!I537"")"),0)</f>
        <v>0</v>
      </c>
      <c r="P20" s="81">
        <f ca="1">IFERROR(__xludf.DUMMYFUNCTION("IMPORTRANGE(""https://docs.google.com/spreadsheets/d/1K0Aa9s-6EuHE5M0FG1F9aHLXRCOV917xvycTdLdct0w/edit?usp=sharing"",""พะเยา!J537"")"),0)</f>
        <v>0</v>
      </c>
      <c r="Q20" s="82">
        <f t="shared" ca="1" si="25"/>
        <v>0</v>
      </c>
      <c r="R20" s="81">
        <f ca="1">IFERROR(__xludf.DUMMYFUNCTION("IMPORTRANGE(""https://docs.google.com/spreadsheets/d/1K0Aa9s-6EuHE5M0FG1F9aHLXRCOV917xvycTdLdct0w/edit?usp=sharing"",""พะเยา!I538"")"),0)</f>
        <v>0</v>
      </c>
      <c r="S20" s="81">
        <f ca="1">IFERROR(__xludf.DUMMYFUNCTION("IMPORTRANGE(""https://docs.google.com/spreadsheets/d/1K0Aa9s-6EuHE5M0FG1F9aHLXRCOV917xvycTdLdct0w/edit?usp=sharing"",""พะเยา!J538"")"),0)</f>
        <v>0</v>
      </c>
      <c r="T20" s="82">
        <f t="shared" ca="1" si="26"/>
        <v>0</v>
      </c>
      <c r="U20" s="81">
        <f ca="1">IFERROR(__xludf.DUMMYFUNCTION("IMPORTRANGE(""https://docs.google.com/spreadsheets/d/1K0Aa9s-6EuHE5M0FG1F9aHLXRCOV917xvycTdLdct0w/edit?usp=sharing"",""พะเยา!I539"")"),0)</f>
        <v>0</v>
      </c>
      <c r="V20" s="81">
        <f ca="1">IFERROR(__xludf.DUMMYFUNCTION("IMPORTRANGE(""https://docs.google.com/spreadsheets/d/1K0Aa9s-6EuHE5M0FG1F9aHLXRCOV917xvycTdLdct0w/edit?usp=sharing"",""พะเยา!J539"")"),0)</f>
        <v>0</v>
      </c>
      <c r="W20" s="82">
        <f t="shared" ca="1" si="27"/>
        <v>0</v>
      </c>
      <c r="X20" s="81">
        <f ca="1">IFERROR(__xludf.DUMMYFUNCTION("IMPORTRANGE(""https://docs.google.com/spreadsheets/d/1K0Aa9s-6EuHE5M0FG1F9aHLXRCOV917xvycTdLdct0w/edit?usp=sharing"",""พะเยา!I540"")"),0)</f>
        <v>0</v>
      </c>
      <c r="Y20" s="81">
        <f ca="1">IFERROR(__xludf.DUMMYFUNCTION("IMPORTRANGE(""https://docs.google.com/spreadsheets/d/1K0Aa9s-6EuHE5M0FG1F9aHLXRCOV917xvycTdLdct0w/edit?usp=sharing"",""พะเยา!J540"")"),0)</f>
        <v>0</v>
      </c>
      <c r="Z20" s="82">
        <f t="shared" ca="1" si="28"/>
        <v>0</v>
      </c>
      <c r="AA20" s="234">
        <f ca="1">IFERROR(__xludf.DUMMYFUNCTION("IMPORTRANGE(""https://docs.google.com/spreadsheets/d/1K0Aa9s-6EuHE5M0FG1F9aHLXRCOV917xvycTdLdct0w/edit?usp=sharing"",""พะเยา!I541"")"),0)</f>
        <v>0</v>
      </c>
      <c r="AB20" s="181">
        <f ca="1">IFERROR(__xludf.DUMMYFUNCTION("IMPORTRANGE(""https://docs.google.com/spreadsheets/d/1K0Aa9s-6EuHE5M0FG1F9aHLXRCOV917xvycTdLdct0w/edit?usp=sharing"",""พะเยา!J541"")"),0)</f>
        <v>0</v>
      </c>
      <c r="AC20" s="186">
        <f t="shared" ca="1" si="29"/>
        <v>0</v>
      </c>
      <c r="AD20" s="234">
        <f ca="1">IFERROR(__xludf.DUMMYFUNCTION("IMPORTRANGE(""https://docs.google.com/spreadsheets/d/1K0Aa9s-6EuHE5M0FG1F9aHLXRCOV917xvycTdLdct0w/edit?usp=sharing"",""พะเยา!I542"")"),0)</f>
        <v>0</v>
      </c>
      <c r="AE20" s="181">
        <f ca="1">IFERROR(__xludf.DUMMYFUNCTION("IMPORTRANGE(""https://docs.google.com/spreadsheets/d/1K0Aa9s-6EuHE5M0FG1F9aHLXRCOV917xvycTdLdct0w/edit?usp=sharing"",""พะเยา!J542"")"),0)</f>
        <v>0</v>
      </c>
      <c r="AF20" s="186">
        <f t="shared" ca="1" si="30"/>
        <v>0</v>
      </c>
    </row>
    <row r="21" spans="1:32" ht="24" customHeight="1" x14ac:dyDescent="0.3">
      <c r="A21" s="72">
        <v>8</v>
      </c>
      <c r="B21" s="73" t="s">
        <v>38</v>
      </c>
      <c r="C21" s="74">
        <f t="shared" ca="1" si="40"/>
        <v>0</v>
      </c>
      <c r="D21" s="75">
        <f ca="1">IFERROR(__xludf.DUMMYFUNCTION("IMPORTRANGE(""https://docs.google.com/spreadsheets/d/1Y9LPKx95PyL5OKy09d-KbKJSuuEZCFdkhYjwC0XQjBA/edit?usp=sharing"",""พิจิตร!L528"")"),0)</f>
        <v>0</v>
      </c>
      <c r="E21" s="76">
        <f ca="1">IFERROR(__xludf.DUMMYFUNCTION("IMPORTRANGE(""https://docs.google.com/spreadsheets/d/1Y9LPKx95PyL5OKy09d-KbKJSuuEZCFdkhYjwC0XQjBA/edit?usp=sharing"",""พิจิตร!L535"")"),0)</f>
        <v>0</v>
      </c>
      <c r="F21" s="77">
        <f t="shared" ca="1" si="1"/>
        <v>0</v>
      </c>
      <c r="G21" s="78">
        <f t="shared" ca="1" si="2"/>
        <v>0</v>
      </c>
      <c r="H21" s="79">
        <f t="shared" ca="1" si="41"/>
        <v>0</v>
      </c>
      <c r="I21" s="76">
        <f ca="1">IFERROR(__xludf.DUMMYFUNCTION("IMPORTRANGE(""https://docs.google.com/spreadsheets/d/1Y9LPKx95PyL5OKy09d-KbKJSuuEZCFdkhYjwC0XQjBA/edit?usp=sharing"",""พิจิตร!N529"")"),0)</f>
        <v>0</v>
      </c>
      <c r="J21" s="76">
        <f ca="1">IFERROR(__xludf.DUMMYFUNCTION("IMPORTRANGE(""https://docs.google.com/spreadsheets/d/1Y9LPKx95PyL5OKy09d-KbKJSuuEZCFdkhYjwC0XQjBA/edit?usp=sharing"",""พิจิตร!N530"")"),0)</f>
        <v>0</v>
      </c>
      <c r="K21" s="76">
        <f ca="1">IFERROR(__xludf.DUMMYFUNCTION("IMPORTRANGE(""https://docs.google.com/spreadsheets/d/1Y9LPKx95PyL5OKy09d-KbKJSuuEZCFdkhYjwC0XQjBA/edit?usp=sharing"",""พิจิตร!N531"")"),0)</f>
        <v>0</v>
      </c>
      <c r="L21" s="76">
        <f ca="1">IFERROR(__xludf.DUMMYFUNCTION("IMPORTRANGE(""https://docs.google.com/spreadsheets/d/1Y9LPKx95PyL5OKy09d-KbKJSuuEZCFdkhYjwC0XQjBA/edit?usp=sharing"",""พิจิตร!N532"")"),0)</f>
        <v>0</v>
      </c>
      <c r="M21" s="80">
        <f ca="1">IFERROR(__xludf.DUMMYFUNCTION("IMPORTRANGE(""https://docs.google.com/spreadsheets/d/1Y9LPKx95PyL5OKy09d-KbKJSuuEZCFdkhYjwC0XQjBA/edit?usp=sharing"",""พิจิตร!N535"")"),0)</f>
        <v>0</v>
      </c>
      <c r="N21" s="80">
        <f t="shared" ca="1" si="33"/>
        <v>0</v>
      </c>
      <c r="O21" s="81">
        <f ca="1">IFERROR(__xludf.DUMMYFUNCTION("IMPORTRANGE(""https://docs.google.com/spreadsheets/d/1Y9LPKx95PyL5OKy09d-KbKJSuuEZCFdkhYjwC0XQjBA/edit?usp=sharing"",""พิจิตร!I537"")"),0)</f>
        <v>0</v>
      </c>
      <c r="P21" s="81">
        <f ca="1">IFERROR(__xludf.DUMMYFUNCTION("IMPORTRANGE(""https://docs.google.com/spreadsheets/d/1Y9LPKx95PyL5OKy09d-KbKJSuuEZCFdkhYjwC0XQjBA/edit?usp=sharing"",""พิจิตร!J537"")"),0)</f>
        <v>0</v>
      </c>
      <c r="Q21" s="82">
        <f t="shared" ca="1" si="25"/>
        <v>0</v>
      </c>
      <c r="R21" s="81">
        <f ca="1">IFERROR(__xludf.DUMMYFUNCTION("IMPORTRANGE(""https://docs.google.com/spreadsheets/d/1Y9LPKx95PyL5OKy09d-KbKJSuuEZCFdkhYjwC0XQjBA/edit?usp=sharing"",""พิจิตร!I538"")"),0)</f>
        <v>0</v>
      </c>
      <c r="S21" s="81">
        <f ca="1">IFERROR(__xludf.DUMMYFUNCTION("IMPORTRANGE(""https://docs.google.com/spreadsheets/d/1Y9LPKx95PyL5OKy09d-KbKJSuuEZCFdkhYjwC0XQjBA/edit?usp=sharing"",""พิจิตร!J538"")"),0)</f>
        <v>0</v>
      </c>
      <c r="T21" s="82">
        <f t="shared" ca="1" si="26"/>
        <v>0</v>
      </c>
      <c r="U21" s="81">
        <f ca="1">IFERROR(__xludf.DUMMYFUNCTION("IMPORTRANGE(""https://docs.google.com/spreadsheets/d/1Y9LPKx95PyL5OKy09d-KbKJSuuEZCFdkhYjwC0XQjBA/edit?usp=sharing"",""พิจิตร!I539"")"),0)</f>
        <v>0</v>
      </c>
      <c r="V21" s="81">
        <f ca="1">IFERROR(__xludf.DUMMYFUNCTION("IMPORTRANGE(""https://docs.google.com/spreadsheets/d/1Y9LPKx95PyL5OKy09d-KbKJSuuEZCFdkhYjwC0XQjBA/edit?usp=sharing"",""พิจิตร!J539"")"),0)</f>
        <v>0</v>
      </c>
      <c r="W21" s="82">
        <f t="shared" ca="1" si="27"/>
        <v>0</v>
      </c>
      <c r="X21" s="81">
        <f ca="1">IFERROR(__xludf.DUMMYFUNCTION("IMPORTRANGE(""https://docs.google.com/spreadsheets/d/1Y9LPKx95PyL5OKy09d-KbKJSuuEZCFdkhYjwC0XQjBA/edit?usp=sharing"",""พิจิตร!I540"")"),0)</f>
        <v>0</v>
      </c>
      <c r="Y21" s="81">
        <f ca="1">IFERROR(__xludf.DUMMYFUNCTION("IMPORTRANGE(""https://docs.google.com/spreadsheets/d/1Y9LPKx95PyL5OKy09d-KbKJSuuEZCFdkhYjwC0XQjBA/edit?usp=sharing"",""พิจิตร!J540"")"),0)</f>
        <v>0</v>
      </c>
      <c r="Z21" s="82">
        <f t="shared" ca="1" si="28"/>
        <v>0</v>
      </c>
      <c r="AA21" s="234">
        <f ca="1">IFERROR(__xludf.DUMMYFUNCTION("IMPORTRANGE(""https://docs.google.com/spreadsheets/d/1Y9LPKx95PyL5OKy09d-KbKJSuuEZCFdkhYjwC0XQjBA/edit?usp=sharing"",""พิจิตร!I541"")"),0)</f>
        <v>0</v>
      </c>
      <c r="AB21" s="181">
        <f ca="1">IFERROR(__xludf.DUMMYFUNCTION("IMPORTRANGE(""https://docs.google.com/spreadsheets/d/1Y9LPKx95PyL5OKy09d-KbKJSuuEZCFdkhYjwC0XQjBA/edit?usp=sharing"",""พิจิตร!J541"")"),0)</f>
        <v>0</v>
      </c>
      <c r="AC21" s="186">
        <f t="shared" ca="1" si="29"/>
        <v>0</v>
      </c>
      <c r="AD21" s="234">
        <f ca="1">IFERROR(__xludf.DUMMYFUNCTION("IMPORTRANGE(""https://docs.google.com/spreadsheets/d/1Y9LPKx95PyL5OKy09d-KbKJSuuEZCFdkhYjwC0XQjBA/edit?usp=sharing"",""พิจิตร!I542"")"),0)</f>
        <v>0</v>
      </c>
      <c r="AE21" s="181">
        <f ca="1">IFERROR(__xludf.DUMMYFUNCTION("IMPORTRANGE(""https://docs.google.com/spreadsheets/d/1Y9LPKx95PyL5OKy09d-KbKJSuuEZCFdkhYjwC0XQjBA/edit?usp=sharing"",""พิจิตร!J542"")"),0)</f>
        <v>0</v>
      </c>
      <c r="AF21" s="186">
        <f t="shared" ca="1" si="30"/>
        <v>0</v>
      </c>
    </row>
    <row r="22" spans="1:32" ht="24" customHeight="1" x14ac:dyDescent="0.3">
      <c r="A22" s="72">
        <v>9</v>
      </c>
      <c r="B22" s="73" t="s">
        <v>39</v>
      </c>
      <c r="C22" s="74">
        <f t="shared" ca="1" si="40"/>
        <v>0</v>
      </c>
      <c r="D22" s="75">
        <f ca="1">IFERROR(__xludf.DUMMYFUNCTION("IMPORTRANGE(""https://docs.google.com/spreadsheets/d/16OMuOwy2eVqZcYWOouQtTpa8X1L23h4660uVHc0C8os/edit?usp=sharing"",""พิษณุโลก!L528"")"),0)</f>
        <v>0</v>
      </c>
      <c r="E22" s="76">
        <f ca="1">IFERROR(__xludf.DUMMYFUNCTION("IMPORTRANGE(""https://docs.google.com/spreadsheets/d/16OMuOwy2eVqZcYWOouQtTpa8X1L23h4660uVHc0C8os/edit?usp=sharing"",""พิษณุโลก!L535"")"),0)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41"/>
        <v>0</v>
      </c>
      <c r="I22" s="76">
        <f ca="1">IFERROR(__xludf.DUMMYFUNCTION("IMPORTRANGE(""https://docs.google.com/spreadsheets/d/16OMuOwy2eVqZcYWOouQtTpa8X1L23h4660uVHc0C8os/edit?usp=sharing"",""พิษณุโลก!N529"")"),0)</f>
        <v>0</v>
      </c>
      <c r="J22" s="76">
        <f ca="1">IFERROR(__xludf.DUMMYFUNCTION("IMPORTRANGE(""https://docs.google.com/spreadsheets/d/16OMuOwy2eVqZcYWOouQtTpa8X1L23h4660uVHc0C8os/edit?usp=sharing"",""พิษณุโลก!N530"")"),0)</f>
        <v>0</v>
      </c>
      <c r="K22" s="76">
        <f ca="1">IFERROR(__xludf.DUMMYFUNCTION("IMPORTRANGE(""https://docs.google.com/spreadsheets/d/16OMuOwy2eVqZcYWOouQtTpa8X1L23h4660uVHc0C8os/edit?usp=sharing"",""พิษณุโลก!N531"")"),0)</f>
        <v>0</v>
      </c>
      <c r="L22" s="76">
        <f ca="1">IFERROR(__xludf.DUMMYFUNCTION("IMPORTRANGE(""https://docs.google.com/spreadsheets/d/16OMuOwy2eVqZcYWOouQtTpa8X1L23h4660uVHc0C8os/edit?usp=sharing"",""พิษณุโลก!N532"")"),0)</f>
        <v>0</v>
      </c>
      <c r="M22" s="80">
        <f ca="1">IFERROR(__xludf.DUMMYFUNCTION("IMPORTRANGE(""https://docs.google.com/spreadsheets/d/16OMuOwy2eVqZcYWOouQtTpa8X1L23h4660uVHc0C8os/edit?usp=sharing"",""พิษณุโลก!N535"")"),0)</f>
        <v>0</v>
      </c>
      <c r="N22" s="80">
        <f t="shared" ca="1" si="33"/>
        <v>0</v>
      </c>
      <c r="O22" s="81">
        <f ca="1">IFERROR(__xludf.DUMMYFUNCTION("IMPORTRANGE(""https://docs.google.com/spreadsheets/d/16OMuOwy2eVqZcYWOouQtTpa8X1L23h4660uVHc0C8os/edit?usp=sharing"",""พิษณุโลก!I537"")"),0)</f>
        <v>0</v>
      </c>
      <c r="P22" s="81">
        <f ca="1">IFERROR(__xludf.DUMMYFUNCTION("IMPORTRANGE(""https://docs.google.com/spreadsheets/d/16OMuOwy2eVqZcYWOouQtTpa8X1L23h4660uVHc0C8os/edit?usp=sharing"",""พิษณุโลก!J537"")"),0)</f>
        <v>0</v>
      </c>
      <c r="Q22" s="82">
        <f t="shared" ca="1" si="25"/>
        <v>0</v>
      </c>
      <c r="R22" s="81">
        <f ca="1">IFERROR(__xludf.DUMMYFUNCTION("IMPORTRANGE(""https://docs.google.com/spreadsheets/d/16OMuOwy2eVqZcYWOouQtTpa8X1L23h4660uVHc0C8os/edit?usp=sharing"",""พิษณุโลก!I538"")"),0)</f>
        <v>0</v>
      </c>
      <c r="S22" s="81">
        <f ca="1">IFERROR(__xludf.DUMMYFUNCTION("IMPORTRANGE(""https://docs.google.com/spreadsheets/d/16OMuOwy2eVqZcYWOouQtTpa8X1L23h4660uVHc0C8os/edit?usp=sharing"",""พิษณุโลก!J538"")"),0)</f>
        <v>0</v>
      </c>
      <c r="T22" s="82">
        <f t="shared" ca="1" si="26"/>
        <v>0</v>
      </c>
      <c r="U22" s="81">
        <f ca="1">IFERROR(__xludf.DUMMYFUNCTION("IMPORTRANGE(""https://docs.google.com/spreadsheets/d/16OMuOwy2eVqZcYWOouQtTpa8X1L23h4660uVHc0C8os/edit?usp=sharing"",""พิษณุโลก!I539"")"),0)</f>
        <v>0</v>
      </c>
      <c r="V22" s="81">
        <f ca="1">IFERROR(__xludf.DUMMYFUNCTION("IMPORTRANGE(""https://docs.google.com/spreadsheets/d/16OMuOwy2eVqZcYWOouQtTpa8X1L23h4660uVHc0C8os/edit?usp=sharing"",""พิษณุโลก!J539"")"),0)</f>
        <v>0</v>
      </c>
      <c r="W22" s="82">
        <f t="shared" ca="1" si="27"/>
        <v>0</v>
      </c>
      <c r="X22" s="81">
        <f ca="1">IFERROR(__xludf.DUMMYFUNCTION("IMPORTRANGE(""https://docs.google.com/spreadsheets/d/16OMuOwy2eVqZcYWOouQtTpa8X1L23h4660uVHc0C8os/edit?usp=sharing"",""พิษณุโลก!I540"")"),0)</f>
        <v>0</v>
      </c>
      <c r="Y22" s="81">
        <f ca="1">IFERROR(__xludf.DUMMYFUNCTION("IMPORTRANGE(""https://docs.google.com/spreadsheets/d/16OMuOwy2eVqZcYWOouQtTpa8X1L23h4660uVHc0C8os/edit?usp=sharing"",""พิษณุโลก!J540"")"),0)</f>
        <v>0</v>
      </c>
      <c r="Z22" s="82">
        <f t="shared" ca="1" si="28"/>
        <v>0</v>
      </c>
      <c r="AA22" s="234">
        <f ca="1">IFERROR(__xludf.DUMMYFUNCTION("IMPORTRANGE(""https://docs.google.com/spreadsheets/d/16OMuOwy2eVqZcYWOouQtTpa8X1L23h4660uVHc0C8os/edit?usp=sharing"",""พิษณุโลก!I541"")"),0)</f>
        <v>0</v>
      </c>
      <c r="AB22" s="181">
        <f ca="1">IFERROR(__xludf.DUMMYFUNCTION("IMPORTRANGE(""https://docs.google.com/spreadsheets/d/16OMuOwy2eVqZcYWOouQtTpa8X1L23h4660uVHc0C8os/edit?usp=sharing"",""พิษณุโลก!J541"")"),0)</f>
        <v>0</v>
      </c>
      <c r="AC22" s="186">
        <f t="shared" ca="1" si="29"/>
        <v>0</v>
      </c>
      <c r="AD22" s="234">
        <f ca="1">IFERROR(__xludf.DUMMYFUNCTION("IMPORTRANGE(""https://docs.google.com/spreadsheets/d/16OMuOwy2eVqZcYWOouQtTpa8X1L23h4660uVHc0C8os/edit?usp=sharing"",""พิษณุโลก!I542"")"),0)</f>
        <v>0</v>
      </c>
      <c r="AE22" s="181">
        <f ca="1">IFERROR(__xludf.DUMMYFUNCTION("IMPORTRANGE(""https://docs.google.com/spreadsheets/d/16OMuOwy2eVqZcYWOouQtTpa8X1L23h4660uVHc0C8os/edit?usp=sharing"",""พิษณุโลก!J542"")"),0)</f>
        <v>0</v>
      </c>
      <c r="AF22" s="186">
        <f t="shared" ca="1" si="30"/>
        <v>0</v>
      </c>
    </row>
    <row r="23" spans="1:32" ht="24" customHeight="1" x14ac:dyDescent="0.3">
      <c r="A23" s="72">
        <v>10</v>
      </c>
      <c r="B23" s="73" t="s">
        <v>40</v>
      </c>
      <c r="C23" s="74">
        <f t="shared" ca="1" si="40"/>
        <v>0</v>
      </c>
      <c r="D23" s="75">
        <f ca="1">IFERROR(__xludf.DUMMYFUNCTION("IMPORTRANGE(""https://docs.google.com/spreadsheets/d/1GfgTldLG6k77HXaMQzaafODklYuucJZQNs_GAPEfZyY/edit?usp=sharing"",""เพชรบูรณ์!L528"")"),0)</f>
        <v>0</v>
      </c>
      <c r="E23" s="76">
        <f ca="1">IFERROR(__xludf.DUMMYFUNCTION("IMPORTRANGE(""https://docs.google.com/spreadsheets/d/1GfgTldLG6k77HXaMQzaafODklYuucJZQNs_GAPEfZyY/edit?usp=sharing"",""เพชรบูรณ์!L535"")"),0)</f>
        <v>0</v>
      </c>
      <c r="F23" s="77">
        <f t="shared" ca="1" si="1"/>
        <v>0</v>
      </c>
      <c r="G23" s="78">
        <f t="shared" ca="1" si="2"/>
        <v>0</v>
      </c>
      <c r="H23" s="79">
        <f t="shared" ca="1" si="41"/>
        <v>0</v>
      </c>
      <c r="I23" s="76">
        <f ca="1">IFERROR(__xludf.DUMMYFUNCTION("IMPORTRANGE(""https://docs.google.com/spreadsheets/d/1GfgTldLG6k77HXaMQzaafODklYuucJZQNs_GAPEfZyY/edit?usp=sharing"",""เพชรบูรณ์!N529"")"),0)</f>
        <v>0</v>
      </c>
      <c r="J23" s="76">
        <f ca="1">IFERROR(__xludf.DUMMYFUNCTION("IMPORTRANGE(""https://docs.google.com/spreadsheets/d/1GfgTldLG6k77HXaMQzaafODklYuucJZQNs_GAPEfZyY/edit?usp=sharing"",""เพชรบูรณ์!N530"")"),0)</f>
        <v>0</v>
      </c>
      <c r="K23" s="76">
        <f ca="1">IFERROR(__xludf.DUMMYFUNCTION("IMPORTRANGE(""https://docs.google.com/spreadsheets/d/1GfgTldLG6k77HXaMQzaafODklYuucJZQNs_GAPEfZyY/edit?usp=sharing"",""เพชรบูรณ์!N531"")"),0)</f>
        <v>0</v>
      </c>
      <c r="L23" s="76">
        <f ca="1">IFERROR(__xludf.DUMMYFUNCTION("IMPORTRANGE(""https://docs.google.com/spreadsheets/d/1GfgTldLG6k77HXaMQzaafODklYuucJZQNs_GAPEfZyY/edit?usp=sharing"",""เพชรบูรณ์!N532"")"),0)</f>
        <v>0</v>
      </c>
      <c r="M23" s="80">
        <f ca="1">IFERROR(__xludf.DUMMYFUNCTION("IMPORTRANGE(""https://docs.google.com/spreadsheets/d/1GfgTldLG6k77HXaMQzaafODklYuucJZQNs_GAPEfZyY/edit?usp=sharing"",""เพชรบูรณ์!N535"")"),0)</f>
        <v>0</v>
      </c>
      <c r="N23" s="80">
        <f t="shared" ca="1" si="33"/>
        <v>0</v>
      </c>
      <c r="O23" s="81">
        <f ca="1">IFERROR(__xludf.DUMMYFUNCTION("IMPORTRANGE(""https://docs.google.com/spreadsheets/d/1GfgTldLG6k77HXaMQzaafODklYuucJZQNs_GAPEfZyY/edit?usp=sharing"",""เพชรบูรณ์!I537"")"),0)</f>
        <v>0</v>
      </c>
      <c r="P23" s="81">
        <f ca="1">IFERROR(__xludf.DUMMYFUNCTION("IMPORTRANGE(""https://docs.google.com/spreadsheets/d/1GfgTldLG6k77HXaMQzaafODklYuucJZQNs_GAPEfZyY/edit?usp=sharing"",""เพชรบูรณ์!J537"")"),0)</f>
        <v>0</v>
      </c>
      <c r="Q23" s="82">
        <f t="shared" ca="1" si="25"/>
        <v>0</v>
      </c>
      <c r="R23" s="81">
        <f ca="1">IFERROR(__xludf.DUMMYFUNCTION("IMPORTRANGE(""https://docs.google.com/spreadsheets/d/1GfgTldLG6k77HXaMQzaafODklYuucJZQNs_GAPEfZyY/edit?usp=sharing"",""เพชรบูรณ์!I538"")"),0)</f>
        <v>0</v>
      </c>
      <c r="S23" s="81">
        <f ca="1">IFERROR(__xludf.DUMMYFUNCTION("IMPORTRANGE(""https://docs.google.com/spreadsheets/d/1GfgTldLG6k77HXaMQzaafODklYuucJZQNs_GAPEfZyY/edit?usp=sharing"",""เพชรบูรณ์!J538"")"),0)</f>
        <v>0</v>
      </c>
      <c r="T23" s="82">
        <f t="shared" ca="1" si="26"/>
        <v>0</v>
      </c>
      <c r="U23" s="81">
        <f ca="1">IFERROR(__xludf.DUMMYFUNCTION("IMPORTRANGE(""https://docs.google.com/spreadsheets/d/1GfgTldLG6k77HXaMQzaafODklYuucJZQNs_GAPEfZyY/edit?usp=sharing"",""เพชรบูรณ์!I539"")"),0)</f>
        <v>0</v>
      </c>
      <c r="V23" s="81">
        <f ca="1">IFERROR(__xludf.DUMMYFUNCTION("IMPORTRANGE(""https://docs.google.com/spreadsheets/d/1GfgTldLG6k77HXaMQzaafODklYuucJZQNs_GAPEfZyY/edit?usp=sharing"",""เพชรบูรณ์!J539"")"),0)</f>
        <v>0</v>
      </c>
      <c r="W23" s="82">
        <f t="shared" ca="1" si="27"/>
        <v>0</v>
      </c>
      <c r="X23" s="81">
        <f ca="1">IFERROR(__xludf.DUMMYFUNCTION("IMPORTRANGE(""https://docs.google.com/spreadsheets/d/1GfgTldLG6k77HXaMQzaafODklYuucJZQNs_GAPEfZyY/edit?usp=sharing"",""เพชรบูรณ์!I540"")"),0)</f>
        <v>0</v>
      </c>
      <c r="Y23" s="81">
        <f ca="1">IFERROR(__xludf.DUMMYFUNCTION("IMPORTRANGE(""https://docs.google.com/spreadsheets/d/1GfgTldLG6k77HXaMQzaafODklYuucJZQNs_GAPEfZyY/edit?usp=sharing"",""เพชรบูรณ์!J540"")"),0)</f>
        <v>0</v>
      </c>
      <c r="Z23" s="82">
        <f t="shared" ca="1" si="28"/>
        <v>0</v>
      </c>
      <c r="AA23" s="234">
        <f ca="1">IFERROR(__xludf.DUMMYFUNCTION("IMPORTRANGE(""https://docs.google.com/spreadsheets/d/1GfgTldLG6k77HXaMQzaafODklYuucJZQNs_GAPEfZyY/edit?usp=sharing"",""เพชรบูรณ์!I541"")"),0)</f>
        <v>0</v>
      </c>
      <c r="AB23" s="181">
        <f ca="1">IFERROR(__xludf.DUMMYFUNCTION("IMPORTRANGE(""https://docs.google.com/spreadsheets/d/1GfgTldLG6k77HXaMQzaafODklYuucJZQNs_GAPEfZyY/edit?usp=sharing"",""เพชรบูรณ์!J541"")"),0)</f>
        <v>0</v>
      </c>
      <c r="AC23" s="186">
        <f t="shared" ca="1" si="29"/>
        <v>0</v>
      </c>
      <c r="AD23" s="234">
        <f ca="1">IFERROR(__xludf.DUMMYFUNCTION("IMPORTRANGE(""https://docs.google.com/spreadsheets/d/1GfgTldLG6k77HXaMQzaafODklYuucJZQNs_GAPEfZyY/edit?usp=sharing"",""เพชรบูรณ์!I542"")"),0)</f>
        <v>0</v>
      </c>
      <c r="AE23" s="181">
        <f ca="1">IFERROR(__xludf.DUMMYFUNCTION("IMPORTRANGE(""https://docs.google.com/spreadsheets/d/1GfgTldLG6k77HXaMQzaafODklYuucJZQNs_GAPEfZyY/edit?usp=sharing"",""เพชรบูรณ์!J542"")"),0)</f>
        <v>0</v>
      </c>
      <c r="AF23" s="186">
        <f t="shared" ca="1" si="30"/>
        <v>0</v>
      </c>
    </row>
    <row r="24" spans="1:32" ht="24" customHeight="1" x14ac:dyDescent="0.3">
      <c r="A24" s="72">
        <v>11</v>
      </c>
      <c r="B24" s="73" t="s">
        <v>41</v>
      </c>
      <c r="C24" s="74">
        <f t="shared" ca="1" si="40"/>
        <v>0</v>
      </c>
      <c r="D24" s="75">
        <f ca="1">IFERROR(__xludf.DUMMYFUNCTION("IMPORTRANGE(""https://docs.google.com/spreadsheets/d/1gvTMYAnm7v1yG1BKWFtr0DnaTsq59oW9dwWvFgq6hs0/edit?usp=sharing"",""แพร่!L528"")"),0)</f>
        <v>0</v>
      </c>
      <c r="E24" s="76">
        <f ca="1">IFERROR(__xludf.DUMMYFUNCTION("IMPORTRANGE(""https://docs.google.com/spreadsheets/d/1gvTMYAnm7v1yG1BKWFtr0DnaTsq59oW9dwWvFgq6hs0/edit?usp=sharing"",""แพร่!L535"")"),0)</f>
        <v>0</v>
      </c>
      <c r="F24" s="77">
        <f t="shared" ca="1" si="1"/>
        <v>0</v>
      </c>
      <c r="G24" s="78">
        <f t="shared" ca="1" si="2"/>
        <v>0</v>
      </c>
      <c r="H24" s="79">
        <f t="shared" ca="1" si="41"/>
        <v>0</v>
      </c>
      <c r="I24" s="76">
        <f ca="1">IFERROR(__xludf.DUMMYFUNCTION("IMPORTRANGE(""https://docs.google.com/spreadsheets/d/1gvTMYAnm7v1yG1BKWFtr0DnaTsq59oW9dwWvFgq6hs0/edit?usp=sharing"",""แพร่!N529"")"),0)</f>
        <v>0</v>
      </c>
      <c r="J24" s="76">
        <f ca="1">IFERROR(__xludf.DUMMYFUNCTION("IMPORTRANGE(""https://docs.google.com/spreadsheets/d/1gvTMYAnm7v1yG1BKWFtr0DnaTsq59oW9dwWvFgq6hs0/edit?usp=sharing"",""แพร่!N530"")"),0)</f>
        <v>0</v>
      </c>
      <c r="K24" s="76">
        <f ca="1">IFERROR(__xludf.DUMMYFUNCTION("IMPORTRANGE(""https://docs.google.com/spreadsheets/d/1gvTMYAnm7v1yG1BKWFtr0DnaTsq59oW9dwWvFgq6hs0/edit?usp=sharing"",""แพร่!N531"")"),0)</f>
        <v>0</v>
      </c>
      <c r="L24" s="76">
        <f ca="1">IFERROR(__xludf.DUMMYFUNCTION("IMPORTRANGE(""https://docs.google.com/spreadsheets/d/1gvTMYAnm7v1yG1BKWFtr0DnaTsq59oW9dwWvFgq6hs0/edit?usp=sharing"",""แพร่!N532"")"),0)</f>
        <v>0</v>
      </c>
      <c r="M24" s="80">
        <f ca="1">IFERROR(__xludf.DUMMYFUNCTION("IMPORTRANGE(""https://docs.google.com/spreadsheets/d/1gvTMYAnm7v1yG1BKWFtr0DnaTsq59oW9dwWvFgq6hs0/edit?usp=sharing"",""แพร่!N535"")"),0)</f>
        <v>0</v>
      </c>
      <c r="N24" s="80">
        <f t="shared" ca="1" si="33"/>
        <v>0</v>
      </c>
      <c r="O24" s="81">
        <f ca="1">IFERROR(__xludf.DUMMYFUNCTION("IMPORTRANGE(""https://docs.google.com/spreadsheets/d/1gvTMYAnm7v1yG1BKWFtr0DnaTsq59oW9dwWvFgq6hs0/edit?usp=sharing"",""แพร่!I537"")"),0)</f>
        <v>0</v>
      </c>
      <c r="P24" s="81">
        <f ca="1">IFERROR(__xludf.DUMMYFUNCTION("IMPORTRANGE(""https://docs.google.com/spreadsheets/d/1gvTMYAnm7v1yG1BKWFtr0DnaTsq59oW9dwWvFgq6hs0/edit?usp=sharing"",""แพร่!J537"")"),0)</f>
        <v>0</v>
      </c>
      <c r="Q24" s="82">
        <f t="shared" ca="1" si="25"/>
        <v>0</v>
      </c>
      <c r="R24" s="81">
        <f ca="1">IFERROR(__xludf.DUMMYFUNCTION("IMPORTRANGE(""https://docs.google.com/spreadsheets/d/1gvTMYAnm7v1yG1BKWFtr0DnaTsq59oW9dwWvFgq6hs0/edit?usp=sharing"",""แพร่!I538"")"),0)</f>
        <v>0</v>
      </c>
      <c r="S24" s="81">
        <f ca="1">IFERROR(__xludf.DUMMYFUNCTION("IMPORTRANGE(""https://docs.google.com/spreadsheets/d/1gvTMYAnm7v1yG1BKWFtr0DnaTsq59oW9dwWvFgq6hs0/edit?usp=sharing"",""แพร่!J538"")"),0)</f>
        <v>0</v>
      </c>
      <c r="T24" s="82">
        <f t="shared" ca="1" si="26"/>
        <v>0</v>
      </c>
      <c r="U24" s="81">
        <f ca="1">IFERROR(__xludf.DUMMYFUNCTION("IMPORTRANGE(""https://docs.google.com/spreadsheets/d/1gvTMYAnm7v1yG1BKWFtr0DnaTsq59oW9dwWvFgq6hs0/edit?usp=sharing"",""แพร่!I539"")"),0)</f>
        <v>0</v>
      </c>
      <c r="V24" s="81">
        <f ca="1">IFERROR(__xludf.DUMMYFUNCTION("IMPORTRANGE(""https://docs.google.com/spreadsheets/d/1gvTMYAnm7v1yG1BKWFtr0DnaTsq59oW9dwWvFgq6hs0/edit?usp=sharing"",""แพร่!J539"")"),0)</f>
        <v>0</v>
      </c>
      <c r="W24" s="82">
        <f t="shared" ca="1" si="27"/>
        <v>0</v>
      </c>
      <c r="X24" s="81">
        <f ca="1">IFERROR(__xludf.DUMMYFUNCTION("IMPORTRANGE(""https://docs.google.com/spreadsheets/d/1gvTMYAnm7v1yG1BKWFtr0DnaTsq59oW9dwWvFgq6hs0/edit?usp=sharing"",""แพร่!I540"")"),0)</f>
        <v>0</v>
      </c>
      <c r="Y24" s="81">
        <f ca="1">IFERROR(__xludf.DUMMYFUNCTION("IMPORTRANGE(""https://docs.google.com/spreadsheets/d/1gvTMYAnm7v1yG1BKWFtr0DnaTsq59oW9dwWvFgq6hs0/edit?usp=sharing"",""แพร่!J540"")"),0)</f>
        <v>0</v>
      </c>
      <c r="Z24" s="82">
        <f t="shared" ca="1" si="28"/>
        <v>0</v>
      </c>
      <c r="AA24" s="234">
        <f ca="1">IFERROR(__xludf.DUMMYFUNCTION("IMPORTRANGE(""https://docs.google.com/spreadsheets/d/1gvTMYAnm7v1yG1BKWFtr0DnaTsq59oW9dwWvFgq6hs0/edit?usp=sharing"",""แพร่!I541"")"),0)</f>
        <v>0</v>
      </c>
      <c r="AB24" s="181">
        <f ca="1">IFERROR(__xludf.DUMMYFUNCTION("IMPORTRANGE(""https://docs.google.com/spreadsheets/d/1gvTMYAnm7v1yG1BKWFtr0DnaTsq59oW9dwWvFgq6hs0/edit?usp=sharing"",""แพร่!J541"")"),0)</f>
        <v>0</v>
      </c>
      <c r="AC24" s="186">
        <f t="shared" ca="1" si="29"/>
        <v>0</v>
      </c>
      <c r="AD24" s="234">
        <f ca="1">IFERROR(__xludf.DUMMYFUNCTION("IMPORTRANGE(""https://docs.google.com/spreadsheets/d/1gvTMYAnm7v1yG1BKWFtr0DnaTsq59oW9dwWvFgq6hs0/edit?usp=sharing"",""แพร่!I542"")"),0)</f>
        <v>0</v>
      </c>
      <c r="AE24" s="181">
        <f ca="1">IFERROR(__xludf.DUMMYFUNCTION("IMPORTRANGE(""https://docs.google.com/spreadsheets/d/1gvTMYAnm7v1yG1BKWFtr0DnaTsq59oW9dwWvFgq6hs0/edit?usp=sharing"",""แพร่!J542"")"),0)</f>
        <v>0</v>
      </c>
      <c r="AF24" s="186">
        <f t="shared" ca="1" si="30"/>
        <v>0</v>
      </c>
    </row>
    <row r="25" spans="1:32" ht="24" customHeight="1" x14ac:dyDescent="0.3">
      <c r="A25" s="72">
        <v>12</v>
      </c>
      <c r="B25" s="73" t="s">
        <v>42</v>
      </c>
      <c r="C25" s="74">
        <f t="shared" ca="1" si="40"/>
        <v>0</v>
      </c>
      <c r="D25" s="75">
        <f ca="1">IFERROR(__xludf.DUMMYFUNCTION("IMPORTRANGE(""https://docs.google.com/spreadsheets/d/1Wbcosgy-Xa1xXUArJSOenub6EfZHUSzc_bpJFWwQUf0/edit?usp=sharing"",""แม่ฮ่องสอน!L528"")"),0)</f>
        <v>0</v>
      </c>
      <c r="E25" s="76">
        <f ca="1">IFERROR(__xludf.DUMMYFUNCTION("IMPORTRANGE(""https://docs.google.com/spreadsheets/d/1Wbcosgy-Xa1xXUArJSOenub6EfZHUSzc_bpJFWwQUf0/edit?usp=sharing"",""แม่ฮ่องสอน!L535"")"),0)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41"/>
        <v>0</v>
      </c>
      <c r="I25" s="76">
        <f ca="1">IFERROR(__xludf.DUMMYFUNCTION("IMPORTRANGE(""https://docs.google.com/spreadsheets/d/1Wbcosgy-Xa1xXUArJSOenub6EfZHUSzc_bpJFWwQUf0/edit?usp=sharing"",""แม่ฮ่องสอน!N529"")"),0)</f>
        <v>0</v>
      </c>
      <c r="J25" s="76">
        <f ca="1">IFERROR(__xludf.DUMMYFUNCTION("IMPORTRANGE(""https://docs.google.com/spreadsheets/d/1Wbcosgy-Xa1xXUArJSOenub6EfZHUSzc_bpJFWwQUf0/edit?usp=sharing"",""แม่ฮ่องสอน!N530"")"),0)</f>
        <v>0</v>
      </c>
      <c r="K25" s="76">
        <f ca="1">IFERROR(__xludf.DUMMYFUNCTION("IMPORTRANGE(""https://docs.google.com/spreadsheets/d/1Wbcosgy-Xa1xXUArJSOenub6EfZHUSzc_bpJFWwQUf0/edit?usp=sharing"",""แม่ฮ่องสอน!N531"")"),0)</f>
        <v>0</v>
      </c>
      <c r="L25" s="76">
        <f ca="1">IFERROR(__xludf.DUMMYFUNCTION("IMPORTRANGE(""https://docs.google.com/spreadsheets/d/1Wbcosgy-Xa1xXUArJSOenub6EfZHUSzc_bpJFWwQUf0/edit?usp=sharing"",""แม่ฮ่องสอน!N532"")"),0)</f>
        <v>0</v>
      </c>
      <c r="M25" s="80">
        <f ca="1">IFERROR(__xludf.DUMMYFUNCTION("IMPORTRANGE(""https://docs.google.com/spreadsheets/d/1Wbcosgy-Xa1xXUArJSOenub6EfZHUSzc_bpJFWwQUf0/edit?usp=sharing"",""แม่ฮ่องสอน!N535"")"),0)</f>
        <v>0</v>
      </c>
      <c r="N25" s="80">
        <f t="shared" ca="1" si="33"/>
        <v>0</v>
      </c>
      <c r="O25" s="81">
        <f ca="1">IFERROR(__xludf.DUMMYFUNCTION("IMPORTRANGE(""https://docs.google.com/spreadsheets/d/1Wbcosgy-Xa1xXUArJSOenub6EfZHUSzc_bpJFWwQUf0/edit?usp=sharing"",""แม่ฮ่องสอน!I537"")"),0)</f>
        <v>0</v>
      </c>
      <c r="P25" s="81">
        <f ca="1">IFERROR(__xludf.DUMMYFUNCTION("IMPORTRANGE(""https://docs.google.com/spreadsheets/d/1Wbcosgy-Xa1xXUArJSOenub6EfZHUSzc_bpJFWwQUf0/edit?usp=sharing"",""แม่ฮ่องสอน!J537"")"),0)</f>
        <v>0</v>
      </c>
      <c r="Q25" s="82">
        <f t="shared" ca="1" si="25"/>
        <v>0</v>
      </c>
      <c r="R25" s="81">
        <f ca="1">IFERROR(__xludf.DUMMYFUNCTION("IMPORTRANGE(""https://docs.google.com/spreadsheets/d/1Wbcosgy-Xa1xXUArJSOenub6EfZHUSzc_bpJFWwQUf0/edit?usp=sharing"",""แม่ฮ่องสอน!I538"")"),0)</f>
        <v>0</v>
      </c>
      <c r="S25" s="81">
        <f ca="1">IFERROR(__xludf.DUMMYFUNCTION("IMPORTRANGE(""https://docs.google.com/spreadsheets/d/1Wbcosgy-Xa1xXUArJSOenub6EfZHUSzc_bpJFWwQUf0/edit?usp=sharing"",""แม่ฮ่องสอน!J538"")"),0)</f>
        <v>0</v>
      </c>
      <c r="T25" s="82">
        <f t="shared" ca="1" si="26"/>
        <v>0</v>
      </c>
      <c r="U25" s="81">
        <f ca="1">IFERROR(__xludf.DUMMYFUNCTION("IMPORTRANGE(""https://docs.google.com/spreadsheets/d/1Wbcosgy-Xa1xXUArJSOenub6EfZHUSzc_bpJFWwQUf0/edit?usp=sharing"",""แม่ฮ่องสอน!I539"")"),0)</f>
        <v>0</v>
      </c>
      <c r="V25" s="81">
        <f ca="1">IFERROR(__xludf.DUMMYFUNCTION("IMPORTRANGE(""https://docs.google.com/spreadsheets/d/1Wbcosgy-Xa1xXUArJSOenub6EfZHUSzc_bpJFWwQUf0/edit?usp=sharing"",""แม่ฮ่องสอน!J539"")"),0)</f>
        <v>0</v>
      </c>
      <c r="W25" s="82">
        <f t="shared" ca="1" si="27"/>
        <v>0</v>
      </c>
      <c r="X25" s="81">
        <f ca="1">IFERROR(__xludf.DUMMYFUNCTION("IMPORTRANGE(""https://docs.google.com/spreadsheets/d/1Wbcosgy-Xa1xXUArJSOenub6EfZHUSzc_bpJFWwQUf0/edit?usp=sharing"",""แม่ฮ่องสอน!I540"")"),0)</f>
        <v>0</v>
      </c>
      <c r="Y25" s="81">
        <f ca="1">IFERROR(__xludf.DUMMYFUNCTION("IMPORTRANGE(""https://docs.google.com/spreadsheets/d/1Wbcosgy-Xa1xXUArJSOenub6EfZHUSzc_bpJFWwQUf0/edit?usp=sharing"",""แม่ฮ่องสอน!J540"")"),0)</f>
        <v>0</v>
      </c>
      <c r="Z25" s="82">
        <f t="shared" ca="1" si="28"/>
        <v>0</v>
      </c>
      <c r="AA25" s="234">
        <f ca="1">IFERROR(__xludf.DUMMYFUNCTION("IMPORTRANGE(""https://docs.google.com/spreadsheets/d/1Wbcosgy-Xa1xXUArJSOenub6EfZHUSzc_bpJFWwQUf0/edit?usp=sharing"",""แม่ฮ่องสอน!I541"")"),0)</f>
        <v>0</v>
      </c>
      <c r="AB25" s="181">
        <f ca="1">IFERROR(__xludf.DUMMYFUNCTION("IMPORTRANGE(""https://docs.google.com/spreadsheets/d/1Wbcosgy-Xa1xXUArJSOenub6EfZHUSzc_bpJFWwQUf0/edit?usp=sharing"",""แม่ฮ่องสอน!J541"")"),0)</f>
        <v>0</v>
      </c>
      <c r="AC25" s="186">
        <f t="shared" ca="1" si="29"/>
        <v>0</v>
      </c>
      <c r="AD25" s="234">
        <f ca="1">IFERROR(__xludf.DUMMYFUNCTION("IMPORTRANGE(""https://docs.google.com/spreadsheets/d/1Wbcosgy-Xa1xXUArJSOenub6EfZHUSzc_bpJFWwQUf0/edit?usp=sharing"",""แม่ฮ่องสอน!I542"")"),0)</f>
        <v>0</v>
      </c>
      <c r="AE25" s="181">
        <f ca="1">IFERROR(__xludf.DUMMYFUNCTION("IMPORTRANGE(""https://docs.google.com/spreadsheets/d/1Wbcosgy-Xa1xXUArJSOenub6EfZHUSzc_bpJFWwQUf0/edit?usp=sharing"",""แม่ฮ่องสอน!J542"")"),0)</f>
        <v>0</v>
      </c>
      <c r="AF25" s="186">
        <f t="shared" ca="1" si="30"/>
        <v>0</v>
      </c>
    </row>
    <row r="26" spans="1:32" ht="24" customHeight="1" x14ac:dyDescent="0.3">
      <c r="A26" s="72">
        <v>13</v>
      </c>
      <c r="B26" s="73" t="s">
        <v>43</v>
      </c>
      <c r="C26" s="74">
        <f t="shared" ca="1" si="40"/>
        <v>0</v>
      </c>
      <c r="D26" s="75">
        <f ca="1">IFERROR(__xludf.DUMMYFUNCTION("IMPORTRANGE(""https://docs.google.com/spreadsheets/d/1p7ERhsr0qZeSn-KSOdeHS9r0heI-lHtkcn2OH7hP0jQ/edit?usp=sharing"",""ลำปาง!L528"")"),0)</f>
        <v>0</v>
      </c>
      <c r="E26" s="76">
        <f ca="1">IFERROR(__xludf.DUMMYFUNCTION("IMPORTRANGE(""https://docs.google.com/spreadsheets/d/1p7ERhsr0qZeSn-KSOdeHS9r0heI-lHtkcn2OH7hP0jQ/edit?usp=sharing"",""ลำปาง!L535"")"),0)</f>
        <v>0</v>
      </c>
      <c r="F26" s="77">
        <f t="shared" ca="1" si="1"/>
        <v>0</v>
      </c>
      <c r="G26" s="78">
        <f t="shared" ca="1" si="2"/>
        <v>0</v>
      </c>
      <c r="H26" s="79">
        <f t="shared" ca="1" si="41"/>
        <v>0</v>
      </c>
      <c r="I26" s="76">
        <f ca="1">IFERROR(__xludf.DUMMYFUNCTION("IMPORTRANGE(""https://docs.google.com/spreadsheets/d/1p7ERhsr0qZeSn-KSOdeHS9r0heI-lHtkcn2OH7hP0jQ/edit?usp=sharing"",""ลำปาง!N529"")"),0)</f>
        <v>0</v>
      </c>
      <c r="J26" s="76">
        <f ca="1">IFERROR(__xludf.DUMMYFUNCTION("IMPORTRANGE(""https://docs.google.com/spreadsheets/d/1p7ERhsr0qZeSn-KSOdeHS9r0heI-lHtkcn2OH7hP0jQ/edit?usp=sharing"",""ลำปาง!N530"")"),0)</f>
        <v>0</v>
      </c>
      <c r="K26" s="76">
        <f ca="1">IFERROR(__xludf.DUMMYFUNCTION("IMPORTRANGE(""https://docs.google.com/spreadsheets/d/1p7ERhsr0qZeSn-KSOdeHS9r0heI-lHtkcn2OH7hP0jQ/edit?usp=sharing"",""ลำปาง!N531"")"),0)</f>
        <v>0</v>
      </c>
      <c r="L26" s="76">
        <f ca="1">IFERROR(__xludf.DUMMYFUNCTION("IMPORTRANGE(""https://docs.google.com/spreadsheets/d/1p7ERhsr0qZeSn-KSOdeHS9r0heI-lHtkcn2OH7hP0jQ/edit?usp=sharing"",""ลำปาง!N532"")"),0)</f>
        <v>0</v>
      </c>
      <c r="M26" s="80">
        <f ca="1">IFERROR(__xludf.DUMMYFUNCTION("IMPORTRANGE(""https://docs.google.com/spreadsheets/d/1p7ERhsr0qZeSn-KSOdeHS9r0heI-lHtkcn2OH7hP0jQ/edit?usp=sharing"",""ลำปาง!N535"")"),0)</f>
        <v>0</v>
      </c>
      <c r="N26" s="80">
        <f t="shared" ca="1" si="33"/>
        <v>0</v>
      </c>
      <c r="O26" s="81">
        <f ca="1">IFERROR(__xludf.DUMMYFUNCTION("IMPORTRANGE(""https://docs.google.com/spreadsheets/d/1p7ERhsr0qZeSn-KSOdeHS9r0heI-lHtkcn2OH7hP0jQ/edit?usp=sharing"",""ลำปาง!I537"")"),0)</f>
        <v>0</v>
      </c>
      <c r="P26" s="81">
        <f ca="1">IFERROR(__xludf.DUMMYFUNCTION("IMPORTRANGE(""https://docs.google.com/spreadsheets/d/1p7ERhsr0qZeSn-KSOdeHS9r0heI-lHtkcn2OH7hP0jQ/edit?usp=sharing"",""ลำปาง!J537"")"),0)</f>
        <v>0</v>
      </c>
      <c r="Q26" s="82">
        <f t="shared" ca="1" si="25"/>
        <v>0</v>
      </c>
      <c r="R26" s="81">
        <f ca="1">IFERROR(__xludf.DUMMYFUNCTION("IMPORTRANGE(""https://docs.google.com/spreadsheets/d/1p7ERhsr0qZeSn-KSOdeHS9r0heI-lHtkcn2OH7hP0jQ/edit?usp=sharing"",""ลำปาง!I538"")"),0)</f>
        <v>0</v>
      </c>
      <c r="S26" s="81">
        <f ca="1">IFERROR(__xludf.DUMMYFUNCTION("IMPORTRANGE(""https://docs.google.com/spreadsheets/d/1p7ERhsr0qZeSn-KSOdeHS9r0heI-lHtkcn2OH7hP0jQ/edit?usp=sharing"",""ลำปาง!J538"")"),0)</f>
        <v>0</v>
      </c>
      <c r="T26" s="82">
        <f t="shared" ca="1" si="26"/>
        <v>0</v>
      </c>
      <c r="U26" s="81">
        <f ca="1">IFERROR(__xludf.DUMMYFUNCTION("IMPORTRANGE(""https://docs.google.com/spreadsheets/d/1p7ERhsr0qZeSn-KSOdeHS9r0heI-lHtkcn2OH7hP0jQ/edit?usp=sharing"",""ลำปาง!I539"")"),0)</f>
        <v>0</v>
      </c>
      <c r="V26" s="81">
        <f ca="1">IFERROR(__xludf.DUMMYFUNCTION("IMPORTRANGE(""https://docs.google.com/spreadsheets/d/1p7ERhsr0qZeSn-KSOdeHS9r0heI-lHtkcn2OH7hP0jQ/edit?usp=sharing"",""ลำปาง!J539"")"),0)</f>
        <v>0</v>
      </c>
      <c r="W26" s="82">
        <f t="shared" ca="1" si="27"/>
        <v>0</v>
      </c>
      <c r="X26" s="81">
        <f ca="1">IFERROR(__xludf.DUMMYFUNCTION("IMPORTRANGE(""https://docs.google.com/spreadsheets/d/1p7ERhsr0qZeSn-KSOdeHS9r0heI-lHtkcn2OH7hP0jQ/edit?usp=sharing"",""ลำปาง!I540"")"),0)</f>
        <v>0</v>
      </c>
      <c r="Y26" s="81">
        <f ca="1">IFERROR(__xludf.DUMMYFUNCTION("IMPORTRANGE(""https://docs.google.com/spreadsheets/d/1p7ERhsr0qZeSn-KSOdeHS9r0heI-lHtkcn2OH7hP0jQ/edit?usp=sharing"",""ลำปาง!J540"")"),0)</f>
        <v>0</v>
      </c>
      <c r="Z26" s="82">
        <f t="shared" ca="1" si="28"/>
        <v>0</v>
      </c>
      <c r="AA26" s="234">
        <f ca="1">IFERROR(__xludf.DUMMYFUNCTION("IMPORTRANGE(""https://docs.google.com/spreadsheets/d/1p7ERhsr0qZeSn-KSOdeHS9r0heI-lHtkcn2OH7hP0jQ/edit?usp=sharing"",""ลำปาง!I541"")"),0)</f>
        <v>0</v>
      </c>
      <c r="AB26" s="181">
        <f ca="1">IFERROR(__xludf.DUMMYFUNCTION("IMPORTRANGE(""https://docs.google.com/spreadsheets/d/1p7ERhsr0qZeSn-KSOdeHS9r0heI-lHtkcn2OH7hP0jQ/edit?usp=sharing"",""ลำปาง!J541"")"),0)</f>
        <v>0</v>
      </c>
      <c r="AC26" s="186">
        <f t="shared" ca="1" si="29"/>
        <v>0</v>
      </c>
      <c r="AD26" s="234">
        <f ca="1">IFERROR(__xludf.DUMMYFUNCTION("IMPORTRANGE(""https://docs.google.com/spreadsheets/d/1p7ERhsr0qZeSn-KSOdeHS9r0heI-lHtkcn2OH7hP0jQ/edit?usp=sharing"",""ลำปาง!I542"")"),0)</f>
        <v>0</v>
      </c>
      <c r="AE26" s="181">
        <f ca="1">IFERROR(__xludf.DUMMYFUNCTION("IMPORTRANGE(""https://docs.google.com/spreadsheets/d/1p7ERhsr0qZeSn-KSOdeHS9r0heI-lHtkcn2OH7hP0jQ/edit?usp=sharing"",""ลำปาง!J542"")"),0)</f>
        <v>0</v>
      </c>
      <c r="AF26" s="186">
        <f t="shared" ca="1" si="30"/>
        <v>0</v>
      </c>
    </row>
    <row r="27" spans="1:32" ht="24" customHeight="1" x14ac:dyDescent="0.3">
      <c r="A27" s="72">
        <v>14</v>
      </c>
      <c r="B27" s="73" t="s">
        <v>44</v>
      </c>
      <c r="C27" s="74">
        <f t="shared" ca="1" si="40"/>
        <v>0</v>
      </c>
      <c r="D27" s="75">
        <f ca="1">IFERROR(__xludf.DUMMYFUNCTION("IMPORTRANGE(""https://docs.google.com/spreadsheets/d/1-uUXvimVhiU2U0bMN-xi2te0tS4X7DI2GLPnMjzl8cA/edit?usp=sharing"",""ลำพูน!L528"")"),0)</f>
        <v>0</v>
      </c>
      <c r="E27" s="76">
        <f ca="1">IFERROR(__xludf.DUMMYFUNCTION("IMPORTRANGE(""https://docs.google.com/spreadsheets/d/1-uUXvimVhiU2U0bMN-xi2te0tS4X7DI2GLPnMjzl8cA/edit?usp=sharing"",""ลำพูน!L535"")"),0)</f>
        <v>0</v>
      </c>
      <c r="F27" s="77">
        <f t="shared" ca="1" si="1"/>
        <v>0</v>
      </c>
      <c r="G27" s="78">
        <f t="shared" ca="1" si="2"/>
        <v>0</v>
      </c>
      <c r="H27" s="79">
        <f t="shared" ca="1" si="41"/>
        <v>0</v>
      </c>
      <c r="I27" s="76">
        <f ca="1">IFERROR(__xludf.DUMMYFUNCTION("IMPORTRANGE(""https://docs.google.com/spreadsheets/d/1-uUXvimVhiU2U0bMN-xi2te0tS4X7DI2GLPnMjzl8cA/edit?usp=sharing"",""ลำพูน!N529"")"),0)</f>
        <v>0</v>
      </c>
      <c r="J27" s="76">
        <f ca="1">IFERROR(__xludf.DUMMYFUNCTION("IMPORTRANGE(""https://docs.google.com/spreadsheets/d/1-uUXvimVhiU2U0bMN-xi2te0tS4X7DI2GLPnMjzl8cA/edit?usp=sharing"",""ลำพูน!N530"")"),0)</f>
        <v>0</v>
      </c>
      <c r="K27" s="76">
        <f ca="1">IFERROR(__xludf.DUMMYFUNCTION("IMPORTRANGE(""https://docs.google.com/spreadsheets/d/1-uUXvimVhiU2U0bMN-xi2te0tS4X7DI2GLPnMjzl8cA/edit?usp=sharing"",""ลำพูน!N531"")"),0)</f>
        <v>0</v>
      </c>
      <c r="L27" s="76">
        <f ca="1">IFERROR(__xludf.DUMMYFUNCTION("IMPORTRANGE(""https://docs.google.com/spreadsheets/d/1-uUXvimVhiU2U0bMN-xi2te0tS4X7DI2GLPnMjzl8cA/edit?usp=sharing"",""ลำพูน!N532"")"),0)</f>
        <v>0</v>
      </c>
      <c r="M27" s="80">
        <f ca="1">IFERROR(__xludf.DUMMYFUNCTION("IMPORTRANGE(""https://docs.google.com/spreadsheets/d/1-uUXvimVhiU2U0bMN-xi2te0tS4X7DI2GLPnMjzl8cA/edit?usp=sharing"",""ลำพูน!N535"")"),0)</f>
        <v>0</v>
      </c>
      <c r="N27" s="80">
        <f t="shared" ca="1" si="33"/>
        <v>0</v>
      </c>
      <c r="O27" s="81">
        <f ca="1">IFERROR(__xludf.DUMMYFUNCTION("IMPORTRANGE(""https://docs.google.com/spreadsheets/d/1-uUXvimVhiU2U0bMN-xi2te0tS4X7DI2GLPnMjzl8cA/edit?usp=sharing"",""ลำพูน!I537"")"),0)</f>
        <v>0</v>
      </c>
      <c r="P27" s="81">
        <f ca="1">IFERROR(__xludf.DUMMYFUNCTION("IMPORTRANGE(""https://docs.google.com/spreadsheets/d/1-uUXvimVhiU2U0bMN-xi2te0tS4X7DI2GLPnMjzl8cA/edit?usp=sharing"",""ลำพูน!J537"")"),0)</f>
        <v>0</v>
      </c>
      <c r="Q27" s="82">
        <f t="shared" ca="1" si="25"/>
        <v>0</v>
      </c>
      <c r="R27" s="81">
        <f ca="1">IFERROR(__xludf.DUMMYFUNCTION("IMPORTRANGE(""https://docs.google.com/spreadsheets/d/1-uUXvimVhiU2U0bMN-xi2te0tS4X7DI2GLPnMjzl8cA/edit?usp=sharing"",""ลำพูน!I538"")"),0)</f>
        <v>0</v>
      </c>
      <c r="S27" s="81">
        <f ca="1">IFERROR(__xludf.DUMMYFUNCTION("IMPORTRANGE(""https://docs.google.com/spreadsheets/d/1-uUXvimVhiU2U0bMN-xi2te0tS4X7DI2GLPnMjzl8cA/edit?usp=sharing"",""ลำพูน!J538"")"),0)</f>
        <v>0</v>
      </c>
      <c r="T27" s="82">
        <f t="shared" ca="1" si="26"/>
        <v>0</v>
      </c>
      <c r="U27" s="81">
        <f ca="1">IFERROR(__xludf.DUMMYFUNCTION("IMPORTRANGE(""https://docs.google.com/spreadsheets/d/1-uUXvimVhiU2U0bMN-xi2te0tS4X7DI2GLPnMjzl8cA/edit?usp=sharing"",""ลำพูน!I539"")"),0)</f>
        <v>0</v>
      </c>
      <c r="V27" s="81">
        <f ca="1">IFERROR(__xludf.DUMMYFUNCTION("IMPORTRANGE(""https://docs.google.com/spreadsheets/d/1-uUXvimVhiU2U0bMN-xi2te0tS4X7DI2GLPnMjzl8cA/edit?usp=sharing"",""ลำพูน!J539"")"),0)</f>
        <v>0</v>
      </c>
      <c r="W27" s="82">
        <f t="shared" ca="1" si="27"/>
        <v>0</v>
      </c>
      <c r="X27" s="81">
        <f ca="1">IFERROR(__xludf.DUMMYFUNCTION("IMPORTRANGE(""https://docs.google.com/spreadsheets/d/1-uUXvimVhiU2U0bMN-xi2te0tS4X7DI2GLPnMjzl8cA/edit?usp=sharing"",""ลำพูน!I540"")"),0)</f>
        <v>0</v>
      </c>
      <c r="Y27" s="81">
        <f ca="1">IFERROR(__xludf.DUMMYFUNCTION("IMPORTRANGE(""https://docs.google.com/spreadsheets/d/1-uUXvimVhiU2U0bMN-xi2te0tS4X7DI2GLPnMjzl8cA/edit?usp=sharing"",""ลำพูน!J540"")"),0)</f>
        <v>0</v>
      </c>
      <c r="Z27" s="82">
        <f t="shared" ca="1" si="28"/>
        <v>0</v>
      </c>
      <c r="AA27" s="234">
        <f ca="1">IFERROR(__xludf.DUMMYFUNCTION("IMPORTRANGE(""https://docs.google.com/spreadsheets/d/1-uUXvimVhiU2U0bMN-xi2te0tS4X7DI2GLPnMjzl8cA/edit?usp=sharing"",""ลำพูน!I541"")"),0)</f>
        <v>0</v>
      </c>
      <c r="AB27" s="181">
        <f ca="1">IFERROR(__xludf.DUMMYFUNCTION("IMPORTRANGE(""https://docs.google.com/spreadsheets/d/1-uUXvimVhiU2U0bMN-xi2te0tS4X7DI2GLPnMjzl8cA/edit?usp=sharing"",""ลำพูน!J541"")"),0)</f>
        <v>0</v>
      </c>
      <c r="AC27" s="186">
        <f t="shared" ca="1" si="29"/>
        <v>0</v>
      </c>
      <c r="AD27" s="234">
        <f ca="1">IFERROR(__xludf.DUMMYFUNCTION("IMPORTRANGE(""https://docs.google.com/spreadsheets/d/1-uUXvimVhiU2U0bMN-xi2te0tS4X7DI2GLPnMjzl8cA/edit?usp=sharing"",""ลำพูน!I542"")"),0)</f>
        <v>0</v>
      </c>
      <c r="AE27" s="181">
        <f ca="1">IFERROR(__xludf.DUMMYFUNCTION("IMPORTRANGE(""https://docs.google.com/spreadsheets/d/1-uUXvimVhiU2U0bMN-xi2te0tS4X7DI2GLPnMjzl8cA/edit?usp=sharing"",""ลำพูน!J542"")"),0)</f>
        <v>0</v>
      </c>
      <c r="AF27" s="186">
        <f t="shared" ca="1" si="30"/>
        <v>0</v>
      </c>
    </row>
    <row r="28" spans="1:32" ht="24" customHeight="1" x14ac:dyDescent="0.3">
      <c r="A28" s="72">
        <v>15</v>
      </c>
      <c r="B28" s="73" t="s">
        <v>45</v>
      </c>
      <c r="C28" s="74">
        <f t="shared" ca="1" si="40"/>
        <v>0</v>
      </c>
      <c r="D28" s="75">
        <f ca="1">IFERROR(__xludf.DUMMYFUNCTION("IMPORTRANGE(""https://docs.google.com/spreadsheets/d/17HrOaa5pBUI1onckFfumXB8xlg35qb2uBAFfF1D-Myo/edit?usp=sharing"",""สุโขทัย!L528"")"),0)</f>
        <v>0</v>
      </c>
      <c r="E28" s="76">
        <f ca="1">IFERROR(__xludf.DUMMYFUNCTION("IMPORTRANGE(""https://docs.google.com/spreadsheets/d/17HrOaa5pBUI1onckFfumXB8xlg35qb2uBAFfF1D-Myo/edit?usp=sharing"",""สุโขทัย!L535"")"),0)</f>
        <v>0</v>
      </c>
      <c r="F28" s="77">
        <f t="shared" ca="1" si="1"/>
        <v>0</v>
      </c>
      <c r="G28" s="78">
        <f t="shared" ca="1" si="2"/>
        <v>0</v>
      </c>
      <c r="H28" s="79">
        <f t="shared" ca="1" si="41"/>
        <v>0</v>
      </c>
      <c r="I28" s="76">
        <f ca="1">IFERROR(__xludf.DUMMYFUNCTION("IMPORTRANGE(""https://docs.google.com/spreadsheets/d/17HrOaa5pBUI1onckFfumXB8xlg35qb2uBAFfF1D-Myo/edit?usp=sharing"",""สุโขทัย!N529"")"),0)</f>
        <v>0</v>
      </c>
      <c r="J28" s="76">
        <f ca="1">IFERROR(__xludf.DUMMYFUNCTION("IMPORTRANGE(""https://docs.google.com/spreadsheets/d/17HrOaa5pBUI1onckFfumXB8xlg35qb2uBAFfF1D-Myo/edit?usp=sharing"",""สุโขทัย!N530"")"),0)</f>
        <v>0</v>
      </c>
      <c r="K28" s="76">
        <f ca="1">IFERROR(__xludf.DUMMYFUNCTION("IMPORTRANGE(""https://docs.google.com/spreadsheets/d/17HrOaa5pBUI1onckFfumXB8xlg35qb2uBAFfF1D-Myo/edit?usp=sharing"",""สุโขทัย!N531"")"),0)</f>
        <v>0</v>
      </c>
      <c r="L28" s="76">
        <f ca="1">IFERROR(__xludf.DUMMYFUNCTION("IMPORTRANGE(""https://docs.google.com/spreadsheets/d/17HrOaa5pBUI1onckFfumXB8xlg35qb2uBAFfF1D-Myo/edit?usp=sharing"",""สุโขทัย!N532"")"),0)</f>
        <v>0</v>
      </c>
      <c r="M28" s="80">
        <f ca="1">IFERROR(__xludf.DUMMYFUNCTION("IMPORTRANGE(""https://docs.google.com/spreadsheets/d/17HrOaa5pBUI1onckFfumXB8xlg35qb2uBAFfF1D-Myo/edit?usp=sharing"",""สุโขทัย!N535"")"),0)</f>
        <v>0</v>
      </c>
      <c r="N28" s="80">
        <f t="shared" ca="1" si="33"/>
        <v>0</v>
      </c>
      <c r="O28" s="81">
        <f ca="1">IFERROR(__xludf.DUMMYFUNCTION("IMPORTRANGE(""https://docs.google.com/spreadsheets/d/17HrOaa5pBUI1onckFfumXB8xlg35qb2uBAFfF1D-Myo/edit?usp=sharing"",""สุโขทัย!I537"")"),0)</f>
        <v>0</v>
      </c>
      <c r="P28" s="81">
        <f ca="1">IFERROR(__xludf.DUMMYFUNCTION("IMPORTRANGE(""https://docs.google.com/spreadsheets/d/17HrOaa5pBUI1onckFfumXB8xlg35qb2uBAFfF1D-Myo/edit?usp=sharing"",""สุโขทัย!J537"")"),0)</f>
        <v>0</v>
      </c>
      <c r="Q28" s="82">
        <f t="shared" ca="1" si="25"/>
        <v>0</v>
      </c>
      <c r="R28" s="81">
        <f ca="1">IFERROR(__xludf.DUMMYFUNCTION("IMPORTRANGE(""https://docs.google.com/spreadsheets/d/17HrOaa5pBUI1onckFfumXB8xlg35qb2uBAFfF1D-Myo/edit?usp=sharing"",""สุโขทัย!I538"")"),0)</f>
        <v>0</v>
      </c>
      <c r="S28" s="81">
        <f ca="1">IFERROR(__xludf.DUMMYFUNCTION("IMPORTRANGE(""https://docs.google.com/spreadsheets/d/17HrOaa5pBUI1onckFfumXB8xlg35qb2uBAFfF1D-Myo/edit?usp=sharing"",""สุโขทัย!J538"")"),0)</f>
        <v>0</v>
      </c>
      <c r="T28" s="82">
        <f t="shared" ca="1" si="26"/>
        <v>0</v>
      </c>
      <c r="U28" s="81">
        <f ca="1">IFERROR(__xludf.DUMMYFUNCTION("IMPORTRANGE(""https://docs.google.com/spreadsheets/d/17HrOaa5pBUI1onckFfumXB8xlg35qb2uBAFfF1D-Myo/edit?usp=sharing"",""สุโขทัย!I539"")"),0)</f>
        <v>0</v>
      </c>
      <c r="V28" s="81">
        <f ca="1">IFERROR(__xludf.DUMMYFUNCTION("IMPORTRANGE(""https://docs.google.com/spreadsheets/d/17HrOaa5pBUI1onckFfumXB8xlg35qb2uBAFfF1D-Myo/edit?usp=sharing"",""สุโขทัย!J539"")"),0)</f>
        <v>0</v>
      </c>
      <c r="W28" s="82">
        <f t="shared" ca="1" si="27"/>
        <v>0</v>
      </c>
      <c r="X28" s="81">
        <f ca="1">IFERROR(__xludf.DUMMYFUNCTION("IMPORTRANGE(""https://docs.google.com/spreadsheets/d/17HrOaa5pBUI1onckFfumXB8xlg35qb2uBAFfF1D-Myo/edit?usp=sharing"",""สุโขทัย!I540"")"),0)</f>
        <v>0</v>
      </c>
      <c r="Y28" s="81">
        <f ca="1">IFERROR(__xludf.DUMMYFUNCTION("IMPORTRANGE(""https://docs.google.com/spreadsheets/d/17HrOaa5pBUI1onckFfumXB8xlg35qb2uBAFfF1D-Myo/edit?usp=sharing"",""สุโขทัย!J540"")"),0)</f>
        <v>0</v>
      </c>
      <c r="Z28" s="82">
        <f t="shared" ca="1" si="28"/>
        <v>0</v>
      </c>
      <c r="AA28" s="234">
        <f ca="1">IFERROR(__xludf.DUMMYFUNCTION("IMPORTRANGE(""https://docs.google.com/spreadsheets/d/17HrOaa5pBUI1onckFfumXB8xlg35qb2uBAFfF1D-Myo/edit?usp=sharing"",""สุโขทัย!I541"")"),0)</f>
        <v>0</v>
      </c>
      <c r="AB28" s="181">
        <f ca="1">IFERROR(__xludf.DUMMYFUNCTION("IMPORTRANGE(""https://docs.google.com/spreadsheets/d/17HrOaa5pBUI1onckFfumXB8xlg35qb2uBAFfF1D-Myo/edit?usp=sharing"",""สุโขทัย!J541"")"),0)</f>
        <v>0</v>
      </c>
      <c r="AC28" s="186">
        <f t="shared" ca="1" si="29"/>
        <v>0</v>
      </c>
      <c r="AD28" s="234">
        <f ca="1">IFERROR(__xludf.DUMMYFUNCTION("IMPORTRANGE(""https://docs.google.com/spreadsheets/d/17HrOaa5pBUI1onckFfumXB8xlg35qb2uBAFfF1D-Myo/edit?usp=sharing"",""สุโขทัย!I542"")"),0)</f>
        <v>0</v>
      </c>
      <c r="AE28" s="181">
        <f ca="1">IFERROR(__xludf.DUMMYFUNCTION("IMPORTRANGE(""https://docs.google.com/spreadsheets/d/17HrOaa5pBUI1onckFfumXB8xlg35qb2uBAFfF1D-Myo/edit?usp=sharing"",""สุโขทัย!J542"")"),0)</f>
        <v>0</v>
      </c>
      <c r="AF28" s="186">
        <f t="shared" ca="1" si="30"/>
        <v>0</v>
      </c>
    </row>
    <row r="29" spans="1:32" ht="24" customHeight="1" x14ac:dyDescent="0.3">
      <c r="A29" s="72">
        <v>16</v>
      </c>
      <c r="B29" s="73" t="s">
        <v>46</v>
      </c>
      <c r="C29" s="74">
        <f t="shared" ca="1" si="40"/>
        <v>0</v>
      </c>
      <c r="D29" s="75">
        <f ca="1">IFERROR(__xludf.DUMMYFUNCTION("IMPORTRANGE(""https://docs.google.com/spreadsheets/d/1ubs5cl16eYL9gHbdHTJtmtYb9MGzHBs7CAphn8kNCgM/edit?usp=sharing"",""อุตรดิตถ์!L528"")"),0)</f>
        <v>0</v>
      </c>
      <c r="E29" s="76">
        <f ca="1">IFERROR(__xludf.DUMMYFUNCTION("IMPORTRANGE(""https://docs.google.com/spreadsheets/d/1ubs5cl16eYL9gHbdHTJtmtYb9MGzHBs7CAphn8kNCgM/edit?usp=sharing"",""อุตรดิตถ์!L535"")"),0)</f>
        <v>0</v>
      </c>
      <c r="F29" s="77">
        <f t="shared" ca="1" si="1"/>
        <v>0</v>
      </c>
      <c r="G29" s="78">
        <f t="shared" ca="1" si="2"/>
        <v>0</v>
      </c>
      <c r="H29" s="79">
        <f t="shared" ca="1" si="41"/>
        <v>0</v>
      </c>
      <c r="I29" s="76">
        <f ca="1">IFERROR(__xludf.DUMMYFUNCTION("IMPORTRANGE(""https://docs.google.com/spreadsheets/d/1ubs5cl16eYL9gHbdHTJtmtYb9MGzHBs7CAphn8kNCgM/edit?usp=sharing"",""อุตรดิตถ์!N529"")"),0)</f>
        <v>0</v>
      </c>
      <c r="J29" s="76">
        <f ca="1">IFERROR(__xludf.DUMMYFUNCTION("IMPORTRANGE(""https://docs.google.com/spreadsheets/d/1ubs5cl16eYL9gHbdHTJtmtYb9MGzHBs7CAphn8kNCgM/edit?usp=sharing"",""อุตรดิตถ์!N530"")"),0)</f>
        <v>0</v>
      </c>
      <c r="K29" s="76">
        <f ca="1">IFERROR(__xludf.DUMMYFUNCTION("IMPORTRANGE(""https://docs.google.com/spreadsheets/d/1ubs5cl16eYL9gHbdHTJtmtYb9MGzHBs7CAphn8kNCgM/edit?usp=sharing"",""อุตรดิตถ์!N531"")"),0)</f>
        <v>0</v>
      </c>
      <c r="L29" s="76">
        <f ca="1">IFERROR(__xludf.DUMMYFUNCTION("IMPORTRANGE(""https://docs.google.com/spreadsheets/d/1ubs5cl16eYL9gHbdHTJtmtYb9MGzHBs7CAphn8kNCgM/edit?usp=sharing"",""อุตรดิตถ์!N532"")"),0)</f>
        <v>0</v>
      </c>
      <c r="M29" s="80">
        <f ca="1">IFERROR(__xludf.DUMMYFUNCTION("IMPORTRANGE(""https://docs.google.com/spreadsheets/d/1ubs5cl16eYL9gHbdHTJtmtYb9MGzHBs7CAphn8kNCgM/edit?usp=sharing"",""อุตรดิตถ์!N535"")"),0)</f>
        <v>0</v>
      </c>
      <c r="N29" s="80">
        <f t="shared" ca="1" si="33"/>
        <v>0</v>
      </c>
      <c r="O29" s="81">
        <f ca="1">IFERROR(__xludf.DUMMYFUNCTION("IMPORTRANGE(""https://docs.google.com/spreadsheets/d/1ubs5cl16eYL9gHbdHTJtmtYb9MGzHBs7CAphn8kNCgM/edit?usp=sharing"",""อุตรดิตถ์!I537"")"),0)</f>
        <v>0</v>
      </c>
      <c r="P29" s="81">
        <f ca="1">IFERROR(__xludf.DUMMYFUNCTION("IMPORTRANGE(""https://docs.google.com/spreadsheets/d/1ubs5cl16eYL9gHbdHTJtmtYb9MGzHBs7CAphn8kNCgM/edit?usp=sharing"",""อุตรดิตถ์!J537"")"),0)</f>
        <v>0</v>
      </c>
      <c r="Q29" s="82">
        <f t="shared" ca="1" si="25"/>
        <v>0</v>
      </c>
      <c r="R29" s="81">
        <f ca="1">IFERROR(__xludf.DUMMYFUNCTION("IMPORTRANGE(""https://docs.google.com/spreadsheets/d/1ubs5cl16eYL9gHbdHTJtmtYb9MGzHBs7CAphn8kNCgM/edit?usp=sharing"",""อุตรดิตถ์!I538"")"),0)</f>
        <v>0</v>
      </c>
      <c r="S29" s="81">
        <f ca="1">IFERROR(__xludf.DUMMYFUNCTION("IMPORTRANGE(""https://docs.google.com/spreadsheets/d/1ubs5cl16eYL9gHbdHTJtmtYb9MGzHBs7CAphn8kNCgM/edit?usp=sharing"",""อุตรดิตถ์!J538"")"),0)</f>
        <v>0</v>
      </c>
      <c r="T29" s="82">
        <f t="shared" ca="1" si="26"/>
        <v>0</v>
      </c>
      <c r="U29" s="81">
        <f ca="1">IFERROR(__xludf.DUMMYFUNCTION("IMPORTRANGE(""https://docs.google.com/spreadsheets/d/1ubs5cl16eYL9gHbdHTJtmtYb9MGzHBs7CAphn8kNCgM/edit?usp=sharing"",""อุตรดิตถ์!I539"")"),0)</f>
        <v>0</v>
      </c>
      <c r="V29" s="81">
        <f ca="1">IFERROR(__xludf.DUMMYFUNCTION("IMPORTRANGE(""https://docs.google.com/spreadsheets/d/1ubs5cl16eYL9gHbdHTJtmtYb9MGzHBs7CAphn8kNCgM/edit?usp=sharing"",""อุตรดิตถ์!J539"")"),0)</f>
        <v>0</v>
      </c>
      <c r="W29" s="82">
        <f t="shared" ca="1" si="27"/>
        <v>0</v>
      </c>
      <c r="X29" s="81">
        <f ca="1">IFERROR(__xludf.DUMMYFUNCTION("IMPORTRANGE(""https://docs.google.com/spreadsheets/d/1ubs5cl16eYL9gHbdHTJtmtYb9MGzHBs7CAphn8kNCgM/edit?usp=sharing"",""อุตรดิตถ์!I540"")"),0)</f>
        <v>0</v>
      </c>
      <c r="Y29" s="81">
        <f ca="1">IFERROR(__xludf.DUMMYFUNCTION("IMPORTRANGE(""https://docs.google.com/spreadsheets/d/1ubs5cl16eYL9gHbdHTJtmtYb9MGzHBs7CAphn8kNCgM/edit?usp=sharing"",""อุตรดิตถ์!J540"")"),0)</f>
        <v>0</v>
      </c>
      <c r="Z29" s="82">
        <f t="shared" ca="1" si="28"/>
        <v>0</v>
      </c>
      <c r="AA29" s="234">
        <f ca="1">IFERROR(__xludf.DUMMYFUNCTION("IMPORTRANGE(""https://docs.google.com/spreadsheets/d/1ubs5cl16eYL9gHbdHTJtmtYb9MGzHBs7CAphn8kNCgM/edit?usp=sharing"",""อุตรดิตถ์!I541"")"),0)</f>
        <v>0</v>
      </c>
      <c r="AB29" s="181">
        <f ca="1">IFERROR(__xludf.DUMMYFUNCTION("IMPORTRANGE(""https://docs.google.com/spreadsheets/d/1ubs5cl16eYL9gHbdHTJtmtYb9MGzHBs7CAphn8kNCgM/edit?usp=sharing"",""อุตรดิตถ์!J541"")"),0)</f>
        <v>0</v>
      </c>
      <c r="AC29" s="186">
        <f t="shared" ca="1" si="29"/>
        <v>0</v>
      </c>
      <c r="AD29" s="234">
        <f ca="1">IFERROR(__xludf.DUMMYFUNCTION("IMPORTRANGE(""https://docs.google.com/spreadsheets/d/1ubs5cl16eYL9gHbdHTJtmtYb9MGzHBs7CAphn8kNCgM/edit?usp=sharing"",""อุตรดิตถ์!I542"")"),0)</f>
        <v>0</v>
      </c>
      <c r="AE29" s="181">
        <f ca="1">IFERROR(__xludf.DUMMYFUNCTION("IMPORTRANGE(""https://docs.google.com/spreadsheets/d/1ubs5cl16eYL9gHbdHTJtmtYb9MGzHBs7CAphn8kNCgM/edit?usp=sharing"",""อุตรดิตถ์!J542"")"),0)</f>
        <v>0</v>
      </c>
      <c r="AF29" s="186">
        <f t="shared" ca="1" si="30"/>
        <v>0</v>
      </c>
    </row>
    <row r="30" spans="1:32" ht="24" customHeight="1" x14ac:dyDescent="0.3">
      <c r="A30" s="83">
        <v>17</v>
      </c>
      <c r="B30" s="84" t="s">
        <v>47</v>
      </c>
      <c r="C30" s="85">
        <f t="shared" ca="1" si="40"/>
        <v>652760</v>
      </c>
      <c r="D30" s="86">
        <f ca="1">IFERROR(__xludf.DUMMYFUNCTION("IMPORTRANGE(""https://docs.google.com/spreadsheets/d/1kII0BjS6CtVrBvI8IrytgPdxDrlyQDyigzMsohRtDMs/edit?usp=sharing"",""อุทัยธานี!L528"")"),652760)</f>
        <v>652760</v>
      </c>
      <c r="E30" s="87">
        <f ca="1">IFERROR(__xludf.DUMMYFUNCTION("IMPORTRANGE(""https://docs.google.com/spreadsheets/d/1kII0BjS6CtVrBvI8IrytgPdxDrlyQDyigzMsohRtDMs/edit?usp=sharing"",""อุทัยธานี!L535"")"),0)</f>
        <v>0</v>
      </c>
      <c r="F30" s="88">
        <f t="shared" ca="1" si="1"/>
        <v>148970</v>
      </c>
      <c r="G30" s="89">
        <f t="shared" ca="1" si="2"/>
        <v>22.82155769348612</v>
      </c>
      <c r="H30" s="90">
        <f t="shared" ca="1" si="41"/>
        <v>148970</v>
      </c>
      <c r="I30" s="87">
        <f ca="1">IFERROR(__xludf.DUMMYFUNCTION("IMPORTRANGE(""https://docs.google.com/spreadsheets/d/1kII0BjS6CtVrBvI8IrytgPdxDrlyQDyigzMsohRtDMs/edit?usp=sharing"",""อุทัยธานี!N529"")"),141470)</f>
        <v>141470</v>
      </c>
      <c r="J30" s="87">
        <f ca="1">IFERROR(__xludf.DUMMYFUNCTION("IMPORTRANGE(""https://docs.google.com/spreadsheets/d/1kII0BjS6CtVrBvI8IrytgPdxDrlyQDyigzMsohRtDMs/edit?usp=sharing"",""อุทัยธานี!N530"")"),0)</f>
        <v>0</v>
      </c>
      <c r="K30" s="87">
        <f ca="1">IFERROR(__xludf.DUMMYFUNCTION("IMPORTRANGE(""https://docs.google.com/spreadsheets/d/1kII0BjS6CtVrBvI8IrytgPdxDrlyQDyigzMsohRtDMs/edit?usp=sharing"",""อุทัยธานี!N531"")"),0)</f>
        <v>0</v>
      </c>
      <c r="L30" s="87">
        <f ca="1">IFERROR(__xludf.DUMMYFUNCTION("IMPORTRANGE(""https://docs.google.com/spreadsheets/d/1kII0BjS6CtVrBvI8IrytgPdxDrlyQDyigzMsohRtDMs/edit?usp=sharing"",""อุทัยธานี!N532"")"),7500)</f>
        <v>7500</v>
      </c>
      <c r="M30" s="91">
        <f ca="1">IFERROR(__xludf.DUMMYFUNCTION("IMPORTRANGE(""https://docs.google.com/spreadsheets/d/1kII0BjS6CtVrBvI8IrytgPdxDrlyQDyigzMsohRtDMs/edit?usp=sharing"",""อุทัยธานี!N535"")"),0)</f>
        <v>0</v>
      </c>
      <c r="N30" s="91">
        <f t="shared" ca="1" si="33"/>
        <v>0</v>
      </c>
      <c r="O30" s="92">
        <f ca="1">IFERROR(__xludf.DUMMYFUNCTION("IMPORTRANGE(""https://docs.google.com/spreadsheets/d/1kII0BjS6CtVrBvI8IrytgPdxDrlyQDyigzMsohRtDMs/edit?usp=sharing"",""อุทัยธานี!I537"")"),80)</f>
        <v>80</v>
      </c>
      <c r="P30" s="92">
        <f ca="1">IFERROR(__xludf.DUMMYFUNCTION("IMPORTRANGE(""https://docs.google.com/spreadsheets/d/1kII0BjS6CtVrBvI8IrytgPdxDrlyQDyigzMsohRtDMs/edit?usp=sharing"",""อุทัยธานี!J537"")"),0)</f>
        <v>0</v>
      </c>
      <c r="Q30" s="93">
        <f t="shared" ca="1" si="25"/>
        <v>0</v>
      </c>
      <c r="R30" s="92">
        <f ca="1">IFERROR(__xludf.DUMMYFUNCTION("IMPORTRANGE(""https://docs.google.com/spreadsheets/d/1kII0BjS6CtVrBvI8IrytgPdxDrlyQDyigzMsohRtDMs/edit?usp=sharing"",""อุทัยธานี!I538"")"),80)</f>
        <v>80</v>
      </c>
      <c r="S30" s="92">
        <f ca="1">IFERROR(__xludf.DUMMYFUNCTION("IMPORTRANGE(""https://docs.google.com/spreadsheets/d/1kII0BjS6CtVrBvI8IrytgPdxDrlyQDyigzMsohRtDMs/edit?usp=sharing"",""อุทัยธานี!J538"")"),40)</f>
        <v>40</v>
      </c>
      <c r="T30" s="93">
        <f t="shared" ca="1" si="26"/>
        <v>50</v>
      </c>
      <c r="U30" s="92">
        <f ca="1">IFERROR(__xludf.DUMMYFUNCTION("IMPORTRANGE(""https://docs.google.com/spreadsheets/d/1kII0BjS6CtVrBvI8IrytgPdxDrlyQDyigzMsohRtDMs/edit?usp=sharing"",""อุทัยธานี!I539"")"),0)</f>
        <v>0</v>
      </c>
      <c r="V30" s="92">
        <f ca="1">IFERROR(__xludf.DUMMYFUNCTION("IMPORTRANGE(""https://docs.google.com/spreadsheets/d/1kII0BjS6CtVrBvI8IrytgPdxDrlyQDyigzMsohRtDMs/edit?usp=sharing"",""อุทัยธานี!J539"")"),0)</f>
        <v>0</v>
      </c>
      <c r="W30" s="93">
        <f t="shared" ca="1" si="27"/>
        <v>0</v>
      </c>
      <c r="X30" s="92">
        <f ca="1">IFERROR(__xludf.DUMMYFUNCTION("IMPORTRANGE(""https://docs.google.com/spreadsheets/d/1kII0BjS6CtVrBvI8IrytgPdxDrlyQDyigzMsohRtDMs/edit?usp=sharing"",""อุทัยธานี!I540"")"),0)</f>
        <v>0</v>
      </c>
      <c r="Y30" s="92">
        <f ca="1">IFERROR(__xludf.DUMMYFUNCTION("IMPORTRANGE(""https://docs.google.com/spreadsheets/d/1kII0BjS6CtVrBvI8IrytgPdxDrlyQDyigzMsohRtDMs/edit?usp=sharing"",""อุทัยธานี!J540"")"),0)</f>
        <v>0</v>
      </c>
      <c r="Z30" s="93">
        <f t="shared" ca="1" si="28"/>
        <v>0</v>
      </c>
      <c r="AA30" s="235">
        <f ca="1">IFERROR(__xludf.DUMMYFUNCTION("IMPORTRANGE(""https://docs.google.com/spreadsheets/d/1kII0BjS6CtVrBvI8IrytgPdxDrlyQDyigzMsohRtDMs/edit?usp=sharing"",""อุทัยธานี!I541"")"),80)</f>
        <v>80</v>
      </c>
      <c r="AB30" s="202">
        <f ca="1">IFERROR(__xludf.DUMMYFUNCTION("IMPORTRANGE(""https://docs.google.com/spreadsheets/d/1kII0BjS6CtVrBvI8IrytgPdxDrlyQDyigzMsohRtDMs/edit?usp=sharing"",""อุทัยธานี!J541"")"),24)</f>
        <v>24</v>
      </c>
      <c r="AC30" s="203">
        <f t="shared" ca="1" si="29"/>
        <v>30</v>
      </c>
      <c r="AD30" s="235">
        <f ca="1">IFERROR(__xludf.DUMMYFUNCTION("IMPORTRANGE(""https://docs.google.com/spreadsheets/d/1kII0BjS6CtVrBvI8IrytgPdxDrlyQDyigzMsohRtDMs/edit?usp=sharing"",""อุทัยธานี!I542"")"),80)</f>
        <v>80</v>
      </c>
      <c r="AE30" s="202">
        <f ca="1">IFERROR(__xludf.DUMMYFUNCTION("IMPORTRANGE(""https://docs.google.com/spreadsheets/d/1kII0BjS6CtVrBvI8IrytgPdxDrlyQDyigzMsohRtDMs/edit?usp=sharing"",""อุทัยธานี!J542"")"),0)</f>
        <v>0</v>
      </c>
      <c r="AF30" s="203">
        <f t="shared" ca="1" si="30"/>
        <v>0</v>
      </c>
    </row>
    <row r="31" spans="1:32" ht="21" customHeight="1" x14ac:dyDescent="0.3">
      <c r="A31" s="305" t="s">
        <v>48</v>
      </c>
      <c r="B31" s="306"/>
      <c r="C31" s="34">
        <f t="shared" ref="C31:E31" ca="1" si="42">SUM(C32:C51)</f>
        <v>704720</v>
      </c>
      <c r="D31" s="34">
        <f t="shared" ca="1" si="42"/>
        <v>704720</v>
      </c>
      <c r="E31" s="57">
        <f t="shared" ca="1" si="42"/>
        <v>0</v>
      </c>
      <c r="F31" s="57">
        <f t="shared" ca="1" si="1"/>
        <v>161800</v>
      </c>
      <c r="G31" s="94">
        <f t="shared" ca="1" si="2"/>
        <v>22.959473265977977</v>
      </c>
      <c r="H31" s="57">
        <f t="shared" ref="H31:M31" ca="1" si="43">SUM(H32:H51)</f>
        <v>161800</v>
      </c>
      <c r="I31" s="57">
        <f t="shared" ca="1" si="43"/>
        <v>155940</v>
      </c>
      <c r="J31" s="57">
        <f t="shared" ca="1" si="43"/>
        <v>0</v>
      </c>
      <c r="K31" s="57">
        <f t="shared" ca="1" si="43"/>
        <v>0</v>
      </c>
      <c r="L31" s="57">
        <f t="shared" ca="1" si="43"/>
        <v>5860</v>
      </c>
      <c r="M31" s="95">
        <f t="shared" ca="1" si="43"/>
        <v>0</v>
      </c>
      <c r="N31" s="95">
        <f t="shared" ca="1" si="33"/>
        <v>0</v>
      </c>
      <c r="O31" s="57">
        <f t="shared" ref="O31:P31" ca="1" si="44">SUM(O32:O51)</f>
        <v>80</v>
      </c>
      <c r="P31" s="57">
        <f t="shared" ca="1" si="44"/>
        <v>50</v>
      </c>
      <c r="Q31" s="96">
        <f t="shared" ca="1" si="25"/>
        <v>62.5</v>
      </c>
      <c r="R31" s="57">
        <f t="shared" ref="R31:S31" ca="1" si="45">SUM(R32:R51)</f>
        <v>80</v>
      </c>
      <c r="S31" s="57">
        <f t="shared" ca="1" si="45"/>
        <v>80</v>
      </c>
      <c r="T31" s="96">
        <f t="shared" ca="1" si="26"/>
        <v>100</v>
      </c>
      <c r="U31" s="57">
        <f t="shared" ref="U31:V31" ca="1" si="46">SUM(U32:U51)</f>
        <v>0</v>
      </c>
      <c r="V31" s="57">
        <f t="shared" ca="1" si="46"/>
        <v>0</v>
      </c>
      <c r="W31" s="96">
        <f t="shared" ca="1" si="27"/>
        <v>0</v>
      </c>
      <c r="X31" s="57">
        <f t="shared" ref="X31:Y31" ca="1" si="47">SUM(X32:X51)</f>
        <v>0</v>
      </c>
      <c r="Y31" s="57">
        <f t="shared" ca="1" si="47"/>
        <v>0</v>
      </c>
      <c r="Z31" s="96">
        <f t="shared" ca="1" si="28"/>
        <v>0</v>
      </c>
      <c r="AA31" s="231">
        <f t="shared" ref="AA31:AB31" ca="1" si="48">SUM(AA32:AA51)</f>
        <v>80</v>
      </c>
      <c r="AB31" s="159">
        <f t="shared" ca="1" si="48"/>
        <v>50</v>
      </c>
      <c r="AC31" s="162">
        <f t="shared" ca="1" si="29"/>
        <v>62.5</v>
      </c>
      <c r="AD31" s="231">
        <f t="shared" ref="AD31:AE31" ca="1" si="49">SUM(AD32:AD51)</f>
        <v>80</v>
      </c>
      <c r="AE31" s="159">
        <f t="shared" ca="1" si="49"/>
        <v>0</v>
      </c>
      <c r="AF31" s="162">
        <f t="shared" ca="1" si="30"/>
        <v>0</v>
      </c>
    </row>
    <row r="32" spans="1:32" ht="21" customHeight="1" x14ac:dyDescent="0.3">
      <c r="A32" s="62">
        <v>1</v>
      </c>
      <c r="B32" s="63" t="s">
        <v>49</v>
      </c>
      <c r="C32" s="97">
        <f t="shared" ref="C32:C51" ca="1" si="50">D32+E32</f>
        <v>277260</v>
      </c>
      <c r="D32" s="98">
        <f ca="1">IFERROR(__xludf.DUMMYFUNCTION("IMPORTRANGE(""https://docs.google.com/spreadsheets/d/1fb2B9NLcpJgjIieIJvenUTNPn0TimZDUi0OtYeiSQ_s/edit?usp=sharing"",""กาฬสินธุ์!L528"")"),277260)</f>
        <v>277260</v>
      </c>
      <c r="E32" s="66">
        <f ca="1">IFERROR(__xludf.DUMMYFUNCTION("IMPORTRANGE(""https://docs.google.com/spreadsheets/d/1fb2B9NLcpJgjIieIJvenUTNPn0TimZDUi0OtYeiSQ_s/edit?usp=sharing"",""กาฬสินธุ์!L535"")"),0)</f>
        <v>0</v>
      </c>
      <c r="F32" s="67">
        <f t="shared" ca="1" si="1"/>
        <v>18310</v>
      </c>
      <c r="G32" s="68">
        <f t="shared" ca="1" si="2"/>
        <v>6.6039096876577945</v>
      </c>
      <c r="H32" s="69">
        <f t="shared" ref="H32:H51" ca="1" si="51">I32+J32+K32+L32</f>
        <v>18310</v>
      </c>
      <c r="I32" s="66">
        <f ca="1">IFERROR(__xludf.DUMMYFUNCTION("IMPORTRANGE(""https://docs.google.com/spreadsheets/d/1fb2B9NLcpJgjIieIJvenUTNPn0TimZDUi0OtYeiSQ_s/edit?usp=sharing"",""กาฬสินธุ์!N529"")"),14310)</f>
        <v>14310</v>
      </c>
      <c r="J32" s="66">
        <f ca="1">IFERROR(__xludf.DUMMYFUNCTION("IMPORTRANGE(""https://docs.google.com/spreadsheets/d/1fb2B9NLcpJgjIieIJvenUTNPn0TimZDUi0OtYeiSQ_s/edit?usp=sharing"",""กาฬสินธุ์!N530"")"),0)</f>
        <v>0</v>
      </c>
      <c r="K32" s="66">
        <f ca="1">IFERROR(__xludf.DUMMYFUNCTION("IMPORTRANGE(""https://docs.google.com/spreadsheets/d/1fb2B9NLcpJgjIieIJvenUTNPn0TimZDUi0OtYeiSQ_s/edit?usp=sharing"",""กาฬสินธุ์!N531"")"),0)</f>
        <v>0</v>
      </c>
      <c r="L32" s="66">
        <f ca="1">IFERROR(__xludf.DUMMYFUNCTION("IMPORTRANGE(""https://docs.google.com/spreadsheets/d/1fb2B9NLcpJgjIieIJvenUTNPn0TimZDUi0OtYeiSQ_s/edit?usp=sharing"",""กาฬสินธุ์!N532"")"),4000)</f>
        <v>4000</v>
      </c>
      <c r="M32" s="70">
        <f ca="1">IFERROR(__xludf.DUMMYFUNCTION("IMPORTRANGE(""https://docs.google.com/spreadsheets/d/1fb2B9NLcpJgjIieIJvenUTNPn0TimZDUi0OtYeiSQ_s/edit?usp=sharing"",""กาฬสินธุ์!N535"")"),0)</f>
        <v>0</v>
      </c>
      <c r="N32" s="70">
        <f t="shared" ca="1" si="33"/>
        <v>0</v>
      </c>
      <c r="O32" s="66">
        <f ca="1">IFERROR(__xludf.DUMMYFUNCTION("IMPORTRANGE(""https://docs.google.com/spreadsheets/d/1fb2B9NLcpJgjIieIJvenUTNPn0TimZDUi0OtYeiSQ_s/edit?usp=sharing"",""กาฬสินธุ์!I537"")"),30)</f>
        <v>30</v>
      </c>
      <c r="P32" s="66">
        <f ca="1">IFERROR(__xludf.DUMMYFUNCTION("IMPORTRANGE(""https://docs.google.com/spreadsheets/d/1fb2B9NLcpJgjIieIJvenUTNPn0TimZDUi0OtYeiSQ_s/edit?usp=sharing"",""กาฬสินธุ์!J537"")"),0)</f>
        <v>0</v>
      </c>
      <c r="Q32" s="71">
        <f t="shared" ca="1" si="25"/>
        <v>0</v>
      </c>
      <c r="R32" s="66">
        <f ca="1">IFERROR(__xludf.DUMMYFUNCTION("IMPORTRANGE(""https://docs.google.com/spreadsheets/d/1fb2B9NLcpJgjIieIJvenUTNPn0TimZDUi0OtYeiSQ_s/edit?usp=sharing"",""กาฬสินธุ์!I538"")"),30)</f>
        <v>30</v>
      </c>
      <c r="S32" s="66">
        <f ca="1">IFERROR(__xludf.DUMMYFUNCTION("IMPORTRANGE(""https://docs.google.com/spreadsheets/d/1fb2B9NLcpJgjIieIJvenUTNPn0TimZDUi0OtYeiSQ_s/edit?usp=sharing"",""กาฬสินธุ์!J538"")"),30)</f>
        <v>30</v>
      </c>
      <c r="T32" s="71">
        <f t="shared" ca="1" si="26"/>
        <v>100</v>
      </c>
      <c r="U32" s="66">
        <f ca="1">IFERROR(__xludf.DUMMYFUNCTION("IMPORTRANGE(""https://docs.google.com/spreadsheets/d/1fb2B9NLcpJgjIieIJvenUTNPn0TimZDUi0OtYeiSQ_s/edit?usp=sharing"",""กาฬสินธุ์!I539"")"),0)</f>
        <v>0</v>
      </c>
      <c r="V32" s="66">
        <f ca="1">IFERROR(__xludf.DUMMYFUNCTION("IMPORTRANGE(""https://docs.google.com/spreadsheets/d/1fb2B9NLcpJgjIieIJvenUTNPn0TimZDUi0OtYeiSQ_s/edit?usp=sharing"",""กาฬสินธุ์!J539"")"),0)</f>
        <v>0</v>
      </c>
      <c r="W32" s="71">
        <f t="shared" ca="1" si="27"/>
        <v>0</v>
      </c>
      <c r="X32" s="66">
        <f ca="1">IFERROR(__xludf.DUMMYFUNCTION("IMPORTRANGE(""https://docs.google.com/spreadsheets/d/1fb2B9NLcpJgjIieIJvenUTNPn0TimZDUi0OtYeiSQ_s/edit?usp=sharing"",""กาฬสินธุ์!I540"")"),0)</f>
        <v>0</v>
      </c>
      <c r="Y32" s="66">
        <f ca="1">IFERROR(__xludf.DUMMYFUNCTION("IMPORTRANGE(""https://docs.google.com/spreadsheets/d/1fb2B9NLcpJgjIieIJvenUTNPn0TimZDUi0OtYeiSQ_s/edit?usp=sharing"",""กาฬสินธุ์!J540"")"),0)</f>
        <v>0</v>
      </c>
      <c r="Z32" s="71">
        <f t="shared" ca="1" si="28"/>
        <v>0</v>
      </c>
      <c r="AA32" s="234">
        <f ca="1">IFERROR(__xludf.DUMMYFUNCTION("IMPORTRANGE(""https://docs.google.com/spreadsheets/d/1fb2B9NLcpJgjIieIJvenUTNPn0TimZDUi0OtYeiSQ_s/edit?usp=sharing"",""กาฬสินธุ์!I541"")"),30)</f>
        <v>30</v>
      </c>
      <c r="AB32" s="181">
        <f ca="1">IFERROR(__xludf.DUMMYFUNCTION("IMPORTRANGE(""https://docs.google.com/spreadsheets/d/1fb2B9NLcpJgjIieIJvenUTNPn0TimZDUi0OtYeiSQ_s/edit?usp=sharing"",""กาฬสินธุ์!J541"")"),0)</f>
        <v>0</v>
      </c>
      <c r="AC32" s="186">
        <f t="shared" ca="1" si="29"/>
        <v>0</v>
      </c>
      <c r="AD32" s="234">
        <f ca="1">IFERROR(__xludf.DUMMYFUNCTION("IMPORTRANGE(""https://docs.google.com/spreadsheets/d/1fb2B9NLcpJgjIieIJvenUTNPn0TimZDUi0OtYeiSQ_s/edit?usp=sharing"",""กาฬสินธุ์!I542"")"),30)</f>
        <v>30</v>
      </c>
      <c r="AE32" s="181">
        <f ca="1">IFERROR(__xludf.DUMMYFUNCTION("IMPORTRANGE(""https://docs.google.com/spreadsheets/d/1fb2B9NLcpJgjIieIJvenUTNPn0TimZDUi0OtYeiSQ_s/edit?usp=sharing"",""กาฬสินธุ์!J542"")"),0)</f>
        <v>0</v>
      </c>
      <c r="AF32" s="186">
        <f t="shared" ca="1" si="30"/>
        <v>0</v>
      </c>
    </row>
    <row r="33" spans="1:32" ht="21" customHeight="1" x14ac:dyDescent="0.3">
      <c r="A33" s="72">
        <v>2</v>
      </c>
      <c r="B33" s="73" t="s">
        <v>50</v>
      </c>
      <c r="C33" s="74">
        <f t="shared" ca="1" si="50"/>
        <v>0</v>
      </c>
      <c r="D33" s="75">
        <f ca="1">IFERROR(__xludf.DUMMYFUNCTION("IMPORTRANGE(""https://docs.google.com/spreadsheets/d/1SaMnqrwRGmFYNR0MhpWmHuL5niYUd5E7vDq8X7whAlI/edit?usp=sharing"",""ขอนแก่น!L528"")"),0)</f>
        <v>0</v>
      </c>
      <c r="E33" s="76">
        <f ca="1">IFERROR(__xludf.DUMMYFUNCTION("IMPORTRANGE(""https://docs.google.com/spreadsheets/d/1SaMnqrwRGmFYNR0MhpWmHuL5niYUd5E7vDq8X7whAlI/edit?usp=sharing"",""ขอนแก่น!L535"")"),0)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51"/>
        <v>0</v>
      </c>
      <c r="I33" s="76">
        <f ca="1">IFERROR(__xludf.DUMMYFUNCTION("IMPORTRANGE(""https://docs.google.com/spreadsheets/d/1SaMnqrwRGmFYNR0MhpWmHuL5niYUd5E7vDq8X7whAlI/edit?usp=sharing"",""ขอนแก่น!N529"")"),0)</f>
        <v>0</v>
      </c>
      <c r="J33" s="76">
        <f ca="1">IFERROR(__xludf.DUMMYFUNCTION("IMPORTRANGE(""https://docs.google.com/spreadsheets/d/1SaMnqrwRGmFYNR0MhpWmHuL5niYUd5E7vDq8X7whAlI/edit?usp=sharing"",""ขอนแก่น!N530"")"),0)</f>
        <v>0</v>
      </c>
      <c r="K33" s="76">
        <f ca="1">IFERROR(__xludf.DUMMYFUNCTION("IMPORTRANGE(""https://docs.google.com/spreadsheets/d/1SaMnqrwRGmFYNR0MhpWmHuL5niYUd5E7vDq8X7whAlI/edit?usp=sharing"",""ขอนแก่น!N531"")"),0)</f>
        <v>0</v>
      </c>
      <c r="L33" s="76">
        <f ca="1">IFERROR(__xludf.DUMMYFUNCTION("IMPORTRANGE(""https://docs.google.com/spreadsheets/d/1SaMnqrwRGmFYNR0MhpWmHuL5niYUd5E7vDq8X7whAlI/edit?usp=sharing"",""ขอนแก่น!N532"")"),0)</f>
        <v>0</v>
      </c>
      <c r="M33" s="80">
        <f ca="1">IFERROR(__xludf.DUMMYFUNCTION("IMPORTRANGE(""https://docs.google.com/spreadsheets/d/1SaMnqrwRGmFYNR0MhpWmHuL5niYUd5E7vDq8X7whAlI/edit?usp=sharing"",""ขอนแก่น!N535"")"),0)</f>
        <v>0</v>
      </c>
      <c r="N33" s="80">
        <f t="shared" ca="1" si="33"/>
        <v>0</v>
      </c>
      <c r="O33" s="81">
        <f ca="1">IFERROR(__xludf.DUMMYFUNCTION("IMPORTRANGE(""https://docs.google.com/spreadsheets/d/1SaMnqrwRGmFYNR0MhpWmHuL5niYUd5E7vDq8X7whAlI/edit?usp=sharing"",""ขอนแก่น!I537"")"),0)</f>
        <v>0</v>
      </c>
      <c r="P33" s="81">
        <f ca="1">IFERROR(__xludf.DUMMYFUNCTION("IMPORTRANGE(""https://docs.google.com/spreadsheets/d/1SaMnqrwRGmFYNR0MhpWmHuL5niYUd5E7vDq8X7whAlI/edit?usp=sharing"",""ขอนแก่น!J537"")"),0)</f>
        <v>0</v>
      </c>
      <c r="Q33" s="82">
        <f t="shared" ca="1" si="25"/>
        <v>0</v>
      </c>
      <c r="R33" s="81">
        <f ca="1">IFERROR(__xludf.DUMMYFUNCTION("IMPORTRANGE(""https://docs.google.com/spreadsheets/d/1SaMnqrwRGmFYNR0MhpWmHuL5niYUd5E7vDq8X7whAlI/edit?usp=sharing"",""ขอนแก่น!I538"")"),0)</f>
        <v>0</v>
      </c>
      <c r="S33" s="81">
        <f ca="1">IFERROR(__xludf.DUMMYFUNCTION("IMPORTRANGE(""https://docs.google.com/spreadsheets/d/1SaMnqrwRGmFYNR0MhpWmHuL5niYUd5E7vDq8X7whAlI/edit?usp=sharing"",""ขอนแก่น!J538"")"),0)</f>
        <v>0</v>
      </c>
      <c r="T33" s="82">
        <f t="shared" ca="1" si="26"/>
        <v>0</v>
      </c>
      <c r="U33" s="81">
        <f ca="1">IFERROR(__xludf.DUMMYFUNCTION("IMPORTRANGE(""https://docs.google.com/spreadsheets/d/1SaMnqrwRGmFYNR0MhpWmHuL5niYUd5E7vDq8X7whAlI/edit?usp=sharing"",""ขอนแก่น!I539"")"),0)</f>
        <v>0</v>
      </c>
      <c r="V33" s="81">
        <f ca="1">IFERROR(__xludf.DUMMYFUNCTION("IMPORTRANGE(""https://docs.google.com/spreadsheets/d/1SaMnqrwRGmFYNR0MhpWmHuL5niYUd5E7vDq8X7whAlI/edit?usp=sharing"",""ขอนแก่น!J539"")"),0)</f>
        <v>0</v>
      </c>
      <c r="W33" s="82">
        <f t="shared" ca="1" si="27"/>
        <v>0</v>
      </c>
      <c r="X33" s="81">
        <f ca="1">IFERROR(__xludf.DUMMYFUNCTION("IMPORTRANGE(""https://docs.google.com/spreadsheets/d/1SaMnqrwRGmFYNR0MhpWmHuL5niYUd5E7vDq8X7whAlI/edit?usp=sharing"",""ขอนแก่น!I540"")"),0)</f>
        <v>0</v>
      </c>
      <c r="Y33" s="81">
        <f ca="1">IFERROR(__xludf.DUMMYFUNCTION("IMPORTRANGE(""https://docs.google.com/spreadsheets/d/1SaMnqrwRGmFYNR0MhpWmHuL5niYUd5E7vDq8X7whAlI/edit?usp=sharing"",""ขอนแก่น!J540"")"),0)</f>
        <v>0</v>
      </c>
      <c r="Z33" s="82">
        <f t="shared" ca="1" si="28"/>
        <v>0</v>
      </c>
      <c r="AA33" s="234">
        <f ca="1">IFERROR(__xludf.DUMMYFUNCTION("IMPORTRANGE(""https://docs.google.com/spreadsheets/d/1SaMnqrwRGmFYNR0MhpWmHuL5niYUd5E7vDq8X7whAlI/edit?usp=sharing"",""ขอนแก่น!I541"")"),0)</f>
        <v>0</v>
      </c>
      <c r="AB33" s="181">
        <f ca="1">IFERROR(__xludf.DUMMYFUNCTION("IMPORTRANGE(""https://docs.google.com/spreadsheets/d/1SaMnqrwRGmFYNR0MhpWmHuL5niYUd5E7vDq8X7whAlI/edit?usp=sharing"",""ขอนแก่น!J541"")"),0)</f>
        <v>0</v>
      </c>
      <c r="AC33" s="186">
        <f t="shared" ca="1" si="29"/>
        <v>0</v>
      </c>
      <c r="AD33" s="234">
        <f ca="1">IFERROR(__xludf.DUMMYFUNCTION("IMPORTRANGE(""https://docs.google.com/spreadsheets/d/1SaMnqrwRGmFYNR0MhpWmHuL5niYUd5E7vDq8X7whAlI/edit?usp=sharing"",""ขอนแก่น!I542"")"),0)</f>
        <v>0</v>
      </c>
      <c r="AE33" s="181">
        <f ca="1">IFERROR(__xludf.DUMMYFUNCTION("IMPORTRANGE(""https://docs.google.com/spreadsheets/d/1SaMnqrwRGmFYNR0MhpWmHuL5niYUd5E7vDq8X7whAlI/edit?usp=sharing"",""ขอนแก่น!J542"")"),0)</f>
        <v>0</v>
      </c>
      <c r="AF33" s="186">
        <f t="shared" ca="1" si="30"/>
        <v>0</v>
      </c>
    </row>
    <row r="34" spans="1:32" ht="21" customHeight="1" x14ac:dyDescent="0.3">
      <c r="A34" s="72">
        <v>3</v>
      </c>
      <c r="B34" s="73" t="s">
        <v>51</v>
      </c>
      <c r="C34" s="74">
        <f t="shared" ca="1" si="50"/>
        <v>0</v>
      </c>
      <c r="D34" s="75">
        <f ca="1">IFERROR(__xludf.DUMMYFUNCTION("IMPORTRANGE(""https://docs.google.com/spreadsheets/d/1xQzEtGHhTTgxHh6YUkKY1P4dRyjVhS74dGswLfAASA4/edit?usp=sharing"",""ชัยภูมิ!L528"")"),0)</f>
        <v>0</v>
      </c>
      <c r="E34" s="76">
        <f ca="1">IFERROR(__xludf.DUMMYFUNCTION("IMPORTRANGE(""https://docs.google.com/spreadsheets/d/1xQzEtGHhTTgxHh6YUkKY1P4dRyjVhS74dGswLfAASA4/edit?usp=sharing"",""ชัยภูมิ!L535"")"),0)</f>
        <v>0</v>
      </c>
      <c r="F34" s="77">
        <f t="shared" ca="1" si="1"/>
        <v>0</v>
      </c>
      <c r="G34" s="78">
        <f t="shared" ca="1" si="2"/>
        <v>0</v>
      </c>
      <c r="H34" s="79">
        <f t="shared" ca="1" si="51"/>
        <v>0</v>
      </c>
      <c r="I34" s="76">
        <f ca="1">IFERROR(__xludf.DUMMYFUNCTION("IMPORTRANGE(""https://docs.google.com/spreadsheets/d/1xQzEtGHhTTgxHh6YUkKY1P4dRyjVhS74dGswLfAASA4/edit?usp=sharing"",""ชัยภูมิ!N529"")"),0)</f>
        <v>0</v>
      </c>
      <c r="J34" s="76">
        <f ca="1">IFERROR(__xludf.DUMMYFUNCTION("IMPORTRANGE(""https://docs.google.com/spreadsheets/d/1xQzEtGHhTTgxHh6YUkKY1P4dRyjVhS74dGswLfAASA4/edit?usp=sharing"",""ชัยภูมิ!N530"")"),0)</f>
        <v>0</v>
      </c>
      <c r="K34" s="76">
        <f ca="1">IFERROR(__xludf.DUMMYFUNCTION("IMPORTRANGE(""https://docs.google.com/spreadsheets/d/1xQzEtGHhTTgxHh6YUkKY1P4dRyjVhS74dGswLfAASA4/edit?usp=sharing"",""ชัยภูมิ!N531"")"),0)</f>
        <v>0</v>
      </c>
      <c r="L34" s="76">
        <f ca="1">IFERROR(__xludf.DUMMYFUNCTION("IMPORTRANGE(""https://docs.google.com/spreadsheets/d/1xQzEtGHhTTgxHh6YUkKY1P4dRyjVhS74dGswLfAASA4/edit?usp=sharing"",""ชัยภูมิ!N532"")"),0)</f>
        <v>0</v>
      </c>
      <c r="M34" s="80">
        <f ca="1">IFERROR(__xludf.DUMMYFUNCTION("IMPORTRANGE(""https://docs.google.com/spreadsheets/d/1xQzEtGHhTTgxHh6YUkKY1P4dRyjVhS74dGswLfAASA4/edit?usp=sharing"",""ชัยภูมิ!N535"")"),0)</f>
        <v>0</v>
      </c>
      <c r="N34" s="80">
        <f t="shared" ca="1" si="33"/>
        <v>0</v>
      </c>
      <c r="O34" s="81">
        <f ca="1">IFERROR(__xludf.DUMMYFUNCTION("IMPORTRANGE(""https://docs.google.com/spreadsheets/d/1xQzEtGHhTTgxHh6YUkKY1P4dRyjVhS74dGswLfAASA4/edit?usp=sharing"",""ชัยภูมิ!I537"")"),0)</f>
        <v>0</v>
      </c>
      <c r="P34" s="81">
        <f ca="1">IFERROR(__xludf.DUMMYFUNCTION("IMPORTRANGE(""https://docs.google.com/spreadsheets/d/1xQzEtGHhTTgxHh6YUkKY1P4dRyjVhS74dGswLfAASA4/edit?usp=sharing"",""ชัยภูมิ!J537"")"),0)</f>
        <v>0</v>
      </c>
      <c r="Q34" s="82">
        <f t="shared" ca="1" si="25"/>
        <v>0</v>
      </c>
      <c r="R34" s="81">
        <f ca="1">IFERROR(__xludf.DUMMYFUNCTION("IMPORTRANGE(""https://docs.google.com/spreadsheets/d/1xQzEtGHhTTgxHh6YUkKY1P4dRyjVhS74dGswLfAASA4/edit?usp=sharing"",""ชัยภูมิ!I538"")"),0)</f>
        <v>0</v>
      </c>
      <c r="S34" s="81">
        <f ca="1">IFERROR(__xludf.DUMMYFUNCTION("IMPORTRANGE(""https://docs.google.com/spreadsheets/d/1xQzEtGHhTTgxHh6YUkKY1P4dRyjVhS74dGswLfAASA4/edit?usp=sharing"",""ชัยภูมิ!J538"")"),0)</f>
        <v>0</v>
      </c>
      <c r="T34" s="82">
        <f t="shared" ca="1" si="26"/>
        <v>0</v>
      </c>
      <c r="U34" s="81">
        <f ca="1">IFERROR(__xludf.DUMMYFUNCTION("IMPORTRANGE(""https://docs.google.com/spreadsheets/d/1xQzEtGHhTTgxHh6YUkKY1P4dRyjVhS74dGswLfAASA4/edit?usp=sharing"",""ชัยภูมิ!I539"")"),0)</f>
        <v>0</v>
      </c>
      <c r="V34" s="81">
        <f ca="1">IFERROR(__xludf.DUMMYFUNCTION("IMPORTRANGE(""https://docs.google.com/spreadsheets/d/1xQzEtGHhTTgxHh6YUkKY1P4dRyjVhS74dGswLfAASA4/edit?usp=sharing"",""ชัยภูมิ!J539"")"),0)</f>
        <v>0</v>
      </c>
      <c r="W34" s="82">
        <f t="shared" ca="1" si="27"/>
        <v>0</v>
      </c>
      <c r="X34" s="81">
        <f ca="1">IFERROR(__xludf.DUMMYFUNCTION("IMPORTRANGE(""https://docs.google.com/spreadsheets/d/1xQzEtGHhTTgxHh6YUkKY1P4dRyjVhS74dGswLfAASA4/edit?usp=sharing"",""ชัยภูมิ!I540"")"),0)</f>
        <v>0</v>
      </c>
      <c r="Y34" s="81">
        <f ca="1">IFERROR(__xludf.DUMMYFUNCTION("IMPORTRANGE(""https://docs.google.com/spreadsheets/d/1xQzEtGHhTTgxHh6YUkKY1P4dRyjVhS74dGswLfAASA4/edit?usp=sharing"",""ชัยภูมิ!J540"")"),0)</f>
        <v>0</v>
      </c>
      <c r="Z34" s="82">
        <f t="shared" ca="1" si="28"/>
        <v>0</v>
      </c>
      <c r="AA34" s="234">
        <f ca="1">IFERROR(__xludf.DUMMYFUNCTION("IMPORTRANGE(""https://docs.google.com/spreadsheets/d/1xQzEtGHhTTgxHh6YUkKY1P4dRyjVhS74dGswLfAASA4/edit?usp=sharing"",""ชัยภูมิ!I541"")"),0)</f>
        <v>0</v>
      </c>
      <c r="AB34" s="181">
        <f ca="1">IFERROR(__xludf.DUMMYFUNCTION("IMPORTRANGE(""https://docs.google.com/spreadsheets/d/1xQzEtGHhTTgxHh6YUkKY1P4dRyjVhS74dGswLfAASA4/edit?usp=sharing"",""ชัยภูมิ!J541"")"),0)</f>
        <v>0</v>
      </c>
      <c r="AC34" s="186">
        <f t="shared" ca="1" si="29"/>
        <v>0</v>
      </c>
      <c r="AD34" s="234">
        <f ca="1">IFERROR(__xludf.DUMMYFUNCTION("IMPORTRANGE(""https://docs.google.com/spreadsheets/d/1xQzEtGHhTTgxHh6YUkKY1P4dRyjVhS74dGswLfAASA4/edit?usp=sharing"",""ชัยภูมิ!I542"")"),0)</f>
        <v>0</v>
      </c>
      <c r="AE34" s="181">
        <f ca="1">IFERROR(__xludf.DUMMYFUNCTION("IMPORTRANGE(""https://docs.google.com/spreadsheets/d/1xQzEtGHhTTgxHh6YUkKY1P4dRyjVhS74dGswLfAASA4/edit?usp=sharing"",""ชัยภูมิ!J542"")"),0)</f>
        <v>0</v>
      </c>
      <c r="AF34" s="186">
        <f t="shared" ca="1" si="30"/>
        <v>0</v>
      </c>
    </row>
    <row r="35" spans="1:32" ht="21" customHeight="1" x14ac:dyDescent="0.3">
      <c r="A35" s="72">
        <v>4</v>
      </c>
      <c r="B35" s="73" t="s">
        <v>52</v>
      </c>
      <c r="C35" s="74">
        <f t="shared" ca="1" si="50"/>
        <v>0</v>
      </c>
      <c r="D35" s="75">
        <f ca="1">IFERROR(__xludf.DUMMYFUNCTION("IMPORTRANGE(""https://docs.google.com/spreadsheets/d/1EXMBoBxU3OFbjT2TRpneM33qFjqDzrKmn9ydcflfI0o/edit?usp=sharing"",""นครพนม!L528"")"),0)</f>
        <v>0</v>
      </c>
      <c r="E35" s="76">
        <f ca="1">IFERROR(__xludf.DUMMYFUNCTION("IMPORTRANGE(""https://docs.google.com/spreadsheets/d/1EXMBoBxU3OFbjT2TRpneM33qFjqDzrKmn9ydcflfI0o/edit?usp=sharing"",""นครพนม!L535"")"),0)</f>
        <v>0</v>
      </c>
      <c r="F35" s="77">
        <f t="shared" ca="1" si="1"/>
        <v>0</v>
      </c>
      <c r="G35" s="78">
        <f t="shared" ca="1" si="2"/>
        <v>0</v>
      </c>
      <c r="H35" s="79">
        <f t="shared" ca="1" si="51"/>
        <v>0</v>
      </c>
      <c r="I35" s="76">
        <f ca="1">IFERROR(__xludf.DUMMYFUNCTION("IMPORTRANGE(""https://docs.google.com/spreadsheets/d/1EXMBoBxU3OFbjT2TRpneM33qFjqDzrKmn9ydcflfI0o/edit?usp=sharing"",""นครพนม!N529"")"),0)</f>
        <v>0</v>
      </c>
      <c r="J35" s="76">
        <f ca="1">IFERROR(__xludf.DUMMYFUNCTION("IMPORTRANGE(""https://docs.google.com/spreadsheets/d/1EXMBoBxU3OFbjT2TRpneM33qFjqDzrKmn9ydcflfI0o/edit?usp=sharing"",""นครพนม!N530"")"),0)</f>
        <v>0</v>
      </c>
      <c r="K35" s="76">
        <f ca="1">IFERROR(__xludf.DUMMYFUNCTION("IMPORTRANGE(""https://docs.google.com/spreadsheets/d/1EXMBoBxU3OFbjT2TRpneM33qFjqDzrKmn9ydcflfI0o/edit?usp=sharing"",""นครพนม!N531"")"),0)</f>
        <v>0</v>
      </c>
      <c r="L35" s="76">
        <f ca="1">IFERROR(__xludf.DUMMYFUNCTION("IMPORTRANGE(""https://docs.google.com/spreadsheets/d/1EXMBoBxU3OFbjT2TRpneM33qFjqDzrKmn9ydcflfI0o/edit?usp=sharing"",""นครพนม!N532"")"),0)</f>
        <v>0</v>
      </c>
      <c r="M35" s="80">
        <f ca="1">IFERROR(__xludf.DUMMYFUNCTION("IMPORTRANGE(""https://docs.google.com/spreadsheets/d/1EXMBoBxU3OFbjT2TRpneM33qFjqDzrKmn9ydcflfI0o/edit?usp=sharing"",""นครพนม!N535"")"),0)</f>
        <v>0</v>
      </c>
      <c r="N35" s="80">
        <f t="shared" ca="1" si="33"/>
        <v>0</v>
      </c>
      <c r="O35" s="81">
        <f ca="1">IFERROR(__xludf.DUMMYFUNCTION("IMPORTRANGE(""https://docs.google.com/spreadsheets/d/1EXMBoBxU3OFbjT2TRpneM33qFjqDzrKmn9ydcflfI0o/edit?usp=sharing"",""นครพนม!I537"")"),0)</f>
        <v>0</v>
      </c>
      <c r="P35" s="81">
        <f ca="1">IFERROR(__xludf.DUMMYFUNCTION("IMPORTRANGE(""https://docs.google.com/spreadsheets/d/1EXMBoBxU3OFbjT2TRpneM33qFjqDzrKmn9ydcflfI0o/edit?usp=sharing"",""นครพนม!J537"")"),0)</f>
        <v>0</v>
      </c>
      <c r="Q35" s="82">
        <f t="shared" ca="1" si="25"/>
        <v>0</v>
      </c>
      <c r="R35" s="81">
        <f ca="1">IFERROR(__xludf.DUMMYFUNCTION("IMPORTRANGE(""https://docs.google.com/spreadsheets/d/1EXMBoBxU3OFbjT2TRpneM33qFjqDzrKmn9ydcflfI0o/edit?usp=sharing"",""นครพนม!I538"")"),0)</f>
        <v>0</v>
      </c>
      <c r="S35" s="81">
        <f ca="1">IFERROR(__xludf.DUMMYFUNCTION("IMPORTRANGE(""https://docs.google.com/spreadsheets/d/1EXMBoBxU3OFbjT2TRpneM33qFjqDzrKmn9ydcflfI0o/edit?usp=sharing"",""นครพนม!J538"")"),0)</f>
        <v>0</v>
      </c>
      <c r="T35" s="82">
        <f t="shared" ca="1" si="26"/>
        <v>0</v>
      </c>
      <c r="U35" s="81">
        <f ca="1">IFERROR(__xludf.DUMMYFUNCTION("IMPORTRANGE(""https://docs.google.com/spreadsheets/d/1EXMBoBxU3OFbjT2TRpneM33qFjqDzrKmn9ydcflfI0o/edit?usp=sharing"",""นครพนม!I539"")"),0)</f>
        <v>0</v>
      </c>
      <c r="V35" s="81">
        <f ca="1">IFERROR(__xludf.DUMMYFUNCTION("IMPORTRANGE(""https://docs.google.com/spreadsheets/d/1EXMBoBxU3OFbjT2TRpneM33qFjqDzrKmn9ydcflfI0o/edit?usp=sharing"",""นครพนม!J539"")"),0)</f>
        <v>0</v>
      </c>
      <c r="W35" s="82">
        <f t="shared" ca="1" si="27"/>
        <v>0</v>
      </c>
      <c r="X35" s="81">
        <f ca="1">IFERROR(__xludf.DUMMYFUNCTION("IMPORTRANGE(""https://docs.google.com/spreadsheets/d/1EXMBoBxU3OFbjT2TRpneM33qFjqDzrKmn9ydcflfI0o/edit?usp=sharing"",""นครพนม!I540"")"),0)</f>
        <v>0</v>
      </c>
      <c r="Y35" s="81">
        <f ca="1">IFERROR(__xludf.DUMMYFUNCTION("IMPORTRANGE(""https://docs.google.com/spreadsheets/d/1EXMBoBxU3OFbjT2TRpneM33qFjqDzrKmn9ydcflfI0o/edit?usp=sharing"",""นครพนม!J540"")"),0)</f>
        <v>0</v>
      </c>
      <c r="Z35" s="82">
        <f t="shared" ca="1" si="28"/>
        <v>0</v>
      </c>
      <c r="AA35" s="234">
        <f ca="1">IFERROR(__xludf.DUMMYFUNCTION("IMPORTRANGE(""https://docs.google.com/spreadsheets/d/1EXMBoBxU3OFbjT2TRpneM33qFjqDzrKmn9ydcflfI0o/edit?usp=sharing"",""นครพนม!I541"")"),0)</f>
        <v>0</v>
      </c>
      <c r="AB35" s="181">
        <f ca="1">IFERROR(__xludf.DUMMYFUNCTION("IMPORTRANGE(""https://docs.google.com/spreadsheets/d/1EXMBoBxU3OFbjT2TRpneM33qFjqDzrKmn9ydcflfI0o/edit?usp=sharing"",""นครพนม!J541"")"),0)</f>
        <v>0</v>
      </c>
      <c r="AC35" s="186">
        <f t="shared" ca="1" si="29"/>
        <v>0</v>
      </c>
      <c r="AD35" s="234">
        <f ca="1">IFERROR(__xludf.DUMMYFUNCTION("IMPORTRANGE(""https://docs.google.com/spreadsheets/d/1EXMBoBxU3OFbjT2TRpneM33qFjqDzrKmn9ydcflfI0o/edit?usp=sharing"",""นครพนม!I542"")"),0)</f>
        <v>0</v>
      </c>
      <c r="AE35" s="181">
        <f ca="1">IFERROR(__xludf.DUMMYFUNCTION("IMPORTRANGE(""https://docs.google.com/spreadsheets/d/1EXMBoBxU3OFbjT2TRpneM33qFjqDzrKmn9ydcflfI0o/edit?usp=sharing"",""นครพนม!J542"")"),0)</f>
        <v>0</v>
      </c>
      <c r="AF35" s="186">
        <f t="shared" ca="1" si="30"/>
        <v>0</v>
      </c>
    </row>
    <row r="36" spans="1:32" ht="21" customHeight="1" x14ac:dyDescent="0.3">
      <c r="A36" s="72">
        <v>5</v>
      </c>
      <c r="B36" s="73" t="s">
        <v>53</v>
      </c>
      <c r="C36" s="74">
        <f t="shared" ca="1" si="50"/>
        <v>427460</v>
      </c>
      <c r="D36" s="75">
        <f ca="1">IFERROR(__xludf.DUMMYFUNCTION("IMPORTRANGE(""https://docs.google.com/spreadsheets/d/1bDQrolntRWtHumK8W-x-HXKntwxB9S3sF5aDeRS66Ko/edit?usp=sharing"",""นครราชสีมา!L528"")"),427460)</f>
        <v>427460</v>
      </c>
      <c r="E36" s="76">
        <f ca="1">IFERROR(__xludf.DUMMYFUNCTION("IMPORTRANGE(""https://docs.google.com/spreadsheets/d/1bDQrolntRWtHumK8W-x-HXKntwxB9S3sF5aDeRS66Ko/edit?usp=sharing"",""นครราชสีมา!L535"")"),0)</f>
        <v>0</v>
      </c>
      <c r="F36" s="77">
        <f t="shared" ca="1" si="1"/>
        <v>143490</v>
      </c>
      <c r="G36" s="78">
        <f t="shared" ca="1" si="2"/>
        <v>33.568053151172037</v>
      </c>
      <c r="H36" s="79">
        <f t="shared" ca="1" si="51"/>
        <v>143490</v>
      </c>
      <c r="I36" s="76">
        <f ca="1">IFERROR(__xludf.DUMMYFUNCTION("IMPORTRANGE(""https://docs.google.com/spreadsheets/d/1bDQrolntRWtHumK8W-x-HXKntwxB9S3sF5aDeRS66Ko/edit?usp=sharing"",""นครราชสีมา!N529"")"),141630)</f>
        <v>141630</v>
      </c>
      <c r="J36" s="76">
        <f ca="1">IFERROR(__xludf.DUMMYFUNCTION("IMPORTRANGE(""https://docs.google.com/spreadsheets/d/1bDQrolntRWtHumK8W-x-HXKntwxB9S3sF5aDeRS66Ko/edit?usp=sharing"",""นครราชสีมา!N530"")"),0)</f>
        <v>0</v>
      </c>
      <c r="K36" s="76">
        <f ca="1">IFERROR(__xludf.DUMMYFUNCTION("IMPORTRANGE(""https://docs.google.com/spreadsheets/d/1bDQrolntRWtHumK8W-x-HXKntwxB9S3sF5aDeRS66Ko/edit?usp=sharing"",""นครราชสีมา!N531"")"),0)</f>
        <v>0</v>
      </c>
      <c r="L36" s="76">
        <f ca="1">IFERROR(__xludf.DUMMYFUNCTION("IMPORTRANGE(""https://docs.google.com/spreadsheets/d/1bDQrolntRWtHumK8W-x-HXKntwxB9S3sF5aDeRS66Ko/edit?usp=sharing"",""นครราชสีมา!N532"")"),1860)</f>
        <v>1860</v>
      </c>
      <c r="M36" s="80">
        <f ca="1">IFERROR(__xludf.DUMMYFUNCTION("IMPORTRANGE(""https://docs.google.com/spreadsheets/d/1bDQrolntRWtHumK8W-x-HXKntwxB9S3sF5aDeRS66Ko/edit?usp=sharing"",""นครราชสีมา!N535"")"),0)</f>
        <v>0</v>
      </c>
      <c r="N36" s="80">
        <f t="shared" ca="1" si="33"/>
        <v>0</v>
      </c>
      <c r="O36" s="81">
        <f ca="1">IFERROR(__xludf.DUMMYFUNCTION("IMPORTRANGE(""https://docs.google.com/spreadsheets/d/1bDQrolntRWtHumK8W-x-HXKntwxB9S3sF5aDeRS66Ko/edit?usp=sharing"",""นครราชสีมา!I537"")"),50)</f>
        <v>50</v>
      </c>
      <c r="P36" s="81">
        <f ca="1">IFERROR(__xludf.DUMMYFUNCTION("IMPORTRANGE(""https://docs.google.com/spreadsheets/d/1bDQrolntRWtHumK8W-x-HXKntwxB9S3sF5aDeRS66Ko/edit?usp=sharing"",""นครราชสีมา!J537"")"),50)</f>
        <v>50</v>
      </c>
      <c r="Q36" s="82">
        <f t="shared" ca="1" si="25"/>
        <v>100</v>
      </c>
      <c r="R36" s="81">
        <f ca="1">IFERROR(__xludf.DUMMYFUNCTION("IMPORTRANGE(""https://docs.google.com/spreadsheets/d/1bDQrolntRWtHumK8W-x-HXKntwxB9S3sF5aDeRS66Ko/edit?usp=sharing"",""นครราชสีมา!I538"")"),50)</f>
        <v>50</v>
      </c>
      <c r="S36" s="81">
        <f ca="1">IFERROR(__xludf.DUMMYFUNCTION("IMPORTRANGE(""https://docs.google.com/spreadsheets/d/1bDQrolntRWtHumK8W-x-HXKntwxB9S3sF5aDeRS66Ko/edit?usp=sharing"",""นครราชสีมา!J538"")"),50)</f>
        <v>50</v>
      </c>
      <c r="T36" s="82">
        <f t="shared" ca="1" si="26"/>
        <v>100</v>
      </c>
      <c r="U36" s="81">
        <f ca="1">IFERROR(__xludf.DUMMYFUNCTION("IMPORTRANGE(""https://docs.google.com/spreadsheets/d/1bDQrolntRWtHumK8W-x-HXKntwxB9S3sF5aDeRS66Ko/edit?usp=sharing"",""นครราชสีมา!I539"")"),0)</f>
        <v>0</v>
      </c>
      <c r="V36" s="81">
        <f ca="1">IFERROR(__xludf.DUMMYFUNCTION("IMPORTRANGE(""https://docs.google.com/spreadsheets/d/1bDQrolntRWtHumK8W-x-HXKntwxB9S3sF5aDeRS66Ko/edit?usp=sharing"",""นครราชสีมา!J539"")"),0)</f>
        <v>0</v>
      </c>
      <c r="W36" s="82">
        <f t="shared" ca="1" si="27"/>
        <v>0</v>
      </c>
      <c r="X36" s="81">
        <f ca="1">IFERROR(__xludf.DUMMYFUNCTION("IMPORTRANGE(""https://docs.google.com/spreadsheets/d/1bDQrolntRWtHumK8W-x-HXKntwxB9S3sF5aDeRS66Ko/edit?usp=sharing"",""นครราชสีมา!I540"")"),0)</f>
        <v>0</v>
      </c>
      <c r="Y36" s="81">
        <f ca="1">IFERROR(__xludf.DUMMYFUNCTION("IMPORTRANGE(""https://docs.google.com/spreadsheets/d/1bDQrolntRWtHumK8W-x-HXKntwxB9S3sF5aDeRS66Ko/edit?usp=sharing"",""นครราชสีมา!J540"")"),0)</f>
        <v>0</v>
      </c>
      <c r="Z36" s="82">
        <f t="shared" ca="1" si="28"/>
        <v>0</v>
      </c>
      <c r="AA36" s="234">
        <f ca="1">IFERROR(__xludf.DUMMYFUNCTION("IMPORTRANGE(""https://docs.google.com/spreadsheets/d/1bDQrolntRWtHumK8W-x-HXKntwxB9S3sF5aDeRS66Ko/edit?usp=sharing"",""นครราชสีมา!I541"")"),50)</f>
        <v>50</v>
      </c>
      <c r="AB36" s="181">
        <f ca="1">IFERROR(__xludf.DUMMYFUNCTION("IMPORTRANGE(""https://docs.google.com/spreadsheets/d/1bDQrolntRWtHumK8W-x-HXKntwxB9S3sF5aDeRS66Ko/edit?usp=sharing"",""นครราชสีมา!J541"")"),50)</f>
        <v>50</v>
      </c>
      <c r="AC36" s="186">
        <f t="shared" ca="1" si="29"/>
        <v>100</v>
      </c>
      <c r="AD36" s="234">
        <f ca="1">IFERROR(__xludf.DUMMYFUNCTION("IMPORTRANGE(""https://docs.google.com/spreadsheets/d/1bDQrolntRWtHumK8W-x-HXKntwxB9S3sF5aDeRS66Ko/edit?usp=sharing"",""นครราชสีมา!I542"")"),50)</f>
        <v>50</v>
      </c>
      <c r="AE36" s="181">
        <f ca="1">IFERROR(__xludf.DUMMYFUNCTION("IMPORTRANGE(""https://docs.google.com/spreadsheets/d/1bDQrolntRWtHumK8W-x-HXKntwxB9S3sF5aDeRS66Ko/edit?usp=sharing"",""นครราชสีมา!J542"")"),0)</f>
        <v>0</v>
      </c>
      <c r="AF36" s="186">
        <f t="shared" ca="1" si="30"/>
        <v>0</v>
      </c>
    </row>
    <row r="37" spans="1:32" ht="21" customHeight="1" x14ac:dyDescent="0.3">
      <c r="A37" s="72">
        <v>6</v>
      </c>
      <c r="B37" s="73" t="s">
        <v>54</v>
      </c>
      <c r="C37" s="74">
        <f t="shared" ca="1" si="50"/>
        <v>0</v>
      </c>
      <c r="D37" s="75">
        <f ca="1">IFERROR(__xludf.DUMMYFUNCTION("IMPORTRANGE(""https://docs.google.com/spreadsheets/d/1_MzZ-2gVPiCW-d2VcafoCmFJQTSrZ6SQyFcMqRRQQ2w/edit?usp=sharing"",""บึงกาฬ!L528"")"),0)</f>
        <v>0</v>
      </c>
      <c r="E37" s="76">
        <f ca="1">IFERROR(__xludf.DUMMYFUNCTION("IMPORTRANGE(""https://docs.google.com/spreadsheets/d/1_MzZ-2gVPiCW-d2VcafoCmFJQTSrZ6SQyFcMqRRQQ2w/edit?usp=sharing"",""บึงกาฬ!L535"")"),0)</f>
        <v>0</v>
      </c>
      <c r="F37" s="77">
        <f t="shared" ca="1" si="1"/>
        <v>0</v>
      </c>
      <c r="G37" s="78">
        <f t="shared" ca="1" si="2"/>
        <v>0</v>
      </c>
      <c r="H37" s="79">
        <f t="shared" ca="1" si="51"/>
        <v>0</v>
      </c>
      <c r="I37" s="76">
        <f ca="1">IFERROR(__xludf.DUMMYFUNCTION("IMPORTRANGE(""https://docs.google.com/spreadsheets/d/1_MzZ-2gVPiCW-d2VcafoCmFJQTSrZ6SQyFcMqRRQQ2w/edit?usp=sharing"",""บึงกาฬ!N529"")"),0)</f>
        <v>0</v>
      </c>
      <c r="J37" s="76">
        <f ca="1">IFERROR(__xludf.DUMMYFUNCTION("IMPORTRANGE(""https://docs.google.com/spreadsheets/d/1_MzZ-2gVPiCW-d2VcafoCmFJQTSrZ6SQyFcMqRRQQ2w/edit?usp=sharing"",""บึงกาฬ!N530"")"),0)</f>
        <v>0</v>
      </c>
      <c r="K37" s="76">
        <f ca="1">IFERROR(__xludf.DUMMYFUNCTION("IMPORTRANGE(""https://docs.google.com/spreadsheets/d/1_MzZ-2gVPiCW-d2VcafoCmFJQTSrZ6SQyFcMqRRQQ2w/edit?usp=sharing"",""บึงกาฬ!N531"")"),0)</f>
        <v>0</v>
      </c>
      <c r="L37" s="76">
        <f ca="1">IFERROR(__xludf.DUMMYFUNCTION("IMPORTRANGE(""https://docs.google.com/spreadsheets/d/1_MzZ-2gVPiCW-d2VcafoCmFJQTSrZ6SQyFcMqRRQQ2w/edit?usp=sharing"",""บึงกาฬ!N532"")"),0)</f>
        <v>0</v>
      </c>
      <c r="M37" s="80">
        <f ca="1">IFERROR(__xludf.DUMMYFUNCTION("IMPORTRANGE(""https://docs.google.com/spreadsheets/d/1_MzZ-2gVPiCW-d2VcafoCmFJQTSrZ6SQyFcMqRRQQ2w/edit?usp=sharing"",""บึงกาฬ!N535"")"),0)</f>
        <v>0</v>
      </c>
      <c r="N37" s="80">
        <f t="shared" ca="1" si="33"/>
        <v>0</v>
      </c>
      <c r="O37" s="81">
        <f ca="1">IFERROR(__xludf.DUMMYFUNCTION("IMPORTRANGE(""https://docs.google.com/spreadsheets/d/1_MzZ-2gVPiCW-d2VcafoCmFJQTSrZ6SQyFcMqRRQQ2w/edit?usp=sharing"",""บึงกาฬ!I537"")"),0)</f>
        <v>0</v>
      </c>
      <c r="P37" s="81">
        <f ca="1">IFERROR(__xludf.DUMMYFUNCTION("IMPORTRANGE(""https://docs.google.com/spreadsheets/d/1_MzZ-2gVPiCW-d2VcafoCmFJQTSrZ6SQyFcMqRRQQ2w/edit?usp=sharing"",""บึงกาฬ!J537"")"),0)</f>
        <v>0</v>
      </c>
      <c r="Q37" s="82">
        <f t="shared" ca="1" si="25"/>
        <v>0</v>
      </c>
      <c r="R37" s="81">
        <f ca="1">IFERROR(__xludf.DUMMYFUNCTION("IMPORTRANGE(""https://docs.google.com/spreadsheets/d/1_MzZ-2gVPiCW-d2VcafoCmFJQTSrZ6SQyFcMqRRQQ2w/edit?usp=sharing"",""บึงกาฬ!I538"")"),0)</f>
        <v>0</v>
      </c>
      <c r="S37" s="81">
        <f ca="1">IFERROR(__xludf.DUMMYFUNCTION("IMPORTRANGE(""https://docs.google.com/spreadsheets/d/1_MzZ-2gVPiCW-d2VcafoCmFJQTSrZ6SQyFcMqRRQQ2w/edit?usp=sharing"",""บึงกาฬ!J538"")"),0)</f>
        <v>0</v>
      </c>
      <c r="T37" s="82">
        <f t="shared" ca="1" si="26"/>
        <v>0</v>
      </c>
      <c r="U37" s="81">
        <f ca="1">IFERROR(__xludf.DUMMYFUNCTION("IMPORTRANGE(""https://docs.google.com/spreadsheets/d/1_MzZ-2gVPiCW-d2VcafoCmFJQTSrZ6SQyFcMqRRQQ2w/edit?usp=sharing"",""บึงกาฬ!I539"")"),0)</f>
        <v>0</v>
      </c>
      <c r="V37" s="81">
        <f ca="1">IFERROR(__xludf.DUMMYFUNCTION("IMPORTRANGE(""https://docs.google.com/spreadsheets/d/1_MzZ-2gVPiCW-d2VcafoCmFJQTSrZ6SQyFcMqRRQQ2w/edit?usp=sharing"",""บึงกาฬ!J539"")"),0)</f>
        <v>0</v>
      </c>
      <c r="W37" s="82">
        <f t="shared" ca="1" si="27"/>
        <v>0</v>
      </c>
      <c r="X37" s="81">
        <f ca="1">IFERROR(__xludf.DUMMYFUNCTION("IMPORTRANGE(""https://docs.google.com/spreadsheets/d/1_MzZ-2gVPiCW-d2VcafoCmFJQTSrZ6SQyFcMqRRQQ2w/edit?usp=sharing"",""บึงกาฬ!I540"")"),0)</f>
        <v>0</v>
      </c>
      <c r="Y37" s="81">
        <f ca="1">IFERROR(__xludf.DUMMYFUNCTION("IMPORTRANGE(""https://docs.google.com/spreadsheets/d/1_MzZ-2gVPiCW-d2VcafoCmFJQTSrZ6SQyFcMqRRQQ2w/edit?usp=sharing"",""บึงกาฬ!J540"")"),0)</f>
        <v>0</v>
      </c>
      <c r="Z37" s="82">
        <f t="shared" ca="1" si="28"/>
        <v>0</v>
      </c>
      <c r="AA37" s="234">
        <f ca="1">IFERROR(__xludf.DUMMYFUNCTION("IMPORTRANGE(""https://docs.google.com/spreadsheets/d/1_MzZ-2gVPiCW-d2VcafoCmFJQTSrZ6SQyFcMqRRQQ2w/edit?usp=sharing"",""บึงกาฬ!I541"")"),0)</f>
        <v>0</v>
      </c>
      <c r="AB37" s="181">
        <f ca="1">IFERROR(__xludf.DUMMYFUNCTION("IMPORTRANGE(""https://docs.google.com/spreadsheets/d/1_MzZ-2gVPiCW-d2VcafoCmFJQTSrZ6SQyFcMqRRQQ2w/edit?usp=sharing"",""บึงกาฬ!J541"")"),0)</f>
        <v>0</v>
      </c>
      <c r="AC37" s="186">
        <f t="shared" ca="1" si="29"/>
        <v>0</v>
      </c>
      <c r="AD37" s="234">
        <f ca="1">IFERROR(__xludf.DUMMYFUNCTION("IMPORTRANGE(""https://docs.google.com/spreadsheets/d/1_MzZ-2gVPiCW-d2VcafoCmFJQTSrZ6SQyFcMqRRQQ2w/edit?usp=sharing"",""บึงกาฬ!I542"")"),0)</f>
        <v>0</v>
      </c>
      <c r="AE37" s="181">
        <f ca="1">IFERROR(__xludf.DUMMYFUNCTION("IMPORTRANGE(""https://docs.google.com/spreadsheets/d/1_MzZ-2gVPiCW-d2VcafoCmFJQTSrZ6SQyFcMqRRQQ2w/edit?usp=sharing"",""บึงกาฬ!J542"")"),0)</f>
        <v>0</v>
      </c>
      <c r="AF37" s="186">
        <f t="shared" ca="1" si="30"/>
        <v>0</v>
      </c>
    </row>
    <row r="38" spans="1:32" ht="21" customHeight="1" x14ac:dyDescent="0.3">
      <c r="A38" s="72">
        <v>7</v>
      </c>
      <c r="B38" s="73" t="s">
        <v>55</v>
      </c>
      <c r="C38" s="74">
        <f t="shared" ca="1" si="50"/>
        <v>0</v>
      </c>
      <c r="D38" s="75">
        <f ca="1">IFERROR(__xludf.DUMMYFUNCTION("IMPORTRANGE(""https://docs.google.com/spreadsheets/d/1B3lPpzOuaNwVItLwLEZYl_qEblfcx7dRnbRkAw0l-pE/edit?usp=sharing"",""บุรีรัมย์!L528"")"),0)</f>
        <v>0</v>
      </c>
      <c r="E38" s="76">
        <f ca="1">IFERROR(__xludf.DUMMYFUNCTION("IMPORTRANGE(""https://docs.google.com/spreadsheets/d/1B3lPpzOuaNwVItLwLEZYl_qEblfcx7dRnbRkAw0l-pE/edit?usp=sharing"",""บุรีรัมย์!L535"")"),0)</f>
        <v>0</v>
      </c>
      <c r="F38" s="77">
        <f t="shared" ca="1" si="1"/>
        <v>0</v>
      </c>
      <c r="G38" s="78">
        <f t="shared" ca="1" si="2"/>
        <v>0</v>
      </c>
      <c r="H38" s="79">
        <f t="shared" ca="1" si="51"/>
        <v>0</v>
      </c>
      <c r="I38" s="76">
        <f ca="1">IFERROR(__xludf.DUMMYFUNCTION("IMPORTRANGE(""https://docs.google.com/spreadsheets/d/1B3lPpzOuaNwVItLwLEZYl_qEblfcx7dRnbRkAw0l-pE/edit?usp=sharing"",""บุรีรัมย์!N529"")"),0)</f>
        <v>0</v>
      </c>
      <c r="J38" s="76">
        <f ca="1">IFERROR(__xludf.DUMMYFUNCTION("IMPORTRANGE(""https://docs.google.com/spreadsheets/d/1B3lPpzOuaNwVItLwLEZYl_qEblfcx7dRnbRkAw0l-pE/edit?usp=sharing"",""บุรีรัมย์!N530"")"),0)</f>
        <v>0</v>
      </c>
      <c r="K38" s="76">
        <f ca="1">IFERROR(__xludf.DUMMYFUNCTION("IMPORTRANGE(""https://docs.google.com/spreadsheets/d/1B3lPpzOuaNwVItLwLEZYl_qEblfcx7dRnbRkAw0l-pE/edit?usp=sharing"",""บุรีรัมย์!N531"")"),0)</f>
        <v>0</v>
      </c>
      <c r="L38" s="76">
        <f ca="1">IFERROR(__xludf.DUMMYFUNCTION("IMPORTRANGE(""https://docs.google.com/spreadsheets/d/1B3lPpzOuaNwVItLwLEZYl_qEblfcx7dRnbRkAw0l-pE/edit?usp=sharing"",""บุรีรัมย์!N532"")"),0)</f>
        <v>0</v>
      </c>
      <c r="M38" s="80">
        <f ca="1">IFERROR(__xludf.DUMMYFUNCTION("IMPORTRANGE(""https://docs.google.com/spreadsheets/d/1B3lPpzOuaNwVItLwLEZYl_qEblfcx7dRnbRkAw0l-pE/edit?usp=sharing"",""บุรีรัมย์!N535"")"),0)</f>
        <v>0</v>
      </c>
      <c r="N38" s="80">
        <f t="shared" ca="1" si="33"/>
        <v>0</v>
      </c>
      <c r="O38" s="81">
        <f ca="1">IFERROR(__xludf.DUMMYFUNCTION("IMPORTRANGE(""https://docs.google.com/spreadsheets/d/1B3lPpzOuaNwVItLwLEZYl_qEblfcx7dRnbRkAw0l-pE/edit?usp=sharing"",""บุรีรัมย์!I537"")"),0)</f>
        <v>0</v>
      </c>
      <c r="P38" s="81">
        <f ca="1">IFERROR(__xludf.DUMMYFUNCTION("IMPORTRANGE(""https://docs.google.com/spreadsheets/d/1B3lPpzOuaNwVItLwLEZYl_qEblfcx7dRnbRkAw0l-pE/edit?usp=sharing"",""บุรีรัมย์!J537"")"),0)</f>
        <v>0</v>
      </c>
      <c r="Q38" s="82">
        <f t="shared" ca="1" si="25"/>
        <v>0</v>
      </c>
      <c r="R38" s="81">
        <f ca="1">IFERROR(__xludf.DUMMYFUNCTION("IMPORTRANGE(""https://docs.google.com/spreadsheets/d/1B3lPpzOuaNwVItLwLEZYl_qEblfcx7dRnbRkAw0l-pE/edit?usp=sharing"",""บุรีรัมย์!I538"")"),0)</f>
        <v>0</v>
      </c>
      <c r="S38" s="81">
        <f ca="1">IFERROR(__xludf.DUMMYFUNCTION("IMPORTRANGE(""https://docs.google.com/spreadsheets/d/1B3lPpzOuaNwVItLwLEZYl_qEblfcx7dRnbRkAw0l-pE/edit?usp=sharing"",""บุรีรัมย์!J538"")"),0)</f>
        <v>0</v>
      </c>
      <c r="T38" s="82">
        <f t="shared" ca="1" si="26"/>
        <v>0</v>
      </c>
      <c r="U38" s="81">
        <f ca="1">IFERROR(__xludf.DUMMYFUNCTION("IMPORTRANGE(""https://docs.google.com/spreadsheets/d/1B3lPpzOuaNwVItLwLEZYl_qEblfcx7dRnbRkAw0l-pE/edit?usp=sharing"",""บุรีรัมย์!I539"")"),0)</f>
        <v>0</v>
      </c>
      <c r="V38" s="81">
        <f ca="1">IFERROR(__xludf.DUMMYFUNCTION("IMPORTRANGE(""https://docs.google.com/spreadsheets/d/1B3lPpzOuaNwVItLwLEZYl_qEblfcx7dRnbRkAw0l-pE/edit?usp=sharing"",""บุรีรัมย์!J539"")"),0)</f>
        <v>0</v>
      </c>
      <c r="W38" s="82">
        <f t="shared" ca="1" si="27"/>
        <v>0</v>
      </c>
      <c r="X38" s="81">
        <f ca="1">IFERROR(__xludf.DUMMYFUNCTION("IMPORTRANGE(""https://docs.google.com/spreadsheets/d/1B3lPpzOuaNwVItLwLEZYl_qEblfcx7dRnbRkAw0l-pE/edit?usp=sharing"",""บุรีรัมย์!I540"")"),0)</f>
        <v>0</v>
      </c>
      <c r="Y38" s="81">
        <f ca="1">IFERROR(__xludf.DUMMYFUNCTION("IMPORTRANGE(""https://docs.google.com/spreadsheets/d/1B3lPpzOuaNwVItLwLEZYl_qEblfcx7dRnbRkAw0l-pE/edit?usp=sharing"",""บุรีรัมย์!J540"")"),0)</f>
        <v>0</v>
      </c>
      <c r="Z38" s="82">
        <f t="shared" ca="1" si="28"/>
        <v>0</v>
      </c>
      <c r="AA38" s="234">
        <f ca="1">IFERROR(__xludf.DUMMYFUNCTION("IMPORTRANGE(""https://docs.google.com/spreadsheets/d/1B3lPpzOuaNwVItLwLEZYl_qEblfcx7dRnbRkAw0l-pE/edit?usp=sharing"",""บุรีรัมย์!I541"")"),0)</f>
        <v>0</v>
      </c>
      <c r="AB38" s="181">
        <f ca="1">IFERROR(__xludf.DUMMYFUNCTION("IMPORTRANGE(""https://docs.google.com/spreadsheets/d/1B3lPpzOuaNwVItLwLEZYl_qEblfcx7dRnbRkAw0l-pE/edit?usp=sharing"",""บุรีรัมย์!J541"")"),0)</f>
        <v>0</v>
      </c>
      <c r="AC38" s="186">
        <f t="shared" ca="1" si="29"/>
        <v>0</v>
      </c>
      <c r="AD38" s="234">
        <f ca="1">IFERROR(__xludf.DUMMYFUNCTION("IMPORTRANGE(""https://docs.google.com/spreadsheets/d/1B3lPpzOuaNwVItLwLEZYl_qEblfcx7dRnbRkAw0l-pE/edit?usp=sharing"",""บุรีรัมย์!I542"")"),0)</f>
        <v>0</v>
      </c>
      <c r="AE38" s="181">
        <f ca="1">IFERROR(__xludf.DUMMYFUNCTION("IMPORTRANGE(""https://docs.google.com/spreadsheets/d/1B3lPpzOuaNwVItLwLEZYl_qEblfcx7dRnbRkAw0l-pE/edit?usp=sharing"",""บุรีรัมย์!J542"")"),0)</f>
        <v>0</v>
      </c>
      <c r="AF38" s="186">
        <f t="shared" ca="1" si="30"/>
        <v>0</v>
      </c>
    </row>
    <row r="39" spans="1:32" ht="21" customHeight="1" x14ac:dyDescent="0.3">
      <c r="A39" s="72">
        <v>8</v>
      </c>
      <c r="B39" s="73" t="s">
        <v>56</v>
      </c>
      <c r="C39" s="74">
        <f t="shared" ca="1" si="50"/>
        <v>0</v>
      </c>
      <c r="D39" s="75">
        <f ca="1">IFERROR(__xludf.DUMMYFUNCTION("IMPORTRANGE(""https://docs.google.com/spreadsheets/d/19GOkiOqnzYbevLYWrMk4qFOXe3rX14BkSA8X-mq-a40/edit?usp=sharing"",""มหาสารคาม!L528"")"),0)</f>
        <v>0</v>
      </c>
      <c r="E39" s="76">
        <f ca="1">IFERROR(__xludf.DUMMYFUNCTION("IMPORTRANGE(""https://docs.google.com/spreadsheets/d/19GOkiOqnzYbevLYWrMk4qFOXe3rX14BkSA8X-mq-a40/edit?usp=sharing"",""มหาสารคาม!L535"")"),0)</f>
        <v>0</v>
      </c>
      <c r="F39" s="77">
        <f t="shared" ca="1" si="1"/>
        <v>0</v>
      </c>
      <c r="G39" s="78">
        <f t="shared" ca="1" si="2"/>
        <v>0</v>
      </c>
      <c r="H39" s="79">
        <f t="shared" ca="1" si="51"/>
        <v>0</v>
      </c>
      <c r="I39" s="76">
        <f ca="1">IFERROR(__xludf.DUMMYFUNCTION("IMPORTRANGE(""https://docs.google.com/spreadsheets/d/19GOkiOqnzYbevLYWrMk4qFOXe3rX14BkSA8X-mq-a40/edit?usp=sharing"",""มหาสารคาม!N529"")"),0)</f>
        <v>0</v>
      </c>
      <c r="J39" s="76">
        <f ca="1">IFERROR(__xludf.DUMMYFUNCTION("IMPORTRANGE(""https://docs.google.com/spreadsheets/d/19GOkiOqnzYbevLYWrMk4qFOXe3rX14BkSA8X-mq-a40/edit?usp=sharing"",""มหาสารคาม!N530"")"),0)</f>
        <v>0</v>
      </c>
      <c r="K39" s="76">
        <f ca="1">IFERROR(__xludf.DUMMYFUNCTION("IMPORTRANGE(""https://docs.google.com/spreadsheets/d/19GOkiOqnzYbevLYWrMk4qFOXe3rX14BkSA8X-mq-a40/edit?usp=sharing"",""มหาสารคาม!N531"")"),0)</f>
        <v>0</v>
      </c>
      <c r="L39" s="76">
        <f ca="1">IFERROR(__xludf.DUMMYFUNCTION("IMPORTRANGE(""https://docs.google.com/spreadsheets/d/19GOkiOqnzYbevLYWrMk4qFOXe3rX14BkSA8X-mq-a40/edit?usp=sharing"",""มหาสารคาม!N532"")"),0)</f>
        <v>0</v>
      </c>
      <c r="M39" s="80">
        <f ca="1">IFERROR(__xludf.DUMMYFUNCTION("IMPORTRANGE(""https://docs.google.com/spreadsheets/d/19GOkiOqnzYbevLYWrMk4qFOXe3rX14BkSA8X-mq-a40/edit?usp=sharing"",""มหาสารคาม!N535"")"),0)</f>
        <v>0</v>
      </c>
      <c r="N39" s="80">
        <f t="shared" ca="1" si="33"/>
        <v>0</v>
      </c>
      <c r="O39" s="81">
        <f ca="1">IFERROR(__xludf.DUMMYFUNCTION("IMPORTRANGE(""https://docs.google.com/spreadsheets/d/19GOkiOqnzYbevLYWrMk4qFOXe3rX14BkSA8X-mq-a40/edit?usp=sharing"",""มหาสารคาม!I537"")"),0)</f>
        <v>0</v>
      </c>
      <c r="P39" s="81">
        <f ca="1">IFERROR(__xludf.DUMMYFUNCTION("IMPORTRANGE(""https://docs.google.com/spreadsheets/d/19GOkiOqnzYbevLYWrMk4qFOXe3rX14BkSA8X-mq-a40/edit?usp=sharing"",""มหาสารคาม!J537"")"),0)</f>
        <v>0</v>
      </c>
      <c r="Q39" s="82">
        <f t="shared" ca="1" si="25"/>
        <v>0</v>
      </c>
      <c r="R39" s="81">
        <f ca="1">IFERROR(__xludf.DUMMYFUNCTION("IMPORTRANGE(""https://docs.google.com/spreadsheets/d/19GOkiOqnzYbevLYWrMk4qFOXe3rX14BkSA8X-mq-a40/edit?usp=sharing"",""มหาสารคาม!I538"")"),0)</f>
        <v>0</v>
      </c>
      <c r="S39" s="81">
        <f ca="1">IFERROR(__xludf.DUMMYFUNCTION("IMPORTRANGE(""https://docs.google.com/spreadsheets/d/19GOkiOqnzYbevLYWrMk4qFOXe3rX14BkSA8X-mq-a40/edit?usp=sharing"",""มหาสารคาม!J538"")"),0)</f>
        <v>0</v>
      </c>
      <c r="T39" s="82">
        <f t="shared" ca="1" si="26"/>
        <v>0</v>
      </c>
      <c r="U39" s="81">
        <f ca="1">IFERROR(__xludf.DUMMYFUNCTION("IMPORTRANGE(""https://docs.google.com/spreadsheets/d/19GOkiOqnzYbevLYWrMk4qFOXe3rX14BkSA8X-mq-a40/edit?usp=sharing"",""มหาสารคาม!I539"")"),0)</f>
        <v>0</v>
      </c>
      <c r="V39" s="81">
        <f ca="1">IFERROR(__xludf.DUMMYFUNCTION("IMPORTRANGE(""https://docs.google.com/spreadsheets/d/19GOkiOqnzYbevLYWrMk4qFOXe3rX14BkSA8X-mq-a40/edit?usp=sharing"",""มหาสารคาม!J539"")"),0)</f>
        <v>0</v>
      </c>
      <c r="W39" s="82">
        <f t="shared" ca="1" si="27"/>
        <v>0</v>
      </c>
      <c r="X39" s="81">
        <f ca="1">IFERROR(__xludf.DUMMYFUNCTION("IMPORTRANGE(""https://docs.google.com/spreadsheets/d/19GOkiOqnzYbevLYWrMk4qFOXe3rX14BkSA8X-mq-a40/edit?usp=sharing"",""มหาสารคาม!I540"")"),0)</f>
        <v>0</v>
      </c>
      <c r="Y39" s="81">
        <f ca="1">IFERROR(__xludf.DUMMYFUNCTION("IMPORTRANGE(""https://docs.google.com/spreadsheets/d/19GOkiOqnzYbevLYWrMk4qFOXe3rX14BkSA8X-mq-a40/edit?usp=sharing"",""มหาสารคาม!J540"")"),0)</f>
        <v>0</v>
      </c>
      <c r="Z39" s="82">
        <f t="shared" ca="1" si="28"/>
        <v>0</v>
      </c>
      <c r="AA39" s="234">
        <f ca="1">IFERROR(__xludf.DUMMYFUNCTION("IMPORTRANGE(""https://docs.google.com/spreadsheets/d/19GOkiOqnzYbevLYWrMk4qFOXe3rX14BkSA8X-mq-a40/edit?usp=sharing"",""มหาสารคาม!I541"")"),0)</f>
        <v>0</v>
      </c>
      <c r="AB39" s="181">
        <f ca="1">IFERROR(__xludf.DUMMYFUNCTION("IMPORTRANGE(""https://docs.google.com/spreadsheets/d/19GOkiOqnzYbevLYWrMk4qFOXe3rX14BkSA8X-mq-a40/edit?usp=sharing"",""มหาสารคาม!J541"")"),0)</f>
        <v>0</v>
      </c>
      <c r="AC39" s="186">
        <f t="shared" ca="1" si="29"/>
        <v>0</v>
      </c>
      <c r="AD39" s="234">
        <f ca="1">IFERROR(__xludf.DUMMYFUNCTION("IMPORTRANGE(""https://docs.google.com/spreadsheets/d/19GOkiOqnzYbevLYWrMk4qFOXe3rX14BkSA8X-mq-a40/edit?usp=sharing"",""มหาสารคาม!I542"")"),0)</f>
        <v>0</v>
      </c>
      <c r="AE39" s="181">
        <f ca="1">IFERROR(__xludf.DUMMYFUNCTION("IMPORTRANGE(""https://docs.google.com/spreadsheets/d/19GOkiOqnzYbevLYWrMk4qFOXe3rX14BkSA8X-mq-a40/edit?usp=sharing"",""มหาสารคาม!J542"")"),0)</f>
        <v>0</v>
      </c>
      <c r="AF39" s="186">
        <f t="shared" ca="1" si="30"/>
        <v>0</v>
      </c>
    </row>
    <row r="40" spans="1:32" ht="21" customHeight="1" x14ac:dyDescent="0.3">
      <c r="A40" s="72">
        <v>9</v>
      </c>
      <c r="B40" s="73" t="s">
        <v>57</v>
      </c>
      <c r="C40" s="74">
        <f t="shared" ca="1" si="50"/>
        <v>0</v>
      </c>
      <c r="D40" s="75">
        <f ca="1">IFERROR(__xludf.DUMMYFUNCTION("IMPORTRANGE(""https://docs.google.com/spreadsheets/d/1uMKqWwuNQ-TCKboGA3Bb1qXb5uj2-faACNUINCz8PN4/edit?usp=sharing"",""มุกดาหาร!L528"")"),0)</f>
        <v>0</v>
      </c>
      <c r="E40" s="76">
        <f ca="1">IFERROR(__xludf.DUMMYFUNCTION("IMPORTRANGE(""https://docs.google.com/spreadsheets/d/1uMKqWwuNQ-TCKboGA3Bb1qXb5uj2-faACNUINCz8PN4/edit?usp=sharing"",""มุกดาหาร!L535"")"),0)</f>
        <v>0</v>
      </c>
      <c r="F40" s="77">
        <f t="shared" ca="1" si="1"/>
        <v>0</v>
      </c>
      <c r="G40" s="78">
        <f t="shared" ca="1" si="2"/>
        <v>0</v>
      </c>
      <c r="H40" s="79">
        <f t="shared" ca="1" si="51"/>
        <v>0</v>
      </c>
      <c r="I40" s="76">
        <f ca="1">IFERROR(__xludf.DUMMYFUNCTION("IMPORTRANGE(""https://docs.google.com/spreadsheets/d/1uMKqWwuNQ-TCKboGA3Bb1qXb5uj2-faACNUINCz8PN4/edit?usp=sharing"",""มุกดาหาร!N529"")"),0)</f>
        <v>0</v>
      </c>
      <c r="J40" s="76">
        <f ca="1">IFERROR(__xludf.DUMMYFUNCTION("IMPORTRANGE(""https://docs.google.com/spreadsheets/d/1uMKqWwuNQ-TCKboGA3Bb1qXb5uj2-faACNUINCz8PN4/edit?usp=sharing"",""มุกดาหาร!N530"")"),0)</f>
        <v>0</v>
      </c>
      <c r="K40" s="76">
        <f ca="1">IFERROR(__xludf.DUMMYFUNCTION("IMPORTRANGE(""https://docs.google.com/spreadsheets/d/1uMKqWwuNQ-TCKboGA3Bb1qXb5uj2-faACNUINCz8PN4/edit?usp=sharing"",""มุกดาหาร!N531"")"),0)</f>
        <v>0</v>
      </c>
      <c r="L40" s="76">
        <f ca="1">IFERROR(__xludf.DUMMYFUNCTION("IMPORTRANGE(""https://docs.google.com/spreadsheets/d/1uMKqWwuNQ-TCKboGA3Bb1qXb5uj2-faACNUINCz8PN4/edit?usp=sharing"",""มุกดาหาร!N532"")"),0)</f>
        <v>0</v>
      </c>
      <c r="M40" s="80">
        <f ca="1">IFERROR(__xludf.DUMMYFUNCTION("IMPORTRANGE(""https://docs.google.com/spreadsheets/d/1uMKqWwuNQ-TCKboGA3Bb1qXb5uj2-faACNUINCz8PN4/edit?usp=sharing"",""มุกดาหาร!N535"")"),0)</f>
        <v>0</v>
      </c>
      <c r="N40" s="80">
        <f t="shared" ca="1" si="33"/>
        <v>0</v>
      </c>
      <c r="O40" s="81">
        <f ca="1">IFERROR(__xludf.DUMMYFUNCTION("IMPORTRANGE(""https://docs.google.com/spreadsheets/d/1uMKqWwuNQ-TCKboGA3Bb1qXb5uj2-faACNUINCz8PN4/edit?usp=sharing"",""มุกดาหาร!I537"")"),0)</f>
        <v>0</v>
      </c>
      <c r="P40" s="81">
        <f ca="1">IFERROR(__xludf.DUMMYFUNCTION("IMPORTRANGE(""https://docs.google.com/spreadsheets/d/1uMKqWwuNQ-TCKboGA3Bb1qXb5uj2-faACNUINCz8PN4/edit?usp=sharing"",""มุกดาหาร!J537"")"),0)</f>
        <v>0</v>
      </c>
      <c r="Q40" s="82">
        <f t="shared" ca="1" si="25"/>
        <v>0</v>
      </c>
      <c r="R40" s="81">
        <f ca="1">IFERROR(__xludf.DUMMYFUNCTION("IMPORTRANGE(""https://docs.google.com/spreadsheets/d/1uMKqWwuNQ-TCKboGA3Bb1qXb5uj2-faACNUINCz8PN4/edit?usp=sharing"",""มุกดาหาร!I538"")"),0)</f>
        <v>0</v>
      </c>
      <c r="S40" s="81">
        <f ca="1">IFERROR(__xludf.DUMMYFUNCTION("IMPORTRANGE(""https://docs.google.com/spreadsheets/d/1uMKqWwuNQ-TCKboGA3Bb1qXb5uj2-faACNUINCz8PN4/edit?usp=sharing"",""มุกดาหาร!J538"")"),0)</f>
        <v>0</v>
      </c>
      <c r="T40" s="82">
        <f t="shared" ca="1" si="26"/>
        <v>0</v>
      </c>
      <c r="U40" s="81">
        <f ca="1">IFERROR(__xludf.DUMMYFUNCTION("IMPORTRANGE(""https://docs.google.com/spreadsheets/d/1uMKqWwuNQ-TCKboGA3Bb1qXb5uj2-faACNUINCz8PN4/edit?usp=sharing"",""มุกดาหาร!I539"")"),0)</f>
        <v>0</v>
      </c>
      <c r="V40" s="81">
        <f ca="1">IFERROR(__xludf.DUMMYFUNCTION("IMPORTRANGE(""https://docs.google.com/spreadsheets/d/1uMKqWwuNQ-TCKboGA3Bb1qXb5uj2-faACNUINCz8PN4/edit?usp=sharing"",""มุกดาหาร!J539"")"),0)</f>
        <v>0</v>
      </c>
      <c r="W40" s="82">
        <f t="shared" ca="1" si="27"/>
        <v>0</v>
      </c>
      <c r="X40" s="81">
        <f ca="1">IFERROR(__xludf.DUMMYFUNCTION("IMPORTRANGE(""https://docs.google.com/spreadsheets/d/1uMKqWwuNQ-TCKboGA3Bb1qXb5uj2-faACNUINCz8PN4/edit?usp=sharing"",""มุกดาหาร!I540"")"),0)</f>
        <v>0</v>
      </c>
      <c r="Y40" s="81">
        <f ca="1">IFERROR(__xludf.DUMMYFUNCTION("IMPORTRANGE(""https://docs.google.com/spreadsheets/d/1uMKqWwuNQ-TCKboGA3Bb1qXb5uj2-faACNUINCz8PN4/edit?usp=sharing"",""มุกดาหาร!J540"")"),0)</f>
        <v>0</v>
      </c>
      <c r="Z40" s="82">
        <f t="shared" ca="1" si="28"/>
        <v>0</v>
      </c>
      <c r="AA40" s="234">
        <f ca="1">IFERROR(__xludf.DUMMYFUNCTION("IMPORTRANGE(""https://docs.google.com/spreadsheets/d/1uMKqWwuNQ-TCKboGA3Bb1qXb5uj2-faACNUINCz8PN4/edit?usp=sharing"",""มุกดาหาร!I541"")"),0)</f>
        <v>0</v>
      </c>
      <c r="AB40" s="181">
        <f ca="1">IFERROR(__xludf.DUMMYFUNCTION("IMPORTRANGE(""https://docs.google.com/spreadsheets/d/1uMKqWwuNQ-TCKboGA3Bb1qXb5uj2-faACNUINCz8PN4/edit?usp=sharing"",""มุกดาหาร!J541"")"),0)</f>
        <v>0</v>
      </c>
      <c r="AC40" s="186">
        <f t="shared" ca="1" si="29"/>
        <v>0</v>
      </c>
      <c r="AD40" s="234">
        <f ca="1">IFERROR(__xludf.DUMMYFUNCTION("IMPORTRANGE(""https://docs.google.com/spreadsheets/d/1uMKqWwuNQ-TCKboGA3Bb1qXb5uj2-faACNUINCz8PN4/edit?usp=sharing"",""มุกดาหาร!I542"")"),0)</f>
        <v>0</v>
      </c>
      <c r="AE40" s="181">
        <f ca="1">IFERROR(__xludf.DUMMYFUNCTION("IMPORTRANGE(""https://docs.google.com/spreadsheets/d/1uMKqWwuNQ-TCKboGA3Bb1qXb5uj2-faACNUINCz8PN4/edit?usp=sharing"",""มุกดาหาร!J542"")"),0)</f>
        <v>0</v>
      </c>
      <c r="AF40" s="186">
        <f t="shared" ca="1" si="30"/>
        <v>0</v>
      </c>
    </row>
    <row r="41" spans="1:32" ht="21" customHeight="1" x14ac:dyDescent="0.3">
      <c r="A41" s="72">
        <v>10</v>
      </c>
      <c r="B41" s="73" t="s">
        <v>58</v>
      </c>
      <c r="C41" s="74">
        <f t="shared" ca="1" si="50"/>
        <v>0</v>
      </c>
      <c r="D41" s="75">
        <f ca="1">IFERROR(__xludf.DUMMYFUNCTION("IMPORTRANGE(""https://docs.google.com/spreadsheets/d/1oKaccgDdQABndOzGr688Dbfxb_V3YcF67VqEPBtdzsc/edit?usp=sharing"",""ยโสธร!L528"")"),0)</f>
        <v>0</v>
      </c>
      <c r="E41" s="76">
        <f ca="1">IFERROR(__xludf.DUMMYFUNCTION("IMPORTRANGE(""https://docs.google.com/spreadsheets/d/1oKaccgDdQABndOzGr688Dbfxb_V3YcF67VqEPBtdzsc/edit?usp=sharing"",""ยโสธร!L535"")"),0)</f>
        <v>0</v>
      </c>
      <c r="F41" s="77">
        <f t="shared" ca="1" si="1"/>
        <v>0</v>
      </c>
      <c r="G41" s="78">
        <f t="shared" ca="1" si="2"/>
        <v>0</v>
      </c>
      <c r="H41" s="79">
        <f t="shared" ca="1" si="51"/>
        <v>0</v>
      </c>
      <c r="I41" s="76">
        <f ca="1">IFERROR(__xludf.DUMMYFUNCTION("IMPORTRANGE(""https://docs.google.com/spreadsheets/d/1oKaccgDdQABndOzGr688Dbfxb_V3YcF67VqEPBtdzsc/edit?usp=sharing"",""ยโสธร!N529"")"),0)</f>
        <v>0</v>
      </c>
      <c r="J41" s="76">
        <f ca="1">IFERROR(__xludf.DUMMYFUNCTION("IMPORTRANGE(""https://docs.google.com/spreadsheets/d/1oKaccgDdQABndOzGr688Dbfxb_V3YcF67VqEPBtdzsc/edit?usp=sharing"",""ยโสธร!N530"")"),0)</f>
        <v>0</v>
      </c>
      <c r="K41" s="76">
        <f ca="1">IFERROR(__xludf.DUMMYFUNCTION("IMPORTRANGE(""https://docs.google.com/spreadsheets/d/1oKaccgDdQABndOzGr688Dbfxb_V3YcF67VqEPBtdzsc/edit?usp=sharing"",""ยโสธร!N531"")"),0)</f>
        <v>0</v>
      </c>
      <c r="L41" s="76">
        <f ca="1">IFERROR(__xludf.DUMMYFUNCTION("IMPORTRANGE(""https://docs.google.com/spreadsheets/d/1oKaccgDdQABndOzGr688Dbfxb_V3YcF67VqEPBtdzsc/edit?usp=sharing"",""ยโสธร!N532"")"),0)</f>
        <v>0</v>
      </c>
      <c r="M41" s="80">
        <f ca="1">IFERROR(__xludf.DUMMYFUNCTION("IMPORTRANGE(""https://docs.google.com/spreadsheets/d/1oKaccgDdQABndOzGr688Dbfxb_V3YcF67VqEPBtdzsc/edit?usp=sharing"",""ยโสธร!N535"")"),0)</f>
        <v>0</v>
      </c>
      <c r="N41" s="80">
        <f t="shared" ca="1" si="33"/>
        <v>0</v>
      </c>
      <c r="O41" s="81">
        <f ca="1">IFERROR(__xludf.DUMMYFUNCTION("IMPORTRANGE(""https://docs.google.com/spreadsheets/d/1oKaccgDdQABndOzGr688Dbfxb_V3YcF67VqEPBtdzsc/edit?usp=sharing"",""ยโสธร!I537"")"),0)</f>
        <v>0</v>
      </c>
      <c r="P41" s="81">
        <f ca="1">IFERROR(__xludf.DUMMYFUNCTION("IMPORTRANGE(""https://docs.google.com/spreadsheets/d/1oKaccgDdQABndOzGr688Dbfxb_V3YcF67VqEPBtdzsc/edit?usp=sharing"",""ยโสธร!J537"")"),0)</f>
        <v>0</v>
      </c>
      <c r="Q41" s="82">
        <f t="shared" ca="1" si="25"/>
        <v>0</v>
      </c>
      <c r="R41" s="81">
        <f ca="1">IFERROR(__xludf.DUMMYFUNCTION("IMPORTRANGE(""https://docs.google.com/spreadsheets/d/1oKaccgDdQABndOzGr688Dbfxb_V3YcF67VqEPBtdzsc/edit?usp=sharing"",""ยโสธร!I538"")"),0)</f>
        <v>0</v>
      </c>
      <c r="S41" s="81">
        <f ca="1">IFERROR(__xludf.DUMMYFUNCTION("IMPORTRANGE(""https://docs.google.com/spreadsheets/d/1oKaccgDdQABndOzGr688Dbfxb_V3YcF67VqEPBtdzsc/edit?usp=sharing"",""ยโสธร!J538"")"),0)</f>
        <v>0</v>
      </c>
      <c r="T41" s="82">
        <f t="shared" ca="1" si="26"/>
        <v>0</v>
      </c>
      <c r="U41" s="81">
        <f ca="1">IFERROR(__xludf.DUMMYFUNCTION("IMPORTRANGE(""https://docs.google.com/spreadsheets/d/1oKaccgDdQABndOzGr688Dbfxb_V3YcF67VqEPBtdzsc/edit?usp=sharing"",""ยโสธร!I539"")"),0)</f>
        <v>0</v>
      </c>
      <c r="V41" s="81">
        <f ca="1">IFERROR(__xludf.DUMMYFUNCTION("IMPORTRANGE(""https://docs.google.com/spreadsheets/d/1oKaccgDdQABndOzGr688Dbfxb_V3YcF67VqEPBtdzsc/edit?usp=sharing"",""ยโสธร!J539"")"),0)</f>
        <v>0</v>
      </c>
      <c r="W41" s="82">
        <f t="shared" ca="1" si="27"/>
        <v>0</v>
      </c>
      <c r="X41" s="81">
        <f ca="1">IFERROR(__xludf.DUMMYFUNCTION("IMPORTRANGE(""https://docs.google.com/spreadsheets/d/1oKaccgDdQABndOzGr688Dbfxb_V3YcF67VqEPBtdzsc/edit?usp=sharing"",""ยโสธร!I540"")"),0)</f>
        <v>0</v>
      </c>
      <c r="Y41" s="81">
        <f ca="1">IFERROR(__xludf.DUMMYFUNCTION("IMPORTRANGE(""https://docs.google.com/spreadsheets/d/1oKaccgDdQABndOzGr688Dbfxb_V3YcF67VqEPBtdzsc/edit?usp=sharing"",""ยโสธร!J540"")"),0)</f>
        <v>0</v>
      </c>
      <c r="Z41" s="82">
        <f t="shared" ca="1" si="28"/>
        <v>0</v>
      </c>
      <c r="AA41" s="234">
        <f ca="1">IFERROR(__xludf.DUMMYFUNCTION("IMPORTRANGE(""https://docs.google.com/spreadsheets/d/1oKaccgDdQABndOzGr688Dbfxb_V3YcF67VqEPBtdzsc/edit?usp=sharing"",""ยโสธร!I541"")"),0)</f>
        <v>0</v>
      </c>
      <c r="AB41" s="181">
        <f ca="1">IFERROR(__xludf.DUMMYFUNCTION("IMPORTRANGE(""https://docs.google.com/spreadsheets/d/1oKaccgDdQABndOzGr688Dbfxb_V3YcF67VqEPBtdzsc/edit?usp=sharing"",""ยโสธร!J541"")"),0)</f>
        <v>0</v>
      </c>
      <c r="AC41" s="186">
        <f t="shared" ca="1" si="29"/>
        <v>0</v>
      </c>
      <c r="AD41" s="234">
        <f ca="1">IFERROR(__xludf.DUMMYFUNCTION("IMPORTRANGE(""https://docs.google.com/spreadsheets/d/1oKaccgDdQABndOzGr688Dbfxb_V3YcF67VqEPBtdzsc/edit?usp=sharing"",""ยโสธร!I542"")"),0)</f>
        <v>0</v>
      </c>
      <c r="AE41" s="181">
        <f ca="1">IFERROR(__xludf.DUMMYFUNCTION("IMPORTRANGE(""https://docs.google.com/spreadsheets/d/1oKaccgDdQABndOzGr688Dbfxb_V3YcF67VqEPBtdzsc/edit?usp=sharing"",""ยโสธร!J542"")"),0)</f>
        <v>0</v>
      </c>
      <c r="AF41" s="186">
        <f t="shared" ca="1" si="30"/>
        <v>0</v>
      </c>
    </row>
    <row r="42" spans="1:32" ht="21" customHeight="1" x14ac:dyDescent="0.3">
      <c r="A42" s="72">
        <v>11</v>
      </c>
      <c r="B42" s="73" t="s">
        <v>59</v>
      </c>
      <c r="C42" s="74">
        <f t="shared" ca="1" si="50"/>
        <v>0</v>
      </c>
      <c r="D42" s="75">
        <f ca="1">IFERROR(__xludf.DUMMYFUNCTION("IMPORTRANGE(""https://docs.google.com/spreadsheets/d/1BRgc8xKpxZ0PX-gauieMVkV_IOxKSotf0yW8MabGprQ/edit?usp=sharing"",""ร้อยเอ็ด!L528"")"),0)</f>
        <v>0</v>
      </c>
      <c r="E42" s="76">
        <f ca="1">IFERROR(__xludf.DUMMYFUNCTION("IMPORTRANGE(""https://docs.google.com/spreadsheets/d/1BRgc8xKpxZ0PX-gauieMVkV_IOxKSotf0yW8MabGprQ/edit?usp=sharing"",""ร้อยเอ็ด!L535"")"),0)</f>
        <v>0</v>
      </c>
      <c r="F42" s="77">
        <f t="shared" ca="1" si="1"/>
        <v>0</v>
      </c>
      <c r="G42" s="78">
        <f t="shared" ca="1" si="2"/>
        <v>0</v>
      </c>
      <c r="H42" s="79">
        <f t="shared" ca="1" si="51"/>
        <v>0</v>
      </c>
      <c r="I42" s="76">
        <f ca="1">IFERROR(__xludf.DUMMYFUNCTION("IMPORTRANGE(""https://docs.google.com/spreadsheets/d/1BRgc8xKpxZ0PX-gauieMVkV_IOxKSotf0yW8MabGprQ/edit?usp=sharing"",""ร้อยเอ็ด!N529"")"),0)</f>
        <v>0</v>
      </c>
      <c r="J42" s="76">
        <f ca="1">IFERROR(__xludf.DUMMYFUNCTION("IMPORTRANGE(""https://docs.google.com/spreadsheets/d/1BRgc8xKpxZ0PX-gauieMVkV_IOxKSotf0yW8MabGprQ/edit?usp=sharing"",""ร้อยเอ็ด!N530"")"),0)</f>
        <v>0</v>
      </c>
      <c r="K42" s="76">
        <f ca="1">IFERROR(__xludf.DUMMYFUNCTION("IMPORTRANGE(""https://docs.google.com/spreadsheets/d/1BRgc8xKpxZ0PX-gauieMVkV_IOxKSotf0yW8MabGprQ/edit?usp=sharing"",""ร้อยเอ็ด!N531"")"),0)</f>
        <v>0</v>
      </c>
      <c r="L42" s="76">
        <f ca="1">IFERROR(__xludf.DUMMYFUNCTION("IMPORTRANGE(""https://docs.google.com/spreadsheets/d/1BRgc8xKpxZ0PX-gauieMVkV_IOxKSotf0yW8MabGprQ/edit?usp=sharing"",""ร้อยเอ็ด!N532"")"),0)</f>
        <v>0</v>
      </c>
      <c r="M42" s="80">
        <f ca="1">IFERROR(__xludf.DUMMYFUNCTION("IMPORTRANGE(""https://docs.google.com/spreadsheets/d/1BRgc8xKpxZ0PX-gauieMVkV_IOxKSotf0yW8MabGprQ/edit?usp=sharing"",""ร้อยเอ็ด!N535"")"),0)</f>
        <v>0</v>
      </c>
      <c r="N42" s="80">
        <f t="shared" ca="1" si="33"/>
        <v>0</v>
      </c>
      <c r="O42" s="81">
        <f ca="1">IFERROR(__xludf.DUMMYFUNCTION("IMPORTRANGE(""https://docs.google.com/spreadsheets/d/1BRgc8xKpxZ0PX-gauieMVkV_IOxKSotf0yW8MabGprQ/edit?usp=sharing"",""ร้อยเอ็ด!I537"")"),0)</f>
        <v>0</v>
      </c>
      <c r="P42" s="81">
        <f ca="1">IFERROR(__xludf.DUMMYFUNCTION("IMPORTRANGE(""https://docs.google.com/spreadsheets/d/1BRgc8xKpxZ0PX-gauieMVkV_IOxKSotf0yW8MabGprQ/edit?usp=sharing"",""ร้อยเอ็ด!J537"")"),0)</f>
        <v>0</v>
      </c>
      <c r="Q42" s="82">
        <f t="shared" ca="1" si="25"/>
        <v>0</v>
      </c>
      <c r="R42" s="81">
        <f ca="1">IFERROR(__xludf.DUMMYFUNCTION("IMPORTRANGE(""https://docs.google.com/spreadsheets/d/1BRgc8xKpxZ0PX-gauieMVkV_IOxKSotf0yW8MabGprQ/edit?usp=sharing"",""ร้อยเอ็ด!I538"")"),0)</f>
        <v>0</v>
      </c>
      <c r="S42" s="81">
        <f ca="1">IFERROR(__xludf.DUMMYFUNCTION("IMPORTRANGE(""https://docs.google.com/spreadsheets/d/1BRgc8xKpxZ0PX-gauieMVkV_IOxKSotf0yW8MabGprQ/edit?usp=sharing"",""ร้อยเอ็ด!J538"")"),0)</f>
        <v>0</v>
      </c>
      <c r="T42" s="82">
        <f t="shared" ca="1" si="26"/>
        <v>0</v>
      </c>
      <c r="U42" s="81">
        <f ca="1">IFERROR(__xludf.DUMMYFUNCTION("IMPORTRANGE(""https://docs.google.com/spreadsheets/d/1BRgc8xKpxZ0PX-gauieMVkV_IOxKSotf0yW8MabGprQ/edit?usp=sharing"",""ร้อยเอ็ด!I539"")"),0)</f>
        <v>0</v>
      </c>
      <c r="V42" s="81">
        <f ca="1">IFERROR(__xludf.DUMMYFUNCTION("IMPORTRANGE(""https://docs.google.com/spreadsheets/d/1BRgc8xKpxZ0PX-gauieMVkV_IOxKSotf0yW8MabGprQ/edit?usp=sharing"",""ร้อยเอ็ด!J539"")"),0)</f>
        <v>0</v>
      </c>
      <c r="W42" s="82">
        <f t="shared" ca="1" si="27"/>
        <v>0</v>
      </c>
      <c r="X42" s="81">
        <f ca="1">IFERROR(__xludf.DUMMYFUNCTION("IMPORTRANGE(""https://docs.google.com/spreadsheets/d/1BRgc8xKpxZ0PX-gauieMVkV_IOxKSotf0yW8MabGprQ/edit?usp=sharing"",""ร้อยเอ็ด!I540"")"),0)</f>
        <v>0</v>
      </c>
      <c r="Y42" s="81">
        <f ca="1">IFERROR(__xludf.DUMMYFUNCTION("IMPORTRANGE(""https://docs.google.com/spreadsheets/d/1BRgc8xKpxZ0PX-gauieMVkV_IOxKSotf0yW8MabGprQ/edit?usp=sharing"",""ร้อยเอ็ด!J540"")"),0)</f>
        <v>0</v>
      </c>
      <c r="Z42" s="82">
        <f t="shared" ca="1" si="28"/>
        <v>0</v>
      </c>
      <c r="AA42" s="234">
        <f ca="1">IFERROR(__xludf.DUMMYFUNCTION("IMPORTRANGE(""https://docs.google.com/spreadsheets/d/1BRgc8xKpxZ0PX-gauieMVkV_IOxKSotf0yW8MabGprQ/edit?usp=sharing"",""ร้อยเอ็ด!I541"")"),0)</f>
        <v>0</v>
      </c>
      <c r="AB42" s="181">
        <f ca="1">IFERROR(__xludf.DUMMYFUNCTION("IMPORTRANGE(""https://docs.google.com/spreadsheets/d/1BRgc8xKpxZ0PX-gauieMVkV_IOxKSotf0yW8MabGprQ/edit?usp=sharing"",""ร้อยเอ็ด!J541"")"),0)</f>
        <v>0</v>
      </c>
      <c r="AC42" s="186">
        <f t="shared" ca="1" si="29"/>
        <v>0</v>
      </c>
      <c r="AD42" s="234">
        <f ca="1">IFERROR(__xludf.DUMMYFUNCTION("IMPORTRANGE(""https://docs.google.com/spreadsheets/d/1BRgc8xKpxZ0PX-gauieMVkV_IOxKSotf0yW8MabGprQ/edit?usp=sharing"",""ร้อยเอ็ด!I542"")"),0)</f>
        <v>0</v>
      </c>
      <c r="AE42" s="181">
        <f ca="1">IFERROR(__xludf.DUMMYFUNCTION("IMPORTRANGE(""https://docs.google.com/spreadsheets/d/1BRgc8xKpxZ0PX-gauieMVkV_IOxKSotf0yW8MabGprQ/edit?usp=sharing"",""ร้อยเอ็ด!J542"")"),0)</f>
        <v>0</v>
      </c>
      <c r="AF42" s="186">
        <f t="shared" ca="1" si="30"/>
        <v>0</v>
      </c>
    </row>
    <row r="43" spans="1:32" ht="21" customHeight="1" x14ac:dyDescent="0.3">
      <c r="A43" s="72">
        <v>12</v>
      </c>
      <c r="B43" s="73" t="s">
        <v>60</v>
      </c>
      <c r="C43" s="74">
        <f t="shared" ca="1" si="50"/>
        <v>0</v>
      </c>
      <c r="D43" s="75">
        <f ca="1">IFERROR(__xludf.DUMMYFUNCTION("IMPORTRANGE(""https://docs.google.com/spreadsheets/d/1IdolZc-dfdgMwAm_KZxYJl1sUOcIgnbGQzbWOlddedo/edit?usp=sharing"",""เลย!L528"")"),0)</f>
        <v>0</v>
      </c>
      <c r="E43" s="76">
        <f ca="1">IFERROR(__xludf.DUMMYFUNCTION("IMPORTRANGE(""https://docs.google.com/spreadsheets/d/1IdolZc-dfdgMwAm_KZxYJl1sUOcIgnbGQzbWOlddedo/edit?usp=sharing"",""เลย!L535"")"),0)</f>
        <v>0</v>
      </c>
      <c r="F43" s="77">
        <f t="shared" ca="1" si="1"/>
        <v>0</v>
      </c>
      <c r="G43" s="78">
        <f t="shared" ca="1" si="2"/>
        <v>0</v>
      </c>
      <c r="H43" s="79">
        <f t="shared" ca="1" si="51"/>
        <v>0</v>
      </c>
      <c r="I43" s="76">
        <f ca="1">IFERROR(__xludf.DUMMYFUNCTION("IMPORTRANGE(""https://docs.google.com/spreadsheets/d/1IdolZc-dfdgMwAm_KZxYJl1sUOcIgnbGQzbWOlddedo/edit?usp=sharing"",""เลย!N529"")"),0)</f>
        <v>0</v>
      </c>
      <c r="J43" s="76">
        <f ca="1">IFERROR(__xludf.DUMMYFUNCTION("IMPORTRANGE(""https://docs.google.com/spreadsheets/d/1IdolZc-dfdgMwAm_KZxYJl1sUOcIgnbGQzbWOlddedo/edit?usp=sharing"",""เลย!N530"")"),0)</f>
        <v>0</v>
      </c>
      <c r="K43" s="76">
        <f ca="1">IFERROR(__xludf.DUMMYFUNCTION("IMPORTRANGE(""https://docs.google.com/spreadsheets/d/1IdolZc-dfdgMwAm_KZxYJl1sUOcIgnbGQzbWOlddedo/edit?usp=sharing"",""เลย!N531"")"),0)</f>
        <v>0</v>
      </c>
      <c r="L43" s="76">
        <f ca="1">IFERROR(__xludf.DUMMYFUNCTION("IMPORTRANGE(""https://docs.google.com/spreadsheets/d/1IdolZc-dfdgMwAm_KZxYJl1sUOcIgnbGQzbWOlddedo/edit?usp=sharing"",""เลย!N532"")"),0)</f>
        <v>0</v>
      </c>
      <c r="M43" s="80">
        <f ca="1">IFERROR(__xludf.DUMMYFUNCTION("IMPORTRANGE(""https://docs.google.com/spreadsheets/d/1IdolZc-dfdgMwAm_KZxYJl1sUOcIgnbGQzbWOlddedo/edit?usp=sharing"",""เลย!N535"")"),0)</f>
        <v>0</v>
      </c>
      <c r="N43" s="80">
        <f t="shared" ca="1" si="33"/>
        <v>0</v>
      </c>
      <c r="O43" s="81">
        <f ca="1">IFERROR(__xludf.DUMMYFUNCTION("IMPORTRANGE(""https://docs.google.com/spreadsheets/d/1IdolZc-dfdgMwAm_KZxYJl1sUOcIgnbGQzbWOlddedo/edit?usp=sharing"",""เลย!I537"")"),0)</f>
        <v>0</v>
      </c>
      <c r="P43" s="81">
        <f ca="1">IFERROR(__xludf.DUMMYFUNCTION("IMPORTRANGE(""https://docs.google.com/spreadsheets/d/1IdolZc-dfdgMwAm_KZxYJl1sUOcIgnbGQzbWOlddedo/edit?usp=sharing"",""เลย!J537"")"),0)</f>
        <v>0</v>
      </c>
      <c r="Q43" s="82">
        <f t="shared" ca="1" si="25"/>
        <v>0</v>
      </c>
      <c r="R43" s="81">
        <f ca="1">IFERROR(__xludf.DUMMYFUNCTION("IMPORTRANGE(""https://docs.google.com/spreadsheets/d/1IdolZc-dfdgMwAm_KZxYJl1sUOcIgnbGQzbWOlddedo/edit?usp=sharing"",""เลย!I538"")"),0)</f>
        <v>0</v>
      </c>
      <c r="S43" s="81">
        <f ca="1">IFERROR(__xludf.DUMMYFUNCTION("IMPORTRANGE(""https://docs.google.com/spreadsheets/d/1IdolZc-dfdgMwAm_KZxYJl1sUOcIgnbGQzbWOlddedo/edit?usp=sharing"",""เลย!J538"")"),0)</f>
        <v>0</v>
      </c>
      <c r="T43" s="82">
        <f t="shared" ca="1" si="26"/>
        <v>0</v>
      </c>
      <c r="U43" s="81">
        <f ca="1">IFERROR(__xludf.DUMMYFUNCTION("IMPORTRANGE(""https://docs.google.com/spreadsheets/d/1IdolZc-dfdgMwAm_KZxYJl1sUOcIgnbGQzbWOlddedo/edit?usp=sharing"",""เลย!I539"")"),0)</f>
        <v>0</v>
      </c>
      <c r="V43" s="81">
        <f ca="1">IFERROR(__xludf.DUMMYFUNCTION("IMPORTRANGE(""https://docs.google.com/spreadsheets/d/1IdolZc-dfdgMwAm_KZxYJl1sUOcIgnbGQzbWOlddedo/edit?usp=sharing"",""เลย!J539"")"),0)</f>
        <v>0</v>
      </c>
      <c r="W43" s="82">
        <f t="shared" ca="1" si="27"/>
        <v>0</v>
      </c>
      <c r="X43" s="81">
        <f ca="1">IFERROR(__xludf.DUMMYFUNCTION("IMPORTRANGE(""https://docs.google.com/spreadsheets/d/1IdolZc-dfdgMwAm_KZxYJl1sUOcIgnbGQzbWOlddedo/edit?usp=sharing"",""เลย!I540"")"),0)</f>
        <v>0</v>
      </c>
      <c r="Y43" s="81">
        <f ca="1">IFERROR(__xludf.DUMMYFUNCTION("IMPORTRANGE(""https://docs.google.com/spreadsheets/d/1IdolZc-dfdgMwAm_KZxYJl1sUOcIgnbGQzbWOlddedo/edit?usp=sharing"",""เลย!J540"")"),0)</f>
        <v>0</v>
      </c>
      <c r="Z43" s="82">
        <f t="shared" ca="1" si="28"/>
        <v>0</v>
      </c>
      <c r="AA43" s="234">
        <f ca="1">IFERROR(__xludf.DUMMYFUNCTION("IMPORTRANGE(""https://docs.google.com/spreadsheets/d/1IdolZc-dfdgMwAm_KZxYJl1sUOcIgnbGQzbWOlddedo/edit?usp=sharing"",""เลย!I541"")"),0)</f>
        <v>0</v>
      </c>
      <c r="AB43" s="181">
        <f ca="1">IFERROR(__xludf.DUMMYFUNCTION("IMPORTRANGE(""https://docs.google.com/spreadsheets/d/1IdolZc-dfdgMwAm_KZxYJl1sUOcIgnbGQzbWOlddedo/edit?usp=sharing"",""เลย!J541"")"),0)</f>
        <v>0</v>
      </c>
      <c r="AC43" s="186">
        <f t="shared" ca="1" si="29"/>
        <v>0</v>
      </c>
      <c r="AD43" s="234">
        <f ca="1">IFERROR(__xludf.DUMMYFUNCTION("IMPORTRANGE(""https://docs.google.com/spreadsheets/d/1IdolZc-dfdgMwAm_KZxYJl1sUOcIgnbGQzbWOlddedo/edit?usp=sharing"",""เลย!I542"")"),0)</f>
        <v>0</v>
      </c>
      <c r="AE43" s="181">
        <f ca="1">IFERROR(__xludf.DUMMYFUNCTION("IMPORTRANGE(""https://docs.google.com/spreadsheets/d/1IdolZc-dfdgMwAm_KZxYJl1sUOcIgnbGQzbWOlddedo/edit?usp=sharing"",""เลย!J542"")"),0)</f>
        <v>0</v>
      </c>
      <c r="AF43" s="186">
        <f t="shared" ca="1" si="30"/>
        <v>0</v>
      </c>
    </row>
    <row r="44" spans="1:32" ht="21" customHeight="1" x14ac:dyDescent="0.3">
      <c r="A44" s="72">
        <v>13</v>
      </c>
      <c r="B44" s="73" t="s">
        <v>61</v>
      </c>
      <c r="C44" s="74">
        <f t="shared" ca="1" si="50"/>
        <v>0</v>
      </c>
      <c r="D44" s="75">
        <f ca="1">IFERROR(__xludf.DUMMYFUNCTION("IMPORTRANGE(""https://docs.google.com/spreadsheets/d/1tZ0nmtGuIRCaGAMXHlQU8EpR9LOAJvyKfc4f7EFmE34/edit?usp=sharing"",""ศรีสะเกษ!L528"")"),0)</f>
        <v>0</v>
      </c>
      <c r="E44" s="76">
        <f ca="1">IFERROR(__xludf.DUMMYFUNCTION("IMPORTRANGE(""https://docs.google.com/spreadsheets/d/1tZ0nmtGuIRCaGAMXHlQU8EpR9LOAJvyKfc4f7EFmE34/edit?usp=sharing"",""ศรีสะเกษ!L535"")"),0)</f>
        <v>0</v>
      </c>
      <c r="F44" s="77">
        <f t="shared" ca="1" si="1"/>
        <v>0</v>
      </c>
      <c r="G44" s="78">
        <f t="shared" ca="1" si="2"/>
        <v>0</v>
      </c>
      <c r="H44" s="79">
        <f t="shared" ca="1" si="51"/>
        <v>0</v>
      </c>
      <c r="I44" s="76">
        <f ca="1">IFERROR(__xludf.DUMMYFUNCTION("IMPORTRANGE(""https://docs.google.com/spreadsheets/d/1tZ0nmtGuIRCaGAMXHlQU8EpR9LOAJvyKfc4f7EFmE34/edit?usp=sharing"",""ศรีสะเกษ!N529"")"),0)</f>
        <v>0</v>
      </c>
      <c r="J44" s="76">
        <f ca="1">IFERROR(__xludf.DUMMYFUNCTION("IMPORTRANGE(""https://docs.google.com/spreadsheets/d/1tZ0nmtGuIRCaGAMXHlQU8EpR9LOAJvyKfc4f7EFmE34/edit?usp=sharing"",""ศรีสะเกษ!N530"")"),0)</f>
        <v>0</v>
      </c>
      <c r="K44" s="76">
        <f ca="1">IFERROR(__xludf.DUMMYFUNCTION("IMPORTRANGE(""https://docs.google.com/spreadsheets/d/1tZ0nmtGuIRCaGAMXHlQU8EpR9LOAJvyKfc4f7EFmE34/edit?usp=sharing"",""ศรีสะเกษ!N531"")"),0)</f>
        <v>0</v>
      </c>
      <c r="L44" s="76">
        <f ca="1">IFERROR(__xludf.DUMMYFUNCTION("IMPORTRANGE(""https://docs.google.com/spreadsheets/d/1tZ0nmtGuIRCaGAMXHlQU8EpR9LOAJvyKfc4f7EFmE34/edit?usp=sharing"",""ศรีสะเกษ!N532"")"),0)</f>
        <v>0</v>
      </c>
      <c r="M44" s="80">
        <f ca="1">IFERROR(__xludf.DUMMYFUNCTION("IMPORTRANGE(""https://docs.google.com/spreadsheets/d/1tZ0nmtGuIRCaGAMXHlQU8EpR9LOAJvyKfc4f7EFmE34/edit?usp=sharing"",""ศรีสะเกษ!N535"")"),0)</f>
        <v>0</v>
      </c>
      <c r="N44" s="80">
        <f t="shared" ca="1" si="33"/>
        <v>0</v>
      </c>
      <c r="O44" s="81">
        <f ca="1">IFERROR(__xludf.DUMMYFUNCTION("IMPORTRANGE(""https://docs.google.com/spreadsheets/d/1tZ0nmtGuIRCaGAMXHlQU8EpR9LOAJvyKfc4f7EFmE34/edit?usp=sharing"",""ศรีสะเกษ!I537"")"),0)</f>
        <v>0</v>
      </c>
      <c r="P44" s="81">
        <f ca="1">IFERROR(__xludf.DUMMYFUNCTION("IMPORTRANGE(""https://docs.google.com/spreadsheets/d/1tZ0nmtGuIRCaGAMXHlQU8EpR9LOAJvyKfc4f7EFmE34/edit?usp=sharing"",""ศรีสะเกษ!J537"")"),0)</f>
        <v>0</v>
      </c>
      <c r="Q44" s="82">
        <f t="shared" ca="1" si="25"/>
        <v>0</v>
      </c>
      <c r="R44" s="81">
        <f ca="1">IFERROR(__xludf.DUMMYFUNCTION("IMPORTRANGE(""https://docs.google.com/spreadsheets/d/1tZ0nmtGuIRCaGAMXHlQU8EpR9LOAJvyKfc4f7EFmE34/edit?usp=sharing"",""ศรีสะเกษ!I538"")"),0)</f>
        <v>0</v>
      </c>
      <c r="S44" s="81">
        <f ca="1">IFERROR(__xludf.DUMMYFUNCTION("IMPORTRANGE(""https://docs.google.com/spreadsheets/d/1tZ0nmtGuIRCaGAMXHlQU8EpR9LOAJvyKfc4f7EFmE34/edit?usp=sharing"",""ศรีสะเกษ!J538"")"),0)</f>
        <v>0</v>
      </c>
      <c r="T44" s="82">
        <f t="shared" ca="1" si="26"/>
        <v>0</v>
      </c>
      <c r="U44" s="81">
        <f ca="1">IFERROR(__xludf.DUMMYFUNCTION("IMPORTRANGE(""https://docs.google.com/spreadsheets/d/1tZ0nmtGuIRCaGAMXHlQU8EpR9LOAJvyKfc4f7EFmE34/edit?usp=sharing"",""ศรีสะเกษ!I539"")"),0)</f>
        <v>0</v>
      </c>
      <c r="V44" s="81">
        <f ca="1">IFERROR(__xludf.DUMMYFUNCTION("IMPORTRANGE(""https://docs.google.com/spreadsheets/d/1tZ0nmtGuIRCaGAMXHlQU8EpR9LOAJvyKfc4f7EFmE34/edit?usp=sharing"",""ศรีสะเกษ!J539"")"),0)</f>
        <v>0</v>
      </c>
      <c r="W44" s="82">
        <f t="shared" ca="1" si="27"/>
        <v>0</v>
      </c>
      <c r="X44" s="81">
        <f ca="1">IFERROR(__xludf.DUMMYFUNCTION("IMPORTRANGE(""https://docs.google.com/spreadsheets/d/1tZ0nmtGuIRCaGAMXHlQU8EpR9LOAJvyKfc4f7EFmE34/edit?usp=sharing"",""ศรีสะเกษ!I540"")"),0)</f>
        <v>0</v>
      </c>
      <c r="Y44" s="81">
        <f ca="1">IFERROR(__xludf.DUMMYFUNCTION("IMPORTRANGE(""https://docs.google.com/spreadsheets/d/1tZ0nmtGuIRCaGAMXHlQU8EpR9LOAJvyKfc4f7EFmE34/edit?usp=sharing"",""ศรีสะเกษ!J540"")"),0)</f>
        <v>0</v>
      </c>
      <c r="Z44" s="82">
        <f t="shared" ca="1" si="28"/>
        <v>0</v>
      </c>
      <c r="AA44" s="234">
        <f ca="1">IFERROR(__xludf.DUMMYFUNCTION("IMPORTRANGE(""https://docs.google.com/spreadsheets/d/1tZ0nmtGuIRCaGAMXHlQU8EpR9LOAJvyKfc4f7EFmE34/edit?usp=sharing"",""ศรีสะเกษ!I541"")"),0)</f>
        <v>0</v>
      </c>
      <c r="AB44" s="181">
        <f ca="1">IFERROR(__xludf.DUMMYFUNCTION("IMPORTRANGE(""https://docs.google.com/spreadsheets/d/1tZ0nmtGuIRCaGAMXHlQU8EpR9LOAJvyKfc4f7EFmE34/edit?usp=sharing"",""ศรีสะเกษ!J541"")"),0)</f>
        <v>0</v>
      </c>
      <c r="AC44" s="186">
        <f t="shared" ca="1" si="29"/>
        <v>0</v>
      </c>
      <c r="AD44" s="234">
        <f ca="1">IFERROR(__xludf.DUMMYFUNCTION("IMPORTRANGE(""https://docs.google.com/spreadsheets/d/1tZ0nmtGuIRCaGAMXHlQU8EpR9LOAJvyKfc4f7EFmE34/edit?usp=sharing"",""ศรีสะเกษ!I542"")"),0)</f>
        <v>0</v>
      </c>
      <c r="AE44" s="181">
        <f ca="1">IFERROR(__xludf.DUMMYFUNCTION("IMPORTRANGE(""https://docs.google.com/spreadsheets/d/1tZ0nmtGuIRCaGAMXHlQU8EpR9LOAJvyKfc4f7EFmE34/edit?usp=sharing"",""ศรีสะเกษ!J542"")"),0)</f>
        <v>0</v>
      </c>
      <c r="AF44" s="186">
        <f t="shared" ca="1" si="30"/>
        <v>0</v>
      </c>
    </row>
    <row r="45" spans="1:32" ht="21" customHeight="1" x14ac:dyDescent="0.3">
      <c r="A45" s="72">
        <v>14</v>
      </c>
      <c r="B45" s="73" t="s">
        <v>62</v>
      </c>
      <c r="C45" s="74">
        <f t="shared" ca="1" si="50"/>
        <v>0</v>
      </c>
      <c r="D45" s="75">
        <f ca="1">IFERROR(__xludf.DUMMYFUNCTION("IMPORTRANGE(""https://docs.google.com/spreadsheets/d/1QC8psz9w0f9IVE9Xuc2FT_btkaOzZbbUSgYObpBuetM/edit?usp=sharing"",""สกลนคร!L528"")"),0)</f>
        <v>0</v>
      </c>
      <c r="E45" s="76">
        <f ca="1">IFERROR(__xludf.DUMMYFUNCTION("IMPORTRANGE(""https://docs.google.com/spreadsheets/d/1QC8psz9w0f9IVE9Xuc2FT_btkaOzZbbUSgYObpBuetM/edit?usp=sharing"",""สกลนคร!L535"")"),0)</f>
        <v>0</v>
      </c>
      <c r="F45" s="77">
        <f t="shared" ca="1" si="1"/>
        <v>0</v>
      </c>
      <c r="G45" s="78">
        <f t="shared" ca="1" si="2"/>
        <v>0</v>
      </c>
      <c r="H45" s="79">
        <f t="shared" ca="1" si="51"/>
        <v>0</v>
      </c>
      <c r="I45" s="76">
        <f ca="1">IFERROR(__xludf.DUMMYFUNCTION("IMPORTRANGE(""https://docs.google.com/spreadsheets/d/1QC8psz9w0f9IVE9Xuc2FT_btkaOzZbbUSgYObpBuetM/edit?usp=sharing"",""สกลนคร!N529"")"),0)</f>
        <v>0</v>
      </c>
      <c r="J45" s="76">
        <f ca="1">IFERROR(__xludf.DUMMYFUNCTION("IMPORTRANGE(""https://docs.google.com/spreadsheets/d/1QC8psz9w0f9IVE9Xuc2FT_btkaOzZbbUSgYObpBuetM/edit?usp=sharing"",""สกลนคร!N530"")"),0)</f>
        <v>0</v>
      </c>
      <c r="K45" s="76">
        <f ca="1">IFERROR(__xludf.DUMMYFUNCTION("IMPORTRANGE(""https://docs.google.com/spreadsheets/d/1QC8psz9w0f9IVE9Xuc2FT_btkaOzZbbUSgYObpBuetM/edit?usp=sharing"",""สกลนคร!N531"")"),0)</f>
        <v>0</v>
      </c>
      <c r="L45" s="76">
        <f ca="1">IFERROR(__xludf.DUMMYFUNCTION("IMPORTRANGE(""https://docs.google.com/spreadsheets/d/1QC8psz9w0f9IVE9Xuc2FT_btkaOzZbbUSgYObpBuetM/edit?usp=sharing"",""สกลนคร!N532"")"),0)</f>
        <v>0</v>
      </c>
      <c r="M45" s="80">
        <f ca="1">IFERROR(__xludf.DUMMYFUNCTION("IMPORTRANGE(""https://docs.google.com/spreadsheets/d/1QC8psz9w0f9IVE9Xuc2FT_btkaOzZbbUSgYObpBuetM/edit?usp=sharing"",""สกลนคร!N535"")"),0)</f>
        <v>0</v>
      </c>
      <c r="N45" s="80">
        <f t="shared" ca="1" si="33"/>
        <v>0</v>
      </c>
      <c r="O45" s="81">
        <f ca="1">IFERROR(__xludf.DUMMYFUNCTION("IMPORTRANGE(""https://docs.google.com/spreadsheets/d/1QC8psz9w0f9IVE9Xuc2FT_btkaOzZbbUSgYObpBuetM/edit?usp=sharing"",""สกลนคร!I537"")"),0)</f>
        <v>0</v>
      </c>
      <c r="P45" s="81">
        <f ca="1">IFERROR(__xludf.DUMMYFUNCTION("IMPORTRANGE(""https://docs.google.com/spreadsheets/d/1QC8psz9w0f9IVE9Xuc2FT_btkaOzZbbUSgYObpBuetM/edit?usp=sharing"",""สกลนคร!J537"")"),0)</f>
        <v>0</v>
      </c>
      <c r="Q45" s="82">
        <f t="shared" ca="1" si="25"/>
        <v>0</v>
      </c>
      <c r="R45" s="81">
        <f ca="1">IFERROR(__xludf.DUMMYFUNCTION("IMPORTRANGE(""https://docs.google.com/spreadsheets/d/1QC8psz9w0f9IVE9Xuc2FT_btkaOzZbbUSgYObpBuetM/edit?usp=sharing"",""สกลนคร!I538"")"),0)</f>
        <v>0</v>
      </c>
      <c r="S45" s="81">
        <f ca="1">IFERROR(__xludf.DUMMYFUNCTION("IMPORTRANGE(""https://docs.google.com/spreadsheets/d/1QC8psz9w0f9IVE9Xuc2FT_btkaOzZbbUSgYObpBuetM/edit?usp=sharing"",""สกลนคร!J538"")"),0)</f>
        <v>0</v>
      </c>
      <c r="T45" s="82">
        <f t="shared" ca="1" si="26"/>
        <v>0</v>
      </c>
      <c r="U45" s="81">
        <f ca="1">IFERROR(__xludf.DUMMYFUNCTION("IMPORTRANGE(""https://docs.google.com/spreadsheets/d/1QC8psz9w0f9IVE9Xuc2FT_btkaOzZbbUSgYObpBuetM/edit?usp=sharing"",""สกลนคร!I539"")"),0)</f>
        <v>0</v>
      </c>
      <c r="V45" s="81">
        <f ca="1">IFERROR(__xludf.DUMMYFUNCTION("IMPORTRANGE(""https://docs.google.com/spreadsheets/d/1QC8psz9w0f9IVE9Xuc2FT_btkaOzZbbUSgYObpBuetM/edit?usp=sharing"",""สกลนคร!J539"")"),0)</f>
        <v>0</v>
      </c>
      <c r="W45" s="82">
        <f t="shared" ca="1" si="27"/>
        <v>0</v>
      </c>
      <c r="X45" s="81">
        <f ca="1">IFERROR(__xludf.DUMMYFUNCTION("IMPORTRANGE(""https://docs.google.com/spreadsheets/d/1QC8psz9w0f9IVE9Xuc2FT_btkaOzZbbUSgYObpBuetM/edit?usp=sharing"",""สกลนคร!I540"")"),0)</f>
        <v>0</v>
      </c>
      <c r="Y45" s="81">
        <f ca="1">IFERROR(__xludf.DUMMYFUNCTION("IMPORTRANGE(""https://docs.google.com/spreadsheets/d/1QC8psz9w0f9IVE9Xuc2FT_btkaOzZbbUSgYObpBuetM/edit?usp=sharing"",""สกลนคร!J540"")"),0)</f>
        <v>0</v>
      </c>
      <c r="Z45" s="82">
        <f t="shared" ca="1" si="28"/>
        <v>0</v>
      </c>
      <c r="AA45" s="234">
        <f ca="1">IFERROR(__xludf.DUMMYFUNCTION("IMPORTRANGE(""https://docs.google.com/spreadsheets/d/1QC8psz9w0f9IVE9Xuc2FT_btkaOzZbbUSgYObpBuetM/edit?usp=sharing"",""สกลนคร!I541"")"),0)</f>
        <v>0</v>
      </c>
      <c r="AB45" s="181">
        <f ca="1">IFERROR(__xludf.DUMMYFUNCTION("IMPORTRANGE(""https://docs.google.com/spreadsheets/d/1QC8psz9w0f9IVE9Xuc2FT_btkaOzZbbUSgYObpBuetM/edit?usp=sharing"",""สกลนคร!J541"")"),0)</f>
        <v>0</v>
      </c>
      <c r="AC45" s="186">
        <f t="shared" ca="1" si="29"/>
        <v>0</v>
      </c>
      <c r="AD45" s="234">
        <f ca="1">IFERROR(__xludf.DUMMYFUNCTION("IMPORTRANGE(""https://docs.google.com/spreadsheets/d/1QC8psz9w0f9IVE9Xuc2FT_btkaOzZbbUSgYObpBuetM/edit?usp=sharing"",""สกลนคร!I542"")"),0)</f>
        <v>0</v>
      </c>
      <c r="AE45" s="181">
        <f ca="1">IFERROR(__xludf.DUMMYFUNCTION("IMPORTRANGE(""https://docs.google.com/spreadsheets/d/1QC8psz9w0f9IVE9Xuc2FT_btkaOzZbbUSgYObpBuetM/edit?usp=sharing"",""สกลนคร!J542"")"),0)</f>
        <v>0</v>
      </c>
      <c r="AF45" s="186">
        <f t="shared" ca="1" si="30"/>
        <v>0</v>
      </c>
    </row>
    <row r="46" spans="1:32" ht="21" customHeight="1" x14ac:dyDescent="0.3">
      <c r="A46" s="72">
        <v>15</v>
      </c>
      <c r="B46" s="73" t="s">
        <v>63</v>
      </c>
      <c r="C46" s="74">
        <f t="shared" ca="1" si="50"/>
        <v>0</v>
      </c>
      <c r="D46" s="75">
        <f ca="1">IFERROR(__xludf.DUMMYFUNCTION("IMPORTRANGE(""https://docs.google.com/spreadsheets/d/1wPdvRbu02d33MYVlbsCnyTiZpefEBs9NNktAnT1HZvw/edit?usp=sharing"",""สุรินทร์!L528"")"),0)</f>
        <v>0</v>
      </c>
      <c r="E46" s="76">
        <f ca="1">IFERROR(__xludf.DUMMYFUNCTION("IMPORTRANGE(""https://docs.google.com/spreadsheets/d/1wPdvRbu02d33MYVlbsCnyTiZpefEBs9NNktAnT1HZvw/edit?usp=sharing"",""สุรินทร์!L535"")"),0)</f>
        <v>0</v>
      </c>
      <c r="F46" s="77">
        <f t="shared" ca="1" si="1"/>
        <v>0</v>
      </c>
      <c r="G46" s="78">
        <f t="shared" ca="1" si="2"/>
        <v>0</v>
      </c>
      <c r="H46" s="79">
        <f t="shared" ca="1" si="51"/>
        <v>0</v>
      </c>
      <c r="I46" s="76">
        <f ca="1">IFERROR(__xludf.DUMMYFUNCTION("IMPORTRANGE(""https://docs.google.com/spreadsheets/d/1wPdvRbu02d33MYVlbsCnyTiZpefEBs9NNktAnT1HZvw/edit?usp=sharing"",""สุรินทร์!N529"")"),0)</f>
        <v>0</v>
      </c>
      <c r="J46" s="76">
        <f ca="1">IFERROR(__xludf.DUMMYFUNCTION("IMPORTRANGE(""https://docs.google.com/spreadsheets/d/1wPdvRbu02d33MYVlbsCnyTiZpefEBs9NNktAnT1HZvw/edit?usp=sharing"",""สุรินทร์!N530"")"),0)</f>
        <v>0</v>
      </c>
      <c r="K46" s="76">
        <f ca="1">IFERROR(__xludf.DUMMYFUNCTION("IMPORTRANGE(""https://docs.google.com/spreadsheets/d/1wPdvRbu02d33MYVlbsCnyTiZpefEBs9NNktAnT1HZvw/edit?usp=sharing"",""สุรินทร์!N531"")"),0)</f>
        <v>0</v>
      </c>
      <c r="L46" s="76">
        <f ca="1">IFERROR(__xludf.DUMMYFUNCTION("IMPORTRANGE(""https://docs.google.com/spreadsheets/d/1wPdvRbu02d33MYVlbsCnyTiZpefEBs9NNktAnT1HZvw/edit?usp=sharing"",""สุรินทร์!N532"")"),0)</f>
        <v>0</v>
      </c>
      <c r="M46" s="80">
        <f ca="1">IFERROR(__xludf.DUMMYFUNCTION("IMPORTRANGE(""https://docs.google.com/spreadsheets/d/1wPdvRbu02d33MYVlbsCnyTiZpefEBs9NNktAnT1HZvw/edit?usp=sharing"",""สุรินทร์!N535"")"),0)</f>
        <v>0</v>
      </c>
      <c r="N46" s="80">
        <f t="shared" ca="1" si="33"/>
        <v>0</v>
      </c>
      <c r="O46" s="81">
        <f ca="1">IFERROR(__xludf.DUMMYFUNCTION("IMPORTRANGE(""https://docs.google.com/spreadsheets/d/1wPdvRbu02d33MYVlbsCnyTiZpefEBs9NNktAnT1HZvw/edit?usp=sharing"",""สุรินทร์!I537"")"),0)</f>
        <v>0</v>
      </c>
      <c r="P46" s="81">
        <f ca="1">IFERROR(__xludf.DUMMYFUNCTION("IMPORTRANGE(""https://docs.google.com/spreadsheets/d/1wPdvRbu02d33MYVlbsCnyTiZpefEBs9NNktAnT1HZvw/edit?usp=sharing"",""สุรินทร์!J537"")"),0)</f>
        <v>0</v>
      </c>
      <c r="Q46" s="82">
        <f t="shared" ca="1" si="25"/>
        <v>0</v>
      </c>
      <c r="R46" s="81">
        <f ca="1">IFERROR(__xludf.DUMMYFUNCTION("IMPORTRANGE(""https://docs.google.com/spreadsheets/d/1wPdvRbu02d33MYVlbsCnyTiZpefEBs9NNktAnT1HZvw/edit?usp=sharing"",""สุรินทร์!I538"")"),0)</f>
        <v>0</v>
      </c>
      <c r="S46" s="81">
        <f ca="1">IFERROR(__xludf.DUMMYFUNCTION("IMPORTRANGE(""https://docs.google.com/spreadsheets/d/1wPdvRbu02d33MYVlbsCnyTiZpefEBs9NNktAnT1HZvw/edit?usp=sharing"",""สุรินทร์!J538"")"),0)</f>
        <v>0</v>
      </c>
      <c r="T46" s="82">
        <f t="shared" ca="1" si="26"/>
        <v>0</v>
      </c>
      <c r="U46" s="81">
        <f ca="1">IFERROR(__xludf.DUMMYFUNCTION("IMPORTRANGE(""https://docs.google.com/spreadsheets/d/1wPdvRbu02d33MYVlbsCnyTiZpefEBs9NNktAnT1HZvw/edit?usp=sharing"",""สุรินทร์!I539"")"),0)</f>
        <v>0</v>
      </c>
      <c r="V46" s="81">
        <f ca="1">IFERROR(__xludf.DUMMYFUNCTION("IMPORTRANGE(""https://docs.google.com/spreadsheets/d/1wPdvRbu02d33MYVlbsCnyTiZpefEBs9NNktAnT1HZvw/edit?usp=sharing"",""สุรินทร์!J539"")"),0)</f>
        <v>0</v>
      </c>
      <c r="W46" s="82">
        <f t="shared" ca="1" si="27"/>
        <v>0</v>
      </c>
      <c r="X46" s="81">
        <f ca="1">IFERROR(__xludf.DUMMYFUNCTION("IMPORTRANGE(""https://docs.google.com/spreadsheets/d/1wPdvRbu02d33MYVlbsCnyTiZpefEBs9NNktAnT1HZvw/edit?usp=sharing"",""สุรินทร์!I540"")"),0)</f>
        <v>0</v>
      </c>
      <c r="Y46" s="81">
        <f ca="1">IFERROR(__xludf.DUMMYFUNCTION("IMPORTRANGE(""https://docs.google.com/spreadsheets/d/1wPdvRbu02d33MYVlbsCnyTiZpefEBs9NNktAnT1HZvw/edit?usp=sharing"",""สุรินทร์!J540"")"),0)</f>
        <v>0</v>
      </c>
      <c r="Z46" s="82">
        <f t="shared" ca="1" si="28"/>
        <v>0</v>
      </c>
      <c r="AA46" s="234">
        <f ca="1">IFERROR(__xludf.DUMMYFUNCTION("IMPORTRANGE(""https://docs.google.com/spreadsheets/d/1wPdvRbu02d33MYVlbsCnyTiZpefEBs9NNktAnT1HZvw/edit?usp=sharing"",""สุรินทร์!I541"")"),0)</f>
        <v>0</v>
      </c>
      <c r="AB46" s="181">
        <f ca="1">IFERROR(__xludf.DUMMYFUNCTION("IMPORTRANGE(""https://docs.google.com/spreadsheets/d/1wPdvRbu02d33MYVlbsCnyTiZpefEBs9NNktAnT1HZvw/edit?usp=sharing"",""สุรินทร์!J541"")"),0)</f>
        <v>0</v>
      </c>
      <c r="AC46" s="186">
        <f t="shared" ca="1" si="29"/>
        <v>0</v>
      </c>
      <c r="AD46" s="234">
        <f ca="1">IFERROR(__xludf.DUMMYFUNCTION("IMPORTRANGE(""https://docs.google.com/spreadsheets/d/1wPdvRbu02d33MYVlbsCnyTiZpefEBs9NNktAnT1HZvw/edit?usp=sharing"",""สุรินทร์!I542"")"),0)</f>
        <v>0</v>
      </c>
      <c r="AE46" s="181">
        <f ca="1">IFERROR(__xludf.DUMMYFUNCTION("IMPORTRANGE(""https://docs.google.com/spreadsheets/d/1wPdvRbu02d33MYVlbsCnyTiZpefEBs9NNktAnT1HZvw/edit?usp=sharing"",""สุรินทร์!J542"")"),0)</f>
        <v>0</v>
      </c>
      <c r="AF46" s="186">
        <f t="shared" ca="1" si="30"/>
        <v>0</v>
      </c>
    </row>
    <row r="47" spans="1:32" ht="21" customHeight="1" x14ac:dyDescent="0.3">
      <c r="A47" s="72">
        <v>16</v>
      </c>
      <c r="B47" s="73" t="s">
        <v>64</v>
      </c>
      <c r="C47" s="74">
        <f t="shared" ca="1" si="50"/>
        <v>0</v>
      </c>
      <c r="D47" s="75">
        <f ca="1">IFERROR(__xludf.DUMMYFUNCTION("IMPORTRANGE(""https://docs.google.com/spreadsheets/d/1GVExpf-Exi_2gmuqTYH28fseTB9MoKPXWcXCbSt_YrM/edit?usp=sharing"",""หนองคาย!L528"")"),0)</f>
        <v>0</v>
      </c>
      <c r="E47" s="76">
        <f ca="1">IFERROR(__xludf.DUMMYFUNCTION("IMPORTRANGE(""https://docs.google.com/spreadsheets/d/1GVExpf-Exi_2gmuqTYH28fseTB9MoKPXWcXCbSt_YrM/edit?usp=sharing"",""หนองคาย!L535"")"),0)</f>
        <v>0</v>
      </c>
      <c r="F47" s="77">
        <f t="shared" ca="1" si="1"/>
        <v>0</v>
      </c>
      <c r="G47" s="78">
        <f t="shared" ca="1" si="2"/>
        <v>0</v>
      </c>
      <c r="H47" s="79">
        <f t="shared" ca="1" si="51"/>
        <v>0</v>
      </c>
      <c r="I47" s="76">
        <f ca="1">IFERROR(__xludf.DUMMYFUNCTION("IMPORTRANGE(""https://docs.google.com/spreadsheets/d/1GVExpf-Exi_2gmuqTYH28fseTB9MoKPXWcXCbSt_YrM/edit?usp=sharing"",""หนองคาย!N529"")"),0)</f>
        <v>0</v>
      </c>
      <c r="J47" s="76">
        <f ca="1">IFERROR(__xludf.DUMMYFUNCTION("IMPORTRANGE(""https://docs.google.com/spreadsheets/d/1GVExpf-Exi_2gmuqTYH28fseTB9MoKPXWcXCbSt_YrM/edit?usp=sharing"",""หนองคาย!N530"")"),0)</f>
        <v>0</v>
      </c>
      <c r="K47" s="76">
        <f ca="1">IFERROR(__xludf.DUMMYFUNCTION("IMPORTRANGE(""https://docs.google.com/spreadsheets/d/1GVExpf-Exi_2gmuqTYH28fseTB9MoKPXWcXCbSt_YrM/edit?usp=sharing"",""หนองคาย!N531"")"),0)</f>
        <v>0</v>
      </c>
      <c r="L47" s="76">
        <f ca="1">IFERROR(__xludf.DUMMYFUNCTION("IMPORTRANGE(""https://docs.google.com/spreadsheets/d/1GVExpf-Exi_2gmuqTYH28fseTB9MoKPXWcXCbSt_YrM/edit?usp=sharing"",""หนองคาย!N532"")"),0)</f>
        <v>0</v>
      </c>
      <c r="M47" s="80">
        <f ca="1">IFERROR(__xludf.DUMMYFUNCTION("IMPORTRANGE(""https://docs.google.com/spreadsheets/d/1GVExpf-Exi_2gmuqTYH28fseTB9MoKPXWcXCbSt_YrM/edit?usp=sharing"",""หนองคาย!N535"")"),0)</f>
        <v>0</v>
      </c>
      <c r="N47" s="80">
        <f t="shared" ca="1" si="33"/>
        <v>0</v>
      </c>
      <c r="O47" s="81">
        <f ca="1">IFERROR(__xludf.DUMMYFUNCTION("IMPORTRANGE(""https://docs.google.com/spreadsheets/d/1GVExpf-Exi_2gmuqTYH28fseTB9MoKPXWcXCbSt_YrM/edit?usp=sharing"",""หนองคาย!I537"")"),0)</f>
        <v>0</v>
      </c>
      <c r="P47" s="81">
        <f ca="1">IFERROR(__xludf.DUMMYFUNCTION("IMPORTRANGE(""https://docs.google.com/spreadsheets/d/1GVExpf-Exi_2gmuqTYH28fseTB9MoKPXWcXCbSt_YrM/edit?usp=sharing"",""หนองคาย!J537"")"),0)</f>
        <v>0</v>
      </c>
      <c r="Q47" s="82">
        <f t="shared" ca="1" si="25"/>
        <v>0</v>
      </c>
      <c r="R47" s="81">
        <f ca="1">IFERROR(__xludf.DUMMYFUNCTION("IMPORTRANGE(""https://docs.google.com/spreadsheets/d/1GVExpf-Exi_2gmuqTYH28fseTB9MoKPXWcXCbSt_YrM/edit?usp=sharing"",""หนองคาย!I538"")"),0)</f>
        <v>0</v>
      </c>
      <c r="S47" s="81">
        <f ca="1">IFERROR(__xludf.DUMMYFUNCTION("IMPORTRANGE(""https://docs.google.com/spreadsheets/d/1GVExpf-Exi_2gmuqTYH28fseTB9MoKPXWcXCbSt_YrM/edit?usp=sharing"",""หนองคาย!J538"")"),0)</f>
        <v>0</v>
      </c>
      <c r="T47" s="82">
        <f t="shared" ca="1" si="26"/>
        <v>0</v>
      </c>
      <c r="U47" s="81">
        <f ca="1">IFERROR(__xludf.DUMMYFUNCTION("IMPORTRANGE(""https://docs.google.com/spreadsheets/d/1GVExpf-Exi_2gmuqTYH28fseTB9MoKPXWcXCbSt_YrM/edit?usp=sharing"",""หนองคาย!I539"")"),0)</f>
        <v>0</v>
      </c>
      <c r="V47" s="81">
        <f ca="1">IFERROR(__xludf.DUMMYFUNCTION("IMPORTRANGE(""https://docs.google.com/spreadsheets/d/1GVExpf-Exi_2gmuqTYH28fseTB9MoKPXWcXCbSt_YrM/edit?usp=sharing"",""หนองคาย!J539"")"),0)</f>
        <v>0</v>
      </c>
      <c r="W47" s="82">
        <f t="shared" ca="1" si="27"/>
        <v>0</v>
      </c>
      <c r="X47" s="81">
        <f ca="1">IFERROR(__xludf.DUMMYFUNCTION("IMPORTRANGE(""https://docs.google.com/spreadsheets/d/1GVExpf-Exi_2gmuqTYH28fseTB9MoKPXWcXCbSt_YrM/edit?usp=sharing"",""หนองคาย!I540"")"),0)</f>
        <v>0</v>
      </c>
      <c r="Y47" s="81">
        <f ca="1">IFERROR(__xludf.DUMMYFUNCTION("IMPORTRANGE(""https://docs.google.com/spreadsheets/d/1GVExpf-Exi_2gmuqTYH28fseTB9MoKPXWcXCbSt_YrM/edit?usp=sharing"",""หนองคาย!J540"")"),0)</f>
        <v>0</v>
      </c>
      <c r="Z47" s="82">
        <f t="shared" ca="1" si="28"/>
        <v>0</v>
      </c>
      <c r="AA47" s="234">
        <f ca="1">IFERROR(__xludf.DUMMYFUNCTION("IMPORTRANGE(""https://docs.google.com/spreadsheets/d/1GVExpf-Exi_2gmuqTYH28fseTB9MoKPXWcXCbSt_YrM/edit?usp=sharing"",""หนองคาย!I541"")"),0)</f>
        <v>0</v>
      </c>
      <c r="AB47" s="181">
        <f ca="1">IFERROR(__xludf.DUMMYFUNCTION("IMPORTRANGE(""https://docs.google.com/spreadsheets/d/1GVExpf-Exi_2gmuqTYH28fseTB9MoKPXWcXCbSt_YrM/edit?usp=sharing"",""หนองคาย!J541"")"),0)</f>
        <v>0</v>
      </c>
      <c r="AC47" s="186">
        <f t="shared" ca="1" si="29"/>
        <v>0</v>
      </c>
      <c r="AD47" s="234">
        <f ca="1">IFERROR(__xludf.DUMMYFUNCTION("IMPORTRANGE(""https://docs.google.com/spreadsheets/d/1GVExpf-Exi_2gmuqTYH28fseTB9MoKPXWcXCbSt_YrM/edit?usp=sharing"",""หนองคาย!I542"")"),0)</f>
        <v>0</v>
      </c>
      <c r="AE47" s="181">
        <f ca="1">IFERROR(__xludf.DUMMYFUNCTION("IMPORTRANGE(""https://docs.google.com/spreadsheets/d/1GVExpf-Exi_2gmuqTYH28fseTB9MoKPXWcXCbSt_YrM/edit?usp=sharing"",""หนองคาย!J542"")"),0)</f>
        <v>0</v>
      </c>
      <c r="AF47" s="186">
        <f t="shared" ca="1" si="30"/>
        <v>0</v>
      </c>
    </row>
    <row r="48" spans="1:32" ht="21" customHeight="1" x14ac:dyDescent="0.3">
      <c r="A48" s="72">
        <v>17</v>
      </c>
      <c r="B48" s="73" t="s">
        <v>65</v>
      </c>
      <c r="C48" s="74">
        <f t="shared" ca="1" si="50"/>
        <v>0</v>
      </c>
      <c r="D48" s="75">
        <f ca="1">IFERROR(__xludf.DUMMYFUNCTION("IMPORTRANGE(""https://docs.google.com/spreadsheets/d/16UeMz0UgOB5BZcoxP75eYGcLFtGYRn9GoesD4OX9m5U/edit?usp=sharing"",""หนองบัวลำภู!L528"")"),0)</f>
        <v>0</v>
      </c>
      <c r="E48" s="76">
        <f ca="1">IFERROR(__xludf.DUMMYFUNCTION("IMPORTRANGE(""https://docs.google.com/spreadsheets/d/16UeMz0UgOB5BZcoxP75eYGcLFtGYRn9GoesD4OX9m5U/edit?usp=sharing"",""หนองบัวลำภู!L535"")"),0)</f>
        <v>0</v>
      </c>
      <c r="F48" s="77">
        <f t="shared" ca="1" si="1"/>
        <v>0</v>
      </c>
      <c r="G48" s="78">
        <f t="shared" ca="1" si="2"/>
        <v>0</v>
      </c>
      <c r="H48" s="79">
        <f t="shared" ca="1" si="51"/>
        <v>0</v>
      </c>
      <c r="I48" s="76">
        <f ca="1">IFERROR(__xludf.DUMMYFUNCTION("IMPORTRANGE(""https://docs.google.com/spreadsheets/d/16UeMz0UgOB5BZcoxP75eYGcLFtGYRn9GoesD4OX9m5U/edit?usp=sharing"",""หนองบัวลำภู!N529"")"),0)</f>
        <v>0</v>
      </c>
      <c r="J48" s="76">
        <f ca="1">IFERROR(__xludf.DUMMYFUNCTION("IMPORTRANGE(""https://docs.google.com/spreadsheets/d/16UeMz0UgOB5BZcoxP75eYGcLFtGYRn9GoesD4OX9m5U/edit?usp=sharing"",""หนองบัวลำภู!N530"")"),0)</f>
        <v>0</v>
      </c>
      <c r="K48" s="76">
        <f ca="1">IFERROR(__xludf.DUMMYFUNCTION("IMPORTRANGE(""https://docs.google.com/spreadsheets/d/16UeMz0UgOB5BZcoxP75eYGcLFtGYRn9GoesD4OX9m5U/edit?usp=sharing"",""หนองบัวลำภู!N531"")"),0)</f>
        <v>0</v>
      </c>
      <c r="L48" s="76">
        <f ca="1">IFERROR(__xludf.DUMMYFUNCTION("IMPORTRANGE(""https://docs.google.com/spreadsheets/d/16UeMz0UgOB5BZcoxP75eYGcLFtGYRn9GoesD4OX9m5U/edit?usp=sharing"",""หนองบัวลำภู!N532"")"),0)</f>
        <v>0</v>
      </c>
      <c r="M48" s="80">
        <f ca="1">IFERROR(__xludf.DUMMYFUNCTION("IMPORTRANGE(""https://docs.google.com/spreadsheets/d/16UeMz0UgOB5BZcoxP75eYGcLFtGYRn9GoesD4OX9m5U/edit?usp=sharing"",""หนองบัวลำภู!N535"")"),0)</f>
        <v>0</v>
      </c>
      <c r="N48" s="80">
        <f t="shared" ca="1" si="33"/>
        <v>0</v>
      </c>
      <c r="O48" s="81">
        <f ca="1">IFERROR(__xludf.DUMMYFUNCTION("IMPORTRANGE(""https://docs.google.com/spreadsheets/d/16UeMz0UgOB5BZcoxP75eYGcLFtGYRn9GoesD4OX9m5U/edit?usp=sharing"",""หนองบัวลำภู!I537"")"),0)</f>
        <v>0</v>
      </c>
      <c r="P48" s="81">
        <f ca="1">IFERROR(__xludf.DUMMYFUNCTION("IMPORTRANGE(""https://docs.google.com/spreadsheets/d/16UeMz0UgOB5BZcoxP75eYGcLFtGYRn9GoesD4OX9m5U/edit?usp=sharing"",""หนองบัวลำภู!J537"")"),0)</f>
        <v>0</v>
      </c>
      <c r="Q48" s="82">
        <f t="shared" ca="1" si="25"/>
        <v>0</v>
      </c>
      <c r="R48" s="81">
        <f ca="1">IFERROR(__xludf.DUMMYFUNCTION("IMPORTRANGE(""https://docs.google.com/spreadsheets/d/16UeMz0UgOB5BZcoxP75eYGcLFtGYRn9GoesD4OX9m5U/edit?usp=sharing"",""หนองบัวลำภู!I538"")"),0)</f>
        <v>0</v>
      </c>
      <c r="S48" s="81">
        <f ca="1">IFERROR(__xludf.DUMMYFUNCTION("IMPORTRANGE(""https://docs.google.com/spreadsheets/d/16UeMz0UgOB5BZcoxP75eYGcLFtGYRn9GoesD4OX9m5U/edit?usp=sharing"",""หนองบัวลำภู!J538"")"),0)</f>
        <v>0</v>
      </c>
      <c r="T48" s="82">
        <f t="shared" ca="1" si="26"/>
        <v>0</v>
      </c>
      <c r="U48" s="81">
        <f ca="1">IFERROR(__xludf.DUMMYFUNCTION("IMPORTRANGE(""https://docs.google.com/spreadsheets/d/16UeMz0UgOB5BZcoxP75eYGcLFtGYRn9GoesD4OX9m5U/edit?usp=sharing"",""หนองบัวลำภู!I539"")"),0)</f>
        <v>0</v>
      </c>
      <c r="V48" s="81">
        <f ca="1">IFERROR(__xludf.DUMMYFUNCTION("IMPORTRANGE(""https://docs.google.com/spreadsheets/d/16UeMz0UgOB5BZcoxP75eYGcLFtGYRn9GoesD4OX9m5U/edit?usp=sharing"",""หนองบัวลำภู!J539"")"),0)</f>
        <v>0</v>
      </c>
      <c r="W48" s="82">
        <f t="shared" ca="1" si="27"/>
        <v>0</v>
      </c>
      <c r="X48" s="81">
        <f ca="1">IFERROR(__xludf.DUMMYFUNCTION("IMPORTRANGE(""https://docs.google.com/spreadsheets/d/16UeMz0UgOB5BZcoxP75eYGcLFtGYRn9GoesD4OX9m5U/edit?usp=sharing"",""หนองบัวลำภู!I540"")"),0)</f>
        <v>0</v>
      </c>
      <c r="Y48" s="81">
        <f ca="1">IFERROR(__xludf.DUMMYFUNCTION("IMPORTRANGE(""https://docs.google.com/spreadsheets/d/16UeMz0UgOB5BZcoxP75eYGcLFtGYRn9GoesD4OX9m5U/edit?usp=sharing"",""หนองบัวลำภู!J540"")"),0)</f>
        <v>0</v>
      </c>
      <c r="Z48" s="82">
        <f t="shared" ca="1" si="28"/>
        <v>0</v>
      </c>
      <c r="AA48" s="234">
        <f ca="1">IFERROR(__xludf.DUMMYFUNCTION("IMPORTRANGE(""https://docs.google.com/spreadsheets/d/16UeMz0UgOB5BZcoxP75eYGcLFtGYRn9GoesD4OX9m5U/edit?usp=sharing"",""หนองบัวลำภู!I541"")"),0)</f>
        <v>0</v>
      </c>
      <c r="AB48" s="181">
        <f ca="1">IFERROR(__xludf.DUMMYFUNCTION("IMPORTRANGE(""https://docs.google.com/spreadsheets/d/16UeMz0UgOB5BZcoxP75eYGcLFtGYRn9GoesD4OX9m5U/edit?usp=sharing"",""หนองบัวลำภู!J541"")"),0)</f>
        <v>0</v>
      </c>
      <c r="AC48" s="186">
        <f t="shared" ca="1" si="29"/>
        <v>0</v>
      </c>
      <c r="AD48" s="234">
        <f ca="1">IFERROR(__xludf.DUMMYFUNCTION("IMPORTRANGE(""https://docs.google.com/spreadsheets/d/16UeMz0UgOB5BZcoxP75eYGcLFtGYRn9GoesD4OX9m5U/edit?usp=sharing"",""หนองบัวลำภู!I542"")"),0)</f>
        <v>0</v>
      </c>
      <c r="AE48" s="181">
        <f ca="1">IFERROR(__xludf.DUMMYFUNCTION("IMPORTRANGE(""https://docs.google.com/spreadsheets/d/16UeMz0UgOB5BZcoxP75eYGcLFtGYRn9GoesD4OX9m5U/edit?usp=sharing"",""หนองบัวลำภู!J542"")"),0)</f>
        <v>0</v>
      </c>
      <c r="AF48" s="186">
        <f t="shared" ca="1" si="30"/>
        <v>0</v>
      </c>
    </row>
    <row r="49" spans="1:32" ht="21" customHeight="1" x14ac:dyDescent="0.3">
      <c r="A49" s="72">
        <v>18</v>
      </c>
      <c r="B49" s="73" t="s">
        <v>66</v>
      </c>
      <c r="C49" s="74">
        <f t="shared" ca="1" si="50"/>
        <v>0</v>
      </c>
      <c r="D49" s="75">
        <f ca="1">IFERROR(__xludf.DUMMYFUNCTION("IMPORTRANGE(""https://docs.google.com/spreadsheets/d/1uUP8Zo1-qaJLuIkRU0qlwLSE3DHkbdrrj2JGJiWBQZE/edit?usp=sharing"",""อำนาจเจริญ!L528"")"),0)</f>
        <v>0</v>
      </c>
      <c r="E49" s="76">
        <f ca="1">IFERROR(__xludf.DUMMYFUNCTION("IMPORTRANGE(""https://docs.google.com/spreadsheets/d/1uUP8Zo1-qaJLuIkRU0qlwLSE3DHkbdrrj2JGJiWBQZE/edit?usp=sharing"",""อำนาจเจริญ!L535"")"),0)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51"/>
        <v>0</v>
      </c>
      <c r="I49" s="76">
        <f ca="1">IFERROR(__xludf.DUMMYFUNCTION("IMPORTRANGE(""https://docs.google.com/spreadsheets/d/1uUP8Zo1-qaJLuIkRU0qlwLSE3DHkbdrrj2JGJiWBQZE/edit?usp=sharing"",""อำนาจเจริญ!N529"")"),0)</f>
        <v>0</v>
      </c>
      <c r="J49" s="76">
        <f ca="1">IFERROR(__xludf.DUMMYFUNCTION("IMPORTRANGE(""https://docs.google.com/spreadsheets/d/1uUP8Zo1-qaJLuIkRU0qlwLSE3DHkbdrrj2JGJiWBQZE/edit?usp=sharing"",""อำนาจเจริญ!N530"")"),0)</f>
        <v>0</v>
      </c>
      <c r="K49" s="76">
        <f ca="1">IFERROR(__xludf.DUMMYFUNCTION("IMPORTRANGE(""https://docs.google.com/spreadsheets/d/1uUP8Zo1-qaJLuIkRU0qlwLSE3DHkbdrrj2JGJiWBQZE/edit?usp=sharing"",""อำนาจเจริญ!N531"")"),0)</f>
        <v>0</v>
      </c>
      <c r="L49" s="76">
        <f ca="1">IFERROR(__xludf.DUMMYFUNCTION("IMPORTRANGE(""https://docs.google.com/spreadsheets/d/1uUP8Zo1-qaJLuIkRU0qlwLSE3DHkbdrrj2JGJiWBQZE/edit?usp=sharing"",""อำนาจเจริญ!N532"")"),0)</f>
        <v>0</v>
      </c>
      <c r="M49" s="80">
        <f ca="1">IFERROR(__xludf.DUMMYFUNCTION("IMPORTRANGE(""https://docs.google.com/spreadsheets/d/1uUP8Zo1-qaJLuIkRU0qlwLSE3DHkbdrrj2JGJiWBQZE/edit?usp=sharing"",""อำนาจเจริญ!N535"")"),0)</f>
        <v>0</v>
      </c>
      <c r="N49" s="80">
        <f t="shared" ca="1" si="33"/>
        <v>0</v>
      </c>
      <c r="O49" s="81">
        <f ca="1">IFERROR(__xludf.DUMMYFUNCTION("IMPORTRANGE(""https://docs.google.com/spreadsheets/d/1uUP8Zo1-qaJLuIkRU0qlwLSE3DHkbdrrj2JGJiWBQZE/edit?usp=sharing"",""อำนาจเจริญ!I537"")"),0)</f>
        <v>0</v>
      </c>
      <c r="P49" s="81">
        <f ca="1">IFERROR(__xludf.DUMMYFUNCTION("IMPORTRANGE(""https://docs.google.com/spreadsheets/d/1uUP8Zo1-qaJLuIkRU0qlwLSE3DHkbdrrj2JGJiWBQZE/edit?usp=sharing"",""อำนาจเจริญ!J537"")"),0)</f>
        <v>0</v>
      </c>
      <c r="Q49" s="82">
        <f t="shared" ca="1" si="25"/>
        <v>0</v>
      </c>
      <c r="R49" s="81">
        <f ca="1">IFERROR(__xludf.DUMMYFUNCTION("IMPORTRANGE(""https://docs.google.com/spreadsheets/d/1uUP8Zo1-qaJLuIkRU0qlwLSE3DHkbdrrj2JGJiWBQZE/edit?usp=sharing"",""อำนาจเจริญ!I538"")"),0)</f>
        <v>0</v>
      </c>
      <c r="S49" s="81">
        <f ca="1">IFERROR(__xludf.DUMMYFUNCTION("IMPORTRANGE(""https://docs.google.com/spreadsheets/d/1uUP8Zo1-qaJLuIkRU0qlwLSE3DHkbdrrj2JGJiWBQZE/edit?usp=sharing"",""อำนาจเจริญ!J538"")"),0)</f>
        <v>0</v>
      </c>
      <c r="T49" s="82">
        <f t="shared" ca="1" si="26"/>
        <v>0</v>
      </c>
      <c r="U49" s="81">
        <f ca="1">IFERROR(__xludf.DUMMYFUNCTION("IMPORTRANGE(""https://docs.google.com/spreadsheets/d/1uUP8Zo1-qaJLuIkRU0qlwLSE3DHkbdrrj2JGJiWBQZE/edit?usp=sharing"",""อำนาจเจริญ!I539"")"),0)</f>
        <v>0</v>
      </c>
      <c r="V49" s="81">
        <f ca="1">IFERROR(__xludf.DUMMYFUNCTION("IMPORTRANGE(""https://docs.google.com/spreadsheets/d/1uUP8Zo1-qaJLuIkRU0qlwLSE3DHkbdrrj2JGJiWBQZE/edit?usp=sharing"",""อำนาจเจริญ!J539"")"),0)</f>
        <v>0</v>
      </c>
      <c r="W49" s="82">
        <f t="shared" ca="1" si="27"/>
        <v>0</v>
      </c>
      <c r="X49" s="81">
        <f ca="1">IFERROR(__xludf.DUMMYFUNCTION("IMPORTRANGE(""https://docs.google.com/spreadsheets/d/1uUP8Zo1-qaJLuIkRU0qlwLSE3DHkbdrrj2JGJiWBQZE/edit?usp=sharing"",""อำนาจเจริญ!I540"")"),0)</f>
        <v>0</v>
      </c>
      <c r="Y49" s="81">
        <f ca="1">IFERROR(__xludf.DUMMYFUNCTION("IMPORTRANGE(""https://docs.google.com/spreadsheets/d/1uUP8Zo1-qaJLuIkRU0qlwLSE3DHkbdrrj2JGJiWBQZE/edit?usp=sharing"",""อำนาจเจริญ!J540"")"),0)</f>
        <v>0</v>
      </c>
      <c r="Z49" s="82">
        <f t="shared" ca="1" si="28"/>
        <v>0</v>
      </c>
      <c r="AA49" s="234">
        <f ca="1">IFERROR(__xludf.DUMMYFUNCTION("IMPORTRANGE(""https://docs.google.com/spreadsheets/d/1uUP8Zo1-qaJLuIkRU0qlwLSE3DHkbdrrj2JGJiWBQZE/edit?usp=sharing"",""อำนาจเจริญ!I541"")"),0)</f>
        <v>0</v>
      </c>
      <c r="AB49" s="181">
        <f ca="1">IFERROR(__xludf.DUMMYFUNCTION("IMPORTRANGE(""https://docs.google.com/spreadsheets/d/1uUP8Zo1-qaJLuIkRU0qlwLSE3DHkbdrrj2JGJiWBQZE/edit?usp=sharing"",""อำนาจเจริญ!J541"")"),0)</f>
        <v>0</v>
      </c>
      <c r="AC49" s="186">
        <f t="shared" ca="1" si="29"/>
        <v>0</v>
      </c>
      <c r="AD49" s="234">
        <f ca="1">IFERROR(__xludf.DUMMYFUNCTION("IMPORTRANGE(""https://docs.google.com/spreadsheets/d/1uUP8Zo1-qaJLuIkRU0qlwLSE3DHkbdrrj2JGJiWBQZE/edit?usp=sharing"",""อำนาจเจริญ!I542"")"),0)</f>
        <v>0</v>
      </c>
      <c r="AE49" s="181">
        <f ca="1">IFERROR(__xludf.DUMMYFUNCTION("IMPORTRANGE(""https://docs.google.com/spreadsheets/d/1uUP8Zo1-qaJLuIkRU0qlwLSE3DHkbdrrj2JGJiWBQZE/edit?usp=sharing"",""อำนาจเจริญ!J542"")"),0)</f>
        <v>0</v>
      </c>
      <c r="AF49" s="186">
        <f t="shared" ca="1" si="30"/>
        <v>0</v>
      </c>
    </row>
    <row r="50" spans="1:32" ht="21" customHeight="1" x14ac:dyDescent="0.3">
      <c r="A50" s="72">
        <v>19</v>
      </c>
      <c r="B50" s="73" t="s">
        <v>67</v>
      </c>
      <c r="C50" s="74">
        <f t="shared" ca="1" si="50"/>
        <v>0</v>
      </c>
      <c r="D50" s="75">
        <f ca="1">IFERROR(__xludf.DUMMYFUNCTION("IMPORTRANGE(""https://docs.google.com/spreadsheets/d/1hb_taSOHanzRjqfzWPiFo8yiT83VV1L7vvUCLhOiHKc/edit?usp=sharing"",""อุดรธานี!L528"")"),0)</f>
        <v>0</v>
      </c>
      <c r="E50" s="76">
        <f ca="1">IFERROR(__xludf.DUMMYFUNCTION("IMPORTRANGE(""https://docs.google.com/spreadsheets/d/1hb_taSOHanzRjqfzWPiFo8yiT83VV1L7vvUCLhOiHKc/edit?usp=sharing"",""อุดรธานี!L535"")"),0)</f>
        <v>0</v>
      </c>
      <c r="F50" s="77">
        <f t="shared" ca="1" si="1"/>
        <v>0</v>
      </c>
      <c r="G50" s="78">
        <f t="shared" ca="1" si="2"/>
        <v>0</v>
      </c>
      <c r="H50" s="79">
        <f t="shared" ca="1" si="51"/>
        <v>0</v>
      </c>
      <c r="I50" s="76">
        <f ca="1">IFERROR(__xludf.DUMMYFUNCTION("IMPORTRANGE(""https://docs.google.com/spreadsheets/d/1hb_taSOHanzRjqfzWPiFo8yiT83VV1L7vvUCLhOiHKc/edit?usp=sharing"",""อุดรธานี!N529"")"),0)</f>
        <v>0</v>
      </c>
      <c r="J50" s="76">
        <f ca="1">IFERROR(__xludf.DUMMYFUNCTION("IMPORTRANGE(""https://docs.google.com/spreadsheets/d/1hb_taSOHanzRjqfzWPiFo8yiT83VV1L7vvUCLhOiHKc/edit?usp=sharing"",""อุดรธานี!N530"")"),0)</f>
        <v>0</v>
      </c>
      <c r="K50" s="76">
        <f ca="1">IFERROR(__xludf.DUMMYFUNCTION("IMPORTRANGE(""https://docs.google.com/spreadsheets/d/1hb_taSOHanzRjqfzWPiFo8yiT83VV1L7vvUCLhOiHKc/edit?usp=sharing"",""อุดรธานี!N531"")"),0)</f>
        <v>0</v>
      </c>
      <c r="L50" s="76">
        <f ca="1">IFERROR(__xludf.DUMMYFUNCTION("IMPORTRANGE(""https://docs.google.com/spreadsheets/d/1hb_taSOHanzRjqfzWPiFo8yiT83VV1L7vvUCLhOiHKc/edit?usp=sharing"",""อุดรธานี!N532"")"),0)</f>
        <v>0</v>
      </c>
      <c r="M50" s="80">
        <f ca="1">IFERROR(__xludf.DUMMYFUNCTION("IMPORTRANGE(""https://docs.google.com/spreadsheets/d/1hb_taSOHanzRjqfzWPiFo8yiT83VV1L7vvUCLhOiHKc/edit?usp=sharing"",""อุดรธานี!N535"")"),0)</f>
        <v>0</v>
      </c>
      <c r="N50" s="80">
        <f t="shared" ca="1" si="33"/>
        <v>0</v>
      </c>
      <c r="O50" s="81">
        <f ca="1">IFERROR(__xludf.DUMMYFUNCTION("IMPORTRANGE(""https://docs.google.com/spreadsheets/d/1hb_taSOHanzRjqfzWPiFo8yiT83VV1L7vvUCLhOiHKc/edit?usp=sharing"",""อุดรธานี!I537"")"),0)</f>
        <v>0</v>
      </c>
      <c r="P50" s="81">
        <f ca="1">IFERROR(__xludf.DUMMYFUNCTION("IMPORTRANGE(""https://docs.google.com/spreadsheets/d/1hb_taSOHanzRjqfzWPiFo8yiT83VV1L7vvUCLhOiHKc/edit?usp=sharing"",""อุดรธานี!J537"")"),0)</f>
        <v>0</v>
      </c>
      <c r="Q50" s="82">
        <f t="shared" ca="1" si="25"/>
        <v>0</v>
      </c>
      <c r="R50" s="81">
        <f ca="1">IFERROR(__xludf.DUMMYFUNCTION("IMPORTRANGE(""https://docs.google.com/spreadsheets/d/1hb_taSOHanzRjqfzWPiFo8yiT83VV1L7vvUCLhOiHKc/edit?usp=sharing"",""อุดรธานี!I538"")"),0)</f>
        <v>0</v>
      </c>
      <c r="S50" s="81">
        <f ca="1">IFERROR(__xludf.DUMMYFUNCTION("IMPORTRANGE(""https://docs.google.com/spreadsheets/d/1hb_taSOHanzRjqfzWPiFo8yiT83VV1L7vvUCLhOiHKc/edit?usp=sharing"",""อุดรธานี!J538"")"),0)</f>
        <v>0</v>
      </c>
      <c r="T50" s="82">
        <f t="shared" ca="1" si="26"/>
        <v>0</v>
      </c>
      <c r="U50" s="81">
        <f ca="1">IFERROR(__xludf.DUMMYFUNCTION("IMPORTRANGE(""https://docs.google.com/spreadsheets/d/1hb_taSOHanzRjqfzWPiFo8yiT83VV1L7vvUCLhOiHKc/edit?usp=sharing"",""อุดรธานี!I539"")"),0)</f>
        <v>0</v>
      </c>
      <c r="V50" s="81">
        <f ca="1">IFERROR(__xludf.DUMMYFUNCTION("IMPORTRANGE(""https://docs.google.com/spreadsheets/d/1hb_taSOHanzRjqfzWPiFo8yiT83VV1L7vvUCLhOiHKc/edit?usp=sharing"",""อุดรธานี!J539"")"),0)</f>
        <v>0</v>
      </c>
      <c r="W50" s="82">
        <f t="shared" ca="1" si="27"/>
        <v>0</v>
      </c>
      <c r="X50" s="81">
        <f ca="1">IFERROR(__xludf.DUMMYFUNCTION("IMPORTRANGE(""https://docs.google.com/spreadsheets/d/1hb_taSOHanzRjqfzWPiFo8yiT83VV1L7vvUCLhOiHKc/edit?usp=sharing"",""อุดรธานี!I540"")"),0)</f>
        <v>0</v>
      </c>
      <c r="Y50" s="81">
        <f ca="1">IFERROR(__xludf.DUMMYFUNCTION("IMPORTRANGE(""https://docs.google.com/spreadsheets/d/1hb_taSOHanzRjqfzWPiFo8yiT83VV1L7vvUCLhOiHKc/edit?usp=sharing"",""อุดรธานี!J540"")"),0)</f>
        <v>0</v>
      </c>
      <c r="Z50" s="82">
        <f t="shared" ca="1" si="28"/>
        <v>0</v>
      </c>
      <c r="AA50" s="234">
        <f ca="1">IFERROR(__xludf.DUMMYFUNCTION("IMPORTRANGE(""https://docs.google.com/spreadsheets/d/1hb_taSOHanzRjqfzWPiFo8yiT83VV1L7vvUCLhOiHKc/edit?usp=sharing"",""อุดรธานี!I541"")"),0)</f>
        <v>0</v>
      </c>
      <c r="AB50" s="181">
        <f ca="1">IFERROR(__xludf.DUMMYFUNCTION("IMPORTRANGE(""https://docs.google.com/spreadsheets/d/1hb_taSOHanzRjqfzWPiFo8yiT83VV1L7vvUCLhOiHKc/edit?usp=sharing"",""อุดรธานี!J541"")"),0)</f>
        <v>0</v>
      </c>
      <c r="AC50" s="186">
        <f t="shared" ca="1" si="29"/>
        <v>0</v>
      </c>
      <c r="AD50" s="234">
        <f ca="1">IFERROR(__xludf.DUMMYFUNCTION("IMPORTRANGE(""https://docs.google.com/spreadsheets/d/1hb_taSOHanzRjqfzWPiFo8yiT83VV1L7vvUCLhOiHKc/edit?usp=sharing"",""อุดรธานี!I542"")"),0)</f>
        <v>0</v>
      </c>
      <c r="AE50" s="181">
        <f ca="1">IFERROR(__xludf.DUMMYFUNCTION("IMPORTRANGE(""https://docs.google.com/spreadsheets/d/1hb_taSOHanzRjqfzWPiFo8yiT83VV1L7vvUCLhOiHKc/edit?usp=sharing"",""อุดรธานี!J542"")"),0)</f>
        <v>0</v>
      </c>
      <c r="AF50" s="186">
        <f t="shared" ca="1" si="30"/>
        <v>0</v>
      </c>
    </row>
    <row r="51" spans="1:32" ht="21" customHeight="1" x14ac:dyDescent="0.3">
      <c r="A51" s="83">
        <v>20</v>
      </c>
      <c r="B51" s="84" t="s">
        <v>68</v>
      </c>
      <c r="C51" s="85">
        <f t="shared" ca="1" si="50"/>
        <v>0</v>
      </c>
      <c r="D51" s="86">
        <f ca="1">IFERROR(__xludf.DUMMYFUNCTION("IMPORTRANGE(""https://docs.google.com/spreadsheets/d/17IOkEwkUd63EGNfyNDnM5de9YlZ7rwzTiW6-dokVjKI/edit?usp=sharing"",""อุบลราชธานี!L528"")"),0)</f>
        <v>0</v>
      </c>
      <c r="E51" s="87">
        <f ca="1">IFERROR(__xludf.DUMMYFUNCTION("IMPORTRANGE(""https://docs.google.com/spreadsheets/d/17IOkEwkUd63EGNfyNDnM5de9YlZ7rwzTiW6-dokVjKI/edit?usp=sharing"",""อุบลราชธานี!L535"")"),0)</f>
        <v>0</v>
      </c>
      <c r="F51" s="88">
        <f t="shared" ca="1" si="1"/>
        <v>0</v>
      </c>
      <c r="G51" s="89">
        <f t="shared" ca="1" si="2"/>
        <v>0</v>
      </c>
      <c r="H51" s="90">
        <f t="shared" ca="1" si="51"/>
        <v>0</v>
      </c>
      <c r="I51" s="87">
        <f ca="1">IFERROR(__xludf.DUMMYFUNCTION("IMPORTRANGE(""https://docs.google.com/spreadsheets/d/17IOkEwkUd63EGNfyNDnM5de9YlZ7rwzTiW6-dokVjKI/edit?usp=sharing"",""อุบลราชธานี!N529"")"),0)</f>
        <v>0</v>
      </c>
      <c r="J51" s="87">
        <f ca="1">IFERROR(__xludf.DUMMYFUNCTION("IMPORTRANGE(""https://docs.google.com/spreadsheets/d/17IOkEwkUd63EGNfyNDnM5de9YlZ7rwzTiW6-dokVjKI/edit?usp=sharing"",""อุบลราชธานี!N530"")"),0)</f>
        <v>0</v>
      </c>
      <c r="K51" s="87">
        <f ca="1">IFERROR(__xludf.DUMMYFUNCTION("IMPORTRANGE(""https://docs.google.com/spreadsheets/d/17IOkEwkUd63EGNfyNDnM5de9YlZ7rwzTiW6-dokVjKI/edit?usp=sharing"",""อุบลราชธานี!N531"")"),0)</f>
        <v>0</v>
      </c>
      <c r="L51" s="87">
        <f ca="1">IFERROR(__xludf.DUMMYFUNCTION("IMPORTRANGE(""https://docs.google.com/spreadsheets/d/17IOkEwkUd63EGNfyNDnM5de9YlZ7rwzTiW6-dokVjKI/edit?usp=sharing"",""อุบลราชธานี!N532"")"),0)</f>
        <v>0</v>
      </c>
      <c r="M51" s="91">
        <f ca="1">IFERROR(__xludf.DUMMYFUNCTION("IMPORTRANGE(""https://docs.google.com/spreadsheets/d/17IOkEwkUd63EGNfyNDnM5de9YlZ7rwzTiW6-dokVjKI/edit?usp=sharing"",""อุบลราชธานี!N535"")"),0)</f>
        <v>0</v>
      </c>
      <c r="N51" s="91">
        <f t="shared" ca="1" si="33"/>
        <v>0</v>
      </c>
      <c r="O51" s="92">
        <f ca="1">IFERROR(__xludf.DUMMYFUNCTION("IMPORTRANGE(""https://docs.google.com/spreadsheets/d/17IOkEwkUd63EGNfyNDnM5de9YlZ7rwzTiW6-dokVjKI/edit?usp=sharing"",""อุบลราชธานี!I537"")"),0)</f>
        <v>0</v>
      </c>
      <c r="P51" s="92">
        <f ca="1">IFERROR(__xludf.DUMMYFUNCTION("IMPORTRANGE(""https://docs.google.com/spreadsheets/d/17IOkEwkUd63EGNfyNDnM5de9YlZ7rwzTiW6-dokVjKI/edit?usp=sharing"",""อุบลราชธานี!J537"")"),0)</f>
        <v>0</v>
      </c>
      <c r="Q51" s="93">
        <f t="shared" ca="1" si="25"/>
        <v>0</v>
      </c>
      <c r="R51" s="92">
        <f ca="1">IFERROR(__xludf.DUMMYFUNCTION("IMPORTRANGE(""https://docs.google.com/spreadsheets/d/17IOkEwkUd63EGNfyNDnM5de9YlZ7rwzTiW6-dokVjKI/edit?usp=sharing"",""อุบลราชธานี!I538"")"),0)</f>
        <v>0</v>
      </c>
      <c r="S51" s="92">
        <f ca="1">IFERROR(__xludf.DUMMYFUNCTION("IMPORTRANGE(""https://docs.google.com/spreadsheets/d/17IOkEwkUd63EGNfyNDnM5de9YlZ7rwzTiW6-dokVjKI/edit?usp=sharing"",""อุบลราชธานี!J538"")"),0)</f>
        <v>0</v>
      </c>
      <c r="T51" s="93">
        <f t="shared" ca="1" si="26"/>
        <v>0</v>
      </c>
      <c r="U51" s="92">
        <f ca="1">IFERROR(__xludf.DUMMYFUNCTION("IMPORTRANGE(""https://docs.google.com/spreadsheets/d/17IOkEwkUd63EGNfyNDnM5de9YlZ7rwzTiW6-dokVjKI/edit?usp=sharing"",""อุบลราชธานี!I539"")"),0)</f>
        <v>0</v>
      </c>
      <c r="V51" s="92">
        <f ca="1">IFERROR(__xludf.DUMMYFUNCTION("IMPORTRANGE(""https://docs.google.com/spreadsheets/d/17IOkEwkUd63EGNfyNDnM5de9YlZ7rwzTiW6-dokVjKI/edit?usp=sharing"",""อุบลราชธานี!J539"")"),0)</f>
        <v>0</v>
      </c>
      <c r="W51" s="93">
        <f t="shared" ca="1" si="27"/>
        <v>0</v>
      </c>
      <c r="X51" s="92">
        <f ca="1">IFERROR(__xludf.DUMMYFUNCTION("IMPORTRANGE(""https://docs.google.com/spreadsheets/d/17IOkEwkUd63EGNfyNDnM5de9YlZ7rwzTiW6-dokVjKI/edit?usp=sharing"",""อุบลราชธานี!I540"")"),0)</f>
        <v>0</v>
      </c>
      <c r="Y51" s="92">
        <f ca="1">IFERROR(__xludf.DUMMYFUNCTION("IMPORTRANGE(""https://docs.google.com/spreadsheets/d/17IOkEwkUd63EGNfyNDnM5de9YlZ7rwzTiW6-dokVjKI/edit?usp=sharing"",""อุบลราชธานี!J540"")"),0)</f>
        <v>0</v>
      </c>
      <c r="Z51" s="93">
        <f t="shared" ca="1" si="28"/>
        <v>0</v>
      </c>
      <c r="AA51" s="235">
        <f ca="1">IFERROR(__xludf.DUMMYFUNCTION("IMPORTRANGE(""https://docs.google.com/spreadsheets/d/17IOkEwkUd63EGNfyNDnM5de9YlZ7rwzTiW6-dokVjKI/edit?usp=sharing"",""อุบลราชธานี!I541"")"),0)</f>
        <v>0</v>
      </c>
      <c r="AB51" s="202">
        <f ca="1">IFERROR(__xludf.DUMMYFUNCTION("IMPORTRANGE(""https://docs.google.com/spreadsheets/d/17IOkEwkUd63EGNfyNDnM5de9YlZ7rwzTiW6-dokVjKI/edit?usp=sharing"",""อุบลราชธานี!J541"")"),0)</f>
        <v>0</v>
      </c>
      <c r="AC51" s="203">
        <f t="shared" ca="1" si="29"/>
        <v>0</v>
      </c>
      <c r="AD51" s="235">
        <f ca="1">IFERROR(__xludf.DUMMYFUNCTION("IMPORTRANGE(""https://docs.google.com/spreadsheets/d/17IOkEwkUd63EGNfyNDnM5de9YlZ7rwzTiW6-dokVjKI/edit?usp=sharing"",""อุบลราชธานี!I542"")"),0)</f>
        <v>0</v>
      </c>
      <c r="AE51" s="202">
        <f ca="1">IFERROR(__xludf.DUMMYFUNCTION("IMPORTRANGE(""https://docs.google.com/spreadsheets/d/17IOkEwkUd63EGNfyNDnM5de9YlZ7rwzTiW6-dokVjKI/edit?usp=sharing"",""อุบลราชธานี!J542"")"),0)</f>
        <v>0</v>
      </c>
      <c r="AF51" s="203">
        <f t="shared" ca="1" si="30"/>
        <v>0</v>
      </c>
    </row>
    <row r="52" spans="1:32" ht="21" customHeight="1" x14ac:dyDescent="0.3">
      <c r="A52" s="307" t="s">
        <v>69</v>
      </c>
      <c r="B52" s="306"/>
      <c r="C52" s="34">
        <f t="shared" ref="C52:E52" ca="1" si="52">SUM(C53:C73)</f>
        <v>1282380</v>
      </c>
      <c r="D52" s="34">
        <f t="shared" ca="1" si="52"/>
        <v>1282380</v>
      </c>
      <c r="E52" s="57">
        <f t="shared" ca="1" si="52"/>
        <v>0</v>
      </c>
      <c r="F52" s="57">
        <f t="shared" ca="1" si="1"/>
        <v>211888</v>
      </c>
      <c r="G52" s="94">
        <f t="shared" ca="1" si="2"/>
        <v>16.523027495750089</v>
      </c>
      <c r="H52" s="57">
        <f t="shared" ref="H52:M52" ca="1" si="53">SUM(H53:H73)</f>
        <v>211888</v>
      </c>
      <c r="I52" s="57">
        <f t="shared" ca="1" si="53"/>
        <v>184303</v>
      </c>
      <c r="J52" s="57">
        <f t="shared" ca="1" si="53"/>
        <v>0</v>
      </c>
      <c r="K52" s="57">
        <f t="shared" ca="1" si="53"/>
        <v>0</v>
      </c>
      <c r="L52" s="57">
        <f t="shared" ca="1" si="53"/>
        <v>27585</v>
      </c>
      <c r="M52" s="95">
        <f t="shared" ca="1" si="53"/>
        <v>0</v>
      </c>
      <c r="N52" s="95">
        <f t="shared" ca="1" si="33"/>
        <v>0</v>
      </c>
      <c r="O52" s="57">
        <f t="shared" ref="O52:P52" ca="1" si="54">SUM(O53:O73)</f>
        <v>150</v>
      </c>
      <c r="P52" s="57">
        <f t="shared" ca="1" si="54"/>
        <v>50</v>
      </c>
      <c r="Q52" s="96">
        <f t="shared" ca="1" si="25"/>
        <v>33.333333333333336</v>
      </c>
      <c r="R52" s="57">
        <f t="shared" ref="R52:S52" ca="1" si="55">SUM(R53:R73)</f>
        <v>150</v>
      </c>
      <c r="S52" s="57">
        <f t="shared" ca="1" si="55"/>
        <v>150</v>
      </c>
      <c r="T52" s="96">
        <f t="shared" ca="1" si="26"/>
        <v>100</v>
      </c>
      <c r="U52" s="57">
        <f t="shared" ref="U52:V52" ca="1" si="56">SUM(U53:U73)</f>
        <v>0</v>
      </c>
      <c r="V52" s="57">
        <f t="shared" ca="1" si="56"/>
        <v>0</v>
      </c>
      <c r="W52" s="96">
        <f t="shared" ca="1" si="27"/>
        <v>0</v>
      </c>
      <c r="X52" s="57">
        <f t="shared" ref="X52:Y52" ca="1" si="57">SUM(X53:X73)</f>
        <v>0</v>
      </c>
      <c r="Y52" s="57">
        <f t="shared" ca="1" si="57"/>
        <v>0</v>
      </c>
      <c r="Z52" s="96">
        <f t="shared" ca="1" si="28"/>
        <v>0</v>
      </c>
      <c r="AA52" s="231">
        <f t="shared" ref="AA52:AB52" ca="1" si="58">SUM(AA53:AA73)</f>
        <v>150</v>
      </c>
      <c r="AB52" s="159">
        <f t="shared" ca="1" si="58"/>
        <v>50</v>
      </c>
      <c r="AC52" s="162">
        <f t="shared" ca="1" si="29"/>
        <v>33.333333333333336</v>
      </c>
      <c r="AD52" s="231">
        <f t="shared" ref="AD52:AE52" ca="1" si="59">SUM(AD53:AD73)</f>
        <v>150</v>
      </c>
      <c r="AE52" s="159">
        <f t="shared" ca="1" si="59"/>
        <v>0</v>
      </c>
      <c r="AF52" s="162">
        <f t="shared" ca="1" si="30"/>
        <v>0</v>
      </c>
    </row>
    <row r="53" spans="1:32" ht="21" customHeight="1" x14ac:dyDescent="0.3">
      <c r="A53" s="62">
        <v>1</v>
      </c>
      <c r="B53" s="63" t="s">
        <v>70</v>
      </c>
      <c r="C53" s="97">
        <f t="shared" ref="C53:C73" ca="1" si="60">D53+E53</f>
        <v>427460</v>
      </c>
      <c r="D53" s="98">
        <f ca="1">IFERROR(__xludf.DUMMYFUNCTION("IMPORTRANGE(""https://docs.google.com/spreadsheets/d/1hKO5uv94SSRZWOvrh72HRcpyoEQF9TsE_Cvxl77XNU4/edit?usp=sharing"",""กาญจนบุรี!L528"")"),427460)</f>
        <v>427460</v>
      </c>
      <c r="E53" s="66">
        <f ca="1">IFERROR(__xludf.DUMMYFUNCTION("IMPORTRANGE(""https://docs.google.com/spreadsheets/d/1hKO5uv94SSRZWOvrh72HRcpyoEQF9TsE_Cvxl77XNU4/edit?usp=sharing"",""กาญจนบุรี!L535"")"),0)</f>
        <v>0</v>
      </c>
      <c r="F53" s="67">
        <f t="shared" ca="1" si="1"/>
        <v>21538</v>
      </c>
      <c r="G53" s="68">
        <f t="shared" ca="1" si="2"/>
        <v>5.038600102933608</v>
      </c>
      <c r="H53" s="69">
        <f t="shared" ref="H53:H73" ca="1" si="61">I53+J53+K53+L53</f>
        <v>21538</v>
      </c>
      <c r="I53" s="66">
        <f ca="1">IFERROR(__xludf.DUMMYFUNCTION("IMPORTRANGE(""https://docs.google.com/spreadsheets/d/1hKO5uv94SSRZWOvrh72HRcpyoEQF9TsE_Cvxl77XNU4/edit?usp=sharing"",""กาญจนบุรี!N529"")"),17758)</f>
        <v>17758</v>
      </c>
      <c r="J53" s="66">
        <f ca="1">IFERROR(__xludf.DUMMYFUNCTION("IMPORTRANGE(""https://docs.google.com/spreadsheets/d/1hKO5uv94SSRZWOvrh72HRcpyoEQF9TsE_Cvxl77XNU4/edit?usp=sharing"",""กาญจนบุรี!N530"")"),0)</f>
        <v>0</v>
      </c>
      <c r="K53" s="66">
        <f ca="1">IFERROR(__xludf.DUMMYFUNCTION("IMPORTRANGE(""https://docs.google.com/spreadsheets/d/1hKO5uv94SSRZWOvrh72HRcpyoEQF9TsE_Cvxl77XNU4/edit?usp=sharing"",""กาญจนบุรี!N531"")"),0)</f>
        <v>0</v>
      </c>
      <c r="L53" s="66">
        <f ca="1">IFERROR(__xludf.DUMMYFUNCTION("IMPORTRANGE(""https://docs.google.com/spreadsheets/d/1hKO5uv94SSRZWOvrh72HRcpyoEQF9TsE_Cvxl77XNU4/edit?usp=sharing"",""กาญจนบุรี!N532"")"),3780)</f>
        <v>3780</v>
      </c>
      <c r="M53" s="70">
        <f ca="1">IFERROR(__xludf.DUMMYFUNCTION("IMPORTRANGE(""https://docs.google.com/spreadsheets/d/1hKO5uv94SSRZWOvrh72HRcpyoEQF9TsE_Cvxl77XNU4/edit?usp=sharing"",""กาญจนบุรี!N535"")"),0)</f>
        <v>0</v>
      </c>
      <c r="N53" s="70">
        <f t="shared" ca="1" si="33"/>
        <v>0</v>
      </c>
      <c r="O53" s="66">
        <f ca="1">IFERROR(__xludf.DUMMYFUNCTION("IMPORTRANGE(""https://docs.google.com/spreadsheets/d/1hKO5uv94SSRZWOvrh72HRcpyoEQF9TsE_Cvxl77XNU4/edit?usp=sharing"",""กาญจนบุรี!I537"")"),50)</f>
        <v>50</v>
      </c>
      <c r="P53" s="66">
        <f ca="1">IFERROR(__xludf.DUMMYFUNCTION("IMPORTRANGE(""https://docs.google.com/spreadsheets/d/1hKO5uv94SSRZWOvrh72HRcpyoEQF9TsE_Cvxl77XNU4/edit?usp=sharing"",""กาญจนบุรี!J537"")"),0)</f>
        <v>0</v>
      </c>
      <c r="Q53" s="71">
        <f t="shared" ca="1" si="25"/>
        <v>0</v>
      </c>
      <c r="R53" s="66">
        <f ca="1">IFERROR(__xludf.DUMMYFUNCTION("IMPORTRANGE(""https://docs.google.com/spreadsheets/d/1hKO5uv94SSRZWOvrh72HRcpyoEQF9TsE_Cvxl77XNU4/edit?usp=sharing"",""กาญจนบุรี!I538"")"),50)</f>
        <v>50</v>
      </c>
      <c r="S53" s="66">
        <f ca="1">IFERROR(__xludf.DUMMYFUNCTION("IMPORTRANGE(""https://docs.google.com/spreadsheets/d/1hKO5uv94SSRZWOvrh72HRcpyoEQF9TsE_Cvxl77XNU4/edit?usp=sharing"",""กาญจนบุรี!J538"")"),50)</f>
        <v>50</v>
      </c>
      <c r="T53" s="71">
        <f t="shared" ca="1" si="26"/>
        <v>100</v>
      </c>
      <c r="U53" s="66">
        <f ca="1">IFERROR(__xludf.DUMMYFUNCTION("IMPORTRANGE(""https://docs.google.com/spreadsheets/d/1hKO5uv94SSRZWOvrh72HRcpyoEQF9TsE_Cvxl77XNU4/edit?usp=sharing"",""กาญจนบุรี!I539"")"),0)</f>
        <v>0</v>
      </c>
      <c r="V53" s="66">
        <f ca="1">IFERROR(__xludf.DUMMYFUNCTION("IMPORTRANGE(""https://docs.google.com/spreadsheets/d/1hKO5uv94SSRZWOvrh72HRcpyoEQF9TsE_Cvxl77XNU4/edit?usp=sharing"",""กาญจนบุรี!J539"")"),0)</f>
        <v>0</v>
      </c>
      <c r="W53" s="71">
        <f t="shared" ca="1" si="27"/>
        <v>0</v>
      </c>
      <c r="X53" s="66">
        <f ca="1">IFERROR(__xludf.DUMMYFUNCTION("IMPORTRANGE(""https://docs.google.com/spreadsheets/d/1hKO5uv94SSRZWOvrh72HRcpyoEQF9TsE_Cvxl77XNU4/edit?usp=sharing"",""กาญจนบุรี!I540"")"),0)</f>
        <v>0</v>
      </c>
      <c r="Y53" s="66">
        <f ca="1">IFERROR(__xludf.DUMMYFUNCTION("IMPORTRANGE(""https://docs.google.com/spreadsheets/d/1hKO5uv94SSRZWOvrh72HRcpyoEQF9TsE_Cvxl77XNU4/edit?usp=sharing"",""กาญจนบุรี!J540"")"),0)</f>
        <v>0</v>
      </c>
      <c r="Z53" s="71">
        <f t="shared" ca="1" si="28"/>
        <v>0</v>
      </c>
      <c r="AA53" s="234">
        <f ca="1">IFERROR(__xludf.DUMMYFUNCTION("IMPORTRANGE(""https://docs.google.com/spreadsheets/d/1hKO5uv94SSRZWOvrh72HRcpyoEQF9TsE_Cvxl77XNU4/edit?usp=sharing"",""กาญจนบุรี!I541"")"),50)</f>
        <v>50</v>
      </c>
      <c r="AB53" s="181">
        <f ca="1">IFERROR(__xludf.DUMMYFUNCTION("IMPORTRANGE(""https://docs.google.com/spreadsheets/d/1hKO5uv94SSRZWOvrh72HRcpyoEQF9TsE_Cvxl77XNU4/edit?usp=sharing"",""กาญจนบุรี!J541"")"),0)</f>
        <v>0</v>
      </c>
      <c r="AC53" s="186">
        <f t="shared" ca="1" si="29"/>
        <v>0</v>
      </c>
      <c r="AD53" s="234">
        <f ca="1">IFERROR(__xludf.DUMMYFUNCTION("IMPORTRANGE(""https://docs.google.com/spreadsheets/d/1hKO5uv94SSRZWOvrh72HRcpyoEQF9TsE_Cvxl77XNU4/edit?usp=sharing"",""กาญจนบุรี!I542"")"),50)</f>
        <v>50</v>
      </c>
      <c r="AE53" s="181">
        <f ca="1">IFERROR(__xludf.DUMMYFUNCTION("IMPORTRANGE(""https://docs.google.com/spreadsheets/d/1hKO5uv94SSRZWOvrh72HRcpyoEQF9TsE_Cvxl77XNU4/edit?usp=sharing"",""กาญจนบุรี!J542"")"),0)</f>
        <v>0</v>
      </c>
      <c r="AF53" s="186">
        <f t="shared" ca="1" si="30"/>
        <v>0</v>
      </c>
    </row>
    <row r="54" spans="1:32" ht="21" customHeight="1" x14ac:dyDescent="0.3">
      <c r="A54" s="72">
        <v>2</v>
      </c>
      <c r="B54" s="73" t="s">
        <v>71</v>
      </c>
      <c r="C54" s="74">
        <f t="shared" ca="1" si="60"/>
        <v>0</v>
      </c>
      <c r="D54" s="75">
        <f ca="1">IFERROR(__xludf.DUMMYFUNCTION("IMPORTRANGE(""https://docs.google.com/spreadsheets/d/1njBaP_xXd-Uotvo2D9zb01TTCFkLJLDK97Tk1l9Qux0/edit?usp=sharing"",""จันทบุรี!L528"")"),0)</f>
        <v>0</v>
      </c>
      <c r="E54" s="76">
        <f ca="1">IFERROR(__xludf.DUMMYFUNCTION("IMPORTRANGE(""https://docs.google.com/spreadsheets/d/1njBaP_xXd-Uotvo2D9zb01TTCFkLJLDK97Tk1l9Qux0/edit?usp=sharing"",""จันทบุรี!L535"")"),0)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61"/>
        <v>0</v>
      </c>
      <c r="I54" s="76">
        <f ca="1">IFERROR(__xludf.DUMMYFUNCTION("IMPORTRANGE(""https://docs.google.com/spreadsheets/d/1njBaP_xXd-Uotvo2D9zb01TTCFkLJLDK97Tk1l9Qux0/edit?usp=sharing"",""จันทบุรี!N529"")"),0)</f>
        <v>0</v>
      </c>
      <c r="J54" s="76">
        <f ca="1">IFERROR(__xludf.DUMMYFUNCTION("IMPORTRANGE(""https://docs.google.com/spreadsheets/d/1njBaP_xXd-Uotvo2D9zb01TTCFkLJLDK97Tk1l9Qux0/edit?usp=sharing"",""จันทบุรี!N530"")"),0)</f>
        <v>0</v>
      </c>
      <c r="K54" s="76">
        <f ca="1">IFERROR(__xludf.DUMMYFUNCTION("IMPORTRANGE(""https://docs.google.com/spreadsheets/d/1njBaP_xXd-Uotvo2D9zb01TTCFkLJLDK97Tk1l9Qux0/edit?usp=sharing"",""จันทบุรี!N531"")"),0)</f>
        <v>0</v>
      </c>
      <c r="L54" s="76">
        <f ca="1">IFERROR(__xludf.DUMMYFUNCTION("IMPORTRANGE(""https://docs.google.com/spreadsheets/d/1njBaP_xXd-Uotvo2D9zb01TTCFkLJLDK97Tk1l9Qux0/edit?usp=sharing"",""จันทบุรี!N532"")"),0)</f>
        <v>0</v>
      </c>
      <c r="M54" s="80">
        <f ca="1">IFERROR(__xludf.DUMMYFUNCTION("IMPORTRANGE(""https://docs.google.com/spreadsheets/d/1njBaP_xXd-Uotvo2D9zb01TTCFkLJLDK97Tk1l9Qux0/edit?usp=sharing"",""จันทบุรี!N535"")"),0)</f>
        <v>0</v>
      </c>
      <c r="N54" s="80">
        <f t="shared" ca="1" si="33"/>
        <v>0</v>
      </c>
      <c r="O54" s="81">
        <f ca="1">IFERROR(__xludf.DUMMYFUNCTION("IMPORTRANGE(""https://docs.google.com/spreadsheets/d/1njBaP_xXd-Uotvo2D9zb01TTCFkLJLDK97Tk1l9Qux0/edit?usp=sharing"",""จันทบุรี!I537"")"),0)</f>
        <v>0</v>
      </c>
      <c r="P54" s="81">
        <f ca="1">IFERROR(__xludf.DUMMYFUNCTION("IMPORTRANGE(""https://docs.google.com/spreadsheets/d/1njBaP_xXd-Uotvo2D9zb01TTCFkLJLDK97Tk1l9Qux0/edit?usp=sharing"",""จันทบุรี!J537"")"),0)</f>
        <v>0</v>
      </c>
      <c r="Q54" s="82">
        <f t="shared" ca="1" si="25"/>
        <v>0</v>
      </c>
      <c r="R54" s="81">
        <f ca="1">IFERROR(__xludf.DUMMYFUNCTION("IMPORTRANGE(""https://docs.google.com/spreadsheets/d/1njBaP_xXd-Uotvo2D9zb01TTCFkLJLDK97Tk1l9Qux0/edit?usp=sharing"",""จันทบุรี!I538"")"),0)</f>
        <v>0</v>
      </c>
      <c r="S54" s="81">
        <f ca="1">IFERROR(__xludf.DUMMYFUNCTION("IMPORTRANGE(""https://docs.google.com/spreadsheets/d/1njBaP_xXd-Uotvo2D9zb01TTCFkLJLDK97Tk1l9Qux0/edit?usp=sharing"",""จันทบุรี!J538"")"),0)</f>
        <v>0</v>
      </c>
      <c r="T54" s="82">
        <f t="shared" ca="1" si="26"/>
        <v>0</v>
      </c>
      <c r="U54" s="81">
        <f ca="1">IFERROR(__xludf.DUMMYFUNCTION("IMPORTRANGE(""https://docs.google.com/spreadsheets/d/1njBaP_xXd-Uotvo2D9zb01TTCFkLJLDK97Tk1l9Qux0/edit?usp=sharing"",""จันทบุรี!I539"")"),0)</f>
        <v>0</v>
      </c>
      <c r="V54" s="81">
        <f ca="1">IFERROR(__xludf.DUMMYFUNCTION("IMPORTRANGE(""https://docs.google.com/spreadsheets/d/1njBaP_xXd-Uotvo2D9zb01TTCFkLJLDK97Tk1l9Qux0/edit?usp=sharing"",""จันทบุรี!J539"")"),0)</f>
        <v>0</v>
      </c>
      <c r="W54" s="82">
        <f t="shared" ca="1" si="27"/>
        <v>0</v>
      </c>
      <c r="X54" s="81">
        <f ca="1">IFERROR(__xludf.DUMMYFUNCTION("IMPORTRANGE(""https://docs.google.com/spreadsheets/d/1njBaP_xXd-Uotvo2D9zb01TTCFkLJLDK97Tk1l9Qux0/edit?usp=sharing"",""จันทบุรี!I540"")"),0)</f>
        <v>0</v>
      </c>
      <c r="Y54" s="81">
        <f ca="1">IFERROR(__xludf.DUMMYFUNCTION("IMPORTRANGE(""https://docs.google.com/spreadsheets/d/1njBaP_xXd-Uotvo2D9zb01TTCFkLJLDK97Tk1l9Qux0/edit?usp=sharing"",""จันทบุรี!J540"")"),0)</f>
        <v>0</v>
      </c>
      <c r="Z54" s="82">
        <f t="shared" ca="1" si="28"/>
        <v>0</v>
      </c>
      <c r="AA54" s="234">
        <f ca="1">IFERROR(__xludf.DUMMYFUNCTION("IMPORTRANGE(""https://docs.google.com/spreadsheets/d/1njBaP_xXd-Uotvo2D9zb01TTCFkLJLDK97Tk1l9Qux0/edit?usp=sharing"",""จันทบุรี!I541"")"),0)</f>
        <v>0</v>
      </c>
      <c r="AB54" s="181">
        <f ca="1">IFERROR(__xludf.DUMMYFUNCTION("IMPORTRANGE(""https://docs.google.com/spreadsheets/d/1njBaP_xXd-Uotvo2D9zb01TTCFkLJLDK97Tk1l9Qux0/edit?usp=sharing"",""จันทบุรี!J541"")"),0)</f>
        <v>0</v>
      </c>
      <c r="AC54" s="186">
        <f t="shared" ca="1" si="29"/>
        <v>0</v>
      </c>
      <c r="AD54" s="234">
        <f ca="1">IFERROR(__xludf.DUMMYFUNCTION("IMPORTRANGE(""https://docs.google.com/spreadsheets/d/1njBaP_xXd-Uotvo2D9zb01TTCFkLJLDK97Tk1l9Qux0/edit?usp=sharing"",""จันทบุรี!I542"")"),0)</f>
        <v>0</v>
      </c>
      <c r="AE54" s="181">
        <f ca="1">IFERROR(__xludf.DUMMYFUNCTION("IMPORTRANGE(""https://docs.google.com/spreadsheets/d/1njBaP_xXd-Uotvo2D9zb01TTCFkLJLDK97Tk1l9Qux0/edit?usp=sharing"",""จันทบุรี!J542"")"),0)</f>
        <v>0</v>
      </c>
      <c r="AF54" s="186">
        <f t="shared" ca="1" si="30"/>
        <v>0</v>
      </c>
    </row>
    <row r="55" spans="1:32" ht="21" customHeight="1" x14ac:dyDescent="0.3">
      <c r="A55" s="72">
        <v>3</v>
      </c>
      <c r="B55" s="73" t="s">
        <v>72</v>
      </c>
      <c r="C55" s="74">
        <f t="shared" ca="1" si="60"/>
        <v>0</v>
      </c>
      <c r="D55" s="75">
        <f ca="1">IFERROR(__xludf.DUMMYFUNCTION("IMPORTRANGE(""https://docs.google.com/spreadsheets/d/14xp6qUzrGFnUk_qnc1eEmfiaNRd4_grkhpfQH_46fa8/edit?usp=sharing"",""ฉะเชิงเทรา!L528"")"),0)</f>
        <v>0</v>
      </c>
      <c r="E55" s="76">
        <f ca="1">IFERROR(__xludf.DUMMYFUNCTION("IMPORTRANGE(""https://docs.google.com/spreadsheets/d/14xp6qUzrGFnUk_qnc1eEmfiaNRd4_grkhpfQH_46fa8/edit?usp=sharing"",""ฉะเชิงเทรา!L535"")"),0)</f>
        <v>0</v>
      </c>
      <c r="F55" s="77">
        <f t="shared" ca="1" si="1"/>
        <v>0</v>
      </c>
      <c r="G55" s="78">
        <f t="shared" ca="1" si="2"/>
        <v>0</v>
      </c>
      <c r="H55" s="79">
        <f t="shared" ca="1" si="61"/>
        <v>0</v>
      </c>
      <c r="I55" s="76">
        <f ca="1">IFERROR(__xludf.DUMMYFUNCTION("IMPORTRANGE(""https://docs.google.com/spreadsheets/d/14xp6qUzrGFnUk_qnc1eEmfiaNRd4_grkhpfQH_46fa8/edit?usp=sharing"",""ฉะเชิงเทรา!N529"")"),0)</f>
        <v>0</v>
      </c>
      <c r="J55" s="76">
        <f ca="1">IFERROR(__xludf.DUMMYFUNCTION("IMPORTRANGE(""https://docs.google.com/spreadsheets/d/14xp6qUzrGFnUk_qnc1eEmfiaNRd4_grkhpfQH_46fa8/edit?usp=sharing"",""ฉะเชิงเทรา!N530"")"),0)</f>
        <v>0</v>
      </c>
      <c r="K55" s="76">
        <f ca="1">IFERROR(__xludf.DUMMYFUNCTION("IMPORTRANGE(""https://docs.google.com/spreadsheets/d/14xp6qUzrGFnUk_qnc1eEmfiaNRd4_grkhpfQH_46fa8/edit?usp=sharing"",""ฉะเชิงเทรา!N531"")"),0)</f>
        <v>0</v>
      </c>
      <c r="L55" s="76">
        <f ca="1">IFERROR(__xludf.DUMMYFUNCTION("IMPORTRANGE(""https://docs.google.com/spreadsheets/d/14xp6qUzrGFnUk_qnc1eEmfiaNRd4_grkhpfQH_46fa8/edit?usp=sharing"",""ฉะเชิงเทรา!N532"")"),0)</f>
        <v>0</v>
      </c>
      <c r="M55" s="80">
        <f ca="1">IFERROR(__xludf.DUMMYFUNCTION("IMPORTRANGE(""https://docs.google.com/spreadsheets/d/14xp6qUzrGFnUk_qnc1eEmfiaNRd4_grkhpfQH_46fa8/edit?usp=sharing"",""ฉะเชิงเทรา!N535"")"),0)</f>
        <v>0</v>
      </c>
      <c r="N55" s="80">
        <f t="shared" ca="1" si="33"/>
        <v>0</v>
      </c>
      <c r="O55" s="81">
        <f ca="1">IFERROR(__xludf.DUMMYFUNCTION("IMPORTRANGE(""https://docs.google.com/spreadsheets/d/14xp6qUzrGFnUk_qnc1eEmfiaNRd4_grkhpfQH_46fa8/edit?usp=sharing"",""ฉะเชิงเทรา!I537"")"),0)</f>
        <v>0</v>
      </c>
      <c r="P55" s="81">
        <f ca="1">IFERROR(__xludf.DUMMYFUNCTION("IMPORTRANGE(""https://docs.google.com/spreadsheets/d/14xp6qUzrGFnUk_qnc1eEmfiaNRd4_grkhpfQH_46fa8/edit?usp=sharing"",""ฉะเชิงเทรา!J537"")"),0)</f>
        <v>0</v>
      </c>
      <c r="Q55" s="82">
        <f t="shared" ca="1" si="25"/>
        <v>0</v>
      </c>
      <c r="R55" s="81">
        <f ca="1">IFERROR(__xludf.DUMMYFUNCTION("IMPORTRANGE(""https://docs.google.com/spreadsheets/d/14xp6qUzrGFnUk_qnc1eEmfiaNRd4_grkhpfQH_46fa8/edit?usp=sharing"",""ฉะเชิงเทรา!I538"")"),0)</f>
        <v>0</v>
      </c>
      <c r="S55" s="81">
        <f ca="1">IFERROR(__xludf.DUMMYFUNCTION("IMPORTRANGE(""https://docs.google.com/spreadsheets/d/14xp6qUzrGFnUk_qnc1eEmfiaNRd4_grkhpfQH_46fa8/edit?usp=sharing"",""ฉะเชิงเทรา!J538"")"),0)</f>
        <v>0</v>
      </c>
      <c r="T55" s="82">
        <f t="shared" ca="1" si="26"/>
        <v>0</v>
      </c>
      <c r="U55" s="81">
        <f ca="1">IFERROR(__xludf.DUMMYFUNCTION("IMPORTRANGE(""https://docs.google.com/spreadsheets/d/14xp6qUzrGFnUk_qnc1eEmfiaNRd4_grkhpfQH_46fa8/edit?usp=sharing"",""ฉะเชิงเทรา!I539"")"),0)</f>
        <v>0</v>
      </c>
      <c r="V55" s="81">
        <f ca="1">IFERROR(__xludf.DUMMYFUNCTION("IMPORTRANGE(""https://docs.google.com/spreadsheets/d/14xp6qUzrGFnUk_qnc1eEmfiaNRd4_grkhpfQH_46fa8/edit?usp=sharing"",""ฉะเชิงเทรา!J539"")"),0)</f>
        <v>0</v>
      </c>
      <c r="W55" s="82">
        <f t="shared" ca="1" si="27"/>
        <v>0</v>
      </c>
      <c r="X55" s="81">
        <f ca="1">IFERROR(__xludf.DUMMYFUNCTION("IMPORTRANGE(""https://docs.google.com/spreadsheets/d/14xp6qUzrGFnUk_qnc1eEmfiaNRd4_grkhpfQH_46fa8/edit?usp=sharing"",""ฉะเชิงเทรา!I540"")"),0)</f>
        <v>0</v>
      </c>
      <c r="Y55" s="81">
        <f ca="1">IFERROR(__xludf.DUMMYFUNCTION("IMPORTRANGE(""https://docs.google.com/spreadsheets/d/14xp6qUzrGFnUk_qnc1eEmfiaNRd4_grkhpfQH_46fa8/edit?usp=sharing"",""ฉะเชิงเทรา!J540"")"),0)</f>
        <v>0</v>
      </c>
      <c r="Z55" s="82">
        <f t="shared" ca="1" si="28"/>
        <v>0</v>
      </c>
      <c r="AA55" s="234">
        <f ca="1">IFERROR(__xludf.DUMMYFUNCTION("IMPORTRANGE(""https://docs.google.com/spreadsheets/d/14xp6qUzrGFnUk_qnc1eEmfiaNRd4_grkhpfQH_46fa8/edit?usp=sharing"",""ฉะเชิงเทรา!I541"")"),0)</f>
        <v>0</v>
      </c>
      <c r="AB55" s="181">
        <f ca="1">IFERROR(__xludf.DUMMYFUNCTION("IMPORTRANGE(""https://docs.google.com/spreadsheets/d/14xp6qUzrGFnUk_qnc1eEmfiaNRd4_grkhpfQH_46fa8/edit?usp=sharing"",""ฉะเชิงเทรา!J541"")"),0)</f>
        <v>0</v>
      </c>
      <c r="AC55" s="186">
        <f t="shared" ca="1" si="29"/>
        <v>0</v>
      </c>
      <c r="AD55" s="234">
        <f ca="1">IFERROR(__xludf.DUMMYFUNCTION("IMPORTRANGE(""https://docs.google.com/spreadsheets/d/14xp6qUzrGFnUk_qnc1eEmfiaNRd4_grkhpfQH_46fa8/edit?usp=sharing"",""ฉะเชิงเทรา!I542"")"),0)</f>
        <v>0</v>
      </c>
      <c r="AE55" s="181">
        <f ca="1">IFERROR(__xludf.DUMMYFUNCTION("IMPORTRANGE(""https://docs.google.com/spreadsheets/d/14xp6qUzrGFnUk_qnc1eEmfiaNRd4_grkhpfQH_46fa8/edit?usp=sharing"",""ฉะเชิงเทรา!J542"")"),0)</f>
        <v>0</v>
      </c>
      <c r="AF55" s="186">
        <f t="shared" ca="1" si="30"/>
        <v>0</v>
      </c>
    </row>
    <row r="56" spans="1:32" ht="21" customHeight="1" x14ac:dyDescent="0.3">
      <c r="A56" s="72">
        <v>4</v>
      </c>
      <c r="B56" s="73" t="s">
        <v>73</v>
      </c>
      <c r="C56" s="74">
        <f t="shared" ca="1" si="60"/>
        <v>427460</v>
      </c>
      <c r="D56" s="75">
        <f ca="1">IFERROR(__xludf.DUMMYFUNCTION("IMPORTRANGE(""https://docs.google.com/spreadsheets/d/1_Zwps30dlVa-pZFsorjVf1Pil6WXwzCsJU0U2whO3NI/edit?usp=sharing"",""ชลบุรี!L528"")"),427460)</f>
        <v>427460</v>
      </c>
      <c r="E56" s="76">
        <f ca="1">IFERROR(__xludf.DUMMYFUNCTION("IMPORTRANGE(""https://docs.google.com/spreadsheets/d/1_Zwps30dlVa-pZFsorjVf1Pil6WXwzCsJU0U2whO3NI/edit?usp=sharing"",""ชลบุรี!L535"")"),0)</f>
        <v>0</v>
      </c>
      <c r="F56" s="77">
        <f t="shared" ca="1" si="1"/>
        <v>129960</v>
      </c>
      <c r="G56" s="78">
        <f t="shared" ca="1" si="2"/>
        <v>30.402844710616197</v>
      </c>
      <c r="H56" s="79">
        <f t="shared" ca="1" si="61"/>
        <v>129960</v>
      </c>
      <c r="I56" s="76">
        <f ca="1">IFERROR(__xludf.DUMMYFUNCTION("IMPORTRANGE(""https://docs.google.com/spreadsheets/d/1_Zwps30dlVa-pZFsorjVf1Pil6WXwzCsJU0U2whO3NI/edit?usp=sharing"",""ชลบุรี!N529"")"),113945)</f>
        <v>113945</v>
      </c>
      <c r="J56" s="76">
        <f ca="1">IFERROR(__xludf.DUMMYFUNCTION("IMPORTRANGE(""https://docs.google.com/spreadsheets/d/1_Zwps30dlVa-pZFsorjVf1Pil6WXwzCsJU0U2whO3NI/edit?usp=sharing"",""ชลบุรี!N530"")"),0)</f>
        <v>0</v>
      </c>
      <c r="K56" s="76">
        <f ca="1">IFERROR(__xludf.DUMMYFUNCTION("IMPORTRANGE(""https://docs.google.com/spreadsheets/d/1_Zwps30dlVa-pZFsorjVf1Pil6WXwzCsJU0U2whO3NI/edit?usp=sharing"",""ชลบุรี!N531"")"),0)</f>
        <v>0</v>
      </c>
      <c r="L56" s="76">
        <f ca="1">IFERROR(__xludf.DUMMYFUNCTION("IMPORTRANGE(""https://docs.google.com/spreadsheets/d/1_Zwps30dlVa-pZFsorjVf1Pil6WXwzCsJU0U2whO3NI/edit?usp=sharing"",""ชลบุรี!N532"")"),16015)</f>
        <v>16015</v>
      </c>
      <c r="M56" s="80">
        <f ca="1">IFERROR(__xludf.DUMMYFUNCTION("IMPORTRANGE(""https://docs.google.com/spreadsheets/d/1_Zwps30dlVa-pZFsorjVf1Pil6WXwzCsJU0U2whO3NI/edit?usp=sharing"",""ชลบุรี!N535"")"),0)</f>
        <v>0</v>
      </c>
      <c r="N56" s="80">
        <f t="shared" ca="1" si="33"/>
        <v>0</v>
      </c>
      <c r="O56" s="81">
        <f ca="1">IFERROR(__xludf.DUMMYFUNCTION("IMPORTRANGE(""https://docs.google.com/spreadsheets/d/1_Zwps30dlVa-pZFsorjVf1Pil6WXwzCsJU0U2whO3NI/edit?usp=sharing"",""ชลบุรี!I537"")"),50)</f>
        <v>50</v>
      </c>
      <c r="P56" s="81">
        <f ca="1">IFERROR(__xludf.DUMMYFUNCTION("IMPORTRANGE(""https://docs.google.com/spreadsheets/d/1_Zwps30dlVa-pZFsorjVf1Pil6WXwzCsJU0U2whO3NI/edit?usp=sharing"",""ชลบุรี!J537"")"),50)</f>
        <v>50</v>
      </c>
      <c r="Q56" s="82">
        <f t="shared" ca="1" si="25"/>
        <v>100</v>
      </c>
      <c r="R56" s="81">
        <f ca="1">IFERROR(__xludf.DUMMYFUNCTION("IMPORTRANGE(""https://docs.google.com/spreadsheets/d/1_Zwps30dlVa-pZFsorjVf1Pil6WXwzCsJU0U2whO3NI/edit?usp=sharing"",""ชลบุรี!I538"")"),50)</f>
        <v>50</v>
      </c>
      <c r="S56" s="81">
        <f ca="1">IFERROR(__xludf.DUMMYFUNCTION("IMPORTRANGE(""https://docs.google.com/spreadsheets/d/1_Zwps30dlVa-pZFsorjVf1Pil6WXwzCsJU0U2whO3NI/edit?usp=sharing"",""ชลบุรี!J538"")"),50)</f>
        <v>50</v>
      </c>
      <c r="T56" s="82">
        <f t="shared" ca="1" si="26"/>
        <v>100</v>
      </c>
      <c r="U56" s="81">
        <f ca="1">IFERROR(__xludf.DUMMYFUNCTION("IMPORTRANGE(""https://docs.google.com/spreadsheets/d/1_Zwps30dlVa-pZFsorjVf1Pil6WXwzCsJU0U2whO3NI/edit?usp=sharing"",""ชลบุรี!I539"")"),0)</f>
        <v>0</v>
      </c>
      <c r="V56" s="81">
        <f ca="1">IFERROR(__xludf.DUMMYFUNCTION("IMPORTRANGE(""https://docs.google.com/spreadsheets/d/1_Zwps30dlVa-pZFsorjVf1Pil6WXwzCsJU0U2whO3NI/edit?usp=sharing"",""ชลบุรี!J539"")"),0)</f>
        <v>0</v>
      </c>
      <c r="W56" s="82">
        <f t="shared" ca="1" si="27"/>
        <v>0</v>
      </c>
      <c r="X56" s="81">
        <f ca="1">IFERROR(__xludf.DUMMYFUNCTION("IMPORTRANGE(""https://docs.google.com/spreadsheets/d/1_Zwps30dlVa-pZFsorjVf1Pil6WXwzCsJU0U2whO3NI/edit?usp=sharing"",""ชลบุรี!I540"")"),0)</f>
        <v>0</v>
      </c>
      <c r="Y56" s="81">
        <f ca="1">IFERROR(__xludf.DUMMYFUNCTION("IMPORTRANGE(""https://docs.google.com/spreadsheets/d/1_Zwps30dlVa-pZFsorjVf1Pil6WXwzCsJU0U2whO3NI/edit?usp=sharing"",""ชลบุรี!J540"")"),0)</f>
        <v>0</v>
      </c>
      <c r="Z56" s="82">
        <f t="shared" ca="1" si="28"/>
        <v>0</v>
      </c>
      <c r="AA56" s="234">
        <f ca="1">IFERROR(__xludf.DUMMYFUNCTION("IMPORTRANGE(""https://docs.google.com/spreadsheets/d/1_Zwps30dlVa-pZFsorjVf1Pil6WXwzCsJU0U2whO3NI/edit?usp=sharing"",""ชลบุรี!I541"")"),50)</f>
        <v>50</v>
      </c>
      <c r="AB56" s="181">
        <f ca="1">IFERROR(__xludf.DUMMYFUNCTION("IMPORTRANGE(""https://docs.google.com/spreadsheets/d/1_Zwps30dlVa-pZFsorjVf1Pil6WXwzCsJU0U2whO3NI/edit?usp=sharing"",""ชลบุรี!J541"")"),50)</f>
        <v>50</v>
      </c>
      <c r="AC56" s="186">
        <f t="shared" ca="1" si="29"/>
        <v>100</v>
      </c>
      <c r="AD56" s="234">
        <f ca="1">IFERROR(__xludf.DUMMYFUNCTION("IMPORTRANGE(""https://docs.google.com/spreadsheets/d/1_Zwps30dlVa-pZFsorjVf1Pil6WXwzCsJU0U2whO3NI/edit?usp=sharing"",""ชลบุรี!I542"")"),50)</f>
        <v>50</v>
      </c>
      <c r="AE56" s="181">
        <f ca="1">IFERROR(__xludf.DUMMYFUNCTION("IMPORTRANGE(""https://docs.google.com/spreadsheets/d/1_Zwps30dlVa-pZFsorjVf1Pil6WXwzCsJU0U2whO3NI/edit?usp=sharing"",""ชลบุรี!J542"")"),0)</f>
        <v>0</v>
      </c>
      <c r="AF56" s="186">
        <f t="shared" ca="1" si="30"/>
        <v>0</v>
      </c>
    </row>
    <row r="57" spans="1:32" ht="21" customHeight="1" x14ac:dyDescent="0.3">
      <c r="A57" s="72">
        <v>5</v>
      </c>
      <c r="B57" s="73" t="s">
        <v>74</v>
      </c>
      <c r="C57" s="74">
        <f t="shared" ca="1" si="60"/>
        <v>0</v>
      </c>
      <c r="D57" s="75">
        <f ca="1">IFERROR(__xludf.DUMMYFUNCTION("IMPORTRANGE(""https://docs.google.com/spreadsheets/d/1xAsT4sUbBlom7l0acStESh_15nvjZcXjZM7fK5uZSq8/edit?usp=sharing"",""ชัยนาท!L528"")"),0)</f>
        <v>0</v>
      </c>
      <c r="E57" s="76">
        <f ca="1">IFERROR(__xludf.DUMMYFUNCTION("IMPORTRANGE(""https://docs.google.com/spreadsheets/d/1xAsT4sUbBlom7l0acStESh_15nvjZcXjZM7fK5uZSq8/edit?usp=sharing"",""ชัยนาท!L535"")"),0)</f>
        <v>0</v>
      </c>
      <c r="F57" s="77">
        <f t="shared" ca="1" si="1"/>
        <v>0</v>
      </c>
      <c r="G57" s="78">
        <f t="shared" ca="1" si="2"/>
        <v>0</v>
      </c>
      <c r="H57" s="79">
        <f t="shared" ca="1" si="61"/>
        <v>0</v>
      </c>
      <c r="I57" s="76">
        <f ca="1">IFERROR(__xludf.DUMMYFUNCTION("IMPORTRANGE(""https://docs.google.com/spreadsheets/d/1xAsT4sUbBlom7l0acStESh_15nvjZcXjZM7fK5uZSq8/edit?usp=sharing"",""ชัยนาท!N529"")"),0)</f>
        <v>0</v>
      </c>
      <c r="J57" s="76">
        <f ca="1">IFERROR(__xludf.DUMMYFUNCTION("IMPORTRANGE(""https://docs.google.com/spreadsheets/d/1xAsT4sUbBlom7l0acStESh_15nvjZcXjZM7fK5uZSq8/edit?usp=sharing"",""ชัยนาท!N530"")"),0)</f>
        <v>0</v>
      </c>
      <c r="K57" s="76">
        <f ca="1">IFERROR(__xludf.DUMMYFUNCTION("IMPORTRANGE(""https://docs.google.com/spreadsheets/d/1xAsT4sUbBlom7l0acStESh_15nvjZcXjZM7fK5uZSq8/edit?usp=sharing"",""ชัยนาท!N531"")"),0)</f>
        <v>0</v>
      </c>
      <c r="L57" s="76">
        <f ca="1">IFERROR(__xludf.DUMMYFUNCTION("IMPORTRANGE(""https://docs.google.com/spreadsheets/d/1xAsT4sUbBlom7l0acStESh_15nvjZcXjZM7fK5uZSq8/edit?usp=sharing"",""ชัยนาท!N532"")"),0)</f>
        <v>0</v>
      </c>
      <c r="M57" s="80">
        <f ca="1">IFERROR(__xludf.DUMMYFUNCTION("IMPORTRANGE(""https://docs.google.com/spreadsheets/d/1xAsT4sUbBlom7l0acStESh_15nvjZcXjZM7fK5uZSq8/edit?usp=sharing"",""ชัยนาท!N535"")"),0)</f>
        <v>0</v>
      </c>
      <c r="N57" s="80">
        <f t="shared" ca="1" si="33"/>
        <v>0</v>
      </c>
      <c r="O57" s="81">
        <f ca="1">IFERROR(__xludf.DUMMYFUNCTION("IMPORTRANGE(""https://docs.google.com/spreadsheets/d/1xAsT4sUbBlom7l0acStESh_15nvjZcXjZM7fK5uZSq8/edit?usp=sharing"",""ชัยนาท!I537"")"),0)</f>
        <v>0</v>
      </c>
      <c r="P57" s="81">
        <f ca="1">IFERROR(__xludf.DUMMYFUNCTION("IMPORTRANGE(""https://docs.google.com/spreadsheets/d/1xAsT4sUbBlom7l0acStESh_15nvjZcXjZM7fK5uZSq8/edit?usp=sharing"",""ชัยนาท!J537"")"),0)</f>
        <v>0</v>
      </c>
      <c r="Q57" s="82">
        <f t="shared" ca="1" si="25"/>
        <v>0</v>
      </c>
      <c r="R57" s="81">
        <f ca="1">IFERROR(__xludf.DUMMYFUNCTION("IMPORTRANGE(""https://docs.google.com/spreadsheets/d/1xAsT4sUbBlom7l0acStESh_15nvjZcXjZM7fK5uZSq8/edit?usp=sharing"",""ชัยนาท!I538"")"),0)</f>
        <v>0</v>
      </c>
      <c r="S57" s="81">
        <f ca="1">IFERROR(__xludf.DUMMYFUNCTION("IMPORTRANGE(""https://docs.google.com/spreadsheets/d/1xAsT4sUbBlom7l0acStESh_15nvjZcXjZM7fK5uZSq8/edit?usp=sharing"",""ชัยนาท!J538"")"),0)</f>
        <v>0</v>
      </c>
      <c r="T57" s="82">
        <f t="shared" ca="1" si="26"/>
        <v>0</v>
      </c>
      <c r="U57" s="81">
        <f ca="1">IFERROR(__xludf.DUMMYFUNCTION("IMPORTRANGE(""https://docs.google.com/spreadsheets/d/1xAsT4sUbBlom7l0acStESh_15nvjZcXjZM7fK5uZSq8/edit?usp=sharing"",""ชัยนาท!I539"")"),0)</f>
        <v>0</v>
      </c>
      <c r="V57" s="81">
        <f ca="1">IFERROR(__xludf.DUMMYFUNCTION("IMPORTRANGE(""https://docs.google.com/spreadsheets/d/1xAsT4sUbBlom7l0acStESh_15nvjZcXjZM7fK5uZSq8/edit?usp=sharing"",""ชัยนาท!J539"")"),0)</f>
        <v>0</v>
      </c>
      <c r="W57" s="82">
        <f t="shared" ca="1" si="27"/>
        <v>0</v>
      </c>
      <c r="X57" s="81">
        <f ca="1">IFERROR(__xludf.DUMMYFUNCTION("IMPORTRANGE(""https://docs.google.com/spreadsheets/d/1xAsT4sUbBlom7l0acStESh_15nvjZcXjZM7fK5uZSq8/edit?usp=sharing"",""ชัยนาท!I540"")"),0)</f>
        <v>0</v>
      </c>
      <c r="Y57" s="81">
        <f ca="1">IFERROR(__xludf.DUMMYFUNCTION("IMPORTRANGE(""https://docs.google.com/spreadsheets/d/1xAsT4sUbBlom7l0acStESh_15nvjZcXjZM7fK5uZSq8/edit?usp=sharing"",""ชัยนาท!J540"")"),0)</f>
        <v>0</v>
      </c>
      <c r="Z57" s="82">
        <f t="shared" ca="1" si="28"/>
        <v>0</v>
      </c>
      <c r="AA57" s="234">
        <f ca="1">IFERROR(__xludf.DUMMYFUNCTION("IMPORTRANGE(""https://docs.google.com/spreadsheets/d/1xAsT4sUbBlom7l0acStESh_15nvjZcXjZM7fK5uZSq8/edit?usp=sharing"",""ชัยนาท!I541"")"),0)</f>
        <v>0</v>
      </c>
      <c r="AB57" s="181">
        <f ca="1">IFERROR(__xludf.DUMMYFUNCTION("IMPORTRANGE(""https://docs.google.com/spreadsheets/d/1xAsT4sUbBlom7l0acStESh_15nvjZcXjZM7fK5uZSq8/edit?usp=sharing"",""ชัยนาท!J541"")"),0)</f>
        <v>0</v>
      </c>
      <c r="AC57" s="186">
        <f t="shared" ca="1" si="29"/>
        <v>0</v>
      </c>
      <c r="AD57" s="234">
        <f ca="1">IFERROR(__xludf.DUMMYFUNCTION("IMPORTRANGE(""https://docs.google.com/spreadsheets/d/1xAsT4sUbBlom7l0acStESh_15nvjZcXjZM7fK5uZSq8/edit?usp=sharing"",""ชัยนาท!I542"")"),0)</f>
        <v>0</v>
      </c>
      <c r="AE57" s="181">
        <f ca="1">IFERROR(__xludf.DUMMYFUNCTION("IMPORTRANGE(""https://docs.google.com/spreadsheets/d/1xAsT4sUbBlom7l0acStESh_15nvjZcXjZM7fK5uZSq8/edit?usp=sharing"",""ชัยนาท!J542"")"),0)</f>
        <v>0</v>
      </c>
      <c r="AF57" s="186">
        <f t="shared" ca="1" si="30"/>
        <v>0</v>
      </c>
    </row>
    <row r="58" spans="1:32" ht="21" customHeight="1" x14ac:dyDescent="0.3">
      <c r="A58" s="72">
        <v>6</v>
      </c>
      <c r="B58" s="73" t="s">
        <v>75</v>
      </c>
      <c r="C58" s="74">
        <f t="shared" ca="1" si="60"/>
        <v>0</v>
      </c>
      <c r="D58" s="75">
        <f ca="1">IFERROR(__xludf.DUMMYFUNCTION("IMPORTRANGE(""https://docs.google.com/spreadsheets/d/1vWPVBOAaZ6mHSI8yf95DNqHwTJ1cpeFsvqt6cxV34QA/edit?usp=sharing"",""ตราด!L528"")"),0)</f>
        <v>0</v>
      </c>
      <c r="E58" s="76">
        <f ca="1">IFERROR(__xludf.DUMMYFUNCTION("IMPORTRANGE(""https://docs.google.com/spreadsheets/d/1vWPVBOAaZ6mHSI8yf95DNqHwTJ1cpeFsvqt6cxV34QA/edit?usp=sharing"",""ตราด!L535"")"),0)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61"/>
        <v>0</v>
      </c>
      <c r="I58" s="76">
        <f ca="1">IFERROR(__xludf.DUMMYFUNCTION("IMPORTRANGE(""https://docs.google.com/spreadsheets/d/1vWPVBOAaZ6mHSI8yf95DNqHwTJ1cpeFsvqt6cxV34QA/edit?usp=sharing"",""ตราด!N529"")"),0)</f>
        <v>0</v>
      </c>
      <c r="J58" s="76">
        <f ca="1">IFERROR(__xludf.DUMMYFUNCTION("IMPORTRANGE(""https://docs.google.com/spreadsheets/d/1vWPVBOAaZ6mHSI8yf95DNqHwTJ1cpeFsvqt6cxV34QA/edit?usp=sharing"",""ตราด!N530"")"),0)</f>
        <v>0</v>
      </c>
      <c r="K58" s="76">
        <f ca="1">IFERROR(__xludf.DUMMYFUNCTION("IMPORTRANGE(""https://docs.google.com/spreadsheets/d/1vWPVBOAaZ6mHSI8yf95DNqHwTJ1cpeFsvqt6cxV34QA/edit?usp=sharing"",""ตราด!N531"")"),0)</f>
        <v>0</v>
      </c>
      <c r="L58" s="76">
        <f ca="1">IFERROR(__xludf.DUMMYFUNCTION("IMPORTRANGE(""https://docs.google.com/spreadsheets/d/1vWPVBOAaZ6mHSI8yf95DNqHwTJ1cpeFsvqt6cxV34QA/edit?usp=sharing"",""ตราด!N532"")"),0)</f>
        <v>0</v>
      </c>
      <c r="M58" s="80">
        <f ca="1">IFERROR(__xludf.DUMMYFUNCTION("IMPORTRANGE(""https://docs.google.com/spreadsheets/d/1vWPVBOAaZ6mHSI8yf95DNqHwTJ1cpeFsvqt6cxV34QA/edit?usp=sharing"",""ตราด!N535"")"),0)</f>
        <v>0</v>
      </c>
      <c r="N58" s="80">
        <f t="shared" ca="1" si="33"/>
        <v>0</v>
      </c>
      <c r="O58" s="81">
        <f ca="1">IFERROR(__xludf.DUMMYFUNCTION("IMPORTRANGE(""https://docs.google.com/spreadsheets/d/1vWPVBOAaZ6mHSI8yf95DNqHwTJ1cpeFsvqt6cxV34QA/edit?usp=sharing"",""ตราด!I537"")"),0)</f>
        <v>0</v>
      </c>
      <c r="P58" s="81">
        <f ca="1">IFERROR(__xludf.DUMMYFUNCTION("IMPORTRANGE(""https://docs.google.com/spreadsheets/d/1vWPVBOAaZ6mHSI8yf95DNqHwTJ1cpeFsvqt6cxV34QA/edit?usp=sharing"",""ตราด!J537"")"),0)</f>
        <v>0</v>
      </c>
      <c r="Q58" s="82">
        <f t="shared" ca="1" si="25"/>
        <v>0</v>
      </c>
      <c r="R58" s="81">
        <f ca="1">IFERROR(__xludf.DUMMYFUNCTION("IMPORTRANGE(""https://docs.google.com/spreadsheets/d/1vWPVBOAaZ6mHSI8yf95DNqHwTJ1cpeFsvqt6cxV34QA/edit?usp=sharing"",""ตราด!I538"")"),0)</f>
        <v>0</v>
      </c>
      <c r="S58" s="81">
        <f ca="1">IFERROR(__xludf.DUMMYFUNCTION("IMPORTRANGE(""https://docs.google.com/spreadsheets/d/1vWPVBOAaZ6mHSI8yf95DNqHwTJ1cpeFsvqt6cxV34QA/edit?usp=sharing"",""ตราด!J538"")"),0)</f>
        <v>0</v>
      </c>
      <c r="T58" s="82">
        <f t="shared" ca="1" si="26"/>
        <v>0</v>
      </c>
      <c r="U58" s="81">
        <f ca="1">IFERROR(__xludf.DUMMYFUNCTION("IMPORTRANGE(""https://docs.google.com/spreadsheets/d/1vWPVBOAaZ6mHSI8yf95DNqHwTJ1cpeFsvqt6cxV34QA/edit?usp=sharing"",""ตราด!I539"")"),0)</f>
        <v>0</v>
      </c>
      <c r="V58" s="81">
        <f ca="1">IFERROR(__xludf.DUMMYFUNCTION("IMPORTRANGE(""https://docs.google.com/spreadsheets/d/1vWPVBOAaZ6mHSI8yf95DNqHwTJ1cpeFsvqt6cxV34QA/edit?usp=sharing"",""ตราด!J539"")"),0)</f>
        <v>0</v>
      </c>
      <c r="W58" s="82">
        <f t="shared" ca="1" si="27"/>
        <v>0</v>
      </c>
      <c r="X58" s="81">
        <f ca="1">IFERROR(__xludf.DUMMYFUNCTION("IMPORTRANGE(""https://docs.google.com/spreadsheets/d/1vWPVBOAaZ6mHSI8yf95DNqHwTJ1cpeFsvqt6cxV34QA/edit?usp=sharing"",""ตราด!I540"")"),0)</f>
        <v>0</v>
      </c>
      <c r="Y58" s="81">
        <f ca="1">IFERROR(__xludf.DUMMYFUNCTION("IMPORTRANGE(""https://docs.google.com/spreadsheets/d/1vWPVBOAaZ6mHSI8yf95DNqHwTJ1cpeFsvqt6cxV34QA/edit?usp=sharing"",""ตราด!J540"")"),0)</f>
        <v>0</v>
      </c>
      <c r="Z58" s="82">
        <f t="shared" ca="1" si="28"/>
        <v>0</v>
      </c>
      <c r="AA58" s="234">
        <f ca="1">IFERROR(__xludf.DUMMYFUNCTION("IMPORTRANGE(""https://docs.google.com/spreadsheets/d/1vWPVBOAaZ6mHSI8yf95DNqHwTJ1cpeFsvqt6cxV34QA/edit?usp=sharing"",""ตราด!I541"")"),0)</f>
        <v>0</v>
      </c>
      <c r="AB58" s="181">
        <f ca="1">IFERROR(__xludf.DUMMYFUNCTION("IMPORTRANGE(""https://docs.google.com/spreadsheets/d/1vWPVBOAaZ6mHSI8yf95DNqHwTJ1cpeFsvqt6cxV34QA/edit?usp=sharing"",""ตราด!J541"")"),0)</f>
        <v>0</v>
      </c>
      <c r="AC58" s="186">
        <f t="shared" ca="1" si="29"/>
        <v>0</v>
      </c>
      <c r="AD58" s="234">
        <f ca="1">IFERROR(__xludf.DUMMYFUNCTION("IMPORTRANGE(""https://docs.google.com/spreadsheets/d/1vWPVBOAaZ6mHSI8yf95DNqHwTJ1cpeFsvqt6cxV34QA/edit?usp=sharing"",""ตราด!I542"")"),0)</f>
        <v>0</v>
      </c>
      <c r="AE58" s="181">
        <f ca="1">IFERROR(__xludf.DUMMYFUNCTION("IMPORTRANGE(""https://docs.google.com/spreadsheets/d/1vWPVBOAaZ6mHSI8yf95DNqHwTJ1cpeFsvqt6cxV34QA/edit?usp=sharing"",""ตราด!J542"")"),0)</f>
        <v>0</v>
      </c>
      <c r="AF58" s="186">
        <f t="shared" ca="1" si="30"/>
        <v>0</v>
      </c>
    </row>
    <row r="59" spans="1:32" ht="21" customHeight="1" x14ac:dyDescent="0.3">
      <c r="A59" s="72">
        <v>7</v>
      </c>
      <c r="B59" s="73" t="s">
        <v>76</v>
      </c>
      <c r="C59" s="74">
        <f t="shared" ca="1" si="60"/>
        <v>0</v>
      </c>
      <c r="D59" s="75">
        <f ca="1">IFERROR(__xludf.DUMMYFUNCTION("IMPORTRANGE(""https://docs.google.com/spreadsheets/d/1phaeSb9lTGgzDpbvVqI9hfmOQQzUom07-HEvpbARzEg/edit?usp=sharing"",""นครนายก!L528"")"),0)</f>
        <v>0</v>
      </c>
      <c r="E59" s="76">
        <f ca="1">IFERROR(__xludf.DUMMYFUNCTION("IMPORTRANGE(""https://docs.google.com/spreadsheets/d/1phaeSb9lTGgzDpbvVqI9hfmOQQzUom07-HEvpbARzEg/edit?usp=sharing"",""นครนายก!L535"")"),0)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61"/>
        <v>0</v>
      </c>
      <c r="I59" s="76">
        <f ca="1">IFERROR(__xludf.DUMMYFUNCTION("IMPORTRANGE(""https://docs.google.com/spreadsheets/d/1phaeSb9lTGgzDpbvVqI9hfmOQQzUom07-HEvpbARzEg/edit?usp=sharing"",""นครนายก!N529"")"),0)</f>
        <v>0</v>
      </c>
      <c r="J59" s="76">
        <f ca="1">IFERROR(__xludf.DUMMYFUNCTION("IMPORTRANGE(""https://docs.google.com/spreadsheets/d/1phaeSb9lTGgzDpbvVqI9hfmOQQzUom07-HEvpbARzEg/edit?usp=sharing"",""นครนายก!N530"")"),0)</f>
        <v>0</v>
      </c>
      <c r="K59" s="76">
        <f ca="1">IFERROR(__xludf.DUMMYFUNCTION("IMPORTRANGE(""https://docs.google.com/spreadsheets/d/1phaeSb9lTGgzDpbvVqI9hfmOQQzUom07-HEvpbARzEg/edit?usp=sharing"",""นครนายก!N531"")"),0)</f>
        <v>0</v>
      </c>
      <c r="L59" s="76">
        <f ca="1">IFERROR(__xludf.DUMMYFUNCTION("IMPORTRANGE(""https://docs.google.com/spreadsheets/d/1phaeSb9lTGgzDpbvVqI9hfmOQQzUom07-HEvpbARzEg/edit?usp=sharing"",""นครนายก!N532"")"),0)</f>
        <v>0</v>
      </c>
      <c r="M59" s="80">
        <f ca="1">IFERROR(__xludf.DUMMYFUNCTION("IMPORTRANGE(""https://docs.google.com/spreadsheets/d/1phaeSb9lTGgzDpbvVqI9hfmOQQzUom07-HEvpbARzEg/edit?usp=sharing"",""นครนายก!N535"")"),0)</f>
        <v>0</v>
      </c>
      <c r="N59" s="80">
        <f t="shared" ca="1" si="33"/>
        <v>0</v>
      </c>
      <c r="O59" s="81">
        <f ca="1">IFERROR(__xludf.DUMMYFUNCTION("IMPORTRANGE(""https://docs.google.com/spreadsheets/d/1phaeSb9lTGgzDpbvVqI9hfmOQQzUom07-HEvpbARzEg/edit?usp=sharing"",""นครนายก!I537"")"),0)</f>
        <v>0</v>
      </c>
      <c r="P59" s="81">
        <f ca="1">IFERROR(__xludf.DUMMYFUNCTION("IMPORTRANGE(""https://docs.google.com/spreadsheets/d/1phaeSb9lTGgzDpbvVqI9hfmOQQzUom07-HEvpbARzEg/edit?usp=sharing"",""นครนายก!J537"")"),0)</f>
        <v>0</v>
      </c>
      <c r="Q59" s="82">
        <f t="shared" ca="1" si="25"/>
        <v>0</v>
      </c>
      <c r="R59" s="81">
        <f ca="1">IFERROR(__xludf.DUMMYFUNCTION("IMPORTRANGE(""https://docs.google.com/spreadsheets/d/1phaeSb9lTGgzDpbvVqI9hfmOQQzUom07-HEvpbARzEg/edit?usp=sharing"",""นครนายก!I538"")"),0)</f>
        <v>0</v>
      </c>
      <c r="S59" s="81">
        <f ca="1">IFERROR(__xludf.DUMMYFUNCTION("IMPORTRANGE(""https://docs.google.com/spreadsheets/d/1phaeSb9lTGgzDpbvVqI9hfmOQQzUom07-HEvpbARzEg/edit?usp=sharing"",""นครนายก!J538"")"),0)</f>
        <v>0</v>
      </c>
      <c r="T59" s="82">
        <f t="shared" ca="1" si="26"/>
        <v>0</v>
      </c>
      <c r="U59" s="81">
        <f ca="1">IFERROR(__xludf.DUMMYFUNCTION("IMPORTRANGE(""https://docs.google.com/spreadsheets/d/1phaeSb9lTGgzDpbvVqI9hfmOQQzUom07-HEvpbARzEg/edit?usp=sharing"",""นครนายก!I539"")"),0)</f>
        <v>0</v>
      </c>
      <c r="V59" s="81">
        <f ca="1">IFERROR(__xludf.DUMMYFUNCTION("IMPORTRANGE(""https://docs.google.com/spreadsheets/d/1phaeSb9lTGgzDpbvVqI9hfmOQQzUom07-HEvpbARzEg/edit?usp=sharing"",""นครนายก!J539"")"),0)</f>
        <v>0</v>
      </c>
      <c r="W59" s="82">
        <f t="shared" ca="1" si="27"/>
        <v>0</v>
      </c>
      <c r="X59" s="81">
        <f ca="1">IFERROR(__xludf.DUMMYFUNCTION("IMPORTRANGE(""https://docs.google.com/spreadsheets/d/1phaeSb9lTGgzDpbvVqI9hfmOQQzUom07-HEvpbARzEg/edit?usp=sharing"",""นครนายก!I540"")"),0)</f>
        <v>0</v>
      </c>
      <c r="Y59" s="81">
        <f ca="1">IFERROR(__xludf.DUMMYFUNCTION("IMPORTRANGE(""https://docs.google.com/spreadsheets/d/1phaeSb9lTGgzDpbvVqI9hfmOQQzUom07-HEvpbARzEg/edit?usp=sharing"",""นครนายก!J540"")"),0)</f>
        <v>0</v>
      </c>
      <c r="Z59" s="82">
        <f t="shared" ca="1" si="28"/>
        <v>0</v>
      </c>
      <c r="AA59" s="234">
        <f ca="1">IFERROR(__xludf.DUMMYFUNCTION("IMPORTRANGE(""https://docs.google.com/spreadsheets/d/1phaeSb9lTGgzDpbvVqI9hfmOQQzUom07-HEvpbARzEg/edit?usp=sharing"",""นครนายก!I541"")"),0)</f>
        <v>0</v>
      </c>
      <c r="AB59" s="181">
        <f ca="1">IFERROR(__xludf.DUMMYFUNCTION("IMPORTRANGE(""https://docs.google.com/spreadsheets/d/1phaeSb9lTGgzDpbvVqI9hfmOQQzUom07-HEvpbARzEg/edit?usp=sharing"",""นครนายก!J541"")"),0)</f>
        <v>0</v>
      </c>
      <c r="AC59" s="186">
        <f t="shared" ca="1" si="29"/>
        <v>0</v>
      </c>
      <c r="AD59" s="234">
        <f ca="1">IFERROR(__xludf.DUMMYFUNCTION("IMPORTRANGE(""https://docs.google.com/spreadsheets/d/1phaeSb9lTGgzDpbvVqI9hfmOQQzUom07-HEvpbARzEg/edit?usp=sharing"",""นครนายก!I542"")"),0)</f>
        <v>0</v>
      </c>
      <c r="AE59" s="181">
        <f ca="1">IFERROR(__xludf.DUMMYFUNCTION("IMPORTRANGE(""https://docs.google.com/spreadsheets/d/1phaeSb9lTGgzDpbvVqI9hfmOQQzUom07-HEvpbARzEg/edit?usp=sharing"",""นครนายก!J542"")"),0)</f>
        <v>0</v>
      </c>
      <c r="AF59" s="186">
        <f t="shared" ca="1" si="30"/>
        <v>0</v>
      </c>
    </row>
    <row r="60" spans="1:32" ht="21" customHeight="1" x14ac:dyDescent="0.3">
      <c r="A60" s="72">
        <v>8</v>
      </c>
      <c r="B60" s="73" t="s">
        <v>77</v>
      </c>
      <c r="C60" s="74">
        <f t="shared" ca="1" si="60"/>
        <v>0</v>
      </c>
      <c r="D60" s="75">
        <f ca="1">IFERROR(__xludf.DUMMYFUNCTION("IMPORTRANGE(""https://docs.google.com/spreadsheets/d/1tpwhWwkqkBeiSWCcfB5f2fbwPRbM9hHOEDSDHpl2MIc/edit?usp=sharing"",""นครปฐม!L528"")"),0)</f>
        <v>0</v>
      </c>
      <c r="E60" s="76">
        <f ca="1">IFERROR(__xludf.DUMMYFUNCTION("IMPORTRANGE(""https://docs.google.com/spreadsheets/d/1tpwhWwkqkBeiSWCcfB5f2fbwPRbM9hHOEDSDHpl2MIc/edit?usp=sharing"",""นครปฐม!L535"")"),0)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61"/>
        <v>0</v>
      </c>
      <c r="I60" s="76">
        <f ca="1">IFERROR(__xludf.DUMMYFUNCTION("IMPORTRANGE(""https://docs.google.com/spreadsheets/d/1tpwhWwkqkBeiSWCcfB5f2fbwPRbM9hHOEDSDHpl2MIc/edit?usp=sharing"",""นครปฐม!N529"")"),0)</f>
        <v>0</v>
      </c>
      <c r="J60" s="76">
        <f ca="1">IFERROR(__xludf.DUMMYFUNCTION("IMPORTRANGE(""https://docs.google.com/spreadsheets/d/1tpwhWwkqkBeiSWCcfB5f2fbwPRbM9hHOEDSDHpl2MIc/edit?usp=sharing"",""นครปฐม!N530"")"),0)</f>
        <v>0</v>
      </c>
      <c r="K60" s="76">
        <f ca="1">IFERROR(__xludf.DUMMYFUNCTION("IMPORTRANGE(""https://docs.google.com/spreadsheets/d/1tpwhWwkqkBeiSWCcfB5f2fbwPRbM9hHOEDSDHpl2MIc/edit?usp=sharing"",""นครปฐม!N531"")"),0)</f>
        <v>0</v>
      </c>
      <c r="L60" s="76">
        <f ca="1">IFERROR(__xludf.DUMMYFUNCTION("IMPORTRANGE(""https://docs.google.com/spreadsheets/d/1tpwhWwkqkBeiSWCcfB5f2fbwPRbM9hHOEDSDHpl2MIc/edit?usp=sharing"",""นครปฐม!N532"")"),0)</f>
        <v>0</v>
      </c>
      <c r="M60" s="80">
        <f ca="1">IFERROR(__xludf.DUMMYFUNCTION("IMPORTRANGE(""https://docs.google.com/spreadsheets/d/1tpwhWwkqkBeiSWCcfB5f2fbwPRbM9hHOEDSDHpl2MIc/edit?usp=sharing"",""นครปฐม!N535"")"),0)</f>
        <v>0</v>
      </c>
      <c r="N60" s="80">
        <f t="shared" ca="1" si="33"/>
        <v>0</v>
      </c>
      <c r="O60" s="81">
        <f ca="1">IFERROR(__xludf.DUMMYFUNCTION("IMPORTRANGE(""https://docs.google.com/spreadsheets/d/1tpwhWwkqkBeiSWCcfB5f2fbwPRbM9hHOEDSDHpl2MIc/edit?usp=sharing"",""นครปฐม!I537"")"),0)</f>
        <v>0</v>
      </c>
      <c r="P60" s="81">
        <f ca="1">IFERROR(__xludf.DUMMYFUNCTION("IMPORTRANGE(""https://docs.google.com/spreadsheets/d/1tpwhWwkqkBeiSWCcfB5f2fbwPRbM9hHOEDSDHpl2MIc/edit?usp=sharing"",""นครปฐม!J537"")"),0)</f>
        <v>0</v>
      </c>
      <c r="Q60" s="82">
        <f t="shared" ca="1" si="25"/>
        <v>0</v>
      </c>
      <c r="R60" s="81">
        <f ca="1">IFERROR(__xludf.DUMMYFUNCTION("IMPORTRANGE(""https://docs.google.com/spreadsheets/d/1tpwhWwkqkBeiSWCcfB5f2fbwPRbM9hHOEDSDHpl2MIc/edit?usp=sharing"",""นครปฐม!I538"")"),0)</f>
        <v>0</v>
      </c>
      <c r="S60" s="81">
        <f ca="1">IFERROR(__xludf.DUMMYFUNCTION("IMPORTRANGE(""https://docs.google.com/spreadsheets/d/1tpwhWwkqkBeiSWCcfB5f2fbwPRbM9hHOEDSDHpl2MIc/edit?usp=sharing"",""นครปฐม!J538"")"),0)</f>
        <v>0</v>
      </c>
      <c r="T60" s="82">
        <f t="shared" ca="1" si="26"/>
        <v>0</v>
      </c>
      <c r="U60" s="81">
        <f ca="1">IFERROR(__xludf.DUMMYFUNCTION("IMPORTRANGE(""https://docs.google.com/spreadsheets/d/1tpwhWwkqkBeiSWCcfB5f2fbwPRbM9hHOEDSDHpl2MIc/edit?usp=sharing"",""นครปฐม!I539"")"),0)</f>
        <v>0</v>
      </c>
      <c r="V60" s="81">
        <f ca="1">IFERROR(__xludf.DUMMYFUNCTION("IMPORTRANGE(""https://docs.google.com/spreadsheets/d/1tpwhWwkqkBeiSWCcfB5f2fbwPRbM9hHOEDSDHpl2MIc/edit?usp=sharing"",""นครปฐม!J539"")"),0)</f>
        <v>0</v>
      </c>
      <c r="W60" s="82">
        <f t="shared" ca="1" si="27"/>
        <v>0</v>
      </c>
      <c r="X60" s="81">
        <f ca="1">IFERROR(__xludf.DUMMYFUNCTION("IMPORTRANGE(""https://docs.google.com/spreadsheets/d/1tpwhWwkqkBeiSWCcfB5f2fbwPRbM9hHOEDSDHpl2MIc/edit?usp=sharing"",""นครปฐม!I540"")"),0)</f>
        <v>0</v>
      </c>
      <c r="Y60" s="81">
        <f ca="1">IFERROR(__xludf.DUMMYFUNCTION("IMPORTRANGE(""https://docs.google.com/spreadsheets/d/1tpwhWwkqkBeiSWCcfB5f2fbwPRbM9hHOEDSDHpl2MIc/edit?usp=sharing"",""นครปฐม!J540"")"),0)</f>
        <v>0</v>
      </c>
      <c r="Z60" s="82">
        <f t="shared" ca="1" si="28"/>
        <v>0</v>
      </c>
      <c r="AA60" s="234">
        <f ca="1">IFERROR(__xludf.DUMMYFUNCTION("IMPORTRANGE(""https://docs.google.com/spreadsheets/d/1tpwhWwkqkBeiSWCcfB5f2fbwPRbM9hHOEDSDHpl2MIc/edit?usp=sharing"",""นครปฐม!I541"")"),0)</f>
        <v>0</v>
      </c>
      <c r="AB60" s="181">
        <f ca="1">IFERROR(__xludf.DUMMYFUNCTION("IMPORTRANGE(""https://docs.google.com/spreadsheets/d/1tpwhWwkqkBeiSWCcfB5f2fbwPRbM9hHOEDSDHpl2MIc/edit?usp=sharing"",""นครปฐม!J541"")"),0)</f>
        <v>0</v>
      </c>
      <c r="AC60" s="186">
        <f t="shared" ca="1" si="29"/>
        <v>0</v>
      </c>
      <c r="AD60" s="234">
        <f ca="1">IFERROR(__xludf.DUMMYFUNCTION("IMPORTRANGE(""https://docs.google.com/spreadsheets/d/1tpwhWwkqkBeiSWCcfB5f2fbwPRbM9hHOEDSDHpl2MIc/edit?usp=sharing"",""นครปฐม!I542"")"),0)</f>
        <v>0</v>
      </c>
      <c r="AE60" s="181">
        <f ca="1">IFERROR(__xludf.DUMMYFUNCTION("IMPORTRANGE(""https://docs.google.com/spreadsheets/d/1tpwhWwkqkBeiSWCcfB5f2fbwPRbM9hHOEDSDHpl2MIc/edit?usp=sharing"",""นครปฐม!J542"")"),0)</f>
        <v>0</v>
      </c>
      <c r="AF60" s="186">
        <f t="shared" ca="1" si="30"/>
        <v>0</v>
      </c>
    </row>
    <row r="61" spans="1:32" ht="21" customHeight="1" x14ac:dyDescent="0.3">
      <c r="A61" s="72">
        <v>9</v>
      </c>
      <c r="B61" s="73" t="s">
        <v>78</v>
      </c>
      <c r="C61" s="74">
        <f t="shared" ca="1" si="60"/>
        <v>0</v>
      </c>
      <c r="D61" s="75">
        <f ca="1">IFERROR(__xludf.DUMMYFUNCTION("IMPORTRANGE(""https://docs.google.com/spreadsheets/d/1fJJCVBkBnhriyv0Cp5ZFMr0I_yrfdEITNpb4zILJgUQ/edit?usp=sharing"",""ปทุมธานี!L528"")"),0)</f>
        <v>0</v>
      </c>
      <c r="E61" s="76">
        <f ca="1">IFERROR(__xludf.DUMMYFUNCTION("IMPORTRANGE(""https://docs.google.com/spreadsheets/d/1fJJCVBkBnhriyv0Cp5ZFMr0I_yrfdEITNpb4zILJgUQ/edit?usp=sharing"",""ปทุมธานี!L535"")"),0)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61"/>
        <v>0</v>
      </c>
      <c r="I61" s="76">
        <f ca="1">IFERROR(__xludf.DUMMYFUNCTION("IMPORTRANGE(""https://docs.google.com/spreadsheets/d/1fJJCVBkBnhriyv0Cp5ZFMr0I_yrfdEITNpb4zILJgUQ/edit?usp=sharing"",""ปทุมธานี!N529"")"),0)</f>
        <v>0</v>
      </c>
      <c r="J61" s="76">
        <f ca="1">IFERROR(__xludf.DUMMYFUNCTION("IMPORTRANGE(""https://docs.google.com/spreadsheets/d/1fJJCVBkBnhriyv0Cp5ZFMr0I_yrfdEITNpb4zILJgUQ/edit?usp=sharing"",""ปทุมธานี!N530"")"),0)</f>
        <v>0</v>
      </c>
      <c r="K61" s="76">
        <f ca="1">IFERROR(__xludf.DUMMYFUNCTION("IMPORTRANGE(""https://docs.google.com/spreadsheets/d/1fJJCVBkBnhriyv0Cp5ZFMr0I_yrfdEITNpb4zILJgUQ/edit?usp=sharing"",""ปทุมธานี!N531"")"),0)</f>
        <v>0</v>
      </c>
      <c r="L61" s="76">
        <f ca="1">IFERROR(__xludf.DUMMYFUNCTION("IMPORTRANGE(""https://docs.google.com/spreadsheets/d/1fJJCVBkBnhriyv0Cp5ZFMr0I_yrfdEITNpb4zILJgUQ/edit?usp=sharing"",""ปทุมธานี!N532"")"),0)</f>
        <v>0</v>
      </c>
      <c r="M61" s="80">
        <f ca="1">IFERROR(__xludf.DUMMYFUNCTION("IMPORTRANGE(""https://docs.google.com/spreadsheets/d/1fJJCVBkBnhriyv0Cp5ZFMr0I_yrfdEITNpb4zILJgUQ/edit?usp=sharing"",""ปทุมธานี!N535"")"),0)</f>
        <v>0</v>
      </c>
      <c r="N61" s="80">
        <f t="shared" ca="1" si="33"/>
        <v>0</v>
      </c>
      <c r="O61" s="81">
        <f ca="1">IFERROR(__xludf.DUMMYFUNCTION("IMPORTRANGE(""https://docs.google.com/spreadsheets/d/1fJJCVBkBnhriyv0Cp5ZFMr0I_yrfdEITNpb4zILJgUQ/edit?usp=sharing"",""ปทุมธานี!I537"")"),0)</f>
        <v>0</v>
      </c>
      <c r="P61" s="81">
        <f ca="1">IFERROR(__xludf.DUMMYFUNCTION("IMPORTRANGE(""https://docs.google.com/spreadsheets/d/1fJJCVBkBnhriyv0Cp5ZFMr0I_yrfdEITNpb4zILJgUQ/edit?usp=sharing"",""ปทุมธานี!J537"")"),0)</f>
        <v>0</v>
      </c>
      <c r="Q61" s="82">
        <f t="shared" ca="1" si="25"/>
        <v>0</v>
      </c>
      <c r="R61" s="81">
        <f ca="1">IFERROR(__xludf.DUMMYFUNCTION("IMPORTRANGE(""https://docs.google.com/spreadsheets/d/1fJJCVBkBnhriyv0Cp5ZFMr0I_yrfdEITNpb4zILJgUQ/edit?usp=sharing"",""ปทุมธานี!I538"")"),0)</f>
        <v>0</v>
      </c>
      <c r="S61" s="81">
        <f ca="1">IFERROR(__xludf.DUMMYFUNCTION("IMPORTRANGE(""https://docs.google.com/spreadsheets/d/1fJJCVBkBnhriyv0Cp5ZFMr0I_yrfdEITNpb4zILJgUQ/edit?usp=sharing"",""ปทุมธานี!J538"")"),0)</f>
        <v>0</v>
      </c>
      <c r="T61" s="82">
        <f t="shared" ca="1" si="26"/>
        <v>0</v>
      </c>
      <c r="U61" s="81">
        <f ca="1">IFERROR(__xludf.DUMMYFUNCTION("IMPORTRANGE(""https://docs.google.com/spreadsheets/d/1fJJCVBkBnhriyv0Cp5ZFMr0I_yrfdEITNpb4zILJgUQ/edit?usp=sharing"",""ปทุมธานี!I539"")"),0)</f>
        <v>0</v>
      </c>
      <c r="V61" s="81">
        <f ca="1">IFERROR(__xludf.DUMMYFUNCTION("IMPORTRANGE(""https://docs.google.com/spreadsheets/d/1fJJCVBkBnhriyv0Cp5ZFMr0I_yrfdEITNpb4zILJgUQ/edit?usp=sharing"",""ปทุมธานี!J539"")"),0)</f>
        <v>0</v>
      </c>
      <c r="W61" s="82">
        <f t="shared" ca="1" si="27"/>
        <v>0</v>
      </c>
      <c r="X61" s="81">
        <f ca="1">IFERROR(__xludf.DUMMYFUNCTION("IMPORTRANGE(""https://docs.google.com/spreadsheets/d/1fJJCVBkBnhriyv0Cp5ZFMr0I_yrfdEITNpb4zILJgUQ/edit?usp=sharing"",""ปทุมธานี!I540"")"),0)</f>
        <v>0</v>
      </c>
      <c r="Y61" s="81">
        <f ca="1">IFERROR(__xludf.DUMMYFUNCTION("IMPORTRANGE(""https://docs.google.com/spreadsheets/d/1fJJCVBkBnhriyv0Cp5ZFMr0I_yrfdEITNpb4zILJgUQ/edit?usp=sharing"",""ปทุมธานี!J540"")"),0)</f>
        <v>0</v>
      </c>
      <c r="Z61" s="82">
        <f t="shared" ca="1" si="28"/>
        <v>0</v>
      </c>
      <c r="AA61" s="234">
        <f ca="1">IFERROR(__xludf.DUMMYFUNCTION("IMPORTRANGE(""https://docs.google.com/spreadsheets/d/1fJJCVBkBnhriyv0Cp5ZFMr0I_yrfdEITNpb4zILJgUQ/edit?usp=sharing"",""ปทุมธานี!I541"")"),0)</f>
        <v>0</v>
      </c>
      <c r="AB61" s="181">
        <f ca="1">IFERROR(__xludf.DUMMYFUNCTION("IMPORTRANGE(""https://docs.google.com/spreadsheets/d/1fJJCVBkBnhriyv0Cp5ZFMr0I_yrfdEITNpb4zILJgUQ/edit?usp=sharing"",""ปทุมธานี!J541"")"),0)</f>
        <v>0</v>
      </c>
      <c r="AC61" s="186">
        <f t="shared" ca="1" si="29"/>
        <v>0</v>
      </c>
      <c r="AD61" s="234">
        <f ca="1">IFERROR(__xludf.DUMMYFUNCTION("IMPORTRANGE(""https://docs.google.com/spreadsheets/d/1fJJCVBkBnhriyv0Cp5ZFMr0I_yrfdEITNpb4zILJgUQ/edit?usp=sharing"",""ปทุมธานี!I542"")"),0)</f>
        <v>0</v>
      </c>
      <c r="AE61" s="181">
        <f ca="1">IFERROR(__xludf.DUMMYFUNCTION("IMPORTRANGE(""https://docs.google.com/spreadsheets/d/1fJJCVBkBnhriyv0Cp5ZFMr0I_yrfdEITNpb4zILJgUQ/edit?usp=sharing"",""ปทุมธานี!J542"")"),0)</f>
        <v>0</v>
      </c>
      <c r="AF61" s="186">
        <f t="shared" ca="1" si="30"/>
        <v>0</v>
      </c>
    </row>
    <row r="62" spans="1:32" ht="21" customHeight="1" x14ac:dyDescent="0.3">
      <c r="A62" s="72">
        <v>10</v>
      </c>
      <c r="B62" s="73" t="s">
        <v>79</v>
      </c>
      <c r="C62" s="74">
        <f t="shared" ca="1" si="60"/>
        <v>0</v>
      </c>
      <c r="D62" s="75">
        <f ca="1">IFERROR(__xludf.DUMMYFUNCTION("IMPORTRANGE(""https://docs.google.com/spreadsheets/d/1W5Jj_S0gYw6wSO7QcMI02YgyOBDKYgmm0NSUk-AQEac/edit?usp=sharing"",""ประจวบคีรีขันธ์!L528"")"),0)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IFERROR(__xludf.DUMMYFUNCTION("IMPORTRANGE(""https://docs.google.com/spreadsheets/d/1W5Jj_S0gYw6wSO7QcMI02YgyOBDKYgmm0NSUk-AQEac/edit?usp=sharing"",""ประจวบคีรีขันธ์!L535"")"),0)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61"/>
        <v>0</v>
      </c>
      <c r="I62" s="76">
        <f ca="1">IFERROR(__xludf.DUMMYFUNCTION("IMPORTRANGE(""https://docs.google.com/spreadsheets/d/1W5Jj_S0gYw6wSO7QcMI02YgyOBDKYgmm0NSUk-AQEac/edit?usp=sharing"",""ประจวบคีรีขันธ์!N529"")"),0)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IFERROR(__xludf.DUMMYFUNCTION("IMPORTRANGE(""https://docs.google.com/spreadsheets/d/1W5Jj_S0gYw6wSO7QcMI02YgyOBDKYgmm0NSUk-AQEac/edit?usp=sharing"",""ประจวบคีรีขันธ์!N530"")"),0)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IFERROR(__xludf.DUMMYFUNCTION("IMPORTRANGE(""https://docs.google.com/spreadsheets/d/1W5Jj_S0gYw6wSO7QcMI02YgyOBDKYgmm0NSUk-AQEac/edit?usp=sharing"",""ประจวบคีรีขันธ์!N531"")"),0)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IFERROR(__xludf.DUMMYFUNCTION("IMPORTRANGE(""https://docs.google.com/spreadsheets/d/1W5Jj_S0gYw6wSO7QcMI02YgyOBDKYgmm0NSUk-AQEac/edit?usp=sharing"",""ประจวบคีรีขันธ์!N532"")"),0)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IFERROR(__xludf.DUMMYFUNCTION("IMPORTRANGE(""https://docs.google.com/spreadsheets/d/1W5Jj_S0gYw6wSO7QcMI02YgyOBDKYgmm0NSUk-AQEac/edit?usp=sharing"",""ประจวบคีรีขันธ์!N535"")"),0)</f>
        <v>0</v>
      </c>
      <c r="N62" s="80">
        <f t="shared" ca="1" si="33"/>
        <v>0</v>
      </c>
      <c r="O62" s="81">
        <f ca="1">IFERROR(__xludf.DUMMYFUNCTION("IMPORTRANGE(""https://docs.google.com/spreadsheets/d/1W5Jj_S0gYw6wSO7QcMI02YgyOBDKYgmm0NSUk-AQEac/edit?usp=sharing"",""ประจวบคีรีขันธ์!I537"")"),0)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IFERROR(__xludf.DUMMYFUNCTION("IMPORTRANGE(""https://docs.google.com/spreadsheets/d/1W5Jj_S0gYw6wSO7QcMI02YgyOBDKYgmm0NSUk-AQEac/edit?usp=sharing"",""ประจวบคีรีขันธ์!J537"")"),0)</f>
        <v>0</v>
      </c>
      <c r="Q62" s="82">
        <f t="shared" ca="1" si="25"/>
        <v>0</v>
      </c>
      <c r="R62" s="81">
        <f ca="1">IFERROR(__xludf.DUMMYFUNCTION("IMPORTRANGE(""https://docs.google.com/spreadsheets/d/1W5Jj_S0gYw6wSO7QcMI02YgyOBDKYgmm0NSUk-AQEac/edit?usp=sharing"",""ประจวบคีรีขันธ์!I538"")"),0)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IFERROR(__xludf.DUMMYFUNCTION("IMPORTRANGE(""https://docs.google.com/spreadsheets/d/1W5Jj_S0gYw6wSO7QcMI02YgyOBDKYgmm0NSUk-AQEac/edit?usp=sharing"",""ประจวบคีรีขันธ์!J538"")"),0)</f>
        <v>0</v>
      </c>
      <c r="T62" s="82">
        <f t="shared" ca="1" si="26"/>
        <v>0</v>
      </c>
      <c r="U62" s="81">
        <f ca="1">IFERROR(__xludf.DUMMYFUNCTION("IMPORTRANGE(""https://docs.google.com/spreadsheets/d/1W5Jj_S0gYw6wSO7QcMI02YgyOBDKYgmm0NSUk-AQEac/edit?usp=sharing"",""ประจวบคีรีขันธ์!I539"")"),0)</f>
        <v>0</v>
      </c>
      <c r="V62" s="81">
        <f ca="1">IFERROR(__xludf.DUMMYFUNCTION("IMPORTRANGE(""https://docs.google.com/spreadsheets/d/1W5Jj_S0gYw6wSO7QcMI02YgyOBDKYgmm0NSUk-AQEac/edit?usp=sharing"",""ประจวบคีรีขันธ์!J539"")"),0)</f>
        <v>0</v>
      </c>
      <c r="W62" s="82">
        <f t="shared" ca="1" si="27"/>
        <v>0</v>
      </c>
      <c r="X62" s="81">
        <f ca="1">IFERROR(__xludf.DUMMYFUNCTION("IMPORTRANGE(""https://docs.google.com/spreadsheets/d/1W5Jj_S0gYw6wSO7QcMI02YgyOBDKYgmm0NSUk-AQEac/edit?usp=sharing"",""ประจวบคีรีขันธ์!I540"")"),0)</f>
        <v>0</v>
      </c>
      <c r="Y62" s="81">
        <f ca="1">IFERROR(__xludf.DUMMYFUNCTION("IMPORTRANGE(""https://docs.google.com/spreadsheets/d/1W5Jj_S0gYw6wSO7QcMI02YgyOBDKYgmm0NSUk-AQEac/edit?usp=sharing"",""ประจวบคีรีขันธ์!J540"")"),0)</f>
        <v>0</v>
      </c>
      <c r="Z62" s="82">
        <f t="shared" ca="1" si="28"/>
        <v>0</v>
      </c>
      <c r="AA62" s="234">
        <f ca="1">IFERROR(__xludf.DUMMYFUNCTION("IMPORTRANGE(""https://docs.google.com/spreadsheets/d/1W5Jj_S0gYw6wSO7QcMI02YgyOBDKYgmm0NSUk-AQEac/edit?usp=sharing"",""ประจวบคีรีขันธ์!I541"")"),0)</f>
        <v>0</v>
      </c>
      <c r="AB62" s="181">
        <f ca="1">IFERROR(__xludf.DUMMYFUNCTION("IMPORTRANGE(""https://docs.google.com/spreadsheets/d/1W5Jj_S0gYw6wSO7QcMI02YgyOBDKYgmm0NSUk-AQEac/edit?usp=sharing"",""ประจวบคีรีขันธ์!J541"")"),0)</f>
        <v>0</v>
      </c>
      <c r="AC62" s="186">
        <f t="shared" ca="1" si="29"/>
        <v>0</v>
      </c>
      <c r="AD62" s="234">
        <f ca="1">IFERROR(__xludf.DUMMYFUNCTION("IMPORTRANGE(""https://docs.google.com/spreadsheets/d/1W5Jj_S0gYw6wSO7QcMI02YgyOBDKYgmm0NSUk-AQEac/edit?usp=sharing"",""ประจวบคีรีขันธ์!I542"")"),0)</f>
        <v>0</v>
      </c>
      <c r="AE62" s="181">
        <f ca="1">IFERROR(__xludf.DUMMYFUNCTION("IMPORTRANGE(""https://docs.google.com/spreadsheets/d/1W5Jj_S0gYw6wSO7QcMI02YgyOBDKYgmm0NSUk-AQEac/edit?usp=sharing"",""ประจวบคีรีขันธ์!J542"")"),0)</f>
        <v>0</v>
      </c>
      <c r="AF62" s="186">
        <f t="shared" ca="1" si="30"/>
        <v>0</v>
      </c>
    </row>
    <row r="63" spans="1:32" ht="21" customHeight="1" x14ac:dyDescent="0.3">
      <c r="A63" s="72">
        <v>11</v>
      </c>
      <c r="B63" s="73" t="s">
        <v>80</v>
      </c>
      <c r="C63" s="74">
        <f t="shared" ca="1" si="60"/>
        <v>0</v>
      </c>
      <c r="D63" s="75">
        <f ca="1">IFERROR(__xludf.DUMMYFUNCTION("IMPORTRANGE(""https://docs.google.com/spreadsheets/d/1nYxRXgnCfTXtqUY1otYuTlnrzE0Tn-Y0YRsW5pkRVqo/edit?usp=sharing"",""ปราจีนบุรี!L528"")"),0)</f>
        <v>0</v>
      </c>
      <c r="E63" s="76">
        <f ca="1">IFERROR(__xludf.DUMMYFUNCTION("IMPORTRANGE(""https://docs.google.com/spreadsheets/d/1nYxRXgnCfTXtqUY1otYuTlnrzE0Tn-Y0YRsW5pkRVqo/edit?usp=sharing"",""ปราจีนบุรี!L535"")"),0)</f>
        <v>0</v>
      </c>
      <c r="F63" s="77">
        <f t="shared" ca="1" si="1"/>
        <v>0</v>
      </c>
      <c r="G63" s="78">
        <f t="shared" ca="1" si="2"/>
        <v>0</v>
      </c>
      <c r="H63" s="79">
        <f t="shared" ca="1" si="61"/>
        <v>0</v>
      </c>
      <c r="I63" s="76">
        <f ca="1">IFERROR(__xludf.DUMMYFUNCTION("IMPORTRANGE(""https://docs.google.com/spreadsheets/d/1nYxRXgnCfTXtqUY1otYuTlnrzE0Tn-Y0YRsW5pkRVqo/edit?usp=sharing"",""ปราจีนบุรี!N529"")"),0)</f>
        <v>0</v>
      </c>
      <c r="J63" s="76">
        <f ca="1">IFERROR(__xludf.DUMMYFUNCTION("IMPORTRANGE(""https://docs.google.com/spreadsheets/d/1nYxRXgnCfTXtqUY1otYuTlnrzE0Tn-Y0YRsW5pkRVqo/edit?usp=sharing"",""ปราจีนบุรี!N530"")"),0)</f>
        <v>0</v>
      </c>
      <c r="K63" s="76">
        <f ca="1">IFERROR(__xludf.DUMMYFUNCTION("IMPORTRANGE(""https://docs.google.com/spreadsheets/d/1nYxRXgnCfTXtqUY1otYuTlnrzE0Tn-Y0YRsW5pkRVqo/edit?usp=sharing"",""ปราจีนบุรี!N531"")"),0)</f>
        <v>0</v>
      </c>
      <c r="L63" s="76">
        <f ca="1">IFERROR(__xludf.DUMMYFUNCTION("IMPORTRANGE(""https://docs.google.com/spreadsheets/d/1nYxRXgnCfTXtqUY1otYuTlnrzE0Tn-Y0YRsW5pkRVqo/edit?usp=sharing"",""ปราจีนบุรี!N532"")"),0)</f>
        <v>0</v>
      </c>
      <c r="M63" s="80">
        <f ca="1">IFERROR(__xludf.DUMMYFUNCTION("IMPORTRANGE(""https://docs.google.com/spreadsheets/d/1nYxRXgnCfTXtqUY1otYuTlnrzE0Tn-Y0YRsW5pkRVqo/edit?usp=sharing"",""ปราจีนบุรี!N535"")"),0)</f>
        <v>0</v>
      </c>
      <c r="N63" s="80">
        <f t="shared" ca="1" si="33"/>
        <v>0</v>
      </c>
      <c r="O63" s="81">
        <f ca="1">IFERROR(__xludf.DUMMYFUNCTION("IMPORTRANGE(""https://docs.google.com/spreadsheets/d/1nYxRXgnCfTXtqUY1otYuTlnrzE0Tn-Y0YRsW5pkRVqo/edit?usp=sharing"",""ปราจีนบุรี!I537"")"),0)</f>
        <v>0</v>
      </c>
      <c r="P63" s="81">
        <f ca="1">IFERROR(__xludf.DUMMYFUNCTION("IMPORTRANGE(""https://docs.google.com/spreadsheets/d/1nYxRXgnCfTXtqUY1otYuTlnrzE0Tn-Y0YRsW5pkRVqo/edit?usp=sharing"",""ปราจีนบุรี!J537"")"),0)</f>
        <v>0</v>
      </c>
      <c r="Q63" s="82">
        <f t="shared" ca="1" si="25"/>
        <v>0</v>
      </c>
      <c r="R63" s="81">
        <f ca="1">IFERROR(__xludf.DUMMYFUNCTION("IMPORTRANGE(""https://docs.google.com/spreadsheets/d/1nYxRXgnCfTXtqUY1otYuTlnrzE0Tn-Y0YRsW5pkRVqo/edit?usp=sharing"",""ปราจีนบุรี!I538"")"),0)</f>
        <v>0</v>
      </c>
      <c r="S63" s="81">
        <f ca="1">IFERROR(__xludf.DUMMYFUNCTION("IMPORTRANGE(""https://docs.google.com/spreadsheets/d/1nYxRXgnCfTXtqUY1otYuTlnrzE0Tn-Y0YRsW5pkRVqo/edit?usp=sharing"",""ปราจีนบุรี!J538"")"),0)</f>
        <v>0</v>
      </c>
      <c r="T63" s="82">
        <f t="shared" ca="1" si="26"/>
        <v>0</v>
      </c>
      <c r="U63" s="81">
        <f ca="1">IFERROR(__xludf.DUMMYFUNCTION("IMPORTRANGE(""https://docs.google.com/spreadsheets/d/1nYxRXgnCfTXtqUY1otYuTlnrzE0Tn-Y0YRsW5pkRVqo/edit?usp=sharing"",""ปราจีนบุรี!I539"")"),0)</f>
        <v>0</v>
      </c>
      <c r="V63" s="81">
        <f ca="1">IFERROR(__xludf.DUMMYFUNCTION("IMPORTRANGE(""https://docs.google.com/spreadsheets/d/1nYxRXgnCfTXtqUY1otYuTlnrzE0Tn-Y0YRsW5pkRVqo/edit?usp=sharing"",""ปราจีนบุรี!J539"")"),0)</f>
        <v>0</v>
      </c>
      <c r="W63" s="82">
        <f t="shared" ca="1" si="27"/>
        <v>0</v>
      </c>
      <c r="X63" s="81">
        <f ca="1">IFERROR(__xludf.DUMMYFUNCTION("IMPORTRANGE(""https://docs.google.com/spreadsheets/d/1nYxRXgnCfTXtqUY1otYuTlnrzE0Tn-Y0YRsW5pkRVqo/edit?usp=sharing"",""ปราจีนบุรี!I540"")"),0)</f>
        <v>0</v>
      </c>
      <c r="Y63" s="81">
        <f ca="1">IFERROR(__xludf.DUMMYFUNCTION("IMPORTRANGE(""https://docs.google.com/spreadsheets/d/1nYxRXgnCfTXtqUY1otYuTlnrzE0Tn-Y0YRsW5pkRVqo/edit?usp=sharing"",""ปราจีนบุรี!J540"")"),0)</f>
        <v>0</v>
      </c>
      <c r="Z63" s="82">
        <f t="shared" ca="1" si="28"/>
        <v>0</v>
      </c>
      <c r="AA63" s="234">
        <f ca="1">IFERROR(__xludf.DUMMYFUNCTION("IMPORTRANGE(""https://docs.google.com/spreadsheets/d/1nYxRXgnCfTXtqUY1otYuTlnrzE0Tn-Y0YRsW5pkRVqo/edit?usp=sharing"",""ปราจีนบุรี!I541"")"),0)</f>
        <v>0</v>
      </c>
      <c r="AB63" s="181">
        <f ca="1">IFERROR(__xludf.DUMMYFUNCTION("IMPORTRANGE(""https://docs.google.com/spreadsheets/d/1nYxRXgnCfTXtqUY1otYuTlnrzE0Tn-Y0YRsW5pkRVqo/edit?usp=sharing"",""ปราจีนบุรี!J541"")"),0)</f>
        <v>0</v>
      </c>
      <c r="AC63" s="186">
        <f t="shared" ca="1" si="29"/>
        <v>0</v>
      </c>
      <c r="AD63" s="234">
        <f ca="1">IFERROR(__xludf.DUMMYFUNCTION("IMPORTRANGE(""https://docs.google.com/spreadsheets/d/1nYxRXgnCfTXtqUY1otYuTlnrzE0Tn-Y0YRsW5pkRVqo/edit?usp=sharing"",""ปราจีนบุรี!I542"")"),0)</f>
        <v>0</v>
      </c>
      <c r="AE63" s="181">
        <f ca="1">IFERROR(__xludf.DUMMYFUNCTION("IMPORTRANGE(""https://docs.google.com/spreadsheets/d/1nYxRXgnCfTXtqUY1otYuTlnrzE0Tn-Y0YRsW5pkRVqo/edit?usp=sharing"",""ปราจีนบุรี!J542"")"),0)</f>
        <v>0</v>
      </c>
      <c r="AF63" s="186">
        <f t="shared" ca="1" si="30"/>
        <v>0</v>
      </c>
    </row>
    <row r="64" spans="1:32" ht="21" customHeight="1" x14ac:dyDescent="0.3">
      <c r="A64" s="72">
        <v>12</v>
      </c>
      <c r="B64" s="73" t="s">
        <v>81</v>
      </c>
      <c r="C64" s="74">
        <f t="shared" ca="1" si="60"/>
        <v>0</v>
      </c>
      <c r="D64" s="75">
        <f ca="1">IFERROR(__xludf.DUMMYFUNCTION("IMPORTRANGE(""https://docs.google.com/spreadsheets/d/1nNHCLO8ZAXOMfQvxux7cf_hrzPAh8FAvaHq_ClKbZNo/edit?usp=sharing"",""พระนครศรีอยุธยา!L528"")"),0)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IFERROR(__xludf.DUMMYFUNCTION("IMPORTRANGE(""https://docs.google.com/spreadsheets/d/1nNHCLO8ZAXOMfQvxux7cf_hrzPAh8FAvaHq_ClKbZNo/edit?usp=sharing"",""พระนครศรีอยุธยา!L535"")"),0)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61"/>
        <v>0</v>
      </c>
      <c r="I64" s="76">
        <f ca="1">IFERROR(__xludf.DUMMYFUNCTION("IMPORTRANGE(""https://docs.google.com/spreadsheets/d/1nNHCLO8ZAXOMfQvxux7cf_hrzPAh8FAvaHq_ClKbZNo/edit?usp=sharing"",""พระนครศรีอยุธยา!N529"")"),0)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IFERROR(__xludf.DUMMYFUNCTION("IMPORTRANGE(""https://docs.google.com/spreadsheets/d/1nNHCLO8ZAXOMfQvxux7cf_hrzPAh8FAvaHq_ClKbZNo/edit?usp=sharing"",""พระนครศรีอยุธยา!N530"")"),0)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IFERROR(__xludf.DUMMYFUNCTION("IMPORTRANGE(""https://docs.google.com/spreadsheets/d/1nNHCLO8ZAXOMfQvxux7cf_hrzPAh8FAvaHq_ClKbZNo/edit?usp=sharing"",""พระนครศรีอยุธยา!N531"")"),0)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IFERROR(__xludf.DUMMYFUNCTION("IMPORTRANGE(""https://docs.google.com/spreadsheets/d/1nNHCLO8ZAXOMfQvxux7cf_hrzPAh8FAvaHq_ClKbZNo/edit?usp=sharing"",""พระนครศรีอยุธยา!N532"")"),0)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IFERROR(__xludf.DUMMYFUNCTION("IMPORTRANGE(""https://docs.google.com/spreadsheets/d/1nNHCLO8ZAXOMfQvxux7cf_hrzPAh8FAvaHq_ClKbZNo/edit?usp=sharing"",""พระนครศรีอยุธยา!N535"")"),0)</f>
        <v>0</v>
      </c>
      <c r="N64" s="80">
        <f t="shared" ca="1" si="33"/>
        <v>0</v>
      </c>
      <c r="O64" s="81">
        <f ca="1">IFERROR(__xludf.DUMMYFUNCTION("IMPORTRANGE(""https://docs.google.com/spreadsheets/d/1nNHCLO8ZAXOMfQvxux7cf_hrzPAh8FAvaHq_ClKbZNo/edit?usp=sharing"",""พระนครศรีอยุธยา!I537"")"),0)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IFERROR(__xludf.DUMMYFUNCTION("IMPORTRANGE(""https://docs.google.com/spreadsheets/d/1nNHCLO8ZAXOMfQvxux7cf_hrzPAh8FAvaHq_ClKbZNo/edit?usp=sharing"",""พระนครศรีอยุธยา!J537"")"),0)</f>
        <v>0</v>
      </c>
      <c r="Q64" s="82">
        <f t="shared" ca="1" si="25"/>
        <v>0</v>
      </c>
      <c r="R64" s="81">
        <f ca="1">IFERROR(__xludf.DUMMYFUNCTION("IMPORTRANGE(""https://docs.google.com/spreadsheets/d/1nNHCLO8ZAXOMfQvxux7cf_hrzPAh8FAvaHq_ClKbZNo/edit?usp=sharing"",""พระนครศรีอยุธยา!I538"")"),0)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IFERROR(__xludf.DUMMYFUNCTION("IMPORTRANGE(""https://docs.google.com/spreadsheets/d/1nNHCLO8ZAXOMfQvxux7cf_hrzPAh8FAvaHq_ClKbZNo/edit?usp=sharing"",""พระนครศรีอยุธยา!J538"")"),0)</f>
        <v>0</v>
      </c>
      <c r="T64" s="82">
        <f t="shared" ca="1" si="26"/>
        <v>0</v>
      </c>
      <c r="U64" s="81">
        <f ca="1">IFERROR(__xludf.DUMMYFUNCTION("IMPORTRANGE(""https://docs.google.com/spreadsheets/d/1nNHCLO8ZAXOMfQvxux7cf_hrzPAh8FAvaHq_ClKbZNo/edit?usp=sharing"",""พระนครศรีอยุธยา!I539"")"),0)</f>
        <v>0</v>
      </c>
      <c r="V64" s="81">
        <f ca="1">IFERROR(__xludf.DUMMYFUNCTION("IMPORTRANGE(""https://docs.google.com/spreadsheets/d/1nNHCLO8ZAXOMfQvxux7cf_hrzPAh8FAvaHq_ClKbZNo/edit?usp=sharing"",""พระนครศรีอยุธยา!J539"")"),0)</f>
        <v>0</v>
      </c>
      <c r="W64" s="82">
        <f t="shared" ca="1" si="27"/>
        <v>0</v>
      </c>
      <c r="X64" s="81">
        <f ca="1">IFERROR(__xludf.DUMMYFUNCTION("IMPORTRANGE(""https://docs.google.com/spreadsheets/d/1nNHCLO8ZAXOMfQvxux7cf_hrzPAh8FAvaHq_ClKbZNo/edit?usp=sharing"",""พระนครศรีอยุธยา!I540"")"),0)</f>
        <v>0</v>
      </c>
      <c r="Y64" s="81">
        <f ca="1">IFERROR(__xludf.DUMMYFUNCTION("IMPORTRANGE(""https://docs.google.com/spreadsheets/d/1nNHCLO8ZAXOMfQvxux7cf_hrzPAh8FAvaHq_ClKbZNo/edit?usp=sharing"",""พระนครศรีอยุธยา!J540"")"),0)</f>
        <v>0</v>
      </c>
      <c r="Z64" s="82">
        <f t="shared" ca="1" si="28"/>
        <v>0</v>
      </c>
      <c r="AA64" s="234">
        <f ca="1">IFERROR(__xludf.DUMMYFUNCTION("IMPORTRANGE(""https://docs.google.com/spreadsheets/d/1nNHCLO8ZAXOMfQvxux7cf_hrzPAh8FAvaHq_ClKbZNo/edit?usp=sharing"",""พระนครศรีอยุธยา!I541"")"),0)</f>
        <v>0</v>
      </c>
      <c r="AB64" s="181">
        <f ca="1">IFERROR(__xludf.DUMMYFUNCTION("IMPORTRANGE(""https://docs.google.com/spreadsheets/d/1nNHCLO8ZAXOMfQvxux7cf_hrzPAh8FAvaHq_ClKbZNo/edit?usp=sharing"",""พระนครศรีอยุธยา!J541"")"),0)</f>
        <v>0</v>
      </c>
      <c r="AC64" s="186">
        <f t="shared" ca="1" si="29"/>
        <v>0</v>
      </c>
      <c r="AD64" s="234">
        <f ca="1">IFERROR(__xludf.DUMMYFUNCTION("IMPORTRANGE(""https://docs.google.com/spreadsheets/d/1nNHCLO8ZAXOMfQvxux7cf_hrzPAh8FAvaHq_ClKbZNo/edit?usp=sharing"",""พระนครศรีอยุธยา!I542"")"),0)</f>
        <v>0</v>
      </c>
      <c r="AE64" s="181">
        <f ca="1">IFERROR(__xludf.DUMMYFUNCTION("IMPORTRANGE(""https://docs.google.com/spreadsheets/d/1nNHCLO8ZAXOMfQvxux7cf_hrzPAh8FAvaHq_ClKbZNo/edit?usp=sharing"",""พระนครศรีอยุธยา!J542"")"),0)</f>
        <v>0</v>
      </c>
      <c r="AF64" s="186">
        <f t="shared" ca="1" si="30"/>
        <v>0</v>
      </c>
    </row>
    <row r="65" spans="1:32" ht="21" customHeight="1" x14ac:dyDescent="0.3">
      <c r="A65" s="72">
        <v>13</v>
      </c>
      <c r="B65" s="73" t="s">
        <v>82</v>
      </c>
      <c r="C65" s="74">
        <f t="shared" ca="1" si="60"/>
        <v>0</v>
      </c>
      <c r="D65" s="75">
        <f ca="1">IFERROR(__xludf.DUMMYFUNCTION("IMPORTRANGE(""https://docs.google.com/spreadsheets/d/1CdNicvf3i6yt4tJlCePe3V1Va76wYqW0QzMzTsaGRrA/edit?usp=sharing"",""เพชรบุรี!L528"")"),0)</f>
        <v>0</v>
      </c>
      <c r="E65" s="76">
        <f ca="1">IFERROR(__xludf.DUMMYFUNCTION("IMPORTRANGE(""https://docs.google.com/spreadsheets/d/1CdNicvf3i6yt4tJlCePe3V1Va76wYqW0QzMzTsaGRrA/edit?usp=sharing"",""เพชรบุรี!L535"")"),0)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61"/>
        <v>0</v>
      </c>
      <c r="I65" s="76">
        <f ca="1">IFERROR(__xludf.DUMMYFUNCTION("IMPORTRANGE(""https://docs.google.com/spreadsheets/d/1CdNicvf3i6yt4tJlCePe3V1Va76wYqW0QzMzTsaGRrA/edit?usp=sharing"",""เพชรบุรี!N529"")"),0)</f>
        <v>0</v>
      </c>
      <c r="J65" s="76">
        <f ca="1">IFERROR(__xludf.DUMMYFUNCTION("IMPORTRANGE(""https://docs.google.com/spreadsheets/d/1CdNicvf3i6yt4tJlCePe3V1Va76wYqW0QzMzTsaGRrA/edit?usp=sharing"",""เพชรบุรี!N530"")"),0)</f>
        <v>0</v>
      </c>
      <c r="K65" s="76">
        <f ca="1">IFERROR(__xludf.DUMMYFUNCTION("IMPORTRANGE(""https://docs.google.com/spreadsheets/d/1CdNicvf3i6yt4tJlCePe3V1Va76wYqW0QzMzTsaGRrA/edit?usp=sharing"",""เพชรบุรี!N531"")"),0)</f>
        <v>0</v>
      </c>
      <c r="L65" s="76">
        <f ca="1">IFERROR(__xludf.DUMMYFUNCTION("IMPORTRANGE(""https://docs.google.com/spreadsheets/d/1CdNicvf3i6yt4tJlCePe3V1Va76wYqW0QzMzTsaGRrA/edit?usp=sharing"",""เพชรบุรี!N532"")"),0)</f>
        <v>0</v>
      </c>
      <c r="M65" s="80">
        <f ca="1">IFERROR(__xludf.DUMMYFUNCTION("IMPORTRANGE(""https://docs.google.com/spreadsheets/d/1CdNicvf3i6yt4tJlCePe3V1Va76wYqW0QzMzTsaGRrA/edit?usp=sharing"",""เพชรบุรี!N535"")"),0)</f>
        <v>0</v>
      </c>
      <c r="N65" s="80">
        <f t="shared" ca="1" si="33"/>
        <v>0</v>
      </c>
      <c r="O65" s="81">
        <f ca="1">IFERROR(__xludf.DUMMYFUNCTION("IMPORTRANGE(""https://docs.google.com/spreadsheets/d/1CdNicvf3i6yt4tJlCePe3V1Va76wYqW0QzMzTsaGRrA/edit?usp=sharing"",""เพชรบุรี!I537"")"),0)</f>
        <v>0</v>
      </c>
      <c r="P65" s="81">
        <f ca="1">IFERROR(__xludf.DUMMYFUNCTION("IMPORTRANGE(""https://docs.google.com/spreadsheets/d/1CdNicvf3i6yt4tJlCePe3V1Va76wYqW0QzMzTsaGRrA/edit?usp=sharing"",""เพชรบุรี!J537"")"),0)</f>
        <v>0</v>
      </c>
      <c r="Q65" s="82">
        <f t="shared" ca="1" si="25"/>
        <v>0</v>
      </c>
      <c r="R65" s="81">
        <f ca="1">IFERROR(__xludf.DUMMYFUNCTION("IMPORTRANGE(""https://docs.google.com/spreadsheets/d/1CdNicvf3i6yt4tJlCePe3V1Va76wYqW0QzMzTsaGRrA/edit?usp=sharing"",""เพชรบุรี!I538"")"),0)</f>
        <v>0</v>
      </c>
      <c r="S65" s="81">
        <f ca="1">IFERROR(__xludf.DUMMYFUNCTION("IMPORTRANGE(""https://docs.google.com/spreadsheets/d/1CdNicvf3i6yt4tJlCePe3V1Va76wYqW0QzMzTsaGRrA/edit?usp=sharing"",""เพชรบุรี!J538"")"),0)</f>
        <v>0</v>
      </c>
      <c r="T65" s="82">
        <f t="shared" ca="1" si="26"/>
        <v>0</v>
      </c>
      <c r="U65" s="81">
        <f ca="1">IFERROR(__xludf.DUMMYFUNCTION("IMPORTRANGE(""https://docs.google.com/spreadsheets/d/1CdNicvf3i6yt4tJlCePe3V1Va76wYqW0QzMzTsaGRrA/edit?usp=sharing"",""เพชรบุรี!I539"")"),0)</f>
        <v>0</v>
      </c>
      <c r="V65" s="81">
        <f ca="1">IFERROR(__xludf.DUMMYFUNCTION("IMPORTRANGE(""https://docs.google.com/spreadsheets/d/1CdNicvf3i6yt4tJlCePe3V1Va76wYqW0QzMzTsaGRrA/edit?usp=sharing"",""เพชรบุรี!J539"")"),0)</f>
        <v>0</v>
      </c>
      <c r="W65" s="82">
        <f t="shared" ca="1" si="27"/>
        <v>0</v>
      </c>
      <c r="X65" s="81">
        <f ca="1">IFERROR(__xludf.DUMMYFUNCTION("IMPORTRANGE(""https://docs.google.com/spreadsheets/d/1CdNicvf3i6yt4tJlCePe3V1Va76wYqW0QzMzTsaGRrA/edit?usp=sharing"",""เพชรบุรี!I540"")"),0)</f>
        <v>0</v>
      </c>
      <c r="Y65" s="81">
        <f ca="1">IFERROR(__xludf.DUMMYFUNCTION("IMPORTRANGE(""https://docs.google.com/spreadsheets/d/1CdNicvf3i6yt4tJlCePe3V1Va76wYqW0QzMzTsaGRrA/edit?usp=sharing"",""เพชรบุรี!J540"")"),0)</f>
        <v>0</v>
      </c>
      <c r="Z65" s="82">
        <f t="shared" ca="1" si="28"/>
        <v>0</v>
      </c>
      <c r="AA65" s="234">
        <f ca="1">IFERROR(__xludf.DUMMYFUNCTION("IMPORTRANGE(""https://docs.google.com/spreadsheets/d/1CdNicvf3i6yt4tJlCePe3V1Va76wYqW0QzMzTsaGRrA/edit?usp=sharing"",""เพชรบุรี!I541"")"),0)</f>
        <v>0</v>
      </c>
      <c r="AB65" s="181">
        <f ca="1">IFERROR(__xludf.DUMMYFUNCTION("IMPORTRANGE(""https://docs.google.com/spreadsheets/d/1CdNicvf3i6yt4tJlCePe3V1Va76wYqW0QzMzTsaGRrA/edit?usp=sharing"",""เพชรบุรี!J541"")"),0)</f>
        <v>0</v>
      </c>
      <c r="AC65" s="186">
        <f t="shared" ca="1" si="29"/>
        <v>0</v>
      </c>
      <c r="AD65" s="234">
        <f ca="1">IFERROR(__xludf.DUMMYFUNCTION("IMPORTRANGE(""https://docs.google.com/spreadsheets/d/1CdNicvf3i6yt4tJlCePe3V1Va76wYqW0QzMzTsaGRrA/edit?usp=sharing"",""เพชรบุรี!I542"")"),0)</f>
        <v>0</v>
      </c>
      <c r="AE65" s="181">
        <f ca="1">IFERROR(__xludf.DUMMYFUNCTION("IMPORTRANGE(""https://docs.google.com/spreadsheets/d/1CdNicvf3i6yt4tJlCePe3V1Va76wYqW0QzMzTsaGRrA/edit?usp=sharing"",""เพชรบุรี!J542"")"),0)</f>
        <v>0</v>
      </c>
      <c r="AF65" s="186">
        <f t="shared" ca="1" si="30"/>
        <v>0</v>
      </c>
    </row>
    <row r="66" spans="1:32" ht="21" customHeight="1" x14ac:dyDescent="0.3">
      <c r="A66" s="72">
        <v>14</v>
      </c>
      <c r="B66" s="73" t="s">
        <v>83</v>
      </c>
      <c r="C66" s="74">
        <f t="shared" ca="1" si="60"/>
        <v>0</v>
      </c>
      <c r="D66" s="75">
        <f ca="1">IFERROR(__xludf.DUMMYFUNCTION("IMPORTRANGE(""https://docs.google.com/spreadsheets/d/1XiF77UIVHV0Kjc6xbXuOuJ10WgJYxd4p_22ngKVV5oM/edit?usp=sharing"",""ระยอง!L528"")"),0)</f>
        <v>0</v>
      </c>
      <c r="E66" s="76">
        <f ca="1">IFERROR(__xludf.DUMMYFUNCTION("IMPORTRANGE(""https://docs.google.com/spreadsheets/d/1XiF77UIVHV0Kjc6xbXuOuJ10WgJYxd4p_22ngKVV5oM/edit?usp=sharing"",""ระยอง!L535"")"),0)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61"/>
        <v>0</v>
      </c>
      <c r="I66" s="76">
        <f ca="1">IFERROR(__xludf.DUMMYFUNCTION("IMPORTRANGE(""https://docs.google.com/spreadsheets/d/1XiF77UIVHV0Kjc6xbXuOuJ10WgJYxd4p_22ngKVV5oM/edit?usp=sharing"",""ระยอง!N529"")"),0)</f>
        <v>0</v>
      </c>
      <c r="J66" s="76">
        <f ca="1">IFERROR(__xludf.DUMMYFUNCTION("IMPORTRANGE(""https://docs.google.com/spreadsheets/d/1XiF77UIVHV0Kjc6xbXuOuJ10WgJYxd4p_22ngKVV5oM/edit?usp=sharing"",""ระยอง!N530"")"),0)</f>
        <v>0</v>
      </c>
      <c r="K66" s="76">
        <f ca="1">IFERROR(__xludf.DUMMYFUNCTION("IMPORTRANGE(""https://docs.google.com/spreadsheets/d/1XiF77UIVHV0Kjc6xbXuOuJ10WgJYxd4p_22ngKVV5oM/edit?usp=sharing"",""ระยอง!N531"")"),0)</f>
        <v>0</v>
      </c>
      <c r="L66" s="76">
        <f ca="1">IFERROR(__xludf.DUMMYFUNCTION("IMPORTRANGE(""https://docs.google.com/spreadsheets/d/1XiF77UIVHV0Kjc6xbXuOuJ10WgJYxd4p_22ngKVV5oM/edit?usp=sharing"",""ระยอง!N532"")"),0)</f>
        <v>0</v>
      </c>
      <c r="M66" s="80">
        <f ca="1">IFERROR(__xludf.DUMMYFUNCTION("IMPORTRANGE(""https://docs.google.com/spreadsheets/d/1XiF77UIVHV0Kjc6xbXuOuJ10WgJYxd4p_22ngKVV5oM/edit?usp=sharing"",""ระยอง!N535"")"),0)</f>
        <v>0</v>
      </c>
      <c r="N66" s="80">
        <f t="shared" ca="1" si="33"/>
        <v>0</v>
      </c>
      <c r="O66" s="81">
        <f ca="1">IFERROR(__xludf.DUMMYFUNCTION("IMPORTRANGE(""https://docs.google.com/spreadsheets/d/1XiF77UIVHV0Kjc6xbXuOuJ10WgJYxd4p_22ngKVV5oM/edit?usp=sharing"",""ระยอง!I537"")"),0)</f>
        <v>0</v>
      </c>
      <c r="P66" s="81">
        <f ca="1">IFERROR(__xludf.DUMMYFUNCTION("IMPORTRANGE(""https://docs.google.com/spreadsheets/d/1XiF77UIVHV0Kjc6xbXuOuJ10WgJYxd4p_22ngKVV5oM/edit?usp=sharing"",""ระยอง!J537"")"),0)</f>
        <v>0</v>
      </c>
      <c r="Q66" s="82">
        <f t="shared" ca="1" si="25"/>
        <v>0</v>
      </c>
      <c r="R66" s="81">
        <f ca="1">IFERROR(__xludf.DUMMYFUNCTION("IMPORTRANGE(""https://docs.google.com/spreadsheets/d/1XiF77UIVHV0Kjc6xbXuOuJ10WgJYxd4p_22ngKVV5oM/edit?usp=sharing"",""ระยอง!I538"")"),0)</f>
        <v>0</v>
      </c>
      <c r="S66" s="81">
        <f ca="1">IFERROR(__xludf.DUMMYFUNCTION("IMPORTRANGE(""https://docs.google.com/spreadsheets/d/1XiF77UIVHV0Kjc6xbXuOuJ10WgJYxd4p_22ngKVV5oM/edit?usp=sharing"",""ระยอง!J538"")"),0)</f>
        <v>0</v>
      </c>
      <c r="T66" s="82">
        <f t="shared" ca="1" si="26"/>
        <v>0</v>
      </c>
      <c r="U66" s="81">
        <f ca="1">IFERROR(__xludf.DUMMYFUNCTION("IMPORTRANGE(""https://docs.google.com/spreadsheets/d/1XiF77UIVHV0Kjc6xbXuOuJ10WgJYxd4p_22ngKVV5oM/edit?usp=sharing"",""ระยอง!I539"")"),0)</f>
        <v>0</v>
      </c>
      <c r="V66" s="81">
        <f ca="1">IFERROR(__xludf.DUMMYFUNCTION("IMPORTRANGE(""https://docs.google.com/spreadsheets/d/1XiF77UIVHV0Kjc6xbXuOuJ10WgJYxd4p_22ngKVV5oM/edit?usp=sharing"",""ระยอง!J539"")"),0)</f>
        <v>0</v>
      </c>
      <c r="W66" s="82">
        <f t="shared" ca="1" si="27"/>
        <v>0</v>
      </c>
      <c r="X66" s="81">
        <f ca="1">IFERROR(__xludf.DUMMYFUNCTION("IMPORTRANGE(""https://docs.google.com/spreadsheets/d/1XiF77UIVHV0Kjc6xbXuOuJ10WgJYxd4p_22ngKVV5oM/edit?usp=sharing"",""ระยอง!I540"")"),0)</f>
        <v>0</v>
      </c>
      <c r="Y66" s="81">
        <f ca="1">IFERROR(__xludf.DUMMYFUNCTION("IMPORTRANGE(""https://docs.google.com/spreadsheets/d/1XiF77UIVHV0Kjc6xbXuOuJ10WgJYxd4p_22ngKVV5oM/edit?usp=sharing"",""ระยอง!J540"")"),0)</f>
        <v>0</v>
      </c>
      <c r="Z66" s="82">
        <f t="shared" ca="1" si="28"/>
        <v>0</v>
      </c>
      <c r="AA66" s="234">
        <f ca="1">IFERROR(__xludf.DUMMYFUNCTION("IMPORTRANGE(""https://docs.google.com/spreadsheets/d/1XiF77UIVHV0Kjc6xbXuOuJ10WgJYxd4p_22ngKVV5oM/edit?usp=sharing"",""ระยอง!I541"")"),0)</f>
        <v>0</v>
      </c>
      <c r="AB66" s="181">
        <f ca="1">IFERROR(__xludf.DUMMYFUNCTION("IMPORTRANGE(""https://docs.google.com/spreadsheets/d/1XiF77UIVHV0Kjc6xbXuOuJ10WgJYxd4p_22ngKVV5oM/edit?usp=sharing"",""ระยอง!J541"")"),0)</f>
        <v>0</v>
      </c>
      <c r="AC66" s="186">
        <f t="shared" ca="1" si="29"/>
        <v>0</v>
      </c>
      <c r="AD66" s="234">
        <f ca="1">IFERROR(__xludf.DUMMYFUNCTION("IMPORTRANGE(""https://docs.google.com/spreadsheets/d/1XiF77UIVHV0Kjc6xbXuOuJ10WgJYxd4p_22ngKVV5oM/edit?usp=sharing"",""ระยอง!I542"")"),0)</f>
        <v>0</v>
      </c>
      <c r="AE66" s="181">
        <f ca="1">IFERROR(__xludf.DUMMYFUNCTION("IMPORTRANGE(""https://docs.google.com/spreadsheets/d/1XiF77UIVHV0Kjc6xbXuOuJ10WgJYxd4p_22ngKVV5oM/edit?usp=sharing"",""ระยอง!J542"")"),0)</f>
        <v>0</v>
      </c>
      <c r="AF66" s="186">
        <f t="shared" ca="1" si="30"/>
        <v>0</v>
      </c>
    </row>
    <row r="67" spans="1:32" ht="21" customHeight="1" x14ac:dyDescent="0.3">
      <c r="A67" s="72">
        <v>15</v>
      </c>
      <c r="B67" s="73" t="s">
        <v>84</v>
      </c>
      <c r="C67" s="74">
        <f t="shared" ca="1" si="60"/>
        <v>0</v>
      </c>
      <c r="D67" s="75">
        <f ca="1">IFERROR(__xludf.DUMMYFUNCTION("IMPORTRANGE(""https://docs.google.com/spreadsheets/d/1qU-W_9MCQD1pgIVXGEOjCFo9QqlmJywuebyGgaN92r8/edit?usp=sharing"",""ราชบุรี!L528"")"),0)</f>
        <v>0</v>
      </c>
      <c r="E67" s="76">
        <f ca="1">IFERROR(__xludf.DUMMYFUNCTION("IMPORTRANGE(""https://docs.google.com/spreadsheets/d/1qU-W_9MCQD1pgIVXGEOjCFo9QqlmJywuebyGgaN92r8/edit?usp=sharing"",""ราชบุรี!L535"")"),0)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61"/>
        <v>0</v>
      </c>
      <c r="I67" s="76">
        <f ca="1">IFERROR(__xludf.DUMMYFUNCTION("IMPORTRANGE(""https://docs.google.com/spreadsheets/d/1qU-W_9MCQD1pgIVXGEOjCFo9QqlmJywuebyGgaN92r8/edit?usp=sharing"",""ราชบุรี!N529"")"),0)</f>
        <v>0</v>
      </c>
      <c r="J67" s="76">
        <f ca="1">IFERROR(__xludf.DUMMYFUNCTION("IMPORTRANGE(""https://docs.google.com/spreadsheets/d/1qU-W_9MCQD1pgIVXGEOjCFo9QqlmJywuebyGgaN92r8/edit?usp=sharing"",""ราชบุรี!N530"")"),0)</f>
        <v>0</v>
      </c>
      <c r="K67" s="76">
        <f ca="1">IFERROR(__xludf.DUMMYFUNCTION("IMPORTRANGE(""https://docs.google.com/spreadsheets/d/1qU-W_9MCQD1pgIVXGEOjCFo9QqlmJywuebyGgaN92r8/edit?usp=sharing"",""ราชบุรี!N531"")"),0)</f>
        <v>0</v>
      </c>
      <c r="L67" s="76">
        <f ca="1">IFERROR(__xludf.DUMMYFUNCTION("IMPORTRANGE(""https://docs.google.com/spreadsheets/d/1qU-W_9MCQD1pgIVXGEOjCFo9QqlmJywuebyGgaN92r8/edit?usp=sharing"",""ราชบุรี!N532"")"),0)</f>
        <v>0</v>
      </c>
      <c r="M67" s="80">
        <f ca="1">IFERROR(__xludf.DUMMYFUNCTION("IMPORTRANGE(""https://docs.google.com/spreadsheets/d/1qU-W_9MCQD1pgIVXGEOjCFo9QqlmJywuebyGgaN92r8/edit?usp=sharing"",""ราชบุรี!N535"")"),0)</f>
        <v>0</v>
      </c>
      <c r="N67" s="80">
        <f t="shared" ca="1" si="33"/>
        <v>0</v>
      </c>
      <c r="O67" s="81">
        <f ca="1">IFERROR(__xludf.DUMMYFUNCTION("IMPORTRANGE(""https://docs.google.com/spreadsheets/d/1qU-W_9MCQD1pgIVXGEOjCFo9QqlmJywuebyGgaN92r8/edit?usp=sharing"",""ราชบุรี!I537"")"),0)</f>
        <v>0</v>
      </c>
      <c r="P67" s="81">
        <f ca="1">IFERROR(__xludf.DUMMYFUNCTION("IMPORTRANGE(""https://docs.google.com/spreadsheets/d/1qU-W_9MCQD1pgIVXGEOjCFo9QqlmJywuebyGgaN92r8/edit?usp=sharing"",""ราชบุรี!J537"")"),0)</f>
        <v>0</v>
      </c>
      <c r="Q67" s="82">
        <f t="shared" ca="1" si="25"/>
        <v>0</v>
      </c>
      <c r="R67" s="81">
        <f ca="1">IFERROR(__xludf.DUMMYFUNCTION("IMPORTRANGE(""https://docs.google.com/spreadsheets/d/1qU-W_9MCQD1pgIVXGEOjCFo9QqlmJywuebyGgaN92r8/edit?usp=sharing"",""ราชบุรี!I538"")"),0)</f>
        <v>0</v>
      </c>
      <c r="S67" s="81">
        <f ca="1">IFERROR(__xludf.DUMMYFUNCTION("IMPORTRANGE(""https://docs.google.com/spreadsheets/d/1qU-W_9MCQD1pgIVXGEOjCFo9QqlmJywuebyGgaN92r8/edit?usp=sharing"",""ราชบุรี!J538"")"),0)</f>
        <v>0</v>
      </c>
      <c r="T67" s="82">
        <f t="shared" ca="1" si="26"/>
        <v>0</v>
      </c>
      <c r="U67" s="81">
        <f ca="1">IFERROR(__xludf.DUMMYFUNCTION("IMPORTRANGE(""https://docs.google.com/spreadsheets/d/1qU-W_9MCQD1pgIVXGEOjCFo9QqlmJywuebyGgaN92r8/edit?usp=sharing"",""ราชบุรี!I539"")"),0)</f>
        <v>0</v>
      </c>
      <c r="V67" s="81">
        <f ca="1">IFERROR(__xludf.DUMMYFUNCTION("IMPORTRANGE(""https://docs.google.com/spreadsheets/d/1qU-W_9MCQD1pgIVXGEOjCFo9QqlmJywuebyGgaN92r8/edit?usp=sharing"",""ราชบุรี!J539"")"),0)</f>
        <v>0</v>
      </c>
      <c r="W67" s="82">
        <f t="shared" ca="1" si="27"/>
        <v>0</v>
      </c>
      <c r="X67" s="81">
        <f ca="1">IFERROR(__xludf.DUMMYFUNCTION("IMPORTRANGE(""https://docs.google.com/spreadsheets/d/1qU-W_9MCQD1pgIVXGEOjCFo9QqlmJywuebyGgaN92r8/edit?usp=sharing"",""ราชบุรี!I540"")"),0)</f>
        <v>0</v>
      </c>
      <c r="Y67" s="81">
        <f ca="1">IFERROR(__xludf.DUMMYFUNCTION("IMPORTRANGE(""https://docs.google.com/spreadsheets/d/1qU-W_9MCQD1pgIVXGEOjCFo9QqlmJywuebyGgaN92r8/edit?usp=sharing"",""ราชบุรี!J540"")"),0)</f>
        <v>0</v>
      </c>
      <c r="Z67" s="82">
        <f t="shared" ca="1" si="28"/>
        <v>0</v>
      </c>
      <c r="AA67" s="234">
        <f ca="1">IFERROR(__xludf.DUMMYFUNCTION("IMPORTRANGE(""https://docs.google.com/spreadsheets/d/1qU-W_9MCQD1pgIVXGEOjCFo9QqlmJywuebyGgaN92r8/edit?usp=sharing"",""ราชบุรี!I541"")"),0)</f>
        <v>0</v>
      </c>
      <c r="AB67" s="181">
        <f ca="1">IFERROR(__xludf.DUMMYFUNCTION("IMPORTRANGE(""https://docs.google.com/spreadsheets/d/1qU-W_9MCQD1pgIVXGEOjCFo9QqlmJywuebyGgaN92r8/edit?usp=sharing"",""ราชบุรี!J541"")"),0)</f>
        <v>0</v>
      </c>
      <c r="AC67" s="186">
        <f t="shared" ca="1" si="29"/>
        <v>0</v>
      </c>
      <c r="AD67" s="234">
        <f ca="1">IFERROR(__xludf.DUMMYFUNCTION("IMPORTRANGE(""https://docs.google.com/spreadsheets/d/1qU-W_9MCQD1pgIVXGEOjCFo9QqlmJywuebyGgaN92r8/edit?usp=sharing"",""ราชบุรี!I542"")"),0)</f>
        <v>0</v>
      </c>
      <c r="AE67" s="181">
        <f ca="1">IFERROR(__xludf.DUMMYFUNCTION("IMPORTRANGE(""https://docs.google.com/spreadsheets/d/1qU-W_9MCQD1pgIVXGEOjCFo9QqlmJywuebyGgaN92r8/edit?usp=sharing"",""ราชบุรี!J542"")"),0)</f>
        <v>0</v>
      </c>
      <c r="AF67" s="186">
        <f t="shared" ca="1" si="30"/>
        <v>0</v>
      </c>
    </row>
    <row r="68" spans="1:32" ht="24" customHeight="1" x14ac:dyDescent="0.3">
      <c r="A68" s="72">
        <v>16</v>
      </c>
      <c r="B68" s="73" t="s">
        <v>85</v>
      </c>
      <c r="C68" s="74">
        <f t="shared" ca="1" si="60"/>
        <v>0</v>
      </c>
      <c r="D68" s="75">
        <f ca="1">IFERROR(__xludf.DUMMYFUNCTION("IMPORTRANGE(""https://docs.google.com/spreadsheets/d/1xYFIxIM_CspAP5Q-5Zx_V0T_Ut3cjryrjd2hss28vGk/edit?usp=sharing"",""ลพบุรี!L528"")"),0)</f>
        <v>0</v>
      </c>
      <c r="E68" s="76">
        <f ca="1">IFERROR(__xludf.DUMMYFUNCTION("IMPORTRANGE(""https://docs.google.com/spreadsheets/d/1xYFIxIM_CspAP5Q-5Zx_V0T_Ut3cjryrjd2hss28vGk/edit?usp=sharing"",""ลพบุรี!L535"")"),0)</f>
        <v>0</v>
      </c>
      <c r="F68" s="77">
        <f t="shared" ca="1" si="1"/>
        <v>0</v>
      </c>
      <c r="G68" s="78">
        <f t="shared" ca="1" si="2"/>
        <v>0</v>
      </c>
      <c r="H68" s="79">
        <f t="shared" ca="1" si="61"/>
        <v>0</v>
      </c>
      <c r="I68" s="76">
        <f ca="1">IFERROR(__xludf.DUMMYFUNCTION("IMPORTRANGE(""https://docs.google.com/spreadsheets/d/1xYFIxIM_CspAP5Q-5Zx_V0T_Ut3cjryrjd2hss28vGk/edit?usp=sharing"",""ลพบุรี!N529"")"),0)</f>
        <v>0</v>
      </c>
      <c r="J68" s="76">
        <f ca="1">IFERROR(__xludf.DUMMYFUNCTION("IMPORTRANGE(""https://docs.google.com/spreadsheets/d/1xYFIxIM_CspAP5Q-5Zx_V0T_Ut3cjryrjd2hss28vGk/edit?usp=sharing"",""ลพบุรี!N530"")"),0)</f>
        <v>0</v>
      </c>
      <c r="K68" s="76">
        <f ca="1">IFERROR(__xludf.DUMMYFUNCTION("IMPORTRANGE(""https://docs.google.com/spreadsheets/d/1xYFIxIM_CspAP5Q-5Zx_V0T_Ut3cjryrjd2hss28vGk/edit?usp=sharing"",""ลพบุรี!N531"")"),0)</f>
        <v>0</v>
      </c>
      <c r="L68" s="76">
        <f ca="1">IFERROR(__xludf.DUMMYFUNCTION("IMPORTRANGE(""https://docs.google.com/spreadsheets/d/1xYFIxIM_CspAP5Q-5Zx_V0T_Ut3cjryrjd2hss28vGk/edit?usp=sharing"",""ลพบุรี!N532"")"),0)</f>
        <v>0</v>
      </c>
      <c r="M68" s="80">
        <f ca="1">IFERROR(__xludf.DUMMYFUNCTION("IMPORTRANGE(""https://docs.google.com/spreadsheets/d/1xYFIxIM_CspAP5Q-5Zx_V0T_Ut3cjryrjd2hss28vGk/edit?usp=sharing"",""ลพบุรี!N535"")"),0)</f>
        <v>0</v>
      </c>
      <c r="N68" s="80">
        <f t="shared" ca="1" si="33"/>
        <v>0</v>
      </c>
      <c r="O68" s="81">
        <f ca="1">IFERROR(__xludf.DUMMYFUNCTION("IMPORTRANGE(""https://docs.google.com/spreadsheets/d/1xYFIxIM_CspAP5Q-5Zx_V0T_Ut3cjryrjd2hss28vGk/edit?usp=sharing"",""ลพบุรี!I537"")"),0)</f>
        <v>0</v>
      </c>
      <c r="P68" s="81">
        <f ca="1">IFERROR(__xludf.DUMMYFUNCTION("IMPORTRANGE(""https://docs.google.com/spreadsheets/d/1xYFIxIM_CspAP5Q-5Zx_V0T_Ut3cjryrjd2hss28vGk/edit?usp=sharing"",""ลพบุรี!J537"")"),0)</f>
        <v>0</v>
      </c>
      <c r="Q68" s="82">
        <f t="shared" ca="1" si="25"/>
        <v>0</v>
      </c>
      <c r="R68" s="81">
        <f ca="1">IFERROR(__xludf.DUMMYFUNCTION("IMPORTRANGE(""https://docs.google.com/spreadsheets/d/1xYFIxIM_CspAP5Q-5Zx_V0T_Ut3cjryrjd2hss28vGk/edit?usp=sharing"",""ลพบุรี!I538"")"),0)</f>
        <v>0</v>
      </c>
      <c r="S68" s="81">
        <f ca="1">IFERROR(__xludf.DUMMYFUNCTION("IMPORTRANGE(""https://docs.google.com/spreadsheets/d/1xYFIxIM_CspAP5Q-5Zx_V0T_Ut3cjryrjd2hss28vGk/edit?usp=sharing"",""ลพบุรี!J538"")"),0)</f>
        <v>0</v>
      </c>
      <c r="T68" s="82">
        <f t="shared" ca="1" si="26"/>
        <v>0</v>
      </c>
      <c r="U68" s="81">
        <f ca="1">IFERROR(__xludf.DUMMYFUNCTION("IMPORTRANGE(""https://docs.google.com/spreadsheets/d/1xYFIxIM_CspAP5Q-5Zx_V0T_Ut3cjryrjd2hss28vGk/edit?usp=sharing"",""ลพบุรี!I539"")"),0)</f>
        <v>0</v>
      </c>
      <c r="V68" s="81">
        <f ca="1">IFERROR(__xludf.DUMMYFUNCTION("IMPORTRANGE(""https://docs.google.com/spreadsheets/d/1xYFIxIM_CspAP5Q-5Zx_V0T_Ut3cjryrjd2hss28vGk/edit?usp=sharing"",""ลพบุรี!J539"")"),0)</f>
        <v>0</v>
      </c>
      <c r="W68" s="82">
        <f t="shared" ca="1" si="27"/>
        <v>0</v>
      </c>
      <c r="X68" s="81">
        <f ca="1">IFERROR(__xludf.DUMMYFUNCTION("IMPORTRANGE(""https://docs.google.com/spreadsheets/d/1xYFIxIM_CspAP5Q-5Zx_V0T_Ut3cjryrjd2hss28vGk/edit?usp=sharing"",""ลพบุรี!I540"")"),0)</f>
        <v>0</v>
      </c>
      <c r="Y68" s="81">
        <f ca="1">IFERROR(__xludf.DUMMYFUNCTION("IMPORTRANGE(""https://docs.google.com/spreadsheets/d/1xYFIxIM_CspAP5Q-5Zx_V0T_Ut3cjryrjd2hss28vGk/edit?usp=sharing"",""ลพบุรี!J540"")"),0)</f>
        <v>0</v>
      </c>
      <c r="Z68" s="82">
        <f t="shared" ca="1" si="28"/>
        <v>0</v>
      </c>
      <c r="AA68" s="234">
        <f ca="1">IFERROR(__xludf.DUMMYFUNCTION("IMPORTRANGE(""https://docs.google.com/spreadsheets/d/1xYFIxIM_CspAP5Q-5Zx_V0T_Ut3cjryrjd2hss28vGk/edit?usp=sharing"",""ลพบุรี!I541"")"),0)</f>
        <v>0</v>
      </c>
      <c r="AB68" s="181">
        <f ca="1">IFERROR(__xludf.DUMMYFUNCTION("IMPORTRANGE(""https://docs.google.com/spreadsheets/d/1xYFIxIM_CspAP5Q-5Zx_V0T_Ut3cjryrjd2hss28vGk/edit?usp=sharing"",""ลพบุรี!J541"")"),0)</f>
        <v>0</v>
      </c>
      <c r="AC68" s="186">
        <f t="shared" ca="1" si="29"/>
        <v>0</v>
      </c>
      <c r="AD68" s="234">
        <f ca="1">IFERROR(__xludf.DUMMYFUNCTION("IMPORTRANGE(""https://docs.google.com/spreadsheets/d/1xYFIxIM_CspAP5Q-5Zx_V0T_Ut3cjryrjd2hss28vGk/edit?usp=sharing"",""ลพบุรี!I542"")"),0)</f>
        <v>0</v>
      </c>
      <c r="AE68" s="181">
        <f ca="1">IFERROR(__xludf.DUMMYFUNCTION("IMPORTRANGE(""https://docs.google.com/spreadsheets/d/1xYFIxIM_CspAP5Q-5Zx_V0T_Ut3cjryrjd2hss28vGk/edit?usp=sharing"",""ลพบุรี!J542"")"),0)</f>
        <v>0</v>
      </c>
      <c r="AF68" s="186">
        <f t="shared" ca="1" si="30"/>
        <v>0</v>
      </c>
    </row>
    <row r="69" spans="1:32" ht="21" customHeight="1" x14ac:dyDescent="0.3">
      <c r="A69" s="72">
        <v>17</v>
      </c>
      <c r="B69" s="73" t="s">
        <v>86</v>
      </c>
      <c r="C69" s="74">
        <f t="shared" ca="1" si="60"/>
        <v>427460</v>
      </c>
      <c r="D69" s="75">
        <f ca="1">IFERROR(__xludf.DUMMYFUNCTION("IMPORTRANGE(""https://docs.google.com/spreadsheets/d/11s9m3tKsCBdPWq6syhZm27eBGbKneDLZc75co106bio/edit?usp=sharing"",""สระแก้ว!L528"")"),427460)</f>
        <v>427460</v>
      </c>
      <c r="E69" s="76">
        <f ca="1">IFERROR(__xludf.DUMMYFUNCTION("IMPORTRANGE(""https://docs.google.com/spreadsheets/d/11s9m3tKsCBdPWq6syhZm27eBGbKneDLZc75co106bio/edit?usp=sharing"",""สระแก้ว!L535"")"),0)</f>
        <v>0</v>
      </c>
      <c r="F69" s="77">
        <f t="shared" ca="1" si="1"/>
        <v>60390</v>
      </c>
      <c r="G69" s="78">
        <f t="shared" ca="1" si="2"/>
        <v>14.127637673700463</v>
      </c>
      <c r="H69" s="79">
        <f t="shared" ca="1" si="61"/>
        <v>60390</v>
      </c>
      <c r="I69" s="76">
        <f ca="1">IFERROR(__xludf.DUMMYFUNCTION("IMPORTRANGE(""https://docs.google.com/spreadsheets/d/11s9m3tKsCBdPWq6syhZm27eBGbKneDLZc75co106bio/edit?usp=sharing"",""สระแก้ว!N529"")"),52600)</f>
        <v>52600</v>
      </c>
      <c r="J69" s="76">
        <f ca="1">IFERROR(__xludf.DUMMYFUNCTION("IMPORTRANGE(""https://docs.google.com/spreadsheets/d/11s9m3tKsCBdPWq6syhZm27eBGbKneDLZc75co106bio/edit?usp=sharing"",""สระแก้ว!N530"")"),0)</f>
        <v>0</v>
      </c>
      <c r="K69" s="76">
        <f ca="1">IFERROR(__xludf.DUMMYFUNCTION("IMPORTRANGE(""https://docs.google.com/spreadsheets/d/11s9m3tKsCBdPWq6syhZm27eBGbKneDLZc75co106bio/edit?usp=sharing"",""สระแก้ว!N531"")"),0)</f>
        <v>0</v>
      </c>
      <c r="L69" s="76">
        <f ca="1">IFERROR(__xludf.DUMMYFUNCTION("IMPORTRANGE(""https://docs.google.com/spreadsheets/d/11s9m3tKsCBdPWq6syhZm27eBGbKneDLZc75co106bio/edit?usp=sharing"",""สระแก้ว!N532"")"),7790)</f>
        <v>7790</v>
      </c>
      <c r="M69" s="80">
        <f ca="1">IFERROR(__xludf.DUMMYFUNCTION("IMPORTRANGE(""https://docs.google.com/spreadsheets/d/11s9m3tKsCBdPWq6syhZm27eBGbKneDLZc75co106bio/edit?usp=sharing"",""สระแก้ว!N535"")"),0)</f>
        <v>0</v>
      </c>
      <c r="N69" s="80">
        <f t="shared" ca="1" si="33"/>
        <v>0</v>
      </c>
      <c r="O69" s="81">
        <f ca="1">IFERROR(__xludf.DUMMYFUNCTION("IMPORTRANGE(""https://docs.google.com/spreadsheets/d/11s9m3tKsCBdPWq6syhZm27eBGbKneDLZc75co106bio/edit?usp=sharing"",""สระแก้ว!I537"")"),50)</f>
        <v>50</v>
      </c>
      <c r="P69" s="81">
        <f ca="1">IFERROR(__xludf.DUMMYFUNCTION("IMPORTRANGE(""https://docs.google.com/spreadsheets/d/11s9m3tKsCBdPWq6syhZm27eBGbKneDLZc75co106bio/edit?usp=sharing"",""สระแก้ว!J537"")"),0)</f>
        <v>0</v>
      </c>
      <c r="Q69" s="82">
        <f t="shared" ca="1" si="25"/>
        <v>0</v>
      </c>
      <c r="R69" s="81">
        <f ca="1">IFERROR(__xludf.DUMMYFUNCTION("IMPORTRANGE(""https://docs.google.com/spreadsheets/d/11s9m3tKsCBdPWq6syhZm27eBGbKneDLZc75co106bio/edit?usp=sharing"",""สระแก้ว!I538"")"),50)</f>
        <v>50</v>
      </c>
      <c r="S69" s="81">
        <f ca="1">IFERROR(__xludf.DUMMYFUNCTION("IMPORTRANGE(""https://docs.google.com/spreadsheets/d/11s9m3tKsCBdPWq6syhZm27eBGbKneDLZc75co106bio/edit?usp=sharing"",""สระแก้ว!J538"")"),50)</f>
        <v>50</v>
      </c>
      <c r="T69" s="82">
        <f t="shared" ca="1" si="26"/>
        <v>100</v>
      </c>
      <c r="U69" s="81">
        <f ca="1">IFERROR(__xludf.DUMMYFUNCTION("IMPORTRANGE(""https://docs.google.com/spreadsheets/d/11s9m3tKsCBdPWq6syhZm27eBGbKneDLZc75co106bio/edit?usp=sharing"",""สระแก้ว!I539"")"),0)</f>
        <v>0</v>
      </c>
      <c r="V69" s="81">
        <f ca="1">IFERROR(__xludf.DUMMYFUNCTION("IMPORTRANGE(""https://docs.google.com/spreadsheets/d/11s9m3tKsCBdPWq6syhZm27eBGbKneDLZc75co106bio/edit?usp=sharing"",""สระแก้ว!J539"")"),0)</f>
        <v>0</v>
      </c>
      <c r="W69" s="82">
        <f t="shared" ca="1" si="27"/>
        <v>0</v>
      </c>
      <c r="X69" s="81">
        <f ca="1">IFERROR(__xludf.DUMMYFUNCTION("IMPORTRANGE(""https://docs.google.com/spreadsheets/d/11s9m3tKsCBdPWq6syhZm27eBGbKneDLZc75co106bio/edit?usp=sharing"",""สระแก้ว!I540"")"),0)</f>
        <v>0</v>
      </c>
      <c r="Y69" s="81">
        <f ca="1">IFERROR(__xludf.DUMMYFUNCTION("IMPORTRANGE(""https://docs.google.com/spreadsheets/d/11s9m3tKsCBdPWq6syhZm27eBGbKneDLZc75co106bio/edit?usp=sharing"",""สระแก้ว!J540"")"),0)</f>
        <v>0</v>
      </c>
      <c r="Z69" s="82">
        <f t="shared" ca="1" si="28"/>
        <v>0</v>
      </c>
      <c r="AA69" s="234">
        <f ca="1">IFERROR(__xludf.DUMMYFUNCTION("IMPORTRANGE(""https://docs.google.com/spreadsheets/d/11s9m3tKsCBdPWq6syhZm27eBGbKneDLZc75co106bio/edit?usp=sharing"",""สระแก้ว!I541"")"),50)</f>
        <v>50</v>
      </c>
      <c r="AB69" s="181">
        <f ca="1">IFERROR(__xludf.DUMMYFUNCTION("IMPORTRANGE(""https://docs.google.com/spreadsheets/d/11s9m3tKsCBdPWq6syhZm27eBGbKneDLZc75co106bio/edit?usp=sharing"",""สระแก้ว!J541"")"),0)</f>
        <v>0</v>
      </c>
      <c r="AC69" s="186">
        <f t="shared" ca="1" si="29"/>
        <v>0</v>
      </c>
      <c r="AD69" s="234">
        <f ca="1">IFERROR(__xludf.DUMMYFUNCTION("IMPORTRANGE(""https://docs.google.com/spreadsheets/d/11s9m3tKsCBdPWq6syhZm27eBGbKneDLZc75co106bio/edit?usp=sharing"",""สระแก้ว!I542"")"),50)</f>
        <v>50</v>
      </c>
      <c r="AE69" s="181">
        <f ca="1">IFERROR(__xludf.DUMMYFUNCTION("IMPORTRANGE(""https://docs.google.com/spreadsheets/d/11s9m3tKsCBdPWq6syhZm27eBGbKneDLZc75co106bio/edit?usp=sharing"",""สระแก้ว!J542"")"),0)</f>
        <v>0</v>
      </c>
      <c r="AF69" s="186">
        <f t="shared" ca="1" si="30"/>
        <v>0</v>
      </c>
    </row>
    <row r="70" spans="1:32" ht="21" customHeight="1" x14ac:dyDescent="0.3">
      <c r="A70" s="72">
        <v>18</v>
      </c>
      <c r="B70" s="73" t="s">
        <v>87</v>
      </c>
      <c r="C70" s="74">
        <f t="shared" ca="1" si="60"/>
        <v>0</v>
      </c>
      <c r="D70" s="75">
        <f ca="1">IFERROR(__xludf.DUMMYFUNCTION("IMPORTRANGE(""https://docs.google.com/spreadsheets/d/1Nn1EvsFPtXldgpgVb3Rcng2K2cls68LFQsBh2FyW0Bg/edit?usp=sharing"",""สระบุรี!L528"")"),0)</f>
        <v>0</v>
      </c>
      <c r="E70" s="76">
        <f ca="1">IFERROR(__xludf.DUMMYFUNCTION("IMPORTRANGE(""https://docs.google.com/spreadsheets/d/1Nn1EvsFPtXldgpgVb3Rcng2K2cls68LFQsBh2FyW0Bg/edit?usp=sharing"",""สระบุรี!L535"")"),0)</f>
        <v>0</v>
      </c>
      <c r="F70" s="77">
        <f t="shared" ca="1" si="1"/>
        <v>0</v>
      </c>
      <c r="G70" s="78">
        <f t="shared" ca="1" si="2"/>
        <v>0</v>
      </c>
      <c r="H70" s="79">
        <f t="shared" ca="1" si="61"/>
        <v>0</v>
      </c>
      <c r="I70" s="76">
        <f ca="1">IFERROR(__xludf.DUMMYFUNCTION("IMPORTRANGE(""https://docs.google.com/spreadsheets/d/1Nn1EvsFPtXldgpgVb3Rcng2K2cls68LFQsBh2FyW0Bg/edit?usp=sharing"",""สระบุรี!N529"")"),0)</f>
        <v>0</v>
      </c>
      <c r="J70" s="76">
        <f ca="1">IFERROR(__xludf.DUMMYFUNCTION("IMPORTRANGE(""https://docs.google.com/spreadsheets/d/1Nn1EvsFPtXldgpgVb3Rcng2K2cls68LFQsBh2FyW0Bg/edit?usp=sharing"",""สระบุรี!N530"")"),0)</f>
        <v>0</v>
      </c>
      <c r="K70" s="76">
        <f ca="1">IFERROR(__xludf.DUMMYFUNCTION("IMPORTRANGE(""https://docs.google.com/spreadsheets/d/1Nn1EvsFPtXldgpgVb3Rcng2K2cls68LFQsBh2FyW0Bg/edit?usp=sharing"",""สระบุรี!N531"")"),0)</f>
        <v>0</v>
      </c>
      <c r="L70" s="76">
        <f ca="1">IFERROR(__xludf.DUMMYFUNCTION("IMPORTRANGE(""https://docs.google.com/spreadsheets/d/1Nn1EvsFPtXldgpgVb3Rcng2K2cls68LFQsBh2FyW0Bg/edit?usp=sharing"",""สระบุรี!N532"")"),0)</f>
        <v>0</v>
      </c>
      <c r="M70" s="80">
        <f ca="1">IFERROR(__xludf.DUMMYFUNCTION("IMPORTRANGE(""https://docs.google.com/spreadsheets/d/1Nn1EvsFPtXldgpgVb3Rcng2K2cls68LFQsBh2FyW0Bg/edit?usp=sharing"",""สระบุรี!N535"")"),0)</f>
        <v>0</v>
      </c>
      <c r="N70" s="80">
        <f t="shared" ca="1" si="33"/>
        <v>0</v>
      </c>
      <c r="O70" s="81">
        <f ca="1">IFERROR(__xludf.DUMMYFUNCTION("IMPORTRANGE(""https://docs.google.com/spreadsheets/d/1Nn1EvsFPtXldgpgVb3Rcng2K2cls68LFQsBh2FyW0Bg/edit?usp=sharing"",""สระบุรี!I537"")"),0)</f>
        <v>0</v>
      </c>
      <c r="P70" s="81">
        <f ca="1">IFERROR(__xludf.DUMMYFUNCTION("IMPORTRANGE(""https://docs.google.com/spreadsheets/d/1Nn1EvsFPtXldgpgVb3Rcng2K2cls68LFQsBh2FyW0Bg/edit?usp=sharing"",""สระบุรี!J537"")"),0)</f>
        <v>0</v>
      </c>
      <c r="Q70" s="82">
        <f t="shared" ca="1" si="25"/>
        <v>0</v>
      </c>
      <c r="R70" s="81">
        <f ca="1">IFERROR(__xludf.DUMMYFUNCTION("IMPORTRANGE(""https://docs.google.com/spreadsheets/d/1Nn1EvsFPtXldgpgVb3Rcng2K2cls68LFQsBh2FyW0Bg/edit?usp=sharing"",""สระบุรี!I538"")"),0)</f>
        <v>0</v>
      </c>
      <c r="S70" s="81">
        <f ca="1">IFERROR(__xludf.DUMMYFUNCTION("IMPORTRANGE(""https://docs.google.com/spreadsheets/d/1Nn1EvsFPtXldgpgVb3Rcng2K2cls68LFQsBh2FyW0Bg/edit?usp=sharing"",""สระบุรี!J538"")"),0)</f>
        <v>0</v>
      </c>
      <c r="T70" s="82">
        <f t="shared" ca="1" si="26"/>
        <v>0</v>
      </c>
      <c r="U70" s="81">
        <f ca="1">IFERROR(__xludf.DUMMYFUNCTION("IMPORTRANGE(""https://docs.google.com/spreadsheets/d/1Nn1EvsFPtXldgpgVb3Rcng2K2cls68LFQsBh2FyW0Bg/edit?usp=sharing"",""สระบุรี!I539"")"),0)</f>
        <v>0</v>
      </c>
      <c r="V70" s="81">
        <f ca="1">IFERROR(__xludf.DUMMYFUNCTION("IMPORTRANGE(""https://docs.google.com/spreadsheets/d/1Nn1EvsFPtXldgpgVb3Rcng2K2cls68LFQsBh2FyW0Bg/edit?usp=sharing"",""สระบุรี!J539"")"),0)</f>
        <v>0</v>
      </c>
      <c r="W70" s="82">
        <f t="shared" ca="1" si="27"/>
        <v>0</v>
      </c>
      <c r="X70" s="81">
        <f ca="1">IFERROR(__xludf.DUMMYFUNCTION("IMPORTRANGE(""https://docs.google.com/spreadsheets/d/1Nn1EvsFPtXldgpgVb3Rcng2K2cls68LFQsBh2FyW0Bg/edit?usp=sharing"",""สระบุรี!I540"")"),0)</f>
        <v>0</v>
      </c>
      <c r="Y70" s="81">
        <f ca="1">IFERROR(__xludf.DUMMYFUNCTION("IMPORTRANGE(""https://docs.google.com/spreadsheets/d/1Nn1EvsFPtXldgpgVb3Rcng2K2cls68LFQsBh2FyW0Bg/edit?usp=sharing"",""สระบุรี!J540"")"),0)</f>
        <v>0</v>
      </c>
      <c r="Z70" s="82">
        <f t="shared" ca="1" si="28"/>
        <v>0</v>
      </c>
      <c r="AA70" s="234">
        <f ca="1">IFERROR(__xludf.DUMMYFUNCTION("IMPORTRANGE(""https://docs.google.com/spreadsheets/d/1Nn1EvsFPtXldgpgVb3Rcng2K2cls68LFQsBh2FyW0Bg/edit?usp=sharing"",""สระบุรี!I541"")"),0)</f>
        <v>0</v>
      </c>
      <c r="AB70" s="181">
        <f ca="1">IFERROR(__xludf.DUMMYFUNCTION("IMPORTRANGE(""https://docs.google.com/spreadsheets/d/1Nn1EvsFPtXldgpgVb3Rcng2K2cls68LFQsBh2FyW0Bg/edit?usp=sharing"",""สระบุรี!J541"")"),0)</f>
        <v>0</v>
      </c>
      <c r="AC70" s="186">
        <f t="shared" ca="1" si="29"/>
        <v>0</v>
      </c>
      <c r="AD70" s="234">
        <f ca="1">IFERROR(__xludf.DUMMYFUNCTION("IMPORTRANGE(""https://docs.google.com/spreadsheets/d/1Nn1EvsFPtXldgpgVb3Rcng2K2cls68LFQsBh2FyW0Bg/edit?usp=sharing"",""สระบุรี!I542"")"),0)</f>
        <v>0</v>
      </c>
      <c r="AE70" s="181">
        <f ca="1">IFERROR(__xludf.DUMMYFUNCTION("IMPORTRANGE(""https://docs.google.com/spreadsheets/d/1Nn1EvsFPtXldgpgVb3Rcng2K2cls68LFQsBh2FyW0Bg/edit?usp=sharing"",""สระบุรี!J542"")"),0)</f>
        <v>0</v>
      </c>
      <c r="AF70" s="186">
        <f t="shared" ca="1" si="30"/>
        <v>0</v>
      </c>
    </row>
    <row r="71" spans="1:32" ht="21" customHeight="1" x14ac:dyDescent="0.3">
      <c r="A71" s="72">
        <v>19</v>
      </c>
      <c r="B71" s="73" t="s">
        <v>88</v>
      </c>
      <c r="C71" s="74">
        <f t="shared" ca="1" si="60"/>
        <v>0</v>
      </c>
      <c r="D71" s="75">
        <f ca="1">IFERROR(__xludf.DUMMYFUNCTION("IMPORTRANGE(""https://docs.google.com/spreadsheets/d/149xufxukrnEciK3WPbNpHwUK8BKEJxp3UcBG3Al6dA4/edit?usp=sharing"",""สิงห์บุรี!L528"")"),0)</f>
        <v>0</v>
      </c>
      <c r="E71" s="76">
        <f ca="1">IFERROR(__xludf.DUMMYFUNCTION("IMPORTRANGE(""https://docs.google.com/spreadsheets/d/149xufxukrnEciK3WPbNpHwUK8BKEJxp3UcBG3Al6dA4/edit?usp=sharing"",""สิงห์บุรี!L535"")"),0)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61"/>
        <v>0</v>
      </c>
      <c r="I71" s="76">
        <f ca="1">IFERROR(__xludf.DUMMYFUNCTION("IMPORTRANGE(""https://docs.google.com/spreadsheets/d/149xufxukrnEciK3WPbNpHwUK8BKEJxp3UcBG3Al6dA4/edit?usp=sharing"",""สิงห์บุรี!N529"")"),0)</f>
        <v>0</v>
      </c>
      <c r="J71" s="76">
        <f ca="1">IFERROR(__xludf.DUMMYFUNCTION("IMPORTRANGE(""https://docs.google.com/spreadsheets/d/149xufxukrnEciK3WPbNpHwUK8BKEJxp3UcBG3Al6dA4/edit?usp=sharing"",""สิงห์บุรี!N530"")"),0)</f>
        <v>0</v>
      </c>
      <c r="K71" s="76">
        <f ca="1">IFERROR(__xludf.DUMMYFUNCTION("IMPORTRANGE(""https://docs.google.com/spreadsheets/d/149xufxukrnEciK3WPbNpHwUK8BKEJxp3UcBG3Al6dA4/edit?usp=sharing"",""สิงห์บุรี!N531"")"),0)</f>
        <v>0</v>
      </c>
      <c r="L71" s="76">
        <f ca="1">IFERROR(__xludf.DUMMYFUNCTION("IMPORTRANGE(""https://docs.google.com/spreadsheets/d/149xufxukrnEciK3WPbNpHwUK8BKEJxp3UcBG3Al6dA4/edit?usp=sharing"",""สิงห์บุรี!N532"")"),0)</f>
        <v>0</v>
      </c>
      <c r="M71" s="80">
        <f ca="1">IFERROR(__xludf.DUMMYFUNCTION("IMPORTRANGE(""https://docs.google.com/spreadsheets/d/149xufxukrnEciK3WPbNpHwUK8BKEJxp3UcBG3Al6dA4/edit?usp=sharing"",""สิงห์บุรี!N535"")"),0)</f>
        <v>0</v>
      </c>
      <c r="N71" s="80">
        <f t="shared" ca="1" si="33"/>
        <v>0</v>
      </c>
      <c r="O71" s="81">
        <f ca="1">IFERROR(__xludf.DUMMYFUNCTION("IMPORTRANGE(""https://docs.google.com/spreadsheets/d/149xufxukrnEciK3WPbNpHwUK8BKEJxp3UcBG3Al6dA4/edit?usp=sharing"",""สิงห์บุรี!I537"")"),0)</f>
        <v>0</v>
      </c>
      <c r="P71" s="81">
        <f ca="1">IFERROR(__xludf.DUMMYFUNCTION("IMPORTRANGE(""https://docs.google.com/spreadsheets/d/149xufxukrnEciK3WPbNpHwUK8BKEJxp3UcBG3Al6dA4/edit?usp=sharing"",""สิงห์บุรี!J537"")"),0)</f>
        <v>0</v>
      </c>
      <c r="Q71" s="82">
        <f t="shared" ca="1" si="25"/>
        <v>0</v>
      </c>
      <c r="R71" s="81">
        <f ca="1">IFERROR(__xludf.DUMMYFUNCTION("IMPORTRANGE(""https://docs.google.com/spreadsheets/d/149xufxukrnEciK3WPbNpHwUK8BKEJxp3UcBG3Al6dA4/edit?usp=sharing"",""สิงห์บุรี!I538"")"),0)</f>
        <v>0</v>
      </c>
      <c r="S71" s="81">
        <f ca="1">IFERROR(__xludf.DUMMYFUNCTION("IMPORTRANGE(""https://docs.google.com/spreadsheets/d/149xufxukrnEciK3WPbNpHwUK8BKEJxp3UcBG3Al6dA4/edit?usp=sharing"",""สิงห์บุรี!J538"")"),0)</f>
        <v>0</v>
      </c>
      <c r="T71" s="82">
        <f t="shared" ca="1" si="26"/>
        <v>0</v>
      </c>
      <c r="U71" s="81">
        <f ca="1">IFERROR(__xludf.DUMMYFUNCTION("IMPORTRANGE(""https://docs.google.com/spreadsheets/d/149xufxukrnEciK3WPbNpHwUK8BKEJxp3UcBG3Al6dA4/edit?usp=sharing"",""สิงห์บุรี!I539"")"),0)</f>
        <v>0</v>
      </c>
      <c r="V71" s="81">
        <f ca="1">IFERROR(__xludf.DUMMYFUNCTION("IMPORTRANGE(""https://docs.google.com/spreadsheets/d/149xufxukrnEciK3WPbNpHwUK8BKEJxp3UcBG3Al6dA4/edit?usp=sharing"",""สิงห์บุรี!J539"")"),0)</f>
        <v>0</v>
      </c>
      <c r="W71" s="82">
        <f t="shared" ca="1" si="27"/>
        <v>0</v>
      </c>
      <c r="X71" s="81">
        <f ca="1">IFERROR(__xludf.DUMMYFUNCTION("IMPORTRANGE(""https://docs.google.com/spreadsheets/d/149xufxukrnEciK3WPbNpHwUK8BKEJxp3UcBG3Al6dA4/edit?usp=sharing"",""สิงห์บุรี!I540"")"),0)</f>
        <v>0</v>
      </c>
      <c r="Y71" s="81">
        <f ca="1">IFERROR(__xludf.DUMMYFUNCTION("IMPORTRANGE(""https://docs.google.com/spreadsheets/d/149xufxukrnEciK3WPbNpHwUK8BKEJxp3UcBG3Al6dA4/edit?usp=sharing"",""สิงห์บุรี!J540"")"),0)</f>
        <v>0</v>
      </c>
      <c r="Z71" s="82">
        <f t="shared" ca="1" si="28"/>
        <v>0</v>
      </c>
      <c r="AA71" s="234">
        <f ca="1">IFERROR(__xludf.DUMMYFUNCTION("IMPORTRANGE(""https://docs.google.com/spreadsheets/d/149xufxukrnEciK3WPbNpHwUK8BKEJxp3UcBG3Al6dA4/edit?usp=sharing"",""สิงห์บุรี!I541"")"),0)</f>
        <v>0</v>
      </c>
      <c r="AB71" s="181">
        <f ca="1">IFERROR(__xludf.DUMMYFUNCTION("IMPORTRANGE(""https://docs.google.com/spreadsheets/d/149xufxukrnEciK3WPbNpHwUK8BKEJxp3UcBG3Al6dA4/edit?usp=sharing"",""สิงห์บุรี!J541"")"),0)</f>
        <v>0</v>
      </c>
      <c r="AC71" s="186">
        <f t="shared" ca="1" si="29"/>
        <v>0</v>
      </c>
      <c r="AD71" s="234">
        <f ca="1">IFERROR(__xludf.DUMMYFUNCTION("IMPORTRANGE(""https://docs.google.com/spreadsheets/d/149xufxukrnEciK3WPbNpHwUK8BKEJxp3UcBG3Al6dA4/edit?usp=sharing"",""สิงห์บุรี!I542"")"),0)</f>
        <v>0</v>
      </c>
      <c r="AE71" s="181">
        <f ca="1">IFERROR(__xludf.DUMMYFUNCTION("IMPORTRANGE(""https://docs.google.com/spreadsheets/d/149xufxukrnEciK3WPbNpHwUK8BKEJxp3UcBG3Al6dA4/edit?usp=sharing"",""สิงห์บุรี!J542"")"),0)</f>
        <v>0</v>
      </c>
      <c r="AF71" s="186">
        <f t="shared" ca="1" si="30"/>
        <v>0</v>
      </c>
    </row>
    <row r="72" spans="1:32" ht="21" customHeight="1" x14ac:dyDescent="0.3">
      <c r="A72" s="72">
        <v>20</v>
      </c>
      <c r="B72" s="73" t="s">
        <v>89</v>
      </c>
      <c r="C72" s="74">
        <f t="shared" ca="1" si="60"/>
        <v>0</v>
      </c>
      <c r="D72" s="75">
        <f ca="1">IFERROR(__xludf.DUMMYFUNCTION("IMPORTRANGE(""https://docs.google.com/spreadsheets/d/132g-zJpz2uMKimp17uOIx8A7o3w1Z25zwJyXnwsB56c/edit?usp=sharing"",""สุพรรณบุรี!L528"")"),0)</f>
        <v>0</v>
      </c>
      <c r="E72" s="76">
        <f ca="1">IFERROR(__xludf.DUMMYFUNCTION("IMPORTRANGE(""https://docs.google.com/spreadsheets/d/132g-zJpz2uMKimp17uOIx8A7o3w1Z25zwJyXnwsB56c/edit?usp=sharing"",""สุพรรณบุรี!L535"")"),0)</f>
        <v>0</v>
      </c>
      <c r="F72" s="77">
        <f t="shared" ca="1" si="1"/>
        <v>0</v>
      </c>
      <c r="G72" s="78">
        <f t="shared" ca="1" si="2"/>
        <v>0</v>
      </c>
      <c r="H72" s="79">
        <f t="shared" ca="1" si="61"/>
        <v>0</v>
      </c>
      <c r="I72" s="76">
        <f ca="1">IFERROR(__xludf.DUMMYFUNCTION("IMPORTRANGE(""https://docs.google.com/spreadsheets/d/132g-zJpz2uMKimp17uOIx8A7o3w1Z25zwJyXnwsB56c/edit?usp=sharing"",""สุพรรณบุรี!N529"")"),0)</f>
        <v>0</v>
      </c>
      <c r="J72" s="76">
        <f ca="1">IFERROR(__xludf.DUMMYFUNCTION("IMPORTRANGE(""https://docs.google.com/spreadsheets/d/132g-zJpz2uMKimp17uOIx8A7o3w1Z25zwJyXnwsB56c/edit?usp=sharing"",""สุพรรณบุรี!N530"")"),0)</f>
        <v>0</v>
      </c>
      <c r="K72" s="76">
        <f ca="1">IFERROR(__xludf.DUMMYFUNCTION("IMPORTRANGE(""https://docs.google.com/spreadsheets/d/132g-zJpz2uMKimp17uOIx8A7o3w1Z25zwJyXnwsB56c/edit?usp=sharing"",""สุพรรณบุรี!N531"")"),0)</f>
        <v>0</v>
      </c>
      <c r="L72" s="76">
        <f ca="1">IFERROR(__xludf.DUMMYFUNCTION("IMPORTRANGE(""https://docs.google.com/spreadsheets/d/132g-zJpz2uMKimp17uOIx8A7o3w1Z25zwJyXnwsB56c/edit?usp=sharing"",""สุพรรณบุรี!N532"")"),0)</f>
        <v>0</v>
      </c>
      <c r="M72" s="80">
        <f ca="1">IFERROR(__xludf.DUMMYFUNCTION("IMPORTRANGE(""https://docs.google.com/spreadsheets/d/132g-zJpz2uMKimp17uOIx8A7o3w1Z25zwJyXnwsB56c/edit?usp=sharing"",""สุพรรณบุรี!N535"")"),0)</f>
        <v>0</v>
      </c>
      <c r="N72" s="80">
        <f t="shared" ca="1" si="33"/>
        <v>0</v>
      </c>
      <c r="O72" s="81">
        <f ca="1">IFERROR(__xludf.DUMMYFUNCTION("IMPORTRANGE(""https://docs.google.com/spreadsheets/d/132g-zJpz2uMKimp17uOIx8A7o3w1Z25zwJyXnwsB56c/edit?usp=sharing"",""สุพรรณบุรี!I537"")"),0)</f>
        <v>0</v>
      </c>
      <c r="P72" s="81">
        <f ca="1">IFERROR(__xludf.DUMMYFUNCTION("IMPORTRANGE(""https://docs.google.com/spreadsheets/d/132g-zJpz2uMKimp17uOIx8A7o3w1Z25zwJyXnwsB56c/edit?usp=sharing"",""สุพรรณบุรี!J537"")"),0)</f>
        <v>0</v>
      </c>
      <c r="Q72" s="82">
        <f t="shared" ca="1" si="25"/>
        <v>0</v>
      </c>
      <c r="R72" s="81">
        <f ca="1">IFERROR(__xludf.DUMMYFUNCTION("IMPORTRANGE(""https://docs.google.com/spreadsheets/d/132g-zJpz2uMKimp17uOIx8A7o3w1Z25zwJyXnwsB56c/edit?usp=sharing"",""สุพรรณบุรี!I538"")"),0)</f>
        <v>0</v>
      </c>
      <c r="S72" s="81">
        <f ca="1">IFERROR(__xludf.DUMMYFUNCTION("IMPORTRANGE(""https://docs.google.com/spreadsheets/d/132g-zJpz2uMKimp17uOIx8A7o3w1Z25zwJyXnwsB56c/edit?usp=sharing"",""สุพรรณบุรี!J538"")"),0)</f>
        <v>0</v>
      </c>
      <c r="T72" s="82">
        <f t="shared" ca="1" si="26"/>
        <v>0</v>
      </c>
      <c r="U72" s="81">
        <f ca="1">IFERROR(__xludf.DUMMYFUNCTION("IMPORTRANGE(""https://docs.google.com/spreadsheets/d/132g-zJpz2uMKimp17uOIx8A7o3w1Z25zwJyXnwsB56c/edit?usp=sharing"",""สุพรรณบุรี!I539"")"),0)</f>
        <v>0</v>
      </c>
      <c r="V72" s="81">
        <f ca="1">IFERROR(__xludf.DUMMYFUNCTION("IMPORTRANGE(""https://docs.google.com/spreadsheets/d/132g-zJpz2uMKimp17uOIx8A7o3w1Z25zwJyXnwsB56c/edit?usp=sharing"",""สุพรรณบุรี!J539"")"),0)</f>
        <v>0</v>
      </c>
      <c r="W72" s="82">
        <f t="shared" ca="1" si="27"/>
        <v>0</v>
      </c>
      <c r="X72" s="81">
        <f ca="1">IFERROR(__xludf.DUMMYFUNCTION("IMPORTRANGE(""https://docs.google.com/spreadsheets/d/132g-zJpz2uMKimp17uOIx8A7o3w1Z25zwJyXnwsB56c/edit?usp=sharing"",""สุพรรณบุรี!I540"")"),0)</f>
        <v>0</v>
      </c>
      <c r="Y72" s="81">
        <f ca="1">IFERROR(__xludf.DUMMYFUNCTION("IMPORTRANGE(""https://docs.google.com/spreadsheets/d/132g-zJpz2uMKimp17uOIx8A7o3w1Z25zwJyXnwsB56c/edit?usp=sharing"",""สุพรรณบุรี!J540"")"),0)</f>
        <v>0</v>
      </c>
      <c r="Z72" s="82">
        <f t="shared" ca="1" si="28"/>
        <v>0</v>
      </c>
      <c r="AA72" s="234">
        <f ca="1">IFERROR(__xludf.DUMMYFUNCTION("IMPORTRANGE(""https://docs.google.com/spreadsheets/d/132g-zJpz2uMKimp17uOIx8A7o3w1Z25zwJyXnwsB56c/edit?usp=sharing"",""สุพรรณบุรี!I541"")"),0)</f>
        <v>0</v>
      </c>
      <c r="AB72" s="181">
        <f ca="1">IFERROR(__xludf.DUMMYFUNCTION("IMPORTRANGE(""https://docs.google.com/spreadsheets/d/132g-zJpz2uMKimp17uOIx8A7o3w1Z25zwJyXnwsB56c/edit?usp=sharing"",""สุพรรณบุรี!J541"")"),0)</f>
        <v>0</v>
      </c>
      <c r="AC72" s="186">
        <f t="shared" ca="1" si="29"/>
        <v>0</v>
      </c>
      <c r="AD72" s="234">
        <f ca="1">IFERROR(__xludf.DUMMYFUNCTION("IMPORTRANGE(""https://docs.google.com/spreadsheets/d/132g-zJpz2uMKimp17uOIx8A7o3w1Z25zwJyXnwsB56c/edit?usp=sharing"",""สุพรรณบุรี!I542"")"),0)</f>
        <v>0</v>
      </c>
      <c r="AE72" s="181">
        <f ca="1">IFERROR(__xludf.DUMMYFUNCTION("IMPORTRANGE(""https://docs.google.com/spreadsheets/d/132g-zJpz2uMKimp17uOIx8A7o3w1Z25zwJyXnwsB56c/edit?usp=sharing"",""สุพรรณบุรี!J542"")"),0)</f>
        <v>0</v>
      </c>
      <c r="AF72" s="186">
        <f t="shared" ca="1" si="30"/>
        <v>0</v>
      </c>
    </row>
    <row r="73" spans="1:32" ht="21" customHeight="1" x14ac:dyDescent="0.3">
      <c r="A73" s="83">
        <v>21</v>
      </c>
      <c r="B73" s="84" t="s">
        <v>90</v>
      </c>
      <c r="C73" s="85">
        <f t="shared" ca="1" si="60"/>
        <v>0</v>
      </c>
      <c r="D73" s="86">
        <f ca="1">IFERROR(__xludf.DUMMYFUNCTION("IMPORTRANGE(""https://docs.google.com/spreadsheets/d/12Q_U0nVnFdxDFwa0pej9xvx8ZvLC9Dpi_vRro_aiG5g/edit?usp=sharing"",""อ่างทอง!L528"")"),0)</f>
        <v>0</v>
      </c>
      <c r="E73" s="87">
        <f ca="1">IFERROR(__xludf.DUMMYFUNCTION("IMPORTRANGE(""https://docs.google.com/spreadsheets/d/12Q_U0nVnFdxDFwa0pej9xvx8ZvLC9Dpi_vRro_aiG5g/edit?usp=sharing"",""อ่างทอง!L535"")"),0)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61"/>
        <v>0</v>
      </c>
      <c r="I73" s="87">
        <f ca="1">IFERROR(__xludf.DUMMYFUNCTION("IMPORTRANGE(""https://docs.google.com/spreadsheets/d/12Q_U0nVnFdxDFwa0pej9xvx8ZvLC9Dpi_vRro_aiG5g/edit?usp=sharing"",""อ่างทอง!N529"")"),0)</f>
        <v>0</v>
      </c>
      <c r="J73" s="87">
        <f ca="1">IFERROR(__xludf.DUMMYFUNCTION("IMPORTRANGE(""https://docs.google.com/spreadsheets/d/12Q_U0nVnFdxDFwa0pej9xvx8ZvLC9Dpi_vRro_aiG5g/edit?usp=sharing"",""อ่างทอง!N530"")"),0)</f>
        <v>0</v>
      </c>
      <c r="K73" s="87">
        <f ca="1">IFERROR(__xludf.DUMMYFUNCTION("IMPORTRANGE(""https://docs.google.com/spreadsheets/d/12Q_U0nVnFdxDFwa0pej9xvx8ZvLC9Dpi_vRro_aiG5g/edit?usp=sharing"",""อ่างทอง!N531"")"),0)</f>
        <v>0</v>
      </c>
      <c r="L73" s="87">
        <f ca="1">IFERROR(__xludf.DUMMYFUNCTION("IMPORTRANGE(""https://docs.google.com/spreadsheets/d/12Q_U0nVnFdxDFwa0pej9xvx8ZvLC9Dpi_vRro_aiG5g/edit?usp=sharing"",""อ่างทอง!N532"")"),0)</f>
        <v>0</v>
      </c>
      <c r="M73" s="91">
        <f ca="1">IFERROR(__xludf.DUMMYFUNCTION("IMPORTRANGE(""https://docs.google.com/spreadsheets/d/12Q_U0nVnFdxDFwa0pej9xvx8ZvLC9Dpi_vRro_aiG5g/edit?usp=sharing"",""อ่างทอง!N535"")"),0)</f>
        <v>0</v>
      </c>
      <c r="N73" s="91">
        <f t="shared" ca="1" si="33"/>
        <v>0</v>
      </c>
      <c r="O73" s="92">
        <f ca="1">IFERROR(__xludf.DUMMYFUNCTION("IMPORTRANGE(""https://docs.google.com/spreadsheets/d/12Q_U0nVnFdxDFwa0pej9xvx8ZvLC9Dpi_vRro_aiG5g/edit?usp=sharing"",""อ่างทอง!I537"")"),0)</f>
        <v>0</v>
      </c>
      <c r="P73" s="92">
        <f ca="1">IFERROR(__xludf.DUMMYFUNCTION("IMPORTRANGE(""https://docs.google.com/spreadsheets/d/12Q_U0nVnFdxDFwa0pej9xvx8ZvLC9Dpi_vRro_aiG5g/edit?usp=sharing"",""อ่างทอง!J537"")"),0)</f>
        <v>0</v>
      </c>
      <c r="Q73" s="93">
        <f t="shared" ca="1" si="25"/>
        <v>0</v>
      </c>
      <c r="R73" s="92">
        <f ca="1">IFERROR(__xludf.DUMMYFUNCTION("IMPORTRANGE(""https://docs.google.com/spreadsheets/d/12Q_U0nVnFdxDFwa0pej9xvx8ZvLC9Dpi_vRro_aiG5g/edit?usp=sharing"",""อ่างทอง!I538"")"),0)</f>
        <v>0</v>
      </c>
      <c r="S73" s="92">
        <f ca="1">IFERROR(__xludf.DUMMYFUNCTION("IMPORTRANGE(""https://docs.google.com/spreadsheets/d/12Q_U0nVnFdxDFwa0pej9xvx8ZvLC9Dpi_vRro_aiG5g/edit?usp=sharing"",""อ่างทอง!J538"")"),0)</f>
        <v>0</v>
      </c>
      <c r="T73" s="93">
        <f t="shared" ca="1" si="26"/>
        <v>0</v>
      </c>
      <c r="U73" s="92">
        <f ca="1">IFERROR(__xludf.DUMMYFUNCTION("IMPORTRANGE(""https://docs.google.com/spreadsheets/d/12Q_U0nVnFdxDFwa0pej9xvx8ZvLC9Dpi_vRro_aiG5g/edit?usp=sharing"",""อ่างทอง!I539"")"),0)</f>
        <v>0</v>
      </c>
      <c r="V73" s="92">
        <f ca="1">IFERROR(__xludf.DUMMYFUNCTION("IMPORTRANGE(""https://docs.google.com/spreadsheets/d/12Q_U0nVnFdxDFwa0pej9xvx8ZvLC9Dpi_vRro_aiG5g/edit?usp=sharing"",""อ่างทอง!J539"")"),0)</f>
        <v>0</v>
      </c>
      <c r="W73" s="93">
        <f t="shared" ca="1" si="27"/>
        <v>0</v>
      </c>
      <c r="X73" s="92">
        <f ca="1">IFERROR(__xludf.DUMMYFUNCTION("IMPORTRANGE(""https://docs.google.com/spreadsheets/d/12Q_U0nVnFdxDFwa0pej9xvx8ZvLC9Dpi_vRro_aiG5g/edit?usp=sharing"",""อ่างทอง!I540"")"),0)</f>
        <v>0</v>
      </c>
      <c r="Y73" s="92">
        <f ca="1">IFERROR(__xludf.DUMMYFUNCTION("IMPORTRANGE(""https://docs.google.com/spreadsheets/d/12Q_U0nVnFdxDFwa0pej9xvx8ZvLC9Dpi_vRro_aiG5g/edit?usp=sharing"",""อ่างทอง!J540"")"),0)</f>
        <v>0</v>
      </c>
      <c r="Z73" s="93">
        <f t="shared" ca="1" si="28"/>
        <v>0</v>
      </c>
      <c r="AA73" s="235">
        <f ca="1">IFERROR(__xludf.DUMMYFUNCTION("IMPORTRANGE(""https://docs.google.com/spreadsheets/d/12Q_U0nVnFdxDFwa0pej9xvx8ZvLC9Dpi_vRro_aiG5g/edit?usp=sharing"",""อ่างทอง!I541"")"),0)</f>
        <v>0</v>
      </c>
      <c r="AB73" s="202">
        <f ca="1">IFERROR(__xludf.DUMMYFUNCTION("IMPORTRANGE(""https://docs.google.com/spreadsheets/d/12Q_U0nVnFdxDFwa0pej9xvx8ZvLC9Dpi_vRro_aiG5g/edit?usp=sharing"",""อ่างทอง!J541"")"),0)</f>
        <v>0</v>
      </c>
      <c r="AC73" s="203">
        <f t="shared" ca="1" si="29"/>
        <v>0</v>
      </c>
      <c r="AD73" s="235">
        <f ca="1">IFERROR(__xludf.DUMMYFUNCTION("IMPORTRANGE(""https://docs.google.com/spreadsheets/d/12Q_U0nVnFdxDFwa0pej9xvx8ZvLC9Dpi_vRro_aiG5g/edit?usp=sharing"",""อ่างทอง!I542"")"),0)</f>
        <v>0</v>
      </c>
      <c r="AE73" s="202">
        <f ca="1">IFERROR(__xludf.DUMMYFUNCTION("IMPORTRANGE(""https://docs.google.com/spreadsheets/d/12Q_U0nVnFdxDFwa0pej9xvx8ZvLC9Dpi_vRro_aiG5g/edit?usp=sharing"",""อ่างทอง!J542"")"),0)</f>
        <v>0</v>
      </c>
      <c r="AF73" s="203">
        <f t="shared" ca="1" si="30"/>
        <v>0</v>
      </c>
    </row>
    <row r="74" spans="1:32" ht="21" customHeight="1" x14ac:dyDescent="0.3">
      <c r="A74" s="303" t="s">
        <v>91</v>
      </c>
      <c r="B74" s="299"/>
      <c r="C74" s="99">
        <f t="shared" ref="C74:E74" ca="1" si="62">SUM(C75:C88)</f>
        <v>1674740</v>
      </c>
      <c r="D74" s="99">
        <f t="shared" ca="1" si="62"/>
        <v>1674740</v>
      </c>
      <c r="E74" s="57">
        <f t="shared" ca="1" si="62"/>
        <v>0</v>
      </c>
      <c r="F74" s="57">
        <f t="shared" ca="1" si="1"/>
        <v>641070</v>
      </c>
      <c r="G74" s="94">
        <f t="shared" ca="1" si="2"/>
        <v>38.278777601299304</v>
      </c>
      <c r="H74" s="57">
        <f t="shared" ref="H74:M74" ca="1" si="63">SUM(H75:H88)</f>
        <v>641070</v>
      </c>
      <c r="I74" s="57">
        <f t="shared" ca="1" si="63"/>
        <v>337050</v>
      </c>
      <c r="J74" s="57">
        <f t="shared" ca="1" si="63"/>
        <v>250000</v>
      </c>
      <c r="K74" s="57">
        <f t="shared" ca="1" si="63"/>
        <v>0</v>
      </c>
      <c r="L74" s="57">
        <f t="shared" ca="1" si="63"/>
        <v>54020</v>
      </c>
      <c r="M74" s="95">
        <f t="shared" ca="1" si="63"/>
        <v>0</v>
      </c>
      <c r="N74" s="95">
        <f t="shared" ca="1" si="33"/>
        <v>0</v>
      </c>
      <c r="O74" s="57">
        <f t="shared" ref="O74:P74" ca="1" si="64">SUM(O75:O88)</f>
        <v>190</v>
      </c>
      <c r="P74" s="57">
        <f t="shared" ca="1" si="64"/>
        <v>50</v>
      </c>
      <c r="Q74" s="96">
        <f t="shared" ca="1" si="25"/>
        <v>26.315789473684209</v>
      </c>
      <c r="R74" s="57">
        <f t="shared" ref="R74:S74" ca="1" si="65">SUM(R75:R88)</f>
        <v>190</v>
      </c>
      <c r="S74" s="57">
        <f t="shared" ca="1" si="65"/>
        <v>168</v>
      </c>
      <c r="T74" s="96">
        <f t="shared" ca="1" si="26"/>
        <v>88.421052631578945</v>
      </c>
      <c r="U74" s="57">
        <f t="shared" ref="U74:V74" ca="1" si="66">SUM(U75:U88)</f>
        <v>160</v>
      </c>
      <c r="V74" s="57">
        <f t="shared" ca="1" si="66"/>
        <v>72</v>
      </c>
      <c r="W74" s="96">
        <f t="shared" ca="1" si="27"/>
        <v>45</v>
      </c>
      <c r="X74" s="57">
        <f t="shared" ref="X74:Y74" ca="1" si="67">SUM(X75:X88)</f>
        <v>160</v>
      </c>
      <c r="Y74" s="57">
        <f t="shared" ca="1" si="67"/>
        <v>80</v>
      </c>
      <c r="Z74" s="96">
        <f t="shared" ca="1" si="28"/>
        <v>50</v>
      </c>
      <c r="AA74" s="231">
        <f t="shared" ref="AA74:AB74" ca="1" si="68">SUM(AA75:AA88)</f>
        <v>30</v>
      </c>
      <c r="AB74" s="159">
        <f t="shared" ca="1" si="68"/>
        <v>0</v>
      </c>
      <c r="AC74" s="162">
        <f t="shared" ca="1" si="29"/>
        <v>0</v>
      </c>
      <c r="AD74" s="231">
        <f t="shared" ref="AD74:AE74" ca="1" si="69">SUM(AD75:AD88)</f>
        <v>190</v>
      </c>
      <c r="AE74" s="159">
        <f t="shared" ca="1" si="69"/>
        <v>50</v>
      </c>
      <c r="AF74" s="162">
        <f t="shared" ca="1" si="30"/>
        <v>26.315789473684209</v>
      </c>
    </row>
    <row r="75" spans="1:32" ht="21" customHeight="1" x14ac:dyDescent="0.3">
      <c r="A75" s="62">
        <v>1</v>
      </c>
      <c r="B75" s="63" t="s">
        <v>92</v>
      </c>
      <c r="C75" s="97">
        <f t="shared" ref="C75:C88" ca="1" si="70">D75+E75</f>
        <v>667960</v>
      </c>
      <c r="D75" s="98">
        <f ca="1">IFERROR(__xludf.DUMMYFUNCTION("IMPORTRANGE(""https://docs.google.com/spreadsheets/d/1kC41EOXpGBFOW658Fs3oD8beYlym0-zO54WY-2Qnp9I/edit?usp=sharing"",""กระบี่!L528"")"),667960)</f>
        <v>667960</v>
      </c>
      <c r="E75" s="100">
        <f ca="1">IFERROR(__xludf.DUMMYFUNCTION("IMPORTRANGE(""https://docs.google.com/spreadsheets/d/1kC41EOXpGBFOW658Fs3oD8beYlym0-zO54WY-2Qnp9I/edit?usp=sharing"",""กระบี่!L535"")"),0)</f>
        <v>0</v>
      </c>
      <c r="F75" s="101">
        <f t="shared" ca="1" si="1"/>
        <v>64470</v>
      </c>
      <c r="G75" s="102">
        <f t="shared" ca="1" si="2"/>
        <v>9.6517755554224802</v>
      </c>
      <c r="H75" s="79">
        <f t="shared" ref="H75:H88" ca="1" si="71">I75+J75+K75+L75</f>
        <v>64470</v>
      </c>
      <c r="I75" s="100">
        <f ca="1">IFERROR(__xludf.DUMMYFUNCTION("IMPORTRANGE(""https://docs.google.com/spreadsheets/d/1kC41EOXpGBFOW658Fs3oD8beYlym0-zO54WY-2Qnp9I/edit?usp=sharing"",""กระบี่!N529"")"),47210)</f>
        <v>47210</v>
      </c>
      <c r="J75" s="100">
        <f ca="1">IFERROR(__xludf.DUMMYFUNCTION("IMPORTRANGE(""https://docs.google.com/spreadsheets/d/1kC41EOXpGBFOW658Fs3oD8beYlym0-zO54WY-2Qnp9I/edit?usp=sharing"",""กระบี่!N530"")"),0)</f>
        <v>0</v>
      </c>
      <c r="K75" s="100">
        <f ca="1">IFERROR(__xludf.DUMMYFUNCTION("IMPORTRANGE(""https://docs.google.com/spreadsheets/d/1kC41EOXpGBFOW658Fs3oD8beYlym0-zO54WY-2Qnp9I/edit?usp=sharing"",""กระบี่!N531"")"),0)</f>
        <v>0</v>
      </c>
      <c r="L75" s="100">
        <f ca="1">IFERROR(__xludf.DUMMYFUNCTION("IMPORTRANGE(""https://docs.google.com/spreadsheets/d/1kC41EOXpGBFOW658Fs3oD8beYlym0-zO54WY-2Qnp9I/edit?usp=sharing"",""กระบี่!N532"")"),17260)</f>
        <v>17260</v>
      </c>
      <c r="M75" s="70">
        <f ca="1">IFERROR(__xludf.DUMMYFUNCTION("IMPORTRANGE(""https://docs.google.com/spreadsheets/d/1kC41EOXpGBFOW658Fs3oD8beYlym0-zO54WY-2Qnp9I/edit?usp=sharing"",""กระบี่!N535"")"),0)</f>
        <v>0</v>
      </c>
      <c r="N75" s="70">
        <f t="shared" ca="1" si="33"/>
        <v>0</v>
      </c>
      <c r="O75" s="66">
        <f ca="1">IFERROR(__xludf.DUMMYFUNCTION("IMPORTRANGE(""https://docs.google.com/spreadsheets/d/1kC41EOXpGBFOW658Fs3oD8beYlym0-zO54WY-2Qnp9I/edit?usp=sharing"",""กระบี่!I537"")"),80)</f>
        <v>80</v>
      </c>
      <c r="P75" s="66">
        <f ca="1">IFERROR(__xludf.DUMMYFUNCTION("IMPORTRANGE(""https://docs.google.com/spreadsheets/d/1kC41EOXpGBFOW658Fs3oD8beYlym0-zO54WY-2Qnp9I/edit?usp=sharing"",""กระบี่!J537"")"),0)</f>
        <v>0</v>
      </c>
      <c r="Q75" s="71">
        <f t="shared" ca="1" si="25"/>
        <v>0</v>
      </c>
      <c r="R75" s="66">
        <f ca="1">IFERROR(__xludf.DUMMYFUNCTION("IMPORTRANGE(""https://docs.google.com/spreadsheets/d/1kC41EOXpGBFOW658Fs3oD8beYlym0-zO54WY-2Qnp9I/edit?usp=sharing"",""กระบี่!I538"")"),80)</f>
        <v>80</v>
      </c>
      <c r="S75" s="66">
        <f ca="1">IFERROR(__xludf.DUMMYFUNCTION("IMPORTRANGE(""https://docs.google.com/spreadsheets/d/1kC41EOXpGBFOW658Fs3oD8beYlym0-zO54WY-2Qnp9I/edit?usp=sharing"",""กระบี่!J538"")"),58)</f>
        <v>58</v>
      </c>
      <c r="T75" s="71">
        <f t="shared" ca="1" si="26"/>
        <v>72.5</v>
      </c>
      <c r="U75" s="66">
        <f ca="1">IFERROR(__xludf.DUMMYFUNCTION("IMPORTRANGE(""https://docs.google.com/spreadsheets/d/1kC41EOXpGBFOW658Fs3oD8beYlym0-zO54WY-2Qnp9I/edit?usp=sharing"",""กระบี่!I539"")"),80)</f>
        <v>80</v>
      </c>
      <c r="V75" s="66">
        <f ca="1">IFERROR(__xludf.DUMMYFUNCTION("IMPORTRANGE(""https://docs.google.com/spreadsheets/d/1kC41EOXpGBFOW658Fs3oD8beYlym0-zO54WY-2Qnp9I/edit?usp=sharing"",""กระบี่!J539"")"),22)</f>
        <v>22</v>
      </c>
      <c r="W75" s="71">
        <f t="shared" ca="1" si="27"/>
        <v>27.5</v>
      </c>
      <c r="X75" s="66">
        <f ca="1">IFERROR(__xludf.DUMMYFUNCTION("IMPORTRANGE(""https://docs.google.com/spreadsheets/d/1kC41EOXpGBFOW658Fs3oD8beYlym0-zO54WY-2Qnp9I/edit?usp=sharing"",""กระบี่!I540"")"),80)</f>
        <v>80</v>
      </c>
      <c r="Y75" s="66">
        <f ca="1">IFERROR(__xludf.DUMMYFUNCTION("IMPORTRANGE(""https://docs.google.com/spreadsheets/d/1kC41EOXpGBFOW658Fs3oD8beYlym0-zO54WY-2Qnp9I/edit?usp=sharing"",""กระบี่!J540"")"),0)</f>
        <v>0</v>
      </c>
      <c r="Z75" s="71">
        <f t="shared" ca="1" si="28"/>
        <v>0</v>
      </c>
      <c r="AA75" s="234">
        <f ca="1">IFERROR(__xludf.DUMMYFUNCTION("IMPORTRANGE(""https://docs.google.com/spreadsheets/d/1kC41EOXpGBFOW658Fs3oD8beYlym0-zO54WY-2Qnp9I/edit?usp=sharing"",""กระบี่!I541"")"),0)</f>
        <v>0</v>
      </c>
      <c r="AB75" s="181">
        <f ca="1">IFERROR(__xludf.DUMMYFUNCTION("IMPORTRANGE(""https://docs.google.com/spreadsheets/d/1kC41EOXpGBFOW658Fs3oD8beYlym0-zO54WY-2Qnp9I/edit?usp=sharing"",""กระบี่!J541"")"),0)</f>
        <v>0</v>
      </c>
      <c r="AC75" s="186">
        <f t="shared" ca="1" si="29"/>
        <v>0</v>
      </c>
      <c r="AD75" s="234">
        <f ca="1">IFERROR(__xludf.DUMMYFUNCTION("IMPORTRANGE(""https://docs.google.com/spreadsheets/d/1kC41EOXpGBFOW658Fs3oD8beYlym0-zO54WY-2Qnp9I/edit?usp=sharing"",""กระบี่!I542"")"),80)</f>
        <v>80</v>
      </c>
      <c r="AE75" s="181">
        <f ca="1">IFERROR(__xludf.DUMMYFUNCTION("IMPORTRANGE(""https://docs.google.com/spreadsheets/d/1kC41EOXpGBFOW658Fs3oD8beYlym0-zO54WY-2Qnp9I/edit?usp=sharing"",""กระบี่!J542"")"),0)</f>
        <v>0</v>
      </c>
      <c r="AF75" s="186">
        <f t="shared" ca="1" si="30"/>
        <v>0</v>
      </c>
    </row>
    <row r="76" spans="1:32" ht="21" customHeight="1" x14ac:dyDescent="0.3">
      <c r="A76" s="72">
        <v>2</v>
      </c>
      <c r="B76" s="73" t="s">
        <v>93</v>
      </c>
      <c r="C76" s="74">
        <f t="shared" ca="1" si="70"/>
        <v>440560</v>
      </c>
      <c r="D76" s="75">
        <f ca="1">IFERROR(__xludf.DUMMYFUNCTION("IMPORTRANGE(""https://docs.google.com/spreadsheets/d/1FbzMZY_f3MDiEuK7RpCQKrilJ_kpX0Wm7QBZ1L7EjIU/edit?usp=sharing"",""ชุมพร!L528"")"),440560)</f>
        <v>440560</v>
      </c>
      <c r="E76" s="76">
        <f ca="1">IFERROR(__xludf.DUMMYFUNCTION("IMPORTRANGE(""https://docs.google.com/spreadsheets/d/1FbzMZY_f3MDiEuK7RpCQKrilJ_kpX0Wm7QBZ1L7EjIU/edit?usp=sharing"",""ชุมพร!L535"")"),0)</f>
        <v>0</v>
      </c>
      <c r="F76" s="77">
        <f t="shared" ca="1" si="1"/>
        <v>410580</v>
      </c>
      <c r="G76" s="78">
        <f t="shared" ca="1" si="2"/>
        <v>93.195024514254584</v>
      </c>
      <c r="H76" s="79">
        <f t="shared" ca="1" si="71"/>
        <v>410580</v>
      </c>
      <c r="I76" s="76">
        <f ca="1">IFERROR(__xludf.DUMMYFUNCTION("IMPORTRANGE(""https://docs.google.com/spreadsheets/d/1FbzMZY_f3MDiEuK7RpCQKrilJ_kpX0Wm7QBZ1L7EjIU/edit?usp=sharing"",""ชุมพร!N529"")"),148220)</f>
        <v>148220</v>
      </c>
      <c r="J76" s="76">
        <f ca="1">IFERROR(__xludf.DUMMYFUNCTION("IMPORTRANGE(""https://docs.google.com/spreadsheets/d/1FbzMZY_f3MDiEuK7RpCQKrilJ_kpX0Wm7QBZ1L7EjIU/edit?usp=sharing"",""ชุมพร!N530"")"),250000)</f>
        <v>250000</v>
      </c>
      <c r="K76" s="76">
        <f ca="1">IFERROR(__xludf.DUMMYFUNCTION("IMPORTRANGE(""https://docs.google.com/spreadsheets/d/1FbzMZY_f3MDiEuK7RpCQKrilJ_kpX0Wm7QBZ1L7EjIU/edit?usp=sharing"",""ชุมพร!N531"")"),0)</f>
        <v>0</v>
      </c>
      <c r="L76" s="76">
        <f ca="1">IFERROR(__xludf.DUMMYFUNCTION("IMPORTRANGE(""https://docs.google.com/spreadsheets/d/1FbzMZY_f3MDiEuK7RpCQKrilJ_kpX0Wm7QBZ1L7EjIU/edit?usp=sharing"",""ชุมพร!N532"")"),12360)</f>
        <v>12360</v>
      </c>
      <c r="M76" s="80">
        <f ca="1">IFERROR(__xludf.DUMMYFUNCTION("IMPORTRANGE(""https://docs.google.com/spreadsheets/d/1FbzMZY_f3MDiEuK7RpCQKrilJ_kpX0Wm7QBZ1L7EjIU/edit?usp=sharing"",""ชุมพร!N535"")"),0)</f>
        <v>0</v>
      </c>
      <c r="N76" s="80">
        <f t="shared" ca="1" si="33"/>
        <v>0</v>
      </c>
      <c r="O76" s="81">
        <f ca="1">IFERROR(__xludf.DUMMYFUNCTION("IMPORTRANGE(""https://docs.google.com/spreadsheets/d/1FbzMZY_f3MDiEuK7RpCQKrilJ_kpX0Wm7QBZ1L7EjIU/edit?usp=sharing"",""ชุมพร!I537"")"),50)</f>
        <v>50</v>
      </c>
      <c r="P76" s="81">
        <f ca="1">IFERROR(__xludf.DUMMYFUNCTION("IMPORTRANGE(""https://docs.google.com/spreadsheets/d/1FbzMZY_f3MDiEuK7RpCQKrilJ_kpX0Wm7QBZ1L7EjIU/edit?usp=sharing"",""ชุมพร!J537"")"),50)</f>
        <v>50</v>
      </c>
      <c r="Q76" s="82">
        <f t="shared" ca="1" si="25"/>
        <v>100</v>
      </c>
      <c r="R76" s="81">
        <f ca="1">IFERROR(__xludf.DUMMYFUNCTION("IMPORTRANGE(""https://docs.google.com/spreadsheets/d/1FbzMZY_f3MDiEuK7RpCQKrilJ_kpX0Wm7QBZ1L7EjIU/edit?usp=sharing"",""ชุมพร!I538"")"),50)</f>
        <v>50</v>
      </c>
      <c r="S76" s="81">
        <f ca="1">IFERROR(__xludf.DUMMYFUNCTION("IMPORTRANGE(""https://docs.google.com/spreadsheets/d/1FbzMZY_f3MDiEuK7RpCQKrilJ_kpX0Wm7QBZ1L7EjIU/edit?usp=sharing"",""ชุมพร!J538"")"),50)</f>
        <v>50</v>
      </c>
      <c r="T76" s="82">
        <f t="shared" ca="1" si="26"/>
        <v>100</v>
      </c>
      <c r="U76" s="81">
        <f ca="1">IFERROR(__xludf.DUMMYFUNCTION("IMPORTRANGE(""https://docs.google.com/spreadsheets/d/1FbzMZY_f3MDiEuK7RpCQKrilJ_kpX0Wm7QBZ1L7EjIU/edit?usp=sharing"",""ชุมพร!I539"")"),50)</f>
        <v>50</v>
      </c>
      <c r="V76" s="81">
        <f ca="1">IFERROR(__xludf.DUMMYFUNCTION("IMPORTRANGE(""https://docs.google.com/spreadsheets/d/1FbzMZY_f3MDiEuK7RpCQKrilJ_kpX0Wm7QBZ1L7EjIU/edit?usp=sharing"",""ชุมพร!J539"")"),50)</f>
        <v>50</v>
      </c>
      <c r="W76" s="82">
        <f t="shared" ca="1" si="27"/>
        <v>100</v>
      </c>
      <c r="X76" s="81">
        <f ca="1">IFERROR(__xludf.DUMMYFUNCTION("IMPORTRANGE(""https://docs.google.com/spreadsheets/d/1FbzMZY_f3MDiEuK7RpCQKrilJ_kpX0Wm7QBZ1L7EjIU/edit?usp=sharing"",""ชุมพร!I540"")"),50)</f>
        <v>50</v>
      </c>
      <c r="Y76" s="81">
        <f ca="1">IFERROR(__xludf.DUMMYFUNCTION("IMPORTRANGE(""https://docs.google.com/spreadsheets/d/1FbzMZY_f3MDiEuK7RpCQKrilJ_kpX0Wm7QBZ1L7EjIU/edit?usp=sharing"",""ชุมพร!J540"")"),50)</f>
        <v>50</v>
      </c>
      <c r="Z76" s="82">
        <f t="shared" ca="1" si="28"/>
        <v>100</v>
      </c>
      <c r="AA76" s="234">
        <f ca="1">IFERROR(__xludf.DUMMYFUNCTION("IMPORTRANGE(""https://docs.google.com/spreadsheets/d/1FbzMZY_f3MDiEuK7RpCQKrilJ_kpX0Wm7QBZ1L7EjIU/edit?usp=sharing"",""ชุมพร!I541"")"),0)</f>
        <v>0</v>
      </c>
      <c r="AB76" s="181">
        <f ca="1">IFERROR(__xludf.DUMMYFUNCTION("IMPORTRANGE(""https://docs.google.com/spreadsheets/d/1FbzMZY_f3MDiEuK7RpCQKrilJ_kpX0Wm7QBZ1L7EjIU/edit?usp=sharing"",""ชุมพร!J541"")"),0)</f>
        <v>0</v>
      </c>
      <c r="AC76" s="186">
        <f t="shared" ca="1" si="29"/>
        <v>0</v>
      </c>
      <c r="AD76" s="234">
        <f ca="1">IFERROR(__xludf.DUMMYFUNCTION("IMPORTRANGE(""https://docs.google.com/spreadsheets/d/1FbzMZY_f3MDiEuK7RpCQKrilJ_kpX0Wm7QBZ1L7EjIU/edit?usp=sharing"",""ชุมพร!I542"")"),50)</f>
        <v>50</v>
      </c>
      <c r="AE76" s="181">
        <f ca="1">IFERROR(__xludf.DUMMYFUNCTION("IMPORTRANGE(""https://docs.google.com/spreadsheets/d/1FbzMZY_f3MDiEuK7RpCQKrilJ_kpX0Wm7QBZ1L7EjIU/edit?usp=sharing"",""ชุมพร!J542"")"),50)</f>
        <v>50</v>
      </c>
      <c r="AF76" s="186">
        <f t="shared" ca="1" si="30"/>
        <v>100</v>
      </c>
    </row>
    <row r="77" spans="1:32" ht="21" customHeight="1" x14ac:dyDescent="0.3">
      <c r="A77" s="72">
        <v>3</v>
      </c>
      <c r="B77" s="73" t="s">
        <v>94</v>
      </c>
      <c r="C77" s="74">
        <f t="shared" ca="1" si="70"/>
        <v>0</v>
      </c>
      <c r="D77" s="75">
        <f ca="1">IFERROR(__xludf.DUMMYFUNCTION("IMPORTRANGE(""https://docs.google.com/spreadsheets/d/1v5sN-00LrXuhBxw4dkh2GrG_z4l5oAqOdJRBCsUyMaM/edit?usp=sharing"",""ตรัง!L528"")"),0)</f>
        <v>0</v>
      </c>
      <c r="E77" s="76">
        <f ca="1">IFERROR(__xludf.DUMMYFUNCTION("IMPORTRANGE(""https://docs.google.com/spreadsheets/d/1v5sN-00LrXuhBxw4dkh2GrG_z4l5oAqOdJRBCsUyMaM/edit?usp=sharing"",""ตรัง!L535"")"),0)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71"/>
        <v>0</v>
      </c>
      <c r="I77" s="76">
        <f ca="1">IFERROR(__xludf.DUMMYFUNCTION("IMPORTRANGE(""https://docs.google.com/spreadsheets/d/1v5sN-00LrXuhBxw4dkh2GrG_z4l5oAqOdJRBCsUyMaM/edit?usp=sharing"",""ตรัง!N529"")"),0)</f>
        <v>0</v>
      </c>
      <c r="J77" s="76">
        <f ca="1">IFERROR(__xludf.DUMMYFUNCTION("IMPORTRANGE(""https://docs.google.com/spreadsheets/d/1v5sN-00LrXuhBxw4dkh2GrG_z4l5oAqOdJRBCsUyMaM/edit?usp=sharing"",""ตรัง!N530"")"),0)</f>
        <v>0</v>
      </c>
      <c r="K77" s="76">
        <f ca="1">IFERROR(__xludf.DUMMYFUNCTION("IMPORTRANGE(""https://docs.google.com/spreadsheets/d/1v5sN-00LrXuhBxw4dkh2GrG_z4l5oAqOdJRBCsUyMaM/edit?usp=sharing"",""ตรัง!N531"")"),0)</f>
        <v>0</v>
      </c>
      <c r="L77" s="76">
        <f ca="1">IFERROR(__xludf.DUMMYFUNCTION("IMPORTRANGE(""https://docs.google.com/spreadsheets/d/1v5sN-00LrXuhBxw4dkh2GrG_z4l5oAqOdJRBCsUyMaM/edit?usp=sharing"",""ตรัง!N532"")"),0)</f>
        <v>0</v>
      </c>
      <c r="M77" s="80">
        <f ca="1">IFERROR(__xludf.DUMMYFUNCTION("IMPORTRANGE(""https://docs.google.com/spreadsheets/d/1v5sN-00LrXuhBxw4dkh2GrG_z4l5oAqOdJRBCsUyMaM/edit?usp=sharing"",""ตรัง!N535"")"),0)</f>
        <v>0</v>
      </c>
      <c r="N77" s="80">
        <f t="shared" ca="1" si="33"/>
        <v>0</v>
      </c>
      <c r="O77" s="81">
        <f ca="1">IFERROR(__xludf.DUMMYFUNCTION("IMPORTRANGE(""https://docs.google.com/spreadsheets/d/1v5sN-00LrXuhBxw4dkh2GrG_z4l5oAqOdJRBCsUyMaM/edit?usp=sharing"",""ตรัง!I537"")"),0)</f>
        <v>0</v>
      </c>
      <c r="P77" s="81">
        <f ca="1">IFERROR(__xludf.DUMMYFUNCTION("IMPORTRANGE(""https://docs.google.com/spreadsheets/d/1v5sN-00LrXuhBxw4dkh2GrG_z4l5oAqOdJRBCsUyMaM/edit?usp=sharing"",""ตรัง!J537"")"),0)</f>
        <v>0</v>
      </c>
      <c r="Q77" s="82">
        <f t="shared" ca="1" si="25"/>
        <v>0</v>
      </c>
      <c r="R77" s="81">
        <f ca="1">IFERROR(__xludf.DUMMYFUNCTION("IMPORTRANGE(""https://docs.google.com/spreadsheets/d/1v5sN-00LrXuhBxw4dkh2GrG_z4l5oAqOdJRBCsUyMaM/edit?usp=sharing"",""ตรัง!I538"")"),0)</f>
        <v>0</v>
      </c>
      <c r="S77" s="81">
        <f ca="1">IFERROR(__xludf.DUMMYFUNCTION("IMPORTRANGE(""https://docs.google.com/spreadsheets/d/1v5sN-00LrXuhBxw4dkh2GrG_z4l5oAqOdJRBCsUyMaM/edit?usp=sharing"",""ตรัง!J538"")"),0)</f>
        <v>0</v>
      </c>
      <c r="T77" s="82">
        <f t="shared" ca="1" si="26"/>
        <v>0</v>
      </c>
      <c r="U77" s="81">
        <f ca="1">IFERROR(__xludf.DUMMYFUNCTION("IMPORTRANGE(""https://docs.google.com/spreadsheets/d/1v5sN-00LrXuhBxw4dkh2GrG_z4l5oAqOdJRBCsUyMaM/edit?usp=sharing"",""ตรัง!I539"")"),0)</f>
        <v>0</v>
      </c>
      <c r="V77" s="81">
        <f ca="1">IFERROR(__xludf.DUMMYFUNCTION("IMPORTRANGE(""https://docs.google.com/spreadsheets/d/1v5sN-00LrXuhBxw4dkh2GrG_z4l5oAqOdJRBCsUyMaM/edit?usp=sharing"",""ตรัง!J539"")"),0)</f>
        <v>0</v>
      </c>
      <c r="W77" s="82">
        <f t="shared" ca="1" si="27"/>
        <v>0</v>
      </c>
      <c r="X77" s="81">
        <f ca="1">IFERROR(__xludf.DUMMYFUNCTION("IMPORTRANGE(""https://docs.google.com/spreadsheets/d/1v5sN-00LrXuhBxw4dkh2GrG_z4l5oAqOdJRBCsUyMaM/edit?usp=sharing"",""ตรัง!I540"")"),0)</f>
        <v>0</v>
      </c>
      <c r="Y77" s="81">
        <f ca="1">IFERROR(__xludf.DUMMYFUNCTION("IMPORTRANGE(""https://docs.google.com/spreadsheets/d/1v5sN-00LrXuhBxw4dkh2GrG_z4l5oAqOdJRBCsUyMaM/edit?usp=sharing"",""ตรัง!J540"")"),0)</f>
        <v>0</v>
      </c>
      <c r="Z77" s="82">
        <f t="shared" ca="1" si="28"/>
        <v>0</v>
      </c>
      <c r="AA77" s="234">
        <f ca="1">IFERROR(__xludf.DUMMYFUNCTION("IMPORTRANGE(""https://docs.google.com/spreadsheets/d/1v5sN-00LrXuhBxw4dkh2GrG_z4l5oAqOdJRBCsUyMaM/edit?usp=sharing"",""ตรัง!I541"")"),0)</f>
        <v>0</v>
      </c>
      <c r="AB77" s="181">
        <f ca="1">IFERROR(__xludf.DUMMYFUNCTION("IMPORTRANGE(""https://docs.google.com/spreadsheets/d/1v5sN-00LrXuhBxw4dkh2GrG_z4l5oAqOdJRBCsUyMaM/edit?usp=sharing"",""ตรัง!J541"")"),0)</f>
        <v>0</v>
      </c>
      <c r="AC77" s="186">
        <f t="shared" ca="1" si="29"/>
        <v>0</v>
      </c>
      <c r="AD77" s="234">
        <f ca="1">IFERROR(__xludf.DUMMYFUNCTION("IMPORTRANGE(""https://docs.google.com/spreadsheets/d/1v5sN-00LrXuhBxw4dkh2GrG_z4l5oAqOdJRBCsUyMaM/edit?usp=sharing"",""ตรัง!I542"")"),0)</f>
        <v>0</v>
      </c>
      <c r="AE77" s="181">
        <f ca="1">IFERROR(__xludf.DUMMYFUNCTION("IMPORTRANGE(""https://docs.google.com/spreadsheets/d/1v5sN-00LrXuhBxw4dkh2GrG_z4l5oAqOdJRBCsUyMaM/edit?usp=sharing"",""ตรัง!J542"")"),0)</f>
        <v>0</v>
      </c>
      <c r="AF77" s="186">
        <f t="shared" ca="1" si="30"/>
        <v>0</v>
      </c>
    </row>
    <row r="78" spans="1:32" ht="21" customHeight="1" x14ac:dyDescent="0.3">
      <c r="A78" s="72">
        <v>4</v>
      </c>
      <c r="B78" s="73" t="s">
        <v>95</v>
      </c>
      <c r="C78" s="74">
        <f t="shared" ca="1" si="70"/>
        <v>0</v>
      </c>
      <c r="D78" s="75">
        <f ca="1">IFERROR(__xludf.DUMMYFUNCTION("IMPORTRANGE(""https://docs.google.com/spreadsheets/d/1T5rRTzFc79aSIvqnzkZNvwPstq829QYz_xALlO1Z0s8/edit?usp=sharing"",""นครศรีธรรมราช!L528"")"),0)</f>
        <v>0</v>
      </c>
      <c r="E78" s="76">
        <f ca="1">IFERROR(__xludf.DUMMYFUNCTION("IMPORTRANGE(""https://docs.google.com/spreadsheets/d/1T5rRTzFc79aSIvqnzkZNvwPstq829QYz_xALlO1Z0s8/edit?usp=sharing"",""นครศรีธรรมราช!L535"")"),0)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71"/>
        <v>0</v>
      </c>
      <c r="I78" s="76">
        <f ca="1">IFERROR(__xludf.DUMMYFUNCTION("IMPORTRANGE(""https://docs.google.com/spreadsheets/d/1T5rRTzFc79aSIvqnzkZNvwPstq829QYz_xALlO1Z0s8/edit?usp=sharing"",""นครศรีธรรมราช!N529"")"),0)</f>
        <v>0</v>
      </c>
      <c r="J78" s="76">
        <f ca="1">IFERROR(__xludf.DUMMYFUNCTION("IMPORTRANGE(""https://docs.google.com/spreadsheets/d/1T5rRTzFc79aSIvqnzkZNvwPstq829QYz_xALlO1Z0s8/edit?usp=sharing"",""นครศรีธรรมราช!N530"")"),0)</f>
        <v>0</v>
      </c>
      <c r="K78" s="76">
        <f ca="1">IFERROR(__xludf.DUMMYFUNCTION("IMPORTRANGE(""https://docs.google.com/spreadsheets/d/1T5rRTzFc79aSIvqnzkZNvwPstq829QYz_xALlO1Z0s8/edit?usp=sharing"",""นครศรีธรรมราช!N531"")"),0)</f>
        <v>0</v>
      </c>
      <c r="L78" s="76">
        <f ca="1">IFERROR(__xludf.DUMMYFUNCTION("IMPORTRANGE(""https://docs.google.com/spreadsheets/d/1T5rRTzFc79aSIvqnzkZNvwPstq829QYz_xALlO1Z0s8/edit?usp=sharing"",""นครศรีธรรมราช!N532"")"),0)</f>
        <v>0</v>
      </c>
      <c r="M78" s="80">
        <f ca="1">IFERROR(__xludf.DUMMYFUNCTION("IMPORTRANGE(""https://docs.google.com/spreadsheets/d/1T5rRTzFc79aSIvqnzkZNvwPstq829QYz_xALlO1Z0s8/edit?usp=sharing"",""นครศรีธรรมราช!N535"")"),0)</f>
        <v>0</v>
      </c>
      <c r="N78" s="80">
        <f t="shared" ca="1" si="33"/>
        <v>0</v>
      </c>
      <c r="O78" s="81">
        <f ca="1">IFERROR(__xludf.DUMMYFUNCTION("IMPORTRANGE(""https://docs.google.com/spreadsheets/d/1T5rRTzFc79aSIvqnzkZNvwPstq829QYz_xALlO1Z0s8/edit?usp=sharing"",""นครศรีธรรมราช!I537"")"),0)</f>
        <v>0</v>
      </c>
      <c r="P78" s="81">
        <f ca="1">IFERROR(__xludf.DUMMYFUNCTION("IMPORTRANGE(""https://docs.google.com/spreadsheets/d/1T5rRTzFc79aSIvqnzkZNvwPstq829QYz_xALlO1Z0s8/edit?usp=sharing"",""นครศรีธรรมราช!J537"")"),0)</f>
        <v>0</v>
      </c>
      <c r="Q78" s="82">
        <f t="shared" ca="1" si="25"/>
        <v>0</v>
      </c>
      <c r="R78" s="81">
        <f ca="1">IFERROR(__xludf.DUMMYFUNCTION("IMPORTRANGE(""https://docs.google.com/spreadsheets/d/1T5rRTzFc79aSIvqnzkZNvwPstq829QYz_xALlO1Z0s8/edit?usp=sharing"",""นครศรีธรรมราช!I538"")"),0)</f>
        <v>0</v>
      </c>
      <c r="S78" s="81">
        <f ca="1">IFERROR(__xludf.DUMMYFUNCTION("IMPORTRANGE(""https://docs.google.com/spreadsheets/d/1T5rRTzFc79aSIvqnzkZNvwPstq829QYz_xALlO1Z0s8/edit?usp=sharing"",""นครศรีธรรมราช!J538"")"),0)</f>
        <v>0</v>
      </c>
      <c r="T78" s="82">
        <f t="shared" ca="1" si="26"/>
        <v>0</v>
      </c>
      <c r="U78" s="81">
        <f ca="1">IFERROR(__xludf.DUMMYFUNCTION("IMPORTRANGE(""https://docs.google.com/spreadsheets/d/1T5rRTzFc79aSIvqnzkZNvwPstq829QYz_xALlO1Z0s8/edit?usp=sharing"",""นครศรีธรรมราช!I539"")"),0)</f>
        <v>0</v>
      </c>
      <c r="V78" s="81">
        <f ca="1">IFERROR(__xludf.DUMMYFUNCTION("IMPORTRANGE(""https://docs.google.com/spreadsheets/d/1T5rRTzFc79aSIvqnzkZNvwPstq829QYz_xALlO1Z0s8/edit?usp=sharing"",""นครศรีธรรมราช!J539"")"),0)</f>
        <v>0</v>
      </c>
      <c r="W78" s="82">
        <f t="shared" ca="1" si="27"/>
        <v>0</v>
      </c>
      <c r="X78" s="81">
        <f ca="1">IFERROR(__xludf.DUMMYFUNCTION("IMPORTRANGE(""https://docs.google.com/spreadsheets/d/1T5rRTzFc79aSIvqnzkZNvwPstq829QYz_xALlO1Z0s8/edit?usp=sharing"",""นครศรีธรรมราช!I540"")"),0)</f>
        <v>0</v>
      </c>
      <c r="Y78" s="81">
        <f ca="1">IFERROR(__xludf.DUMMYFUNCTION("IMPORTRANGE(""https://docs.google.com/spreadsheets/d/1T5rRTzFc79aSIvqnzkZNvwPstq829QYz_xALlO1Z0s8/edit?usp=sharing"",""นครศรีธรรมราช!J540"")"),0)</f>
        <v>0</v>
      </c>
      <c r="Z78" s="82">
        <f t="shared" ca="1" si="28"/>
        <v>0</v>
      </c>
      <c r="AA78" s="234">
        <f ca="1">IFERROR(__xludf.DUMMYFUNCTION("IMPORTRANGE(""https://docs.google.com/spreadsheets/d/1T5rRTzFc79aSIvqnzkZNvwPstq829QYz_xALlO1Z0s8/edit?usp=sharing"",""นครศรีธรรมราช!I541"")"),0)</f>
        <v>0</v>
      </c>
      <c r="AB78" s="181">
        <f ca="1">IFERROR(__xludf.DUMMYFUNCTION("IMPORTRANGE(""https://docs.google.com/spreadsheets/d/1T5rRTzFc79aSIvqnzkZNvwPstq829QYz_xALlO1Z0s8/edit?usp=sharing"",""นครศรีธรรมราช!J541"")"),0)</f>
        <v>0</v>
      </c>
      <c r="AC78" s="186">
        <f t="shared" ca="1" si="29"/>
        <v>0</v>
      </c>
      <c r="AD78" s="234">
        <f ca="1">IFERROR(__xludf.DUMMYFUNCTION("IMPORTRANGE(""https://docs.google.com/spreadsheets/d/1T5rRTzFc79aSIvqnzkZNvwPstq829QYz_xALlO1Z0s8/edit?usp=sharing"",""นครศรีธรรมราช!I542"")"),0)</f>
        <v>0</v>
      </c>
      <c r="AE78" s="181">
        <f ca="1">IFERROR(__xludf.DUMMYFUNCTION("IMPORTRANGE(""https://docs.google.com/spreadsheets/d/1T5rRTzFc79aSIvqnzkZNvwPstq829QYz_xALlO1Z0s8/edit?usp=sharing"",""นครศรีธรรมราช!J542"")"),0)</f>
        <v>0</v>
      </c>
      <c r="AF78" s="186">
        <f t="shared" ca="1" si="30"/>
        <v>0</v>
      </c>
    </row>
    <row r="79" spans="1:32" ht="21" customHeight="1" x14ac:dyDescent="0.3">
      <c r="A79" s="72">
        <v>5</v>
      </c>
      <c r="B79" s="73" t="s">
        <v>96</v>
      </c>
      <c r="C79" s="74">
        <f t="shared" ca="1" si="70"/>
        <v>0</v>
      </c>
      <c r="D79" s="75">
        <f ca="1">IFERROR(__xludf.DUMMYFUNCTION("IMPORTRANGE(""https://docs.google.com/spreadsheets/d/1BeghqumK0IvCmRd2QOy6_afsZq7ZtAGrSnVJy2u7WmY/edit?usp=sharing"",""นราธิวาส!L528"")"),0)</f>
        <v>0</v>
      </c>
      <c r="E79" s="76">
        <f ca="1">IFERROR(__xludf.DUMMYFUNCTION("IMPORTRANGE(""https://docs.google.com/spreadsheets/d/1BeghqumK0IvCmRd2QOy6_afsZq7ZtAGrSnVJy2u7WmY/edit?usp=sharing"",""นราธิวาส!L535"")"),0)</f>
        <v>0</v>
      </c>
      <c r="F79" s="77">
        <f t="shared" ca="1" si="1"/>
        <v>0</v>
      </c>
      <c r="G79" s="78">
        <f t="shared" ca="1" si="2"/>
        <v>0</v>
      </c>
      <c r="H79" s="79">
        <f t="shared" ca="1" si="71"/>
        <v>0</v>
      </c>
      <c r="I79" s="76">
        <f ca="1">IFERROR(__xludf.DUMMYFUNCTION("IMPORTRANGE(""https://docs.google.com/spreadsheets/d/1BeghqumK0IvCmRd2QOy6_afsZq7ZtAGrSnVJy2u7WmY/edit?usp=sharing"",""นราธิวาส!N529"")"),0)</f>
        <v>0</v>
      </c>
      <c r="J79" s="76">
        <f ca="1">IFERROR(__xludf.DUMMYFUNCTION("IMPORTRANGE(""https://docs.google.com/spreadsheets/d/1BeghqumK0IvCmRd2QOy6_afsZq7ZtAGrSnVJy2u7WmY/edit?usp=sharing"",""นราธิวาส!N530"")"),0)</f>
        <v>0</v>
      </c>
      <c r="K79" s="76">
        <f ca="1">IFERROR(__xludf.DUMMYFUNCTION("IMPORTRANGE(""https://docs.google.com/spreadsheets/d/1BeghqumK0IvCmRd2QOy6_afsZq7ZtAGrSnVJy2u7WmY/edit?usp=sharing"",""นราธิวาส!N531"")"),0)</f>
        <v>0</v>
      </c>
      <c r="L79" s="76">
        <f ca="1">IFERROR(__xludf.DUMMYFUNCTION("IMPORTRANGE(""https://docs.google.com/spreadsheets/d/1BeghqumK0IvCmRd2QOy6_afsZq7ZtAGrSnVJy2u7WmY/edit?usp=sharing"",""นราธิวาส!N532"")"),0)</f>
        <v>0</v>
      </c>
      <c r="M79" s="80">
        <f ca="1">IFERROR(__xludf.DUMMYFUNCTION("IMPORTRANGE(""https://docs.google.com/spreadsheets/d/1BeghqumK0IvCmRd2QOy6_afsZq7ZtAGrSnVJy2u7WmY/edit?usp=sharing"",""นราธิวาส!N535"")"),0)</f>
        <v>0</v>
      </c>
      <c r="N79" s="80">
        <f t="shared" ca="1" si="33"/>
        <v>0</v>
      </c>
      <c r="O79" s="81">
        <f ca="1">IFERROR(__xludf.DUMMYFUNCTION("IMPORTRANGE(""https://docs.google.com/spreadsheets/d/1BeghqumK0IvCmRd2QOy6_afsZq7ZtAGrSnVJy2u7WmY/edit?usp=sharing"",""นราธิวาส!I537"")"),0)</f>
        <v>0</v>
      </c>
      <c r="P79" s="81">
        <f ca="1">IFERROR(__xludf.DUMMYFUNCTION("IMPORTRANGE(""https://docs.google.com/spreadsheets/d/1BeghqumK0IvCmRd2QOy6_afsZq7ZtAGrSnVJy2u7WmY/edit?usp=sharing"",""นราธิวาส!J537"")"),0)</f>
        <v>0</v>
      </c>
      <c r="Q79" s="82">
        <f t="shared" ca="1" si="25"/>
        <v>0</v>
      </c>
      <c r="R79" s="81">
        <f ca="1">IFERROR(__xludf.DUMMYFUNCTION("IMPORTRANGE(""https://docs.google.com/spreadsheets/d/1BeghqumK0IvCmRd2QOy6_afsZq7ZtAGrSnVJy2u7WmY/edit?usp=sharing"",""นราธิวาส!I538"")"),0)</f>
        <v>0</v>
      </c>
      <c r="S79" s="81">
        <f ca="1">IFERROR(__xludf.DUMMYFUNCTION("IMPORTRANGE(""https://docs.google.com/spreadsheets/d/1BeghqumK0IvCmRd2QOy6_afsZq7ZtAGrSnVJy2u7WmY/edit?usp=sharing"",""นราธิวาส!J538"")"),0)</f>
        <v>0</v>
      </c>
      <c r="T79" s="82">
        <f t="shared" ca="1" si="26"/>
        <v>0</v>
      </c>
      <c r="U79" s="81">
        <f ca="1">IFERROR(__xludf.DUMMYFUNCTION("IMPORTRANGE(""https://docs.google.com/spreadsheets/d/1BeghqumK0IvCmRd2QOy6_afsZq7ZtAGrSnVJy2u7WmY/edit?usp=sharing"",""นราธิวาส!I539"")"),0)</f>
        <v>0</v>
      </c>
      <c r="V79" s="81">
        <f ca="1">IFERROR(__xludf.DUMMYFUNCTION("IMPORTRANGE(""https://docs.google.com/spreadsheets/d/1BeghqumK0IvCmRd2QOy6_afsZq7ZtAGrSnVJy2u7WmY/edit?usp=sharing"",""นราธิวาส!J539"")"),0)</f>
        <v>0</v>
      </c>
      <c r="W79" s="82">
        <f t="shared" ca="1" si="27"/>
        <v>0</v>
      </c>
      <c r="X79" s="81">
        <f ca="1">IFERROR(__xludf.DUMMYFUNCTION("IMPORTRANGE(""https://docs.google.com/spreadsheets/d/1BeghqumK0IvCmRd2QOy6_afsZq7ZtAGrSnVJy2u7WmY/edit?usp=sharing"",""นราธิวาส!I540"")"),0)</f>
        <v>0</v>
      </c>
      <c r="Y79" s="81">
        <f ca="1">IFERROR(__xludf.DUMMYFUNCTION("IMPORTRANGE(""https://docs.google.com/spreadsheets/d/1BeghqumK0IvCmRd2QOy6_afsZq7ZtAGrSnVJy2u7WmY/edit?usp=sharing"",""นราธิวาส!J540"")"),0)</f>
        <v>0</v>
      </c>
      <c r="Z79" s="82">
        <f t="shared" ca="1" si="28"/>
        <v>0</v>
      </c>
      <c r="AA79" s="234">
        <f ca="1">IFERROR(__xludf.DUMMYFUNCTION("IMPORTRANGE(""https://docs.google.com/spreadsheets/d/1BeghqumK0IvCmRd2QOy6_afsZq7ZtAGrSnVJy2u7WmY/edit?usp=sharing"",""นราธิวาส!I541"")"),0)</f>
        <v>0</v>
      </c>
      <c r="AB79" s="181">
        <f ca="1">IFERROR(__xludf.DUMMYFUNCTION("IMPORTRANGE(""https://docs.google.com/spreadsheets/d/1BeghqumK0IvCmRd2QOy6_afsZq7ZtAGrSnVJy2u7WmY/edit?usp=sharing"",""นราธิวาส!J541"")"),0)</f>
        <v>0</v>
      </c>
      <c r="AC79" s="186">
        <f t="shared" ca="1" si="29"/>
        <v>0</v>
      </c>
      <c r="AD79" s="234">
        <f ca="1">IFERROR(__xludf.DUMMYFUNCTION("IMPORTRANGE(""https://docs.google.com/spreadsheets/d/1BeghqumK0IvCmRd2QOy6_afsZq7ZtAGrSnVJy2u7WmY/edit?usp=sharing"",""นราธิวาส!I542"")"),0)</f>
        <v>0</v>
      </c>
      <c r="AE79" s="181">
        <f ca="1">IFERROR(__xludf.DUMMYFUNCTION("IMPORTRANGE(""https://docs.google.com/spreadsheets/d/1BeghqumK0IvCmRd2QOy6_afsZq7ZtAGrSnVJy2u7WmY/edit?usp=sharing"",""นราธิวาส!J542"")"),0)</f>
        <v>0</v>
      </c>
      <c r="AF79" s="186">
        <f t="shared" ca="1" si="30"/>
        <v>0</v>
      </c>
    </row>
    <row r="80" spans="1:32" ht="21" customHeight="1" x14ac:dyDescent="0.3">
      <c r="A80" s="72">
        <v>6</v>
      </c>
      <c r="B80" s="73" t="s">
        <v>97</v>
      </c>
      <c r="C80" s="74">
        <f t="shared" ca="1" si="70"/>
        <v>0</v>
      </c>
      <c r="D80" s="75">
        <f ca="1">IFERROR(__xludf.DUMMYFUNCTION("IMPORTRANGE(""https://docs.google.com/spreadsheets/d/1IwnW3-jjRf74MCLW-6PiFwMUffRQXZwZA7YM609NmRc/edit?usp=sharing"",""ปัตตานี!L528"")"),0)</f>
        <v>0</v>
      </c>
      <c r="E80" s="76">
        <f ca="1">IFERROR(__xludf.DUMMYFUNCTION("IMPORTRANGE(""https://docs.google.com/spreadsheets/d/1IwnW3-jjRf74MCLW-6PiFwMUffRQXZwZA7YM609NmRc/edit?usp=sharing"",""ปัตตานี!L535"")"),0)</f>
        <v>0</v>
      </c>
      <c r="F80" s="77">
        <f t="shared" ca="1" si="1"/>
        <v>0</v>
      </c>
      <c r="G80" s="78">
        <f t="shared" ca="1" si="2"/>
        <v>0</v>
      </c>
      <c r="H80" s="79">
        <f t="shared" ca="1" si="71"/>
        <v>0</v>
      </c>
      <c r="I80" s="76">
        <f ca="1">IFERROR(__xludf.DUMMYFUNCTION("IMPORTRANGE(""https://docs.google.com/spreadsheets/d/1IwnW3-jjRf74MCLW-6PiFwMUffRQXZwZA7YM609NmRc/edit?usp=sharing"",""ปัตตานี!N529"")"),0)</f>
        <v>0</v>
      </c>
      <c r="J80" s="76">
        <f ca="1">IFERROR(__xludf.DUMMYFUNCTION("IMPORTRANGE(""https://docs.google.com/spreadsheets/d/1IwnW3-jjRf74MCLW-6PiFwMUffRQXZwZA7YM609NmRc/edit?usp=sharing"",""ปัตตานี!N530"")"),0)</f>
        <v>0</v>
      </c>
      <c r="K80" s="76">
        <f ca="1">IFERROR(__xludf.DUMMYFUNCTION("IMPORTRANGE(""https://docs.google.com/spreadsheets/d/1IwnW3-jjRf74MCLW-6PiFwMUffRQXZwZA7YM609NmRc/edit?usp=sharing"",""ปัตตานี!N531"")"),0)</f>
        <v>0</v>
      </c>
      <c r="L80" s="76">
        <f ca="1">IFERROR(__xludf.DUMMYFUNCTION("IMPORTRANGE(""https://docs.google.com/spreadsheets/d/1IwnW3-jjRf74MCLW-6PiFwMUffRQXZwZA7YM609NmRc/edit?usp=sharing"",""ปัตตานี!N532"")"),0)</f>
        <v>0</v>
      </c>
      <c r="M80" s="80">
        <f ca="1">IFERROR(__xludf.DUMMYFUNCTION("IMPORTRANGE(""https://docs.google.com/spreadsheets/d/1IwnW3-jjRf74MCLW-6PiFwMUffRQXZwZA7YM609NmRc/edit?usp=sharing"",""ปัตตานี!N535"")"),0)</f>
        <v>0</v>
      </c>
      <c r="N80" s="80">
        <f t="shared" ca="1" si="33"/>
        <v>0</v>
      </c>
      <c r="O80" s="81">
        <f ca="1">IFERROR(__xludf.DUMMYFUNCTION("IMPORTRANGE(""https://docs.google.com/spreadsheets/d/1IwnW3-jjRf74MCLW-6PiFwMUffRQXZwZA7YM609NmRc/edit?usp=sharing"",""ปัตตานี!I537"")"),0)</f>
        <v>0</v>
      </c>
      <c r="P80" s="81">
        <f ca="1">IFERROR(__xludf.DUMMYFUNCTION("IMPORTRANGE(""https://docs.google.com/spreadsheets/d/1IwnW3-jjRf74MCLW-6PiFwMUffRQXZwZA7YM609NmRc/edit?usp=sharing"",""ปัตตานี!J537"")"),0)</f>
        <v>0</v>
      </c>
      <c r="Q80" s="82">
        <f t="shared" ca="1" si="25"/>
        <v>0</v>
      </c>
      <c r="R80" s="81">
        <f ca="1">IFERROR(__xludf.DUMMYFUNCTION("IMPORTRANGE(""https://docs.google.com/spreadsheets/d/1IwnW3-jjRf74MCLW-6PiFwMUffRQXZwZA7YM609NmRc/edit?usp=sharing"",""ปัตตานี!I538"")"),0)</f>
        <v>0</v>
      </c>
      <c r="S80" s="81">
        <f ca="1">IFERROR(__xludf.DUMMYFUNCTION("IMPORTRANGE(""https://docs.google.com/spreadsheets/d/1IwnW3-jjRf74MCLW-6PiFwMUffRQXZwZA7YM609NmRc/edit?usp=sharing"",""ปัตตานี!J538"")"),0)</f>
        <v>0</v>
      </c>
      <c r="T80" s="82">
        <f t="shared" ca="1" si="26"/>
        <v>0</v>
      </c>
      <c r="U80" s="81">
        <f ca="1">IFERROR(__xludf.DUMMYFUNCTION("IMPORTRANGE(""https://docs.google.com/spreadsheets/d/1IwnW3-jjRf74MCLW-6PiFwMUffRQXZwZA7YM609NmRc/edit?usp=sharing"",""ปัตตานี!I539"")"),0)</f>
        <v>0</v>
      </c>
      <c r="V80" s="81">
        <f ca="1">IFERROR(__xludf.DUMMYFUNCTION("IMPORTRANGE(""https://docs.google.com/spreadsheets/d/1IwnW3-jjRf74MCLW-6PiFwMUffRQXZwZA7YM609NmRc/edit?usp=sharing"",""ปัตตานี!J539"")"),0)</f>
        <v>0</v>
      </c>
      <c r="W80" s="82">
        <f t="shared" ca="1" si="27"/>
        <v>0</v>
      </c>
      <c r="X80" s="81">
        <f ca="1">IFERROR(__xludf.DUMMYFUNCTION("IMPORTRANGE(""https://docs.google.com/spreadsheets/d/1IwnW3-jjRf74MCLW-6PiFwMUffRQXZwZA7YM609NmRc/edit?usp=sharing"",""ปัตตานี!I540"")"),0)</f>
        <v>0</v>
      </c>
      <c r="Y80" s="81">
        <f ca="1">IFERROR(__xludf.DUMMYFUNCTION("IMPORTRANGE(""https://docs.google.com/spreadsheets/d/1IwnW3-jjRf74MCLW-6PiFwMUffRQXZwZA7YM609NmRc/edit?usp=sharing"",""ปัตตานี!J540"")"),0)</f>
        <v>0</v>
      </c>
      <c r="Z80" s="82">
        <f t="shared" ca="1" si="28"/>
        <v>0</v>
      </c>
      <c r="AA80" s="234">
        <f ca="1">IFERROR(__xludf.DUMMYFUNCTION("IMPORTRANGE(""https://docs.google.com/spreadsheets/d/1IwnW3-jjRf74MCLW-6PiFwMUffRQXZwZA7YM609NmRc/edit?usp=sharing"",""ปัตตานี!I541"")"),0)</f>
        <v>0</v>
      </c>
      <c r="AB80" s="181">
        <f ca="1">IFERROR(__xludf.DUMMYFUNCTION("IMPORTRANGE(""https://docs.google.com/spreadsheets/d/1IwnW3-jjRf74MCLW-6PiFwMUffRQXZwZA7YM609NmRc/edit?usp=sharing"",""ปัตตานี!J541"")"),0)</f>
        <v>0</v>
      </c>
      <c r="AC80" s="186">
        <f t="shared" ca="1" si="29"/>
        <v>0</v>
      </c>
      <c r="AD80" s="234">
        <f ca="1">IFERROR(__xludf.DUMMYFUNCTION("IMPORTRANGE(""https://docs.google.com/spreadsheets/d/1IwnW3-jjRf74MCLW-6PiFwMUffRQXZwZA7YM609NmRc/edit?usp=sharing"",""ปัตตานี!I542"")"),0)</f>
        <v>0</v>
      </c>
      <c r="AE80" s="181">
        <f ca="1">IFERROR(__xludf.DUMMYFUNCTION("IMPORTRANGE(""https://docs.google.com/spreadsheets/d/1IwnW3-jjRf74MCLW-6PiFwMUffRQXZwZA7YM609NmRc/edit?usp=sharing"",""ปัตตานี!J542"")"),0)</f>
        <v>0</v>
      </c>
      <c r="AF80" s="186">
        <f t="shared" ca="1" si="30"/>
        <v>0</v>
      </c>
    </row>
    <row r="81" spans="1:32" ht="21" customHeight="1" x14ac:dyDescent="0.3">
      <c r="A81" s="72">
        <v>7</v>
      </c>
      <c r="B81" s="73" t="s">
        <v>98</v>
      </c>
      <c r="C81" s="74">
        <f t="shared" ca="1" si="70"/>
        <v>0</v>
      </c>
      <c r="D81" s="75">
        <f ca="1">IFERROR(__xludf.DUMMYFUNCTION("IMPORTRANGE(""https://docs.google.com/spreadsheets/d/1vl4QWbWdFruual5o_wdo6ZSqXZ_it806oja4CctTLKs/edit?usp=sharing"",""พังงา!L528"")"),0)</f>
        <v>0</v>
      </c>
      <c r="E81" s="76">
        <f ca="1">IFERROR(__xludf.DUMMYFUNCTION("IMPORTRANGE(""https://docs.google.com/spreadsheets/d/1vl4QWbWdFruual5o_wdo6ZSqXZ_it806oja4CctTLKs/edit?usp=sharing"",""พังงา!L535"")"),0)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71"/>
        <v>0</v>
      </c>
      <c r="I81" s="76">
        <f ca="1">IFERROR(__xludf.DUMMYFUNCTION("IMPORTRANGE(""https://docs.google.com/spreadsheets/d/1vl4QWbWdFruual5o_wdo6ZSqXZ_it806oja4CctTLKs/edit?usp=sharing"",""พังงา!N529"")"),0)</f>
        <v>0</v>
      </c>
      <c r="J81" s="76">
        <f ca="1">IFERROR(__xludf.DUMMYFUNCTION("IMPORTRANGE(""https://docs.google.com/spreadsheets/d/1vl4QWbWdFruual5o_wdo6ZSqXZ_it806oja4CctTLKs/edit?usp=sharing"",""พังงา!N530"")"),0)</f>
        <v>0</v>
      </c>
      <c r="K81" s="76">
        <f ca="1">IFERROR(__xludf.DUMMYFUNCTION("IMPORTRANGE(""https://docs.google.com/spreadsheets/d/1vl4QWbWdFruual5o_wdo6ZSqXZ_it806oja4CctTLKs/edit?usp=sharing"",""พังงา!N531"")"),0)</f>
        <v>0</v>
      </c>
      <c r="L81" s="76">
        <f ca="1">IFERROR(__xludf.DUMMYFUNCTION("IMPORTRANGE(""https://docs.google.com/spreadsheets/d/1vl4QWbWdFruual5o_wdo6ZSqXZ_it806oja4CctTLKs/edit?usp=sharing"",""พังงา!N532"")"),0)</f>
        <v>0</v>
      </c>
      <c r="M81" s="80">
        <f ca="1">IFERROR(__xludf.DUMMYFUNCTION("IMPORTRANGE(""https://docs.google.com/spreadsheets/d/1vl4QWbWdFruual5o_wdo6ZSqXZ_it806oja4CctTLKs/edit?usp=sharing"",""พังงา!N535"")"),0)</f>
        <v>0</v>
      </c>
      <c r="N81" s="80">
        <f t="shared" ca="1" si="33"/>
        <v>0</v>
      </c>
      <c r="O81" s="81">
        <f ca="1">IFERROR(__xludf.DUMMYFUNCTION("IMPORTRANGE(""https://docs.google.com/spreadsheets/d/1vl4QWbWdFruual5o_wdo6ZSqXZ_it806oja4CctTLKs/edit?usp=sharing"",""พังงา!I537"")"),0)</f>
        <v>0</v>
      </c>
      <c r="P81" s="81">
        <f ca="1">IFERROR(__xludf.DUMMYFUNCTION("IMPORTRANGE(""https://docs.google.com/spreadsheets/d/1vl4QWbWdFruual5o_wdo6ZSqXZ_it806oja4CctTLKs/edit?usp=sharing"",""พังงา!J537"")"),0)</f>
        <v>0</v>
      </c>
      <c r="Q81" s="82">
        <f t="shared" ca="1" si="25"/>
        <v>0</v>
      </c>
      <c r="R81" s="81">
        <f ca="1">IFERROR(__xludf.DUMMYFUNCTION("IMPORTRANGE(""https://docs.google.com/spreadsheets/d/1vl4QWbWdFruual5o_wdo6ZSqXZ_it806oja4CctTLKs/edit?usp=sharing"",""พังงา!I538"")"),0)</f>
        <v>0</v>
      </c>
      <c r="S81" s="81">
        <f ca="1">IFERROR(__xludf.DUMMYFUNCTION("IMPORTRANGE(""https://docs.google.com/spreadsheets/d/1vl4QWbWdFruual5o_wdo6ZSqXZ_it806oja4CctTLKs/edit?usp=sharing"",""พังงา!J538"")"),0)</f>
        <v>0</v>
      </c>
      <c r="T81" s="82">
        <f t="shared" ca="1" si="26"/>
        <v>0</v>
      </c>
      <c r="U81" s="81">
        <f ca="1">IFERROR(__xludf.DUMMYFUNCTION("IMPORTRANGE(""https://docs.google.com/spreadsheets/d/1vl4QWbWdFruual5o_wdo6ZSqXZ_it806oja4CctTLKs/edit?usp=sharing"",""พังงา!I539"")"),0)</f>
        <v>0</v>
      </c>
      <c r="V81" s="81">
        <f ca="1">IFERROR(__xludf.DUMMYFUNCTION("IMPORTRANGE(""https://docs.google.com/spreadsheets/d/1vl4QWbWdFruual5o_wdo6ZSqXZ_it806oja4CctTLKs/edit?usp=sharing"",""พังงา!J539"")"),0)</f>
        <v>0</v>
      </c>
      <c r="W81" s="82">
        <f t="shared" ca="1" si="27"/>
        <v>0</v>
      </c>
      <c r="X81" s="81">
        <f ca="1">IFERROR(__xludf.DUMMYFUNCTION("IMPORTRANGE(""https://docs.google.com/spreadsheets/d/1vl4QWbWdFruual5o_wdo6ZSqXZ_it806oja4CctTLKs/edit?usp=sharing"",""พังงา!I540"")"),0)</f>
        <v>0</v>
      </c>
      <c r="Y81" s="81">
        <f ca="1">IFERROR(__xludf.DUMMYFUNCTION("IMPORTRANGE(""https://docs.google.com/spreadsheets/d/1vl4QWbWdFruual5o_wdo6ZSqXZ_it806oja4CctTLKs/edit?usp=sharing"",""พังงา!J540"")"),0)</f>
        <v>0</v>
      </c>
      <c r="Z81" s="82">
        <f t="shared" ca="1" si="28"/>
        <v>0</v>
      </c>
      <c r="AA81" s="234">
        <f ca="1">IFERROR(__xludf.DUMMYFUNCTION("IMPORTRANGE(""https://docs.google.com/spreadsheets/d/1vl4QWbWdFruual5o_wdo6ZSqXZ_it806oja4CctTLKs/edit?usp=sharing"",""พังงา!I541"")"),0)</f>
        <v>0</v>
      </c>
      <c r="AB81" s="181">
        <f ca="1">IFERROR(__xludf.DUMMYFUNCTION("IMPORTRANGE(""https://docs.google.com/spreadsheets/d/1vl4QWbWdFruual5o_wdo6ZSqXZ_it806oja4CctTLKs/edit?usp=sharing"",""พังงา!J541"")"),0)</f>
        <v>0</v>
      </c>
      <c r="AC81" s="186">
        <f t="shared" ca="1" si="29"/>
        <v>0</v>
      </c>
      <c r="AD81" s="234">
        <f ca="1">IFERROR(__xludf.DUMMYFUNCTION("IMPORTRANGE(""https://docs.google.com/spreadsheets/d/1vl4QWbWdFruual5o_wdo6ZSqXZ_it806oja4CctTLKs/edit?usp=sharing"",""พังงา!I542"")"),0)</f>
        <v>0</v>
      </c>
      <c r="AE81" s="181">
        <f ca="1">IFERROR(__xludf.DUMMYFUNCTION("IMPORTRANGE(""https://docs.google.com/spreadsheets/d/1vl4QWbWdFruual5o_wdo6ZSqXZ_it806oja4CctTLKs/edit?usp=sharing"",""พังงา!J542"")"),0)</f>
        <v>0</v>
      </c>
      <c r="AF81" s="186">
        <f t="shared" ca="1" si="30"/>
        <v>0</v>
      </c>
    </row>
    <row r="82" spans="1:32" ht="21" customHeight="1" x14ac:dyDescent="0.3">
      <c r="A82" s="72">
        <v>8</v>
      </c>
      <c r="B82" s="73" t="s">
        <v>99</v>
      </c>
      <c r="C82" s="74">
        <f t="shared" ca="1" si="70"/>
        <v>0</v>
      </c>
      <c r="D82" s="75">
        <f ca="1">IFERROR(__xludf.DUMMYFUNCTION("IMPORTRANGE(""https://docs.google.com/spreadsheets/d/1b6QssHQp2FoAPSMKHOy273KNzAomaIKhtdlvuZ_zDNE/edit?usp=sharing"",""พัทลุง!L528"")"),0)</f>
        <v>0</v>
      </c>
      <c r="E82" s="76">
        <f ca="1">IFERROR(__xludf.DUMMYFUNCTION("IMPORTRANGE(""https://docs.google.com/spreadsheets/d/1b6QssHQp2FoAPSMKHOy273KNzAomaIKhtdlvuZ_zDNE/edit?usp=sharing"",""พัทลุง!L535"")"),0)</f>
        <v>0</v>
      </c>
      <c r="F82" s="77">
        <f t="shared" ca="1" si="1"/>
        <v>0</v>
      </c>
      <c r="G82" s="78">
        <f t="shared" ca="1" si="2"/>
        <v>0</v>
      </c>
      <c r="H82" s="79">
        <f t="shared" ca="1" si="71"/>
        <v>0</v>
      </c>
      <c r="I82" s="76">
        <f ca="1">IFERROR(__xludf.DUMMYFUNCTION("IMPORTRANGE(""https://docs.google.com/spreadsheets/d/1b6QssHQp2FoAPSMKHOy273KNzAomaIKhtdlvuZ_zDNE/edit?usp=sharing"",""พัทลุง!N529"")"),0)</f>
        <v>0</v>
      </c>
      <c r="J82" s="76">
        <f ca="1">IFERROR(__xludf.DUMMYFUNCTION("IMPORTRANGE(""https://docs.google.com/spreadsheets/d/1b6QssHQp2FoAPSMKHOy273KNzAomaIKhtdlvuZ_zDNE/edit?usp=sharing"",""พัทลุง!N530"")"),0)</f>
        <v>0</v>
      </c>
      <c r="K82" s="76">
        <f ca="1">IFERROR(__xludf.DUMMYFUNCTION("IMPORTRANGE(""https://docs.google.com/spreadsheets/d/1b6QssHQp2FoAPSMKHOy273KNzAomaIKhtdlvuZ_zDNE/edit?usp=sharing"",""พัทลุง!N531"")"),0)</f>
        <v>0</v>
      </c>
      <c r="L82" s="76">
        <f ca="1">IFERROR(__xludf.DUMMYFUNCTION("IMPORTRANGE(""https://docs.google.com/spreadsheets/d/1b6QssHQp2FoAPSMKHOy273KNzAomaIKhtdlvuZ_zDNE/edit?usp=sharing"",""พัทลุง!N532"")"),0)</f>
        <v>0</v>
      </c>
      <c r="M82" s="80">
        <f ca="1">IFERROR(__xludf.DUMMYFUNCTION("IMPORTRANGE(""https://docs.google.com/spreadsheets/d/1b6QssHQp2FoAPSMKHOy273KNzAomaIKhtdlvuZ_zDNE/edit?usp=sharing"",""พัทลุง!N535"")"),0)</f>
        <v>0</v>
      </c>
      <c r="N82" s="80">
        <f t="shared" ca="1" si="33"/>
        <v>0</v>
      </c>
      <c r="O82" s="81">
        <f ca="1">IFERROR(__xludf.DUMMYFUNCTION("IMPORTRANGE(""https://docs.google.com/spreadsheets/d/1b6QssHQp2FoAPSMKHOy273KNzAomaIKhtdlvuZ_zDNE/edit?usp=sharing"",""พัทลุง!I537"")"),0)</f>
        <v>0</v>
      </c>
      <c r="P82" s="81">
        <f ca="1">IFERROR(__xludf.DUMMYFUNCTION("IMPORTRANGE(""https://docs.google.com/spreadsheets/d/1b6QssHQp2FoAPSMKHOy273KNzAomaIKhtdlvuZ_zDNE/edit?usp=sharing"",""พัทลุง!J537"")"),0)</f>
        <v>0</v>
      </c>
      <c r="Q82" s="82">
        <f t="shared" ca="1" si="25"/>
        <v>0</v>
      </c>
      <c r="R82" s="81">
        <f ca="1">IFERROR(__xludf.DUMMYFUNCTION("IMPORTRANGE(""https://docs.google.com/spreadsheets/d/1b6QssHQp2FoAPSMKHOy273KNzAomaIKhtdlvuZ_zDNE/edit?usp=sharing"",""พัทลุง!I538"")"),0)</f>
        <v>0</v>
      </c>
      <c r="S82" s="81">
        <f ca="1">IFERROR(__xludf.DUMMYFUNCTION("IMPORTRANGE(""https://docs.google.com/spreadsheets/d/1b6QssHQp2FoAPSMKHOy273KNzAomaIKhtdlvuZ_zDNE/edit?usp=sharing"",""พัทลุง!J538"")"),0)</f>
        <v>0</v>
      </c>
      <c r="T82" s="82">
        <f t="shared" ca="1" si="26"/>
        <v>0</v>
      </c>
      <c r="U82" s="81">
        <f ca="1">IFERROR(__xludf.DUMMYFUNCTION("IMPORTRANGE(""https://docs.google.com/spreadsheets/d/1b6QssHQp2FoAPSMKHOy273KNzAomaIKhtdlvuZ_zDNE/edit?usp=sharing"",""พัทลุง!I539"")"),0)</f>
        <v>0</v>
      </c>
      <c r="V82" s="81">
        <f ca="1">IFERROR(__xludf.DUMMYFUNCTION("IMPORTRANGE(""https://docs.google.com/spreadsheets/d/1b6QssHQp2FoAPSMKHOy273KNzAomaIKhtdlvuZ_zDNE/edit?usp=sharing"",""พัทลุง!J539"")"),0)</f>
        <v>0</v>
      </c>
      <c r="W82" s="82">
        <f t="shared" ca="1" si="27"/>
        <v>0</v>
      </c>
      <c r="X82" s="81">
        <f ca="1">IFERROR(__xludf.DUMMYFUNCTION("IMPORTRANGE(""https://docs.google.com/spreadsheets/d/1b6QssHQp2FoAPSMKHOy273KNzAomaIKhtdlvuZ_zDNE/edit?usp=sharing"",""พัทลุง!I540"")"),0)</f>
        <v>0</v>
      </c>
      <c r="Y82" s="81">
        <f ca="1">IFERROR(__xludf.DUMMYFUNCTION("IMPORTRANGE(""https://docs.google.com/spreadsheets/d/1b6QssHQp2FoAPSMKHOy273KNzAomaIKhtdlvuZ_zDNE/edit?usp=sharing"",""พัทลุง!J540"")"),0)</f>
        <v>0</v>
      </c>
      <c r="Z82" s="82">
        <f t="shared" ca="1" si="28"/>
        <v>0</v>
      </c>
      <c r="AA82" s="234">
        <f ca="1">IFERROR(__xludf.DUMMYFUNCTION("IMPORTRANGE(""https://docs.google.com/spreadsheets/d/1b6QssHQp2FoAPSMKHOy273KNzAomaIKhtdlvuZ_zDNE/edit?usp=sharing"",""พัทลุง!I541"")"),0)</f>
        <v>0</v>
      </c>
      <c r="AB82" s="181">
        <f ca="1">IFERROR(__xludf.DUMMYFUNCTION("IMPORTRANGE(""https://docs.google.com/spreadsheets/d/1b6QssHQp2FoAPSMKHOy273KNzAomaIKhtdlvuZ_zDNE/edit?usp=sharing"",""พัทลุง!J541"")"),0)</f>
        <v>0</v>
      </c>
      <c r="AC82" s="186">
        <f t="shared" ca="1" si="29"/>
        <v>0</v>
      </c>
      <c r="AD82" s="234">
        <f ca="1">IFERROR(__xludf.DUMMYFUNCTION("IMPORTRANGE(""https://docs.google.com/spreadsheets/d/1b6QssHQp2FoAPSMKHOy273KNzAomaIKhtdlvuZ_zDNE/edit?usp=sharing"",""พัทลุง!I542"")"),0)</f>
        <v>0</v>
      </c>
      <c r="AE82" s="181">
        <f ca="1">IFERROR(__xludf.DUMMYFUNCTION("IMPORTRANGE(""https://docs.google.com/spreadsheets/d/1b6QssHQp2FoAPSMKHOy273KNzAomaIKhtdlvuZ_zDNE/edit?usp=sharing"",""พัทลุง!J542"")"),0)</f>
        <v>0</v>
      </c>
      <c r="AF82" s="186">
        <f t="shared" ca="1" si="30"/>
        <v>0</v>
      </c>
    </row>
    <row r="83" spans="1:32" ht="21" customHeight="1" x14ac:dyDescent="0.3">
      <c r="A83" s="72">
        <v>9</v>
      </c>
      <c r="B83" s="73" t="s">
        <v>100</v>
      </c>
      <c r="C83" s="74">
        <f t="shared" ca="1" si="70"/>
        <v>0</v>
      </c>
      <c r="D83" s="75">
        <f ca="1">IFERROR(__xludf.DUMMYFUNCTION("IMPORTRANGE(""https://docs.google.com/spreadsheets/d/1o7UZe4_OqlqtLDHrj01Z2YFRSZDf1DMy1n3XViHaxRc/edit?usp=sharing"",""ภูเก็ต!L528"")"),0)</f>
        <v>0</v>
      </c>
      <c r="E83" s="76">
        <f ca="1">IFERROR(__xludf.DUMMYFUNCTION("IMPORTRANGE(""https://docs.google.com/spreadsheets/d/1o7UZe4_OqlqtLDHrj01Z2YFRSZDf1DMy1n3XViHaxRc/edit?usp=sharing"",""ภูเก็ต!L535"")"),0)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71"/>
        <v>0</v>
      </c>
      <c r="I83" s="76">
        <f ca="1">IFERROR(__xludf.DUMMYFUNCTION("IMPORTRANGE(""https://docs.google.com/spreadsheets/d/1o7UZe4_OqlqtLDHrj01Z2YFRSZDf1DMy1n3XViHaxRc/edit?usp=sharing"",""ภูเก็ต!N529"")"),0)</f>
        <v>0</v>
      </c>
      <c r="J83" s="76">
        <f ca="1">IFERROR(__xludf.DUMMYFUNCTION("IMPORTRANGE(""https://docs.google.com/spreadsheets/d/1o7UZe4_OqlqtLDHrj01Z2YFRSZDf1DMy1n3XViHaxRc/edit?usp=sharing"",""ภูเก็ต!N530"")"),0)</f>
        <v>0</v>
      </c>
      <c r="K83" s="76">
        <f ca="1">IFERROR(__xludf.DUMMYFUNCTION("IMPORTRANGE(""https://docs.google.com/spreadsheets/d/1o7UZe4_OqlqtLDHrj01Z2YFRSZDf1DMy1n3XViHaxRc/edit?usp=sharing"",""ภูเก็ต!N531"")"),0)</f>
        <v>0</v>
      </c>
      <c r="L83" s="76">
        <f ca="1">IFERROR(__xludf.DUMMYFUNCTION("IMPORTRANGE(""https://docs.google.com/spreadsheets/d/1o7UZe4_OqlqtLDHrj01Z2YFRSZDf1DMy1n3XViHaxRc/edit?usp=sharing"",""ภูเก็ต!N532"")"),0)</f>
        <v>0</v>
      </c>
      <c r="M83" s="80">
        <f ca="1">IFERROR(__xludf.DUMMYFUNCTION("IMPORTRANGE(""https://docs.google.com/spreadsheets/d/1o7UZe4_OqlqtLDHrj01Z2YFRSZDf1DMy1n3XViHaxRc/edit?usp=sharing"",""ภูเก็ต!N535"")"),0)</f>
        <v>0</v>
      </c>
      <c r="N83" s="80">
        <f t="shared" ca="1" si="33"/>
        <v>0</v>
      </c>
      <c r="O83" s="81">
        <f ca="1">IFERROR(__xludf.DUMMYFUNCTION("IMPORTRANGE(""https://docs.google.com/spreadsheets/d/1o7UZe4_OqlqtLDHrj01Z2YFRSZDf1DMy1n3XViHaxRc/edit?usp=sharing"",""ภูเก็ต!I537"")"),0)</f>
        <v>0</v>
      </c>
      <c r="P83" s="81">
        <f ca="1">IFERROR(__xludf.DUMMYFUNCTION("IMPORTRANGE(""https://docs.google.com/spreadsheets/d/1o7UZe4_OqlqtLDHrj01Z2YFRSZDf1DMy1n3XViHaxRc/edit?usp=sharing"",""ภูเก็ต!J537"")"),0)</f>
        <v>0</v>
      </c>
      <c r="Q83" s="82">
        <f t="shared" ca="1" si="25"/>
        <v>0</v>
      </c>
      <c r="R83" s="81">
        <f ca="1">IFERROR(__xludf.DUMMYFUNCTION("IMPORTRANGE(""https://docs.google.com/spreadsheets/d/1o7UZe4_OqlqtLDHrj01Z2YFRSZDf1DMy1n3XViHaxRc/edit?usp=sharing"",""ภูเก็ต!I538"")"),0)</f>
        <v>0</v>
      </c>
      <c r="S83" s="81">
        <f ca="1">IFERROR(__xludf.DUMMYFUNCTION("IMPORTRANGE(""https://docs.google.com/spreadsheets/d/1o7UZe4_OqlqtLDHrj01Z2YFRSZDf1DMy1n3XViHaxRc/edit?usp=sharing"",""ภูเก็ต!J538"")"),0)</f>
        <v>0</v>
      </c>
      <c r="T83" s="82">
        <f t="shared" ca="1" si="26"/>
        <v>0</v>
      </c>
      <c r="U83" s="81">
        <f ca="1">IFERROR(__xludf.DUMMYFUNCTION("IMPORTRANGE(""https://docs.google.com/spreadsheets/d/1o7UZe4_OqlqtLDHrj01Z2YFRSZDf1DMy1n3XViHaxRc/edit?usp=sharing"",""ภูเก็ต!I539"")"),0)</f>
        <v>0</v>
      </c>
      <c r="V83" s="81">
        <f ca="1">IFERROR(__xludf.DUMMYFUNCTION("IMPORTRANGE(""https://docs.google.com/spreadsheets/d/1o7UZe4_OqlqtLDHrj01Z2YFRSZDf1DMy1n3XViHaxRc/edit?usp=sharing"",""ภูเก็ต!J539"")"),0)</f>
        <v>0</v>
      </c>
      <c r="W83" s="82">
        <f t="shared" ca="1" si="27"/>
        <v>0</v>
      </c>
      <c r="X83" s="81">
        <f ca="1">IFERROR(__xludf.DUMMYFUNCTION("IMPORTRANGE(""https://docs.google.com/spreadsheets/d/1o7UZe4_OqlqtLDHrj01Z2YFRSZDf1DMy1n3XViHaxRc/edit?usp=sharing"",""ภูเก็ต!I540"")"),0)</f>
        <v>0</v>
      </c>
      <c r="Y83" s="81">
        <f ca="1">IFERROR(__xludf.DUMMYFUNCTION("IMPORTRANGE(""https://docs.google.com/spreadsheets/d/1o7UZe4_OqlqtLDHrj01Z2YFRSZDf1DMy1n3XViHaxRc/edit?usp=sharing"",""ภูเก็ต!J540"")"),0)</f>
        <v>0</v>
      </c>
      <c r="Z83" s="82">
        <f t="shared" ca="1" si="28"/>
        <v>0</v>
      </c>
      <c r="AA83" s="234">
        <f ca="1">IFERROR(__xludf.DUMMYFUNCTION("IMPORTRANGE(""https://docs.google.com/spreadsheets/d/1o7UZe4_OqlqtLDHrj01Z2YFRSZDf1DMy1n3XViHaxRc/edit?usp=sharing"",""ภูเก็ต!I541"")"),0)</f>
        <v>0</v>
      </c>
      <c r="AB83" s="181">
        <f ca="1">IFERROR(__xludf.DUMMYFUNCTION("IMPORTRANGE(""https://docs.google.com/spreadsheets/d/1o7UZe4_OqlqtLDHrj01Z2YFRSZDf1DMy1n3XViHaxRc/edit?usp=sharing"",""ภูเก็ต!J541"")"),0)</f>
        <v>0</v>
      </c>
      <c r="AC83" s="186">
        <f t="shared" ca="1" si="29"/>
        <v>0</v>
      </c>
      <c r="AD83" s="234">
        <f ca="1">IFERROR(__xludf.DUMMYFUNCTION("IMPORTRANGE(""https://docs.google.com/spreadsheets/d/1o7UZe4_OqlqtLDHrj01Z2YFRSZDf1DMy1n3XViHaxRc/edit?usp=sharing"",""ภูเก็ต!I542"")"),0)</f>
        <v>0</v>
      </c>
      <c r="AE83" s="181">
        <f ca="1">IFERROR(__xludf.DUMMYFUNCTION("IMPORTRANGE(""https://docs.google.com/spreadsheets/d/1o7UZe4_OqlqtLDHrj01Z2YFRSZDf1DMy1n3XViHaxRc/edit?usp=sharing"",""ภูเก็ต!J542"")"),0)</f>
        <v>0</v>
      </c>
      <c r="AF83" s="186">
        <f t="shared" ca="1" si="30"/>
        <v>0</v>
      </c>
    </row>
    <row r="84" spans="1:32" ht="21" customHeight="1" x14ac:dyDescent="0.3">
      <c r="A84" s="72">
        <v>10</v>
      </c>
      <c r="B84" s="73" t="s">
        <v>101</v>
      </c>
      <c r="C84" s="74">
        <f t="shared" ca="1" si="70"/>
        <v>0</v>
      </c>
      <c r="D84" s="75">
        <f ca="1">IFERROR(__xludf.DUMMYFUNCTION("IMPORTRANGE(""https://docs.google.com/spreadsheets/d/1ctPm1vUzcUCPuOj9-eoHUD85PqINFqUB0TjdSWmR5-c/edit?usp=sharing"",""ยะลา!L528"")"),0)</f>
        <v>0</v>
      </c>
      <c r="E84" s="76">
        <f ca="1">IFERROR(__xludf.DUMMYFUNCTION("IMPORTRANGE(""https://docs.google.com/spreadsheets/d/1ctPm1vUzcUCPuOj9-eoHUD85PqINFqUB0TjdSWmR5-c/edit?usp=sharing"",""ยะลา!L535"")"),0)</f>
        <v>0</v>
      </c>
      <c r="F84" s="77">
        <f t="shared" ca="1" si="1"/>
        <v>0</v>
      </c>
      <c r="G84" s="78">
        <f t="shared" ca="1" si="2"/>
        <v>0</v>
      </c>
      <c r="H84" s="79">
        <f t="shared" ca="1" si="71"/>
        <v>0</v>
      </c>
      <c r="I84" s="76">
        <f ca="1">IFERROR(__xludf.DUMMYFUNCTION("IMPORTRANGE(""https://docs.google.com/spreadsheets/d/1ctPm1vUzcUCPuOj9-eoHUD85PqINFqUB0TjdSWmR5-c/edit?usp=sharing"",""ยะลา!N529"")"),0)</f>
        <v>0</v>
      </c>
      <c r="J84" s="76">
        <f ca="1">IFERROR(__xludf.DUMMYFUNCTION("IMPORTRANGE(""https://docs.google.com/spreadsheets/d/1ctPm1vUzcUCPuOj9-eoHUD85PqINFqUB0TjdSWmR5-c/edit?usp=sharing"",""ยะลา!N530"")"),0)</f>
        <v>0</v>
      </c>
      <c r="K84" s="76">
        <f ca="1">IFERROR(__xludf.DUMMYFUNCTION("IMPORTRANGE(""https://docs.google.com/spreadsheets/d/1ctPm1vUzcUCPuOj9-eoHUD85PqINFqUB0TjdSWmR5-c/edit?usp=sharing"",""ยะลา!N531"")"),0)</f>
        <v>0</v>
      </c>
      <c r="L84" s="76">
        <f ca="1">IFERROR(__xludf.DUMMYFUNCTION("IMPORTRANGE(""https://docs.google.com/spreadsheets/d/1ctPm1vUzcUCPuOj9-eoHUD85PqINFqUB0TjdSWmR5-c/edit?usp=sharing"",""ยะลา!N532"")"),0)</f>
        <v>0</v>
      </c>
      <c r="M84" s="80">
        <f ca="1">IFERROR(__xludf.DUMMYFUNCTION("IMPORTRANGE(""https://docs.google.com/spreadsheets/d/1ctPm1vUzcUCPuOj9-eoHUD85PqINFqUB0TjdSWmR5-c/edit?usp=sharing"",""ยะลา!N535"")"),0)</f>
        <v>0</v>
      </c>
      <c r="N84" s="80">
        <f t="shared" ca="1" si="33"/>
        <v>0</v>
      </c>
      <c r="O84" s="81">
        <f ca="1">IFERROR(__xludf.DUMMYFUNCTION("IMPORTRANGE(""https://docs.google.com/spreadsheets/d/1ctPm1vUzcUCPuOj9-eoHUD85PqINFqUB0TjdSWmR5-c/edit?usp=sharing"",""ยะลา!I537"")"),0)</f>
        <v>0</v>
      </c>
      <c r="P84" s="81">
        <f ca="1">IFERROR(__xludf.DUMMYFUNCTION("IMPORTRANGE(""https://docs.google.com/spreadsheets/d/1ctPm1vUzcUCPuOj9-eoHUD85PqINFqUB0TjdSWmR5-c/edit?usp=sharing"",""ยะลา!J537"")"),0)</f>
        <v>0</v>
      </c>
      <c r="Q84" s="82">
        <f t="shared" ca="1" si="25"/>
        <v>0</v>
      </c>
      <c r="R84" s="81">
        <f ca="1">IFERROR(__xludf.DUMMYFUNCTION("IMPORTRANGE(""https://docs.google.com/spreadsheets/d/1ctPm1vUzcUCPuOj9-eoHUD85PqINFqUB0TjdSWmR5-c/edit?usp=sharing"",""ยะลา!I538"")"),0)</f>
        <v>0</v>
      </c>
      <c r="S84" s="81">
        <f ca="1">IFERROR(__xludf.DUMMYFUNCTION("IMPORTRANGE(""https://docs.google.com/spreadsheets/d/1ctPm1vUzcUCPuOj9-eoHUD85PqINFqUB0TjdSWmR5-c/edit?usp=sharing"",""ยะลา!J538"")"),0)</f>
        <v>0</v>
      </c>
      <c r="T84" s="82">
        <f t="shared" ca="1" si="26"/>
        <v>0</v>
      </c>
      <c r="U84" s="81">
        <f ca="1">IFERROR(__xludf.DUMMYFUNCTION("IMPORTRANGE(""https://docs.google.com/spreadsheets/d/1ctPm1vUzcUCPuOj9-eoHUD85PqINFqUB0TjdSWmR5-c/edit?usp=sharing"",""ยะลา!I539"")"),0)</f>
        <v>0</v>
      </c>
      <c r="V84" s="81">
        <f ca="1">IFERROR(__xludf.DUMMYFUNCTION("IMPORTRANGE(""https://docs.google.com/spreadsheets/d/1ctPm1vUzcUCPuOj9-eoHUD85PqINFqUB0TjdSWmR5-c/edit?usp=sharing"",""ยะลา!J539"")"),0)</f>
        <v>0</v>
      </c>
      <c r="W84" s="82">
        <f t="shared" ca="1" si="27"/>
        <v>0</v>
      </c>
      <c r="X84" s="81">
        <f ca="1">IFERROR(__xludf.DUMMYFUNCTION("IMPORTRANGE(""https://docs.google.com/spreadsheets/d/1ctPm1vUzcUCPuOj9-eoHUD85PqINFqUB0TjdSWmR5-c/edit?usp=sharing"",""ยะลา!I540"")"),0)</f>
        <v>0</v>
      </c>
      <c r="Y84" s="81">
        <f ca="1">IFERROR(__xludf.DUMMYFUNCTION("IMPORTRANGE(""https://docs.google.com/spreadsheets/d/1ctPm1vUzcUCPuOj9-eoHUD85PqINFqUB0TjdSWmR5-c/edit?usp=sharing"",""ยะลา!J540"")"),0)</f>
        <v>0</v>
      </c>
      <c r="Z84" s="82">
        <f t="shared" ca="1" si="28"/>
        <v>0</v>
      </c>
      <c r="AA84" s="234">
        <f ca="1">IFERROR(__xludf.DUMMYFUNCTION("IMPORTRANGE(""https://docs.google.com/spreadsheets/d/1ctPm1vUzcUCPuOj9-eoHUD85PqINFqUB0TjdSWmR5-c/edit?usp=sharing"",""ยะลา!I541"")"),0)</f>
        <v>0</v>
      </c>
      <c r="AB84" s="181">
        <f ca="1">IFERROR(__xludf.DUMMYFUNCTION("IMPORTRANGE(""https://docs.google.com/spreadsheets/d/1ctPm1vUzcUCPuOj9-eoHUD85PqINFqUB0TjdSWmR5-c/edit?usp=sharing"",""ยะลา!J541"")"),0)</f>
        <v>0</v>
      </c>
      <c r="AC84" s="186">
        <f t="shared" ca="1" si="29"/>
        <v>0</v>
      </c>
      <c r="AD84" s="234">
        <f ca="1">IFERROR(__xludf.DUMMYFUNCTION("IMPORTRANGE(""https://docs.google.com/spreadsheets/d/1ctPm1vUzcUCPuOj9-eoHUD85PqINFqUB0TjdSWmR5-c/edit?usp=sharing"",""ยะลา!I542"")"),0)</f>
        <v>0</v>
      </c>
      <c r="AE84" s="181">
        <f ca="1">IFERROR(__xludf.DUMMYFUNCTION("IMPORTRANGE(""https://docs.google.com/spreadsheets/d/1ctPm1vUzcUCPuOj9-eoHUD85PqINFqUB0TjdSWmR5-c/edit?usp=sharing"",""ยะลา!J542"")"),0)</f>
        <v>0</v>
      </c>
      <c r="AF84" s="186">
        <f t="shared" ca="1" si="30"/>
        <v>0</v>
      </c>
    </row>
    <row r="85" spans="1:32" ht="21" customHeight="1" x14ac:dyDescent="0.3">
      <c r="A85" s="72">
        <v>11</v>
      </c>
      <c r="B85" s="73" t="s">
        <v>102</v>
      </c>
      <c r="C85" s="74">
        <f t="shared" ca="1" si="70"/>
        <v>0</v>
      </c>
      <c r="D85" s="75">
        <f ca="1">IFERROR(__xludf.DUMMYFUNCTION("IMPORTRANGE(""https://docs.google.com/spreadsheets/d/1YiDIE7Klmt8osgdapRqYWNr7iPGFSsiJqq46S7PYRE0/edit?usp=sharing"",""ระนอง!L528"")"),0)</f>
        <v>0</v>
      </c>
      <c r="E85" s="76">
        <f ca="1">IFERROR(__xludf.DUMMYFUNCTION("IMPORTRANGE(""https://docs.google.com/spreadsheets/d/1YiDIE7Klmt8osgdapRqYWNr7iPGFSsiJqq46S7PYRE0/edit?usp=sharing"",""ระนอง!L535"")"),0)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71"/>
        <v>0</v>
      </c>
      <c r="I85" s="76">
        <f ca="1">IFERROR(__xludf.DUMMYFUNCTION("IMPORTRANGE(""https://docs.google.com/spreadsheets/d/1YiDIE7Klmt8osgdapRqYWNr7iPGFSsiJqq46S7PYRE0/edit?usp=sharing"",""ระนอง!N529"")"),0)</f>
        <v>0</v>
      </c>
      <c r="J85" s="76">
        <f ca="1">IFERROR(__xludf.DUMMYFUNCTION("IMPORTRANGE(""https://docs.google.com/spreadsheets/d/1YiDIE7Klmt8osgdapRqYWNr7iPGFSsiJqq46S7PYRE0/edit?usp=sharing"",""ระนอง!N530"")"),0)</f>
        <v>0</v>
      </c>
      <c r="K85" s="76">
        <f ca="1">IFERROR(__xludf.DUMMYFUNCTION("IMPORTRANGE(""https://docs.google.com/spreadsheets/d/1YiDIE7Klmt8osgdapRqYWNr7iPGFSsiJqq46S7PYRE0/edit?usp=sharing"",""ระนอง!N531"")"),0)</f>
        <v>0</v>
      </c>
      <c r="L85" s="76">
        <f ca="1">IFERROR(__xludf.DUMMYFUNCTION("IMPORTRANGE(""https://docs.google.com/spreadsheets/d/1YiDIE7Klmt8osgdapRqYWNr7iPGFSsiJqq46S7PYRE0/edit?usp=sharing"",""ระนอง!N532"")"),0)</f>
        <v>0</v>
      </c>
      <c r="M85" s="80">
        <f ca="1">IFERROR(__xludf.DUMMYFUNCTION("IMPORTRANGE(""https://docs.google.com/spreadsheets/d/1YiDIE7Klmt8osgdapRqYWNr7iPGFSsiJqq46S7PYRE0/edit?usp=sharing"",""ระนอง!N535"")"),0)</f>
        <v>0</v>
      </c>
      <c r="N85" s="80">
        <f t="shared" ca="1" si="33"/>
        <v>0</v>
      </c>
      <c r="O85" s="81">
        <f ca="1">IFERROR(__xludf.DUMMYFUNCTION("IMPORTRANGE(""https://docs.google.com/spreadsheets/d/1YiDIE7Klmt8osgdapRqYWNr7iPGFSsiJqq46S7PYRE0/edit?usp=sharing"",""ระนอง!I537"")"),0)</f>
        <v>0</v>
      </c>
      <c r="P85" s="81">
        <f ca="1">IFERROR(__xludf.DUMMYFUNCTION("IMPORTRANGE(""https://docs.google.com/spreadsheets/d/1YiDIE7Klmt8osgdapRqYWNr7iPGFSsiJqq46S7PYRE0/edit?usp=sharing"",""ระนอง!J537"")"),0)</f>
        <v>0</v>
      </c>
      <c r="Q85" s="82">
        <f t="shared" ca="1" si="25"/>
        <v>0</v>
      </c>
      <c r="R85" s="81">
        <f ca="1">IFERROR(__xludf.DUMMYFUNCTION("IMPORTRANGE(""https://docs.google.com/spreadsheets/d/1YiDIE7Klmt8osgdapRqYWNr7iPGFSsiJqq46S7PYRE0/edit?usp=sharing"",""ระนอง!I538"")"),0)</f>
        <v>0</v>
      </c>
      <c r="S85" s="81">
        <f ca="1">IFERROR(__xludf.DUMMYFUNCTION("IMPORTRANGE(""https://docs.google.com/spreadsheets/d/1YiDIE7Klmt8osgdapRqYWNr7iPGFSsiJqq46S7PYRE0/edit?usp=sharing"",""ระนอง!J538"")"),0)</f>
        <v>0</v>
      </c>
      <c r="T85" s="82">
        <f t="shared" ca="1" si="26"/>
        <v>0</v>
      </c>
      <c r="U85" s="81">
        <f ca="1">IFERROR(__xludf.DUMMYFUNCTION("IMPORTRANGE(""https://docs.google.com/spreadsheets/d/1YiDIE7Klmt8osgdapRqYWNr7iPGFSsiJqq46S7PYRE0/edit?usp=sharing"",""ระนอง!I539"")"),0)</f>
        <v>0</v>
      </c>
      <c r="V85" s="81">
        <f ca="1">IFERROR(__xludf.DUMMYFUNCTION("IMPORTRANGE(""https://docs.google.com/spreadsheets/d/1YiDIE7Klmt8osgdapRqYWNr7iPGFSsiJqq46S7PYRE0/edit?usp=sharing"",""ระนอง!J539"")"),0)</f>
        <v>0</v>
      </c>
      <c r="W85" s="82">
        <f t="shared" ca="1" si="27"/>
        <v>0</v>
      </c>
      <c r="X85" s="81">
        <f ca="1">IFERROR(__xludf.DUMMYFUNCTION("IMPORTRANGE(""https://docs.google.com/spreadsheets/d/1YiDIE7Klmt8osgdapRqYWNr7iPGFSsiJqq46S7PYRE0/edit?usp=sharing"",""ระนอง!I540"")"),0)</f>
        <v>0</v>
      </c>
      <c r="Y85" s="81">
        <f ca="1">IFERROR(__xludf.DUMMYFUNCTION("IMPORTRANGE(""https://docs.google.com/spreadsheets/d/1YiDIE7Klmt8osgdapRqYWNr7iPGFSsiJqq46S7PYRE0/edit?usp=sharing"",""ระนอง!J540"")"),0)</f>
        <v>0</v>
      </c>
      <c r="Z85" s="82">
        <f t="shared" ca="1" si="28"/>
        <v>0</v>
      </c>
      <c r="AA85" s="234">
        <f ca="1">IFERROR(__xludf.DUMMYFUNCTION("IMPORTRANGE(""https://docs.google.com/spreadsheets/d/1YiDIE7Klmt8osgdapRqYWNr7iPGFSsiJqq46S7PYRE0/edit?usp=sharing"",""ระนอง!I541"")"),0)</f>
        <v>0</v>
      </c>
      <c r="AB85" s="181">
        <f ca="1">IFERROR(__xludf.DUMMYFUNCTION("IMPORTRANGE(""https://docs.google.com/spreadsheets/d/1YiDIE7Klmt8osgdapRqYWNr7iPGFSsiJqq46S7PYRE0/edit?usp=sharing"",""ระนอง!J541"")"),0)</f>
        <v>0</v>
      </c>
      <c r="AC85" s="186">
        <f t="shared" ca="1" si="29"/>
        <v>0</v>
      </c>
      <c r="AD85" s="234">
        <f ca="1">IFERROR(__xludf.DUMMYFUNCTION("IMPORTRANGE(""https://docs.google.com/spreadsheets/d/1YiDIE7Klmt8osgdapRqYWNr7iPGFSsiJqq46S7PYRE0/edit?usp=sharing"",""ระนอง!I542"")"),0)</f>
        <v>0</v>
      </c>
      <c r="AE85" s="181">
        <f ca="1">IFERROR(__xludf.DUMMYFUNCTION("IMPORTRANGE(""https://docs.google.com/spreadsheets/d/1YiDIE7Klmt8osgdapRqYWNr7iPGFSsiJqq46S7PYRE0/edit?usp=sharing"",""ระนอง!J542"")"),0)</f>
        <v>0</v>
      </c>
      <c r="AF85" s="186">
        <f t="shared" ca="1" si="30"/>
        <v>0</v>
      </c>
    </row>
    <row r="86" spans="1:32" ht="24" customHeight="1" x14ac:dyDescent="0.3">
      <c r="A86" s="72">
        <v>12</v>
      </c>
      <c r="B86" s="73" t="s">
        <v>103</v>
      </c>
      <c r="C86" s="74">
        <f t="shared" ca="1" si="70"/>
        <v>288960</v>
      </c>
      <c r="D86" s="75">
        <f ca="1">IFERROR(__xludf.DUMMYFUNCTION("IMPORTRANGE(""https://docs.google.com/spreadsheets/d/16o_4B-V7AWw_6E93bSpXj_XxVv1oVQctk-B6z1dNEWU/edit?usp=sharing"",""สงขลา!L528"")"),288960)</f>
        <v>288960</v>
      </c>
      <c r="E86" s="76">
        <f ca="1">IFERROR(__xludf.DUMMYFUNCTION("IMPORTRANGE(""https://docs.google.com/spreadsheets/d/16o_4B-V7AWw_6E93bSpXj_XxVv1oVQctk-B6z1dNEWU/edit?usp=sharing"",""สงขลา!L535"")"),0)</f>
        <v>0</v>
      </c>
      <c r="F86" s="77">
        <f t="shared" ca="1" si="1"/>
        <v>82400</v>
      </c>
      <c r="G86" s="78">
        <f t="shared" ca="1" si="2"/>
        <v>28.516057585825028</v>
      </c>
      <c r="H86" s="79">
        <f t="shared" ca="1" si="71"/>
        <v>82400</v>
      </c>
      <c r="I86" s="76">
        <f ca="1">IFERROR(__xludf.DUMMYFUNCTION("IMPORTRANGE(""https://docs.google.com/spreadsheets/d/16o_4B-V7AWw_6E93bSpXj_XxVv1oVQctk-B6z1dNEWU/edit?usp=sharing"",""สงขลา!N529"")"),69920)</f>
        <v>69920</v>
      </c>
      <c r="J86" s="76">
        <f ca="1">IFERROR(__xludf.DUMMYFUNCTION("IMPORTRANGE(""https://docs.google.com/spreadsheets/d/16o_4B-V7AWw_6E93bSpXj_XxVv1oVQctk-B6z1dNEWU/edit?usp=sharing"",""สงขลา!N530"")"),0)</f>
        <v>0</v>
      </c>
      <c r="K86" s="76">
        <f ca="1">IFERROR(__xludf.DUMMYFUNCTION("IMPORTRANGE(""https://docs.google.com/spreadsheets/d/16o_4B-V7AWw_6E93bSpXj_XxVv1oVQctk-B6z1dNEWU/edit?usp=sharing"",""สงขลา!N531"")"),0)</f>
        <v>0</v>
      </c>
      <c r="L86" s="76">
        <f ca="1">IFERROR(__xludf.DUMMYFUNCTION("IMPORTRANGE(""https://docs.google.com/spreadsheets/d/16o_4B-V7AWw_6E93bSpXj_XxVv1oVQctk-B6z1dNEWU/edit?usp=sharing"",""สงขลา!N532"")"),12480)</f>
        <v>12480</v>
      </c>
      <c r="M86" s="80">
        <f ca="1">IFERROR(__xludf.DUMMYFUNCTION("IMPORTRANGE(""https://docs.google.com/spreadsheets/d/16o_4B-V7AWw_6E93bSpXj_XxVv1oVQctk-B6z1dNEWU/edit?usp=sharing"",""สงขลา!N535"")"),0)</f>
        <v>0</v>
      </c>
      <c r="N86" s="80">
        <f t="shared" ca="1" si="33"/>
        <v>0</v>
      </c>
      <c r="O86" s="81">
        <f ca="1">IFERROR(__xludf.DUMMYFUNCTION("IMPORTRANGE(""https://docs.google.com/spreadsheets/d/16o_4B-V7AWw_6E93bSpXj_XxVv1oVQctk-B6z1dNEWU/edit?usp=sharing"",""สงขลา!I537"")"),30)</f>
        <v>30</v>
      </c>
      <c r="P86" s="81">
        <f ca="1">IFERROR(__xludf.DUMMYFUNCTION("IMPORTRANGE(""https://docs.google.com/spreadsheets/d/16o_4B-V7AWw_6E93bSpXj_XxVv1oVQctk-B6z1dNEWU/edit?usp=sharing"",""สงขลา!J537"")"),0)</f>
        <v>0</v>
      </c>
      <c r="Q86" s="82">
        <f t="shared" ca="1" si="25"/>
        <v>0</v>
      </c>
      <c r="R86" s="81">
        <f ca="1">IFERROR(__xludf.DUMMYFUNCTION("IMPORTRANGE(""https://docs.google.com/spreadsheets/d/16o_4B-V7AWw_6E93bSpXj_XxVv1oVQctk-B6z1dNEWU/edit?usp=sharing"",""สงขลา!I538"")"),30)</f>
        <v>30</v>
      </c>
      <c r="S86" s="81">
        <f ca="1">IFERROR(__xludf.DUMMYFUNCTION("IMPORTRANGE(""https://docs.google.com/spreadsheets/d/16o_4B-V7AWw_6E93bSpXj_XxVv1oVQctk-B6z1dNEWU/edit?usp=sharing"",""สงขลา!J538"")"),30)</f>
        <v>30</v>
      </c>
      <c r="T86" s="82">
        <f t="shared" ca="1" si="26"/>
        <v>100</v>
      </c>
      <c r="U86" s="81">
        <f ca="1">IFERROR(__xludf.DUMMYFUNCTION("IMPORTRANGE(""https://docs.google.com/spreadsheets/d/16o_4B-V7AWw_6E93bSpXj_XxVv1oVQctk-B6z1dNEWU/edit?usp=sharing"",""สงขลา!I539"")"),30)</f>
        <v>30</v>
      </c>
      <c r="V86" s="81">
        <f ca="1">IFERROR(__xludf.DUMMYFUNCTION("IMPORTRANGE(""https://docs.google.com/spreadsheets/d/16o_4B-V7AWw_6E93bSpXj_XxVv1oVQctk-B6z1dNEWU/edit?usp=sharing"",""สงขลา!J539"")"),0)</f>
        <v>0</v>
      </c>
      <c r="W86" s="82">
        <f t="shared" ca="1" si="27"/>
        <v>0</v>
      </c>
      <c r="X86" s="81">
        <f ca="1">IFERROR(__xludf.DUMMYFUNCTION("IMPORTRANGE(""https://docs.google.com/spreadsheets/d/16o_4B-V7AWw_6E93bSpXj_XxVv1oVQctk-B6z1dNEWU/edit?usp=sharing"",""สงขลา!I540"")"),30)</f>
        <v>30</v>
      </c>
      <c r="Y86" s="81">
        <f ca="1">IFERROR(__xludf.DUMMYFUNCTION("IMPORTRANGE(""https://docs.google.com/spreadsheets/d/16o_4B-V7AWw_6E93bSpXj_XxVv1oVQctk-B6z1dNEWU/edit?usp=sharing"",""สงขลา!J540"")"),30)</f>
        <v>30</v>
      </c>
      <c r="Z86" s="82">
        <f t="shared" ca="1" si="28"/>
        <v>100</v>
      </c>
      <c r="AA86" s="234">
        <f ca="1">IFERROR(__xludf.DUMMYFUNCTION("IMPORTRANGE(""https://docs.google.com/spreadsheets/d/16o_4B-V7AWw_6E93bSpXj_XxVv1oVQctk-B6z1dNEWU/edit?usp=sharing"",""สงขลา!I541"")"),0)</f>
        <v>0</v>
      </c>
      <c r="AB86" s="181">
        <f ca="1">IFERROR(__xludf.DUMMYFUNCTION("IMPORTRANGE(""https://docs.google.com/spreadsheets/d/16o_4B-V7AWw_6E93bSpXj_XxVv1oVQctk-B6z1dNEWU/edit?usp=sharing"",""สงขลา!J541"")"),0)</f>
        <v>0</v>
      </c>
      <c r="AC86" s="186">
        <f t="shared" ca="1" si="29"/>
        <v>0</v>
      </c>
      <c r="AD86" s="234">
        <f ca="1">IFERROR(__xludf.DUMMYFUNCTION("IMPORTRANGE(""https://docs.google.com/spreadsheets/d/16o_4B-V7AWw_6E93bSpXj_XxVv1oVQctk-B6z1dNEWU/edit?usp=sharing"",""สงขลา!I542"")"),30)</f>
        <v>30</v>
      </c>
      <c r="AE86" s="181">
        <f ca="1">IFERROR(__xludf.DUMMYFUNCTION("IMPORTRANGE(""https://docs.google.com/spreadsheets/d/16o_4B-V7AWw_6E93bSpXj_XxVv1oVQctk-B6z1dNEWU/edit?usp=sharing"",""สงขลา!J542"")"),0)</f>
        <v>0</v>
      </c>
      <c r="AF86" s="186">
        <f t="shared" ca="1" si="30"/>
        <v>0</v>
      </c>
    </row>
    <row r="87" spans="1:32" ht="24" customHeight="1" x14ac:dyDescent="0.3">
      <c r="A87" s="72">
        <v>13</v>
      </c>
      <c r="B87" s="73" t="s">
        <v>104</v>
      </c>
      <c r="C87" s="74">
        <f t="shared" ca="1" si="70"/>
        <v>0</v>
      </c>
      <c r="D87" s="75">
        <f ca="1">IFERROR(__xludf.DUMMYFUNCTION("IMPORTRANGE(""https://docs.google.com/spreadsheets/d/16cywr71Fj4fA5OGRHsZh30ZG2gwJhMAQv69oVBzYHv0/edit?usp=sharing"",""สตูล!L528"")"),0)</f>
        <v>0</v>
      </c>
      <c r="E87" s="76">
        <f ca="1">IFERROR(__xludf.DUMMYFUNCTION("IMPORTRANGE(""https://docs.google.com/spreadsheets/d/16cywr71Fj4fA5OGRHsZh30ZG2gwJhMAQv69oVBzYHv0/edit?usp=sharing"",""สตูล!L535"")"),0)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71"/>
        <v>0</v>
      </c>
      <c r="I87" s="76">
        <f ca="1">IFERROR(__xludf.DUMMYFUNCTION("IMPORTRANGE(""https://docs.google.com/spreadsheets/d/16cywr71Fj4fA5OGRHsZh30ZG2gwJhMAQv69oVBzYHv0/edit?usp=sharing"",""สตูล!N529"")"),0)</f>
        <v>0</v>
      </c>
      <c r="J87" s="76">
        <f ca="1">IFERROR(__xludf.DUMMYFUNCTION("IMPORTRANGE(""https://docs.google.com/spreadsheets/d/16cywr71Fj4fA5OGRHsZh30ZG2gwJhMAQv69oVBzYHv0/edit?usp=sharing"",""สตูล!N530"")"),0)</f>
        <v>0</v>
      </c>
      <c r="K87" s="76">
        <f ca="1">IFERROR(__xludf.DUMMYFUNCTION("IMPORTRANGE(""https://docs.google.com/spreadsheets/d/16cywr71Fj4fA5OGRHsZh30ZG2gwJhMAQv69oVBzYHv0/edit?usp=sharing"",""สตูล!N531"")"),0)</f>
        <v>0</v>
      </c>
      <c r="L87" s="76">
        <f ca="1">IFERROR(__xludf.DUMMYFUNCTION("IMPORTRANGE(""https://docs.google.com/spreadsheets/d/16cywr71Fj4fA5OGRHsZh30ZG2gwJhMAQv69oVBzYHv0/edit?usp=sharing"",""สตูล!N532"")"),0)</f>
        <v>0</v>
      </c>
      <c r="M87" s="80">
        <f ca="1">IFERROR(__xludf.DUMMYFUNCTION("IMPORTRANGE(""https://docs.google.com/spreadsheets/d/16cywr71Fj4fA5OGRHsZh30ZG2gwJhMAQv69oVBzYHv0/edit?usp=sharing"",""สตูล!N535"")"),0)</f>
        <v>0</v>
      </c>
      <c r="N87" s="80">
        <f t="shared" ca="1" si="33"/>
        <v>0</v>
      </c>
      <c r="O87" s="81">
        <f ca="1">IFERROR(__xludf.DUMMYFUNCTION("IMPORTRANGE(""https://docs.google.com/spreadsheets/d/16cywr71Fj4fA5OGRHsZh30ZG2gwJhMAQv69oVBzYHv0/edit?usp=sharing"",""สตูล!I537"")"),0)</f>
        <v>0</v>
      </c>
      <c r="P87" s="81">
        <f ca="1">IFERROR(__xludf.DUMMYFUNCTION("IMPORTRANGE(""https://docs.google.com/spreadsheets/d/16cywr71Fj4fA5OGRHsZh30ZG2gwJhMAQv69oVBzYHv0/edit?usp=sharing"",""สตูล!J537"")"),0)</f>
        <v>0</v>
      </c>
      <c r="Q87" s="82">
        <f t="shared" ca="1" si="25"/>
        <v>0</v>
      </c>
      <c r="R87" s="81">
        <f ca="1">IFERROR(__xludf.DUMMYFUNCTION("IMPORTRANGE(""https://docs.google.com/spreadsheets/d/16cywr71Fj4fA5OGRHsZh30ZG2gwJhMAQv69oVBzYHv0/edit?usp=sharing"",""สตูล!I538"")"),0)</f>
        <v>0</v>
      </c>
      <c r="S87" s="81">
        <f ca="1">IFERROR(__xludf.DUMMYFUNCTION("IMPORTRANGE(""https://docs.google.com/spreadsheets/d/16cywr71Fj4fA5OGRHsZh30ZG2gwJhMAQv69oVBzYHv0/edit?usp=sharing"",""สตูล!J538"")"),0)</f>
        <v>0</v>
      </c>
      <c r="T87" s="82">
        <f t="shared" ca="1" si="26"/>
        <v>0</v>
      </c>
      <c r="U87" s="81">
        <f ca="1">IFERROR(__xludf.DUMMYFUNCTION("IMPORTRANGE(""https://docs.google.com/spreadsheets/d/16cywr71Fj4fA5OGRHsZh30ZG2gwJhMAQv69oVBzYHv0/edit?usp=sharing"",""สตูล!I539"")"),0)</f>
        <v>0</v>
      </c>
      <c r="V87" s="81">
        <f ca="1">IFERROR(__xludf.DUMMYFUNCTION("IMPORTRANGE(""https://docs.google.com/spreadsheets/d/16cywr71Fj4fA5OGRHsZh30ZG2gwJhMAQv69oVBzYHv0/edit?usp=sharing"",""สตูล!J539"")"),0)</f>
        <v>0</v>
      </c>
      <c r="W87" s="82">
        <f t="shared" ca="1" si="27"/>
        <v>0</v>
      </c>
      <c r="X87" s="81">
        <f ca="1">IFERROR(__xludf.DUMMYFUNCTION("IMPORTRANGE(""https://docs.google.com/spreadsheets/d/16cywr71Fj4fA5OGRHsZh30ZG2gwJhMAQv69oVBzYHv0/edit?usp=sharing"",""สตูล!I540"")"),0)</f>
        <v>0</v>
      </c>
      <c r="Y87" s="81">
        <f ca="1">IFERROR(__xludf.DUMMYFUNCTION("IMPORTRANGE(""https://docs.google.com/spreadsheets/d/16cywr71Fj4fA5OGRHsZh30ZG2gwJhMAQv69oVBzYHv0/edit?usp=sharing"",""สตูล!J540"")"),0)</f>
        <v>0</v>
      </c>
      <c r="Z87" s="82">
        <f t="shared" ca="1" si="28"/>
        <v>0</v>
      </c>
      <c r="AA87" s="234">
        <f ca="1">IFERROR(__xludf.DUMMYFUNCTION("IMPORTRANGE(""https://docs.google.com/spreadsheets/d/16cywr71Fj4fA5OGRHsZh30ZG2gwJhMAQv69oVBzYHv0/edit?usp=sharing"",""สตูล!I541"")"),0)</f>
        <v>0</v>
      </c>
      <c r="AB87" s="181">
        <f ca="1">IFERROR(__xludf.DUMMYFUNCTION("IMPORTRANGE(""https://docs.google.com/spreadsheets/d/16cywr71Fj4fA5OGRHsZh30ZG2gwJhMAQv69oVBzYHv0/edit?usp=sharing"",""สตูล!J541"")"),0)</f>
        <v>0</v>
      </c>
      <c r="AC87" s="186">
        <f t="shared" ca="1" si="29"/>
        <v>0</v>
      </c>
      <c r="AD87" s="234">
        <f ca="1">IFERROR(__xludf.DUMMYFUNCTION("IMPORTRANGE(""https://docs.google.com/spreadsheets/d/16cywr71Fj4fA5OGRHsZh30ZG2gwJhMAQv69oVBzYHv0/edit?usp=sharing"",""สตูล!I542"")"),0)</f>
        <v>0</v>
      </c>
      <c r="AE87" s="181">
        <f ca="1">IFERROR(__xludf.DUMMYFUNCTION("IMPORTRANGE(""https://docs.google.com/spreadsheets/d/16cywr71Fj4fA5OGRHsZh30ZG2gwJhMAQv69oVBzYHv0/edit?usp=sharing"",""สตูล!J542"")"),0)</f>
        <v>0</v>
      </c>
      <c r="AF87" s="186">
        <f t="shared" ca="1" si="30"/>
        <v>0</v>
      </c>
    </row>
    <row r="88" spans="1:32" ht="24" customHeight="1" x14ac:dyDescent="0.3">
      <c r="A88" s="83">
        <v>14</v>
      </c>
      <c r="B88" s="84" t="s">
        <v>105</v>
      </c>
      <c r="C88" s="85">
        <f t="shared" ca="1" si="70"/>
        <v>277260</v>
      </c>
      <c r="D88" s="86">
        <f ca="1">IFERROR(__xludf.DUMMYFUNCTION("IMPORTRANGE(""https://docs.google.com/spreadsheets/d/1vO9Sws6kMtrVtyvrAJptINXjK8TFBoX9xLYOVK_C8bQ/edit?usp=sharing"",""สุราษฎร์ธานี!L528"")"),277260)</f>
        <v>277260</v>
      </c>
      <c r="E88" s="87">
        <f ca="1">IFERROR(__xludf.DUMMYFUNCTION("IMPORTRANGE(""https://docs.google.com/spreadsheets/d/1vO9Sws6kMtrVtyvrAJptINXjK8TFBoX9xLYOVK_C8bQ/edit?usp=sharing"",""สุราษฎร์ธานี!L535"")"),0)</f>
        <v>0</v>
      </c>
      <c r="F88" s="88">
        <f t="shared" ca="1" si="1"/>
        <v>83620</v>
      </c>
      <c r="G88" s="89">
        <f t="shared" ca="1" si="2"/>
        <v>30.159417153574264</v>
      </c>
      <c r="H88" s="90">
        <f t="shared" ca="1" si="71"/>
        <v>83620</v>
      </c>
      <c r="I88" s="87">
        <f ca="1">IFERROR(__xludf.DUMMYFUNCTION("IMPORTRANGE(""https://docs.google.com/spreadsheets/d/1vO9Sws6kMtrVtyvrAJptINXjK8TFBoX9xLYOVK_C8bQ/edit?usp=sharing"",""สุราษฎร์ธานี!N529"")"),71700)</f>
        <v>71700</v>
      </c>
      <c r="J88" s="87">
        <f ca="1">IFERROR(__xludf.DUMMYFUNCTION("IMPORTRANGE(""https://docs.google.com/spreadsheets/d/1vO9Sws6kMtrVtyvrAJptINXjK8TFBoX9xLYOVK_C8bQ/edit?usp=sharing"",""สุราษฎร์ธานี!N530"")"),0)</f>
        <v>0</v>
      </c>
      <c r="K88" s="87">
        <f ca="1">IFERROR(__xludf.DUMMYFUNCTION("IMPORTRANGE(""https://docs.google.com/spreadsheets/d/1vO9Sws6kMtrVtyvrAJptINXjK8TFBoX9xLYOVK_C8bQ/edit?usp=sharing"",""สุราษฎร์ธานี!N531"")"),0)</f>
        <v>0</v>
      </c>
      <c r="L88" s="87">
        <f ca="1">IFERROR(__xludf.DUMMYFUNCTION("IMPORTRANGE(""https://docs.google.com/spreadsheets/d/1vO9Sws6kMtrVtyvrAJptINXjK8TFBoX9xLYOVK_C8bQ/edit?usp=sharing"",""สุราษฎร์ธานี!N532"")"),11920)</f>
        <v>11920</v>
      </c>
      <c r="M88" s="91">
        <f ca="1">IFERROR(__xludf.DUMMYFUNCTION("IMPORTRANGE(""https://docs.google.com/spreadsheets/d/1vO9Sws6kMtrVtyvrAJptINXjK8TFBoX9xLYOVK_C8bQ/edit?usp=sharing"",""สุราษฎร์ธานี!N535"")"),0)</f>
        <v>0</v>
      </c>
      <c r="N88" s="91">
        <f t="shared" ca="1" si="33"/>
        <v>0</v>
      </c>
      <c r="O88" s="92">
        <f ca="1">IFERROR(__xludf.DUMMYFUNCTION("IMPORTRANGE(""https://docs.google.com/spreadsheets/d/1vO9Sws6kMtrVtyvrAJptINXjK8TFBoX9xLYOVK_C8bQ/edit?usp=sharing"",""สุราษฎร์ธานี!I537"")"),30)</f>
        <v>30</v>
      </c>
      <c r="P88" s="92">
        <f ca="1">IFERROR(__xludf.DUMMYFUNCTION("IMPORTRANGE(""https://docs.google.com/spreadsheets/d/1vO9Sws6kMtrVtyvrAJptINXjK8TFBoX9xLYOVK_C8bQ/edit?usp=sharing"",""สุราษฎร์ธานี!J537"")"),0)</f>
        <v>0</v>
      </c>
      <c r="Q88" s="93">
        <f t="shared" ca="1" si="25"/>
        <v>0</v>
      </c>
      <c r="R88" s="92">
        <f ca="1">IFERROR(__xludf.DUMMYFUNCTION("IMPORTRANGE(""https://docs.google.com/spreadsheets/d/1vO9Sws6kMtrVtyvrAJptINXjK8TFBoX9xLYOVK_C8bQ/edit?usp=sharing"",""สุราษฎร์ธานี!I538"")"),30)</f>
        <v>30</v>
      </c>
      <c r="S88" s="92">
        <f ca="1">IFERROR(__xludf.DUMMYFUNCTION("IMPORTRANGE(""https://docs.google.com/spreadsheets/d/1vO9Sws6kMtrVtyvrAJptINXjK8TFBoX9xLYOVK_C8bQ/edit?usp=sharing"",""สุราษฎร์ธานี!J538"")"),30)</f>
        <v>30</v>
      </c>
      <c r="T88" s="93">
        <f t="shared" ca="1" si="26"/>
        <v>100</v>
      </c>
      <c r="U88" s="92">
        <f ca="1">IFERROR(__xludf.DUMMYFUNCTION("IMPORTRANGE(""https://docs.google.com/spreadsheets/d/1vO9Sws6kMtrVtyvrAJptINXjK8TFBoX9xLYOVK_C8bQ/edit?usp=sharing"",""สุราษฎร์ธานี!I539"")"),0)</f>
        <v>0</v>
      </c>
      <c r="V88" s="92">
        <f ca="1">IFERROR(__xludf.DUMMYFUNCTION("IMPORTRANGE(""https://docs.google.com/spreadsheets/d/1vO9Sws6kMtrVtyvrAJptINXjK8TFBoX9xLYOVK_C8bQ/edit?usp=sharing"",""สุราษฎร์ธานี!J539"")"),0)</f>
        <v>0</v>
      </c>
      <c r="W88" s="93">
        <f t="shared" ca="1" si="27"/>
        <v>0</v>
      </c>
      <c r="X88" s="92">
        <f ca="1">IFERROR(__xludf.DUMMYFUNCTION("IMPORTRANGE(""https://docs.google.com/spreadsheets/d/1vO9Sws6kMtrVtyvrAJptINXjK8TFBoX9xLYOVK_C8bQ/edit?usp=sharing"",""สุราษฎร์ธานี!I540"")"),0)</f>
        <v>0</v>
      </c>
      <c r="Y88" s="92">
        <f ca="1">IFERROR(__xludf.DUMMYFUNCTION("IMPORTRANGE(""https://docs.google.com/spreadsheets/d/1vO9Sws6kMtrVtyvrAJptINXjK8TFBoX9xLYOVK_C8bQ/edit?usp=sharing"",""สุราษฎร์ธานี!J540"")"),0)</f>
        <v>0</v>
      </c>
      <c r="Z88" s="93">
        <f t="shared" ca="1" si="28"/>
        <v>0</v>
      </c>
      <c r="AA88" s="235">
        <f ca="1">IFERROR(__xludf.DUMMYFUNCTION("IMPORTRANGE(""https://docs.google.com/spreadsheets/d/1vO9Sws6kMtrVtyvrAJptINXjK8TFBoX9xLYOVK_C8bQ/edit?usp=sharing"",""สุราษฎร์ธานี!I541"")"),30)</f>
        <v>30</v>
      </c>
      <c r="AB88" s="202">
        <f ca="1">IFERROR(__xludf.DUMMYFUNCTION("IMPORTRANGE(""https://docs.google.com/spreadsheets/d/1vO9Sws6kMtrVtyvrAJptINXjK8TFBoX9xLYOVK_C8bQ/edit?usp=sharing"",""สุราษฎร์ธานี!J541"")"),0)</f>
        <v>0</v>
      </c>
      <c r="AC88" s="203">
        <f t="shared" ca="1" si="29"/>
        <v>0</v>
      </c>
      <c r="AD88" s="235">
        <f ca="1">IFERROR(__xludf.DUMMYFUNCTION("IMPORTRANGE(""https://docs.google.com/spreadsheets/d/1vO9Sws6kMtrVtyvrAJptINXjK8TFBoX9xLYOVK_C8bQ/edit?usp=sharing"",""สุราษฎร์ธานี!I542"")"),30)</f>
        <v>30</v>
      </c>
      <c r="AE88" s="202">
        <f ca="1">IFERROR(__xludf.DUMMYFUNCTION("IMPORTRANGE(""https://docs.google.com/spreadsheets/d/1vO9Sws6kMtrVtyvrAJptINXjK8TFBoX9xLYOVK_C8bQ/edit?usp=sharing"",""สุราษฎร์ธานี!J542"")"),0)</f>
        <v>0</v>
      </c>
      <c r="AF88" s="203">
        <f t="shared" ca="1" si="30"/>
        <v>0</v>
      </c>
    </row>
    <row r="89" spans="1:32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33"/>
        <v>0</v>
      </c>
      <c r="O89" s="43"/>
      <c r="P89" s="43"/>
      <c r="Q89" s="46"/>
      <c r="R89" s="43"/>
      <c r="S89" s="43"/>
      <c r="T89" s="46"/>
      <c r="U89" s="43"/>
      <c r="V89" s="43"/>
      <c r="W89" s="46"/>
      <c r="X89" s="43"/>
      <c r="Y89" s="43"/>
      <c r="Z89" s="46"/>
      <c r="AA89" s="232"/>
      <c r="AB89" s="166"/>
      <c r="AC89" s="170"/>
      <c r="AD89" s="232"/>
      <c r="AE89" s="166"/>
      <c r="AF89" s="170"/>
    </row>
    <row r="90" spans="1:32" ht="24" hidden="1" customHeight="1" x14ac:dyDescent="0.2">
      <c r="A90" s="103">
        <v>1</v>
      </c>
      <c r="B90" s="104" t="s">
        <v>107</v>
      </c>
      <c r="C90" s="97">
        <f t="shared" ref="C90:C103" si="72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73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33"/>
        <v>0</v>
      </c>
      <c r="O90" s="107"/>
      <c r="P90" s="107"/>
      <c r="Q90" s="108"/>
      <c r="R90" s="107"/>
      <c r="S90" s="107"/>
      <c r="T90" s="108"/>
      <c r="U90" s="107"/>
      <c r="V90" s="107"/>
      <c r="W90" s="108"/>
      <c r="X90" s="107"/>
      <c r="Y90" s="107"/>
      <c r="Z90" s="108"/>
      <c r="AA90" s="236"/>
      <c r="AB90" s="208"/>
      <c r="AC90" s="209"/>
      <c r="AD90" s="236"/>
      <c r="AE90" s="208"/>
      <c r="AF90" s="209"/>
    </row>
    <row r="91" spans="1:32" ht="24" hidden="1" customHeight="1" x14ac:dyDescent="0.2">
      <c r="A91" s="109">
        <v>2</v>
      </c>
      <c r="B91" s="110" t="s">
        <v>108</v>
      </c>
      <c r="C91" s="74">
        <f t="shared" si="72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73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33"/>
        <v>0</v>
      </c>
      <c r="O91" s="76"/>
      <c r="P91" s="76"/>
      <c r="Q91" s="113"/>
      <c r="R91" s="76"/>
      <c r="S91" s="76"/>
      <c r="T91" s="113"/>
      <c r="U91" s="76"/>
      <c r="V91" s="76"/>
      <c r="W91" s="113"/>
      <c r="X91" s="76"/>
      <c r="Y91" s="76"/>
      <c r="Z91" s="113"/>
      <c r="AA91" s="236"/>
      <c r="AB91" s="208"/>
      <c r="AC91" s="209"/>
      <c r="AD91" s="236"/>
      <c r="AE91" s="208"/>
      <c r="AF91" s="209"/>
    </row>
    <row r="92" spans="1:32" ht="24" hidden="1" customHeight="1" x14ac:dyDescent="0.2">
      <c r="A92" s="109">
        <v>3</v>
      </c>
      <c r="B92" s="110" t="s">
        <v>109</v>
      </c>
      <c r="C92" s="74">
        <f t="shared" si="72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73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33"/>
        <v>0</v>
      </c>
      <c r="O92" s="76"/>
      <c r="P92" s="76"/>
      <c r="Q92" s="113"/>
      <c r="R92" s="76"/>
      <c r="S92" s="76"/>
      <c r="T92" s="113"/>
      <c r="U92" s="76"/>
      <c r="V92" s="76"/>
      <c r="W92" s="113"/>
      <c r="X92" s="76"/>
      <c r="Y92" s="76"/>
      <c r="Z92" s="113"/>
      <c r="AA92" s="236"/>
      <c r="AB92" s="208"/>
      <c r="AC92" s="209"/>
      <c r="AD92" s="236"/>
      <c r="AE92" s="208"/>
      <c r="AF92" s="209"/>
    </row>
    <row r="93" spans="1:32" ht="24" hidden="1" customHeight="1" x14ac:dyDescent="0.2">
      <c r="A93" s="109">
        <f t="shared" ref="A93:A103" si="74">+A92+1</f>
        <v>4</v>
      </c>
      <c r="B93" s="110" t="s">
        <v>110</v>
      </c>
      <c r="C93" s="74">
        <f t="shared" si="72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73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33"/>
        <v>0</v>
      </c>
      <c r="O93" s="76"/>
      <c r="P93" s="76"/>
      <c r="Q93" s="113"/>
      <c r="R93" s="76"/>
      <c r="S93" s="76"/>
      <c r="T93" s="113"/>
      <c r="U93" s="76"/>
      <c r="V93" s="76"/>
      <c r="W93" s="113"/>
      <c r="X93" s="76"/>
      <c r="Y93" s="76"/>
      <c r="Z93" s="113"/>
      <c r="AA93" s="236"/>
      <c r="AB93" s="208"/>
      <c r="AC93" s="209"/>
      <c r="AD93" s="236"/>
      <c r="AE93" s="208"/>
      <c r="AF93" s="209"/>
    </row>
    <row r="94" spans="1:32" ht="24" hidden="1" customHeight="1" x14ac:dyDescent="0.2">
      <c r="A94" s="109">
        <f t="shared" si="74"/>
        <v>5</v>
      </c>
      <c r="B94" s="110" t="s">
        <v>111</v>
      </c>
      <c r="C94" s="74">
        <f t="shared" si="72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73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33"/>
        <v>0</v>
      </c>
      <c r="O94" s="76"/>
      <c r="P94" s="76"/>
      <c r="Q94" s="113"/>
      <c r="R94" s="76"/>
      <c r="S94" s="76"/>
      <c r="T94" s="113"/>
      <c r="U94" s="76"/>
      <c r="V94" s="76"/>
      <c r="W94" s="113"/>
      <c r="X94" s="76"/>
      <c r="Y94" s="76"/>
      <c r="Z94" s="113"/>
      <c r="AA94" s="236"/>
      <c r="AB94" s="208"/>
      <c r="AC94" s="209"/>
      <c r="AD94" s="236"/>
      <c r="AE94" s="208"/>
      <c r="AF94" s="209"/>
    </row>
    <row r="95" spans="1:32" ht="24" hidden="1" customHeight="1" x14ac:dyDescent="0.2">
      <c r="A95" s="109">
        <f t="shared" si="74"/>
        <v>6</v>
      </c>
      <c r="B95" s="110" t="s">
        <v>112</v>
      </c>
      <c r="C95" s="74">
        <f t="shared" si="72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73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33"/>
        <v>0</v>
      </c>
      <c r="O95" s="76"/>
      <c r="P95" s="76"/>
      <c r="Q95" s="113"/>
      <c r="R95" s="76"/>
      <c r="S95" s="76"/>
      <c r="T95" s="113"/>
      <c r="U95" s="76"/>
      <c r="V95" s="76"/>
      <c r="W95" s="113"/>
      <c r="X95" s="76"/>
      <c r="Y95" s="76"/>
      <c r="Z95" s="113"/>
      <c r="AA95" s="236"/>
      <c r="AB95" s="208"/>
      <c r="AC95" s="209"/>
      <c r="AD95" s="236"/>
      <c r="AE95" s="208"/>
      <c r="AF95" s="209"/>
    </row>
    <row r="96" spans="1:32" ht="24" hidden="1" customHeight="1" x14ac:dyDescent="0.2">
      <c r="A96" s="109">
        <f t="shared" si="74"/>
        <v>7</v>
      </c>
      <c r="B96" s="110" t="s">
        <v>113</v>
      </c>
      <c r="C96" s="74">
        <f t="shared" si="72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73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33"/>
        <v>0</v>
      </c>
      <c r="O96" s="76"/>
      <c r="P96" s="76"/>
      <c r="Q96" s="113"/>
      <c r="R96" s="76"/>
      <c r="S96" s="76"/>
      <c r="T96" s="113"/>
      <c r="U96" s="76"/>
      <c r="V96" s="76"/>
      <c r="W96" s="113"/>
      <c r="X96" s="76"/>
      <c r="Y96" s="76"/>
      <c r="Z96" s="113"/>
      <c r="AA96" s="236"/>
      <c r="AB96" s="208"/>
      <c r="AC96" s="209"/>
      <c r="AD96" s="236"/>
      <c r="AE96" s="208"/>
      <c r="AF96" s="209"/>
    </row>
    <row r="97" spans="1:32" ht="24" hidden="1" customHeight="1" x14ac:dyDescent="0.2">
      <c r="A97" s="109">
        <f t="shared" si="74"/>
        <v>8</v>
      </c>
      <c r="B97" s="110" t="s">
        <v>114</v>
      </c>
      <c r="C97" s="74">
        <f t="shared" si="72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73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33"/>
        <v>0</v>
      </c>
      <c r="O97" s="76"/>
      <c r="P97" s="76"/>
      <c r="Q97" s="113"/>
      <c r="R97" s="76"/>
      <c r="S97" s="76"/>
      <c r="T97" s="113"/>
      <c r="U97" s="76"/>
      <c r="V97" s="76"/>
      <c r="W97" s="113"/>
      <c r="X97" s="76"/>
      <c r="Y97" s="76"/>
      <c r="Z97" s="113"/>
      <c r="AA97" s="236"/>
      <c r="AB97" s="208"/>
      <c r="AC97" s="209"/>
      <c r="AD97" s="236"/>
      <c r="AE97" s="208"/>
      <c r="AF97" s="209"/>
    </row>
    <row r="98" spans="1:32" ht="24" hidden="1" customHeight="1" x14ac:dyDescent="0.2">
      <c r="A98" s="109">
        <f t="shared" si="74"/>
        <v>9</v>
      </c>
      <c r="B98" s="110" t="s">
        <v>115</v>
      </c>
      <c r="C98" s="74">
        <f t="shared" si="72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73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33"/>
        <v>0</v>
      </c>
      <c r="O98" s="76"/>
      <c r="P98" s="76"/>
      <c r="Q98" s="113"/>
      <c r="R98" s="76"/>
      <c r="S98" s="76"/>
      <c r="T98" s="113"/>
      <c r="U98" s="76"/>
      <c r="V98" s="76"/>
      <c r="W98" s="113"/>
      <c r="X98" s="76"/>
      <c r="Y98" s="76"/>
      <c r="Z98" s="113"/>
      <c r="AA98" s="236"/>
      <c r="AB98" s="208"/>
      <c r="AC98" s="209"/>
      <c r="AD98" s="236"/>
      <c r="AE98" s="208"/>
      <c r="AF98" s="209"/>
    </row>
    <row r="99" spans="1:32" ht="24" hidden="1" customHeight="1" x14ac:dyDescent="0.2">
      <c r="A99" s="109">
        <f t="shared" si="74"/>
        <v>10</v>
      </c>
      <c r="B99" s="110" t="s">
        <v>116</v>
      </c>
      <c r="C99" s="74">
        <f t="shared" si="72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73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33"/>
        <v>0</v>
      </c>
      <c r="O99" s="76"/>
      <c r="P99" s="76"/>
      <c r="Q99" s="113"/>
      <c r="R99" s="76"/>
      <c r="S99" s="76"/>
      <c r="T99" s="113"/>
      <c r="U99" s="76"/>
      <c r="V99" s="76"/>
      <c r="W99" s="113"/>
      <c r="X99" s="76"/>
      <c r="Y99" s="76"/>
      <c r="Z99" s="113"/>
      <c r="AA99" s="236"/>
      <c r="AB99" s="208"/>
      <c r="AC99" s="209"/>
      <c r="AD99" s="236"/>
      <c r="AE99" s="208"/>
      <c r="AF99" s="209"/>
    </row>
    <row r="100" spans="1:32" ht="24" hidden="1" customHeight="1" x14ac:dyDescent="0.2">
      <c r="A100" s="109">
        <f t="shared" si="74"/>
        <v>11</v>
      </c>
      <c r="B100" s="110" t="s">
        <v>117</v>
      </c>
      <c r="C100" s="74">
        <f t="shared" si="72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73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33"/>
        <v>0</v>
      </c>
      <c r="O100" s="76"/>
      <c r="P100" s="76"/>
      <c r="Q100" s="113"/>
      <c r="R100" s="76"/>
      <c r="S100" s="76"/>
      <c r="T100" s="113"/>
      <c r="U100" s="76"/>
      <c r="V100" s="76"/>
      <c r="W100" s="113"/>
      <c r="X100" s="76"/>
      <c r="Y100" s="76"/>
      <c r="Z100" s="113"/>
      <c r="AA100" s="236"/>
      <c r="AB100" s="208"/>
      <c r="AC100" s="209"/>
      <c r="AD100" s="236"/>
      <c r="AE100" s="208"/>
      <c r="AF100" s="209"/>
    </row>
    <row r="101" spans="1:32" ht="24" hidden="1" customHeight="1" x14ac:dyDescent="0.2">
      <c r="A101" s="109">
        <f t="shared" si="74"/>
        <v>12</v>
      </c>
      <c r="B101" s="110" t="s">
        <v>118</v>
      </c>
      <c r="C101" s="74">
        <f t="shared" si="72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73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33"/>
        <v>0</v>
      </c>
      <c r="O101" s="76"/>
      <c r="P101" s="76"/>
      <c r="Q101" s="113"/>
      <c r="R101" s="76"/>
      <c r="S101" s="76"/>
      <c r="T101" s="113"/>
      <c r="U101" s="76"/>
      <c r="V101" s="76"/>
      <c r="W101" s="113"/>
      <c r="X101" s="76"/>
      <c r="Y101" s="76"/>
      <c r="Z101" s="113"/>
      <c r="AA101" s="236"/>
      <c r="AB101" s="208"/>
      <c r="AC101" s="209"/>
      <c r="AD101" s="236"/>
      <c r="AE101" s="208"/>
      <c r="AF101" s="209"/>
    </row>
    <row r="102" spans="1:32" ht="24" hidden="1" customHeight="1" x14ac:dyDescent="0.2">
      <c r="A102" s="109">
        <f t="shared" si="74"/>
        <v>13</v>
      </c>
      <c r="B102" s="110" t="s">
        <v>119</v>
      </c>
      <c r="C102" s="74">
        <f t="shared" si="72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73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33"/>
        <v>0</v>
      </c>
      <c r="O102" s="76"/>
      <c r="P102" s="76"/>
      <c r="Q102" s="113"/>
      <c r="R102" s="76"/>
      <c r="S102" s="76"/>
      <c r="T102" s="113"/>
      <c r="U102" s="76"/>
      <c r="V102" s="76"/>
      <c r="W102" s="113"/>
      <c r="X102" s="76"/>
      <c r="Y102" s="76"/>
      <c r="Z102" s="113"/>
      <c r="AA102" s="236"/>
      <c r="AB102" s="208"/>
      <c r="AC102" s="209"/>
      <c r="AD102" s="236"/>
      <c r="AE102" s="208"/>
      <c r="AF102" s="209"/>
    </row>
    <row r="103" spans="1:32" ht="24" hidden="1" customHeight="1" x14ac:dyDescent="0.2">
      <c r="A103" s="114">
        <f t="shared" si="74"/>
        <v>14</v>
      </c>
      <c r="B103" s="115" t="s">
        <v>120</v>
      </c>
      <c r="C103" s="85">
        <f t="shared" si="72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73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33"/>
        <v>0</v>
      </c>
      <c r="O103" s="87"/>
      <c r="P103" s="87"/>
      <c r="Q103" s="118"/>
      <c r="R103" s="87"/>
      <c r="S103" s="87"/>
      <c r="T103" s="118"/>
      <c r="U103" s="87"/>
      <c r="V103" s="87"/>
      <c r="W103" s="118"/>
      <c r="X103" s="87"/>
      <c r="Y103" s="87"/>
      <c r="Z103" s="118"/>
      <c r="AA103" s="237"/>
      <c r="AB103" s="210"/>
      <c r="AC103" s="211"/>
      <c r="AD103" s="237"/>
      <c r="AE103" s="210"/>
      <c r="AF103" s="211"/>
    </row>
    <row r="104" spans="1:32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33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232"/>
      <c r="AB104" s="166"/>
      <c r="AC104" s="166"/>
      <c r="AD104" s="232"/>
      <c r="AE104" s="166"/>
      <c r="AF104" s="166"/>
    </row>
    <row r="105" spans="1:32" ht="24" hidden="1" customHeight="1" x14ac:dyDescent="0.2">
      <c r="A105" s="103">
        <v>1</v>
      </c>
      <c r="B105" s="119" t="s">
        <v>122</v>
      </c>
      <c r="C105" s="120">
        <f t="shared" ref="C105:C116" si="75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76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33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236"/>
      <c r="AB105" s="208"/>
      <c r="AC105" s="208"/>
      <c r="AD105" s="236"/>
      <c r="AE105" s="208"/>
      <c r="AF105" s="208"/>
    </row>
    <row r="106" spans="1:32" ht="24" hidden="1" customHeight="1" x14ac:dyDescent="0.2">
      <c r="A106" s="109">
        <v>2</v>
      </c>
      <c r="B106" s="122" t="s">
        <v>123</v>
      </c>
      <c r="C106" s="123">
        <f t="shared" si="75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76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33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236"/>
      <c r="AB106" s="208"/>
      <c r="AC106" s="208"/>
      <c r="AD106" s="236"/>
      <c r="AE106" s="208"/>
      <c r="AF106" s="208"/>
    </row>
    <row r="107" spans="1:32" ht="24" hidden="1" customHeight="1" x14ac:dyDescent="0.2">
      <c r="A107" s="109">
        <v>3</v>
      </c>
      <c r="B107" s="122" t="s">
        <v>124</v>
      </c>
      <c r="C107" s="123">
        <f t="shared" si="75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76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33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236"/>
      <c r="AB107" s="208"/>
      <c r="AC107" s="208"/>
      <c r="AD107" s="236"/>
      <c r="AE107" s="208"/>
      <c r="AF107" s="208"/>
    </row>
    <row r="108" spans="1:32" ht="24" hidden="1" customHeight="1" x14ac:dyDescent="0.2">
      <c r="A108" s="125">
        <v>4</v>
      </c>
      <c r="B108" s="122" t="s">
        <v>125</v>
      </c>
      <c r="C108" s="123">
        <f t="shared" si="75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76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33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236"/>
      <c r="AB108" s="208"/>
      <c r="AC108" s="208"/>
      <c r="AD108" s="236"/>
      <c r="AE108" s="208"/>
      <c r="AF108" s="208"/>
    </row>
    <row r="109" spans="1:32" ht="24" hidden="1" customHeight="1" x14ac:dyDescent="0.2">
      <c r="A109" s="125">
        <v>5</v>
      </c>
      <c r="B109" s="122" t="s">
        <v>126</v>
      </c>
      <c r="C109" s="123">
        <f t="shared" si="75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76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33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236"/>
      <c r="AB109" s="208"/>
      <c r="AC109" s="208"/>
      <c r="AD109" s="236"/>
      <c r="AE109" s="208"/>
      <c r="AF109" s="208"/>
    </row>
    <row r="110" spans="1:32" ht="24" hidden="1" customHeight="1" x14ac:dyDescent="0.2">
      <c r="A110" s="125">
        <v>6</v>
      </c>
      <c r="B110" s="122" t="s">
        <v>127</v>
      </c>
      <c r="C110" s="123">
        <f t="shared" si="75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76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33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236"/>
      <c r="AB110" s="208"/>
      <c r="AC110" s="208"/>
      <c r="AD110" s="236"/>
      <c r="AE110" s="208"/>
      <c r="AF110" s="208"/>
    </row>
    <row r="111" spans="1:32" ht="24" hidden="1" customHeight="1" x14ac:dyDescent="0.2">
      <c r="A111" s="125">
        <v>7</v>
      </c>
      <c r="B111" s="122" t="s">
        <v>128</v>
      </c>
      <c r="C111" s="123">
        <f t="shared" si="75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76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33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236"/>
      <c r="AB111" s="208"/>
      <c r="AC111" s="208"/>
      <c r="AD111" s="236"/>
      <c r="AE111" s="208"/>
      <c r="AF111" s="208"/>
    </row>
    <row r="112" spans="1:32" ht="24" hidden="1" customHeight="1" x14ac:dyDescent="0.2">
      <c r="A112" s="125">
        <v>8</v>
      </c>
      <c r="B112" s="122" t="s">
        <v>129</v>
      </c>
      <c r="C112" s="123">
        <f t="shared" si="75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76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33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236"/>
      <c r="AB112" s="208"/>
      <c r="AC112" s="208"/>
      <c r="AD112" s="236"/>
      <c r="AE112" s="208"/>
      <c r="AF112" s="208"/>
    </row>
    <row r="113" spans="1:32" ht="24" hidden="1" customHeight="1" x14ac:dyDescent="0.2">
      <c r="A113" s="125">
        <v>9</v>
      </c>
      <c r="B113" s="122" t="s">
        <v>130</v>
      </c>
      <c r="C113" s="123">
        <f t="shared" si="75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76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33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236"/>
      <c r="AB113" s="208"/>
      <c r="AC113" s="208"/>
      <c r="AD113" s="236"/>
      <c r="AE113" s="208"/>
      <c r="AF113" s="208"/>
    </row>
    <row r="114" spans="1:32" ht="24" hidden="1" customHeight="1" x14ac:dyDescent="0.2">
      <c r="A114" s="125">
        <v>10</v>
      </c>
      <c r="B114" s="122" t="s">
        <v>131</v>
      </c>
      <c r="C114" s="123">
        <f t="shared" si="75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76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33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236"/>
      <c r="AB114" s="208"/>
      <c r="AC114" s="208"/>
      <c r="AD114" s="236"/>
      <c r="AE114" s="208"/>
      <c r="AF114" s="208"/>
    </row>
    <row r="115" spans="1:32" ht="24" hidden="1" customHeight="1" x14ac:dyDescent="0.2">
      <c r="A115" s="125">
        <v>11</v>
      </c>
      <c r="B115" s="122" t="s">
        <v>132</v>
      </c>
      <c r="C115" s="123">
        <f t="shared" si="75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76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33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236"/>
      <c r="AB115" s="208"/>
      <c r="AC115" s="208"/>
      <c r="AD115" s="236"/>
      <c r="AE115" s="208"/>
      <c r="AF115" s="208"/>
    </row>
    <row r="116" spans="1:32" ht="24" hidden="1" customHeight="1" x14ac:dyDescent="0.2">
      <c r="A116" s="125">
        <v>12</v>
      </c>
      <c r="B116" s="122" t="s">
        <v>133</v>
      </c>
      <c r="C116" s="123">
        <f t="shared" si="75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76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33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236"/>
      <c r="AB116" s="208"/>
      <c r="AC116" s="208"/>
      <c r="AD116" s="236"/>
      <c r="AE116" s="208"/>
      <c r="AF116" s="208"/>
    </row>
    <row r="117" spans="1:32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</row>
    <row r="135" spans="1:32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</row>
    <row r="136" spans="1:32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</row>
    <row r="137" spans="1:32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</row>
    <row r="138" spans="1:32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</row>
    <row r="139" spans="1:32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</row>
    <row r="140" spans="1:32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</row>
    <row r="141" spans="1:32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</row>
    <row r="142" spans="1:32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</row>
    <row r="143" spans="1:32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</row>
    <row r="144" spans="1:32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</row>
    <row r="145" spans="1:32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</row>
    <row r="146" spans="1:32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</row>
    <row r="147" spans="1:32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</row>
    <row r="148" spans="1:32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</row>
    <row r="149" spans="1:32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</row>
    <row r="150" spans="1:32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</row>
    <row r="151" spans="1:32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</row>
    <row r="152" spans="1:32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</row>
    <row r="153" spans="1:32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</row>
    <row r="154" spans="1:32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</row>
    <row r="155" spans="1:32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</row>
    <row r="156" spans="1:32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</row>
    <row r="157" spans="1:32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</row>
    <row r="158" spans="1:32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</row>
    <row r="159" spans="1:32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</row>
    <row r="160" spans="1:32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</row>
    <row r="161" spans="1:32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</row>
    <row r="162" spans="1:32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</row>
    <row r="163" spans="1:32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</row>
    <row r="164" spans="1:32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</row>
    <row r="165" spans="1:32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</row>
    <row r="166" spans="1:32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</row>
    <row r="167" spans="1:32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</row>
    <row r="168" spans="1:32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</row>
    <row r="169" spans="1:32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</row>
    <row r="170" spans="1:32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</row>
    <row r="171" spans="1:32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</row>
    <row r="172" spans="1:32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</row>
    <row r="173" spans="1:32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</row>
    <row r="174" spans="1:32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</row>
    <row r="175" spans="1:32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</row>
    <row r="176" spans="1:32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</row>
    <row r="177" spans="1:32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</row>
    <row r="178" spans="1:32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</row>
    <row r="179" spans="1:32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</row>
    <row r="180" spans="1:32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</row>
    <row r="181" spans="1:32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</row>
    <row r="182" spans="1:32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</row>
    <row r="183" spans="1:32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</row>
    <row r="184" spans="1:32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</row>
    <row r="185" spans="1:32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</row>
    <row r="186" spans="1:32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</row>
    <row r="187" spans="1:32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</row>
    <row r="188" spans="1:32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</row>
    <row r="189" spans="1:32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</row>
    <row r="190" spans="1:32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</row>
    <row r="191" spans="1:32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</row>
    <row r="192" spans="1:32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</row>
    <row r="193" spans="1:32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</row>
    <row r="194" spans="1:32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</row>
    <row r="195" spans="1:32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</row>
    <row r="196" spans="1:32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</row>
    <row r="197" spans="1:32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</row>
    <row r="198" spans="1:32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</row>
    <row r="199" spans="1:32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</row>
    <row r="200" spans="1:32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</row>
    <row r="201" spans="1:32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</row>
    <row r="202" spans="1:32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</row>
    <row r="203" spans="1:32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</row>
    <row r="204" spans="1:32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</row>
    <row r="205" spans="1:32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</row>
    <row r="206" spans="1:32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</row>
    <row r="207" spans="1:32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</row>
    <row r="208" spans="1:32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</row>
    <row r="209" spans="1:32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</row>
    <row r="210" spans="1:32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</row>
    <row r="211" spans="1:32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</row>
    <row r="212" spans="1:32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</row>
    <row r="213" spans="1:32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</row>
    <row r="214" spans="1:32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</row>
    <row r="215" spans="1:32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</row>
    <row r="216" spans="1:32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</row>
    <row r="217" spans="1:32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</row>
    <row r="218" spans="1:32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</row>
    <row r="219" spans="1:32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</row>
    <row r="220" spans="1:32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</row>
    <row r="221" spans="1:32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</row>
    <row r="222" spans="1:32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</row>
    <row r="223" spans="1:32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</row>
    <row r="224" spans="1:32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</row>
    <row r="225" spans="1:32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</row>
    <row r="226" spans="1:32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</row>
    <row r="227" spans="1:32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</row>
    <row r="228" spans="1:32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</row>
    <row r="229" spans="1:32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</row>
    <row r="230" spans="1:32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</row>
    <row r="231" spans="1:32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</row>
    <row r="232" spans="1:32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</row>
    <row r="233" spans="1:32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</row>
    <row r="234" spans="1:32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</row>
    <row r="235" spans="1:32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</row>
    <row r="236" spans="1:32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</row>
    <row r="237" spans="1:32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</row>
    <row r="238" spans="1:32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</row>
    <row r="239" spans="1:32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</row>
    <row r="240" spans="1:32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</row>
    <row r="241" spans="1:32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</row>
    <row r="242" spans="1:32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</row>
    <row r="243" spans="1:32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</row>
    <row r="244" spans="1:32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</row>
    <row r="245" spans="1:32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</row>
    <row r="246" spans="1:32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</row>
    <row r="247" spans="1:32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</row>
    <row r="248" spans="1:32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</row>
    <row r="249" spans="1:32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</row>
    <row r="250" spans="1:32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</row>
    <row r="251" spans="1:32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</row>
    <row r="252" spans="1:32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</row>
    <row r="253" spans="1:32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</row>
    <row r="254" spans="1:32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</row>
    <row r="255" spans="1:32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</row>
    <row r="256" spans="1:32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</row>
    <row r="257" spans="1:32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</row>
    <row r="258" spans="1:32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</row>
    <row r="259" spans="1:32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</row>
    <row r="260" spans="1:32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</row>
    <row r="261" spans="1:32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</row>
    <row r="262" spans="1:32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</row>
    <row r="263" spans="1:32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</row>
    <row r="264" spans="1:32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</row>
    <row r="265" spans="1:32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</row>
    <row r="266" spans="1:32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</row>
    <row r="267" spans="1:32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</row>
    <row r="268" spans="1:32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</row>
    <row r="269" spans="1:32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</row>
    <row r="270" spans="1:32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</row>
    <row r="271" spans="1:32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</row>
    <row r="272" spans="1:32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</row>
    <row r="273" spans="1:32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</row>
    <row r="274" spans="1:32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</row>
    <row r="275" spans="1:32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</row>
    <row r="276" spans="1:32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</row>
    <row r="277" spans="1:32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</row>
    <row r="278" spans="1:32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</row>
    <row r="279" spans="1:32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</row>
    <row r="280" spans="1:32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</row>
    <row r="281" spans="1:32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</row>
    <row r="282" spans="1:32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</row>
    <row r="283" spans="1:32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</row>
    <row r="284" spans="1:32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</row>
    <row r="285" spans="1:32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</row>
    <row r="286" spans="1:32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</row>
    <row r="287" spans="1:32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</row>
    <row r="288" spans="1:32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</row>
    <row r="289" spans="1:32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</row>
    <row r="290" spans="1:32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</row>
    <row r="291" spans="1:32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</row>
    <row r="292" spans="1:32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</row>
    <row r="293" spans="1:32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</row>
    <row r="294" spans="1:32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</row>
    <row r="295" spans="1:32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</row>
    <row r="296" spans="1:32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</row>
    <row r="297" spans="1:32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</row>
    <row r="298" spans="1:32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</row>
    <row r="299" spans="1:32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</row>
    <row r="300" spans="1:32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</row>
    <row r="301" spans="1:32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</row>
    <row r="302" spans="1:32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</row>
    <row r="303" spans="1:32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</row>
    <row r="304" spans="1:32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</row>
    <row r="305" spans="1:32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</row>
    <row r="306" spans="1:32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</row>
    <row r="307" spans="1:32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</row>
    <row r="308" spans="1:32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</row>
    <row r="309" spans="1:32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</row>
    <row r="310" spans="1:32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</row>
    <row r="311" spans="1:32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</row>
    <row r="312" spans="1:32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</row>
    <row r="313" spans="1:32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</row>
    <row r="314" spans="1:32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</row>
    <row r="315" spans="1:32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</row>
    <row r="316" spans="1:32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</row>
    <row r="317" spans="1:32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</row>
    <row r="318" spans="1:32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</row>
    <row r="319" spans="1:32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</row>
    <row r="320" spans="1:32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</row>
    <row r="321" spans="1:32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</row>
    <row r="322" spans="1:32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</row>
    <row r="323" spans="1:32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</row>
    <row r="324" spans="1:32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</row>
    <row r="325" spans="1:32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</row>
    <row r="326" spans="1:32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</row>
    <row r="327" spans="1:32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</row>
    <row r="328" spans="1:32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</row>
    <row r="329" spans="1:32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</row>
    <row r="330" spans="1:32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</row>
    <row r="331" spans="1:32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</row>
    <row r="332" spans="1:32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</row>
    <row r="333" spans="1:32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</row>
    <row r="334" spans="1:32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</row>
    <row r="335" spans="1:32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</row>
    <row r="336" spans="1:32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</row>
    <row r="337" spans="1:32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</row>
    <row r="338" spans="1:32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</row>
    <row r="339" spans="1:32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</row>
    <row r="340" spans="1:32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</row>
    <row r="341" spans="1:32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</row>
    <row r="342" spans="1:32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</row>
    <row r="343" spans="1:32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</row>
    <row r="344" spans="1:32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</row>
    <row r="345" spans="1:32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</row>
    <row r="346" spans="1:32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</row>
    <row r="347" spans="1:32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</row>
    <row r="348" spans="1:32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</row>
    <row r="349" spans="1:32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</row>
    <row r="350" spans="1:32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</row>
    <row r="351" spans="1:32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</row>
    <row r="352" spans="1:32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</row>
    <row r="353" spans="1:32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</row>
    <row r="354" spans="1:32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</row>
    <row r="355" spans="1:32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</row>
    <row r="356" spans="1:32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</row>
    <row r="357" spans="1:32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</row>
    <row r="358" spans="1:32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</row>
    <row r="359" spans="1:32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</row>
    <row r="360" spans="1:32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</row>
    <row r="361" spans="1:32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</row>
    <row r="362" spans="1:32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</row>
    <row r="363" spans="1:32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</row>
    <row r="364" spans="1:32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</row>
    <row r="365" spans="1:32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</row>
    <row r="366" spans="1:32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</row>
    <row r="367" spans="1:32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</row>
    <row r="368" spans="1:32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</row>
    <row r="369" spans="1:32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</row>
    <row r="370" spans="1:32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</row>
    <row r="371" spans="1:32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</row>
    <row r="372" spans="1:32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</row>
    <row r="373" spans="1:32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</row>
    <row r="374" spans="1:32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</row>
    <row r="375" spans="1:32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</row>
    <row r="376" spans="1:32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</row>
    <row r="377" spans="1:32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</row>
    <row r="378" spans="1:32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</row>
    <row r="379" spans="1:32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</row>
    <row r="380" spans="1:32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</row>
    <row r="381" spans="1:32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</row>
    <row r="382" spans="1:32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</row>
    <row r="383" spans="1:32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</row>
    <row r="384" spans="1:32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</row>
    <row r="385" spans="1:32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</row>
    <row r="386" spans="1:32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</row>
    <row r="387" spans="1:32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</row>
    <row r="388" spans="1:32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</row>
    <row r="389" spans="1:32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</row>
    <row r="390" spans="1:32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</row>
    <row r="391" spans="1:32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</row>
    <row r="392" spans="1:32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</row>
    <row r="393" spans="1:32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</row>
    <row r="394" spans="1:32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</row>
    <row r="395" spans="1:32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</row>
    <row r="396" spans="1:32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</row>
    <row r="397" spans="1:32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</row>
    <row r="398" spans="1:32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</row>
    <row r="399" spans="1:32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</row>
    <row r="400" spans="1:32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</row>
    <row r="401" spans="1:32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</row>
    <row r="402" spans="1:32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</row>
    <row r="403" spans="1:32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</row>
    <row r="404" spans="1:32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</row>
    <row r="405" spans="1:32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</row>
    <row r="406" spans="1:32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</row>
    <row r="407" spans="1:32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</row>
    <row r="408" spans="1:32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</row>
    <row r="409" spans="1:32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</row>
    <row r="410" spans="1:32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</row>
    <row r="411" spans="1:32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</row>
    <row r="412" spans="1:32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</row>
    <row r="413" spans="1:32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</row>
    <row r="414" spans="1:32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</row>
    <row r="415" spans="1:32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</row>
    <row r="416" spans="1:32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</row>
    <row r="417" spans="1:32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</row>
    <row r="418" spans="1:32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</row>
    <row r="419" spans="1:32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</row>
    <row r="420" spans="1:32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</row>
    <row r="421" spans="1:32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</row>
    <row r="422" spans="1:32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</row>
    <row r="423" spans="1:32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</row>
    <row r="424" spans="1:32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</row>
    <row r="425" spans="1:32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</row>
    <row r="426" spans="1:32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</row>
    <row r="427" spans="1:32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</row>
    <row r="428" spans="1:32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</row>
    <row r="429" spans="1:32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</row>
    <row r="430" spans="1:32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</row>
    <row r="431" spans="1:32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</row>
    <row r="432" spans="1:32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</row>
    <row r="433" spans="1:32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</row>
    <row r="434" spans="1:32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</row>
    <row r="435" spans="1:32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</row>
    <row r="436" spans="1:32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</row>
    <row r="437" spans="1:32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</row>
    <row r="438" spans="1:32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</row>
    <row r="439" spans="1:32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</row>
    <row r="440" spans="1:32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</row>
    <row r="441" spans="1:32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</row>
    <row r="442" spans="1:32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</row>
    <row r="443" spans="1:32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</row>
    <row r="444" spans="1:32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</row>
    <row r="445" spans="1:32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</row>
    <row r="446" spans="1:32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</row>
    <row r="447" spans="1:32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</row>
    <row r="448" spans="1:32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</row>
    <row r="449" spans="1:32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</row>
    <row r="450" spans="1:32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</row>
    <row r="451" spans="1:32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</row>
    <row r="452" spans="1:32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</row>
    <row r="453" spans="1:32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</row>
    <row r="454" spans="1:32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</row>
    <row r="455" spans="1:32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</row>
    <row r="456" spans="1:32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</row>
    <row r="457" spans="1:32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</row>
    <row r="458" spans="1:32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</row>
    <row r="459" spans="1:32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</row>
    <row r="460" spans="1:32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</row>
    <row r="461" spans="1:32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</row>
    <row r="462" spans="1:32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</row>
    <row r="463" spans="1:32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</row>
    <row r="464" spans="1:32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</row>
    <row r="465" spans="1:32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</row>
    <row r="466" spans="1:32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</row>
    <row r="467" spans="1:32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</row>
    <row r="468" spans="1:32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</row>
    <row r="469" spans="1:32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</row>
    <row r="470" spans="1:32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</row>
    <row r="471" spans="1:32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</row>
    <row r="472" spans="1:32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</row>
    <row r="473" spans="1:32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</row>
    <row r="474" spans="1:32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</row>
    <row r="475" spans="1:32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</row>
    <row r="476" spans="1:32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</row>
    <row r="477" spans="1:32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</row>
    <row r="478" spans="1:32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</row>
    <row r="479" spans="1:32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</row>
    <row r="480" spans="1:32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</row>
    <row r="481" spans="1:32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</row>
    <row r="482" spans="1:32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</row>
    <row r="483" spans="1:32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</row>
    <row r="484" spans="1:32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</row>
    <row r="485" spans="1:32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</row>
    <row r="486" spans="1:32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</row>
    <row r="487" spans="1:32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</row>
    <row r="488" spans="1:32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</row>
    <row r="489" spans="1:32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</row>
    <row r="490" spans="1:32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</row>
    <row r="491" spans="1:32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</row>
    <row r="492" spans="1:32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</row>
    <row r="493" spans="1:32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</row>
    <row r="494" spans="1:32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</row>
    <row r="495" spans="1:32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</row>
    <row r="496" spans="1:32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</row>
    <row r="497" spans="1:32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</row>
    <row r="498" spans="1:32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</row>
    <row r="499" spans="1:32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</row>
    <row r="500" spans="1:32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</row>
    <row r="501" spans="1:32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</row>
    <row r="502" spans="1:32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</row>
    <row r="503" spans="1:32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</row>
    <row r="504" spans="1:32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</row>
    <row r="505" spans="1:32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</row>
    <row r="506" spans="1:32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</row>
    <row r="507" spans="1:32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</row>
    <row r="508" spans="1:32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</row>
    <row r="509" spans="1:32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</row>
    <row r="510" spans="1:32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</row>
    <row r="511" spans="1:32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</row>
    <row r="512" spans="1:32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</row>
    <row r="513" spans="1:32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</row>
    <row r="514" spans="1:32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</row>
    <row r="515" spans="1:32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</row>
    <row r="516" spans="1:32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</row>
    <row r="517" spans="1:32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</row>
    <row r="518" spans="1:32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</row>
    <row r="519" spans="1:32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</row>
    <row r="520" spans="1:32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</row>
    <row r="521" spans="1:32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</row>
    <row r="522" spans="1:32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</row>
    <row r="523" spans="1:32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</row>
    <row r="524" spans="1:32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</row>
    <row r="525" spans="1:32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</row>
    <row r="526" spans="1:32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</row>
    <row r="527" spans="1:32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</row>
    <row r="528" spans="1:32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</row>
    <row r="529" spans="1:32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</row>
    <row r="530" spans="1:32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</row>
    <row r="531" spans="1:32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</row>
    <row r="532" spans="1:32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</row>
    <row r="533" spans="1:32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</row>
    <row r="534" spans="1:32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</row>
    <row r="535" spans="1:32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</row>
    <row r="536" spans="1:32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</row>
    <row r="537" spans="1:32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</row>
    <row r="538" spans="1:32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</row>
    <row r="539" spans="1:32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</row>
    <row r="540" spans="1:32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</row>
    <row r="541" spans="1:32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</row>
    <row r="542" spans="1:32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</row>
    <row r="543" spans="1:32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</row>
    <row r="544" spans="1:32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</row>
    <row r="545" spans="1:32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</row>
    <row r="546" spans="1:32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</row>
    <row r="547" spans="1:32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</row>
    <row r="548" spans="1:32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</row>
    <row r="549" spans="1:32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</row>
    <row r="550" spans="1:32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</row>
    <row r="551" spans="1:32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</row>
    <row r="552" spans="1:32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</row>
    <row r="553" spans="1:32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</row>
    <row r="554" spans="1:32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</row>
    <row r="555" spans="1:32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</row>
    <row r="556" spans="1:32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</row>
    <row r="557" spans="1:32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</row>
    <row r="558" spans="1:32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</row>
    <row r="559" spans="1:32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</row>
    <row r="560" spans="1:32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</row>
    <row r="561" spans="1:32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</row>
    <row r="562" spans="1:32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</row>
    <row r="563" spans="1:32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</row>
    <row r="564" spans="1:32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</row>
    <row r="565" spans="1:32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</row>
    <row r="566" spans="1:32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</row>
    <row r="567" spans="1:32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</row>
    <row r="568" spans="1:32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</row>
    <row r="569" spans="1:32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</row>
    <row r="570" spans="1:32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</row>
    <row r="571" spans="1:32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</row>
    <row r="572" spans="1:32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</row>
    <row r="573" spans="1:32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</row>
    <row r="574" spans="1:32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</row>
    <row r="575" spans="1:32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</row>
    <row r="576" spans="1:32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</row>
    <row r="577" spans="1:32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</row>
    <row r="578" spans="1:32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</row>
    <row r="579" spans="1:32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</row>
    <row r="580" spans="1:32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</row>
    <row r="581" spans="1:32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</row>
    <row r="582" spans="1:32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</row>
    <row r="583" spans="1:32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</row>
    <row r="584" spans="1:32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</row>
    <row r="585" spans="1:32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</row>
    <row r="586" spans="1:32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</row>
    <row r="587" spans="1:32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</row>
    <row r="588" spans="1:32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</row>
    <row r="589" spans="1:32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</row>
    <row r="590" spans="1:32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</row>
    <row r="591" spans="1:32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</row>
    <row r="592" spans="1:32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</row>
    <row r="593" spans="1:32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</row>
    <row r="594" spans="1:32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</row>
    <row r="595" spans="1:32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</row>
    <row r="596" spans="1:32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</row>
    <row r="597" spans="1:32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</row>
    <row r="598" spans="1:32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</row>
    <row r="599" spans="1:32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</row>
    <row r="600" spans="1:32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</row>
    <row r="601" spans="1:32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</row>
    <row r="602" spans="1:32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</row>
    <row r="603" spans="1:32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</row>
    <row r="604" spans="1:32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</row>
    <row r="605" spans="1:32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</row>
    <row r="606" spans="1:32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</row>
    <row r="607" spans="1:32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</row>
    <row r="608" spans="1:32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</row>
    <row r="609" spans="1:32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</row>
    <row r="610" spans="1:32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</row>
    <row r="611" spans="1:32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</row>
    <row r="612" spans="1:32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</row>
    <row r="613" spans="1:32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</row>
    <row r="614" spans="1:32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</row>
    <row r="615" spans="1:32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</row>
    <row r="616" spans="1:32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</row>
    <row r="617" spans="1:32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</row>
    <row r="618" spans="1:32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</row>
    <row r="619" spans="1:32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</row>
    <row r="620" spans="1:32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</row>
    <row r="621" spans="1:32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</row>
    <row r="622" spans="1:32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</row>
    <row r="623" spans="1:32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</row>
    <row r="624" spans="1:32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</row>
    <row r="625" spans="1:32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</row>
    <row r="626" spans="1:32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</row>
    <row r="627" spans="1:32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</row>
    <row r="628" spans="1:32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</row>
    <row r="629" spans="1:32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</row>
    <row r="630" spans="1:32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</row>
    <row r="631" spans="1:32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</row>
    <row r="632" spans="1:32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</row>
    <row r="633" spans="1:32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</row>
    <row r="634" spans="1:32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</row>
    <row r="635" spans="1:32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</row>
    <row r="636" spans="1:32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</row>
    <row r="637" spans="1:32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</row>
    <row r="638" spans="1:32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</row>
    <row r="639" spans="1:32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</row>
    <row r="640" spans="1:32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</row>
    <row r="641" spans="1:32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</row>
    <row r="642" spans="1:32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</row>
    <row r="643" spans="1:32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</row>
    <row r="644" spans="1:32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</row>
    <row r="645" spans="1:32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</row>
    <row r="646" spans="1:32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</row>
    <row r="647" spans="1:32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</row>
    <row r="648" spans="1:32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</row>
    <row r="649" spans="1:32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</row>
    <row r="650" spans="1:32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</row>
    <row r="651" spans="1:32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</row>
    <row r="652" spans="1:32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</row>
    <row r="653" spans="1:32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</row>
    <row r="654" spans="1:32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</row>
    <row r="655" spans="1:32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</row>
    <row r="656" spans="1:32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</row>
    <row r="657" spans="1:32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</row>
    <row r="658" spans="1:32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</row>
    <row r="659" spans="1:32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</row>
    <row r="660" spans="1:32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</row>
    <row r="661" spans="1:32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</row>
    <row r="662" spans="1:32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</row>
    <row r="663" spans="1:32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</row>
    <row r="664" spans="1:32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</row>
    <row r="665" spans="1:32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</row>
    <row r="666" spans="1:32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</row>
    <row r="667" spans="1:32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</row>
    <row r="668" spans="1:32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</row>
    <row r="669" spans="1:32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</row>
    <row r="670" spans="1:32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</row>
    <row r="671" spans="1:32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</row>
    <row r="672" spans="1:32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</row>
    <row r="673" spans="1:32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</row>
    <row r="674" spans="1:32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</row>
    <row r="675" spans="1:32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</row>
    <row r="676" spans="1:32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</row>
    <row r="677" spans="1:32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</row>
    <row r="678" spans="1:32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</row>
    <row r="679" spans="1:32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</row>
    <row r="680" spans="1:32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</row>
    <row r="681" spans="1:32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</row>
    <row r="682" spans="1:32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</row>
    <row r="683" spans="1:32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</row>
    <row r="684" spans="1:32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</row>
    <row r="685" spans="1:32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</row>
    <row r="686" spans="1:32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</row>
    <row r="687" spans="1:32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</row>
    <row r="688" spans="1:32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</row>
    <row r="689" spans="1:32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</row>
    <row r="690" spans="1:32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</row>
    <row r="691" spans="1:32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</row>
    <row r="692" spans="1:32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</row>
    <row r="693" spans="1:32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</row>
    <row r="694" spans="1:32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</row>
    <row r="695" spans="1:32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</row>
    <row r="696" spans="1:32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</row>
    <row r="697" spans="1:32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</row>
    <row r="698" spans="1:32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</row>
    <row r="699" spans="1:32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</row>
    <row r="700" spans="1:32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</row>
    <row r="701" spans="1:32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</row>
    <row r="702" spans="1:32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</row>
    <row r="703" spans="1:32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</row>
    <row r="704" spans="1:32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</row>
    <row r="705" spans="1:32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</row>
    <row r="706" spans="1:32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</row>
    <row r="707" spans="1:32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</row>
    <row r="708" spans="1:32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</row>
    <row r="709" spans="1:32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</row>
    <row r="710" spans="1:32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</row>
    <row r="711" spans="1:32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</row>
    <row r="712" spans="1:32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</row>
    <row r="713" spans="1:32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</row>
    <row r="714" spans="1:32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</row>
    <row r="715" spans="1:32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</row>
    <row r="716" spans="1:32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</row>
    <row r="717" spans="1:32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</row>
    <row r="718" spans="1:32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</row>
    <row r="719" spans="1:32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</row>
    <row r="720" spans="1:32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</row>
    <row r="721" spans="1:32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</row>
    <row r="722" spans="1:32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</row>
    <row r="723" spans="1:32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</row>
    <row r="724" spans="1:32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</row>
    <row r="725" spans="1:32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</row>
    <row r="726" spans="1:32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</row>
    <row r="727" spans="1:32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</row>
    <row r="728" spans="1:32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</row>
    <row r="729" spans="1:32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</row>
    <row r="730" spans="1:32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</row>
    <row r="731" spans="1:32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</row>
    <row r="732" spans="1:32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</row>
    <row r="733" spans="1:32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</row>
    <row r="734" spans="1:32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</row>
    <row r="735" spans="1:32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</row>
    <row r="736" spans="1:32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</row>
    <row r="737" spans="1:32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</row>
    <row r="738" spans="1:32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</row>
    <row r="739" spans="1:32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</row>
    <row r="740" spans="1:32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</row>
    <row r="741" spans="1:32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</row>
    <row r="742" spans="1:32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</row>
    <row r="743" spans="1:32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</row>
    <row r="744" spans="1:32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</row>
    <row r="745" spans="1:32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</row>
    <row r="746" spans="1:32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</row>
    <row r="747" spans="1:32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</row>
    <row r="748" spans="1:32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</row>
    <row r="749" spans="1:32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</row>
    <row r="750" spans="1:32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</row>
    <row r="751" spans="1:32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</row>
    <row r="752" spans="1:32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</row>
    <row r="753" spans="1:32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</row>
    <row r="754" spans="1:32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</row>
    <row r="755" spans="1:32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</row>
    <row r="756" spans="1:32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</row>
    <row r="757" spans="1:32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</row>
    <row r="758" spans="1:32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</row>
    <row r="759" spans="1:32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</row>
    <row r="760" spans="1:32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</row>
    <row r="761" spans="1:32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</row>
    <row r="762" spans="1:32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</row>
    <row r="763" spans="1:32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</row>
    <row r="764" spans="1:32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</row>
    <row r="765" spans="1:32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</row>
    <row r="766" spans="1:32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</row>
    <row r="767" spans="1:32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</row>
    <row r="768" spans="1:32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</row>
    <row r="769" spans="1:32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</row>
    <row r="770" spans="1:32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</row>
    <row r="771" spans="1:32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</row>
    <row r="772" spans="1:32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</row>
    <row r="773" spans="1:32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</row>
    <row r="774" spans="1:32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</row>
    <row r="775" spans="1:32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</row>
    <row r="776" spans="1:32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</row>
    <row r="777" spans="1:32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</row>
    <row r="778" spans="1:32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</row>
    <row r="779" spans="1:32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</row>
    <row r="780" spans="1:32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</row>
    <row r="781" spans="1:32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</row>
    <row r="782" spans="1:32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</row>
    <row r="783" spans="1:32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</row>
    <row r="784" spans="1:32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</row>
    <row r="785" spans="1:32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</row>
    <row r="786" spans="1:32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</row>
    <row r="787" spans="1:32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</row>
    <row r="788" spans="1:32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</row>
    <row r="789" spans="1:32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</row>
    <row r="790" spans="1:32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</row>
    <row r="791" spans="1:32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</row>
    <row r="792" spans="1:32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</row>
    <row r="793" spans="1:32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</row>
    <row r="794" spans="1:32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</row>
    <row r="795" spans="1:32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</row>
    <row r="796" spans="1:32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</row>
    <row r="797" spans="1:32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</row>
    <row r="798" spans="1:32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</row>
    <row r="799" spans="1:32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</row>
    <row r="800" spans="1:32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</row>
    <row r="801" spans="1:32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</row>
    <row r="802" spans="1:32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</row>
    <row r="803" spans="1:32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</row>
    <row r="804" spans="1:32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</row>
    <row r="805" spans="1:32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</row>
    <row r="806" spans="1:32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</row>
    <row r="807" spans="1:32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</row>
    <row r="808" spans="1:32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</row>
    <row r="809" spans="1:32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</row>
    <row r="810" spans="1:32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</row>
    <row r="811" spans="1:32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</row>
    <row r="812" spans="1:32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</row>
    <row r="813" spans="1:32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</row>
    <row r="814" spans="1:32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</row>
    <row r="815" spans="1:32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</row>
    <row r="816" spans="1:32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</row>
    <row r="817" spans="1:32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</row>
    <row r="818" spans="1:32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</row>
    <row r="819" spans="1:32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</row>
    <row r="820" spans="1:32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</row>
    <row r="821" spans="1:32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</row>
    <row r="822" spans="1:32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</row>
    <row r="823" spans="1:32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</row>
    <row r="824" spans="1:32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</row>
    <row r="825" spans="1:32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</row>
    <row r="826" spans="1:32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</row>
    <row r="827" spans="1:32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</row>
    <row r="828" spans="1:32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</row>
    <row r="829" spans="1:32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</row>
    <row r="830" spans="1:32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</row>
    <row r="831" spans="1:32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</row>
    <row r="832" spans="1:32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</row>
    <row r="833" spans="1:32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</row>
    <row r="834" spans="1:32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</row>
    <row r="835" spans="1:32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</row>
    <row r="836" spans="1:32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</row>
    <row r="837" spans="1:32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</row>
    <row r="838" spans="1:32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</row>
    <row r="839" spans="1:32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</row>
    <row r="840" spans="1:32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</row>
    <row r="841" spans="1:32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</row>
    <row r="842" spans="1:32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</row>
    <row r="843" spans="1:32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</row>
    <row r="844" spans="1:32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</row>
    <row r="845" spans="1:32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</row>
    <row r="846" spans="1:32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</row>
    <row r="847" spans="1:32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</row>
    <row r="848" spans="1:32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</row>
    <row r="849" spans="1:32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</row>
    <row r="850" spans="1:32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</row>
    <row r="851" spans="1:32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</row>
    <row r="852" spans="1:32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</row>
    <row r="853" spans="1:32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</row>
    <row r="854" spans="1:32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</row>
    <row r="855" spans="1:32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</row>
    <row r="856" spans="1:32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</row>
    <row r="857" spans="1:32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</row>
    <row r="858" spans="1:32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</row>
    <row r="859" spans="1:32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</row>
    <row r="860" spans="1:32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</row>
    <row r="861" spans="1:32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</row>
    <row r="862" spans="1:32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</row>
    <row r="863" spans="1:32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</row>
    <row r="864" spans="1:32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</row>
    <row r="865" spans="1:32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</row>
    <row r="866" spans="1:32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</row>
    <row r="867" spans="1:32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</row>
    <row r="868" spans="1:32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</row>
    <row r="869" spans="1:32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</row>
    <row r="870" spans="1:32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</row>
    <row r="871" spans="1:32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</row>
    <row r="872" spans="1:32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</row>
    <row r="873" spans="1:32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</row>
    <row r="874" spans="1:32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</row>
    <row r="875" spans="1:32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</row>
    <row r="876" spans="1:32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</row>
    <row r="877" spans="1:32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</row>
    <row r="878" spans="1:32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</row>
    <row r="879" spans="1:32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</row>
    <row r="880" spans="1:32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</row>
    <row r="881" spans="1:32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</row>
    <row r="882" spans="1:32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</row>
    <row r="883" spans="1:32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</row>
    <row r="884" spans="1:32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</row>
    <row r="885" spans="1:32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</row>
    <row r="886" spans="1:32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</row>
    <row r="887" spans="1:32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</row>
    <row r="888" spans="1:32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</row>
    <row r="889" spans="1:32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</row>
    <row r="890" spans="1:32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</row>
    <row r="891" spans="1:32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</row>
    <row r="892" spans="1:32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</row>
    <row r="893" spans="1:32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</row>
    <row r="894" spans="1:32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</row>
    <row r="895" spans="1:32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</row>
    <row r="896" spans="1:32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</row>
    <row r="897" spans="1:32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</row>
    <row r="898" spans="1:32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</row>
    <row r="899" spans="1:32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</row>
    <row r="900" spans="1:32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</row>
    <row r="901" spans="1:32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</row>
    <row r="902" spans="1:32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</row>
    <row r="903" spans="1:32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</row>
    <row r="904" spans="1:32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</row>
    <row r="905" spans="1:32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</row>
    <row r="906" spans="1:32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</row>
    <row r="907" spans="1:32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</row>
    <row r="908" spans="1:32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</row>
    <row r="909" spans="1:32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</row>
    <row r="910" spans="1:32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</row>
    <row r="911" spans="1:32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</row>
    <row r="912" spans="1:32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</row>
    <row r="913" spans="1:32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</row>
    <row r="914" spans="1:32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</row>
    <row r="915" spans="1:32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</row>
    <row r="916" spans="1:32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</row>
    <row r="917" spans="1:32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</row>
    <row r="918" spans="1:32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</row>
    <row r="919" spans="1:32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</row>
    <row r="920" spans="1:32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</row>
    <row r="921" spans="1:32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</row>
    <row r="922" spans="1:32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</row>
    <row r="923" spans="1:32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</row>
    <row r="924" spans="1:32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</row>
    <row r="925" spans="1:32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</row>
    <row r="926" spans="1:32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</row>
    <row r="927" spans="1:32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</row>
    <row r="928" spans="1:32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</row>
    <row r="929" spans="1:32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</row>
    <row r="930" spans="1:32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</row>
    <row r="931" spans="1:32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</row>
    <row r="932" spans="1:32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</row>
    <row r="933" spans="1:32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</row>
    <row r="934" spans="1:32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</row>
    <row r="935" spans="1:32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</row>
    <row r="936" spans="1:32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</row>
    <row r="937" spans="1:32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</row>
    <row r="938" spans="1:32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</row>
    <row r="939" spans="1:32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</row>
    <row r="940" spans="1:32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</row>
    <row r="941" spans="1:32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</row>
    <row r="942" spans="1:32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</row>
    <row r="943" spans="1:32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</row>
    <row r="944" spans="1:32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</row>
    <row r="945" spans="1:32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</row>
    <row r="946" spans="1:32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</row>
    <row r="947" spans="1:32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</row>
    <row r="948" spans="1:32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</row>
    <row r="949" spans="1:32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</row>
    <row r="950" spans="1:32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</row>
    <row r="951" spans="1:32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</row>
    <row r="952" spans="1:32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</row>
    <row r="953" spans="1:32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</row>
    <row r="954" spans="1:32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</row>
    <row r="955" spans="1:32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</row>
    <row r="956" spans="1:32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</row>
    <row r="957" spans="1:32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</row>
    <row r="958" spans="1:32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</row>
    <row r="959" spans="1:32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</row>
    <row r="960" spans="1:32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</row>
    <row r="961" spans="1:32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</row>
    <row r="962" spans="1:32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</row>
    <row r="963" spans="1:32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</row>
    <row r="964" spans="1:32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</row>
    <row r="965" spans="1:32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</row>
    <row r="966" spans="1:32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</row>
    <row r="967" spans="1:32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</row>
    <row r="968" spans="1:32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</row>
    <row r="969" spans="1:32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</row>
    <row r="970" spans="1:32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</row>
    <row r="971" spans="1:32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</row>
    <row r="972" spans="1:32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</row>
    <row r="973" spans="1:32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</row>
    <row r="974" spans="1:32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</row>
    <row r="975" spans="1:32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</row>
    <row r="976" spans="1:32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</row>
    <row r="977" spans="1:32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</row>
    <row r="978" spans="1:32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</row>
    <row r="979" spans="1:32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</row>
    <row r="980" spans="1:32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</row>
    <row r="981" spans="1:32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</row>
    <row r="982" spans="1:32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</row>
    <row r="983" spans="1:32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</row>
    <row r="984" spans="1:32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</row>
    <row r="985" spans="1:32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</row>
    <row r="986" spans="1:32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</row>
    <row r="987" spans="1:32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</row>
    <row r="988" spans="1:32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</row>
    <row r="989" spans="1:32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</row>
    <row r="990" spans="1:32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</row>
    <row r="991" spans="1:32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</row>
    <row r="992" spans="1:32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</row>
    <row r="993" spans="1:32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</row>
    <row r="994" spans="1:32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</row>
    <row r="995" spans="1:32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</row>
    <row r="996" spans="1:32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</row>
    <row r="997" spans="1:32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</row>
    <row r="998" spans="1:32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</row>
    <row r="999" spans="1:32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</row>
    <row r="1000" spans="1:32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</row>
  </sheetData>
  <mergeCells count="30">
    <mergeCell ref="A7:B7"/>
    <mergeCell ref="A13:B13"/>
    <mergeCell ref="A2:B6"/>
    <mergeCell ref="C5:C6"/>
    <mergeCell ref="D5:D6"/>
    <mergeCell ref="E5:E6"/>
    <mergeCell ref="F5:G5"/>
    <mergeCell ref="A31:B31"/>
    <mergeCell ref="A52:B52"/>
    <mergeCell ref="A74:B74"/>
    <mergeCell ref="A89:B89"/>
    <mergeCell ref="A104:B104"/>
    <mergeCell ref="AE5:AF5"/>
    <mergeCell ref="C2:AF2"/>
    <mergeCell ref="C3:N3"/>
    <mergeCell ref="O3:AC3"/>
    <mergeCell ref="AD3:AF4"/>
    <mergeCell ref="C4:E4"/>
    <mergeCell ref="F4:N4"/>
    <mergeCell ref="AA4:AC4"/>
    <mergeCell ref="U4:W4"/>
    <mergeCell ref="X4:Z4"/>
    <mergeCell ref="V5:W5"/>
    <mergeCell ref="Y5:Z5"/>
    <mergeCell ref="AB5:AC5"/>
    <mergeCell ref="O4:Q4"/>
    <mergeCell ref="R4:T4"/>
    <mergeCell ref="M5:N5"/>
    <mergeCell ref="P5:Q5"/>
    <mergeCell ref="S5:T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Y1000"/>
  <sheetViews>
    <sheetView view="pageBreakPreview" zoomScale="60" zoomScaleNormal="100" workbookViewId="0">
      <pane xSplit="2" ySplit="7" topLeftCell="BY8" activePane="bottomRight" state="frozen"/>
      <selection activeCell="P71" sqref="P71"/>
      <selection pane="topRight" activeCell="P71" sqref="P71"/>
      <selection pane="bottomLeft" activeCell="P71" sqref="P71"/>
      <selection pane="bottomRight" activeCell="BX21" sqref="BX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3" width="22.5703125" bestFit="1" customWidth="1"/>
    <col min="4" max="4" width="19.7109375" bestFit="1" customWidth="1"/>
    <col min="5" max="5" width="17.5703125" customWidth="1"/>
    <col min="6" max="6" width="16.85546875" bestFit="1" customWidth="1"/>
    <col min="7" max="7" width="12.5703125" customWidth="1"/>
    <col min="8" max="8" width="20.140625" customWidth="1"/>
    <col min="9" max="9" width="16.42578125" customWidth="1"/>
    <col min="10" max="10" width="15.140625" customWidth="1"/>
    <col min="11" max="12" width="16.85546875" bestFit="1" customWidth="1"/>
    <col min="13" max="13" width="18.85546875" customWidth="1"/>
    <col min="14" max="15" width="15.140625" customWidth="1"/>
    <col min="16" max="16" width="16.85546875" bestFit="1" customWidth="1"/>
    <col min="17" max="17" width="14.42578125" bestFit="1" customWidth="1"/>
    <col min="18" max="18" width="21.28515625" customWidth="1"/>
    <col min="19" max="19" width="12.5703125" customWidth="1"/>
    <col min="20" max="20" width="14.42578125" customWidth="1"/>
    <col min="21" max="21" width="12.5703125" customWidth="1"/>
    <col min="22" max="22" width="21.28515625" bestFit="1" customWidth="1"/>
    <col min="23" max="23" width="14.42578125" bestFit="1" customWidth="1"/>
    <col min="24" max="24" width="18.7109375" bestFit="1" customWidth="1"/>
    <col min="25" max="25" width="12.5703125" customWidth="1"/>
    <col min="26" max="26" width="16.42578125" customWidth="1"/>
    <col min="27" max="27" width="10.85546875" bestFit="1" customWidth="1"/>
    <col min="28" max="28" width="16.85546875" bestFit="1" customWidth="1"/>
    <col min="29" max="29" width="13.85546875" customWidth="1"/>
    <col min="30" max="30" width="18.7109375" customWidth="1"/>
    <col min="31" max="33" width="12.5703125" customWidth="1"/>
    <col min="34" max="34" width="18.7109375" bestFit="1" customWidth="1"/>
    <col min="35" max="35" width="12.5703125" customWidth="1"/>
    <col min="36" max="36" width="16.85546875" bestFit="1" customWidth="1"/>
    <col min="37" max="37" width="10.85546875" bestFit="1" customWidth="1"/>
    <col min="38" max="38" width="16.85546875" bestFit="1" customWidth="1"/>
    <col min="39" max="39" width="12.5703125" customWidth="1"/>
    <col min="40" max="40" width="16.85546875" bestFit="1" customWidth="1"/>
    <col min="41" max="41" width="13.85546875" customWidth="1"/>
    <col min="42" max="42" width="18.7109375" bestFit="1" customWidth="1"/>
    <col min="43" max="45" width="12.5703125" customWidth="1"/>
    <col min="46" max="46" width="18.7109375" bestFit="1" customWidth="1"/>
    <col min="47" max="47" width="12.5703125" customWidth="1"/>
    <col min="48" max="48" width="16.85546875" bestFit="1" customWidth="1"/>
    <col min="49" max="49" width="12.5703125" customWidth="1"/>
    <col min="50" max="50" width="15.140625" bestFit="1" customWidth="1"/>
    <col min="51" max="51" width="12.5703125" customWidth="1"/>
    <col min="52" max="52" width="15.140625" bestFit="1" customWidth="1"/>
    <col min="53" max="59" width="12.5703125" customWidth="1"/>
    <col min="60" max="61" width="13.85546875" customWidth="1"/>
    <col min="62" max="62" width="16.85546875" bestFit="1" customWidth="1"/>
    <col min="63" max="63" width="11.5703125" customWidth="1"/>
    <col min="64" max="65" width="12.5703125" customWidth="1"/>
    <col min="66" max="66" width="16.85546875" bestFit="1" customWidth="1"/>
    <col min="67" max="67" width="10.85546875" bestFit="1" customWidth="1"/>
    <col min="68" max="68" width="16.85546875" bestFit="1" customWidth="1"/>
    <col min="69" max="69" width="10.85546875" bestFit="1" customWidth="1"/>
    <col min="70" max="70" width="15.140625" bestFit="1" customWidth="1"/>
    <col min="71" max="71" width="12.5703125" customWidth="1"/>
    <col min="72" max="72" width="11.5703125" customWidth="1"/>
    <col min="73" max="73" width="10.85546875" customWidth="1"/>
    <col min="74" max="74" width="15.140625" bestFit="1" customWidth="1"/>
    <col min="75" max="76" width="12.5703125" customWidth="1"/>
    <col min="77" max="77" width="10.85546875" customWidth="1"/>
    <col min="78" max="78" width="12.5703125" customWidth="1"/>
    <col min="79" max="79" width="11.5703125" customWidth="1"/>
    <col min="80" max="103" width="12.5703125" customWidth="1"/>
  </cols>
  <sheetData>
    <row r="1" spans="1:103" ht="24" customHeight="1" x14ac:dyDescent="0.3">
      <c r="A1" s="1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1"/>
      <c r="O1" s="131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  <c r="BS1" s="132"/>
      <c r="BT1" s="132"/>
      <c r="BU1" s="132"/>
      <c r="BV1" s="132"/>
      <c r="BW1" s="132"/>
      <c r="BX1" s="132"/>
      <c r="BY1" s="132"/>
      <c r="BZ1" s="132"/>
      <c r="CA1" s="132"/>
      <c r="CB1" s="132"/>
      <c r="CC1" s="132"/>
      <c r="CD1" s="132"/>
      <c r="CE1" s="132"/>
      <c r="CF1" s="132"/>
      <c r="CG1" s="132"/>
      <c r="CH1" s="132"/>
      <c r="CI1" s="132"/>
      <c r="CJ1" s="132"/>
      <c r="CK1" s="132"/>
      <c r="CL1" s="132"/>
      <c r="CM1" s="132"/>
      <c r="CN1" s="132"/>
      <c r="CO1" s="132"/>
      <c r="CP1" s="132"/>
      <c r="CQ1" s="132"/>
      <c r="CR1" s="132"/>
      <c r="CS1" s="132"/>
      <c r="CT1" s="132"/>
      <c r="CU1" s="132"/>
      <c r="CV1" s="132"/>
      <c r="CW1" s="132"/>
      <c r="CX1" s="132"/>
      <c r="CY1" s="132"/>
    </row>
    <row r="2" spans="1:103" ht="24" customHeight="1" x14ac:dyDescent="0.2">
      <c r="A2" s="342" t="s">
        <v>1</v>
      </c>
      <c r="B2" s="343"/>
      <c r="C2" s="334" t="s">
        <v>165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5"/>
      <c r="BW2" s="325"/>
      <c r="BX2" s="325"/>
      <c r="BY2" s="325"/>
      <c r="BZ2" s="325"/>
      <c r="CA2" s="325"/>
      <c r="CB2" s="325"/>
      <c r="CC2" s="325"/>
      <c r="CD2" s="325"/>
      <c r="CE2" s="325"/>
      <c r="CF2" s="325"/>
      <c r="CG2" s="325"/>
      <c r="CH2" s="325"/>
      <c r="CI2" s="325"/>
      <c r="CJ2" s="325"/>
      <c r="CK2" s="325"/>
      <c r="CL2" s="325"/>
      <c r="CM2" s="325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13"/>
    </row>
    <row r="3" spans="1:103" ht="30" customHeight="1" x14ac:dyDescent="0.2">
      <c r="A3" s="344"/>
      <c r="B3" s="343"/>
      <c r="C3" s="335" t="s">
        <v>3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13"/>
      <c r="P3" s="375" t="s">
        <v>166</v>
      </c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13"/>
      <c r="AB3" s="375" t="s">
        <v>166</v>
      </c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13"/>
      <c r="AN3" s="375" t="s">
        <v>166</v>
      </c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13"/>
      <c r="BH3" s="376" t="s">
        <v>167</v>
      </c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5"/>
      <c r="BW3" s="325"/>
      <c r="BX3" s="325"/>
      <c r="BY3" s="325"/>
      <c r="BZ3" s="325"/>
      <c r="CA3" s="325"/>
      <c r="CB3" s="325"/>
      <c r="CC3" s="313"/>
      <c r="CD3" s="377" t="s">
        <v>168</v>
      </c>
      <c r="CE3" s="325"/>
      <c r="CF3" s="325"/>
      <c r="CG3" s="325"/>
      <c r="CH3" s="325"/>
      <c r="CI3" s="325"/>
      <c r="CJ3" s="325"/>
      <c r="CK3" s="325"/>
      <c r="CL3" s="325"/>
      <c r="CM3" s="325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13"/>
    </row>
    <row r="4" spans="1:103" ht="75" customHeight="1" x14ac:dyDescent="0.3">
      <c r="A4" s="344"/>
      <c r="B4" s="343"/>
      <c r="C4" s="327" t="s">
        <v>8</v>
      </c>
      <c r="D4" s="325"/>
      <c r="E4" s="313"/>
      <c r="F4" s="328" t="s">
        <v>9</v>
      </c>
      <c r="G4" s="325"/>
      <c r="H4" s="325"/>
      <c r="I4" s="325"/>
      <c r="J4" s="325"/>
      <c r="K4" s="325"/>
      <c r="L4" s="325"/>
      <c r="M4" s="325"/>
      <c r="N4" s="325"/>
      <c r="O4" s="313"/>
      <c r="P4" s="361" t="s">
        <v>169</v>
      </c>
      <c r="Q4" s="325"/>
      <c r="R4" s="325"/>
      <c r="S4" s="325"/>
      <c r="T4" s="325"/>
      <c r="U4" s="313"/>
      <c r="V4" s="362" t="s">
        <v>170</v>
      </c>
      <c r="W4" s="313"/>
      <c r="X4" s="362" t="s">
        <v>171</v>
      </c>
      <c r="Y4" s="313"/>
      <c r="Z4" s="362" t="s">
        <v>172</v>
      </c>
      <c r="AA4" s="313"/>
      <c r="AB4" s="363" t="s">
        <v>173</v>
      </c>
      <c r="AC4" s="325"/>
      <c r="AD4" s="325"/>
      <c r="AE4" s="325"/>
      <c r="AF4" s="325"/>
      <c r="AG4" s="313"/>
      <c r="AH4" s="364" t="s">
        <v>174</v>
      </c>
      <c r="AI4" s="313"/>
      <c r="AJ4" s="364" t="s">
        <v>175</v>
      </c>
      <c r="AK4" s="313"/>
      <c r="AL4" s="364" t="s">
        <v>176</v>
      </c>
      <c r="AM4" s="313"/>
      <c r="AN4" s="365" t="s">
        <v>177</v>
      </c>
      <c r="AO4" s="325"/>
      <c r="AP4" s="325"/>
      <c r="AQ4" s="325"/>
      <c r="AR4" s="325"/>
      <c r="AS4" s="313"/>
      <c r="AT4" s="366" t="s">
        <v>178</v>
      </c>
      <c r="AU4" s="313"/>
      <c r="AV4" s="366" t="s">
        <v>179</v>
      </c>
      <c r="AW4" s="313"/>
      <c r="AX4" s="366" t="s">
        <v>180</v>
      </c>
      <c r="AY4" s="313"/>
      <c r="AZ4" s="367" t="s">
        <v>181</v>
      </c>
      <c r="BA4" s="325"/>
      <c r="BB4" s="367" t="s">
        <v>182</v>
      </c>
      <c r="BC4" s="325"/>
      <c r="BD4" s="366" t="s">
        <v>183</v>
      </c>
      <c r="BE4" s="313"/>
      <c r="BF4" s="366" t="s">
        <v>184</v>
      </c>
      <c r="BG4" s="313"/>
      <c r="BH4" s="368" t="s">
        <v>185</v>
      </c>
      <c r="BI4" s="325"/>
      <c r="BJ4" s="325"/>
      <c r="BK4" s="325"/>
      <c r="BL4" s="325"/>
      <c r="BM4" s="313"/>
      <c r="BN4" s="369" t="s">
        <v>186</v>
      </c>
      <c r="BO4" s="313"/>
      <c r="BP4" s="370" t="s">
        <v>187</v>
      </c>
      <c r="BQ4" s="313"/>
      <c r="BR4" s="370" t="s">
        <v>188</v>
      </c>
      <c r="BS4" s="313"/>
      <c r="BT4" s="370" t="s">
        <v>189</v>
      </c>
      <c r="BU4" s="325"/>
      <c r="BV4" s="369" t="s">
        <v>190</v>
      </c>
      <c r="BW4" s="313"/>
      <c r="BX4" s="370" t="s">
        <v>191</v>
      </c>
      <c r="BY4" s="313"/>
      <c r="BZ4" s="370" t="s">
        <v>192</v>
      </c>
      <c r="CA4" s="313"/>
      <c r="CB4" s="371" t="s">
        <v>193</v>
      </c>
      <c r="CC4" s="313"/>
      <c r="CD4" s="372" t="s">
        <v>194</v>
      </c>
      <c r="CE4" s="325"/>
      <c r="CF4" s="325"/>
      <c r="CG4" s="325"/>
      <c r="CH4" s="325"/>
      <c r="CI4" s="313"/>
      <c r="CJ4" s="373" t="s">
        <v>195</v>
      </c>
      <c r="CK4" s="313"/>
      <c r="CL4" s="373" t="s">
        <v>196</v>
      </c>
      <c r="CM4" s="313"/>
      <c r="CN4" s="372" t="s">
        <v>197</v>
      </c>
      <c r="CO4" s="325"/>
      <c r="CP4" s="325"/>
      <c r="CQ4" s="325"/>
      <c r="CR4" s="325"/>
      <c r="CS4" s="313"/>
      <c r="CT4" s="373" t="s">
        <v>195</v>
      </c>
      <c r="CU4" s="313"/>
      <c r="CV4" s="373" t="s">
        <v>196</v>
      </c>
      <c r="CW4" s="313"/>
      <c r="CX4" s="380" t="s">
        <v>198</v>
      </c>
      <c r="CY4" s="348"/>
    </row>
    <row r="5" spans="1:103" ht="56.25" customHeight="1" x14ac:dyDescent="0.3">
      <c r="A5" s="344"/>
      <c r="B5" s="343"/>
      <c r="C5" s="409" t="s">
        <v>10</v>
      </c>
      <c r="D5" s="410" t="s">
        <v>11</v>
      </c>
      <c r="E5" s="411" t="s">
        <v>12</v>
      </c>
      <c r="F5" s="422" t="s">
        <v>13</v>
      </c>
      <c r="G5" s="412"/>
      <c r="H5" s="423" t="s">
        <v>199</v>
      </c>
      <c r="I5" s="420" t="s">
        <v>15</v>
      </c>
      <c r="J5" s="420" t="s">
        <v>16</v>
      </c>
      <c r="K5" s="420" t="s">
        <v>17</v>
      </c>
      <c r="L5" s="420" t="s">
        <v>18</v>
      </c>
      <c r="M5" s="424" t="s">
        <v>200</v>
      </c>
      <c r="N5" s="425" t="s">
        <v>19</v>
      </c>
      <c r="O5" s="313"/>
      <c r="P5" s="381" t="s">
        <v>20</v>
      </c>
      <c r="Q5" s="313"/>
      <c r="R5" s="331" t="s">
        <v>21</v>
      </c>
      <c r="S5" s="325"/>
      <c r="T5" s="325"/>
      <c r="U5" s="313"/>
      <c r="V5" s="331" t="s">
        <v>21</v>
      </c>
      <c r="W5" s="313"/>
      <c r="X5" s="331" t="s">
        <v>21</v>
      </c>
      <c r="Y5" s="313"/>
      <c r="Z5" s="331" t="s">
        <v>21</v>
      </c>
      <c r="AA5" s="313"/>
      <c r="AB5" s="378" t="s">
        <v>20</v>
      </c>
      <c r="AC5" s="313"/>
      <c r="AD5" s="331" t="s">
        <v>21</v>
      </c>
      <c r="AE5" s="325"/>
      <c r="AF5" s="325"/>
      <c r="AG5" s="313"/>
      <c r="AH5" s="331" t="s">
        <v>21</v>
      </c>
      <c r="AI5" s="313"/>
      <c r="AJ5" s="331" t="s">
        <v>21</v>
      </c>
      <c r="AK5" s="313"/>
      <c r="AL5" s="331" t="s">
        <v>21</v>
      </c>
      <c r="AM5" s="313"/>
      <c r="AN5" s="379" t="s">
        <v>20</v>
      </c>
      <c r="AO5" s="313"/>
      <c r="AP5" s="331" t="s">
        <v>21</v>
      </c>
      <c r="AQ5" s="325"/>
      <c r="AR5" s="325"/>
      <c r="AS5" s="313"/>
      <c r="AT5" s="331" t="s">
        <v>21</v>
      </c>
      <c r="AU5" s="313"/>
      <c r="AV5" s="331" t="s">
        <v>21</v>
      </c>
      <c r="AW5" s="313"/>
      <c r="AX5" s="331" t="s">
        <v>21</v>
      </c>
      <c r="AY5" s="313"/>
      <c r="AZ5" s="331" t="s">
        <v>21</v>
      </c>
      <c r="BA5" s="313"/>
      <c r="BB5" s="331" t="s">
        <v>21</v>
      </c>
      <c r="BC5" s="313"/>
      <c r="BD5" s="331" t="s">
        <v>21</v>
      </c>
      <c r="BE5" s="313"/>
      <c r="BF5" s="331" t="s">
        <v>21</v>
      </c>
      <c r="BG5" s="313"/>
      <c r="BH5" s="382" t="s">
        <v>20</v>
      </c>
      <c r="BI5" s="313"/>
      <c r="BJ5" s="331" t="s">
        <v>21</v>
      </c>
      <c r="BK5" s="325"/>
      <c r="BL5" s="325"/>
      <c r="BM5" s="313"/>
      <c r="BN5" s="331" t="s">
        <v>21</v>
      </c>
      <c r="BO5" s="313"/>
      <c r="BP5" s="331" t="s">
        <v>21</v>
      </c>
      <c r="BQ5" s="313"/>
      <c r="BR5" s="331" t="s">
        <v>21</v>
      </c>
      <c r="BS5" s="313"/>
      <c r="BT5" s="331" t="s">
        <v>21</v>
      </c>
      <c r="BU5" s="313"/>
      <c r="BV5" s="331" t="s">
        <v>21</v>
      </c>
      <c r="BW5" s="313"/>
      <c r="BX5" s="331" t="s">
        <v>21</v>
      </c>
      <c r="BY5" s="313"/>
      <c r="BZ5" s="331" t="s">
        <v>21</v>
      </c>
      <c r="CA5" s="313"/>
      <c r="CB5" s="331" t="s">
        <v>21</v>
      </c>
      <c r="CC5" s="313"/>
      <c r="CD5" s="374" t="s">
        <v>20</v>
      </c>
      <c r="CE5" s="313"/>
      <c r="CF5" s="331" t="s">
        <v>21</v>
      </c>
      <c r="CG5" s="325"/>
      <c r="CH5" s="325"/>
      <c r="CI5" s="313"/>
      <c r="CJ5" s="331" t="s">
        <v>21</v>
      </c>
      <c r="CK5" s="313"/>
      <c r="CL5" s="331" t="s">
        <v>21</v>
      </c>
      <c r="CM5" s="313"/>
      <c r="CN5" s="374" t="s">
        <v>20</v>
      </c>
      <c r="CO5" s="313"/>
      <c r="CP5" s="331" t="s">
        <v>21</v>
      </c>
      <c r="CQ5" s="325"/>
      <c r="CR5" s="325"/>
      <c r="CS5" s="313"/>
      <c r="CT5" s="331" t="s">
        <v>21</v>
      </c>
      <c r="CU5" s="313"/>
      <c r="CV5" s="331" t="s">
        <v>21</v>
      </c>
      <c r="CW5" s="313"/>
      <c r="CX5" s="331" t="s">
        <v>21</v>
      </c>
      <c r="CY5" s="313"/>
    </row>
    <row r="6" spans="1:103" ht="30" customHeight="1" x14ac:dyDescent="0.3">
      <c r="A6" s="345"/>
      <c r="B6" s="346"/>
      <c r="C6" s="412"/>
      <c r="D6" s="412"/>
      <c r="E6" s="412"/>
      <c r="F6" s="138" t="s">
        <v>22</v>
      </c>
      <c r="G6" s="139" t="s">
        <v>23</v>
      </c>
      <c r="H6" s="140" t="s">
        <v>22</v>
      </c>
      <c r="I6" s="141" t="s">
        <v>22</v>
      </c>
      <c r="J6" s="141" t="s">
        <v>22</v>
      </c>
      <c r="K6" s="141" t="s">
        <v>22</v>
      </c>
      <c r="L6" s="141" t="s">
        <v>22</v>
      </c>
      <c r="M6" s="141"/>
      <c r="N6" s="142" t="s">
        <v>22</v>
      </c>
      <c r="O6" s="143" t="s">
        <v>23</v>
      </c>
      <c r="P6" s="238" t="s">
        <v>139</v>
      </c>
      <c r="Q6" s="238" t="s">
        <v>201</v>
      </c>
      <c r="R6" s="145" t="s">
        <v>139</v>
      </c>
      <c r="S6" s="146" t="s">
        <v>23</v>
      </c>
      <c r="T6" s="146" t="s">
        <v>201</v>
      </c>
      <c r="U6" s="146" t="s">
        <v>23</v>
      </c>
      <c r="V6" s="145" t="s">
        <v>139</v>
      </c>
      <c r="W6" s="146" t="s">
        <v>201</v>
      </c>
      <c r="X6" s="145" t="s">
        <v>139</v>
      </c>
      <c r="Y6" s="146" t="s">
        <v>201</v>
      </c>
      <c r="Z6" s="145" t="s">
        <v>139</v>
      </c>
      <c r="AA6" s="146" t="s">
        <v>201</v>
      </c>
      <c r="AB6" s="239" t="s">
        <v>139</v>
      </c>
      <c r="AC6" s="239" t="s">
        <v>201</v>
      </c>
      <c r="AD6" s="145" t="s">
        <v>139</v>
      </c>
      <c r="AE6" s="146" t="s">
        <v>23</v>
      </c>
      <c r="AF6" s="146" t="s">
        <v>201</v>
      </c>
      <c r="AG6" s="146" t="s">
        <v>23</v>
      </c>
      <c r="AH6" s="145" t="s">
        <v>139</v>
      </c>
      <c r="AI6" s="146" t="s">
        <v>201</v>
      </c>
      <c r="AJ6" s="145" t="s">
        <v>139</v>
      </c>
      <c r="AK6" s="146" t="s">
        <v>201</v>
      </c>
      <c r="AL6" s="145" t="s">
        <v>139</v>
      </c>
      <c r="AM6" s="146" t="s">
        <v>201</v>
      </c>
      <c r="AN6" s="240" t="s">
        <v>139</v>
      </c>
      <c r="AO6" s="240" t="s">
        <v>201</v>
      </c>
      <c r="AP6" s="145" t="s">
        <v>139</v>
      </c>
      <c r="AQ6" s="146" t="s">
        <v>23</v>
      </c>
      <c r="AR6" s="146" t="s">
        <v>201</v>
      </c>
      <c r="AS6" s="146" t="s">
        <v>23</v>
      </c>
      <c r="AT6" s="145" t="s">
        <v>139</v>
      </c>
      <c r="AU6" s="146" t="s">
        <v>201</v>
      </c>
      <c r="AV6" s="145" t="s">
        <v>139</v>
      </c>
      <c r="AW6" s="146" t="s">
        <v>201</v>
      </c>
      <c r="AX6" s="145" t="s">
        <v>139</v>
      </c>
      <c r="AY6" s="146" t="s">
        <v>201</v>
      </c>
      <c r="AZ6" s="241" t="s">
        <v>139</v>
      </c>
      <c r="BA6" s="242" t="s">
        <v>201</v>
      </c>
      <c r="BB6" s="241" t="s">
        <v>139</v>
      </c>
      <c r="BC6" s="242" t="s">
        <v>201</v>
      </c>
      <c r="BD6" s="145" t="s">
        <v>139</v>
      </c>
      <c r="BE6" s="146" t="s">
        <v>201</v>
      </c>
      <c r="BF6" s="145" t="s">
        <v>139</v>
      </c>
      <c r="BG6" s="146" t="s">
        <v>201</v>
      </c>
      <c r="BH6" s="243" t="s">
        <v>139</v>
      </c>
      <c r="BI6" s="243" t="s">
        <v>201</v>
      </c>
      <c r="BJ6" s="145" t="s">
        <v>139</v>
      </c>
      <c r="BK6" s="146" t="s">
        <v>23</v>
      </c>
      <c r="BL6" s="146" t="s">
        <v>201</v>
      </c>
      <c r="BM6" s="146" t="s">
        <v>23</v>
      </c>
      <c r="BN6" s="145" t="s">
        <v>139</v>
      </c>
      <c r="BO6" s="146" t="s">
        <v>201</v>
      </c>
      <c r="BP6" s="145" t="s">
        <v>139</v>
      </c>
      <c r="BQ6" s="146" t="s">
        <v>201</v>
      </c>
      <c r="BR6" s="145" t="s">
        <v>139</v>
      </c>
      <c r="BS6" s="146" t="s">
        <v>201</v>
      </c>
      <c r="BT6" s="241" t="s">
        <v>139</v>
      </c>
      <c r="BU6" s="242" t="s">
        <v>201</v>
      </c>
      <c r="BV6" s="145" t="s">
        <v>139</v>
      </c>
      <c r="BW6" s="146" t="s">
        <v>201</v>
      </c>
      <c r="BX6" s="145" t="s">
        <v>139</v>
      </c>
      <c r="BY6" s="146" t="s">
        <v>201</v>
      </c>
      <c r="BZ6" s="145" t="s">
        <v>139</v>
      </c>
      <c r="CA6" s="146" t="s">
        <v>201</v>
      </c>
      <c r="CB6" s="145" t="s">
        <v>139</v>
      </c>
      <c r="CC6" s="146" t="s">
        <v>201</v>
      </c>
      <c r="CD6" s="244" t="s">
        <v>139</v>
      </c>
      <c r="CE6" s="245" t="s">
        <v>201</v>
      </c>
      <c r="CF6" s="145" t="s">
        <v>139</v>
      </c>
      <c r="CG6" s="145" t="s">
        <v>23</v>
      </c>
      <c r="CH6" s="146" t="s">
        <v>201</v>
      </c>
      <c r="CI6" s="146" t="s">
        <v>23</v>
      </c>
      <c r="CJ6" s="145" t="s">
        <v>139</v>
      </c>
      <c r="CK6" s="146" t="s">
        <v>201</v>
      </c>
      <c r="CL6" s="145" t="s">
        <v>139</v>
      </c>
      <c r="CM6" s="146" t="s">
        <v>201</v>
      </c>
      <c r="CN6" s="244" t="s">
        <v>139</v>
      </c>
      <c r="CO6" s="245" t="s">
        <v>201</v>
      </c>
      <c r="CP6" s="145" t="s">
        <v>139</v>
      </c>
      <c r="CQ6" s="145" t="s">
        <v>23</v>
      </c>
      <c r="CR6" s="146" t="s">
        <v>201</v>
      </c>
      <c r="CS6" s="146" t="s">
        <v>23</v>
      </c>
      <c r="CT6" s="145" t="s">
        <v>139</v>
      </c>
      <c r="CU6" s="146" t="s">
        <v>201</v>
      </c>
      <c r="CV6" s="145" t="s">
        <v>139</v>
      </c>
      <c r="CW6" s="146" t="s">
        <v>201</v>
      </c>
      <c r="CX6" s="145" t="s">
        <v>139</v>
      </c>
      <c r="CY6" s="146" t="s">
        <v>201</v>
      </c>
    </row>
    <row r="7" spans="1:103" ht="24" customHeight="1" x14ac:dyDescent="0.3">
      <c r="A7" s="347" t="s">
        <v>248</v>
      </c>
      <c r="B7" s="348"/>
      <c r="C7" s="147">
        <f ca="1">C8+C9+C12</f>
        <v>29016817</v>
      </c>
      <c r="D7" s="148">
        <f t="shared" ref="D7:E7" ca="1" si="0">D8</f>
        <v>29016817</v>
      </c>
      <c r="E7" s="149">
        <f t="shared" ca="1" si="0"/>
        <v>0</v>
      </c>
      <c r="F7" s="150">
        <f t="shared" ref="F7:F116" ca="1" si="1">H7+N7</f>
        <v>7102146.290000001</v>
      </c>
      <c r="G7" s="151">
        <f t="shared" ref="G7:G116" ca="1" si="2">IF(D7&gt;0,F7*100/D7,0)</f>
        <v>24.475966092352586</v>
      </c>
      <c r="H7" s="150">
        <f t="shared" ref="H7:N7" ca="1" si="3">H8</f>
        <v>7102146.290000001</v>
      </c>
      <c r="I7" s="150">
        <f t="shared" ca="1" si="3"/>
        <v>0</v>
      </c>
      <c r="J7" s="150">
        <f t="shared" ca="1" si="3"/>
        <v>98955</v>
      </c>
      <c r="K7" s="150">
        <f t="shared" ca="1" si="3"/>
        <v>2646498.87</v>
      </c>
      <c r="L7" s="150">
        <f t="shared" ca="1" si="3"/>
        <v>4233074.82</v>
      </c>
      <c r="M7" s="150">
        <f t="shared" ca="1" si="3"/>
        <v>123617.60000000001</v>
      </c>
      <c r="N7" s="152">
        <f t="shared" ca="1" si="3"/>
        <v>0</v>
      </c>
      <c r="O7" s="152">
        <f t="shared" ref="O7:O11" ca="1" si="4">IF(E7&gt;0,N7*100/E7,0)</f>
        <v>0</v>
      </c>
      <c r="P7" s="246">
        <f t="shared" ref="P7:R7" ca="1" si="5">P8</f>
        <v>2607047</v>
      </c>
      <c r="Q7" s="246">
        <f t="shared" ca="1" si="5"/>
        <v>284538</v>
      </c>
      <c r="R7" s="155">
        <f t="shared" ca="1" si="5"/>
        <v>2252895.6294999998</v>
      </c>
      <c r="S7" s="155">
        <f t="shared" ref="S7:S8" ca="1" si="6">IF(P7&gt;0,R7*100/P7,0)</f>
        <v>86.415612357583115</v>
      </c>
      <c r="T7" s="154">
        <f ca="1">T8</f>
        <v>252905</v>
      </c>
      <c r="U7" s="155">
        <f t="shared" ref="U7:U88" ca="1" si="7">IF(Q7&gt;0,T7*100/Q7,0)</f>
        <v>88.882679993533372</v>
      </c>
      <c r="V7" s="155">
        <f t="shared" ref="V7:AD7" ca="1" si="8">V8</f>
        <v>1835038.7315</v>
      </c>
      <c r="W7" s="247">
        <f t="shared" ca="1" si="8"/>
        <v>214338</v>
      </c>
      <c r="X7" s="155">
        <f t="shared" ca="1" si="8"/>
        <v>353772.40549999999</v>
      </c>
      <c r="Y7" s="247">
        <f t="shared" ca="1" si="8"/>
        <v>29916</v>
      </c>
      <c r="Z7" s="155">
        <f t="shared" ca="1" si="8"/>
        <v>64084.492499999993</v>
      </c>
      <c r="AA7" s="247">
        <f t="shared" ca="1" si="8"/>
        <v>8651</v>
      </c>
      <c r="AB7" s="248">
        <f t="shared" ca="1" si="8"/>
        <v>2607047</v>
      </c>
      <c r="AC7" s="248">
        <f t="shared" ca="1" si="8"/>
        <v>284538</v>
      </c>
      <c r="AD7" s="155">
        <f t="shared" ca="1" si="8"/>
        <v>495783.86749999982</v>
      </c>
      <c r="AE7" s="155">
        <f t="shared" ref="AE7:AE8" ca="1" si="9">IF(AB7&gt;0,AD7*100/AB7,0)</f>
        <v>19.01706672338473</v>
      </c>
      <c r="AF7" s="154">
        <f ca="1">AF8</f>
        <v>51197</v>
      </c>
      <c r="AG7" s="155">
        <f t="shared" ref="AG7:AG88" ca="1" si="10">IF(AC7&gt;0,AF7*100/AC7,0)</f>
        <v>17.99302729336679</v>
      </c>
      <c r="AH7" s="155">
        <f t="shared" ref="AH7:AP7" ca="1" si="11">AH8</f>
        <v>434772.55999999994</v>
      </c>
      <c r="AI7" s="247">
        <f t="shared" ca="1" si="11"/>
        <v>46066</v>
      </c>
      <c r="AJ7" s="155">
        <f t="shared" ca="1" si="11"/>
        <v>47915.574999999997</v>
      </c>
      <c r="AK7" s="247">
        <f t="shared" ca="1" si="11"/>
        <v>3762</v>
      </c>
      <c r="AL7" s="155">
        <f t="shared" ca="1" si="11"/>
        <v>13095.732500000002</v>
      </c>
      <c r="AM7" s="247">
        <f t="shared" ca="1" si="11"/>
        <v>1369</v>
      </c>
      <c r="AN7" s="249">
        <f t="shared" ca="1" si="11"/>
        <v>2607047</v>
      </c>
      <c r="AO7" s="249">
        <f t="shared" ca="1" si="11"/>
        <v>284538</v>
      </c>
      <c r="AP7" s="155">
        <f t="shared" ca="1" si="11"/>
        <v>260269.5</v>
      </c>
      <c r="AQ7" s="155">
        <f t="shared" ref="AQ7:AQ8" ca="1" si="12">IF(AN7&gt;0,AP7*100/AN7,0)</f>
        <v>9.9833067834987244</v>
      </c>
      <c r="AR7" s="154">
        <f ca="1">AR8</f>
        <v>24864</v>
      </c>
      <c r="AS7" s="155">
        <f t="shared" ref="AS7:AS88" ca="1" si="13">IF(AO7&gt;0,AR7*100/AO7,0)</f>
        <v>8.7383758935537603</v>
      </c>
      <c r="AT7" s="155">
        <f t="shared" ref="AT7:BJ7" ca="1" si="14">AT8</f>
        <v>225280.88250000001</v>
      </c>
      <c r="AU7" s="247">
        <f t="shared" ca="1" si="14"/>
        <v>21981</v>
      </c>
      <c r="AV7" s="155">
        <f t="shared" ca="1" si="14"/>
        <v>28319.195</v>
      </c>
      <c r="AW7" s="247">
        <f t="shared" ca="1" si="14"/>
        <v>2231</v>
      </c>
      <c r="AX7" s="155">
        <f t="shared" ca="1" si="14"/>
        <v>6669.4224999999997</v>
      </c>
      <c r="AY7" s="247">
        <f t="shared" ca="1" si="14"/>
        <v>652</v>
      </c>
      <c r="AZ7" s="250">
        <f t="shared" ca="1" si="14"/>
        <v>6629.7049999999999</v>
      </c>
      <c r="BA7" s="247">
        <f t="shared" ca="1" si="14"/>
        <v>648</v>
      </c>
      <c r="BB7" s="250">
        <f t="shared" ca="1" si="14"/>
        <v>39.717500000000001</v>
      </c>
      <c r="BC7" s="247">
        <f t="shared" ca="1" si="14"/>
        <v>4</v>
      </c>
      <c r="BD7" s="155">
        <f t="shared" ca="1" si="14"/>
        <v>0</v>
      </c>
      <c r="BE7" s="247">
        <f t="shared" ca="1" si="14"/>
        <v>0</v>
      </c>
      <c r="BF7" s="155">
        <f t="shared" ca="1" si="14"/>
        <v>0</v>
      </c>
      <c r="BG7" s="247">
        <f t="shared" ca="1" si="14"/>
        <v>0</v>
      </c>
      <c r="BH7" s="251">
        <f t="shared" ca="1" si="14"/>
        <v>275403.2</v>
      </c>
      <c r="BI7" s="251">
        <f t="shared" ca="1" si="14"/>
        <v>23000</v>
      </c>
      <c r="BJ7" s="155">
        <f t="shared" ca="1" si="14"/>
        <v>28500.92</v>
      </c>
      <c r="BK7" s="155">
        <f t="shared" ref="BK7:BK8" ca="1" si="15">IF(BH7&gt;0,BJ7*100/BH7,0)</f>
        <v>10.348797690077674</v>
      </c>
      <c r="BL7" s="154">
        <f ca="1">BL8</f>
        <v>2448</v>
      </c>
      <c r="BM7" s="155">
        <f t="shared" ref="BM7:BM88" ca="1" si="16">IF(BI7&gt;0,BL7*100/BI7,0)</f>
        <v>10.643478260869566</v>
      </c>
      <c r="BN7" s="155">
        <f t="shared" ref="BN7:CF7" ca="1" si="17">BN8</f>
        <v>27255.35</v>
      </c>
      <c r="BO7" s="247">
        <f t="shared" ca="1" si="17"/>
        <v>2356</v>
      </c>
      <c r="BP7" s="155">
        <f t="shared" ca="1" si="17"/>
        <v>17757.86</v>
      </c>
      <c r="BQ7" s="247">
        <f t="shared" ca="1" si="17"/>
        <v>1673</v>
      </c>
      <c r="BR7" s="155">
        <f t="shared" ca="1" si="17"/>
        <v>9497.49</v>
      </c>
      <c r="BS7" s="247">
        <f t="shared" ca="1" si="17"/>
        <v>683</v>
      </c>
      <c r="BT7" s="250">
        <f t="shared" ca="1" si="17"/>
        <v>96</v>
      </c>
      <c r="BU7" s="247">
        <f t="shared" ca="1" si="17"/>
        <v>7</v>
      </c>
      <c r="BV7" s="155">
        <f t="shared" ca="1" si="17"/>
        <v>1159.32</v>
      </c>
      <c r="BW7" s="247">
        <f t="shared" ca="1" si="17"/>
        <v>82</v>
      </c>
      <c r="BX7" s="155">
        <f t="shared" ca="1" si="17"/>
        <v>825.31999999999994</v>
      </c>
      <c r="BY7" s="247">
        <f t="shared" ca="1" si="17"/>
        <v>63</v>
      </c>
      <c r="BZ7" s="155">
        <f t="shared" ca="1" si="17"/>
        <v>334</v>
      </c>
      <c r="CA7" s="247">
        <f t="shared" ca="1" si="17"/>
        <v>19</v>
      </c>
      <c r="CB7" s="155">
        <f t="shared" ca="1" si="17"/>
        <v>86.25</v>
      </c>
      <c r="CC7" s="247">
        <f t="shared" ca="1" si="17"/>
        <v>10</v>
      </c>
      <c r="CD7" s="252">
        <f t="shared" ca="1" si="17"/>
        <v>0</v>
      </c>
      <c r="CE7" s="252">
        <f t="shared" ca="1" si="17"/>
        <v>23000</v>
      </c>
      <c r="CF7" s="250">
        <f t="shared" ca="1" si="17"/>
        <v>0</v>
      </c>
      <c r="CG7" s="250">
        <f t="shared" ref="CG7:CG8" ca="1" si="18">IF(CD7&gt;0,CF7*100/CD7,0)</f>
        <v>0</v>
      </c>
      <c r="CH7" s="247">
        <f ca="1">CH8</f>
        <v>0</v>
      </c>
      <c r="CI7" s="250">
        <f t="shared" ref="CI7:CI88" ca="1" si="19">IF(CE7&gt;0,CH7*100/CE7,0)</f>
        <v>0</v>
      </c>
      <c r="CJ7" s="155">
        <f t="shared" ref="CJ7:CP7" ca="1" si="20">CJ8</f>
        <v>0</v>
      </c>
      <c r="CK7" s="247">
        <f t="shared" ca="1" si="20"/>
        <v>0</v>
      </c>
      <c r="CL7" s="155">
        <f t="shared" ca="1" si="20"/>
        <v>0</v>
      </c>
      <c r="CM7" s="247">
        <f t="shared" ca="1" si="20"/>
        <v>0</v>
      </c>
      <c r="CN7" s="252">
        <f t="shared" ca="1" si="20"/>
        <v>3719</v>
      </c>
      <c r="CO7" s="252">
        <f t="shared" ca="1" si="20"/>
        <v>275</v>
      </c>
      <c r="CP7" s="250">
        <f t="shared" ca="1" si="20"/>
        <v>27</v>
      </c>
      <c r="CQ7" s="250">
        <f t="shared" ref="CQ7:CQ8" ca="1" si="21">IF(CN7&gt;0,CP7*100/CN7,0)</f>
        <v>0.72600161333691848</v>
      </c>
      <c r="CR7" s="247">
        <f ca="1">CR8</f>
        <v>9</v>
      </c>
      <c r="CS7" s="250">
        <f t="shared" ref="CS7:CS88" ca="1" si="22">IF(CO7&gt;0,CR7*100/CO7,0)</f>
        <v>3.2727272727272729</v>
      </c>
      <c r="CT7" s="155">
        <f t="shared" ref="CT7:CY7" ca="1" si="23">CT8</f>
        <v>1</v>
      </c>
      <c r="CU7" s="247">
        <f t="shared" ca="1" si="23"/>
        <v>1</v>
      </c>
      <c r="CV7" s="155">
        <f t="shared" ca="1" si="23"/>
        <v>22</v>
      </c>
      <c r="CW7" s="247">
        <f t="shared" ca="1" si="23"/>
        <v>1</v>
      </c>
      <c r="CX7" s="155">
        <f t="shared" ca="1" si="23"/>
        <v>4</v>
      </c>
      <c r="CY7" s="247">
        <f t="shared" ca="1" si="23"/>
        <v>7</v>
      </c>
    </row>
    <row r="8" spans="1:103" ht="28.5" customHeight="1" x14ac:dyDescent="0.3">
      <c r="A8" s="156" t="s">
        <v>26</v>
      </c>
      <c r="B8" s="157"/>
      <c r="C8" s="159">
        <f t="shared" ref="C8:E8" ca="1" si="24">+C13+C31+C52+C74</f>
        <v>29016817</v>
      </c>
      <c r="D8" s="159">
        <f t="shared" ca="1" si="24"/>
        <v>29016817</v>
      </c>
      <c r="E8" s="159">
        <f t="shared" ca="1" si="24"/>
        <v>0</v>
      </c>
      <c r="F8" s="159">
        <f t="shared" ca="1" si="1"/>
        <v>7102146.290000001</v>
      </c>
      <c r="G8" s="253">
        <f t="shared" ca="1" si="2"/>
        <v>24.475966092352586</v>
      </c>
      <c r="H8" s="159">
        <f t="shared" ref="H8:N8" ca="1" si="25">+H13+H31+H52+H74</f>
        <v>7102146.290000001</v>
      </c>
      <c r="I8" s="159">
        <f t="shared" ca="1" si="25"/>
        <v>0</v>
      </c>
      <c r="J8" s="159">
        <f t="shared" ca="1" si="25"/>
        <v>98955</v>
      </c>
      <c r="K8" s="159">
        <f t="shared" ca="1" si="25"/>
        <v>2646498.87</v>
      </c>
      <c r="L8" s="159">
        <f t="shared" ca="1" si="25"/>
        <v>4233074.82</v>
      </c>
      <c r="M8" s="159">
        <f t="shared" ca="1" si="25"/>
        <v>123617.60000000001</v>
      </c>
      <c r="N8" s="161">
        <f t="shared" ca="1" si="25"/>
        <v>0</v>
      </c>
      <c r="O8" s="161">
        <f t="shared" ca="1" si="4"/>
        <v>0</v>
      </c>
      <c r="P8" s="159">
        <f t="shared" ref="P8:R8" ca="1" si="26">+P13+P31+P52+P74</f>
        <v>2607047</v>
      </c>
      <c r="Q8" s="159">
        <f t="shared" ca="1" si="26"/>
        <v>284538</v>
      </c>
      <c r="R8" s="162">
        <f t="shared" ca="1" si="26"/>
        <v>2252895.6294999998</v>
      </c>
      <c r="S8" s="162">
        <f t="shared" ca="1" si="6"/>
        <v>86.415612357583115</v>
      </c>
      <c r="T8" s="159">
        <f ca="1">+T13+T31+T52+T74</f>
        <v>252905</v>
      </c>
      <c r="U8" s="162">
        <f t="shared" ca="1" si="7"/>
        <v>88.882679993533372</v>
      </c>
      <c r="V8" s="162">
        <f t="shared" ref="V8:AD8" ca="1" si="27">+V13+V31+V52+V74</f>
        <v>1835038.7315</v>
      </c>
      <c r="W8" s="254">
        <f t="shared" ca="1" si="27"/>
        <v>214338</v>
      </c>
      <c r="X8" s="162">
        <f t="shared" ca="1" si="27"/>
        <v>353772.40549999999</v>
      </c>
      <c r="Y8" s="254">
        <f t="shared" ca="1" si="27"/>
        <v>29916</v>
      </c>
      <c r="Z8" s="162">
        <f t="shared" ca="1" si="27"/>
        <v>64084.492499999993</v>
      </c>
      <c r="AA8" s="254">
        <f t="shared" ca="1" si="27"/>
        <v>8651</v>
      </c>
      <c r="AB8" s="159">
        <f t="shared" ca="1" si="27"/>
        <v>2607047</v>
      </c>
      <c r="AC8" s="159">
        <f t="shared" ca="1" si="27"/>
        <v>284538</v>
      </c>
      <c r="AD8" s="162">
        <f t="shared" ca="1" si="27"/>
        <v>495783.86749999982</v>
      </c>
      <c r="AE8" s="162">
        <f t="shared" ca="1" si="9"/>
        <v>19.01706672338473</v>
      </c>
      <c r="AF8" s="159">
        <f ca="1">+AF13+AF31+AF52+AF74</f>
        <v>51197</v>
      </c>
      <c r="AG8" s="162">
        <f t="shared" ca="1" si="10"/>
        <v>17.99302729336679</v>
      </c>
      <c r="AH8" s="162">
        <f t="shared" ref="AH8:AP8" ca="1" si="28">+AH13+AH31+AH52+AH74</f>
        <v>434772.55999999994</v>
      </c>
      <c r="AI8" s="254">
        <f t="shared" ca="1" si="28"/>
        <v>46066</v>
      </c>
      <c r="AJ8" s="162">
        <f t="shared" ca="1" si="28"/>
        <v>47915.574999999997</v>
      </c>
      <c r="AK8" s="254">
        <f t="shared" ca="1" si="28"/>
        <v>3762</v>
      </c>
      <c r="AL8" s="162">
        <f t="shared" ca="1" si="28"/>
        <v>13095.732500000002</v>
      </c>
      <c r="AM8" s="254">
        <f t="shared" ca="1" si="28"/>
        <v>1369</v>
      </c>
      <c r="AN8" s="159">
        <f t="shared" ca="1" si="28"/>
        <v>2607047</v>
      </c>
      <c r="AO8" s="159">
        <f t="shared" ca="1" si="28"/>
        <v>284538</v>
      </c>
      <c r="AP8" s="162">
        <f t="shared" ca="1" si="28"/>
        <v>260269.5</v>
      </c>
      <c r="AQ8" s="162">
        <f t="shared" ca="1" si="12"/>
        <v>9.9833067834987244</v>
      </c>
      <c r="AR8" s="159">
        <f ca="1">+AR13+AR31+AR52+AR74</f>
        <v>24864</v>
      </c>
      <c r="AS8" s="162">
        <f t="shared" ca="1" si="13"/>
        <v>8.7383758935537603</v>
      </c>
      <c r="AT8" s="162">
        <f t="shared" ref="AT8:BJ8" ca="1" si="29">+AT13+AT31+AT52+AT74</f>
        <v>225280.88250000001</v>
      </c>
      <c r="AU8" s="254">
        <f t="shared" ca="1" si="29"/>
        <v>21981</v>
      </c>
      <c r="AV8" s="162">
        <f t="shared" ca="1" si="29"/>
        <v>28319.195</v>
      </c>
      <c r="AW8" s="254">
        <f t="shared" ca="1" si="29"/>
        <v>2231</v>
      </c>
      <c r="AX8" s="162">
        <f t="shared" ca="1" si="29"/>
        <v>6669.4224999999997</v>
      </c>
      <c r="AY8" s="254">
        <f t="shared" ca="1" si="29"/>
        <v>652</v>
      </c>
      <c r="AZ8" s="255">
        <f t="shared" ca="1" si="29"/>
        <v>6629.7049999999999</v>
      </c>
      <c r="BA8" s="254">
        <f t="shared" ca="1" si="29"/>
        <v>648</v>
      </c>
      <c r="BB8" s="255">
        <f t="shared" ca="1" si="29"/>
        <v>39.717500000000001</v>
      </c>
      <c r="BC8" s="254">
        <f t="shared" ca="1" si="29"/>
        <v>4</v>
      </c>
      <c r="BD8" s="162">
        <f t="shared" ca="1" si="29"/>
        <v>0</v>
      </c>
      <c r="BE8" s="254">
        <f t="shared" ca="1" si="29"/>
        <v>0</v>
      </c>
      <c r="BF8" s="162">
        <f t="shared" ca="1" si="29"/>
        <v>0</v>
      </c>
      <c r="BG8" s="254">
        <f t="shared" ca="1" si="29"/>
        <v>0</v>
      </c>
      <c r="BH8" s="159">
        <f t="shared" ca="1" si="29"/>
        <v>275403.2</v>
      </c>
      <c r="BI8" s="159">
        <f t="shared" ca="1" si="29"/>
        <v>23000</v>
      </c>
      <c r="BJ8" s="162">
        <f t="shared" ca="1" si="29"/>
        <v>28500.92</v>
      </c>
      <c r="BK8" s="162">
        <f t="shared" ca="1" si="15"/>
        <v>10.348797690077674</v>
      </c>
      <c r="BL8" s="159">
        <f ca="1">+BL13+BL31+BL52+BL74</f>
        <v>2448</v>
      </c>
      <c r="BM8" s="162">
        <f t="shared" ca="1" si="16"/>
        <v>10.643478260869566</v>
      </c>
      <c r="BN8" s="162">
        <f t="shared" ref="BN8:CF8" ca="1" si="30">+BN13+BN31+BN52+BN74</f>
        <v>27255.35</v>
      </c>
      <c r="BO8" s="254">
        <f t="shared" ca="1" si="30"/>
        <v>2356</v>
      </c>
      <c r="BP8" s="162">
        <f t="shared" ca="1" si="30"/>
        <v>17757.86</v>
      </c>
      <c r="BQ8" s="254">
        <f t="shared" ca="1" si="30"/>
        <v>1673</v>
      </c>
      <c r="BR8" s="162">
        <f t="shared" ca="1" si="30"/>
        <v>9497.49</v>
      </c>
      <c r="BS8" s="254">
        <f t="shared" ca="1" si="30"/>
        <v>683</v>
      </c>
      <c r="BT8" s="255">
        <f t="shared" ca="1" si="30"/>
        <v>96</v>
      </c>
      <c r="BU8" s="254">
        <f t="shared" ca="1" si="30"/>
        <v>7</v>
      </c>
      <c r="BV8" s="162">
        <f t="shared" ca="1" si="30"/>
        <v>1159.32</v>
      </c>
      <c r="BW8" s="254">
        <f t="shared" ca="1" si="30"/>
        <v>82</v>
      </c>
      <c r="BX8" s="162">
        <f t="shared" ca="1" si="30"/>
        <v>825.31999999999994</v>
      </c>
      <c r="BY8" s="254">
        <f t="shared" ca="1" si="30"/>
        <v>63</v>
      </c>
      <c r="BZ8" s="162">
        <f t="shared" ca="1" si="30"/>
        <v>334</v>
      </c>
      <c r="CA8" s="254">
        <f t="shared" ca="1" si="30"/>
        <v>19</v>
      </c>
      <c r="CB8" s="162">
        <f t="shared" ca="1" si="30"/>
        <v>86.25</v>
      </c>
      <c r="CC8" s="254">
        <f t="shared" ca="1" si="30"/>
        <v>10</v>
      </c>
      <c r="CD8" s="254">
        <f t="shared" ca="1" si="30"/>
        <v>0</v>
      </c>
      <c r="CE8" s="254">
        <f t="shared" ca="1" si="30"/>
        <v>23000</v>
      </c>
      <c r="CF8" s="255">
        <f t="shared" ca="1" si="30"/>
        <v>0</v>
      </c>
      <c r="CG8" s="255">
        <f t="shared" ca="1" si="18"/>
        <v>0</v>
      </c>
      <c r="CH8" s="254">
        <f ca="1">+CH13+CH31+CH52+CH74</f>
        <v>0</v>
      </c>
      <c r="CI8" s="255">
        <f t="shared" ca="1" si="19"/>
        <v>0</v>
      </c>
      <c r="CJ8" s="162">
        <f t="shared" ref="CJ8:CP8" ca="1" si="31">+CJ13+CJ31+CJ52+CJ74</f>
        <v>0</v>
      </c>
      <c r="CK8" s="254">
        <f t="shared" ca="1" si="31"/>
        <v>0</v>
      </c>
      <c r="CL8" s="162">
        <f t="shared" ca="1" si="31"/>
        <v>0</v>
      </c>
      <c r="CM8" s="254">
        <f t="shared" ca="1" si="31"/>
        <v>0</v>
      </c>
      <c r="CN8" s="254">
        <f t="shared" ca="1" si="31"/>
        <v>3719</v>
      </c>
      <c r="CO8" s="254">
        <f t="shared" ca="1" si="31"/>
        <v>275</v>
      </c>
      <c r="CP8" s="255">
        <f t="shared" ca="1" si="31"/>
        <v>27</v>
      </c>
      <c r="CQ8" s="255">
        <f t="shared" ca="1" si="21"/>
        <v>0.72600161333691848</v>
      </c>
      <c r="CR8" s="254">
        <f ca="1">+CR13+CR31+CR52+CR74</f>
        <v>9</v>
      </c>
      <c r="CS8" s="255">
        <f t="shared" ca="1" si="22"/>
        <v>3.2727272727272729</v>
      </c>
      <c r="CT8" s="162">
        <f t="shared" ref="CT8:CY8" ca="1" si="32">+CT13+CT31+CT52+CT74</f>
        <v>1</v>
      </c>
      <c r="CU8" s="254">
        <f t="shared" ca="1" si="32"/>
        <v>1</v>
      </c>
      <c r="CV8" s="162">
        <f t="shared" ca="1" si="32"/>
        <v>22</v>
      </c>
      <c r="CW8" s="254">
        <f t="shared" ca="1" si="32"/>
        <v>1</v>
      </c>
      <c r="CX8" s="162">
        <f t="shared" ca="1" si="32"/>
        <v>4</v>
      </c>
      <c r="CY8" s="254">
        <f t="shared" ca="1" si="32"/>
        <v>7</v>
      </c>
    </row>
    <row r="9" spans="1:103" ht="28.5" customHeight="1" x14ac:dyDescent="0.3">
      <c r="A9" s="163" t="s">
        <v>249</v>
      </c>
      <c r="B9" s="164"/>
      <c r="C9" s="165">
        <f>+C10+C11</f>
        <v>0</v>
      </c>
      <c r="D9" s="166"/>
      <c r="E9" s="166"/>
      <c r="F9" s="165">
        <f t="shared" si="1"/>
        <v>0</v>
      </c>
      <c r="G9" s="167">
        <f t="shared" si="2"/>
        <v>0</v>
      </c>
      <c r="H9" s="166"/>
      <c r="I9" s="166"/>
      <c r="J9" s="166"/>
      <c r="K9" s="166"/>
      <c r="L9" s="166"/>
      <c r="M9" s="166"/>
      <c r="N9" s="168"/>
      <c r="O9" s="168">
        <f t="shared" si="4"/>
        <v>0</v>
      </c>
      <c r="P9" s="166"/>
      <c r="Q9" s="166"/>
      <c r="R9" s="170"/>
      <c r="S9" s="170"/>
      <c r="T9" s="166"/>
      <c r="U9" s="170">
        <f t="shared" si="7"/>
        <v>0</v>
      </c>
      <c r="V9" s="170"/>
      <c r="W9" s="256"/>
      <c r="X9" s="170"/>
      <c r="Y9" s="256"/>
      <c r="Z9" s="170"/>
      <c r="AA9" s="256"/>
      <c r="AB9" s="166"/>
      <c r="AC9" s="166"/>
      <c r="AD9" s="170"/>
      <c r="AE9" s="170"/>
      <c r="AF9" s="166"/>
      <c r="AG9" s="170">
        <f t="shared" si="10"/>
        <v>0</v>
      </c>
      <c r="AH9" s="170"/>
      <c r="AI9" s="256"/>
      <c r="AJ9" s="170"/>
      <c r="AK9" s="256"/>
      <c r="AL9" s="170"/>
      <c r="AM9" s="256"/>
      <c r="AN9" s="166"/>
      <c r="AO9" s="166"/>
      <c r="AP9" s="170"/>
      <c r="AQ9" s="170"/>
      <c r="AR9" s="166"/>
      <c r="AS9" s="170">
        <f t="shared" si="13"/>
        <v>0</v>
      </c>
      <c r="AT9" s="170"/>
      <c r="AU9" s="256"/>
      <c r="AV9" s="170"/>
      <c r="AW9" s="256"/>
      <c r="AX9" s="170"/>
      <c r="AY9" s="256"/>
      <c r="AZ9" s="257"/>
      <c r="BA9" s="256"/>
      <c r="BB9" s="257"/>
      <c r="BC9" s="256"/>
      <c r="BD9" s="170"/>
      <c r="BE9" s="256"/>
      <c r="BF9" s="170"/>
      <c r="BG9" s="256"/>
      <c r="BH9" s="166"/>
      <c r="BI9" s="166"/>
      <c r="BJ9" s="170"/>
      <c r="BK9" s="170"/>
      <c r="BL9" s="166"/>
      <c r="BM9" s="170">
        <f t="shared" si="16"/>
        <v>0</v>
      </c>
      <c r="BN9" s="170"/>
      <c r="BO9" s="256"/>
      <c r="BP9" s="170"/>
      <c r="BQ9" s="256"/>
      <c r="BR9" s="170"/>
      <c r="BS9" s="256"/>
      <c r="BT9" s="257"/>
      <c r="BU9" s="256"/>
      <c r="BV9" s="170"/>
      <c r="BW9" s="256"/>
      <c r="BX9" s="170"/>
      <c r="BY9" s="256"/>
      <c r="BZ9" s="170"/>
      <c r="CA9" s="256"/>
      <c r="CB9" s="170"/>
      <c r="CC9" s="256"/>
      <c r="CD9" s="256"/>
      <c r="CE9" s="256"/>
      <c r="CF9" s="257"/>
      <c r="CG9" s="257"/>
      <c r="CH9" s="256"/>
      <c r="CI9" s="258">
        <f t="shared" si="19"/>
        <v>0</v>
      </c>
      <c r="CJ9" s="170"/>
      <c r="CK9" s="256"/>
      <c r="CL9" s="170"/>
      <c r="CM9" s="256"/>
      <c r="CN9" s="256"/>
      <c r="CO9" s="256"/>
      <c r="CP9" s="257"/>
      <c r="CQ9" s="257"/>
      <c r="CR9" s="256"/>
      <c r="CS9" s="258">
        <f t="shared" si="22"/>
        <v>0</v>
      </c>
      <c r="CT9" s="170"/>
      <c r="CU9" s="256"/>
      <c r="CV9" s="170"/>
      <c r="CW9" s="256"/>
      <c r="CX9" s="170"/>
      <c r="CY9" s="256"/>
    </row>
    <row r="10" spans="1:103" ht="28.5" hidden="1" customHeight="1" x14ac:dyDescent="0.3">
      <c r="A10" s="163" t="s">
        <v>27</v>
      </c>
      <c r="B10" s="164"/>
      <c r="C10" s="165">
        <f>+C89</f>
        <v>0</v>
      </c>
      <c r="D10" s="166"/>
      <c r="E10" s="166"/>
      <c r="F10" s="165">
        <f t="shared" si="1"/>
        <v>0</v>
      </c>
      <c r="G10" s="167">
        <f t="shared" si="2"/>
        <v>0</v>
      </c>
      <c r="H10" s="166"/>
      <c r="I10" s="166"/>
      <c r="J10" s="166"/>
      <c r="K10" s="166"/>
      <c r="L10" s="166"/>
      <c r="M10" s="166"/>
      <c r="N10" s="168"/>
      <c r="O10" s="168">
        <f t="shared" si="4"/>
        <v>0</v>
      </c>
      <c r="P10" s="166"/>
      <c r="Q10" s="166"/>
      <c r="R10" s="170"/>
      <c r="S10" s="170"/>
      <c r="T10" s="166"/>
      <c r="U10" s="170">
        <f t="shared" si="7"/>
        <v>0</v>
      </c>
      <c r="V10" s="170"/>
      <c r="W10" s="256"/>
      <c r="X10" s="170"/>
      <c r="Y10" s="256"/>
      <c r="Z10" s="170"/>
      <c r="AA10" s="256"/>
      <c r="AB10" s="166"/>
      <c r="AC10" s="166"/>
      <c r="AD10" s="170"/>
      <c r="AE10" s="170"/>
      <c r="AF10" s="166"/>
      <c r="AG10" s="170">
        <f t="shared" si="10"/>
        <v>0</v>
      </c>
      <c r="AH10" s="170"/>
      <c r="AI10" s="256"/>
      <c r="AJ10" s="170"/>
      <c r="AK10" s="256"/>
      <c r="AL10" s="170"/>
      <c r="AM10" s="256"/>
      <c r="AN10" s="166"/>
      <c r="AO10" s="166"/>
      <c r="AP10" s="170"/>
      <c r="AQ10" s="170"/>
      <c r="AR10" s="166"/>
      <c r="AS10" s="170">
        <f t="shared" si="13"/>
        <v>0</v>
      </c>
      <c r="AT10" s="170"/>
      <c r="AU10" s="256"/>
      <c r="AV10" s="170"/>
      <c r="AW10" s="256"/>
      <c r="AX10" s="170"/>
      <c r="AY10" s="256"/>
      <c r="AZ10" s="257"/>
      <c r="BA10" s="256"/>
      <c r="BB10" s="257"/>
      <c r="BC10" s="256"/>
      <c r="BD10" s="170"/>
      <c r="BE10" s="256"/>
      <c r="BF10" s="170"/>
      <c r="BG10" s="256"/>
      <c r="BH10" s="166"/>
      <c r="BI10" s="166"/>
      <c r="BJ10" s="170"/>
      <c r="BK10" s="170"/>
      <c r="BL10" s="166"/>
      <c r="BM10" s="170">
        <f t="shared" si="16"/>
        <v>0</v>
      </c>
      <c r="BN10" s="170"/>
      <c r="BO10" s="256"/>
      <c r="BP10" s="170"/>
      <c r="BQ10" s="256"/>
      <c r="BR10" s="170"/>
      <c r="BS10" s="256"/>
      <c r="BT10" s="257"/>
      <c r="BU10" s="256"/>
      <c r="BV10" s="170"/>
      <c r="BW10" s="256"/>
      <c r="BX10" s="170"/>
      <c r="BY10" s="256"/>
      <c r="BZ10" s="170"/>
      <c r="CA10" s="256"/>
      <c r="CB10" s="170"/>
      <c r="CC10" s="256"/>
      <c r="CD10" s="256"/>
      <c r="CE10" s="256"/>
      <c r="CF10" s="257"/>
      <c r="CG10" s="257"/>
      <c r="CH10" s="256"/>
      <c r="CI10" s="258">
        <f t="shared" si="19"/>
        <v>0</v>
      </c>
      <c r="CJ10" s="170"/>
      <c r="CK10" s="256"/>
      <c r="CL10" s="170"/>
      <c r="CM10" s="256"/>
      <c r="CN10" s="256"/>
      <c r="CO10" s="256"/>
      <c r="CP10" s="257"/>
      <c r="CQ10" s="257"/>
      <c r="CR10" s="256"/>
      <c r="CS10" s="258">
        <f t="shared" si="22"/>
        <v>0</v>
      </c>
      <c r="CT10" s="170"/>
      <c r="CU10" s="256"/>
      <c r="CV10" s="170"/>
      <c r="CW10" s="256"/>
      <c r="CX10" s="170"/>
      <c r="CY10" s="256"/>
    </row>
    <row r="11" spans="1:103" ht="28.5" hidden="1" customHeight="1" x14ac:dyDescent="0.3">
      <c r="A11" s="171" t="s">
        <v>28</v>
      </c>
      <c r="B11" s="164"/>
      <c r="C11" s="165">
        <f>+C104</f>
        <v>0</v>
      </c>
      <c r="D11" s="166"/>
      <c r="E11" s="166"/>
      <c r="F11" s="165">
        <f t="shared" si="1"/>
        <v>0</v>
      </c>
      <c r="G11" s="167">
        <f t="shared" si="2"/>
        <v>0</v>
      </c>
      <c r="H11" s="166"/>
      <c r="I11" s="166"/>
      <c r="J11" s="166"/>
      <c r="K11" s="166"/>
      <c r="L11" s="166"/>
      <c r="M11" s="166"/>
      <c r="N11" s="168"/>
      <c r="O11" s="168">
        <f t="shared" si="4"/>
        <v>0</v>
      </c>
      <c r="P11" s="166"/>
      <c r="Q11" s="166"/>
      <c r="R11" s="170"/>
      <c r="S11" s="170"/>
      <c r="T11" s="166"/>
      <c r="U11" s="170">
        <f t="shared" si="7"/>
        <v>0</v>
      </c>
      <c r="V11" s="170"/>
      <c r="W11" s="256"/>
      <c r="X11" s="170"/>
      <c r="Y11" s="256"/>
      <c r="Z11" s="170"/>
      <c r="AA11" s="256"/>
      <c r="AB11" s="166"/>
      <c r="AC11" s="166"/>
      <c r="AD11" s="170"/>
      <c r="AE11" s="170"/>
      <c r="AF11" s="166"/>
      <c r="AG11" s="170">
        <f t="shared" si="10"/>
        <v>0</v>
      </c>
      <c r="AH11" s="170"/>
      <c r="AI11" s="256"/>
      <c r="AJ11" s="170"/>
      <c r="AK11" s="256"/>
      <c r="AL11" s="170"/>
      <c r="AM11" s="256"/>
      <c r="AN11" s="166"/>
      <c r="AO11" s="166"/>
      <c r="AP11" s="170"/>
      <c r="AQ11" s="170"/>
      <c r="AR11" s="166"/>
      <c r="AS11" s="170">
        <f t="shared" si="13"/>
        <v>0</v>
      </c>
      <c r="AT11" s="170"/>
      <c r="AU11" s="256"/>
      <c r="AV11" s="170"/>
      <c r="AW11" s="256"/>
      <c r="AX11" s="170"/>
      <c r="AY11" s="256"/>
      <c r="AZ11" s="257"/>
      <c r="BA11" s="256"/>
      <c r="BB11" s="257"/>
      <c r="BC11" s="256"/>
      <c r="BD11" s="170"/>
      <c r="BE11" s="256"/>
      <c r="BF11" s="170"/>
      <c r="BG11" s="256"/>
      <c r="BH11" s="166"/>
      <c r="BI11" s="166"/>
      <c r="BJ11" s="170"/>
      <c r="BK11" s="170"/>
      <c r="BL11" s="166"/>
      <c r="BM11" s="170">
        <f t="shared" si="16"/>
        <v>0</v>
      </c>
      <c r="BN11" s="170"/>
      <c r="BO11" s="256"/>
      <c r="BP11" s="170"/>
      <c r="BQ11" s="256"/>
      <c r="BR11" s="170"/>
      <c r="BS11" s="256"/>
      <c r="BT11" s="257"/>
      <c r="BU11" s="256"/>
      <c r="BV11" s="170"/>
      <c r="BW11" s="256"/>
      <c r="BX11" s="170"/>
      <c r="BY11" s="256"/>
      <c r="BZ11" s="170"/>
      <c r="CA11" s="256"/>
      <c r="CB11" s="170"/>
      <c r="CC11" s="256"/>
      <c r="CD11" s="256"/>
      <c r="CE11" s="256"/>
      <c r="CF11" s="257"/>
      <c r="CG11" s="257"/>
      <c r="CH11" s="256"/>
      <c r="CI11" s="258">
        <f t="shared" si="19"/>
        <v>0</v>
      </c>
      <c r="CJ11" s="170"/>
      <c r="CK11" s="256"/>
      <c r="CL11" s="170"/>
      <c r="CM11" s="256"/>
      <c r="CN11" s="256"/>
      <c r="CO11" s="256"/>
      <c r="CP11" s="257"/>
      <c r="CQ11" s="257"/>
      <c r="CR11" s="256"/>
      <c r="CS11" s="258">
        <f t="shared" si="22"/>
        <v>0</v>
      </c>
      <c r="CT11" s="170"/>
      <c r="CU11" s="256"/>
      <c r="CV11" s="170"/>
      <c r="CW11" s="256"/>
      <c r="CX11" s="170"/>
      <c r="CY11" s="256"/>
    </row>
    <row r="12" spans="1:103" ht="28.5" hidden="1" customHeight="1" x14ac:dyDescent="0.3">
      <c r="A12" s="172" t="s">
        <v>29</v>
      </c>
      <c r="B12" s="173"/>
      <c r="C12" s="174">
        <v>0</v>
      </c>
      <c r="D12" s="174">
        <v>0</v>
      </c>
      <c r="E12" s="174">
        <v>0</v>
      </c>
      <c r="F12" s="174">
        <f t="shared" si="1"/>
        <v>0</v>
      </c>
      <c r="G12" s="175">
        <f t="shared" si="2"/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4">
        <v>0</v>
      </c>
      <c r="N12" s="176">
        <v>0</v>
      </c>
      <c r="O12" s="176"/>
      <c r="P12" s="174">
        <v>0</v>
      </c>
      <c r="Q12" s="174">
        <v>0</v>
      </c>
      <c r="R12" s="177">
        <v>0</v>
      </c>
      <c r="S12" s="177">
        <f t="shared" ref="S12:S88" si="33">IF(P12&gt;0,R12*100/P12,0)</f>
        <v>0</v>
      </c>
      <c r="T12" s="174">
        <v>0</v>
      </c>
      <c r="U12" s="177">
        <f t="shared" si="7"/>
        <v>0</v>
      </c>
      <c r="V12" s="177">
        <v>0</v>
      </c>
      <c r="W12" s="259">
        <v>0</v>
      </c>
      <c r="X12" s="177">
        <v>0</v>
      </c>
      <c r="Y12" s="259">
        <v>0</v>
      </c>
      <c r="Z12" s="177">
        <v>0</v>
      </c>
      <c r="AA12" s="259">
        <v>0</v>
      </c>
      <c r="AB12" s="174">
        <v>0</v>
      </c>
      <c r="AC12" s="174">
        <v>0</v>
      </c>
      <c r="AD12" s="177">
        <v>0</v>
      </c>
      <c r="AE12" s="177">
        <f t="shared" ref="AE12:AE88" si="34">IF(AB12&gt;0,AD12*100/AB12,0)</f>
        <v>0</v>
      </c>
      <c r="AF12" s="174">
        <v>0</v>
      </c>
      <c r="AG12" s="177">
        <f t="shared" si="10"/>
        <v>0</v>
      </c>
      <c r="AH12" s="177">
        <v>0</v>
      </c>
      <c r="AI12" s="259">
        <v>0</v>
      </c>
      <c r="AJ12" s="177">
        <v>0</v>
      </c>
      <c r="AK12" s="259">
        <v>0</v>
      </c>
      <c r="AL12" s="177">
        <v>0</v>
      </c>
      <c r="AM12" s="259">
        <v>0</v>
      </c>
      <c r="AN12" s="174">
        <v>0</v>
      </c>
      <c r="AO12" s="174">
        <v>0</v>
      </c>
      <c r="AP12" s="177">
        <v>0</v>
      </c>
      <c r="AQ12" s="177">
        <f t="shared" ref="AQ12:AQ88" si="35">IF(AN12&gt;0,AP12*100/AN12,0)</f>
        <v>0</v>
      </c>
      <c r="AR12" s="174">
        <v>0</v>
      </c>
      <c r="AS12" s="177">
        <f t="shared" si="13"/>
        <v>0</v>
      </c>
      <c r="AT12" s="177">
        <v>0</v>
      </c>
      <c r="AU12" s="259">
        <v>0</v>
      </c>
      <c r="AV12" s="177">
        <v>0</v>
      </c>
      <c r="AW12" s="259">
        <v>0</v>
      </c>
      <c r="AX12" s="177">
        <v>0</v>
      </c>
      <c r="AY12" s="259">
        <v>0</v>
      </c>
      <c r="AZ12" s="260">
        <v>0</v>
      </c>
      <c r="BA12" s="259">
        <v>0</v>
      </c>
      <c r="BB12" s="260">
        <v>0</v>
      </c>
      <c r="BC12" s="259">
        <v>0</v>
      </c>
      <c r="BD12" s="177">
        <v>0</v>
      </c>
      <c r="BE12" s="259">
        <v>0</v>
      </c>
      <c r="BF12" s="177">
        <v>0</v>
      </c>
      <c r="BG12" s="259">
        <v>0</v>
      </c>
      <c r="BH12" s="174">
        <v>0</v>
      </c>
      <c r="BI12" s="174">
        <v>0</v>
      </c>
      <c r="BJ12" s="177">
        <v>0</v>
      </c>
      <c r="BK12" s="177">
        <f t="shared" ref="BK12:BK88" si="36">IF(BH12&gt;0,BJ12*100/BH12,0)</f>
        <v>0</v>
      </c>
      <c r="BL12" s="174">
        <v>0</v>
      </c>
      <c r="BM12" s="177">
        <f t="shared" si="16"/>
        <v>0</v>
      </c>
      <c r="BN12" s="177">
        <v>0</v>
      </c>
      <c r="BO12" s="259">
        <v>0</v>
      </c>
      <c r="BP12" s="177">
        <v>0</v>
      </c>
      <c r="BQ12" s="259">
        <v>0</v>
      </c>
      <c r="BR12" s="177">
        <v>0</v>
      </c>
      <c r="BS12" s="259">
        <v>0</v>
      </c>
      <c r="BT12" s="260">
        <v>0</v>
      </c>
      <c r="BU12" s="259">
        <v>0</v>
      </c>
      <c r="BV12" s="177">
        <v>0</v>
      </c>
      <c r="BW12" s="259">
        <v>0</v>
      </c>
      <c r="BX12" s="177">
        <v>0</v>
      </c>
      <c r="BY12" s="259">
        <v>0</v>
      </c>
      <c r="BZ12" s="177">
        <v>0</v>
      </c>
      <c r="CA12" s="259">
        <v>0</v>
      </c>
      <c r="CB12" s="177">
        <v>0</v>
      </c>
      <c r="CC12" s="259">
        <v>0</v>
      </c>
      <c r="CD12" s="259">
        <v>0</v>
      </c>
      <c r="CE12" s="259">
        <v>0</v>
      </c>
      <c r="CF12" s="260">
        <v>0</v>
      </c>
      <c r="CG12" s="260">
        <f t="shared" ref="CG12:CG88" si="37">IF(CD12&gt;0,CF12*100/CD12,0)</f>
        <v>0</v>
      </c>
      <c r="CH12" s="259">
        <v>0</v>
      </c>
      <c r="CI12" s="260">
        <f t="shared" si="19"/>
        <v>0</v>
      </c>
      <c r="CJ12" s="177">
        <v>0</v>
      </c>
      <c r="CK12" s="259">
        <v>0</v>
      </c>
      <c r="CL12" s="177">
        <v>0</v>
      </c>
      <c r="CM12" s="259">
        <v>0</v>
      </c>
      <c r="CN12" s="259">
        <v>0</v>
      </c>
      <c r="CO12" s="259">
        <v>0</v>
      </c>
      <c r="CP12" s="260">
        <v>0</v>
      </c>
      <c r="CQ12" s="260">
        <f t="shared" ref="CQ12:CQ88" si="38">IF(CN12&gt;0,CP12*100/CN12,0)</f>
        <v>0</v>
      </c>
      <c r="CR12" s="259">
        <v>0</v>
      </c>
      <c r="CS12" s="260">
        <f t="shared" si="22"/>
        <v>0</v>
      </c>
      <c r="CT12" s="177">
        <v>0</v>
      </c>
      <c r="CU12" s="259">
        <v>0</v>
      </c>
      <c r="CV12" s="177">
        <v>0</v>
      </c>
      <c r="CW12" s="259">
        <v>0</v>
      </c>
      <c r="CX12" s="177">
        <v>0</v>
      </c>
      <c r="CY12" s="259">
        <v>0</v>
      </c>
    </row>
    <row r="13" spans="1:103" ht="28.5" customHeight="1" x14ac:dyDescent="0.3">
      <c r="A13" s="338" t="s">
        <v>30</v>
      </c>
      <c r="B13" s="339"/>
      <c r="C13" s="159">
        <f t="shared" ref="C13:E13" ca="1" si="39">SUM(C14:C30)</f>
        <v>7876340</v>
      </c>
      <c r="D13" s="159">
        <f t="shared" ca="1" si="39"/>
        <v>7876340</v>
      </c>
      <c r="E13" s="159">
        <f t="shared" ca="1" si="39"/>
        <v>0</v>
      </c>
      <c r="F13" s="159">
        <f t="shared" ca="1" si="1"/>
        <v>1760713.42</v>
      </c>
      <c r="G13" s="253">
        <f t="shared" ca="1" si="2"/>
        <v>22.354461843952901</v>
      </c>
      <c r="H13" s="159">
        <f t="shared" ref="H13:N13" ca="1" si="40">SUM(H14:H30)</f>
        <v>1760713.42</v>
      </c>
      <c r="I13" s="159">
        <f t="shared" ca="1" si="40"/>
        <v>0</v>
      </c>
      <c r="J13" s="159">
        <f t="shared" ca="1" si="40"/>
        <v>27000</v>
      </c>
      <c r="K13" s="159">
        <f t="shared" ca="1" si="40"/>
        <v>640182.72</v>
      </c>
      <c r="L13" s="159">
        <f t="shared" ca="1" si="40"/>
        <v>1093530.7</v>
      </c>
      <c r="M13" s="159">
        <f t="shared" ca="1" si="40"/>
        <v>0</v>
      </c>
      <c r="N13" s="161">
        <f t="shared" ca="1" si="40"/>
        <v>0</v>
      </c>
      <c r="O13" s="161">
        <f t="shared" ref="O13:O116" ca="1" si="41">IF(E13&gt;0,N13*100/E13,0)</f>
        <v>0</v>
      </c>
      <c r="P13" s="159">
        <f t="shared" ref="P13:R13" ca="1" si="42">SUM(P14:P30)</f>
        <v>789391</v>
      </c>
      <c r="Q13" s="159">
        <f t="shared" ca="1" si="42"/>
        <v>94109</v>
      </c>
      <c r="R13" s="162">
        <f t="shared" ca="1" si="42"/>
        <v>567562.98</v>
      </c>
      <c r="S13" s="162">
        <f t="shared" ca="1" si="33"/>
        <v>71.898841005281284</v>
      </c>
      <c r="T13" s="159">
        <f ca="1">SUM(T14:T30)</f>
        <v>74529</v>
      </c>
      <c r="U13" s="162">
        <f t="shared" ca="1" si="7"/>
        <v>79.194338479847829</v>
      </c>
      <c r="V13" s="162">
        <f t="shared" ref="V13:AD13" ca="1" si="43">SUM(V14:V30)</f>
        <v>458089.45999999996</v>
      </c>
      <c r="W13" s="254">
        <f t="shared" ca="1" si="43"/>
        <v>62888</v>
      </c>
      <c r="X13" s="162">
        <f t="shared" ca="1" si="43"/>
        <v>93777.960000000021</v>
      </c>
      <c r="Y13" s="254">
        <f t="shared" ca="1" si="43"/>
        <v>7945</v>
      </c>
      <c r="Z13" s="162">
        <f t="shared" ca="1" si="43"/>
        <v>15695.560000000001</v>
      </c>
      <c r="AA13" s="254">
        <f t="shared" ca="1" si="43"/>
        <v>3696</v>
      </c>
      <c r="AB13" s="159">
        <f t="shared" ca="1" si="43"/>
        <v>789391</v>
      </c>
      <c r="AC13" s="159">
        <f t="shared" ca="1" si="43"/>
        <v>94109</v>
      </c>
      <c r="AD13" s="162">
        <f t="shared" ca="1" si="43"/>
        <v>44023.529999999897</v>
      </c>
      <c r="AE13" s="162">
        <f t="shared" ca="1" si="34"/>
        <v>5.5768978871053632</v>
      </c>
      <c r="AF13" s="159">
        <f ca="1">SUM(AF14:AF30)</f>
        <v>3896</v>
      </c>
      <c r="AG13" s="162">
        <f t="shared" ca="1" si="10"/>
        <v>4.1398803515072951</v>
      </c>
      <c r="AH13" s="162">
        <f t="shared" ref="AH13:AP13" ca="1" si="44">SUM(AH14:AH30)</f>
        <v>38353.42</v>
      </c>
      <c r="AI13" s="254">
        <f t="shared" ca="1" si="44"/>
        <v>3601</v>
      </c>
      <c r="AJ13" s="162">
        <f t="shared" ca="1" si="44"/>
        <v>4528.59</v>
      </c>
      <c r="AK13" s="254">
        <f t="shared" ca="1" si="44"/>
        <v>220</v>
      </c>
      <c r="AL13" s="162">
        <f t="shared" ca="1" si="44"/>
        <v>1141.52</v>
      </c>
      <c r="AM13" s="254">
        <f t="shared" ca="1" si="44"/>
        <v>75</v>
      </c>
      <c r="AN13" s="159">
        <f t="shared" ca="1" si="44"/>
        <v>789391</v>
      </c>
      <c r="AO13" s="159">
        <f t="shared" ca="1" si="44"/>
        <v>94109</v>
      </c>
      <c r="AP13" s="162">
        <f t="shared" ca="1" si="44"/>
        <v>0</v>
      </c>
      <c r="AQ13" s="162">
        <f t="shared" ca="1" si="35"/>
        <v>0</v>
      </c>
      <c r="AR13" s="159">
        <f ca="1">SUM(AR14:AR30)</f>
        <v>0</v>
      </c>
      <c r="AS13" s="162">
        <f t="shared" ca="1" si="13"/>
        <v>0</v>
      </c>
      <c r="AT13" s="162">
        <f t="shared" ref="AT13:BJ13" ca="1" si="45">SUM(AT14:AT30)</f>
        <v>0</v>
      </c>
      <c r="AU13" s="254">
        <f t="shared" ca="1" si="45"/>
        <v>0</v>
      </c>
      <c r="AV13" s="162">
        <f t="shared" ca="1" si="45"/>
        <v>0</v>
      </c>
      <c r="AW13" s="254">
        <f t="shared" ca="1" si="45"/>
        <v>0</v>
      </c>
      <c r="AX13" s="162">
        <f t="shared" ca="1" si="45"/>
        <v>0</v>
      </c>
      <c r="AY13" s="254">
        <f t="shared" ca="1" si="45"/>
        <v>0</v>
      </c>
      <c r="AZ13" s="255">
        <f t="shared" ca="1" si="45"/>
        <v>0</v>
      </c>
      <c r="BA13" s="254">
        <f t="shared" ca="1" si="45"/>
        <v>0</v>
      </c>
      <c r="BB13" s="255">
        <f t="shared" ca="1" si="45"/>
        <v>0</v>
      </c>
      <c r="BC13" s="254">
        <f t="shared" ca="1" si="45"/>
        <v>0</v>
      </c>
      <c r="BD13" s="162">
        <f t="shared" ca="1" si="45"/>
        <v>0</v>
      </c>
      <c r="BE13" s="254">
        <f t="shared" ca="1" si="45"/>
        <v>0</v>
      </c>
      <c r="BF13" s="162">
        <f t="shared" ca="1" si="45"/>
        <v>0</v>
      </c>
      <c r="BG13" s="254">
        <f t="shared" ca="1" si="45"/>
        <v>0</v>
      </c>
      <c r="BH13" s="159">
        <f t="shared" ca="1" si="45"/>
        <v>63469.030000000013</v>
      </c>
      <c r="BI13" s="159">
        <f t="shared" ca="1" si="45"/>
        <v>6509</v>
      </c>
      <c r="BJ13" s="162">
        <f t="shared" ca="1" si="45"/>
        <v>6221.49</v>
      </c>
      <c r="BK13" s="162">
        <f t="shared" ca="1" si="36"/>
        <v>9.8024028411967201</v>
      </c>
      <c r="BL13" s="159">
        <f ca="1">SUM(BL14:BL30)</f>
        <v>755</v>
      </c>
      <c r="BM13" s="162">
        <f t="shared" ca="1" si="16"/>
        <v>11.599324012905209</v>
      </c>
      <c r="BN13" s="162">
        <f t="shared" ref="BN13:CF13" ca="1" si="46">SUM(BN14:BN30)</f>
        <v>5970.49</v>
      </c>
      <c r="BO13" s="254">
        <f t="shared" ca="1" si="46"/>
        <v>730</v>
      </c>
      <c r="BP13" s="162">
        <f t="shared" ca="1" si="46"/>
        <v>3118</v>
      </c>
      <c r="BQ13" s="254">
        <f t="shared" ca="1" si="46"/>
        <v>348</v>
      </c>
      <c r="BR13" s="162">
        <f t="shared" ca="1" si="46"/>
        <v>2852.49</v>
      </c>
      <c r="BS13" s="254">
        <f t="shared" ca="1" si="46"/>
        <v>382</v>
      </c>
      <c r="BT13" s="255">
        <f t="shared" ca="1" si="46"/>
        <v>0</v>
      </c>
      <c r="BU13" s="254">
        <f t="shared" ca="1" si="46"/>
        <v>0</v>
      </c>
      <c r="BV13" s="162">
        <f t="shared" ca="1" si="46"/>
        <v>251</v>
      </c>
      <c r="BW13" s="254">
        <f t="shared" ca="1" si="46"/>
        <v>25</v>
      </c>
      <c r="BX13" s="162">
        <f t="shared" ca="1" si="46"/>
        <v>233</v>
      </c>
      <c r="BY13" s="254">
        <f t="shared" ca="1" si="46"/>
        <v>24</v>
      </c>
      <c r="BZ13" s="162">
        <f t="shared" ca="1" si="46"/>
        <v>18</v>
      </c>
      <c r="CA13" s="254">
        <f t="shared" ca="1" si="46"/>
        <v>1</v>
      </c>
      <c r="CB13" s="162">
        <f t="shared" ca="1" si="46"/>
        <v>0</v>
      </c>
      <c r="CC13" s="254">
        <f t="shared" ca="1" si="46"/>
        <v>0</v>
      </c>
      <c r="CD13" s="254">
        <f t="shared" ca="1" si="46"/>
        <v>0</v>
      </c>
      <c r="CE13" s="254">
        <f t="shared" ca="1" si="46"/>
        <v>6509</v>
      </c>
      <c r="CF13" s="255">
        <f t="shared" ca="1" si="46"/>
        <v>0</v>
      </c>
      <c r="CG13" s="255">
        <f t="shared" ca="1" si="37"/>
        <v>0</v>
      </c>
      <c r="CH13" s="254">
        <f ca="1">SUM(CH14:CH30)</f>
        <v>0</v>
      </c>
      <c r="CI13" s="255">
        <f t="shared" ca="1" si="19"/>
        <v>0</v>
      </c>
      <c r="CJ13" s="162">
        <f t="shared" ref="CJ13:CP13" ca="1" si="47">SUM(CJ14:CJ30)</f>
        <v>0</v>
      </c>
      <c r="CK13" s="254">
        <f t="shared" ca="1" si="47"/>
        <v>0</v>
      </c>
      <c r="CL13" s="162">
        <f t="shared" ca="1" si="47"/>
        <v>0</v>
      </c>
      <c r="CM13" s="254">
        <f t="shared" ca="1" si="47"/>
        <v>0</v>
      </c>
      <c r="CN13" s="254">
        <f t="shared" ca="1" si="47"/>
        <v>1603</v>
      </c>
      <c r="CO13" s="254">
        <f t="shared" ca="1" si="47"/>
        <v>112</v>
      </c>
      <c r="CP13" s="255">
        <f t="shared" ca="1" si="47"/>
        <v>0</v>
      </c>
      <c r="CQ13" s="255">
        <f t="shared" ca="1" si="38"/>
        <v>0</v>
      </c>
      <c r="CR13" s="254">
        <f ca="1">SUM(CR14:CR30)</f>
        <v>0</v>
      </c>
      <c r="CS13" s="255">
        <f t="shared" ca="1" si="22"/>
        <v>0</v>
      </c>
      <c r="CT13" s="162">
        <f t="shared" ref="CT13:CY13" ca="1" si="48">SUM(CT14:CT30)</f>
        <v>0</v>
      </c>
      <c r="CU13" s="254">
        <f t="shared" ca="1" si="48"/>
        <v>0</v>
      </c>
      <c r="CV13" s="162">
        <f t="shared" ca="1" si="48"/>
        <v>0</v>
      </c>
      <c r="CW13" s="254">
        <f t="shared" ca="1" si="48"/>
        <v>0</v>
      </c>
      <c r="CX13" s="162">
        <f t="shared" ca="1" si="48"/>
        <v>0</v>
      </c>
      <c r="CY13" s="254">
        <f t="shared" ca="1" si="48"/>
        <v>0</v>
      </c>
    </row>
    <row r="14" spans="1:103" ht="24" customHeight="1" x14ac:dyDescent="0.3">
      <c r="A14" s="178">
        <v>1</v>
      </c>
      <c r="B14" s="179" t="s">
        <v>31</v>
      </c>
      <c r="C14" s="180">
        <f t="shared" ref="C14:C30" ca="1" si="49">D14+E14</f>
        <v>787961</v>
      </c>
      <c r="D14" s="181">
        <f ca="1">IFERROR(__xludf.DUMMYFUNCTION("IMPORTRANGE(""https://docs.google.com/spreadsheets/d/1KxicF4apzSqm0-jIpmueT4kyZtE-Cwn5zskl7GD4loQ/edit?usp=sharing"",""กำแพงเพชร!L549"")"),787961)</f>
        <v>787961</v>
      </c>
      <c r="E14" s="181">
        <f ca="1">IFERROR(__xludf.DUMMYFUNCTION("IMPORTRANGE(""https://docs.google.com/spreadsheets/d/1KxicF4apzSqm0-jIpmueT4kyZtE-Cwn5zskl7GD4loQ/edit?usp=sharing"",""กำแพงเพชร!L557"")"),0)</f>
        <v>0</v>
      </c>
      <c r="F14" s="182">
        <f t="shared" ca="1" si="1"/>
        <v>226190</v>
      </c>
      <c r="G14" s="183">
        <f t="shared" ca="1" si="2"/>
        <v>28.705735436144682</v>
      </c>
      <c r="H14" s="184">
        <f t="shared" ref="H14:H30" ca="1" si="50">I14+J14+K14+L14+M14</f>
        <v>226190</v>
      </c>
      <c r="I14" s="181">
        <f ca="1">IFERROR(__xludf.DUMMYFUNCTION("IMPORTRANGE(""https://docs.google.com/spreadsheets/d/1KxicF4apzSqm0-jIpmueT4kyZtE-Cwn5zskl7GD4loQ/edit?usp=sharing"",""กำแพงเพชร!N550"")"),0)</f>
        <v>0</v>
      </c>
      <c r="J14" s="181">
        <f ca="1">IFERROR(__xludf.DUMMYFUNCTION("IMPORTRANGE(""https://docs.google.com/spreadsheets/d/1KxicF4apzSqm0-jIpmueT4kyZtE-Cwn5zskl7GD4loQ/edit?usp=sharing"",""กำแพงเพชร!N551"")"),0)</f>
        <v>0</v>
      </c>
      <c r="K14" s="181">
        <f ca="1">IFERROR(__xludf.DUMMYFUNCTION("IMPORTRANGE(""https://docs.google.com/spreadsheets/d/1KxicF4apzSqm0-jIpmueT4kyZtE-Cwn5zskl7GD4loQ/edit?usp=sharing"",""กำแพงเพชร!N552"")"),39000)</f>
        <v>39000</v>
      </c>
      <c r="L14" s="181">
        <f ca="1">IFERROR(__xludf.DUMMYFUNCTION("IMPORTRANGE(""https://docs.google.com/spreadsheets/d/1KxicF4apzSqm0-jIpmueT4kyZtE-Cwn5zskl7GD4loQ/edit?usp=sharing"",""กำแพงเพชร!N553"")"),187190)</f>
        <v>187190</v>
      </c>
      <c r="M14" s="181">
        <f ca="1">IFERROR(__xludf.DUMMYFUNCTION("IMPORTRANGE(""https://docs.google.com/spreadsheets/d/1KxicF4apzSqm0-jIpmueT4kyZtE-Cwn5zskl7GD4loQ/edit?usp=sharing"",""กำแพงเพชร!N554"")"),0)</f>
        <v>0</v>
      </c>
      <c r="N14" s="185">
        <f ca="1">IFERROR(__xludf.DUMMYFUNCTION("IMPORTRANGE(""https://docs.google.com/spreadsheets/d/1KxicF4apzSqm0-jIpmueT4kyZtE-Cwn5zskl7GD4loQ/edit?usp=sharing"",""กำแพงเพชร!N557"")"),0)</f>
        <v>0</v>
      </c>
      <c r="O14" s="185">
        <f t="shared" ca="1" si="41"/>
        <v>0</v>
      </c>
      <c r="P14" s="181">
        <f ca="1">IFERROR(__xludf.DUMMYFUNCTION("IMPORTRANGE(""https://docs.google.com/spreadsheets/d/1KxicF4apzSqm0-jIpmueT4kyZtE-Cwn5zskl7GD4loQ/edit?usp=sharing"",""กำแพงเพชร!I560"")"),156826)</f>
        <v>156826</v>
      </c>
      <c r="Q14" s="181">
        <f ca="1">IFERROR(__xludf.DUMMYFUNCTION("IMPORTRANGE(""https://docs.google.com/spreadsheets/d/1KxicF4apzSqm0-jIpmueT4kyZtE-Cwn5zskl7GD4loQ/edit?usp=sharing"",""กำแพงเพชร!I561"")"),12334)</f>
        <v>12334</v>
      </c>
      <c r="R14" s="186">
        <f ca="1">IFERROR(__xludf.DUMMYFUNCTION("IMPORTRANGE(""https://docs.google.com/spreadsheets/d/1KxicF4apzSqm0-jIpmueT4kyZtE-Cwn5zskl7GD4loQ/edit?usp=sharing"",""กำแพงเพชร!J560"")"),0)</f>
        <v>0</v>
      </c>
      <c r="S14" s="186">
        <f t="shared" ca="1" si="33"/>
        <v>0</v>
      </c>
      <c r="T14" s="181">
        <f ca="1">IFERROR(__xludf.DUMMYFUNCTION("IMPORTRANGE(""https://docs.google.com/spreadsheets/d/1KxicF4apzSqm0-jIpmueT4kyZtE-Cwn5zskl7GD4loQ/edit?usp=sharing"",""กำแพงเพชร!J561"")"),0)</f>
        <v>0</v>
      </c>
      <c r="U14" s="186">
        <f t="shared" ca="1" si="7"/>
        <v>0</v>
      </c>
      <c r="V14" s="186">
        <f ca="1">IFERROR(__xludf.DUMMYFUNCTION("IMPORTRANGE(""https://docs.google.com/spreadsheets/d/1KxicF4apzSqm0-jIpmueT4kyZtE-Cwn5zskl7GD4loQ/edit?usp=sharing"",""กำแพงเพชร!J562"")"),0)</f>
        <v>0</v>
      </c>
      <c r="W14" s="261">
        <f ca="1">IFERROR(__xludf.DUMMYFUNCTION("IMPORTRANGE(""https://docs.google.com/spreadsheets/d/1KxicF4apzSqm0-jIpmueT4kyZtE-Cwn5zskl7GD4loQ/edit?usp=sharing"",""กำแพงเพชร!J563"")"),0)</f>
        <v>0</v>
      </c>
      <c r="X14" s="186">
        <f ca="1">IFERROR(__xludf.DUMMYFUNCTION("IMPORTRANGE(""https://docs.google.com/spreadsheets/d/1KxicF4apzSqm0-jIpmueT4kyZtE-Cwn5zskl7GD4loQ/edit?usp=sharing"",""กำแพงเพชร!J564"")"),0)</f>
        <v>0</v>
      </c>
      <c r="Y14" s="261">
        <f ca="1">IFERROR(__xludf.DUMMYFUNCTION("IMPORTRANGE(""https://docs.google.com/spreadsheets/d/1KxicF4apzSqm0-jIpmueT4kyZtE-Cwn5zskl7GD4loQ/edit?usp=sharing"",""กำแพงเพชร!J565"")"),0)</f>
        <v>0</v>
      </c>
      <c r="Z14" s="186">
        <f ca="1">IFERROR(__xludf.DUMMYFUNCTION("IMPORTRANGE(""https://docs.google.com/spreadsheets/d/1KxicF4apzSqm0-jIpmueT4kyZtE-Cwn5zskl7GD4loQ/edit?usp=sharing"",""กำแพงเพชร!J566"")"),0)</f>
        <v>0</v>
      </c>
      <c r="AA14" s="261">
        <f ca="1">IFERROR(__xludf.DUMMYFUNCTION("IMPORTRANGE(""https://docs.google.com/spreadsheets/d/1KxicF4apzSqm0-jIpmueT4kyZtE-Cwn5zskl7GD4loQ/edit?usp=sharing"",""กำแพงเพชร!J567"")"),0)</f>
        <v>0</v>
      </c>
      <c r="AB14" s="181">
        <f ca="1">IFERROR(__xludf.DUMMYFUNCTION("IMPORTRANGE(""https://docs.google.com/spreadsheets/d/1KxicF4apzSqm0-jIpmueT4kyZtE-Cwn5zskl7GD4loQ/edit?usp=sharing"",""กำแพงเพชร!I568"")"),156826)</f>
        <v>156826</v>
      </c>
      <c r="AC14" s="181">
        <f ca="1">IFERROR(__xludf.DUMMYFUNCTION("IMPORTRANGE(""https://docs.google.com/spreadsheets/d/1KxicF4apzSqm0-jIpmueT4kyZtE-Cwn5zskl7GD4loQ/edit?usp=sharing"",""กำแพงเพชร!I569"")"),12334)</f>
        <v>12334</v>
      </c>
      <c r="AD14" s="186">
        <f ca="1">IFERROR(__xludf.DUMMYFUNCTION("IMPORTRANGE(""https://docs.google.com/spreadsheets/d/1KxicF4apzSqm0-jIpmueT4kyZtE-Cwn5zskl7GD4loQ/edit?usp=sharing"",""กำแพงเพชร!J568"")"),0)</f>
        <v>0</v>
      </c>
      <c r="AE14" s="186">
        <f t="shared" ca="1" si="34"/>
        <v>0</v>
      </c>
      <c r="AF14" s="181">
        <f ca="1">IFERROR(__xludf.DUMMYFUNCTION("IMPORTRANGE(""https://docs.google.com/spreadsheets/d/1KxicF4apzSqm0-jIpmueT4kyZtE-Cwn5zskl7GD4loQ/edit?usp=sharing"",""กำแพงเพชร!J569"")"),0)</f>
        <v>0</v>
      </c>
      <c r="AG14" s="186">
        <f t="shared" ca="1" si="10"/>
        <v>0</v>
      </c>
      <c r="AH14" s="186">
        <f ca="1">IFERROR(__xludf.DUMMYFUNCTION("IMPORTRANGE(""https://docs.google.com/spreadsheets/d/1KxicF4apzSqm0-jIpmueT4kyZtE-Cwn5zskl7GD4loQ/edit?usp=sharing"",""กำแพงเพชร!J570"")"),0)</f>
        <v>0</v>
      </c>
      <c r="AI14" s="261">
        <f ca="1">IFERROR(__xludf.DUMMYFUNCTION("IMPORTRANGE(""https://docs.google.com/spreadsheets/d/1KxicF4apzSqm0-jIpmueT4kyZtE-Cwn5zskl7GD4loQ/edit?usp=sharing"",""กำแพงเพชร!J571"")"),0)</f>
        <v>0</v>
      </c>
      <c r="AJ14" s="186">
        <f ca="1">IFERROR(__xludf.DUMMYFUNCTION("IMPORTRANGE(""https://docs.google.com/spreadsheets/d/1KxicF4apzSqm0-jIpmueT4kyZtE-Cwn5zskl7GD4loQ/edit?usp=sharing"",""กำแพงเพชร!J572"")"),0)</f>
        <v>0</v>
      </c>
      <c r="AK14" s="261">
        <f ca="1">IFERROR(__xludf.DUMMYFUNCTION("IMPORTRANGE(""https://docs.google.com/spreadsheets/d/1KxicF4apzSqm0-jIpmueT4kyZtE-Cwn5zskl7GD4loQ/edit?usp=sharing"",""กำแพงเพชร!J573"")"),0)</f>
        <v>0</v>
      </c>
      <c r="AL14" s="186">
        <f ca="1">IFERROR(__xludf.DUMMYFUNCTION("IMPORTRANGE(""https://docs.google.com/spreadsheets/d/1KxicF4apzSqm0-jIpmueT4kyZtE-Cwn5zskl7GD4loQ/edit?usp=sharing"",""กำแพงเพชร!J574"")"),0)</f>
        <v>0</v>
      </c>
      <c r="AM14" s="261">
        <f ca="1">IFERROR(__xludf.DUMMYFUNCTION("IMPORTRANGE(""https://docs.google.com/spreadsheets/d/1KxicF4apzSqm0-jIpmueT4kyZtE-Cwn5zskl7GD4loQ/edit?usp=sharing"",""กำแพงเพชร!J575"")"),0)</f>
        <v>0</v>
      </c>
      <c r="AN14" s="181">
        <f ca="1">IFERROR(__xludf.DUMMYFUNCTION("IMPORTRANGE(""https://docs.google.com/spreadsheets/d/1KxicF4apzSqm0-jIpmueT4kyZtE-Cwn5zskl7GD4loQ/edit?usp=sharing"",""กำแพงเพชร!I576"")"),156826)</f>
        <v>156826</v>
      </c>
      <c r="AO14" s="181">
        <f ca="1">IFERROR(__xludf.DUMMYFUNCTION("IMPORTRANGE(""https://docs.google.com/spreadsheets/d/1KxicF4apzSqm0-jIpmueT4kyZtE-Cwn5zskl7GD4loQ/edit?usp=sharing"",""กำแพงเพชร!I577"")"),12334)</f>
        <v>12334</v>
      </c>
      <c r="AP14" s="186">
        <f ca="1">IFERROR(__xludf.DUMMYFUNCTION("IMPORTRANGE(""https://docs.google.com/spreadsheets/d/1KxicF4apzSqm0-jIpmueT4kyZtE-Cwn5zskl7GD4loQ/edit?usp=sharing"",""กำแพงเพชร!J576"")"),0)</f>
        <v>0</v>
      </c>
      <c r="AQ14" s="186">
        <f t="shared" ca="1" si="35"/>
        <v>0</v>
      </c>
      <c r="AR14" s="181">
        <f ca="1">IFERROR(__xludf.DUMMYFUNCTION("IMPORTRANGE(""https://docs.google.com/spreadsheets/d/1KxicF4apzSqm0-jIpmueT4kyZtE-Cwn5zskl7GD4loQ/edit?usp=sharing"",""กำแพงเพชร!J577"")"),0)</f>
        <v>0</v>
      </c>
      <c r="AS14" s="186">
        <f t="shared" ca="1" si="13"/>
        <v>0</v>
      </c>
      <c r="AT14" s="186">
        <f ca="1">IFERROR(__xludf.DUMMYFUNCTION("IMPORTRANGE(""https://docs.google.com/spreadsheets/d/1KxicF4apzSqm0-jIpmueT4kyZtE-Cwn5zskl7GD4loQ/edit?usp=sharing"",""กำแพงเพชร!J578"")"),0)</f>
        <v>0</v>
      </c>
      <c r="AU14" s="261">
        <f ca="1">IFERROR(__xludf.DUMMYFUNCTION("IMPORTRANGE(""https://docs.google.com/spreadsheets/d/1KxicF4apzSqm0-jIpmueT4kyZtE-Cwn5zskl7GD4loQ/edit?usp=sharing"",""กำแพงเพชร!J579"")"),0)</f>
        <v>0</v>
      </c>
      <c r="AV14" s="186">
        <f ca="1">IFERROR(__xludf.DUMMYFUNCTION("IMPORTRANGE(""https://docs.google.com/spreadsheets/d/1KxicF4apzSqm0-jIpmueT4kyZtE-Cwn5zskl7GD4loQ/edit?usp=sharing"",""กำแพงเพชร!J580"")"),0)</f>
        <v>0</v>
      </c>
      <c r="AW14" s="261">
        <f ca="1">IFERROR(__xludf.DUMMYFUNCTION("IMPORTRANGE(""https://docs.google.com/spreadsheets/d/1KxicF4apzSqm0-jIpmueT4kyZtE-Cwn5zskl7GD4loQ/edit?usp=sharing"",""กำแพงเพชร!J581"")"),0)</f>
        <v>0</v>
      </c>
      <c r="AX14" s="186">
        <f ca="1">IFERROR(__xludf.DUMMYFUNCTION("IMPORTRANGE(""https://docs.google.com/spreadsheets/d/1KxicF4apzSqm0-jIpmueT4kyZtE-Cwn5zskl7GD4loQ/edit?usp=sharing"",""กำแพงเพชร!J582"")"),0)</f>
        <v>0</v>
      </c>
      <c r="AY14" s="261">
        <f ca="1">IFERROR(__xludf.DUMMYFUNCTION("IMPORTRANGE(""https://docs.google.com/spreadsheets/d/1KxicF4apzSqm0-jIpmueT4kyZtE-Cwn5zskl7GD4loQ/edit?usp=sharing"",""กำแพงเพชร!J583"")"),0)</f>
        <v>0</v>
      </c>
      <c r="AZ14" s="262">
        <f ca="1">IFERROR(__xludf.DUMMYFUNCTION("IMPORTRANGE(""https://docs.google.com/spreadsheets/d/1KxicF4apzSqm0-jIpmueT4kyZtE-Cwn5zskl7GD4loQ/edit?usp=sharing"",""กำแพงเพชร!J584"")"),0)</f>
        <v>0</v>
      </c>
      <c r="BA14" s="261">
        <f ca="1">IFERROR(__xludf.DUMMYFUNCTION("IMPORTRANGE(""https://docs.google.com/spreadsheets/d/1KxicF4apzSqm0-jIpmueT4kyZtE-Cwn5zskl7GD4loQ/edit?usp=sharing"",""กำแพงเพชร!J585"")"),0)</f>
        <v>0</v>
      </c>
      <c r="BB14" s="262">
        <f ca="1">IFERROR(__xludf.DUMMYFUNCTION("IMPORTRANGE(""https://docs.google.com/spreadsheets/d/1KxicF4apzSqm0-jIpmueT4kyZtE-Cwn5zskl7GD4loQ/edit?usp=sharing"",""กำแพงเพชร!J586"")"),0)</f>
        <v>0</v>
      </c>
      <c r="BC14" s="261">
        <f ca="1">IFERROR(__xludf.DUMMYFUNCTION("IMPORTRANGE(""https://docs.google.com/spreadsheets/d/1KxicF4apzSqm0-jIpmueT4kyZtE-Cwn5zskl7GD4loQ/edit?usp=sharing"",""กำแพงเพชร!J587"")"),0)</f>
        <v>0</v>
      </c>
      <c r="BD14" s="186">
        <f ca="1">IFERROR(__xludf.DUMMYFUNCTION("IMPORTRANGE(""https://docs.google.com/spreadsheets/d/1KxicF4apzSqm0-jIpmueT4kyZtE-Cwn5zskl7GD4loQ/edit?usp=sharing"",""กำแพงเพชร!J588"")"),0)</f>
        <v>0</v>
      </c>
      <c r="BE14" s="261">
        <f ca="1">IFERROR(__xludf.DUMMYFUNCTION("IMPORTRANGE(""https://docs.google.com/spreadsheets/d/1KxicF4apzSqm0-jIpmueT4kyZtE-Cwn5zskl7GD4loQ/edit?usp=sharing"",""กำแพงเพชร!J589"")"),0)</f>
        <v>0</v>
      </c>
      <c r="BF14" s="186">
        <f ca="1">IFERROR(__xludf.DUMMYFUNCTION("IMPORTRANGE(""https://docs.google.com/spreadsheets/d/1KxicF4apzSqm0-jIpmueT4kyZtE-Cwn5zskl7GD4loQ/edit?usp=sharing"",""กำแพงเพชร!J590"")"),0)</f>
        <v>0</v>
      </c>
      <c r="BG14" s="261">
        <f ca="1">IFERROR(__xludf.DUMMYFUNCTION("IMPORTRANGE(""https://docs.google.com/spreadsheets/d/1KxicF4apzSqm0-jIpmueT4kyZtE-Cwn5zskl7GD4loQ/edit?usp=sharing"",""กำแพงเพชร!J591"")"),0)</f>
        <v>0</v>
      </c>
      <c r="BH14" s="181">
        <f ca="1">IFERROR(__xludf.DUMMYFUNCTION("IMPORTRANGE(""https://docs.google.com/spreadsheets/d/1KxicF4apzSqm0-jIpmueT4kyZtE-Cwn5zskl7GD4loQ/edit?usp=sharing"",""กำแพงเพชร!I593"")"),6645.84)</f>
        <v>6645.84</v>
      </c>
      <c r="BI14" s="181">
        <f ca="1">IFERROR(__xludf.DUMMYFUNCTION("IMPORTRANGE(""https://docs.google.com/spreadsheets/d/1KxicF4apzSqm0-jIpmueT4kyZtE-Cwn5zskl7GD4loQ/edit?usp=sharing"",""กำแพงเพชร!I594"")"),390)</f>
        <v>390</v>
      </c>
      <c r="BJ14" s="186">
        <f ca="1">IFERROR(__xludf.DUMMYFUNCTION("IMPORTRANGE(""https://docs.google.com/spreadsheets/d/1KxicF4apzSqm0-jIpmueT4kyZtE-Cwn5zskl7GD4loQ/edit?usp=sharing"",""กำแพงเพชร!J593"")"),0)</f>
        <v>0</v>
      </c>
      <c r="BK14" s="186">
        <f t="shared" ca="1" si="36"/>
        <v>0</v>
      </c>
      <c r="BL14" s="181">
        <f ca="1">IFERROR(__xludf.DUMMYFUNCTION("IMPORTRANGE(""https://docs.google.com/spreadsheets/d/1KxicF4apzSqm0-jIpmueT4kyZtE-Cwn5zskl7GD4loQ/edit?usp=sharing"",""กำแพงเพชร!J594"")"),0)</f>
        <v>0</v>
      </c>
      <c r="BM14" s="186">
        <f t="shared" ca="1" si="16"/>
        <v>0</v>
      </c>
      <c r="BN14" s="186">
        <f ca="1">IFERROR(__xludf.DUMMYFUNCTION("IMPORTRANGE(""https://docs.google.com/spreadsheets/d/1KxicF4apzSqm0-jIpmueT4kyZtE-Cwn5zskl7GD4loQ/edit?usp=sharing"",""กำแพงเพชร!J595"")"),0)</f>
        <v>0</v>
      </c>
      <c r="BO14" s="261">
        <f ca="1">IFERROR(__xludf.DUMMYFUNCTION("IMPORTRANGE(""https://docs.google.com/spreadsheets/d/1KxicF4apzSqm0-jIpmueT4kyZtE-Cwn5zskl7GD4loQ/edit?usp=sharing"",""กำแพงเพชร!J596"")"),0)</f>
        <v>0</v>
      </c>
      <c r="BP14" s="186">
        <f ca="1">IFERROR(__xludf.DUMMYFUNCTION("IMPORTRANGE(""https://docs.google.com/spreadsheets/d/1KxicF4apzSqm0-jIpmueT4kyZtE-Cwn5zskl7GD4loQ/edit?usp=sharing"",""กำแพงเพชร!J597"")"),0)</f>
        <v>0</v>
      </c>
      <c r="BQ14" s="261">
        <f ca="1">IFERROR(__xludf.DUMMYFUNCTION("IMPORTRANGE(""https://docs.google.com/spreadsheets/d/1KxicF4apzSqm0-jIpmueT4kyZtE-Cwn5zskl7GD4loQ/edit?usp=sharing"",""กำแพงเพชร!J598"")"),0)</f>
        <v>0</v>
      </c>
      <c r="BR14" s="186">
        <f ca="1">IFERROR(__xludf.DUMMYFUNCTION("IMPORTRANGE(""https://docs.google.com/spreadsheets/d/1KxicF4apzSqm0-jIpmueT4kyZtE-Cwn5zskl7GD4loQ/edit?usp=sharing"",""กำแพงเพชร!J599"")"),0)</f>
        <v>0</v>
      </c>
      <c r="BS14" s="261">
        <f ca="1">IFERROR(__xludf.DUMMYFUNCTION("IMPORTRANGE(""https://docs.google.com/spreadsheets/d/1KxicF4apzSqm0-jIpmueT4kyZtE-Cwn5zskl7GD4loQ/edit?usp=sharing"",""กำแพงเพชร!J600"")"),0)</f>
        <v>0</v>
      </c>
      <c r="BT14" s="262">
        <f ca="1">IFERROR(__xludf.DUMMYFUNCTION("IMPORTRANGE(""https://docs.google.com/spreadsheets/d/1KxicF4apzSqm0-jIpmueT4kyZtE-Cwn5zskl7GD4loQ/edit?usp=sharing"",""กำแพงเพชร!J601"")"),0)</f>
        <v>0</v>
      </c>
      <c r="BU14" s="261">
        <f ca="1">IFERROR(__xludf.DUMMYFUNCTION("IMPORTRANGE(""https://docs.google.com/spreadsheets/d/1KxicF4apzSqm0-jIpmueT4kyZtE-Cwn5zskl7GD4loQ/edit?usp=sharing"",""กำแพงเพชร!J602"")"),0)</f>
        <v>0</v>
      </c>
      <c r="BV14" s="186">
        <f ca="1">IFERROR(__xludf.DUMMYFUNCTION("IMPORTRANGE(""https://docs.google.com/spreadsheets/d/1KxicF4apzSqm0-jIpmueT4kyZtE-Cwn5zskl7GD4loQ/edit?usp=sharing"",""กำแพงเพชร!J603"")"),0)</f>
        <v>0</v>
      </c>
      <c r="BW14" s="261">
        <f ca="1">IFERROR(__xludf.DUMMYFUNCTION("IMPORTRANGE(""https://docs.google.com/spreadsheets/d/1KxicF4apzSqm0-jIpmueT4kyZtE-Cwn5zskl7GD4loQ/edit?usp=sharing"",""กำแพงเพชร!J604"")"),0)</f>
        <v>0</v>
      </c>
      <c r="BX14" s="186">
        <f ca="1">IFERROR(__xludf.DUMMYFUNCTION("IMPORTRANGE(""https://docs.google.com/spreadsheets/d/1KxicF4apzSqm0-jIpmueT4kyZtE-Cwn5zskl7GD4loQ/edit?usp=sharing"",""กำแพงเพชร!J605"")"),0)</f>
        <v>0</v>
      </c>
      <c r="BY14" s="261">
        <f ca="1">IFERROR(__xludf.DUMMYFUNCTION("IMPORTRANGE(""https://docs.google.com/spreadsheets/d/1KxicF4apzSqm0-jIpmueT4kyZtE-Cwn5zskl7GD4loQ/edit?usp=sharing"",""กำแพงเพชร!J606"")"),0)</f>
        <v>0</v>
      </c>
      <c r="BZ14" s="186">
        <f ca="1">IFERROR(__xludf.DUMMYFUNCTION("IMPORTRANGE(""https://docs.google.com/spreadsheets/d/1KxicF4apzSqm0-jIpmueT4kyZtE-Cwn5zskl7GD4loQ/edit?usp=sharing"",""กำแพงเพชร!J607"")"),0)</f>
        <v>0</v>
      </c>
      <c r="CA14" s="261">
        <f ca="1">IFERROR(__xludf.DUMMYFUNCTION("IMPORTRANGE(""https://docs.google.com/spreadsheets/d/1KxicF4apzSqm0-jIpmueT4kyZtE-Cwn5zskl7GD4loQ/edit?usp=sharing"",""กำแพงเพชร!J608"")"),0)</f>
        <v>0</v>
      </c>
      <c r="CB14" s="186">
        <f ca="1">IFERROR(__xludf.DUMMYFUNCTION("IMPORTRANGE(""https://docs.google.com/spreadsheets/d/1KxicF4apzSqm0-jIpmueT4kyZtE-Cwn5zskl7GD4loQ/edit?usp=sharing"",""กำแพงเพชร!J609"")"),0)</f>
        <v>0</v>
      </c>
      <c r="CC14" s="261">
        <f ca="1">IFERROR(__xludf.DUMMYFUNCTION("IMPORTRANGE(""https://docs.google.com/spreadsheets/d/1KxicF4apzSqm0-jIpmueT4kyZtE-Cwn5zskl7GD4loQ/edit?usp=sharing"",""กำแพงเพชร!J610"")"),0)</f>
        <v>0</v>
      </c>
      <c r="CD14" s="261">
        <f ca="1">IFERROR(__xludf.DUMMYFUNCTION("IMPORTRANGE(""https://docs.google.com/spreadsheets/d/1KxicF4apzSqm0-jIpmueT4kyZtE-Cwn5zskl7GD4loQ/edit?usp=sharing"",""กำแพงเพชร!I612"")"),0)</f>
        <v>0</v>
      </c>
      <c r="CE14" s="261">
        <f ca="1">IFERROR(__xludf.DUMMYFUNCTION("IMPORTRANGE(""https://docs.google.com/spreadsheets/d/1KxicF4apzSqm0-jIpmueT4kyZtE-Cwn5zskl7GD4loQ/edit?usp=sharing"",""กำแพงเพชร!I594"")"),390)</f>
        <v>390</v>
      </c>
      <c r="CF14" s="262">
        <f ca="1">IFERROR(__xludf.DUMMYFUNCTION("IMPORTRANGE(""https://docs.google.com/spreadsheets/d/1KxicF4apzSqm0-jIpmueT4kyZtE-Cwn5zskl7GD4loQ/edit?usp=sharing"",""กำแพงเพชร!J612"")"),0)</f>
        <v>0</v>
      </c>
      <c r="CG14" s="262">
        <f t="shared" ca="1" si="37"/>
        <v>0</v>
      </c>
      <c r="CH14" s="261">
        <f ca="1">IFERROR(__xludf.DUMMYFUNCTION("IMPORTRANGE(""https://docs.google.com/spreadsheets/d/1KxicF4apzSqm0-jIpmueT4kyZtE-Cwn5zskl7GD4loQ/edit?usp=sharing"",""กำแพงเพชร!J613"")"),0)</f>
        <v>0</v>
      </c>
      <c r="CI14" s="262">
        <f t="shared" ca="1" si="19"/>
        <v>0</v>
      </c>
      <c r="CJ14" s="186">
        <f ca="1">IFERROR(__xludf.DUMMYFUNCTION("IMPORTRANGE(""https://docs.google.com/spreadsheets/d/1KxicF4apzSqm0-jIpmueT4kyZtE-Cwn5zskl7GD4loQ/edit?usp=sharing"",""กำแพงเพชร!J614"")"),0)</f>
        <v>0</v>
      </c>
      <c r="CK14" s="261">
        <f ca="1">IFERROR(__xludf.DUMMYFUNCTION("IMPORTRANGE(""https://docs.google.com/spreadsheets/d/1KxicF4apzSqm0-jIpmueT4kyZtE-Cwn5zskl7GD4loQ/edit?usp=sharing"",""กำแพงเพชร!J615"")"),0)</f>
        <v>0</v>
      </c>
      <c r="CL14" s="186">
        <f ca="1">IFERROR(__xludf.DUMMYFUNCTION("IMPORTRANGE(""https://docs.google.com/spreadsheets/d/1KxicF4apzSqm0-jIpmueT4kyZtE-Cwn5zskl7GD4loQ/edit?usp=sharing"",""กำแพงเพชร!J616"")"),0)</f>
        <v>0</v>
      </c>
      <c r="CM14" s="261">
        <f ca="1">IFERROR(__xludf.DUMMYFUNCTION("IMPORTRANGE(""https://docs.google.com/spreadsheets/d/1KxicF4apzSqm0-jIpmueT4kyZtE-Cwn5zskl7GD4loQ/edit?usp=sharing"",""กำแพงเพชร!J617"")"),0)</f>
        <v>0</v>
      </c>
      <c r="CN14" s="261">
        <f ca="1">IFERROR(__xludf.DUMMYFUNCTION("IMPORTRANGE(""https://docs.google.com/spreadsheets/d/1KxicF4apzSqm0-jIpmueT4kyZtE-Cwn5zskl7GD4loQ/edit?usp=sharing"",""กำแพงเพชร!I620"")"),0)</f>
        <v>0</v>
      </c>
      <c r="CO14" s="261">
        <f ca="1">IFERROR(__xludf.DUMMYFUNCTION("IMPORTRANGE(""https://docs.google.com/spreadsheets/d/1KxicF4apzSqm0-jIpmueT4kyZtE-Cwn5zskl7GD4loQ/edit?usp=sharing"",""กำแพงเพชร!I621"")"),0)</f>
        <v>0</v>
      </c>
      <c r="CP14" s="262">
        <f ca="1">IFERROR(__xludf.DUMMYFUNCTION("IMPORTRANGE(""https://docs.google.com/spreadsheets/d/1KxicF4apzSqm0-jIpmueT4kyZtE-Cwn5zskl7GD4loQ/edit?usp=sharing"",""กำแพงเพชร!J620"")"),0)</f>
        <v>0</v>
      </c>
      <c r="CQ14" s="262">
        <f t="shared" ca="1" si="38"/>
        <v>0</v>
      </c>
      <c r="CR14" s="261">
        <f ca="1">IFERROR(__xludf.DUMMYFUNCTION("IMPORTRANGE(""https://docs.google.com/spreadsheets/d/1KxicF4apzSqm0-jIpmueT4kyZtE-Cwn5zskl7GD4loQ/edit?usp=sharing"",""กำแพงเพชร!J621"")"),0)</f>
        <v>0</v>
      </c>
      <c r="CS14" s="262">
        <f t="shared" ca="1" si="22"/>
        <v>0</v>
      </c>
      <c r="CT14" s="186">
        <f ca="1">IFERROR(__xludf.DUMMYFUNCTION("IMPORTRANGE(""https://docs.google.com/spreadsheets/d/1KxicF4apzSqm0-jIpmueT4kyZtE-Cwn5zskl7GD4loQ/edit?usp=sharing"",""กำแพงเพชร!J622"")"),0)</f>
        <v>0</v>
      </c>
      <c r="CU14" s="261">
        <f ca="1">IFERROR(__xludf.DUMMYFUNCTION("IMPORTRANGE(""https://docs.google.com/spreadsheets/d/1KxicF4apzSqm0-jIpmueT4kyZtE-Cwn5zskl7GD4loQ/edit?usp=sharing"",""กำแพงเพชร!J623"")"),0)</f>
        <v>0</v>
      </c>
      <c r="CV14" s="186">
        <f ca="1">IFERROR(__xludf.DUMMYFUNCTION("IMPORTRANGE(""https://docs.google.com/spreadsheets/d/1KxicF4apzSqm0-jIpmueT4kyZtE-Cwn5zskl7GD4loQ/edit?usp=sharing"",""กำแพงเพชร!J624"")"),0)</f>
        <v>0</v>
      </c>
      <c r="CW14" s="261">
        <f ca="1">IFERROR(__xludf.DUMMYFUNCTION("IMPORTRANGE(""https://docs.google.com/spreadsheets/d/1KxicF4apzSqm0-jIpmueT4kyZtE-Cwn5zskl7GD4loQ/edit?usp=sharing"",""กำแพงเพชร!J625"")"),0)</f>
        <v>0</v>
      </c>
      <c r="CX14" s="186">
        <f ca="1">IFERROR(__xludf.DUMMYFUNCTION("IMPORTRANGE(""https://docs.google.com/spreadsheets/d/1KxicF4apzSqm0-jIpmueT4kyZtE-Cwn5zskl7GD4loQ/edit?usp=sharing"",""กำแพงเพชร!J626"")"),0)</f>
        <v>0</v>
      </c>
      <c r="CY14" s="261">
        <f ca="1">IFERROR(__xludf.DUMMYFUNCTION("IMPORTRANGE(""https://docs.google.com/spreadsheets/d/1KxicF4apzSqm0-jIpmueT4kyZtE-Cwn5zskl7GD4loQ/edit?usp=sharing"",""กำแพงเพชร!J627"")"),0)</f>
        <v>0</v>
      </c>
    </row>
    <row r="15" spans="1:103" ht="24" customHeight="1" x14ac:dyDescent="0.3">
      <c r="A15" s="178">
        <v>2</v>
      </c>
      <c r="B15" s="179" t="s">
        <v>32</v>
      </c>
      <c r="C15" s="180">
        <f t="shared" ca="1" si="49"/>
        <v>537922</v>
      </c>
      <c r="D15" s="181">
        <f ca="1">IFERROR(__xludf.DUMMYFUNCTION("IMPORTRANGE(""https://docs.google.com/spreadsheets/d/1ZNYWeiFoFA1K1U4xKWqRX29MBvEyRHXORjo734Gnq_c/edit?usp=sharing"",""เชียงราย!L549"")"),537922)</f>
        <v>537922</v>
      </c>
      <c r="E15" s="187">
        <f ca="1">IFERROR(__xludf.DUMMYFUNCTION("IMPORTRANGE(""https://docs.google.com/spreadsheets/d/1ZNYWeiFoFA1K1U4xKWqRX29MBvEyRHXORjo734Gnq_c/edit?usp=sharing"",""เชียงราย!L557"")"),0)</f>
        <v>0</v>
      </c>
      <c r="F15" s="182">
        <f t="shared" ca="1" si="1"/>
        <v>56639</v>
      </c>
      <c r="G15" s="183">
        <f t="shared" ca="1" si="2"/>
        <v>10.52922170872357</v>
      </c>
      <c r="H15" s="184">
        <f t="shared" ca="1" si="50"/>
        <v>56639</v>
      </c>
      <c r="I15" s="187">
        <f ca="1">IFERROR(__xludf.DUMMYFUNCTION("IMPORTRANGE(""https://docs.google.com/spreadsheets/d/1ZNYWeiFoFA1K1U4xKWqRX29MBvEyRHXORjo734Gnq_c/edit?usp=sharing"",""เชียงราย!N550"")"),0)</f>
        <v>0</v>
      </c>
      <c r="J15" s="187">
        <f ca="1">IFERROR(__xludf.DUMMYFUNCTION("IMPORTRANGE(""https://docs.google.com/spreadsheets/d/1ZNYWeiFoFA1K1U4xKWqRX29MBvEyRHXORjo734Gnq_c/edit?usp=sharing"",""เชียงราย!N551"")"),0)</f>
        <v>0</v>
      </c>
      <c r="K15" s="187">
        <f ca="1">IFERROR(__xludf.DUMMYFUNCTION("IMPORTRANGE(""https://docs.google.com/spreadsheets/d/1ZNYWeiFoFA1K1U4xKWqRX29MBvEyRHXORjo734Gnq_c/edit?usp=sharing"",""เชียงราย!N552"")"),39000)</f>
        <v>39000</v>
      </c>
      <c r="L15" s="187">
        <f ca="1">IFERROR(__xludf.DUMMYFUNCTION("IMPORTRANGE(""https://docs.google.com/spreadsheets/d/1ZNYWeiFoFA1K1U4xKWqRX29MBvEyRHXORjo734Gnq_c/edit?usp=sharing"",""เชียงราย!N553"")"),17639)</f>
        <v>17639</v>
      </c>
      <c r="M15" s="187">
        <f ca="1">IFERROR(__xludf.DUMMYFUNCTION("IMPORTRANGE(""https://docs.google.com/spreadsheets/d/1ZNYWeiFoFA1K1U4xKWqRX29MBvEyRHXORjo734Gnq_c/edit?usp=sharing"",""เชียงราย!N554"")"),0)</f>
        <v>0</v>
      </c>
      <c r="N15" s="185">
        <f ca="1">IFERROR(__xludf.DUMMYFUNCTION("IMPORTRANGE(""https://docs.google.com/spreadsheets/d/1ZNYWeiFoFA1K1U4xKWqRX29MBvEyRHXORjo734Gnq_c/edit?usp=sharing"",""เชียงราย!N557"")"),0)</f>
        <v>0</v>
      </c>
      <c r="O15" s="185">
        <f t="shared" ca="1" si="41"/>
        <v>0</v>
      </c>
      <c r="P15" s="181">
        <f ca="1">IFERROR(__xludf.DUMMYFUNCTION("IMPORTRANGE(""https://docs.google.com/spreadsheets/d/1ZNYWeiFoFA1K1U4xKWqRX29MBvEyRHXORjo734Gnq_c/edit?usp=sharing"",""เชียงราย!I560"")"),28996)</f>
        <v>28996</v>
      </c>
      <c r="Q15" s="181">
        <f ca="1">IFERROR(__xludf.DUMMYFUNCTION("IMPORTRANGE(""https://docs.google.com/spreadsheets/d/1ZNYWeiFoFA1K1U4xKWqRX29MBvEyRHXORjo734Gnq_c/edit?usp=sharing"",""เชียงราย!I561"")"),6226)</f>
        <v>6226</v>
      </c>
      <c r="R15" s="186">
        <f ca="1">IFERROR(__xludf.DUMMYFUNCTION("IMPORTRANGE(""https://docs.google.com/spreadsheets/d/1ZNYWeiFoFA1K1U4xKWqRX29MBvEyRHXORjo734Gnq_c/edit?usp=sharing"",""เชียงราย!J560"")"),28996.46)</f>
        <v>28996.46</v>
      </c>
      <c r="S15" s="186">
        <f t="shared" ca="1" si="33"/>
        <v>100.0015864257139</v>
      </c>
      <c r="T15" s="181">
        <f ca="1">IFERROR(__xludf.DUMMYFUNCTION("IMPORTRANGE(""https://docs.google.com/spreadsheets/d/1ZNYWeiFoFA1K1U4xKWqRX29MBvEyRHXORjo734Gnq_c/edit?usp=sharing"",""เชียงราย!J561"")"),6226)</f>
        <v>6226</v>
      </c>
      <c r="U15" s="186">
        <f t="shared" ca="1" si="7"/>
        <v>100</v>
      </c>
      <c r="V15" s="186">
        <f ca="1">IFERROR(__xludf.DUMMYFUNCTION("IMPORTRANGE(""https://docs.google.com/spreadsheets/d/1ZNYWeiFoFA1K1U4xKWqRX29MBvEyRHXORjo734Gnq_c/edit?usp=sharing"",""เชียงราย!J562"")"),23430.06)</f>
        <v>23430.06</v>
      </c>
      <c r="W15" s="261">
        <f ca="1">IFERROR(__xludf.DUMMYFUNCTION("IMPORTRANGE(""https://docs.google.com/spreadsheets/d/1ZNYWeiFoFA1K1U4xKWqRX29MBvEyRHXORjo734Gnq_c/edit?usp=sharing"",""เชียงราย!J563"")"),5153)</f>
        <v>5153</v>
      </c>
      <c r="X15" s="186">
        <f ca="1">IFERROR(__xludf.DUMMYFUNCTION("IMPORTRANGE(""https://docs.google.com/spreadsheets/d/1ZNYWeiFoFA1K1U4xKWqRX29MBvEyRHXORjo734Gnq_c/edit?usp=sharing"",""เชียงราย!J564"")"),4601.67)</f>
        <v>4601.67</v>
      </c>
      <c r="Y15" s="261">
        <f ca="1">IFERROR(__xludf.DUMMYFUNCTION("IMPORTRANGE(""https://docs.google.com/spreadsheets/d/1ZNYWeiFoFA1K1U4xKWqRX29MBvEyRHXORjo734Gnq_c/edit?usp=sharing"",""เชียงราย!J565"")"),891)</f>
        <v>891</v>
      </c>
      <c r="Z15" s="186">
        <f ca="1">IFERROR(__xludf.DUMMYFUNCTION("IMPORTRANGE(""https://docs.google.com/spreadsheets/d/1ZNYWeiFoFA1K1U4xKWqRX29MBvEyRHXORjo734Gnq_c/edit?usp=sharing"",""เชียงราย!J566"")"),964.73)</f>
        <v>964.73</v>
      </c>
      <c r="AA15" s="261">
        <f ca="1">IFERROR(__xludf.DUMMYFUNCTION("IMPORTRANGE(""https://docs.google.com/spreadsheets/d/1ZNYWeiFoFA1K1U4xKWqRX29MBvEyRHXORjo734Gnq_c/edit?usp=sharing"",""เชียงราย!J567"")"),182)</f>
        <v>182</v>
      </c>
      <c r="AB15" s="181">
        <f ca="1">IFERROR(__xludf.DUMMYFUNCTION("IMPORTRANGE(""https://docs.google.com/spreadsheets/d/1ZNYWeiFoFA1K1U4xKWqRX29MBvEyRHXORjo734Gnq_c/edit?usp=sharing"",""เชียงราย!I568"")"),28996)</f>
        <v>28996</v>
      </c>
      <c r="AC15" s="181">
        <f ca="1">IFERROR(__xludf.DUMMYFUNCTION("IMPORTRANGE(""https://docs.google.com/spreadsheets/d/1ZNYWeiFoFA1K1U4xKWqRX29MBvEyRHXORjo734Gnq_c/edit?usp=sharing"",""เชียงราย!I569"")"),6226)</f>
        <v>6226</v>
      </c>
      <c r="AD15" s="186">
        <f ca="1">IFERROR(__xludf.DUMMYFUNCTION("IMPORTRANGE(""https://docs.google.com/spreadsheets/d/1ZNYWeiFoFA1K1U4xKWqRX29MBvEyRHXORjo734Gnq_c/edit?usp=sharing"",""เชียงราย!J568"")"),0)</f>
        <v>0</v>
      </c>
      <c r="AE15" s="186">
        <f t="shared" ca="1" si="34"/>
        <v>0</v>
      </c>
      <c r="AF15" s="181">
        <f ca="1">IFERROR(__xludf.DUMMYFUNCTION("IMPORTRANGE(""https://docs.google.com/spreadsheets/d/1ZNYWeiFoFA1K1U4xKWqRX29MBvEyRHXORjo734Gnq_c/edit?usp=sharing"",""เชียงราย!J569"")"),0)</f>
        <v>0</v>
      </c>
      <c r="AG15" s="186">
        <f t="shared" ca="1" si="10"/>
        <v>0</v>
      </c>
      <c r="AH15" s="186">
        <f ca="1">IFERROR(__xludf.DUMMYFUNCTION("IMPORTRANGE(""https://docs.google.com/spreadsheets/d/1ZNYWeiFoFA1K1U4xKWqRX29MBvEyRHXORjo734Gnq_c/edit?usp=sharing"",""เชียงราย!J570"")"),0)</f>
        <v>0</v>
      </c>
      <c r="AI15" s="261">
        <f ca="1">IFERROR(__xludf.DUMMYFUNCTION("IMPORTRANGE(""https://docs.google.com/spreadsheets/d/1ZNYWeiFoFA1K1U4xKWqRX29MBvEyRHXORjo734Gnq_c/edit?usp=sharing"",""เชียงราย!J571"")"),0)</f>
        <v>0</v>
      </c>
      <c r="AJ15" s="186">
        <f ca="1">IFERROR(__xludf.DUMMYFUNCTION("IMPORTRANGE(""https://docs.google.com/spreadsheets/d/1ZNYWeiFoFA1K1U4xKWqRX29MBvEyRHXORjo734Gnq_c/edit?usp=sharing"",""เชียงราย!J572"")"),0)</f>
        <v>0</v>
      </c>
      <c r="AK15" s="261">
        <f ca="1">IFERROR(__xludf.DUMMYFUNCTION("IMPORTRANGE(""https://docs.google.com/spreadsheets/d/1ZNYWeiFoFA1K1U4xKWqRX29MBvEyRHXORjo734Gnq_c/edit?usp=sharing"",""เชียงราย!J573"")"),0)</f>
        <v>0</v>
      </c>
      <c r="AL15" s="186">
        <f ca="1">IFERROR(__xludf.DUMMYFUNCTION("IMPORTRANGE(""https://docs.google.com/spreadsheets/d/1ZNYWeiFoFA1K1U4xKWqRX29MBvEyRHXORjo734Gnq_c/edit?usp=sharing"",""เชียงราย!J574"")"),0)</f>
        <v>0</v>
      </c>
      <c r="AM15" s="261">
        <f ca="1">IFERROR(__xludf.DUMMYFUNCTION("IMPORTRANGE(""https://docs.google.com/spreadsheets/d/1ZNYWeiFoFA1K1U4xKWqRX29MBvEyRHXORjo734Gnq_c/edit?usp=sharing"",""เชียงราย!J575"")"),0)</f>
        <v>0</v>
      </c>
      <c r="AN15" s="181">
        <f ca="1">IFERROR(__xludf.DUMMYFUNCTION("IMPORTRANGE(""https://docs.google.com/spreadsheets/d/1ZNYWeiFoFA1K1U4xKWqRX29MBvEyRHXORjo734Gnq_c/edit?usp=sharing"",""เชียงราย!I576"")"),28996)</f>
        <v>28996</v>
      </c>
      <c r="AO15" s="181">
        <f ca="1">IFERROR(__xludf.DUMMYFUNCTION("IMPORTRANGE(""https://docs.google.com/spreadsheets/d/1ZNYWeiFoFA1K1U4xKWqRX29MBvEyRHXORjo734Gnq_c/edit?usp=sharing"",""เชียงราย!I577"")"),6226)</f>
        <v>6226</v>
      </c>
      <c r="AP15" s="186">
        <f ca="1">IFERROR(__xludf.DUMMYFUNCTION("IMPORTRANGE(""https://docs.google.com/spreadsheets/d/1ZNYWeiFoFA1K1U4xKWqRX29MBvEyRHXORjo734Gnq_c/edit?usp=sharing"",""เชียงราย!J576"")"),0)</f>
        <v>0</v>
      </c>
      <c r="AQ15" s="186">
        <f t="shared" ca="1" si="35"/>
        <v>0</v>
      </c>
      <c r="AR15" s="181">
        <f ca="1">IFERROR(__xludf.DUMMYFUNCTION("IMPORTRANGE(""https://docs.google.com/spreadsheets/d/1ZNYWeiFoFA1K1U4xKWqRX29MBvEyRHXORjo734Gnq_c/edit?usp=sharing"",""เชียงราย!J577"")"),0)</f>
        <v>0</v>
      </c>
      <c r="AS15" s="186">
        <f t="shared" ca="1" si="13"/>
        <v>0</v>
      </c>
      <c r="AT15" s="186">
        <f ca="1">IFERROR(__xludf.DUMMYFUNCTION("IMPORTRANGE(""https://docs.google.com/spreadsheets/d/1ZNYWeiFoFA1K1U4xKWqRX29MBvEyRHXORjo734Gnq_c/edit?usp=sharing"",""เชียงราย!J578"")"),0)</f>
        <v>0</v>
      </c>
      <c r="AU15" s="261">
        <f ca="1">IFERROR(__xludf.DUMMYFUNCTION("IMPORTRANGE(""https://docs.google.com/spreadsheets/d/1ZNYWeiFoFA1K1U4xKWqRX29MBvEyRHXORjo734Gnq_c/edit?usp=sharing"",""เชียงราย!J579"")"),0)</f>
        <v>0</v>
      </c>
      <c r="AV15" s="186">
        <f ca="1">IFERROR(__xludf.DUMMYFUNCTION("IMPORTRANGE(""https://docs.google.com/spreadsheets/d/1ZNYWeiFoFA1K1U4xKWqRX29MBvEyRHXORjo734Gnq_c/edit?usp=sharing"",""เชียงราย!J580"")"),0)</f>
        <v>0</v>
      </c>
      <c r="AW15" s="261">
        <f ca="1">IFERROR(__xludf.DUMMYFUNCTION("IMPORTRANGE(""https://docs.google.com/spreadsheets/d/1ZNYWeiFoFA1K1U4xKWqRX29MBvEyRHXORjo734Gnq_c/edit?usp=sharing"",""เชียงราย!J581"")"),0)</f>
        <v>0</v>
      </c>
      <c r="AX15" s="186">
        <f ca="1">IFERROR(__xludf.DUMMYFUNCTION("IMPORTRANGE(""https://docs.google.com/spreadsheets/d/1ZNYWeiFoFA1K1U4xKWqRX29MBvEyRHXORjo734Gnq_c/edit?usp=sharing"",""เชียงราย!J582"")"),0)</f>
        <v>0</v>
      </c>
      <c r="AY15" s="261">
        <f ca="1">IFERROR(__xludf.DUMMYFUNCTION("IMPORTRANGE(""https://docs.google.com/spreadsheets/d/1ZNYWeiFoFA1K1U4xKWqRX29MBvEyRHXORjo734Gnq_c/edit?usp=sharing"",""เชียงราย!J583"")"),0)</f>
        <v>0</v>
      </c>
      <c r="AZ15" s="262">
        <f ca="1">IFERROR(__xludf.DUMMYFUNCTION("IMPORTRANGE(""https://docs.google.com/spreadsheets/d/1ZNYWeiFoFA1K1U4xKWqRX29MBvEyRHXORjo734Gnq_c/edit?usp=sharing"",""เชียงราย!J584"")"),0)</f>
        <v>0</v>
      </c>
      <c r="BA15" s="261">
        <f ca="1">IFERROR(__xludf.DUMMYFUNCTION("IMPORTRANGE(""https://docs.google.com/spreadsheets/d/1ZNYWeiFoFA1K1U4xKWqRX29MBvEyRHXORjo734Gnq_c/edit?usp=sharing"",""เชียงราย!J585"")"),0)</f>
        <v>0</v>
      </c>
      <c r="BB15" s="262">
        <f ca="1">IFERROR(__xludf.DUMMYFUNCTION("IMPORTRANGE(""https://docs.google.com/spreadsheets/d/1ZNYWeiFoFA1K1U4xKWqRX29MBvEyRHXORjo734Gnq_c/edit?usp=sharing"",""เชียงราย!J586"")"),0)</f>
        <v>0</v>
      </c>
      <c r="BC15" s="261">
        <f ca="1">IFERROR(__xludf.DUMMYFUNCTION("IMPORTRANGE(""https://docs.google.com/spreadsheets/d/1ZNYWeiFoFA1K1U4xKWqRX29MBvEyRHXORjo734Gnq_c/edit?usp=sharing"",""เชียงราย!J587"")"),0)</f>
        <v>0</v>
      </c>
      <c r="BD15" s="186">
        <f ca="1">IFERROR(__xludf.DUMMYFUNCTION("IMPORTRANGE(""https://docs.google.com/spreadsheets/d/1ZNYWeiFoFA1K1U4xKWqRX29MBvEyRHXORjo734Gnq_c/edit?usp=sharing"",""เชียงราย!J588"")"),0)</f>
        <v>0</v>
      </c>
      <c r="BE15" s="261">
        <f ca="1">IFERROR(__xludf.DUMMYFUNCTION("IMPORTRANGE(""https://docs.google.com/spreadsheets/d/1ZNYWeiFoFA1K1U4xKWqRX29MBvEyRHXORjo734Gnq_c/edit?usp=sharing"",""เชียงราย!J589"")"),0)</f>
        <v>0</v>
      </c>
      <c r="BF15" s="186">
        <f ca="1">IFERROR(__xludf.DUMMYFUNCTION("IMPORTRANGE(""https://docs.google.com/spreadsheets/d/1ZNYWeiFoFA1K1U4xKWqRX29MBvEyRHXORjo734Gnq_c/edit?usp=sharing"",""เชียงราย!J590"")"),0)</f>
        <v>0</v>
      </c>
      <c r="BG15" s="261">
        <f ca="1">IFERROR(__xludf.DUMMYFUNCTION("IMPORTRANGE(""https://docs.google.com/spreadsheets/d/1ZNYWeiFoFA1K1U4xKWqRX29MBvEyRHXORjo734Gnq_c/edit?usp=sharing"",""เชียงราย!J591"")"),0)</f>
        <v>0</v>
      </c>
      <c r="BH15" s="181">
        <f ca="1">IFERROR(__xludf.DUMMYFUNCTION("IMPORTRANGE(""https://docs.google.com/spreadsheets/d/1ZNYWeiFoFA1K1U4xKWqRX29MBvEyRHXORjo734Gnq_c/edit?usp=sharing"",""เชียงราย!I593"")"),3953.38)</f>
        <v>3953.38</v>
      </c>
      <c r="BI15" s="181">
        <f ca="1">IFERROR(__xludf.DUMMYFUNCTION("IMPORTRANGE(""https://docs.google.com/spreadsheets/d/1ZNYWeiFoFA1K1U4xKWqRX29MBvEyRHXORjo734Gnq_c/edit?usp=sharing"",""เชียงราย!I594"")"),648)</f>
        <v>648</v>
      </c>
      <c r="BJ15" s="186">
        <f ca="1">IFERROR(__xludf.DUMMYFUNCTION("IMPORTRANGE(""https://docs.google.com/spreadsheets/d/1ZNYWeiFoFA1K1U4xKWqRX29MBvEyRHXORjo734Gnq_c/edit?usp=sharing"",""เชียงราย!J593"")"),1135)</f>
        <v>1135</v>
      </c>
      <c r="BK15" s="186">
        <f t="shared" ca="1" si="36"/>
        <v>28.709610510499875</v>
      </c>
      <c r="BL15" s="181">
        <f ca="1">IFERROR(__xludf.DUMMYFUNCTION("IMPORTRANGE(""https://docs.google.com/spreadsheets/d/1ZNYWeiFoFA1K1U4xKWqRX29MBvEyRHXORjo734Gnq_c/edit?usp=sharing"",""เชียงราย!J594"")"),193)</f>
        <v>193</v>
      </c>
      <c r="BM15" s="186">
        <f t="shared" ca="1" si="16"/>
        <v>29.783950617283949</v>
      </c>
      <c r="BN15" s="186">
        <f ca="1">IFERROR(__xludf.DUMMYFUNCTION("IMPORTRANGE(""https://docs.google.com/spreadsheets/d/1ZNYWeiFoFA1K1U4xKWqRX29MBvEyRHXORjo734Gnq_c/edit?usp=sharing"",""เชียงราย!J595"")"),1093)</f>
        <v>1093</v>
      </c>
      <c r="BO15" s="261">
        <f ca="1">IFERROR(__xludf.DUMMYFUNCTION("IMPORTRANGE(""https://docs.google.com/spreadsheets/d/1ZNYWeiFoFA1K1U4xKWqRX29MBvEyRHXORjo734Gnq_c/edit?usp=sharing"",""เชียงราย!J596"")"),186)</f>
        <v>186</v>
      </c>
      <c r="BP15" s="186">
        <f ca="1">IFERROR(__xludf.DUMMYFUNCTION("IMPORTRANGE(""https://docs.google.com/spreadsheets/d/1ZNYWeiFoFA1K1U4xKWqRX29MBvEyRHXORjo734Gnq_c/edit?usp=sharing"",""เชียงราย!J597"")"),1093)</f>
        <v>1093</v>
      </c>
      <c r="BQ15" s="261">
        <f ca="1">IFERROR(__xludf.DUMMYFUNCTION("IMPORTRANGE(""https://docs.google.com/spreadsheets/d/1ZNYWeiFoFA1K1U4xKWqRX29MBvEyRHXORjo734Gnq_c/edit?usp=sharing"",""เชียงราย!J598"")"),186)</f>
        <v>186</v>
      </c>
      <c r="BR15" s="186">
        <f ca="1">IFERROR(__xludf.DUMMYFUNCTION("IMPORTRANGE(""https://docs.google.com/spreadsheets/d/1ZNYWeiFoFA1K1U4xKWqRX29MBvEyRHXORjo734Gnq_c/edit?usp=sharing"",""เชียงราย!J599"")"),0)</f>
        <v>0</v>
      </c>
      <c r="BS15" s="261">
        <f ca="1">IFERROR(__xludf.DUMMYFUNCTION("IMPORTRANGE(""https://docs.google.com/spreadsheets/d/1ZNYWeiFoFA1K1U4xKWqRX29MBvEyRHXORjo734Gnq_c/edit?usp=sharing"",""เชียงราย!J600"")"),0)</f>
        <v>0</v>
      </c>
      <c r="BT15" s="262">
        <f ca="1">IFERROR(__xludf.DUMMYFUNCTION("IMPORTRANGE(""https://docs.google.com/spreadsheets/d/1ZNYWeiFoFA1K1U4xKWqRX29MBvEyRHXORjo734Gnq_c/edit?usp=sharing"",""เชียงราย!J601"")"),0)</f>
        <v>0</v>
      </c>
      <c r="BU15" s="261">
        <f ca="1">IFERROR(__xludf.DUMMYFUNCTION("IMPORTRANGE(""https://docs.google.com/spreadsheets/d/1ZNYWeiFoFA1K1U4xKWqRX29MBvEyRHXORjo734Gnq_c/edit?usp=sharing"",""เชียงราย!J602"")"),0)</f>
        <v>0</v>
      </c>
      <c r="BV15" s="186">
        <f ca="1">IFERROR(__xludf.DUMMYFUNCTION("IMPORTRANGE(""https://docs.google.com/spreadsheets/d/1ZNYWeiFoFA1K1U4xKWqRX29MBvEyRHXORjo734Gnq_c/edit?usp=sharing"",""เชียงราย!J603"")"),42)</f>
        <v>42</v>
      </c>
      <c r="BW15" s="261">
        <f ca="1">IFERROR(__xludf.DUMMYFUNCTION("IMPORTRANGE(""https://docs.google.com/spreadsheets/d/1ZNYWeiFoFA1K1U4xKWqRX29MBvEyRHXORjo734Gnq_c/edit?usp=sharing"",""เชียงราย!J604"")"),7)</f>
        <v>7</v>
      </c>
      <c r="BX15" s="186">
        <f ca="1">IFERROR(__xludf.DUMMYFUNCTION("IMPORTRANGE(""https://docs.google.com/spreadsheets/d/1ZNYWeiFoFA1K1U4xKWqRX29MBvEyRHXORjo734Gnq_c/edit?usp=sharing"",""เชียงราย!J605"")"),42)</f>
        <v>42</v>
      </c>
      <c r="BY15" s="261">
        <f ca="1">IFERROR(__xludf.DUMMYFUNCTION("IMPORTRANGE(""https://docs.google.com/spreadsheets/d/1ZNYWeiFoFA1K1U4xKWqRX29MBvEyRHXORjo734Gnq_c/edit?usp=sharing"",""เชียงราย!J606"")"),7)</f>
        <v>7</v>
      </c>
      <c r="BZ15" s="186">
        <f ca="1">IFERROR(__xludf.DUMMYFUNCTION("IMPORTRANGE(""https://docs.google.com/spreadsheets/d/1ZNYWeiFoFA1K1U4xKWqRX29MBvEyRHXORjo734Gnq_c/edit?usp=sharing"",""เชียงราย!J607"")"),0)</f>
        <v>0</v>
      </c>
      <c r="CA15" s="261">
        <f ca="1">IFERROR(__xludf.DUMMYFUNCTION("IMPORTRANGE(""https://docs.google.com/spreadsheets/d/1ZNYWeiFoFA1K1U4xKWqRX29MBvEyRHXORjo734Gnq_c/edit?usp=sharing"",""เชียงราย!J608"")"),0)</f>
        <v>0</v>
      </c>
      <c r="CB15" s="186">
        <f ca="1">IFERROR(__xludf.DUMMYFUNCTION("IMPORTRANGE(""https://docs.google.com/spreadsheets/d/1ZNYWeiFoFA1K1U4xKWqRX29MBvEyRHXORjo734Gnq_c/edit?usp=sharing"",""เชียงราย!J609"")"),0)</f>
        <v>0</v>
      </c>
      <c r="CC15" s="261">
        <f ca="1">IFERROR(__xludf.DUMMYFUNCTION("IMPORTRANGE(""https://docs.google.com/spreadsheets/d/1ZNYWeiFoFA1K1U4xKWqRX29MBvEyRHXORjo734Gnq_c/edit?usp=sharing"",""เชียงราย!J610"")"),0)</f>
        <v>0</v>
      </c>
      <c r="CD15" s="261">
        <f ca="1">IFERROR(__xludf.DUMMYFUNCTION("IMPORTRANGE(""https://docs.google.com/spreadsheets/d/1ZNYWeiFoFA1K1U4xKWqRX29MBvEyRHXORjo734Gnq_c/edit?usp=sharing"",""เชียงราย!I612"")"),0)</f>
        <v>0</v>
      </c>
      <c r="CE15" s="261">
        <f ca="1">IFERROR(__xludf.DUMMYFUNCTION("IMPORTRANGE(""https://docs.google.com/spreadsheets/d/1ZNYWeiFoFA1K1U4xKWqRX29MBvEyRHXORjo734Gnq_c/edit?usp=sharing"",""เชียงราย!I594"")"),648)</f>
        <v>648</v>
      </c>
      <c r="CF15" s="262">
        <f ca="1">IFERROR(__xludf.DUMMYFUNCTION("IMPORTRANGE(""https://docs.google.com/spreadsheets/d/1ZNYWeiFoFA1K1U4xKWqRX29MBvEyRHXORjo734Gnq_c/edit?usp=sharing"",""เชียงราย!J612"")"),0)</f>
        <v>0</v>
      </c>
      <c r="CG15" s="262">
        <f t="shared" ca="1" si="37"/>
        <v>0</v>
      </c>
      <c r="CH15" s="261">
        <f ca="1">IFERROR(__xludf.DUMMYFUNCTION("IMPORTRANGE(""https://docs.google.com/spreadsheets/d/1ZNYWeiFoFA1K1U4xKWqRX29MBvEyRHXORjo734Gnq_c/edit?usp=sharing"",""เชียงราย!J613"")"),0)</f>
        <v>0</v>
      </c>
      <c r="CI15" s="262">
        <f t="shared" ca="1" si="19"/>
        <v>0</v>
      </c>
      <c r="CJ15" s="186">
        <f ca="1">IFERROR(__xludf.DUMMYFUNCTION("IMPORTRANGE(""https://docs.google.com/spreadsheets/d/1ZNYWeiFoFA1K1U4xKWqRX29MBvEyRHXORjo734Gnq_c/edit?usp=sharing"",""เชียงราย!J614"")"),0)</f>
        <v>0</v>
      </c>
      <c r="CK15" s="261">
        <f ca="1">IFERROR(__xludf.DUMMYFUNCTION("IMPORTRANGE(""https://docs.google.com/spreadsheets/d/1ZNYWeiFoFA1K1U4xKWqRX29MBvEyRHXORjo734Gnq_c/edit?usp=sharing"",""เชียงราย!J615"")"),0)</f>
        <v>0</v>
      </c>
      <c r="CL15" s="186">
        <f ca="1">IFERROR(__xludf.DUMMYFUNCTION("IMPORTRANGE(""https://docs.google.com/spreadsheets/d/1ZNYWeiFoFA1K1U4xKWqRX29MBvEyRHXORjo734Gnq_c/edit?usp=sharing"",""เชียงราย!J616"")"),0)</f>
        <v>0</v>
      </c>
      <c r="CM15" s="261">
        <f ca="1">IFERROR(__xludf.DUMMYFUNCTION("IMPORTRANGE(""https://docs.google.com/spreadsheets/d/1ZNYWeiFoFA1K1U4xKWqRX29MBvEyRHXORjo734Gnq_c/edit?usp=sharing"",""เชียงราย!J617"")"),0)</f>
        <v>0</v>
      </c>
      <c r="CN15" s="261">
        <f ca="1">IFERROR(__xludf.DUMMYFUNCTION("IMPORTRANGE(""https://docs.google.com/spreadsheets/d/1ZNYWeiFoFA1K1U4xKWqRX29MBvEyRHXORjo734Gnq_c/edit?usp=sharing"",""เชียงราย!I620"")"),0)</f>
        <v>0</v>
      </c>
      <c r="CO15" s="261">
        <f ca="1">IFERROR(__xludf.DUMMYFUNCTION("IMPORTRANGE(""https://docs.google.com/spreadsheets/d/1ZNYWeiFoFA1K1U4xKWqRX29MBvEyRHXORjo734Gnq_c/edit?usp=sharing"",""เชียงราย!I621"")"),0)</f>
        <v>0</v>
      </c>
      <c r="CP15" s="262">
        <f ca="1">IFERROR(__xludf.DUMMYFUNCTION("IMPORTRANGE(""https://docs.google.com/spreadsheets/d/1ZNYWeiFoFA1K1U4xKWqRX29MBvEyRHXORjo734Gnq_c/edit?usp=sharing"",""เชียงราย!J620"")"),0)</f>
        <v>0</v>
      </c>
      <c r="CQ15" s="262">
        <f t="shared" ca="1" si="38"/>
        <v>0</v>
      </c>
      <c r="CR15" s="261">
        <f ca="1">IFERROR(__xludf.DUMMYFUNCTION("IMPORTRANGE(""https://docs.google.com/spreadsheets/d/1ZNYWeiFoFA1K1U4xKWqRX29MBvEyRHXORjo734Gnq_c/edit?usp=sharing"",""เชียงราย!J621"")"),0)</f>
        <v>0</v>
      </c>
      <c r="CS15" s="262">
        <f t="shared" ca="1" si="22"/>
        <v>0</v>
      </c>
      <c r="CT15" s="186">
        <f ca="1">IFERROR(__xludf.DUMMYFUNCTION("IMPORTRANGE(""https://docs.google.com/spreadsheets/d/1ZNYWeiFoFA1K1U4xKWqRX29MBvEyRHXORjo734Gnq_c/edit?usp=sharing"",""เชียงราย!J622"")"),0)</f>
        <v>0</v>
      </c>
      <c r="CU15" s="261">
        <f ca="1">IFERROR(__xludf.DUMMYFUNCTION("IMPORTRANGE(""https://docs.google.com/spreadsheets/d/1ZNYWeiFoFA1K1U4xKWqRX29MBvEyRHXORjo734Gnq_c/edit?usp=sharing"",""เชียงราย!J623"")"),0)</f>
        <v>0</v>
      </c>
      <c r="CV15" s="186">
        <f ca="1">IFERROR(__xludf.DUMMYFUNCTION("IMPORTRANGE(""https://docs.google.com/spreadsheets/d/1ZNYWeiFoFA1K1U4xKWqRX29MBvEyRHXORjo734Gnq_c/edit?usp=sharing"",""เชียงราย!J624"")"),0)</f>
        <v>0</v>
      </c>
      <c r="CW15" s="261">
        <f ca="1">IFERROR(__xludf.DUMMYFUNCTION("IMPORTRANGE(""https://docs.google.com/spreadsheets/d/1ZNYWeiFoFA1K1U4xKWqRX29MBvEyRHXORjo734Gnq_c/edit?usp=sharing"",""เชียงราย!J625"")"),0)</f>
        <v>0</v>
      </c>
      <c r="CX15" s="186">
        <f ca="1">IFERROR(__xludf.DUMMYFUNCTION("IMPORTRANGE(""https://docs.google.com/spreadsheets/d/1ZNYWeiFoFA1K1U4xKWqRX29MBvEyRHXORjo734Gnq_c/edit?usp=sharing"",""เชียงราย!J626"")"),0)</f>
        <v>0</v>
      </c>
      <c r="CY15" s="261">
        <f ca="1">IFERROR(__xludf.DUMMYFUNCTION("IMPORTRANGE(""https://docs.google.com/spreadsheets/d/1ZNYWeiFoFA1K1U4xKWqRX29MBvEyRHXORjo734Gnq_c/edit?usp=sharing"",""เชียงราย!J627"")"),0)</f>
        <v>0</v>
      </c>
    </row>
    <row r="16" spans="1:103" ht="24" customHeight="1" x14ac:dyDescent="0.3">
      <c r="A16" s="178">
        <v>3</v>
      </c>
      <c r="B16" s="179" t="s">
        <v>33</v>
      </c>
      <c r="C16" s="180">
        <f t="shared" ca="1" si="49"/>
        <v>695417</v>
      </c>
      <c r="D16" s="181">
        <f ca="1">IFERROR(__xludf.DUMMYFUNCTION("IMPORTRANGE(""https://docs.google.com/spreadsheets/d/1Jgv0Y7YlHDtsiDawwp-uvifEJ8HVaSn0k2aGHG8-hwM/edit?usp=sharing"",""เชียงใหม่!L549"")"),695417)</f>
        <v>695417</v>
      </c>
      <c r="E16" s="187">
        <f ca="1">IFERROR(__xludf.DUMMYFUNCTION("IMPORTRANGE(""https://docs.google.com/spreadsheets/d/1Jgv0Y7YlHDtsiDawwp-uvifEJ8HVaSn0k2aGHG8-hwM/edit?usp=sharing"",""เชียงใหม่!L557"")"),0)</f>
        <v>0</v>
      </c>
      <c r="F16" s="182">
        <f t="shared" ca="1" si="1"/>
        <v>118508.05</v>
      </c>
      <c r="G16" s="183">
        <f t="shared" ca="1" si="2"/>
        <v>17.041293209685698</v>
      </c>
      <c r="H16" s="184">
        <f t="shared" ca="1" si="50"/>
        <v>118508.05</v>
      </c>
      <c r="I16" s="187">
        <f ca="1">IFERROR(__xludf.DUMMYFUNCTION("IMPORTRANGE(""https://docs.google.com/spreadsheets/d/1Jgv0Y7YlHDtsiDawwp-uvifEJ8HVaSn0k2aGHG8-hwM/edit?usp=sharing"",""เชียงใหม่!N550"")"),0)</f>
        <v>0</v>
      </c>
      <c r="J16" s="187">
        <f ca="1">IFERROR(__xludf.DUMMYFUNCTION("IMPORTRANGE(""https://docs.google.com/spreadsheets/d/1Jgv0Y7YlHDtsiDawwp-uvifEJ8HVaSn0k2aGHG8-hwM/edit?usp=sharing"",""เชียงใหม่!N551"")"),0)</f>
        <v>0</v>
      </c>
      <c r="K16" s="187">
        <f ca="1">IFERROR(__xludf.DUMMYFUNCTION("IMPORTRANGE(""https://docs.google.com/spreadsheets/d/1Jgv0Y7YlHDtsiDawwp-uvifEJ8HVaSn0k2aGHG8-hwM/edit?usp=sharing"",""เชียงใหม่!N552"")"),48645.05)</f>
        <v>48645.05</v>
      </c>
      <c r="L16" s="187">
        <f ca="1">IFERROR(__xludf.DUMMYFUNCTION("IMPORTRANGE(""https://docs.google.com/spreadsheets/d/1Jgv0Y7YlHDtsiDawwp-uvifEJ8HVaSn0k2aGHG8-hwM/edit?usp=sharing"",""เชียงใหม่!N553"")"),69863)</f>
        <v>69863</v>
      </c>
      <c r="M16" s="187">
        <f ca="1">IFERROR(__xludf.DUMMYFUNCTION("IMPORTRANGE(""https://docs.google.com/spreadsheets/d/1Jgv0Y7YlHDtsiDawwp-uvifEJ8HVaSn0k2aGHG8-hwM/edit?usp=sharing"",""เชียงใหม่!N554"")"),0)</f>
        <v>0</v>
      </c>
      <c r="N16" s="185">
        <f ca="1">IFERROR(__xludf.DUMMYFUNCTION("IMPORTRANGE(""https://docs.google.com/spreadsheets/d/1Jgv0Y7YlHDtsiDawwp-uvifEJ8HVaSn0k2aGHG8-hwM/edit?usp=sharing"",""เชียงใหม่!N557"")"),0)</f>
        <v>0</v>
      </c>
      <c r="O16" s="185">
        <f t="shared" ca="1" si="41"/>
        <v>0</v>
      </c>
      <c r="P16" s="181">
        <f ca="1">IFERROR(__xludf.DUMMYFUNCTION("IMPORTRANGE(""https://docs.google.com/spreadsheets/d/1Jgv0Y7YlHDtsiDawwp-uvifEJ8HVaSn0k2aGHG8-hwM/edit?usp=sharing"",""เชียงใหม่!I560"")"),7071)</f>
        <v>7071</v>
      </c>
      <c r="Q16" s="181">
        <f ca="1">IFERROR(__xludf.DUMMYFUNCTION("IMPORTRANGE(""https://docs.google.com/spreadsheets/d/1Jgv0Y7YlHDtsiDawwp-uvifEJ8HVaSn0k2aGHG8-hwM/edit?usp=sharing"",""เชียงใหม่!I561"")"),1982)</f>
        <v>1982</v>
      </c>
      <c r="R16" s="186">
        <f ca="1">IFERROR(__xludf.DUMMYFUNCTION("IMPORTRANGE(""https://docs.google.com/spreadsheets/d/1Jgv0Y7YlHDtsiDawwp-uvifEJ8HVaSn0k2aGHG8-hwM/edit?usp=sharing"",""เชียงใหม่!J560"")"),7260.24)</f>
        <v>7260.24</v>
      </c>
      <c r="S16" s="186">
        <f t="shared" ca="1" si="33"/>
        <v>102.67628341111582</v>
      </c>
      <c r="T16" s="181">
        <f ca="1">IFERROR(__xludf.DUMMYFUNCTION("IMPORTRANGE(""https://docs.google.com/spreadsheets/d/1Jgv0Y7YlHDtsiDawwp-uvifEJ8HVaSn0k2aGHG8-hwM/edit?usp=sharing"",""เชียงใหม่!J561"")"),1982)</f>
        <v>1982</v>
      </c>
      <c r="U16" s="186">
        <f t="shared" ca="1" si="7"/>
        <v>100</v>
      </c>
      <c r="V16" s="186">
        <f ca="1">IFERROR(__xludf.DUMMYFUNCTION("IMPORTRANGE(""https://docs.google.com/spreadsheets/d/1Jgv0Y7YlHDtsiDawwp-uvifEJ8HVaSn0k2aGHG8-hwM/edit?usp=sharing"",""เชียงใหม่!J562"")"),5930.36)</f>
        <v>5930.36</v>
      </c>
      <c r="W16" s="261">
        <f ca="1">IFERROR(__xludf.DUMMYFUNCTION("IMPORTRANGE(""https://docs.google.com/spreadsheets/d/1Jgv0Y7YlHDtsiDawwp-uvifEJ8HVaSn0k2aGHG8-hwM/edit?usp=sharing"",""เชียงใหม่!J563"")"),1657)</f>
        <v>1657</v>
      </c>
      <c r="X16" s="186">
        <f ca="1">IFERROR(__xludf.DUMMYFUNCTION("IMPORTRANGE(""https://docs.google.com/spreadsheets/d/1Jgv0Y7YlHDtsiDawwp-uvifEJ8HVaSn0k2aGHG8-hwM/edit?usp=sharing"",""เชียงใหม่!J564"")"),930.34)</f>
        <v>930.34</v>
      </c>
      <c r="Y16" s="261">
        <f ca="1">IFERROR(__xludf.DUMMYFUNCTION("IMPORTRANGE(""https://docs.google.com/spreadsheets/d/1Jgv0Y7YlHDtsiDawwp-uvifEJ8HVaSn0k2aGHG8-hwM/edit?usp=sharing"",""เชียงใหม่!J565"")"),218)</f>
        <v>218</v>
      </c>
      <c r="Z16" s="186">
        <f ca="1">IFERROR(__xludf.DUMMYFUNCTION("IMPORTRANGE(""https://docs.google.com/spreadsheets/d/1Jgv0Y7YlHDtsiDawwp-uvifEJ8HVaSn0k2aGHG8-hwM/edit?usp=sharing"",""เชียงใหม่!J566"")"),399.54)</f>
        <v>399.54</v>
      </c>
      <c r="AA16" s="261">
        <f ca="1">IFERROR(__xludf.DUMMYFUNCTION("IMPORTRANGE(""https://docs.google.com/spreadsheets/d/1Jgv0Y7YlHDtsiDawwp-uvifEJ8HVaSn0k2aGHG8-hwM/edit?usp=sharing"",""เชียงใหม่!J567"")"),107)</f>
        <v>107</v>
      </c>
      <c r="AB16" s="181">
        <f ca="1">IFERROR(__xludf.DUMMYFUNCTION("IMPORTRANGE(""https://docs.google.com/spreadsheets/d/1Jgv0Y7YlHDtsiDawwp-uvifEJ8HVaSn0k2aGHG8-hwM/edit?usp=sharing"",""เชียงใหม่!I568"")"),7071)</f>
        <v>7071</v>
      </c>
      <c r="AC16" s="181">
        <f ca="1">IFERROR(__xludf.DUMMYFUNCTION("IMPORTRANGE(""https://docs.google.com/spreadsheets/d/1Jgv0Y7YlHDtsiDawwp-uvifEJ8HVaSn0k2aGHG8-hwM/edit?usp=sharing"",""เชียงใหม่!I569"")"),1982)</f>
        <v>1982</v>
      </c>
      <c r="AD16" s="186">
        <f ca="1">IFERROR(__xludf.DUMMYFUNCTION("IMPORTRANGE(""https://docs.google.com/spreadsheets/d/1Jgv0Y7YlHDtsiDawwp-uvifEJ8HVaSn0k2aGHG8-hwM/edit?usp=sharing"",""เชียงใหม่!J568"")"),159.01)</f>
        <v>159.01</v>
      </c>
      <c r="AE16" s="186">
        <f t="shared" ca="1" si="34"/>
        <v>2.2487625512657332</v>
      </c>
      <c r="AF16" s="181">
        <f ca="1">IFERROR(__xludf.DUMMYFUNCTION("IMPORTRANGE(""https://docs.google.com/spreadsheets/d/1Jgv0Y7YlHDtsiDawwp-uvifEJ8HVaSn0k2aGHG8-hwM/edit?usp=sharing"",""เชียงใหม่!J569"")"),51)</f>
        <v>51</v>
      </c>
      <c r="AG16" s="186">
        <f t="shared" ca="1" si="10"/>
        <v>2.5731584258324922</v>
      </c>
      <c r="AH16" s="186">
        <f ca="1">IFERROR(__xludf.DUMMYFUNCTION("IMPORTRANGE(""https://docs.google.com/spreadsheets/d/1Jgv0Y7YlHDtsiDawwp-uvifEJ8HVaSn0k2aGHG8-hwM/edit?usp=sharing"",""เชียงใหม่!J570"")"),153.02)</f>
        <v>153.02000000000001</v>
      </c>
      <c r="AI16" s="261">
        <f ca="1">IFERROR(__xludf.DUMMYFUNCTION("IMPORTRANGE(""https://docs.google.com/spreadsheets/d/1Jgv0Y7YlHDtsiDawwp-uvifEJ8HVaSn0k2aGHG8-hwM/edit?usp=sharing"",""เชียงใหม่!J571"")"),48)</f>
        <v>48</v>
      </c>
      <c r="AJ16" s="186">
        <f ca="1">IFERROR(__xludf.DUMMYFUNCTION("IMPORTRANGE(""https://docs.google.com/spreadsheets/d/1Jgv0Y7YlHDtsiDawwp-uvifEJ8HVaSn0k2aGHG8-hwM/edit?usp=sharing"",""เชียงใหม่!J572"")"),0)</f>
        <v>0</v>
      </c>
      <c r="AK16" s="261">
        <f ca="1">IFERROR(__xludf.DUMMYFUNCTION("IMPORTRANGE(""https://docs.google.com/spreadsheets/d/1Jgv0Y7YlHDtsiDawwp-uvifEJ8HVaSn0k2aGHG8-hwM/edit?usp=sharing"",""เชียงใหม่!J573"")"),0)</f>
        <v>0</v>
      </c>
      <c r="AL16" s="186">
        <f ca="1">IFERROR(__xludf.DUMMYFUNCTION("IMPORTRANGE(""https://docs.google.com/spreadsheets/d/1Jgv0Y7YlHDtsiDawwp-uvifEJ8HVaSn0k2aGHG8-hwM/edit?usp=sharing"",""เชียงใหม่!J574"")"),5.99)</f>
        <v>5.99</v>
      </c>
      <c r="AM16" s="261">
        <f ca="1">IFERROR(__xludf.DUMMYFUNCTION("IMPORTRANGE(""https://docs.google.com/spreadsheets/d/1Jgv0Y7YlHDtsiDawwp-uvifEJ8HVaSn0k2aGHG8-hwM/edit?usp=sharing"",""เชียงใหม่!J575"")"),3)</f>
        <v>3</v>
      </c>
      <c r="AN16" s="181">
        <f ca="1">IFERROR(__xludf.DUMMYFUNCTION("IMPORTRANGE(""https://docs.google.com/spreadsheets/d/1Jgv0Y7YlHDtsiDawwp-uvifEJ8HVaSn0k2aGHG8-hwM/edit?usp=sharing"",""เชียงใหม่!I576"")"),7071)</f>
        <v>7071</v>
      </c>
      <c r="AO16" s="181">
        <f ca="1">IFERROR(__xludf.DUMMYFUNCTION("IMPORTRANGE(""https://docs.google.com/spreadsheets/d/1Jgv0Y7YlHDtsiDawwp-uvifEJ8HVaSn0k2aGHG8-hwM/edit?usp=sharing"",""เชียงใหม่!I577"")"),1982)</f>
        <v>1982</v>
      </c>
      <c r="AP16" s="186">
        <f ca="1">IFERROR(__xludf.DUMMYFUNCTION("IMPORTRANGE(""https://docs.google.com/spreadsheets/d/1Jgv0Y7YlHDtsiDawwp-uvifEJ8HVaSn0k2aGHG8-hwM/edit?usp=sharing"",""เชียงใหม่!J576"")"),0)</f>
        <v>0</v>
      </c>
      <c r="AQ16" s="186">
        <f t="shared" ca="1" si="35"/>
        <v>0</v>
      </c>
      <c r="AR16" s="181">
        <f ca="1">IFERROR(__xludf.DUMMYFUNCTION("IMPORTRANGE(""https://docs.google.com/spreadsheets/d/1Jgv0Y7YlHDtsiDawwp-uvifEJ8HVaSn0k2aGHG8-hwM/edit?usp=sharing"",""เชียงใหม่!J577"")"),0)</f>
        <v>0</v>
      </c>
      <c r="AS16" s="186">
        <f t="shared" ca="1" si="13"/>
        <v>0</v>
      </c>
      <c r="AT16" s="186">
        <f ca="1">IFERROR(__xludf.DUMMYFUNCTION("IMPORTRANGE(""https://docs.google.com/spreadsheets/d/1Jgv0Y7YlHDtsiDawwp-uvifEJ8HVaSn0k2aGHG8-hwM/edit?usp=sharing"",""เชียงใหม่!J578"")"),0)</f>
        <v>0</v>
      </c>
      <c r="AU16" s="261">
        <f ca="1">IFERROR(__xludf.DUMMYFUNCTION("IMPORTRANGE(""https://docs.google.com/spreadsheets/d/1Jgv0Y7YlHDtsiDawwp-uvifEJ8HVaSn0k2aGHG8-hwM/edit?usp=sharing"",""เชียงใหม่!J579"")"),0)</f>
        <v>0</v>
      </c>
      <c r="AV16" s="186">
        <f ca="1">IFERROR(__xludf.DUMMYFUNCTION("IMPORTRANGE(""https://docs.google.com/spreadsheets/d/1Jgv0Y7YlHDtsiDawwp-uvifEJ8HVaSn0k2aGHG8-hwM/edit?usp=sharing"",""เชียงใหม่!J580"")"),0)</f>
        <v>0</v>
      </c>
      <c r="AW16" s="261">
        <f ca="1">IFERROR(__xludf.DUMMYFUNCTION("IMPORTRANGE(""https://docs.google.com/spreadsheets/d/1Jgv0Y7YlHDtsiDawwp-uvifEJ8HVaSn0k2aGHG8-hwM/edit?usp=sharing"",""เชียงใหม่!J581"")"),0)</f>
        <v>0</v>
      </c>
      <c r="AX16" s="186">
        <f ca="1">IFERROR(__xludf.DUMMYFUNCTION("IMPORTRANGE(""https://docs.google.com/spreadsheets/d/1Jgv0Y7YlHDtsiDawwp-uvifEJ8HVaSn0k2aGHG8-hwM/edit?usp=sharing"",""เชียงใหม่!J582"")"),0)</f>
        <v>0</v>
      </c>
      <c r="AY16" s="261">
        <f ca="1">IFERROR(__xludf.DUMMYFUNCTION("IMPORTRANGE(""https://docs.google.com/spreadsheets/d/1Jgv0Y7YlHDtsiDawwp-uvifEJ8HVaSn0k2aGHG8-hwM/edit?usp=sharing"",""เชียงใหม่!J583"")"),0)</f>
        <v>0</v>
      </c>
      <c r="AZ16" s="262">
        <f ca="1">IFERROR(__xludf.DUMMYFUNCTION("IMPORTRANGE(""https://docs.google.com/spreadsheets/d/1Jgv0Y7YlHDtsiDawwp-uvifEJ8HVaSn0k2aGHG8-hwM/edit?usp=sharing"",""เชียงใหม่!J584"")"),0)</f>
        <v>0</v>
      </c>
      <c r="BA16" s="261">
        <f ca="1">IFERROR(__xludf.DUMMYFUNCTION("IMPORTRANGE(""https://docs.google.com/spreadsheets/d/1Jgv0Y7YlHDtsiDawwp-uvifEJ8HVaSn0k2aGHG8-hwM/edit?usp=sharing"",""เชียงใหม่!J585"")"),0)</f>
        <v>0</v>
      </c>
      <c r="BB16" s="262">
        <f ca="1">IFERROR(__xludf.DUMMYFUNCTION("IMPORTRANGE(""https://docs.google.com/spreadsheets/d/1Jgv0Y7YlHDtsiDawwp-uvifEJ8HVaSn0k2aGHG8-hwM/edit?usp=sharing"",""เชียงใหม่!J586"")"),0)</f>
        <v>0</v>
      </c>
      <c r="BC16" s="261">
        <f ca="1">IFERROR(__xludf.DUMMYFUNCTION("IMPORTRANGE(""https://docs.google.com/spreadsheets/d/1Jgv0Y7YlHDtsiDawwp-uvifEJ8HVaSn0k2aGHG8-hwM/edit?usp=sharing"",""เชียงใหม่!J587"")"),0)</f>
        <v>0</v>
      </c>
      <c r="BD16" s="186">
        <f ca="1">IFERROR(__xludf.DUMMYFUNCTION("IMPORTRANGE(""https://docs.google.com/spreadsheets/d/1Jgv0Y7YlHDtsiDawwp-uvifEJ8HVaSn0k2aGHG8-hwM/edit?usp=sharing"",""เชียงใหม่!J588"")"),0)</f>
        <v>0</v>
      </c>
      <c r="BE16" s="261">
        <f ca="1">IFERROR(__xludf.DUMMYFUNCTION("IMPORTRANGE(""https://docs.google.com/spreadsheets/d/1Jgv0Y7YlHDtsiDawwp-uvifEJ8HVaSn0k2aGHG8-hwM/edit?usp=sharing"",""เชียงใหม่!J589"")"),0)</f>
        <v>0</v>
      </c>
      <c r="BF16" s="186">
        <f ca="1">IFERROR(__xludf.DUMMYFUNCTION("IMPORTRANGE(""https://docs.google.com/spreadsheets/d/1Jgv0Y7YlHDtsiDawwp-uvifEJ8HVaSn0k2aGHG8-hwM/edit?usp=sharing"",""เชียงใหม่!J590"")"),0)</f>
        <v>0</v>
      </c>
      <c r="BG16" s="261">
        <f ca="1">IFERROR(__xludf.DUMMYFUNCTION("IMPORTRANGE(""https://docs.google.com/spreadsheets/d/1Jgv0Y7YlHDtsiDawwp-uvifEJ8HVaSn0k2aGHG8-hwM/edit?usp=sharing"",""เชียงใหม่!J591"")"),0)</f>
        <v>0</v>
      </c>
      <c r="BH16" s="181">
        <f ca="1">IFERROR(__xludf.DUMMYFUNCTION("IMPORTRANGE(""https://docs.google.com/spreadsheets/d/1Jgv0Y7YlHDtsiDawwp-uvifEJ8HVaSn0k2aGHG8-hwM/edit?usp=sharing"",""เชียงใหม่!I593"")"),6733.58)</f>
        <v>6733.58</v>
      </c>
      <c r="BI16" s="181">
        <f ca="1">IFERROR(__xludf.DUMMYFUNCTION("IMPORTRANGE(""https://docs.google.com/spreadsheets/d/1Jgv0Y7YlHDtsiDawwp-uvifEJ8HVaSn0k2aGHG8-hwM/edit?usp=sharing"",""เชียงใหม่!I594"")"),1350)</f>
        <v>1350</v>
      </c>
      <c r="BJ16" s="186">
        <f ca="1">IFERROR(__xludf.DUMMYFUNCTION("IMPORTRANGE(""https://docs.google.com/spreadsheets/d/1Jgv0Y7YlHDtsiDawwp-uvifEJ8HVaSn0k2aGHG8-hwM/edit?usp=sharing"",""เชียงใหม่!J593"")"),0)</f>
        <v>0</v>
      </c>
      <c r="BK16" s="186">
        <f t="shared" ca="1" si="36"/>
        <v>0</v>
      </c>
      <c r="BL16" s="181">
        <f ca="1">IFERROR(__xludf.DUMMYFUNCTION("IMPORTRANGE(""https://docs.google.com/spreadsheets/d/1Jgv0Y7YlHDtsiDawwp-uvifEJ8HVaSn0k2aGHG8-hwM/edit?usp=sharing"",""เชียงใหม่!J594"")"),0)</f>
        <v>0</v>
      </c>
      <c r="BM16" s="186">
        <f t="shared" ca="1" si="16"/>
        <v>0</v>
      </c>
      <c r="BN16" s="186">
        <f ca="1">IFERROR(__xludf.DUMMYFUNCTION("IMPORTRANGE(""https://docs.google.com/spreadsheets/d/1Jgv0Y7YlHDtsiDawwp-uvifEJ8HVaSn0k2aGHG8-hwM/edit?usp=sharing"",""เชียงใหม่!J595"")"),0)</f>
        <v>0</v>
      </c>
      <c r="BO16" s="261">
        <f ca="1">IFERROR(__xludf.DUMMYFUNCTION("IMPORTRANGE(""https://docs.google.com/spreadsheets/d/1Jgv0Y7YlHDtsiDawwp-uvifEJ8HVaSn0k2aGHG8-hwM/edit?usp=sharing"",""เชียงใหม่!J596"")"),0)</f>
        <v>0</v>
      </c>
      <c r="BP16" s="186">
        <f ca="1">IFERROR(__xludf.DUMMYFUNCTION("IMPORTRANGE(""https://docs.google.com/spreadsheets/d/1Jgv0Y7YlHDtsiDawwp-uvifEJ8HVaSn0k2aGHG8-hwM/edit?usp=sharing"",""เชียงใหม่!J597"")"),0)</f>
        <v>0</v>
      </c>
      <c r="BQ16" s="261">
        <f ca="1">IFERROR(__xludf.DUMMYFUNCTION("IMPORTRANGE(""https://docs.google.com/spreadsheets/d/1Jgv0Y7YlHDtsiDawwp-uvifEJ8HVaSn0k2aGHG8-hwM/edit?usp=sharing"",""เชียงใหม่!J598"")"),0)</f>
        <v>0</v>
      </c>
      <c r="BR16" s="186">
        <f ca="1">IFERROR(__xludf.DUMMYFUNCTION("IMPORTRANGE(""https://docs.google.com/spreadsheets/d/1Jgv0Y7YlHDtsiDawwp-uvifEJ8HVaSn0k2aGHG8-hwM/edit?usp=sharing"",""เชียงใหม่!J599"")"),0)</f>
        <v>0</v>
      </c>
      <c r="BS16" s="261">
        <f ca="1">IFERROR(__xludf.DUMMYFUNCTION("IMPORTRANGE(""https://docs.google.com/spreadsheets/d/1Jgv0Y7YlHDtsiDawwp-uvifEJ8HVaSn0k2aGHG8-hwM/edit?usp=sharing"",""เชียงใหม่!J600"")"),0)</f>
        <v>0</v>
      </c>
      <c r="BT16" s="262">
        <f ca="1">IFERROR(__xludf.DUMMYFUNCTION("IMPORTRANGE(""https://docs.google.com/spreadsheets/d/1Jgv0Y7YlHDtsiDawwp-uvifEJ8HVaSn0k2aGHG8-hwM/edit?usp=sharing"",""เชียงใหม่!J601"")"),0)</f>
        <v>0</v>
      </c>
      <c r="BU16" s="261">
        <f ca="1">IFERROR(__xludf.DUMMYFUNCTION("IMPORTRANGE(""https://docs.google.com/spreadsheets/d/1Jgv0Y7YlHDtsiDawwp-uvifEJ8HVaSn0k2aGHG8-hwM/edit?usp=sharing"",""เชียงใหม่!J602"")"),0)</f>
        <v>0</v>
      </c>
      <c r="BV16" s="186">
        <f ca="1">IFERROR(__xludf.DUMMYFUNCTION("IMPORTRANGE(""https://docs.google.com/spreadsheets/d/1Jgv0Y7YlHDtsiDawwp-uvifEJ8HVaSn0k2aGHG8-hwM/edit?usp=sharing"",""เชียงใหม่!J603"")"),0)</f>
        <v>0</v>
      </c>
      <c r="BW16" s="261">
        <f ca="1">IFERROR(__xludf.DUMMYFUNCTION("IMPORTRANGE(""https://docs.google.com/spreadsheets/d/1Jgv0Y7YlHDtsiDawwp-uvifEJ8HVaSn0k2aGHG8-hwM/edit?usp=sharing"",""เชียงใหม่!J604"")"),0)</f>
        <v>0</v>
      </c>
      <c r="BX16" s="186">
        <f ca="1">IFERROR(__xludf.DUMMYFUNCTION("IMPORTRANGE(""https://docs.google.com/spreadsheets/d/1Jgv0Y7YlHDtsiDawwp-uvifEJ8HVaSn0k2aGHG8-hwM/edit?usp=sharing"",""เชียงใหม่!J605"")"),0)</f>
        <v>0</v>
      </c>
      <c r="BY16" s="261">
        <f ca="1">IFERROR(__xludf.DUMMYFUNCTION("IMPORTRANGE(""https://docs.google.com/spreadsheets/d/1Jgv0Y7YlHDtsiDawwp-uvifEJ8HVaSn0k2aGHG8-hwM/edit?usp=sharing"",""เชียงใหม่!J606"")"),0)</f>
        <v>0</v>
      </c>
      <c r="BZ16" s="186">
        <f ca="1">IFERROR(__xludf.DUMMYFUNCTION("IMPORTRANGE(""https://docs.google.com/spreadsheets/d/1Jgv0Y7YlHDtsiDawwp-uvifEJ8HVaSn0k2aGHG8-hwM/edit?usp=sharing"",""เชียงใหม่!J607"")"),0)</f>
        <v>0</v>
      </c>
      <c r="CA16" s="261">
        <f ca="1">IFERROR(__xludf.DUMMYFUNCTION("IMPORTRANGE(""https://docs.google.com/spreadsheets/d/1Jgv0Y7YlHDtsiDawwp-uvifEJ8HVaSn0k2aGHG8-hwM/edit?usp=sharing"",""เชียงใหม่!J608"")"),0)</f>
        <v>0</v>
      </c>
      <c r="CB16" s="186">
        <f ca="1">IFERROR(__xludf.DUMMYFUNCTION("IMPORTRANGE(""https://docs.google.com/spreadsheets/d/1Jgv0Y7YlHDtsiDawwp-uvifEJ8HVaSn0k2aGHG8-hwM/edit?usp=sharing"",""เชียงใหม่!J609"")"),0)</f>
        <v>0</v>
      </c>
      <c r="CC16" s="261">
        <f ca="1">IFERROR(__xludf.DUMMYFUNCTION("IMPORTRANGE(""https://docs.google.com/spreadsheets/d/1Jgv0Y7YlHDtsiDawwp-uvifEJ8HVaSn0k2aGHG8-hwM/edit?usp=sharing"",""เชียงใหม่!J610"")"),0)</f>
        <v>0</v>
      </c>
      <c r="CD16" s="261">
        <f ca="1">IFERROR(__xludf.DUMMYFUNCTION("IMPORTRANGE(""https://docs.google.com/spreadsheets/d/1Jgv0Y7YlHDtsiDawwp-uvifEJ8HVaSn0k2aGHG8-hwM/edit?usp=sharing"",""เชียงใหม่!I612"")"),0)</f>
        <v>0</v>
      </c>
      <c r="CE16" s="261">
        <f ca="1">IFERROR(__xludf.DUMMYFUNCTION("IMPORTRANGE(""https://docs.google.com/spreadsheets/d/1Jgv0Y7YlHDtsiDawwp-uvifEJ8HVaSn0k2aGHG8-hwM/edit?usp=sharing"",""เชียงใหม่!I594"")"),1350)</f>
        <v>1350</v>
      </c>
      <c r="CF16" s="262">
        <f ca="1">IFERROR(__xludf.DUMMYFUNCTION("IMPORTRANGE(""https://docs.google.com/spreadsheets/d/1Jgv0Y7YlHDtsiDawwp-uvifEJ8HVaSn0k2aGHG8-hwM/edit?usp=sharing"",""เชียงใหม่!J612"")"),0)</f>
        <v>0</v>
      </c>
      <c r="CG16" s="262">
        <f t="shared" ca="1" si="37"/>
        <v>0</v>
      </c>
      <c r="CH16" s="261">
        <f ca="1">IFERROR(__xludf.DUMMYFUNCTION("IMPORTRANGE(""https://docs.google.com/spreadsheets/d/1Jgv0Y7YlHDtsiDawwp-uvifEJ8HVaSn0k2aGHG8-hwM/edit?usp=sharing"",""เชียงใหม่!J613"")"),0)</f>
        <v>0</v>
      </c>
      <c r="CI16" s="262">
        <f t="shared" ca="1" si="19"/>
        <v>0</v>
      </c>
      <c r="CJ16" s="186">
        <f ca="1">IFERROR(__xludf.DUMMYFUNCTION("IMPORTRANGE(""https://docs.google.com/spreadsheets/d/1Jgv0Y7YlHDtsiDawwp-uvifEJ8HVaSn0k2aGHG8-hwM/edit?usp=sharing"",""เชียงใหม่!J614"")"),0)</f>
        <v>0</v>
      </c>
      <c r="CK16" s="261">
        <f ca="1">IFERROR(__xludf.DUMMYFUNCTION("IMPORTRANGE(""https://docs.google.com/spreadsheets/d/1Jgv0Y7YlHDtsiDawwp-uvifEJ8HVaSn0k2aGHG8-hwM/edit?usp=sharing"",""เชียงใหม่!J615"")"),0)</f>
        <v>0</v>
      </c>
      <c r="CL16" s="186">
        <f ca="1">IFERROR(__xludf.DUMMYFUNCTION("IMPORTRANGE(""https://docs.google.com/spreadsheets/d/1Jgv0Y7YlHDtsiDawwp-uvifEJ8HVaSn0k2aGHG8-hwM/edit?usp=sharing"",""เชียงใหม่!J616"")"),0)</f>
        <v>0</v>
      </c>
      <c r="CM16" s="261">
        <f ca="1">IFERROR(__xludf.DUMMYFUNCTION("IMPORTRANGE(""https://docs.google.com/spreadsheets/d/1Jgv0Y7YlHDtsiDawwp-uvifEJ8HVaSn0k2aGHG8-hwM/edit?usp=sharing"",""เชียงใหม่!J617"")"),0)</f>
        <v>0</v>
      </c>
      <c r="CN16" s="261">
        <f ca="1">IFERROR(__xludf.DUMMYFUNCTION("IMPORTRANGE(""https://docs.google.com/spreadsheets/d/1Jgv0Y7YlHDtsiDawwp-uvifEJ8HVaSn0k2aGHG8-hwM/edit?usp=sharing"",""เชียงใหม่!I620"")"),13)</f>
        <v>13</v>
      </c>
      <c r="CO16" s="261">
        <f ca="1">IFERROR(__xludf.DUMMYFUNCTION("IMPORTRANGE(""https://docs.google.com/spreadsheets/d/1Jgv0Y7YlHDtsiDawwp-uvifEJ8HVaSn0k2aGHG8-hwM/edit?usp=sharing"",""เชียงใหม่!I621"")"),2)</f>
        <v>2</v>
      </c>
      <c r="CP16" s="262">
        <f ca="1">IFERROR(__xludf.DUMMYFUNCTION("IMPORTRANGE(""https://docs.google.com/spreadsheets/d/1Jgv0Y7YlHDtsiDawwp-uvifEJ8HVaSn0k2aGHG8-hwM/edit?usp=sharing"",""เชียงใหม่!J620"")"),0)</f>
        <v>0</v>
      </c>
      <c r="CQ16" s="262">
        <f t="shared" ca="1" si="38"/>
        <v>0</v>
      </c>
      <c r="CR16" s="261">
        <f ca="1">IFERROR(__xludf.DUMMYFUNCTION("IMPORTRANGE(""https://docs.google.com/spreadsheets/d/1Jgv0Y7YlHDtsiDawwp-uvifEJ8HVaSn0k2aGHG8-hwM/edit?usp=sharing"",""เชียงใหม่!J621"")"),0)</f>
        <v>0</v>
      </c>
      <c r="CS16" s="262">
        <f t="shared" ca="1" si="22"/>
        <v>0</v>
      </c>
      <c r="CT16" s="186">
        <f ca="1">IFERROR(__xludf.DUMMYFUNCTION("IMPORTRANGE(""https://docs.google.com/spreadsheets/d/1Jgv0Y7YlHDtsiDawwp-uvifEJ8HVaSn0k2aGHG8-hwM/edit?usp=sharing"",""เชียงใหม่!J622"")"),0)</f>
        <v>0</v>
      </c>
      <c r="CU16" s="261">
        <f ca="1">IFERROR(__xludf.DUMMYFUNCTION("IMPORTRANGE(""https://docs.google.com/spreadsheets/d/1Jgv0Y7YlHDtsiDawwp-uvifEJ8HVaSn0k2aGHG8-hwM/edit?usp=sharing"",""เชียงใหม่!J623"")"),0)</f>
        <v>0</v>
      </c>
      <c r="CV16" s="186">
        <f ca="1">IFERROR(__xludf.DUMMYFUNCTION("IMPORTRANGE(""https://docs.google.com/spreadsheets/d/1Jgv0Y7YlHDtsiDawwp-uvifEJ8HVaSn0k2aGHG8-hwM/edit?usp=sharing"",""เชียงใหม่!J624"")"),0)</f>
        <v>0</v>
      </c>
      <c r="CW16" s="261">
        <f ca="1">IFERROR(__xludf.DUMMYFUNCTION("IMPORTRANGE(""https://docs.google.com/spreadsheets/d/1Jgv0Y7YlHDtsiDawwp-uvifEJ8HVaSn0k2aGHG8-hwM/edit?usp=sharing"",""เชียงใหม่!J625"")"),0)</f>
        <v>0</v>
      </c>
      <c r="CX16" s="186">
        <f ca="1">IFERROR(__xludf.DUMMYFUNCTION("IMPORTRANGE(""https://docs.google.com/spreadsheets/d/1Jgv0Y7YlHDtsiDawwp-uvifEJ8HVaSn0k2aGHG8-hwM/edit?usp=sharing"",""เชียงใหม่!J626"")"),0)</f>
        <v>0</v>
      </c>
      <c r="CY16" s="261">
        <f ca="1">IFERROR(__xludf.DUMMYFUNCTION("IMPORTRANGE(""https://docs.google.com/spreadsheets/d/1Jgv0Y7YlHDtsiDawwp-uvifEJ8HVaSn0k2aGHG8-hwM/edit?usp=sharing"",""เชียงใหม่!J627"")"),0)</f>
        <v>0</v>
      </c>
    </row>
    <row r="17" spans="1:103" ht="24" customHeight="1" x14ac:dyDescent="0.3">
      <c r="A17" s="178">
        <v>4</v>
      </c>
      <c r="B17" s="179" t="s">
        <v>34</v>
      </c>
      <c r="C17" s="180">
        <f t="shared" ca="1" si="49"/>
        <v>373285</v>
      </c>
      <c r="D17" s="181">
        <f ca="1">IFERROR(__xludf.DUMMYFUNCTION("IMPORTRANGE(""https://docs.google.com/spreadsheets/d/1JWG2rZePOz9pe-f-ObA-yDr0VoOX2kSb0qIix2mTUo8/edit?usp=sharing"",""ตาก!L549"")"),373285)</f>
        <v>373285</v>
      </c>
      <c r="E17" s="187">
        <f ca="1">IFERROR(__xludf.DUMMYFUNCTION("IMPORTRANGE(""https://docs.google.com/spreadsheets/d/1JWG2rZePOz9pe-f-ObA-yDr0VoOX2kSb0qIix2mTUo8/edit?usp=sharing"",""ตาก!L557"")"),0)</f>
        <v>0</v>
      </c>
      <c r="F17" s="182">
        <f t="shared" ca="1" si="1"/>
        <v>171965.2</v>
      </c>
      <c r="G17" s="183">
        <f t="shared" ca="1" si="2"/>
        <v>46.068071312803887</v>
      </c>
      <c r="H17" s="184">
        <f t="shared" ca="1" si="50"/>
        <v>171965.2</v>
      </c>
      <c r="I17" s="187">
        <f ca="1">IFERROR(__xludf.DUMMYFUNCTION("IMPORTRANGE(""https://docs.google.com/spreadsheets/d/1JWG2rZePOz9pe-f-ObA-yDr0VoOX2kSb0qIix2mTUo8/edit?usp=sharing"",""ตาก!N550"")"),0)</f>
        <v>0</v>
      </c>
      <c r="J17" s="187">
        <f ca="1">IFERROR(__xludf.DUMMYFUNCTION("IMPORTRANGE(""https://docs.google.com/spreadsheets/d/1JWG2rZePOz9pe-f-ObA-yDr0VoOX2kSb0qIix2mTUo8/edit?usp=sharing"",""ตาก!N551"")"),0)</f>
        <v>0</v>
      </c>
      <c r="K17" s="187">
        <f ca="1">IFERROR(__xludf.DUMMYFUNCTION("IMPORTRANGE(""https://docs.google.com/spreadsheets/d/1JWG2rZePOz9pe-f-ObA-yDr0VoOX2kSb0qIix2mTUo8/edit?usp=sharing"",""ตาก!N552"")"),39000)</f>
        <v>39000</v>
      </c>
      <c r="L17" s="187">
        <f ca="1">IFERROR(__xludf.DUMMYFUNCTION("IMPORTRANGE(""https://docs.google.com/spreadsheets/d/1JWG2rZePOz9pe-f-ObA-yDr0VoOX2kSb0qIix2mTUo8/edit?usp=sharing"",""ตาก!N553"")"),132965.2)</f>
        <v>132965.20000000001</v>
      </c>
      <c r="M17" s="187">
        <f ca="1">IFERROR(__xludf.DUMMYFUNCTION("IMPORTRANGE(""https://docs.google.com/spreadsheets/d/1JWG2rZePOz9pe-f-ObA-yDr0VoOX2kSb0qIix2mTUo8/edit?usp=sharing"",""ตาก!N554"")"),0)</f>
        <v>0</v>
      </c>
      <c r="N17" s="185">
        <f ca="1">IFERROR(__xludf.DUMMYFUNCTION("IMPORTRANGE(""https://docs.google.com/spreadsheets/d/1JWG2rZePOz9pe-f-ObA-yDr0VoOX2kSb0qIix2mTUo8/edit?usp=sharing"",""ตาก!N557"")"),0)</f>
        <v>0</v>
      </c>
      <c r="O17" s="185">
        <f t="shared" ca="1" si="41"/>
        <v>0</v>
      </c>
      <c r="P17" s="181">
        <f ca="1">IFERROR(__xludf.DUMMYFUNCTION("IMPORTRANGE(""https://docs.google.com/spreadsheets/d/1JWG2rZePOz9pe-f-ObA-yDr0VoOX2kSb0qIix2mTUo8/edit?usp=sharing"",""ตาก!I560"")"),43092)</f>
        <v>43092</v>
      </c>
      <c r="Q17" s="181">
        <f ca="1">IFERROR(__xludf.DUMMYFUNCTION("IMPORTRANGE(""https://docs.google.com/spreadsheets/d/1JWG2rZePOz9pe-f-ObA-yDr0VoOX2kSb0qIix2mTUo8/edit?usp=sharing"",""ตาก!I561"")"),5108)</f>
        <v>5108</v>
      </c>
      <c r="R17" s="186">
        <f ca="1">IFERROR(__xludf.DUMMYFUNCTION("IMPORTRANGE(""https://docs.google.com/spreadsheets/d/1JWG2rZePOz9pe-f-ObA-yDr0VoOX2kSb0qIix2mTUo8/edit?usp=sharing"",""ตาก!J560"")"),43092.34)</f>
        <v>43092.34</v>
      </c>
      <c r="S17" s="186">
        <f t="shared" ca="1" si="33"/>
        <v>100.00078900956093</v>
      </c>
      <c r="T17" s="181">
        <f ca="1">IFERROR(__xludf.DUMMYFUNCTION("IMPORTRANGE(""https://docs.google.com/spreadsheets/d/1JWG2rZePOz9pe-f-ObA-yDr0VoOX2kSb0qIix2mTUo8/edit?usp=sharing"",""ตาก!J561"")"),5108)</f>
        <v>5108</v>
      </c>
      <c r="U17" s="186">
        <f t="shared" ca="1" si="7"/>
        <v>100</v>
      </c>
      <c r="V17" s="186">
        <f ca="1">IFERROR(__xludf.DUMMYFUNCTION("IMPORTRANGE(""https://docs.google.com/spreadsheets/d/1JWG2rZePOz9pe-f-ObA-yDr0VoOX2kSb0qIix2mTUo8/edit?usp=sharing"",""ตาก!J562"")"),39166)</f>
        <v>39166</v>
      </c>
      <c r="W17" s="261">
        <f ca="1">IFERROR(__xludf.DUMMYFUNCTION("IMPORTRANGE(""https://docs.google.com/spreadsheets/d/1JWG2rZePOz9pe-f-ObA-yDr0VoOX2kSb0qIix2mTUo8/edit?usp=sharing"",""ตาก!J563"")"),4759)</f>
        <v>4759</v>
      </c>
      <c r="X17" s="186">
        <f ca="1">IFERROR(__xludf.DUMMYFUNCTION("IMPORTRANGE(""https://docs.google.com/spreadsheets/d/1JWG2rZePOz9pe-f-ObA-yDr0VoOX2kSb0qIix2mTUo8/edit?usp=sharing"",""ตาก!J564"")"),2992)</f>
        <v>2992</v>
      </c>
      <c r="Y17" s="261">
        <f ca="1">IFERROR(__xludf.DUMMYFUNCTION("IMPORTRANGE(""https://docs.google.com/spreadsheets/d/1JWG2rZePOz9pe-f-ObA-yDr0VoOX2kSb0qIix2mTUo8/edit?usp=sharing"",""ตาก!J565"")"),247)</f>
        <v>247</v>
      </c>
      <c r="Z17" s="186">
        <f ca="1">IFERROR(__xludf.DUMMYFUNCTION("IMPORTRANGE(""https://docs.google.com/spreadsheets/d/1JWG2rZePOz9pe-f-ObA-yDr0VoOX2kSb0qIix2mTUo8/edit?usp=sharing"",""ตาก!J566"")"),934.34)</f>
        <v>934.34</v>
      </c>
      <c r="AA17" s="261">
        <f ca="1">IFERROR(__xludf.DUMMYFUNCTION("IMPORTRANGE(""https://docs.google.com/spreadsheets/d/1JWG2rZePOz9pe-f-ObA-yDr0VoOX2kSb0qIix2mTUo8/edit?usp=sharing"",""ตาก!J567"")"),102)</f>
        <v>102</v>
      </c>
      <c r="AB17" s="181">
        <f ca="1">IFERROR(__xludf.DUMMYFUNCTION("IMPORTRANGE(""https://docs.google.com/spreadsheets/d/1JWG2rZePOz9pe-f-ObA-yDr0VoOX2kSb0qIix2mTUo8/edit?usp=sharing"",""ตาก!I568"")"),43092)</f>
        <v>43092</v>
      </c>
      <c r="AC17" s="181">
        <f ca="1">IFERROR(__xludf.DUMMYFUNCTION("IMPORTRANGE(""https://docs.google.com/spreadsheets/d/1JWG2rZePOz9pe-f-ObA-yDr0VoOX2kSb0qIix2mTUo8/edit?usp=sharing"",""ตาก!I569"")"),5108)</f>
        <v>5108</v>
      </c>
      <c r="AD17" s="186">
        <f ca="1">IFERROR(__xludf.DUMMYFUNCTION("IMPORTRANGE(""https://docs.google.com/spreadsheets/d/1JWG2rZePOz9pe-f-ObA-yDr0VoOX2kSb0qIix2mTUo8/edit?usp=sharing"",""ตาก!J568"")"),22115)</f>
        <v>22115</v>
      </c>
      <c r="AE17" s="186">
        <f t="shared" ca="1" si="34"/>
        <v>51.320430706395619</v>
      </c>
      <c r="AF17" s="181">
        <f ca="1">IFERROR(__xludf.DUMMYFUNCTION("IMPORTRANGE(""https://docs.google.com/spreadsheets/d/1JWG2rZePOz9pe-f-ObA-yDr0VoOX2kSb0qIix2mTUo8/edit?usp=sharing"",""ตาก!J569"")"),2680)</f>
        <v>2680</v>
      </c>
      <c r="AG17" s="186">
        <f t="shared" ca="1" si="10"/>
        <v>52.466718872357085</v>
      </c>
      <c r="AH17" s="186">
        <f ca="1">IFERROR(__xludf.DUMMYFUNCTION("IMPORTRANGE(""https://docs.google.com/spreadsheets/d/1JWG2rZePOz9pe-f-ObA-yDr0VoOX2kSb0qIix2mTUo8/edit?usp=sharing"",""ตาก!J570"")"),20359)</f>
        <v>20359</v>
      </c>
      <c r="AI17" s="261">
        <f ca="1">IFERROR(__xludf.DUMMYFUNCTION("IMPORTRANGE(""https://docs.google.com/spreadsheets/d/1JWG2rZePOz9pe-f-ObA-yDr0VoOX2kSb0qIix2mTUo8/edit?usp=sharing"",""ตาก!J571"")"),2557)</f>
        <v>2557</v>
      </c>
      <c r="AJ17" s="186">
        <f ca="1">IFERROR(__xludf.DUMMYFUNCTION("IMPORTRANGE(""https://docs.google.com/spreadsheets/d/1JWG2rZePOz9pe-f-ObA-yDr0VoOX2kSb0qIix2mTUo8/edit?usp=sharing"",""ตาก!J572"")"),1583)</f>
        <v>1583</v>
      </c>
      <c r="AK17" s="261">
        <f ca="1">IFERROR(__xludf.DUMMYFUNCTION("IMPORTRANGE(""https://docs.google.com/spreadsheets/d/1JWG2rZePOz9pe-f-ObA-yDr0VoOX2kSb0qIix2mTUo8/edit?usp=sharing"",""ตาก!J573"")"),99)</f>
        <v>99</v>
      </c>
      <c r="AL17" s="186">
        <f ca="1">IFERROR(__xludf.DUMMYFUNCTION("IMPORTRANGE(""https://docs.google.com/spreadsheets/d/1JWG2rZePOz9pe-f-ObA-yDr0VoOX2kSb0qIix2mTUo8/edit?usp=sharing"",""ตาก!J574"")"),173)</f>
        <v>173</v>
      </c>
      <c r="AM17" s="261">
        <f ca="1">IFERROR(__xludf.DUMMYFUNCTION("IMPORTRANGE(""https://docs.google.com/spreadsheets/d/1JWG2rZePOz9pe-f-ObA-yDr0VoOX2kSb0qIix2mTUo8/edit?usp=sharing"",""ตาก!J575"")"),24)</f>
        <v>24</v>
      </c>
      <c r="AN17" s="181">
        <f ca="1">IFERROR(__xludf.DUMMYFUNCTION("IMPORTRANGE(""https://docs.google.com/spreadsheets/d/1JWG2rZePOz9pe-f-ObA-yDr0VoOX2kSb0qIix2mTUo8/edit?usp=sharing"",""ตาก!I576"")"),43092)</f>
        <v>43092</v>
      </c>
      <c r="AO17" s="181">
        <f ca="1">IFERROR(__xludf.DUMMYFUNCTION("IMPORTRANGE(""https://docs.google.com/spreadsheets/d/1JWG2rZePOz9pe-f-ObA-yDr0VoOX2kSb0qIix2mTUo8/edit?usp=sharing"",""ตาก!I577"")"),5108)</f>
        <v>5108</v>
      </c>
      <c r="AP17" s="186">
        <f ca="1">IFERROR(__xludf.DUMMYFUNCTION("IMPORTRANGE(""https://docs.google.com/spreadsheets/d/1JWG2rZePOz9pe-f-ObA-yDr0VoOX2kSb0qIix2mTUo8/edit?usp=sharing"",""ตาก!J576"")"),0)</f>
        <v>0</v>
      </c>
      <c r="AQ17" s="186">
        <f t="shared" ca="1" si="35"/>
        <v>0</v>
      </c>
      <c r="AR17" s="181">
        <f ca="1">IFERROR(__xludf.DUMMYFUNCTION("IMPORTRANGE(""https://docs.google.com/spreadsheets/d/1JWG2rZePOz9pe-f-ObA-yDr0VoOX2kSb0qIix2mTUo8/edit?usp=sharing"",""ตาก!J577"")"),0)</f>
        <v>0</v>
      </c>
      <c r="AS17" s="186">
        <f t="shared" ca="1" si="13"/>
        <v>0</v>
      </c>
      <c r="AT17" s="186" t="str">
        <f ca="1">IFERROR(__xludf.DUMMYFUNCTION("IMPORTRANGE(""https://docs.google.com/spreadsheets/d/1JWG2rZePOz9pe-f-ObA-yDr0VoOX2kSb0qIix2mTUo8/edit?usp=sharing"",""ตาก!J578"")"),"")</f>
        <v/>
      </c>
      <c r="AU17" s="261" t="str">
        <f ca="1">IFERROR(__xludf.DUMMYFUNCTION("IMPORTRANGE(""https://docs.google.com/spreadsheets/d/1JWG2rZePOz9pe-f-ObA-yDr0VoOX2kSb0qIix2mTUo8/edit?usp=sharing"",""ตาก!J579"")"),"")</f>
        <v/>
      </c>
      <c r="AV17" s="186" t="str">
        <f ca="1">IFERROR(__xludf.DUMMYFUNCTION("IMPORTRANGE(""https://docs.google.com/spreadsheets/d/1JWG2rZePOz9pe-f-ObA-yDr0VoOX2kSb0qIix2mTUo8/edit?usp=sharing"",""ตาก!J580"")"),"")</f>
        <v/>
      </c>
      <c r="AW17" s="261" t="str">
        <f ca="1">IFERROR(__xludf.DUMMYFUNCTION("IMPORTRANGE(""https://docs.google.com/spreadsheets/d/1JWG2rZePOz9pe-f-ObA-yDr0VoOX2kSb0qIix2mTUo8/edit?usp=sharing"",""ตาก!J581"")"),"")</f>
        <v/>
      </c>
      <c r="AX17" s="186">
        <f ca="1">IFERROR(__xludf.DUMMYFUNCTION("IMPORTRANGE(""https://docs.google.com/spreadsheets/d/1JWG2rZePOz9pe-f-ObA-yDr0VoOX2kSb0qIix2mTUo8/edit?usp=sharing"",""ตาก!J582"")"),0)</f>
        <v>0</v>
      </c>
      <c r="AY17" s="261">
        <f ca="1">IFERROR(__xludf.DUMMYFUNCTION("IMPORTRANGE(""https://docs.google.com/spreadsheets/d/1JWG2rZePOz9pe-f-ObA-yDr0VoOX2kSb0qIix2mTUo8/edit?usp=sharing"",""ตาก!J583"")"),0)</f>
        <v>0</v>
      </c>
      <c r="AZ17" s="262" t="str">
        <f ca="1">IFERROR(__xludf.DUMMYFUNCTION("IMPORTRANGE(""https://docs.google.com/spreadsheets/d/1JWG2rZePOz9pe-f-ObA-yDr0VoOX2kSb0qIix2mTUo8/edit?usp=sharing"",""ตาก!J584"")"),"")</f>
        <v/>
      </c>
      <c r="BA17" s="261" t="str">
        <f ca="1">IFERROR(__xludf.DUMMYFUNCTION("IMPORTRANGE(""https://docs.google.com/spreadsheets/d/1JWG2rZePOz9pe-f-ObA-yDr0VoOX2kSb0qIix2mTUo8/edit?usp=sharing"",""ตาก!J585"")"),"")</f>
        <v/>
      </c>
      <c r="BB17" s="262">
        <f ca="1">IFERROR(__xludf.DUMMYFUNCTION("IMPORTRANGE(""https://docs.google.com/spreadsheets/d/1JWG2rZePOz9pe-f-ObA-yDr0VoOX2kSb0qIix2mTUo8/edit?usp=sharing"",""ตาก!J586"")"),0)</f>
        <v>0</v>
      </c>
      <c r="BC17" s="261">
        <f ca="1">IFERROR(__xludf.DUMMYFUNCTION("IMPORTRANGE(""https://docs.google.com/spreadsheets/d/1JWG2rZePOz9pe-f-ObA-yDr0VoOX2kSb0qIix2mTUo8/edit?usp=sharing"",""ตาก!J587"")"),0)</f>
        <v>0</v>
      </c>
      <c r="BD17" s="186">
        <f ca="1">IFERROR(__xludf.DUMMYFUNCTION("IMPORTRANGE(""https://docs.google.com/spreadsheets/d/1JWG2rZePOz9pe-f-ObA-yDr0VoOX2kSb0qIix2mTUo8/edit?usp=sharing"",""ตาก!J588"")"),0)</f>
        <v>0</v>
      </c>
      <c r="BE17" s="261">
        <f ca="1">IFERROR(__xludf.DUMMYFUNCTION("IMPORTRANGE(""https://docs.google.com/spreadsheets/d/1JWG2rZePOz9pe-f-ObA-yDr0VoOX2kSb0qIix2mTUo8/edit?usp=sharing"",""ตาก!J589"")"),0)</f>
        <v>0</v>
      </c>
      <c r="BF17" s="186">
        <f ca="1">IFERROR(__xludf.DUMMYFUNCTION("IMPORTRANGE(""https://docs.google.com/spreadsheets/d/1JWG2rZePOz9pe-f-ObA-yDr0VoOX2kSb0qIix2mTUo8/edit?usp=sharing"",""ตาก!J590"")"),0)</f>
        <v>0</v>
      </c>
      <c r="BG17" s="261">
        <f ca="1">IFERROR(__xludf.DUMMYFUNCTION("IMPORTRANGE(""https://docs.google.com/spreadsheets/d/1JWG2rZePOz9pe-f-ObA-yDr0VoOX2kSb0qIix2mTUo8/edit?usp=sharing"",""ตาก!J591"")"),0)</f>
        <v>0</v>
      </c>
      <c r="BH17" s="181">
        <f ca="1">IFERROR(__xludf.DUMMYFUNCTION("IMPORTRANGE(""https://docs.google.com/spreadsheets/d/1JWG2rZePOz9pe-f-ObA-yDr0VoOX2kSb0qIix2mTUo8/edit?usp=sharing"",""ตาก!I593"")"),1120.57)</f>
        <v>1120.57</v>
      </c>
      <c r="BI17" s="181">
        <f ca="1">IFERROR(__xludf.DUMMYFUNCTION("IMPORTRANGE(""https://docs.google.com/spreadsheets/d/1JWG2rZePOz9pe-f-ObA-yDr0VoOX2kSb0qIix2mTUo8/edit?usp=sharing"",""ตาก!I594"")"),70)</f>
        <v>70</v>
      </c>
      <c r="BJ17" s="186">
        <f ca="1">IFERROR(__xludf.DUMMYFUNCTION("IMPORTRANGE(""https://docs.google.com/spreadsheets/d/1JWG2rZePOz9pe-f-ObA-yDr0VoOX2kSb0qIix2mTUo8/edit?usp=sharing"",""ตาก!J593"")"),0)</f>
        <v>0</v>
      </c>
      <c r="BK17" s="186">
        <f t="shared" ca="1" si="36"/>
        <v>0</v>
      </c>
      <c r="BL17" s="181">
        <f ca="1">IFERROR(__xludf.DUMMYFUNCTION("IMPORTRANGE(""https://docs.google.com/spreadsheets/d/1JWG2rZePOz9pe-f-ObA-yDr0VoOX2kSb0qIix2mTUo8/edit?usp=sharing"",""ตาก!J594"")"),0)</f>
        <v>0</v>
      </c>
      <c r="BM17" s="186">
        <f t="shared" ca="1" si="16"/>
        <v>0</v>
      </c>
      <c r="BN17" s="186">
        <f ca="1">IFERROR(__xludf.DUMMYFUNCTION("IMPORTRANGE(""https://docs.google.com/spreadsheets/d/1JWG2rZePOz9pe-f-ObA-yDr0VoOX2kSb0qIix2mTUo8/edit?usp=sharing"",""ตาก!J595"")"),0)</f>
        <v>0</v>
      </c>
      <c r="BO17" s="261">
        <f ca="1">IFERROR(__xludf.DUMMYFUNCTION("IMPORTRANGE(""https://docs.google.com/spreadsheets/d/1JWG2rZePOz9pe-f-ObA-yDr0VoOX2kSb0qIix2mTUo8/edit?usp=sharing"",""ตาก!J596"")"),0)</f>
        <v>0</v>
      </c>
      <c r="BP17" s="186">
        <f ca="1">IFERROR(__xludf.DUMMYFUNCTION("IMPORTRANGE(""https://docs.google.com/spreadsheets/d/1JWG2rZePOz9pe-f-ObA-yDr0VoOX2kSb0qIix2mTUo8/edit?usp=sharing"",""ตาก!J597"")"),0)</f>
        <v>0</v>
      </c>
      <c r="BQ17" s="261">
        <f ca="1">IFERROR(__xludf.DUMMYFUNCTION("IMPORTRANGE(""https://docs.google.com/spreadsheets/d/1JWG2rZePOz9pe-f-ObA-yDr0VoOX2kSb0qIix2mTUo8/edit?usp=sharing"",""ตาก!J598"")"),0)</f>
        <v>0</v>
      </c>
      <c r="BR17" s="186">
        <f ca="1">IFERROR(__xludf.DUMMYFUNCTION("IMPORTRANGE(""https://docs.google.com/spreadsheets/d/1JWG2rZePOz9pe-f-ObA-yDr0VoOX2kSb0qIix2mTUo8/edit?usp=sharing"",""ตาก!J599"")"),0)</f>
        <v>0</v>
      </c>
      <c r="BS17" s="261">
        <f ca="1">IFERROR(__xludf.DUMMYFUNCTION("IMPORTRANGE(""https://docs.google.com/spreadsheets/d/1JWG2rZePOz9pe-f-ObA-yDr0VoOX2kSb0qIix2mTUo8/edit?usp=sharing"",""ตาก!J600"")"),0)</f>
        <v>0</v>
      </c>
      <c r="BT17" s="262">
        <f ca="1">IFERROR(__xludf.DUMMYFUNCTION("IMPORTRANGE(""https://docs.google.com/spreadsheets/d/1JWG2rZePOz9pe-f-ObA-yDr0VoOX2kSb0qIix2mTUo8/edit?usp=sharing"",""ตาก!J601"")"),0)</f>
        <v>0</v>
      </c>
      <c r="BU17" s="261">
        <f ca="1">IFERROR(__xludf.DUMMYFUNCTION("IMPORTRANGE(""https://docs.google.com/spreadsheets/d/1JWG2rZePOz9pe-f-ObA-yDr0VoOX2kSb0qIix2mTUo8/edit?usp=sharing"",""ตาก!J602"")"),0)</f>
        <v>0</v>
      </c>
      <c r="BV17" s="186">
        <f ca="1">IFERROR(__xludf.DUMMYFUNCTION("IMPORTRANGE(""https://docs.google.com/spreadsheets/d/1JWG2rZePOz9pe-f-ObA-yDr0VoOX2kSb0qIix2mTUo8/edit?usp=sharing"",""ตาก!J603"")"),0)</f>
        <v>0</v>
      </c>
      <c r="BW17" s="261">
        <f ca="1">IFERROR(__xludf.DUMMYFUNCTION("IMPORTRANGE(""https://docs.google.com/spreadsheets/d/1JWG2rZePOz9pe-f-ObA-yDr0VoOX2kSb0qIix2mTUo8/edit?usp=sharing"",""ตาก!J604"")"),0)</f>
        <v>0</v>
      </c>
      <c r="BX17" s="186">
        <f ca="1">IFERROR(__xludf.DUMMYFUNCTION("IMPORTRANGE(""https://docs.google.com/spreadsheets/d/1JWG2rZePOz9pe-f-ObA-yDr0VoOX2kSb0qIix2mTUo8/edit?usp=sharing"",""ตาก!J605"")"),0)</f>
        <v>0</v>
      </c>
      <c r="BY17" s="261">
        <f ca="1">IFERROR(__xludf.DUMMYFUNCTION("IMPORTRANGE(""https://docs.google.com/spreadsheets/d/1JWG2rZePOz9pe-f-ObA-yDr0VoOX2kSb0qIix2mTUo8/edit?usp=sharing"",""ตาก!J606"")"),0)</f>
        <v>0</v>
      </c>
      <c r="BZ17" s="186">
        <f ca="1">IFERROR(__xludf.DUMMYFUNCTION("IMPORTRANGE(""https://docs.google.com/spreadsheets/d/1JWG2rZePOz9pe-f-ObA-yDr0VoOX2kSb0qIix2mTUo8/edit?usp=sharing"",""ตาก!J607"")"),0)</f>
        <v>0</v>
      </c>
      <c r="CA17" s="261">
        <f ca="1">IFERROR(__xludf.DUMMYFUNCTION("IMPORTRANGE(""https://docs.google.com/spreadsheets/d/1JWG2rZePOz9pe-f-ObA-yDr0VoOX2kSb0qIix2mTUo8/edit?usp=sharing"",""ตาก!J608"")"),0)</f>
        <v>0</v>
      </c>
      <c r="CB17" s="186">
        <f ca="1">IFERROR(__xludf.DUMMYFUNCTION("IMPORTRANGE(""https://docs.google.com/spreadsheets/d/1JWG2rZePOz9pe-f-ObA-yDr0VoOX2kSb0qIix2mTUo8/edit?usp=sharing"",""ตาก!J609"")"),0)</f>
        <v>0</v>
      </c>
      <c r="CC17" s="261">
        <f ca="1">IFERROR(__xludf.DUMMYFUNCTION("IMPORTRANGE(""https://docs.google.com/spreadsheets/d/1JWG2rZePOz9pe-f-ObA-yDr0VoOX2kSb0qIix2mTUo8/edit?usp=sharing"",""ตาก!J610"")"),0)</f>
        <v>0</v>
      </c>
      <c r="CD17" s="261">
        <f ca="1">IFERROR(__xludf.DUMMYFUNCTION("IMPORTRANGE(""https://docs.google.com/spreadsheets/d/1JWG2rZePOz9pe-f-ObA-yDr0VoOX2kSb0qIix2mTUo8/edit?usp=sharing"",""ตาก!I612"")"),0)</f>
        <v>0</v>
      </c>
      <c r="CE17" s="261">
        <f ca="1">IFERROR(__xludf.DUMMYFUNCTION("IMPORTRANGE(""https://docs.google.com/spreadsheets/d/1JWG2rZePOz9pe-f-ObA-yDr0VoOX2kSb0qIix2mTUo8/edit?usp=sharing"",""ตาก!I594"")"),70)</f>
        <v>70</v>
      </c>
      <c r="CF17" s="262">
        <f ca="1">IFERROR(__xludf.DUMMYFUNCTION("IMPORTRANGE(""https://docs.google.com/spreadsheets/d/1JWG2rZePOz9pe-f-ObA-yDr0VoOX2kSb0qIix2mTUo8/edit?usp=sharing"",""ตาก!J612"")"),0)</f>
        <v>0</v>
      </c>
      <c r="CG17" s="262">
        <f t="shared" ca="1" si="37"/>
        <v>0</v>
      </c>
      <c r="CH17" s="261">
        <f ca="1">IFERROR(__xludf.DUMMYFUNCTION("IMPORTRANGE(""https://docs.google.com/spreadsheets/d/1JWG2rZePOz9pe-f-ObA-yDr0VoOX2kSb0qIix2mTUo8/edit?usp=sharing"",""ตาก!J613"")"),0)</f>
        <v>0</v>
      </c>
      <c r="CI17" s="262">
        <f t="shared" ca="1" si="19"/>
        <v>0</v>
      </c>
      <c r="CJ17" s="186">
        <f ca="1">IFERROR(__xludf.DUMMYFUNCTION("IMPORTRANGE(""https://docs.google.com/spreadsheets/d/1JWG2rZePOz9pe-f-ObA-yDr0VoOX2kSb0qIix2mTUo8/edit?usp=sharing"",""ตาก!J614"")"),0)</f>
        <v>0</v>
      </c>
      <c r="CK17" s="261">
        <f ca="1">IFERROR(__xludf.DUMMYFUNCTION("IMPORTRANGE(""https://docs.google.com/spreadsheets/d/1JWG2rZePOz9pe-f-ObA-yDr0VoOX2kSb0qIix2mTUo8/edit?usp=sharing"",""ตาก!J615"")"),0)</f>
        <v>0</v>
      </c>
      <c r="CL17" s="186">
        <f ca="1">IFERROR(__xludf.DUMMYFUNCTION("IMPORTRANGE(""https://docs.google.com/spreadsheets/d/1JWG2rZePOz9pe-f-ObA-yDr0VoOX2kSb0qIix2mTUo8/edit?usp=sharing"",""ตาก!J616"")"),0)</f>
        <v>0</v>
      </c>
      <c r="CM17" s="261">
        <f ca="1">IFERROR(__xludf.DUMMYFUNCTION("IMPORTRANGE(""https://docs.google.com/spreadsheets/d/1JWG2rZePOz9pe-f-ObA-yDr0VoOX2kSb0qIix2mTUo8/edit?usp=sharing"",""ตาก!J617"")"),0)</f>
        <v>0</v>
      </c>
      <c r="CN17" s="261">
        <f ca="1">IFERROR(__xludf.DUMMYFUNCTION("IMPORTRANGE(""https://docs.google.com/spreadsheets/d/1JWG2rZePOz9pe-f-ObA-yDr0VoOX2kSb0qIix2mTUo8/edit?usp=sharing"",""ตาก!I620"")"),127)</f>
        <v>127</v>
      </c>
      <c r="CO17" s="261">
        <f ca="1">IFERROR(__xludf.DUMMYFUNCTION("IMPORTRANGE(""https://docs.google.com/spreadsheets/d/1JWG2rZePOz9pe-f-ObA-yDr0VoOX2kSb0qIix2mTUo8/edit?usp=sharing"",""ตาก!I621"")"),9)</f>
        <v>9</v>
      </c>
      <c r="CP17" s="262">
        <f ca="1">IFERROR(__xludf.DUMMYFUNCTION("IMPORTRANGE(""https://docs.google.com/spreadsheets/d/1JWG2rZePOz9pe-f-ObA-yDr0VoOX2kSb0qIix2mTUo8/edit?usp=sharing"",""ตาก!J620"")"),0)</f>
        <v>0</v>
      </c>
      <c r="CQ17" s="262">
        <f t="shared" ca="1" si="38"/>
        <v>0</v>
      </c>
      <c r="CR17" s="261">
        <f ca="1">IFERROR(__xludf.DUMMYFUNCTION("IMPORTRANGE(""https://docs.google.com/spreadsheets/d/1JWG2rZePOz9pe-f-ObA-yDr0VoOX2kSb0qIix2mTUo8/edit?usp=sharing"",""ตาก!J621"")"),0)</f>
        <v>0</v>
      </c>
      <c r="CS17" s="262">
        <f t="shared" ca="1" si="22"/>
        <v>0</v>
      </c>
      <c r="CT17" s="186">
        <f ca="1">IFERROR(__xludf.DUMMYFUNCTION("IMPORTRANGE(""https://docs.google.com/spreadsheets/d/1JWG2rZePOz9pe-f-ObA-yDr0VoOX2kSb0qIix2mTUo8/edit?usp=sharing"",""ตาก!J622"")"),0)</f>
        <v>0</v>
      </c>
      <c r="CU17" s="261">
        <f ca="1">IFERROR(__xludf.DUMMYFUNCTION("IMPORTRANGE(""https://docs.google.com/spreadsheets/d/1JWG2rZePOz9pe-f-ObA-yDr0VoOX2kSb0qIix2mTUo8/edit?usp=sharing"",""ตาก!J623"")"),0)</f>
        <v>0</v>
      </c>
      <c r="CV17" s="186">
        <f ca="1">IFERROR(__xludf.DUMMYFUNCTION("IMPORTRANGE(""https://docs.google.com/spreadsheets/d/1JWG2rZePOz9pe-f-ObA-yDr0VoOX2kSb0qIix2mTUo8/edit?usp=sharing"",""ตาก!J624"")"),0)</f>
        <v>0</v>
      </c>
      <c r="CW17" s="261">
        <f ca="1">IFERROR(__xludf.DUMMYFUNCTION("IMPORTRANGE(""https://docs.google.com/spreadsheets/d/1JWG2rZePOz9pe-f-ObA-yDr0VoOX2kSb0qIix2mTUo8/edit?usp=sharing"",""ตาก!J625"")"),0)</f>
        <v>0</v>
      </c>
      <c r="CX17" s="186">
        <f ca="1">IFERROR(__xludf.DUMMYFUNCTION("IMPORTRANGE(""https://docs.google.com/spreadsheets/d/1JWG2rZePOz9pe-f-ObA-yDr0VoOX2kSb0qIix2mTUo8/edit?usp=sharing"",""ตาก!J626"")"),0)</f>
        <v>0</v>
      </c>
      <c r="CY17" s="261">
        <f ca="1">IFERROR(__xludf.DUMMYFUNCTION("IMPORTRANGE(""https://docs.google.com/spreadsheets/d/1JWG2rZePOz9pe-f-ObA-yDr0VoOX2kSb0qIix2mTUo8/edit?usp=sharing"",""ตาก!J627"")"),0)</f>
        <v>0</v>
      </c>
    </row>
    <row r="18" spans="1:103" ht="24" customHeight="1" x14ac:dyDescent="0.3">
      <c r="A18" s="178">
        <v>5</v>
      </c>
      <c r="B18" s="179" t="s">
        <v>35</v>
      </c>
      <c r="C18" s="180">
        <f t="shared" ca="1" si="49"/>
        <v>412386</v>
      </c>
      <c r="D18" s="181">
        <f ca="1">IFERROR(__xludf.DUMMYFUNCTION("IMPORTRANGE(""https://docs.google.com/spreadsheets/d/10nSRjK08hx8Y6HgSOQKNw81lyY46Zc7U_Cj72hBMp9U/edit?usp=sharing"",""นครสวรรค์!L549"")"),412386)</f>
        <v>412386</v>
      </c>
      <c r="E18" s="187">
        <f ca="1">IFERROR(__xludf.DUMMYFUNCTION("IMPORTRANGE(""https://docs.google.com/spreadsheets/d/10nSRjK08hx8Y6HgSOQKNw81lyY46Zc7U_Cj72hBMp9U/edit?usp=sharing"",""นครสวรรค์!L557"")"),0)</f>
        <v>0</v>
      </c>
      <c r="F18" s="182">
        <f t="shared" ca="1" si="1"/>
        <v>132467</v>
      </c>
      <c r="G18" s="183">
        <f t="shared" ca="1" si="2"/>
        <v>32.122089498673574</v>
      </c>
      <c r="H18" s="184">
        <f t="shared" ca="1" si="50"/>
        <v>132467</v>
      </c>
      <c r="I18" s="187">
        <f ca="1">IFERROR(__xludf.DUMMYFUNCTION("IMPORTRANGE(""https://docs.google.com/spreadsheets/d/10nSRjK08hx8Y6HgSOQKNw81lyY46Zc7U_Cj72hBMp9U/edit?usp=sharing"",""นครสวรรค์!N550"")"),0)</f>
        <v>0</v>
      </c>
      <c r="J18" s="187">
        <f ca="1">IFERROR(__xludf.DUMMYFUNCTION("IMPORTRANGE(""https://docs.google.com/spreadsheets/d/10nSRjK08hx8Y6HgSOQKNw81lyY46Zc7U_Cj72hBMp9U/edit?usp=sharing"",""นครสวรรค์!N551"")"),0)</f>
        <v>0</v>
      </c>
      <c r="K18" s="187">
        <f ca="1">IFERROR(__xludf.DUMMYFUNCTION("IMPORTRANGE(""https://docs.google.com/spreadsheets/d/10nSRjK08hx8Y6HgSOQKNw81lyY46Zc7U_Cj72hBMp9U/edit?usp=sharing"",""นครสวรรค์!N552"")"),37698)</f>
        <v>37698</v>
      </c>
      <c r="L18" s="187">
        <f ca="1">IFERROR(__xludf.DUMMYFUNCTION("IMPORTRANGE(""https://docs.google.com/spreadsheets/d/10nSRjK08hx8Y6HgSOQKNw81lyY46Zc7U_Cj72hBMp9U/edit?usp=sharing"",""นครสวรรค์!N553"")"),94769)</f>
        <v>94769</v>
      </c>
      <c r="M18" s="187">
        <f ca="1">IFERROR(__xludf.DUMMYFUNCTION("IMPORTRANGE(""https://docs.google.com/spreadsheets/d/10nSRjK08hx8Y6HgSOQKNw81lyY46Zc7U_Cj72hBMp9U/edit?usp=sharing"",""นครสวรรค์!N554"")"),0)</f>
        <v>0</v>
      </c>
      <c r="N18" s="185">
        <f ca="1">IFERROR(__xludf.DUMMYFUNCTION("IMPORTRANGE(""https://docs.google.com/spreadsheets/d/10nSRjK08hx8Y6HgSOQKNw81lyY46Zc7U_Cj72hBMp9U/edit?usp=sharing"",""นครสวรรค์!N557"")"),0)</f>
        <v>0</v>
      </c>
      <c r="O18" s="185">
        <f t="shared" ca="1" si="41"/>
        <v>0</v>
      </c>
      <c r="P18" s="181">
        <f ca="1">IFERROR(__xludf.DUMMYFUNCTION("IMPORTRANGE(""https://docs.google.com/spreadsheets/d/10nSRjK08hx8Y6HgSOQKNw81lyY46Zc7U_Cj72hBMp9U/edit?usp=sharing"",""นครสวรรค์!I560"")"),47776)</f>
        <v>47776</v>
      </c>
      <c r="Q18" s="181">
        <f ca="1">IFERROR(__xludf.DUMMYFUNCTION("IMPORTRANGE(""https://docs.google.com/spreadsheets/d/10nSRjK08hx8Y6HgSOQKNw81lyY46Zc7U_Cj72hBMp9U/edit?usp=sharing"",""นครสวรรค์!I561"")"),5415)</f>
        <v>5415</v>
      </c>
      <c r="R18" s="186">
        <f ca="1">IFERROR(__xludf.DUMMYFUNCTION("IMPORTRANGE(""https://docs.google.com/spreadsheets/d/10nSRjK08hx8Y6HgSOQKNw81lyY46Zc7U_Cj72hBMp9U/edit?usp=sharing"",""นครสวรรค์!J560"")"),47776)</f>
        <v>47776</v>
      </c>
      <c r="S18" s="186">
        <f t="shared" ca="1" si="33"/>
        <v>100</v>
      </c>
      <c r="T18" s="181">
        <f ca="1">IFERROR(__xludf.DUMMYFUNCTION("IMPORTRANGE(""https://docs.google.com/spreadsheets/d/10nSRjK08hx8Y6HgSOQKNw81lyY46Zc7U_Cj72hBMp9U/edit?usp=sharing"",""นครสวรรค์!J561"")"),5415)</f>
        <v>5415</v>
      </c>
      <c r="U18" s="186">
        <f t="shared" ca="1" si="7"/>
        <v>100</v>
      </c>
      <c r="V18" s="186">
        <f ca="1">IFERROR(__xludf.DUMMYFUNCTION("IMPORTRANGE(""https://docs.google.com/spreadsheets/d/10nSRjK08hx8Y6HgSOQKNw81lyY46Zc7U_Cj72hBMp9U/edit?usp=sharing"",""นครสวรรค์!J562"")"),37681)</f>
        <v>37681</v>
      </c>
      <c r="W18" s="261">
        <f ca="1">IFERROR(__xludf.DUMMYFUNCTION("IMPORTRANGE(""https://docs.google.com/spreadsheets/d/10nSRjK08hx8Y6HgSOQKNw81lyY46Zc7U_Cj72hBMp9U/edit?usp=sharing"",""นครสวรรค์!J563"")"),4664)</f>
        <v>4664</v>
      </c>
      <c r="X18" s="186">
        <f ca="1">IFERROR(__xludf.DUMMYFUNCTION("IMPORTRANGE(""https://docs.google.com/spreadsheets/d/10nSRjK08hx8Y6HgSOQKNw81lyY46Zc7U_Cj72hBMp9U/edit?usp=sharing"",""นครสวรรค์!J564"")"),8502)</f>
        <v>8502</v>
      </c>
      <c r="Y18" s="261">
        <f ca="1">IFERROR(__xludf.DUMMYFUNCTION("IMPORTRANGE(""https://docs.google.com/spreadsheets/d/10nSRjK08hx8Y6HgSOQKNw81lyY46Zc7U_Cj72hBMp9U/edit?usp=sharing"",""นครสวรรค์!J565"")"),582)</f>
        <v>582</v>
      </c>
      <c r="Z18" s="186">
        <f ca="1">IFERROR(__xludf.DUMMYFUNCTION("IMPORTRANGE(""https://docs.google.com/spreadsheets/d/10nSRjK08hx8Y6HgSOQKNw81lyY46Zc7U_Cj72hBMp9U/edit?usp=sharing"",""นครสวรรค์!J566"")"),1593)</f>
        <v>1593</v>
      </c>
      <c r="AA18" s="261">
        <f ca="1">IFERROR(__xludf.DUMMYFUNCTION("IMPORTRANGE(""https://docs.google.com/spreadsheets/d/10nSRjK08hx8Y6HgSOQKNw81lyY46Zc7U_Cj72hBMp9U/edit?usp=sharing"",""นครสวรรค์!J567"")"),169)</f>
        <v>169</v>
      </c>
      <c r="AB18" s="181">
        <f ca="1">IFERROR(__xludf.DUMMYFUNCTION("IMPORTRANGE(""https://docs.google.com/spreadsheets/d/10nSRjK08hx8Y6HgSOQKNw81lyY46Zc7U_Cj72hBMp9U/edit?usp=sharing"",""นครสวรรค์!I568"")"),47776)</f>
        <v>47776</v>
      </c>
      <c r="AC18" s="181">
        <f ca="1">IFERROR(__xludf.DUMMYFUNCTION("IMPORTRANGE(""https://docs.google.com/spreadsheets/d/10nSRjK08hx8Y6HgSOQKNw81lyY46Zc7U_Cj72hBMp9U/edit?usp=sharing"",""นครสวรรค์!I569"")"),5415)</f>
        <v>5415</v>
      </c>
      <c r="AD18" s="186">
        <f ca="1">IFERROR(__xludf.DUMMYFUNCTION("IMPORTRANGE(""https://docs.google.com/spreadsheets/d/10nSRjK08hx8Y6HgSOQKNw81lyY46Zc7U_Cj72hBMp9U/edit?usp=sharing"",""นครสวรรค์!J568"")"),0)</f>
        <v>0</v>
      </c>
      <c r="AE18" s="186">
        <f t="shared" ca="1" si="34"/>
        <v>0</v>
      </c>
      <c r="AF18" s="181">
        <f ca="1">IFERROR(__xludf.DUMMYFUNCTION("IMPORTRANGE(""https://docs.google.com/spreadsheets/d/10nSRjK08hx8Y6HgSOQKNw81lyY46Zc7U_Cj72hBMp9U/edit?usp=sharing"",""นครสวรรค์!J569"")"),0)</f>
        <v>0</v>
      </c>
      <c r="AG18" s="186">
        <f t="shared" ca="1" si="10"/>
        <v>0</v>
      </c>
      <c r="AH18" s="186">
        <f ca="1">IFERROR(__xludf.DUMMYFUNCTION("IMPORTRANGE(""https://docs.google.com/spreadsheets/d/10nSRjK08hx8Y6HgSOQKNw81lyY46Zc7U_Cj72hBMp9U/edit?usp=sharing"",""นครสวรรค์!J570"")"),0)</f>
        <v>0</v>
      </c>
      <c r="AI18" s="261">
        <f ca="1">IFERROR(__xludf.DUMMYFUNCTION("IMPORTRANGE(""https://docs.google.com/spreadsheets/d/10nSRjK08hx8Y6HgSOQKNw81lyY46Zc7U_Cj72hBMp9U/edit?usp=sharing"",""นครสวรรค์!J571"")"),0)</f>
        <v>0</v>
      </c>
      <c r="AJ18" s="186">
        <f ca="1">IFERROR(__xludf.DUMMYFUNCTION("IMPORTRANGE(""https://docs.google.com/spreadsheets/d/10nSRjK08hx8Y6HgSOQKNw81lyY46Zc7U_Cj72hBMp9U/edit?usp=sharing"",""นครสวรรค์!J572"")"),0)</f>
        <v>0</v>
      </c>
      <c r="AK18" s="261">
        <f ca="1">IFERROR(__xludf.DUMMYFUNCTION("IMPORTRANGE(""https://docs.google.com/spreadsheets/d/10nSRjK08hx8Y6HgSOQKNw81lyY46Zc7U_Cj72hBMp9U/edit?usp=sharing"",""นครสวรรค์!J573"")"),0)</f>
        <v>0</v>
      </c>
      <c r="AL18" s="186">
        <f ca="1">IFERROR(__xludf.DUMMYFUNCTION("IMPORTRANGE(""https://docs.google.com/spreadsheets/d/10nSRjK08hx8Y6HgSOQKNw81lyY46Zc7U_Cj72hBMp9U/edit?usp=sharing"",""นครสวรรค์!J574"")"),0)</f>
        <v>0</v>
      </c>
      <c r="AM18" s="261">
        <f ca="1">IFERROR(__xludf.DUMMYFUNCTION("IMPORTRANGE(""https://docs.google.com/spreadsheets/d/10nSRjK08hx8Y6HgSOQKNw81lyY46Zc7U_Cj72hBMp9U/edit?usp=sharing"",""นครสวรรค์!J575"")"),0)</f>
        <v>0</v>
      </c>
      <c r="AN18" s="181">
        <f ca="1">IFERROR(__xludf.DUMMYFUNCTION("IMPORTRANGE(""https://docs.google.com/spreadsheets/d/10nSRjK08hx8Y6HgSOQKNw81lyY46Zc7U_Cj72hBMp9U/edit?usp=sharing"",""นครสวรรค์!I576"")"),47776)</f>
        <v>47776</v>
      </c>
      <c r="AO18" s="181">
        <f ca="1">IFERROR(__xludf.DUMMYFUNCTION("IMPORTRANGE(""https://docs.google.com/spreadsheets/d/10nSRjK08hx8Y6HgSOQKNw81lyY46Zc7U_Cj72hBMp9U/edit?usp=sharing"",""นครสวรรค์!I577"")"),5415)</f>
        <v>5415</v>
      </c>
      <c r="AP18" s="186">
        <f ca="1">IFERROR(__xludf.DUMMYFUNCTION("IMPORTRANGE(""https://docs.google.com/spreadsheets/d/10nSRjK08hx8Y6HgSOQKNw81lyY46Zc7U_Cj72hBMp9U/edit?usp=sharing"",""นครสวรรค์!J576"")"),0)</f>
        <v>0</v>
      </c>
      <c r="AQ18" s="186">
        <f t="shared" ca="1" si="35"/>
        <v>0</v>
      </c>
      <c r="AR18" s="181">
        <f ca="1">IFERROR(__xludf.DUMMYFUNCTION("IMPORTRANGE(""https://docs.google.com/spreadsheets/d/10nSRjK08hx8Y6HgSOQKNw81lyY46Zc7U_Cj72hBMp9U/edit?usp=sharing"",""นครสวรรค์!J577"")"),0)</f>
        <v>0</v>
      </c>
      <c r="AS18" s="186">
        <f t="shared" ca="1" si="13"/>
        <v>0</v>
      </c>
      <c r="AT18" s="186">
        <f ca="1">IFERROR(__xludf.DUMMYFUNCTION("IMPORTRANGE(""https://docs.google.com/spreadsheets/d/10nSRjK08hx8Y6HgSOQKNw81lyY46Zc7U_Cj72hBMp9U/edit?usp=sharing"",""นครสวรรค์!J578"")"),0)</f>
        <v>0</v>
      </c>
      <c r="AU18" s="261">
        <f ca="1">IFERROR(__xludf.DUMMYFUNCTION("IMPORTRANGE(""https://docs.google.com/spreadsheets/d/10nSRjK08hx8Y6HgSOQKNw81lyY46Zc7U_Cj72hBMp9U/edit?usp=sharing"",""นครสวรรค์!J579"")"),0)</f>
        <v>0</v>
      </c>
      <c r="AV18" s="186">
        <f ca="1">IFERROR(__xludf.DUMMYFUNCTION("IMPORTRANGE(""https://docs.google.com/spreadsheets/d/10nSRjK08hx8Y6HgSOQKNw81lyY46Zc7U_Cj72hBMp9U/edit?usp=sharing"",""นครสวรรค์!J580"")"),0)</f>
        <v>0</v>
      </c>
      <c r="AW18" s="261">
        <f ca="1">IFERROR(__xludf.DUMMYFUNCTION("IMPORTRANGE(""https://docs.google.com/spreadsheets/d/10nSRjK08hx8Y6HgSOQKNw81lyY46Zc7U_Cj72hBMp9U/edit?usp=sharing"",""นครสวรรค์!J581"")"),0)</f>
        <v>0</v>
      </c>
      <c r="AX18" s="186">
        <f ca="1">IFERROR(__xludf.DUMMYFUNCTION("IMPORTRANGE(""https://docs.google.com/spreadsheets/d/10nSRjK08hx8Y6HgSOQKNw81lyY46Zc7U_Cj72hBMp9U/edit?usp=sharing"",""นครสวรรค์!J582"")"),0)</f>
        <v>0</v>
      </c>
      <c r="AY18" s="261">
        <f ca="1">IFERROR(__xludf.DUMMYFUNCTION("IMPORTRANGE(""https://docs.google.com/spreadsheets/d/10nSRjK08hx8Y6HgSOQKNw81lyY46Zc7U_Cj72hBMp9U/edit?usp=sharing"",""นครสวรรค์!J583"")"),0)</f>
        <v>0</v>
      </c>
      <c r="AZ18" s="262">
        <f ca="1">IFERROR(__xludf.DUMMYFUNCTION("IMPORTRANGE(""https://docs.google.com/spreadsheets/d/10nSRjK08hx8Y6HgSOQKNw81lyY46Zc7U_Cj72hBMp9U/edit?usp=sharing"",""นครสวรรค์!J584"")"),0)</f>
        <v>0</v>
      </c>
      <c r="BA18" s="261">
        <f ca="1">IFERROR(__xludf.DUMMYFUNCTION("IMPORTRANGE(""https://docs.google.com/spreadsheets/d/10nSRjK08hx8Y6HgSOQKNw81lyY46Zc7U_Cj72hBMp9U/edit?usp=sharing"",""นครสวรรค์!J585"")"),0)</f>
        <v>0</v>
      </c>
      <c r="BB18" s="262">
        <f ca="1">IFERROR(__xludf.DUMMYFUNCTION("IMPORTRANGE(""https://docs.google.com/spreadsheets/d/10nSRjK08hx8Y6HgSOQKNw81lyY46Zc7U_Cj72hBMp9U/edit?usp=sharing"",""นครสวรรค์!J586"")"),0)</f>
        <v>0</v>
      </c>
      <c r="BC18" s="261">
        <f ca="1">IFERROR(__xludf.DUMMYFUNCTION("IMPORTRANGE(""https://docs.google.com/spreadsheets/d/10nSRjK08hx8Y6HgSOQKNw81lyY46Zc7U_Cj72hBMp9U/edit?usp=sharing"",""นครสวรรค์!J587"")"),0)</f>
        <v>0</v>
      </c>
      <c r="BD18" s="186">
        <f ca="1">IFERROR(__xludf.DUMMYFUNCTION("IMPORTRANGE(""https://docs.google.com/spreadsheets/d/10nSRjK08hx8Y6HgSOQKNw81lyY46Zc7U_Cj72hBMp9U/edit?usp=sharing"",""นครสวรรค์!J588"")"),0)</f>
        <v>0</v>
      </c>
      <c r="BE18" s="261">
        <f ca="1">IFERROR(__xludf.DUMMYFUNCTION("IMPORTRANGE(""https://docs.google.com/spreadsheets/d/10nSRjK08hx8Y6HgSOQKNw81lyY46Zc7U_Cj72hBMp9U/edit?usp=sharing"",""นครสวรรค์!J589"")"),0)</f>
        <v>0</v>
      </c>
      <c r="BF18" s="186">
        <f ca="1">IFERROR(__xludf.DUMMYFUNCTION("IMPORTRANGE(""https://docs.google.com/spreadsheets/d/10nSRjK08hx8Y6HgSOQKNw81lyY46Zc7U_Cj72hBMp9U/edit?usp=sharing"",""นครสวรรค์!J590"")"),0)</f>
        <v>0</v>
      </c>
      <c r="BG18" s="261">
        <f ca="1">IFERROR(__xludf.DUMMYFUNCTION("IMPORTRANGE(""https://docs.google.com/spreadsheets/d/10nSRjK08hx8Y6HgSOQKNw81lyY46Zc7U_Cj72hBMp9U/edit?usp=sharing"",""นครสวรรค์!J591"")"),0)</f>
        <v>0</v>
      </c>
      <c r="BH18" s="181">
        <f ca="1">IFERROR(__xludf.DUMMYFUNCTION("IMPORTRANGE(""https://docs.google.com/spreadsheets/d/10nSRjK08hx8Y6HgSOQKNw81lyY46Zc7U_Cj72hBMp9U/edit?usp=sharing"",""นครสวรรค์!I593"")"),4388.22)</f>
        <v>4388.22</v>
      </c>
      <c r="BI18" s="181">
        <f ca="1">IFERROR(__xludf.DUMMYFUNCTION("IMPORTRANGE(""https://docs.google.com/spreadsheets/d/10nSRjK08hx8Y6HgSOQKNw81lyY46Zc7U_Cj72hBMp9U/edit?usp=sharing"",""นครสวรรค์!I594"")"),268)</f>
        <v>268</v>
      </c>
      <c r="BJ18" s="186">
        <f ca="1">IFERROR(__xludf.DUMMYFUNCTION("IMPORTRANGE(""https://docs.google.com/spreadsheets/d/10nSRjK08hx8Y6HgSOQKNw81lyY46Zc7U_Cj72hBMp9U/edit?usp=sharing"",""นครสวรรค์!J593"")"),0)</f>
        <v>0</v>
      </c>
      <c r="BK18" s="186">
        <f t="shared" ca="1" si="36"/>
        <v>0</v>
      </c>
      <c r="BL18" s="181">
        <f ca="1">IFERROR(__xludf.DUMMYFUNCTION("IMPORTRANGE(""https://docs.google.com/spreadsheets/d/10nSRjK08hx8Y6HgSOQKNw81lyY46Zc7U_Cj72hBMp9U/edit?usp=sharing"",""นครสวรรค์!J594"")"),0)</f>
        <v>0</v>
      </c>
      <c r="BM18" s="186">
        <f t="shared" ca="1" si="16"/>
        <v>0</v>
      </c>
      <c r="BN18" s="186">
        <f ca="1">IFERROR(__xludf.DUMMYFUNCTION("IMPORTRANGE(""https://docs.google.com/spreadsheets/d/10nSRjK08hx8Y6HgSOQKNw81lyY46Zc7U_Cj72hBMp9U/edit?usp=sharing"",""นครสวรรค์!J595"")"),0)</f>
        <v>0</v>
      </c>
      <c r="BO18" s="261">
        <f ca="1">IFERROR(__xludf.DUMMYFUNCTION("IMPORTRANGE(""https://docs.google.com/spreadsheets/d/10nSRjK08hx8Y6HgSOQKNw81lyY46Zc7U_Cj72hBMp9U/edit?usp=sharing"",""นครสวรรค์!J596"")"),0)</f>
        <v>0</v>
      </c>
      <c r="BP18" s="186">
        <f ca="1">IFERROR(__xludf.DUMMYFUNCTION("IMPORTRANGE(""https://docs.google.com/spreadsheets/d/10nSRjK08hx8Y6HgSOQKNw81lyY46Zc7U_Cj72hBMp9U/edit?usp=sharing"",""นครสวรรค์!J597"")"),0)</f>
        <v>0</v>
      </c>
      <c r="BQ18" s="261">
        <f ca="1">IFERROR(__xludf.DUMMYFUNCTION("IMPORTRANGE(""https://docs.google.com/spreadsheets/d/10nSRjK08hx8Y6HgSOQKNw81lyY46Zc7U_Cj72hBMp9U/edit?usp=sharing"",""นครสวรรค์!J598"")"),0)</f>
        <v>0</v>
      </c>
      <c r="BR18" s="186">
        <f ca="1">IFERROR(__xludf.DUMMYFUNCTION("IMPORTRANGE(""https://docs.google.com/spreadsheets/d/10nSRjK08hx8Y6HgSOQKNw81lyY46Zc7U_Cj72hBMp9U/edit?usp=sharing"",""นครสวรรค์!J599"")"),0)</f>
        <v>0</v>
      </c>
      <c r="BS18" s="261">
        <f ca="1">IFERROR(__xludf.DUMMYFUNCTION("IMPORTRANGE(""https://docs.google.com/spreadsheets/d/10nSRjK08hx8Y6HgSOQKNw81lyY46Zc7U_Cj72hBMp9U/edit?usp=sharing"",""นครสวรรค์!J600"")"),0)</f>
        <v>0</v>
      </c>
      <c r="BT18" s="262">
        <f ca="1">IFERROR(__xludf.DUMMYFUNCTION("IMPORTRANGE(""https://docs.google.com/spreadsheets/d/10nSRjK08hx8Y6HgSOQKNw81lyY46Zc7U_Cj72hBMp9U/edit?usp=sharing"",""นครสวรรค์!J601"")"),0)</f>
        <v>0</v>
      </c>
      <c r="BU18" s="261">
        <f ca="1">IFERROR(__xludf.DUMMYFUNCTION("IMPORTRANGE(""https://docs.google.com/spreadsheets/d/10nSRjK08hx8Y6HgSOQKNw81lyY46Zc7U_Cj72hBMp9U/edit?usp=sharing"",""นครสวรรค์!J602"")"),0)</f>
        <v>0</v>
      </c>
      <c r="BV18" s="186">
        <f ca="1">IFERROR(__xludf.DUMMYFUNCTION("IMPORTRANGE(""https://docs.google.com/spreadsheets/d/10nSRjK08hx8Y6HgSOQKNw81lyY46Zc7U_Cj72hBMp9U/edit?usp=sharing"",""นครสวรรค์!J603"")"),0)</f>
        <v>0</v>
      </c>
      <c r="BW18" s="261">
        <f ca="1">IFERROR(__xludf.DUMMYFUNCTION("IMPORTRANGE(""https://docs.google.com/spreadsheets/d/10nSRjK08hx8Y6HgSOQKNw81lyY46Zc7U_Cj72hBMp9U/edit?usp=sharing"",""นครสวรรค์!J604"")"),0)</f>
        <v>0</v>
      </c>
      <c r="BX18" s="186">
        <f ca="1">IFERROR(__xludf.DUMMYFUNCTION("IMPORTRANGE(""https://docs.google.com/spreadsheets/d/10nSRjK08hx8Y6HgSOQKNw81lyY46Zc7U_Cj72hBMp9U/edit?usp=sharing"",""นครสวรรค์!J605"")"),0)</f>
        <v>0</v>
      </c>
      <c r="BY18" s="261">
        <f ca="1">IFERROR(__xludf.DUMMYFUNCTION("IMPORTRANGE(""https://docs.google.com/spreadsheets/d/10nSRjK08hx8Y6HgSOQKNw81lyY46Zc7U_Cj72hBMp9U/edit?usp=sharing"",""นครสวรรค์!J606"")"),0)</f>
        <v>0</v>
      </c>
      <c r="BZ18" s="186">
        <f ca="1">IFERROR(__xludf.DUMMYFUNCTION("IMPORTRANGE(""https://docs.google.com/spreadsheets/d/10nSRjK08hx8Y6HgSOQKNw81lyY46Zc7U_Cj72hBMp9U/edit?usp=sharing"",""นครสวรรค์!J607"")"),0)</f>
        <v>0</v>
      </c>
      <c r="CA18" s="261">
        <f ca="1">IFERROR(__xludf.DUMMYFUNCTION("IMPORTRANGE(""https://docs.google.com/spreadsheets/d/10nSRjK08hx8Y6HgSOQKNw81lyY46Zc7U_Cj72hBMp9U/edit?usp=sharing"",""นครสวรรค์!J608"")"),0)</f>
        <v>0</v>
      </c>
      <c r="CB18" s="186">
        <f ca="1">IFERROR(__xludf.DUMMYFUNCTION("IMPORTRANGE(""https://docs.google.com/spreadsheets/d/10nSRjK08hx8Y6HgSOQKNw81lyY46Zc7U_Cj72hBMp9U/edit?usp=sharing"",""นครสวรรค์!J609"")"),0)</f>
        <v>0</v>
      </c>
      <c r="CC18" s="261">
        <f ca="1">IFERROR(__xludf.DUMMYFUNCTION("IMPORTRANGE(""https://docs.google.com/spreadsheets/d/10nSRjK08hx8Y6HgSOQKNw81lyY46Zc7U_Cj72hBMp9U/edit?usp=sharing"",""นครสวรรค์!J610"")"),0)</f>
        <v>0</v>
      </c>
      <c r="CD18" s="261">
        <f ca="1">IFERROR(__xludf.DUMMYFUNCTION("IMPORTRANGE(""https://docs.google.com/spreadsheets/d/10nSRjK08hx8Y6HgSOQKNw81lyY46Zc7U_Cj72hBMp9U/edit?usp=sharing"",""นครสวรรค์!I612"")"),0)</f>
        <v>0</v>
      </c>
      <c r="CE18" s="261">
        <f ca="1">IFERROR(__xludf.DUMMYFUNCTION("IMPORTRANGE(""https://docs.google.com/spreadsheets/d/10nSRjK08hx8Y6HgSOQKNw81lyY46Zc7U_Cj72hBMp9U/edit?usp=sharing"",""นครสวรรค์!I594"")"),268)</f>
        <v>268</v>
      </c>
      <c r="CF18" s="262">
        <f ca="1">IFERROR(__xludf.DUMMYFUNCTION("IMPORTRANGE(""https://docs.google.com/spreadsheets/d/10nSRjK08hx8Y6HgSOQKNw81lyY46Zc7U_Cj72hBMp9U/edit?usp=sharing"",""นครสวรรค์!J612"")"),0)</f>
        <v>0</v>
      </c>
      <c r="CG18" s="262">
        <f t="shared" ca="1" si="37"/>
        <v>0</v>
      </c>
      <c r="CH18" s="261">
        <f ca="1">IFERROR(__xludf.DUMMYFUNCTION("IMPORTRANGE(""https://docs.google.com/spreadsheets/d/10nSRjK08hx8Y6HgSOQKNw81lyY46Zc7U_Cj72hBMp9U/edit?usp=sharing"",""นครสวรรค์!J613"")"),0)</f>
        <v>0</v>
      </c>
      <c r="CI18" s="262">
        <f t="shared" ca="1" si="19"/>
        <v>0</v>
      </c>
      <c r="CJ18" s="186">
        <f ca="1">IFERROR(__xludf.DUMMYFUNCTION("IMPORTRANGE(""https://docs.google.com/spreadsheets/d/10nSRjK08hx8Y6HgSOQKNw81lyY46Zc7U_Cj72hBMp9U/edit?usp=sharing"",""นครสวรรค์!J614"")"),0)</f>
        <v>0</v>
      </c>
      <c r="CK18" s="261">
        <f ca="1">IFERROR(__xludf.DUMMYFUNCTION("IMPORTRANGE(""https://docs.google.com/spreadsheets/d/10nSRjK08hx8Y6HgSOQKNw81lyY46Zc7U_Cj72hBMp9U/edit?usp=sharing"",""นครสวรรค์!J615"")"),0)</f>
        <v>0</v>
      </c>
      <c r="CL18" s="186">
        <f ca="1">IFERROR(__xludf.DUMMYFUNCTION("IMPORTRANGE(""https://docs.google.com/spreadsheets/d/10nSRjK08hx8Y6HgSOQKNw81lyY46Zc7U_Cj72hBMp9U/edit?usp=sharing"",""นครสวรรค์!J616"")"),0)</f>
        <v>0</v>
      </c>
      <c r="CM18" s="261">
        <f ca="1">IFERROR(__xludf.DUMMYFUNCTION("IMPORTRANGE(""https://docs.google.com/spreadsheets/d/10nSRjK08hx8Y6HgSOQKNw81lyY46Zc7U_Cj72hBMp9U/edit?usp=sharing"",""นครสวรรค์!J617"")"),0)</f>
        <v>0</v>
      </c>
      <c r="CN18" s="261">
        <f ca="1">IFERROR(__xludf.DUMMYFUNCTION("IMPORTRANGE(""https://docs.google.com/spreadsheets/d/10nSRjK08hx8Y6HgSOQKNw81lyY46Zc7U_Cj72hBMp9U/edit?usp=sharing"",""นครสวรรค์!I620"")"),0)</f>
        <v>0</v>
      </c>
      <c r="CO18" s="261">
        <f ca="1">IFERROR(__xludf.DUMMYFUNCTION("IMPORTRANGE(""https://docs.google.com/spreadsheets/d/10nSRjK08hx8Y6HgSOQKNw81lyY46Zc7U_Cj72hBMp9U/edit?usp=sharing"",""นครสวรรค์!I621"")"),0)</f>
        <v>0</v>
      </c>
      <c r="CP18" s="262">
        <f ca="1">IFERROR(__xludf.DUMMYFUNCTION("IMPORTRANGE(""https://docs.google.com/spreadsheets/d/10nSRjK08hx8Y6HgSOQKNw81lyY46Zc7U_Cj72hBMp9U/edit?usp=sharing"",""นครสวรรค์!J620"")"),0)</f>
        <v>0</v>
      </c>
      <c r="CQ18" s="262">
        <f t="shared" ca="1" si="38"/>
        <v>0</v>
      </c>
      <c r="CR18" s="261">
        <f ca="1">IFERROR(__xludf.DUMMYFUNCTION("IMPORTRANGE(""https://docs.google.com/spreadsheets/d/10nSRjK08hx8Y6HgSOQKNw81lyY46Zc7U_Cj72hBMp9U/edit?usp=sharing"",""นครสวรรค์!J621"")"),0)</f>
        <v>0</v>
      </c>
      <c r="CS18" s="262">
        <f t="shared" ca="1" si="22"/>
        <v>0</v>
      </c>
      <c r="CT18" s="186">
        <f ca="1">IFERROR(__xludf.DUMMYFUNCTION("IMPORTRANGE(""https://docs.google.com/spreadsheets/d/10nSRjK08hx8Y6HgSOQKNw81lyY46Zc7U_Cj72hBMp9U/edit?usp=sharing"",""นครสวรรค์!J622"")"),0)</f>
        <v>0</v>
      </c>
      <c r="CU18" s="261">
        <f ca="1">IFERROR(__xludf.DUMMYFUNCTION("IMPORTRANGE(""https://docs.google.com/spreadsheets/d/10nSRjK08hx8Y6HgSOQKNw81lyY46Zc7U_Cj72hBMp9U/edit?usp=sharing"",""นครสวรรค์!J623"")"),0)</f>
        <v>0</v>
      </c>
      <c r="CV18" s="186">
        <f ca="1">IFERROR(__xludf.DUMMYFUNCTION("IMPORTRANGE(""https://docs.google.com/spreadsheets/d/10nSRjK08hx8Y6HgSOQKNw81lyY46Zc7U_Cj72hBMp9U/edit?usp=sharing"",""นครสวรรค์!J624"")"),0)</f>
        <v>0</v>
      </c>
      <c r="CW18" s="261">
        <f ca="1">IFERROR(__xludf.DUMMYFUNCTION("IMPORTRANGE(""https://docs.google.com/spreadsheets/d/10nSRjK08hx8Y6HgSOQKNw81lyY46Zc7U_Cj72hBMp9U/edit?usp=sharing"",""นครสวรรค์!J625"")"),0)</f>
        <v>0</v>
      </c>
      <c r="CX18" s="186">
        <f ca="1">IFERROR(__xludf.DUMMYFUNCTION("IMPORTRANGE(""https://docs.google.com/spreadsheets/d/10nSRjK08hx8Y6HgSOQKNw81lyY46Zc7U_Cj72hBMp9U/edit?usp=sharing"",""นครสวรรค์!J626"")"),0)</f>
        <v>0</v>
      </c>
      <c r="CY18" s="261">
        <f ca="1">IFERROR(__xludf.DUMMYFUNCTION("IMPORTRANGE(""https://docs.google.com/spreadsheets/d/10nSRjK08hx8Y6HgSOQKNw81lyY46Zc7U_Cj72hBMp9U/edit?usp=sharing"",""นครสวรรค์!J627"")"),0)</f>
        <v>0</v>
      </c>
    </row>
    <row r="19" spans="1:103" ht="24" customHeight="1" x14ac:dyDescent="0.3">
      <c r="A19" s="178">
        <v>6</v>
      </c>
      <c r="B19" s="179" t="s">
        <v>36</v>
      </c>
      <c r="C19" s="180">
        <f t="shared" ca="1" si="49"/>
        <v>402414</v>
      </c>
      <c r="D19" s="181">
        <f ca="1">IFERROR(__xludf.DUMMYFUNCTION("IMPORTRANGE(""https://docs.google.com/spreadsheets/d/1gFVb7qd7amutrIxAAoM7lcy35hllxznovot8lyOfvDo/edit?usp=sharing"",""น่าน!L549"")"),402414)</f>
        <v>402414</v>
      </c>
      <c r="E19" s="187">
        <f ca="1">IFERROR(__xludf.DUMMYFUNCTION("IMPORTRANGE(""https://docs.google.com/spreadsheets/d/1gFVb7qd7amutrIxAAoM7lcy35hllxznovot8lyOfvDo/edit?usp=sharing"",""น่าน!L557"")"),0)</f>
        <v>0</v>
      </c>
      <c r="F19" s="182">
        <f t="shared" ca="1" si="1"/>
        <v>115935</v>
      </c>
      <c r="G19" s="183">
        <f t="shared" ca="1" si="2"/>
        <v>28.809882359957655</v>
      </c>
      <c r="H19" s="184">
        <f t="shared" ca="1" si="50"/>
        <v>115935</v>
      </c>
      <c r="I19" s="187">
        <f ca="1">IFERROR(__xludf.DUMMYFUNCTION("IMPORTRANGE(""https://docs.google.com/spreadsheets/d/1gFVb7qd7amutrIxAAoM7lcy35hllxznovot8lyOfvDo/edit?usp=sharing"",""น่าน!N550"")"),0)</f>
        <v>0</v>
      </c>
      <c r="J19" s="187">
        <f ca="1">IFERROR(__xludf.DUMMYFUNCTION("IMPORTRANGE(""https://docs.google.com/spreadsheets/d/1gFVb7qd7amutrIxAAoM7lcy35hllxznovot8lyOfvDo/edit?usp=sharing"",""น่าน!N551"")"),0)</f>
        <v>0</v>
      </c>
      <c r="K19" s="187">
        <f ca="1">IFERROR(__xludf.DUMMYFUNCTION("IMPORTRANGE(""https://docs.google.com/spreadsheets/d/1gFVb7qd7amutrIxAAoM7lcy35hllxznovot8lyOfvDo/edit?usp=sharing"",""น่าน!N552"")"),52000)</f>
        <v>52000</v>
      </c>
      <c r="L19" s="187">
        <f ca="1">IFERROR(__xludf.DUMMYFUNCTION("IMPORTRANGE(""https://docs.google.com/spreadsheets/d/1gFVb7qd7amutrIxAAoM7lcy35hllxznovot8lyOfvDo/edit?usp=sharing"",""น่าน!N553"")"),63935)</f>
        <v>63935</v>
      </c>
      <c r="M19" s="187">
        <f ca="1">IFERROR(__xludf.DUMMYFUNCTION("IMPORTRANGE(""https://docs.google.com/spreadsheets/d/1gFVb7qd7amutrIxAAoM7lcy35hllxznovot8lyOfvDo/edit?usp=sharing"",""น่าน!N554"")"),0)</f>
        <v>0</v>
      </c>
      <c r="N19" s="185">
        <f ca="1">IFERROR(__xludf.DUMMYFUNCTION("IMPORTRANGE(""https://docs.google.com/spreadsheets/d/1gFVb7qd7amutrIxAAoM7lcy35hllxznovot8lyOfvDo/edit?usp=sharing"",""น่าน!N557"")"),0)</f>
        <v>0</v>
      </c>
      <c r="O19" s="185">
        <f t="shared" ca="1" si="41"/>
        <v>0</v>
      </c>
      <c r="P19" s="181">
        <f ca="1">IFERROR(__xludf.DUMMYFUNCTION("IMPORTRANGE(""https://docs.google.com/spreadsheets/d/1gFVb7qd7amutrIxAAoM7lcy35hllxznovot8lyOfvDo/edit?usp=sharing"",""น่าน!I560"")"),41986)</f>
        <v>41986</v>
      </c>
      <c r="Q19" s="181">
        <f ca="1">IFERROR(__xludf.DUMMYFUNCTION("IMPORTRANGE(""https://docs.google.com/spreadsheets/d/1gFVb7qd7amutrIxAAoM7lcy35hllxznovot8lyOfvDo/edit?usp=sharing"",""น่าน!I561"")"),12241)</f>
        <v>12241</v>
      </c>
      <c r="R19" s="186">
        <f ca="1">IFERROR(__xludf.DUMMYFUNCTION("IMPORTRANGE(""https://docs.google.com/spreadsheets/d/1gFVb7qd7amutrIxAAoM7lcy35hllxznovot8lyOfvDo/edit?usp=sharing"",""น่าน!J560"")"),34072)</f>
        <v>34072</v>
      </c>
      <c r="S19" s="186">
        <f t="shared" ca="1" si="33"/>
        <v>81.150859810412996</v>
      </c>
      <c r="T19" s="181">
        <f ca="1">IFERROR(__xludf.DUMMYFUNCTION("IMPORTRANGE(""https://docs.google.com/spreadsheets/d/1gFVb7qd7amutrIxAAoM7lcy35hllxznovot8lyOfvDo/edit?usp=sharing"",""น่าน!J561"")"),12032)</f>
        <v>12032</v>
      </c>
      <c r="U19" s="186">
        <f t="shared" ca="1" si="7"/>
        <v>98.292623151703296</v>
      </c>
      <c r="V19" s="186">
        <f ca="1">IFERROR(__xludf.DUMMYFUNCTION("IMPORTRANGE(""https://docs.google.com/spreadsheets/d/1gFVb7qd7amutrIxAAoM7lcy35hllxznovot8lyOfvDo/edit?usp=sharing"",""น่าน!J562"")"),30434)</f>
        <v>30434</v>
      </c>
      <c r="W19" s="261">
        <f ca="1">IFERROR(__xludf.DUMMYFUNCTION("IMPORTRANGE(""https://docs.google.com/spreadsheets/d/1gFVb7qd7amutrIxAAoM7lcy35hllxznovot8lyOfvDo/edit?usp=sharing"",""น่าน!J563"")"),9217)</f>
        <v>9217</v>
      </c>
      <c r="X19" s="186">
        <f ca="1">IFERROR(__xludf.DUMMYFUNCTION("IMPORTRANGE(""https://docs.google.com/spreadsheets/d/1gFVb7qd7amutrIxAAoM7lcy35hllxznovot8lyOfvDo/edit?usp=sharing"",""น่าน!J564"")"),2931)</f>
        <v>2931</v>
      </c>
      <c r="Y19" s="261">
        <f ca="1">IFERROR(__xludf.DUMMYFUNCTION("IMPORTRANGE(""https://docs.google.com/spreadsheets/d/1gFVb7qd7amutrIxAAoM7lcy35hllxznovot8lyOfvDo/edit?usp=sharing"",""น่าน!J565"")"),557)</f>
        <v>557</v>
      </c>
      <c r="Z19" s="186">
        <f ca="1">IFERROR(__xludf.DUMMYFUNCTION("IMPORTRANGE(""https://docs.google.com/spreadsheets/d/1gFVb7qd7amutrIxAAoM7lcy35hllxznovot8lyOfvDo/edit?usp=sharing"",""น่าน!J566"")"),707)</f>
        <v>707</v>
      </c>
      <c r="AA19" s="261">
        <f ca="1">IFERROR(__xludf.DUMMYFUNCTION("IMPORTRANGE(""https://docs.google.com/spreadsheets/d/1gFVb7qd7amutrIxAAoM7lcy35hllxznovot8lyOfvDo/edit?usp=sharing"",""น่าน!J567"")"),2258)</f>
        <v>2258</v>
      </c>
      <c r="AB19" s="181">
        <f ca="1">IFERROR(__xludf.DUMMYFUNCTION("IMPORTRANGE(""https://docs.google.com/spreadsheets/d/1gFVb7qd7amutrIxAAoM7lcy35hllxznovot8lyOfvDo/edit?usp=sharing"",""น่าน!I568"")"),41986)</f>
        <v>41986</v>
      </c>
      <c r="AC19" s="181">
        <f ca="1">IFERROR(__xludf.DUMMYFUNCTION("IMPORTRANGE(""https://docs.google.com/spreadsheets/d/1gFVb7qd7amutrIxAAoM7lcy35hllxznovot8lyOfvDo/edit?usp=sharing"",""น่าน!I569"")"),12241)</f>
        <v>12241</v>
      </c>
      <c r="AD19" s="186">
        <f ca="1">IFERROR(__xludf.DUMMYFUNCTION("IMPORTRANGE(""https://docs.google.com/spreadsheets/d/1gFVb7qd7amutrIxAAoM7lcy35hllxznovot8lyOfvDo/edit?usp=sharing"",""น่าน!J568"")"),0)</f>
        <v>0</v>
      </c>
      <c r="AE19" s="186">
        <f t="shared" ca="1" si="34"/>
        <v>0</v>
      </c>
      <c r="AF19" s="181">
        <f ca="1">IFERROR(__xludf.DUMMYFUNCTION("IMPORTRANGE(""https://docs.google.com/spreadsheets/d/1gFVb7qd7amutrIxAAoM7lcy35hllxznovot8lyOfvDo/edit?usp=sharing"",""น่าน!J569"")"),0)</f>
        <v>0</v>
      </c>
      <c r="AG19" s="186">
        <f t="shared" ca="1" si="10"/>
        <v>0</v>
      </c>
      <c r="AH19" s="186">
        <f ca="1">IFERROR(__xludf.DUMMYFUNCTION("IMPORTRANGE(""https://docs.google.com/spreadsheets/d/1gFVb7qd7amutrIxAAoM7lcy35hllxznovot8lyOfvDo/edit?usp=sharing"",""น่าน!J570"")"),0)</f>
        <v>0</v>
      </c>
      <c r="AI19" s="261">
        <f ca="1">IFERROR(__xludf.DUMMYFUNCTION("IMPORTRANGE(""https://docs.google.com/spreadsheets/d/1gFVb7qd7amutrIxAAoM7lcy35hllxznovot8lyOfvDo/edit?usp=sharing"",""น่าน!J571"")"),0)</f>
        <v>0</v>
      </c>
      <c r="AJ19" s="186">
        <f ca="1">IFERROR(__xludf.DUMMYFUNCTION("IMPORTRANGE(""https://docs.google.com/spreadsheets/d/1gFVb7qd7amutrIxAAoM7lcy35hllxznovot8lyOfvDo/edit?usp=sharing"",""น่าน!J572"")"),0)</f>
        <v>0</v>
      </c>
      <c r="AK19" s="261">
        <f ca="1">IFERROR(__xludf.DUMMYFUNCTION("IMPORTRANGE(""https://docs.google.com/spreadsheets/d/1gFVb7qd7amutrIxAAoM7lcy35hllxznovot8lyOfvDo/edit?usp=sharing"",""น่าน!J573"")"),0)</f>
        <v>0</v>
      </c>
      <c r="AL19" s="186">
        <f ca="1">IFERROR(__xludf.DUMMYFUNCTION("IMPORTRANGE(""https://docs.google.com/spreadsheets/d/1gFVb7qd7amutrIxAAoM7lcy35hllxznovot8lyOfvDo/edit?usp=sharing"",""น่าน!J574"")"),0)</f>
        <v>0</v>
      </c>
      <c r="AM19" s="261">
        <f ca="1">IFERROR(__xludf.DUMMYFUNCTION("IMPORTRANGE(""https://docs.google.com/spreadsheets/d/1gFVb7qd7amutrIxAAoM7lcy35hllxznovot8lyOfvDo/edit?usp=sharing"",""น่าน!J575"")"),0)</f>
        <v>0</v>
      </c>
      <c r="AN19" s="181">
        <f ca="1">IFERROR(__xludf.DUMMYFUNCTION("IMPORTRANGE(""https://docs.google.com/spreadsheets/d/1gFVb7qd7amutrIxAAoM7lcy35hllxznovot8lyOfvDo/edit?usp=sharing"",""น่าน!I576"")"),41986)</f>
        <v>41986</v>
      </c>
      <c r="AO19" s="181">
        <f ca="1">IFERROR(__xludf.DUMMYFUNCTION("IMPORTRANGE(""https://docs.google.com/spreadsheets/d/1gFVb7qd7amutrIxAAoM7lcy35hllxznovot8lyOfvDo/edit?usp=sharing"",""น่าน!I577"")"),12241)</f>
        <v>12241</v>
      </c>
      <c r="AP19" s="186">
        <f ca="1">IFERROR(__xludf.DUMMYFUNCTION("IMPORTRANGE(""https://docs.google.com/spreadsheets/d/1gFVb7qd7amutrIxAAoM7lcy35hllxznovot8lyOfvDo/edit?usp=sharing"",""น่าน!J576"")"),0)</f>
        <v>0</v>
      </c>
      <c r="AQ19" s="186">
        <f t="shared" ca="1" si="35"/>
        <v>0</v>
      </c>
      <c r="AR19" s="181">
        <f ca="1">IFERROR(__xludf.DUMMYFUNCTION("IMPORTRANGE(""https://docs.google.com/spreadsheets/d/1gFVb7qd7amutrIxAAoM7lcy35hllxznovot8lyOfvDo/edit?usp=sharing"",""น่าน!J577"")"),0)</f>
        <v>0</v>
      </c>
      <c r="AS19" s="186">
        <f t="shared" ca="1" si="13"/>
        <v>0</v>
      </c>
      <c r="AT19" s="186">
        <f ca="1">IFERROR(__xludf.DUMMYFUNCTION("IMPORTRANGE(""https://docs.google.com/spreadsheets/d/1gFVb7qd7amutrIxAAoM7lcy35hllxznovot8lyOfvDo/edit?usp=sharing"",""น่าน!J578"")"),0)</f>
        <v>0</v>
      </c>
      <c r="AU19" s="261">
        <f ca="1">IFERROR(__xludf.DUMMYFUNCTION("IMPORTRANGE(""https://docs.google.com/spreadsheets/d/1gFVb7qd7amutrIxAAoM7lcy35hllxznovot8lyOfvDo/edit?usp=sharing"",""น่าน!J579"")"),0)</f>
        <v>0</v>
      </c>
      <c r="AV19" s="186">
        <f ca="1">IFERROR(__xludf.DUMMYFUNCTION("IMPORTRANGE(""https://docs.google.com/spreadsheets/d/1gFVb7qd7amutrIxAAoM7lcy35hllxznovot8lyOfvDo/edit?usp=sharing"",""น่าน!J580"")"),0)</f>
        <v>0</v>
      </c>
      <c r="AW19" s="261">
        <f ca="1">IFERROR(__xludf.DUMMYFUNCTION("IMPORTRANGE(""https://docs.google.com/spreadsheets/d/1gFVb7qd7amutrIxAAoM7lcy35hllxznovot8lyOfvDo/edit?usp=sharing"",""น่าน!J581"")"),0)</f>
        <v>0</v>
      </c>
      <c r="AX19" s="186">
        <f ca="1">IFERROR(__xludf.DUMMYFUNCTION("IMPORTRANGE(""https://docs.google.com/spreadsheets/d/1gFVb7qd7amutrIxAAoM7lcy35hllxznovot8lyOfvDo/edit?usp=sharing"",""น่าน!J582"")"),0)</f>
        <v>0</v>
      </c>
      <c r="AY19" s="261">
        <f ca="1">IFERROR(__xludf.DUMMYFUNCTION("IMPORTRANGE(""https://docs.google.com/spreadsheets/d/1gFVb7qd7amutrIxAAoM7lcy35hllxznovot8lyOfvDo/edit?usp=sharing"",""น่าน!J583"")"),0)</f>
        <v>0</v>
      </c>
      <c r="AZ19" s="262">
        <f ca="1">IFERROR(__xludf.DUMMYFUNCTION("IMPORTRANGE(""https://docs.google.com/spreadsheets/d/1gFVb7qd7amutrIxAAoM7lcy35hllxznovot8lyOfvDo/edit?usp=sharing"",""น่าน!J584"")"),0)</f>
        <v>0</v>
      </c>
      <c r="BA19" s="261">
        <f ca="1">IFERROR(__xludf.DUMMYFUNCTION("IMPORTRANGE(""https://docs.google.com/spreadsheets/d/1gFVb7qd7amutrIxAAoM7lcy35hllxznovot8lyOfvDo/edit?usp=sharing"",""น่าน!J585"")"),0)</f>
        <v>0</v>
      </c>
      <c r="BB19" s="262">
        <f ca="1">IFERROR(__xludf.DUMMYFUNCTION("IMPORTRANGE(""https://docs.google.com/spreadsheets/d/1gFVb7qd7amutrIxAAoM7lcy35hllxznovot8lyOfvDo/edit?usp=sharing"",""น่าน!J586"")"),0)</f>
        <v>0</v>
      </c>
      <c r="BC19" s="261">
        <f ca="1">IFERROR(__xludf.DUMMYFUNCTION("IMPORTRANGE(""https://docs.google.com/spreadsheets/d/1gFVb7qd7amutrIxAAoM7lcy35hllxznovot8lyOfvDo/edit?usp=sharing"",""น่าน!J587"")"),0)</f>
        <v>0</v>
      </c>
      <c r="BD19" s="186">
        <f ca="1">IFERROR(__xludf.DUMMYFUNCTION("IMPORTRANGE(""https://docs.google.com/spreadsheets/d/1gFVb7qd7amutrIxAAoM7lcy35hllxznovot8lyOfvDo/edit?usp=sharing"",""น่าน!J588"")"),0)</f>
        <v>0</v>
      </c>
      <c r="BE19" s="261">
        <f ca="1">IFERROR(__xludf.DUMMYFUNCTION("IMPORTRANGE(""https://docs.google.com/spreadsheets/d/1gFVb7qd7amutrIxAAoM7lcy35hllxznovot8lyOfvDo/edit?usp=sharing"",""น่าน!J589"")"),0)</f>
        <v>0</v>
      </c>
      <c r="BF19" s="186">
        <f ca="1">IFERROR(__xludf.DUMMYFUNCTION("IMPORTRANGE(""https://docs.google.com/spreadsheets/d/1gFVb7qd7amutrIxAAoM7lcy35hllxznovot8lyOfvDo/edit?usp=sharing"",""น่าน!J590"")"),0)</f>
        <v>0</v>
      </c>
      <c r="BG19" s="261">
        <f ca="1">IFERROR(__xludf.DUMMYFUNCTION("IMPORTRANGE(""https://docs.google.com/spreadsheets/d/1gFVb7qd7amutrIxAAoM7lcy35hllxznovot8lyOfvDo/edit?usp=sharing"",""น่าน!J591"")"),0)</f>
        <v>0</v>
      </c>
      <c r="BH19" s="181">
        <f ca="1">IFERROR(__xludf.DUMMYFUNCTION("IMPORTRANGE(""https://docs.google.com/spreadsheets/d/1gFVb7qd7amutrIxAAoM7lcy35hllxznovot8lyOfvDo/edit?usp=sharing"",""น่าน!I593"")"),1261.48)</f>
        <v>1261.48</v>
      </c>
      <c r="BI19" s="181">
        <f ca="1">IFERROR(__xludf.DUMMYFUNCTION("IMPORTRANGE(""https://docs.google.com/spreadsheets/d/1gFVb7qd7amutrIxAAoM7lcy35hllxznovot8lyOfvDo/edit?usp=sharing"",""น่าน!I594"")"),190)</f>
        <v>190</v>
      </c>
      <c r="BJ19" s="186">
        <f ca="1">IFERROR(__xludf.DUMMYFUNCTION("IMPORTRANGE(""https://docs.google.com/spreadsheets/d/1gFVb7qd7amutrIxAAoM7lcy35hllxznovot8lyOfvDo/edit?usp=sharing"",""น่าน!J593"")"),0)</f>
        <v>0</v>
      </c>
      <c r="BK19" s="186">
        <f t="shared" ca="1" si="36"/>
        <v>0</v>
      </c>
      <c r="BL19" s="181">
        <f ca="1">IFERROR(__xludf.DUMMYFUNCTION("IMPORTRANGE(""https://docs.google.com/spreadsheets/d/1gFVb7qd7amutrIxAAoM7lcy35hllxznovot8lyOfvDo/edit?usp=sharing"",""น่าน!J594"")"),0)</f>
        <v>0</v>
      </c>
      <c r="BM19" s="186">
        <f t="shared" ca="1" si="16"/>
        <v>0</v>
      </c>
      <c r="BN19" s="186">
        <f ca="1">IFERROR(__xludf.DUMMYFUNCTION("IMPORTRANGE(""https://docs.google.com/spreadsheets/d/1gFVb7qd7amutrIxAAoM7lcy35hllxznovot8lyOfvDo/edit?usp=sharing"",""น่าน!J595"")"),0)</f>
        <v>0</v>
      </c>
      <c r="BO19" s="261">
        <f ca="1">IFERROR(__xludf.DUMMYFUNCTION("IMPORTRANGE(""https://docs.google.com/spreadsheets/d/1gFVb7qd7amutrIxAAoM7lcy35hllxznovot8lyOfvDo/edit?usp=sharing"",""น่าน!J596"")"),0)</f>
        <v>0</v>
      </c>
      <c r="BP19" s="186">
        <f ca="1">IFERROR(__xludf.DUMMYFUNCTION("IMPORTRANGE(""https://docs.google.com/spreadsheets/d/1gFVb7qd7amutrIxAAoM7lcy35hllxznovot8lyOfvDo/edit?usp=sharing"",""น่าน!J597"")"),0)</f>
        <v>0</v>
      </c>
      <c r="BQ19" s="261">
        <f ca="1">IFERROR(__xludf.DUMMYFUNCTION("IMPORTRANGE(""https://docs.google.com/spreadsheets/d/1gFVb7qd7amutrIxAAoM7lcy35hllxznovot8lyOfvDo/edit?usp=sharing"",""น่าน!J598"")"),0)</f>
        <v>0</v>
      </c>
      <c r="BR19" s="186">
        <f ca="1">IFERROR(__xludf.DUMMYFUNCTION("IMPORTRANGE(""https://docs.google.com/spreadsheets/d/1gFVb7qd7amutrIxAAoM7lcy35hllxznovot8lyOfvDo/edit?usp=sharing"",""น่าน!J599"")"),0)</f>
        <v>0</v>
      </c>
      <c r="BS19" s="261">
        <f ca="1">IFERROR(__xludf.DUMMYFUNCTION("IMPORTRANGE(""https://docs.google.com/spreadsheets/d/1gFVb7qd7amutrIxAAoM7lcy35hllxznovot8lyOfvDo/edit?usp=sharing"",""น่าน!J600"")"),0)</f>
        <v>0</v>
      </c>
      <c r="BT19" s="262">
        <f ca="1">IFERROR(__xludf.DUMMYFUNCTION("IMPORTRANGE(""https://docs.google.com/spreadsheets/d/1gFVb7qd7amutrIxAAoM7lcy35hllxznovot8lyOfvDo/edit?usp=sharing"",""น่าน!J601"")"),0)</f>
        <v>0</v>
      </c>
      <c r="BU19" s="261">
        <f ca="1">IFERROR(__xludf.DUMMYFUNCTION("IMPORTRANGE(""https://docs.google.com/spreadsheets/d/1gFVb7qd7amutrIxAAoM7lcy35hllxznovot8lyOfvDo/edit?usp=sharing"",""น่าน!J602"")"),0)</f>
        <v>0</v>
      </c>
      <c r="BV19" s="186">
        <f ca="1">IFERROR(__xludf.DUMMYFUNCTION("IMPORTRANGE(""https://docs.google.com/spreadsheets/d/1gFVb7qd7amutrIxAAoM7lcy35hllxznovot8lyOfvDo/edit?usp=sharing"",""น่าน!J603"")"),0)</f>
        <v>0</v>
      </c>
      <c r="BW19" s="261">
        <f ca="1">IFERROR(__xludf.DUMMYFUNCTION("IMPORTRANGE(""https://docs.google.com/spreadsheets/d/1gFVb7qd7amutrIxAAoM7lcy35hllxznovot8lyOfvDo/edit?usp=sharing"",""น่าน!J604"")"),0)</f>
        <v>0</v>
      </c>
      <c r="BX19" s="186">
        <f ca="1">IFERROR(__xludf.DUMMYFUNCTION("IMPORTRANGE(""https://docs.google.com/spreadsheets/d/1gFVb7qd7amutrIxAAoM7lcy35hllxznovot8lyOfvDo/edit?usp=sharing"",""น่าน!J605"")"),0)</f>
        <v>0</v>
      </c>
      <c r="BY19" s="261">
        <f ca="1">IFERROR(__xludf.DUMMYFUNCTION("IMPORTRANGE(""https://docs.google.com/spreadsheets/d/1gFVb7qd7amutrIxAAoM7lcy35hllxznovot8lyOfvDo/edit?usp=sharing"",""น่าน!J606"")"),0)</f>
        <v>0</v>
      </c>
      <c r="BZ19" s="186">
        <f ca="1">IFERROR(__xludf.DUMMYFUNCTION("IMPORTRANGE(""https://docs.google.com/spreadsheets/d/1gFVb7qd7amutrIxAAoM7lcy35hllxznovot8lyOfvDo/edit?usp=sharing"",""น่าน!J607"")"),0)</f>
        <v>0</v>
      </c>
      <c r="CA19" s="261">
        <f ca="1">IFERROR(__xludf.DUMMYFUNCTION("IMPORTRANGE(""https://docs.google.com/spreadsheets/d/1gFVb7qd7amutrIxAAoM7lcy35hllxznovot8lyOfvDo/edit?usp=sharing"",""น่าน!J608"")"),0)</f>
        <v>0</v>
      </c>
      <c r="CB19" s="186">
        <f ca="1">IFERROR(__xludf.DUMMYFUNCTION("IMPORTRANGE(""https://docs.google.com/spreadsheets/d/1gFVb7qd7amutrIxAAoM7lcy35hllxznovot8lyOfvDo/edit?usp=sharing"",""น่าน!J609"")"),0)</f>
        <v>0</v>
      </c>
      <c r="CC19" s="261">
        <f ca="1">IFERROR(__xludf.DUMMYFUNCTION("IMPORTRANGE(""https://docs.google.com/spreadsheets/d/1gFVb7qd7amutrIxAAoM7lcy35hllxznovot8lyOfvDo/edit?usp=sharing"",""น่าน!J610"")"),0)</f>
        <v>0</v>
      </c>
      <c r="CD19" s="261">
        <f ca="1">IFERROR(__xludf.DUMMYFUNCTION("IMPORTRANGE(""https://docs.google.com/spreadsheets/d/1gFVb7qd7amutrIxAAoM7lcy35hllxznovot8lyOfvDo/edit?usp=sharing"",""น่าน!I612"")"),0)</f>
        <v>0</v>
      </c>
      <c r="CE19" s="261">
        <f ca="1">IFERROR(__xludf.DUMMYFUNCTION("IMPORTRANGE(""https://docs.google.com/spreadsheets/d/1gFVb7qd7amutrIxAAoM7lcy35hllxznovot8lyOfvDo/edit?usp=sharing"",""น่าน!I594"")"),190)</f>
        <v>190</v>
      </c>
      <c r="CF19" s="262">
        <f ca="1">IFERROR(__xludf.DUMMYFUNCTION("IMPORTRANGE(""https://docs.google.com/spreadsheets/d/1gFVb7qd7amutrIxAAoM7lcy35hllxznovot8lyOfvDo/edit?usp=sharing"",""น่าน!J612"")"),0)</f>
        <v>0</v>
      </c>
      <c r="CG19" s="262">
        <f t="shared" ca="1" si="37"/>
        <v>0</v>
      </c>
      <c r="CH19" s="261">
        <f ca="1">IFERROR(__xludf.DUMMYFUNCTION("IMPORTRANGE(""https://docs.google.com/spreadsheets/d/1gFVb7qd7amutrIxAAoM7lcy35hllxznovot8lyOfvDo/edit?usp=sharing"",""น่าน!J613"")"),0)</f>
        <v>0</v>
      </c>
      <c r="CI19" s="262">
        <f t="shared" ca="1" si="19"/>
        <v>0</v>
      </c>
      <c r="CJ19" s="186">
        <f ca="1">IFERROR(__xludf.DUMMYFUNCTION("IMPORTRANGE(""https://docs.google.com/spreadsheets/d/1gFVb7qd7amutrIxAAoM7lcy35hllxznovot8lyOfvDo/edit?usp=sharing"",""น่าน!J614"")"),0)</f>
        <v>0</v>
      </c>
      <c r="CK19" s="261">
        <f ca="1">IFERROR(__xludf.DUMMYFUNCTION("IMPORTRANGE(""https://docs.google.com/spreadsheets/d/1gFVb7qd7amutrIxAAoM7lcy35hllxznovot8lyOfvDo/edit?usp=sharing"",""น่าน!J615"")"),0)</f>
        <v>0</v>
      </c>
      <c r="CL19" s="186">
        <f ca="1">IFERROR(__xludf.DUMMYFUNCTION("IMPORTRANGE(""https://docs.google.com/spreadsheets/d/1gFVb7qd7amutrIxAAoM7lcy35hllxznovot8lyOfvDo/edit?usp=sharing"",""น่าน!J616"")"),0)</f>
        <v>0</v>
      </c>
      <c r="CM19" s="261">
        <f ca="1">IFERROR(__xludf.DUMMYFUNCTION("IMPORTRANGE(""https://docs.google.com/spreadsheets/d/1gFVb7qd7amutrIxAAoM7lcy35hllxznovot8lyOfvDo/edit?usp=sharing"",""น่าน!J617"")"),0)</f>
        <v>0</v>
      </c>
      <c r="CN19" s="261">
        <f ca="1">IFERROR(__xludf.DUMMYFUNCTION("IMPORTRANGE(""https://docs.google.com/spreadsheets/d/1gFVb7qd7amutrIxAAoM7lcy35hllxznovot8lyOfvDo/edit?usp=sharing"",""น่าน!I620"")"),0)</f>
        <v>0</v>
      </c>
      <c r="CO19" s="261">
        <f ca="1">IFERROR(__xludf.DUMMYFUNCTION("IMPORTRANGE(""https://docs.google.com/spreadsheets/d/1gFVb7qd7amutrIxAAoM7lcy35hllxznovot8lyOfvDo/edit?usp=sharing"",""น่าน!I621"")"),0)</f>
        <v>0</v>
      </c>
      <c r="CP19" s="262">
        <f ca="1">IFERROR(__xludf.DUMMYFUNCTION("IMPORTRANGE(""https://docs.google.com/spreadsheets/d/1gFVb7qd7amutrIxAAoM7lcy35hllxznovot8lyOfvDo/edit?usp=sharing"",""น่าน!J620"")"),0)</f>
        <v>0</v>
      </c>
      <c r="CQ19" s="262">
        <f t="shared" ca="1" si="38"/>
        <v>0</v>
      </c>
      <c r="CR19" s="261">
        <f ca="1">IFERROR(__xludf.DUMMYFUNCTION("IMPORTRANGE(""https://docs.google.com/spreadsheets/d/1gFVb7qd7amutrIxAAoM7lcy35hllxznovot8lyOfvDo/edit?usp=sharing"",""น่าน!J621"")"),0)</f>
        <v>0</v>
      </c>
      <c r="CS19" s="262">
        <f t="shared" ca="1" si="22"/>
        <v>0</v>
      </c>
      <c r="CT19" s="186">
        <f ca="1">IFERROR(__xludf.DUMMYFUNCTION("IMPORTRANGE(""https://docs.google.com/spreadsheets/d/1gFVb7qd7amutrIxAAoM7lcy35hllxznovot8lyOfvDo/edit?usp=sharing"",""น่าน!J622"")"),0)</f>
        <v>0</v>
      </c>
      <c r="CU19" s="261">
        <f ca="1">IFERROR(__xludf.DUMMYFUNCTION("IMPORTRANGE(""https://docs.google.com/spreadsheets/d/1gFVb7qd7amutrIxAAoM7lcy35hllxznovot8lyOfvDo/edit?usp=sharing"",""น่าน!J623"")"),0)</f>
        <v>0</v>
      </c>
      <c r="CV19" s="186">
        <f ca="1">IFERROR(__xludf.DUMMYFUNCTION("IMPORTRANGE(""https://docs.google.com/spreadsheets/d/1gFVb7qd7amutrIxAAoM7lcy35hllxznovot8lyOfvDo/edit?usp=sharing"",""น่าน!J624"")"),0)</f>
        <v>0</v>
      </c>
      <c r="CW19" s="261">
        <f ca="1">IFERROR(__xludf.DUMMYFUNCTION("IMPORTRANGE(""https://docs.google.com/spreadsheets/d/1gFVb7qd7amutrIxAAoM7lcy35hllxznovot8lyOfvDo/edit?usp=sharing"",""น่าน!J625"")"),0)</f>
        <v>0</v>
      </c>
      <c r="CX19" s="186">
        <f ca="1">IFERROR(__xludf.DUMMYFUNCTION("IMPORTRANGE(""https://docs.google.com/spreadsheets/d/1gFVb7qd7amutrIxAAoM7lcy35hllxznovot8lyOfvDo/edit?usp=sharing"",""น่าน!J626"")"),0)</f>
        <v>0</v>
      </c>
      <c r="CY19" s="261">
        <f ca="1">IFERROR(__xludf.DUMMYFUNCTION("IMPORTRANGE(""https://docs.google.com/spreadsheets/d/1gFVb7qd7amutrIxAAoM7lcy35hllxznovot8lyOfvDo/edit?usp=sharing"",""น่าน!J627"")"),0)</f>
        <v>0</v>
      </c>
    </row>
    <row r="20" spans="1:103" ht="24" customHeight="1" x14ac:dyDescent="0.3">
      <c r="A20" s="178">
        <v>7</v>
      </c>
      <c r="B20" s="179" t="s">
        <v>37</v>
      </c>
      <c r="C20" s="180">
        <f t="shared" ca="1" si="49"/>
        <v>348546</v>
      </c>
      <c r="D20" s="181">
        <f ca="1">IFERROR(__xludf.DUMMYFUNCTION("IMPORTRANGE(""https://docs.google.com/spreadsheets/d/1K0Aa9s-6EuHE5M0FG1F9aHLXRCOV917xvycTdLdct0w/edit?usp=sharing"",""พะเยา!L549"")"),348546)</f>
        <v>348546</v>
      </c>
      <c r="E20" s="187">
        <f ca="1">IFERROR(__xludf.DUMMYFUNCTION("IMPORTRANGE(""https://docs.google.com/spreadsheets/d/1K0Aa9s-6EuHE5M0FG1F9aHLXRCOV917xvycTdLdct0w/edit?usp=sharing"",""พะเยา!L557"")"),0)</f>
        <v>0</v>
      </c>
      <c r="F20" s="182">
        <f t="shared" ca="1" si="1"/>
        <v>76914</v>
      </c>
      <c r="G20" s="183">
        <f t="shared" ca="1" si="2"/>
        <v>22.067101616429394</v>
      </c>
      <c r="H20" s="184">
        <f t="shared" ca="1" si="50"/>
        <v>76914</v>
      </c>
      <c r="I20" s="187">
        <f ca="1">IFERROR(__xludf.DUMMYFUNCTION("IMPORTRANGE(""https://docs.google.com/spreadsheets/d/1K0Aa9s-6EuHE5M0FG1F9aHLXRCOV917xvycTdLdct0w/edit?usp=sharing"",""พะเยา!N550"")"),0)</f>
        <v>0</v>
      </c>
      <c r="J20" s="187">
        <f ca="1">IFERROR(__xludf.DUMMYFUNCTION("IMPORTRANGE(""https://docs.google.com/spreadsheets/d/1K0Aa9s-6EuHE5M0FG1F9aHLXRCOV917xvycTdLdct0w/edit?usp=sharing"",""พะเยา!N551"")"),0)</f>
        <v>0</v>
      </c>
      <c r="K20" s="187">
        <f ca="1">IFERROR(__xludf.DUMMYFUNCTION("IMPORTRANGE(""https://docs.google.com/spreadsheets/d/1K0Aa9s-6EuHE5M0FG1F9aHLXRCOV917xvycTdLdct0w/edit?usp=sharing"",""พะเยา!N552"")"),37264)</f>
        <v>37264</v>
      </c>
      <c r="L20" s="187">
        <f ca="1">IFERROR(__xludf.DUMMYFUNCTION("IMPORTRANGE(""https://docs.google.com/spreadsheets/d/1K0Aa9s-6EuHE5M0FG1F9aHLXRCOV917xvycTdLdct0w/edit?usp=sharing"",""พะเยา!N553"")"),39650)</f>
        <v>39650</v>
      </c>
      <c r="M20" s="187">
        <f ca="1">IFERROR(__xludf.DUMMYFUNCTION("IMPORTRANGE(""https://docs.google.com/spreadsheets/d/1K0Aa9s-6EuHE5M0FG1F9aHLXRCOV917xvycTdLdct0w/edit?usp=sharing"",""พะเยา!N554"")"),0)</f>
        <v>0</v>
      </c>
      <c r="N20" s="185">
        <f ca="1">IFERROR(__xludf.DUMMYFUNCTION("IMPORTRANGE(""https://docs.google.com/spreadsheets/d/1K0Aa9s-6EuHE5M0FG1F9aHLXRCOV917xvycTdLdct0w/edit?usp=sharing"",""พะเยา!N557"")"),0)</f>
        <v>0</v>
      </c>
      <c r="O20" s="185">
        <f t="shared" ca="1" si="41"/>
        <v>0</v>
      </c>
      <c r="P20" s="181">
        <f ca="1">IFERROR(__xludf.DUMMYFUNCTION("IMPORTRANGE(""https://docs.google.com/spreadsheets/d/1K0Aa9s-6EuHE5M0FG1F9aHLXRCOV917xvycTdLdct0w/edit?usp=sharing"",""พะเยา!I560"")"),25837)</f>
        <v>25837</v>
      </c>
      <c r="Q20" s="181">
        <f ca="1">IFERROR(__xludf.DUMMYFUNCTION("IMPORTRANGE(""https://docs.google.com/spreadsheets/d/1K0Aa9s-6EuHE5M0FG1F9aHLXRCOV917xvycTdLdct0w/edit?usp=sharing"",""พะเยา!I561"")"),4200)</f>
        <v>4200</v>
      </c>
      <c r="R20" s="186">
        <f ca="1">IFERROR(__xludf.DUMMYFUNCTION("IMPORTRANGE(""https://docs.google.com/spreadsheets/d/1K0Aa9s-6EuHE5M0FG1F9aHLXRCOV917xvycTdLdct0w/edit?usp=sharing"",""พะเยา!J560"")"),25837.94)</f>
        <v>25837.94</v>
      </c>
      <c r="S20" s="186">
        <f t="shared" ca="1" si="33"/>
        <v>100.00363819328869</v>
      </c>
      <c r="T20" s="181">
        <f ca="1">IFERROR(__xludf.DUMMYFUNCTION("IMPORTRANGE(""https://docs.google.com/spreadsheets/d/1K0Aa9s-6EuHE5M0FG1F9aHLXRCOV917xvycTdLdct0w/edit?usp=sharing"",""พะเยา!J561"")"),4200)</f>
        <v>4200</v>
      </c>
      <c r="U20" s="186">
        <f t="shared" ca="1" si="7"/>
        <v>100</v>
      </c>
      <c r="V20" s="186">
        <f ca="1">IFERROR(__xludf.DUMMYFUNCTION("IMPORTRANGE(""https://docs.google.com/spreadsheets/d/1K0Aa9s-6EuHE5M0FG1F9aHLXRCOV917xvycTdLdct0w/edit?usp=sharing"",""พะเยา!J562"")"),21337.6)</f>
        <v>21337.599999999999</v>
      </c>
      <c r="W20" s="261">
        <f ca="1">IFERROR(__xludf.DUMMYFUNCTION("IMPORTRANGE(""https://docs.google.com/spreadsheets/d/1K0Aa9s-6EuHE5M0FG1F9aHLXRCOV917xvycTdLdct0w/edit?usp=sharing"",""พะเยา!J563"")"),3517)</f>
        <v>3517</v>
      </c>
      <c r="X20" s="186">
        <f ca="1">IFERROR(__xludf.DUMMYFUNCTION("IMPORTRANGE(""https://docs.google.com/spreadsheets/d/1K0Aa9s-6EuHE5M0FG1F9aHLXRCOV917xvycTdLdct0w/edit?usp=sharing"",""พะเยา!J564"")"),4281)</f>
        <v>4281</v>
      </c>
      <c r="Y20" s="261">
        <f ca="1">IFERROR(__xludf.DUMMYFUNCTION("IMPORTRANGE(""https://docs.google.com/spreadsheets/d/1K0Aa9s-6EuHE5M0FG1F9aHLXRCOV917xvycTdLdct0w/edit?usp=sharing"",""พะเยา!J565"")"),651)</f>
        <v>651</v>
      </c>
      <c r="Z20" s="186">
        <f ca="1">IFERROR(__xludf.DUMMYFUNCTION("IMPORTRANGE(""https://docs.google.com/spreadsheets/d/1K0Aa9s-6EuHE5M0FG1F9aHLXRCOV917xvycTdLdct0w/edit?usp=sharing"",""พะเยา!J566"")"),219.34)</f>
        <v>219.34</v>
      </c>
      <c r="AA20" s="261">
        <f ca="1">IFERROR(__xludf.DUMMYFUNCTION("IMPORTRANGE(""https://docs.google.com/spreadsheets/d/1K0Aa9s-6EuHE5M0FG1F9aHLXRCOV917xvycTdLdct0w/edit?usp=sharing"",""พะเยา!J567"")"),32)</f>
        <v>32</v>
      </c>
      <c r="AB20" s="181">
        <f ca="1">IFERROR(__xludf.DUMMYFUNCTION("IMPORTRANGE(""https://docs.google.com/spreadsheets/d/1K0Aa9s-6EuHE5M0FG1F9aHLXRCOV917xvycTdLdct0w/edit?usp=sharing"",""พะเยา!I568"")"),25837)</f>
        <v>25837</v>
      </c>
      <c r="AC20" s="181">
        <f ca="1">IFERROR(__xludf.DUMMYFUNCTION("IMPORTRANGE(""https://docs.google.com/spreadsheets/d/1K0Aa9s-6EuHE5M0FG1F9aHLXRCOV917xvycTdLdct0w/edit?usp=sharing"",""พะเยา!I569"")"),4200)</f>
        <v>4200</v>
      </c>
      <c r="AD20" s="186">
        <f ca="1">IFERROR(__xludf.DUMMYFUNCTION("IMPORTRANGE(""https://docs.google.com/spreadsheets/d/1K0Aa9s-6EuHE5M0FG1F9aHLXRCOV917xvycTdLdct0w/edit?usp=sharing"",""พะเยา!J568"")"),0)</f>
        <v>0</v>
      </c>
      <c r="AE20" s="186">
        <f t="shared" ca="1" si="34"/>
        <v>0</v>
      </c>
      <c r="AF20" s="181">
        <f ca="1">IFERROR(__xludf.DUMMYFUNCTION("IMPORTRANGE(""https://docs.google.com/spreadsheets/d/1K0Aa9s-6EuHE5M0FG1F9aHLXRCOV917xvycTdLdct0w/edit?usp=sharing"",""พะเยา!J569"")"),0)</f>
        <v>0</v>
      </c>
      <c r="AG20" s="186">
        <f t="shared" ca="1" si="10"/>
        <v>0</v>
      </c>
      <c r="AH20" s="186">
        <f ca="1">IFERROR(__xludf.DUMMYFUNCTION("IMPORTRANGE(""https://docs.google.com/spreadsheets/d/1K0Aa9s-6EuHE5M0FG1F9aHLXRCOV917xvycTdLdct0w/edit?usp=sharing"",""พะเยา!J570"")"),0)</f>
        <v>0</v>
      </c>
      <c r="AI20" s="261">
        <f ca="1">IFERROR(__xludf.DUMMYFUNCTION("IMPORTRANGE(""https://docs.google.com/spreadsheets/d/1K0Aa9s-6EuHE5M0FG1F9aHLXRCOV917xvycTdLdct0w/edit?usp=sharing"",""พะเยา!J571"")"),0)</f>
        <v>0</v>
      </c>
      <c r="AJ20" s="186">
        <f ca="1">IFERROR(__xludf.DUMMYFUNCTION("IMPORTRANGE(""https://docs.google.com/spreadsheets/d/1K0Aa9s-6EuHE5M0FG1F9aHLXRCOV917xvycTdLdct0w/edit?usp=sharing"",""พะเยา!J572"")"),0)</f>
        <v>0</v>
      </c>
      <c r="AK20" s="261">
        <f ca="1">IFERROR(__xludf.DUMMYFUNCTION("IMPORTRANGE(""https://docs.google.com/spreadsheets/d/1K0Aa9s-6EuHE5M0FG1F9aHLXRCOV917xvycTdLdct0w/edit?usp=sharing"",""พะเยา!J573"")"),0)</f>
        <v>0</v>
      </c>
      <c r="AL20" s="186">
        <f ca="1">IFERROR(__xludf.DUMMYFUNCTION("IMPORTRANGE(""https://docs.google.com/spreadsheets/d/1K0Aa9s-6EuHE5M0FG1F9aHLXRCOV917xvycTdLdct0w/edit?usp=sharing"",""พะเยา!J574"")"),0)</f>
        <v>0</v>
      </c>
      <c r="AM20" s="261">
        <f ca="1">IFERROR(__xludf.DUMMYFUNCTION("IMPORTRANGE(""https://docs.google.com/spreadsheets/d/1K0Aa9s-6EuHE5M0FG1F9aHLXRCOV917xvycTdLdct0w/edit?usp=sharing"",""พะเยา!J575"")"),0)</f>
        <v>0</v>
      </c>
      <c r="AN20" s="181">
        <f ca="1">IFERROR(__xludf.DUMMYFUNCTION("IMPORTRANGE(""https://docs.google.com/spreadsheets/d/1K0Aa9s-6EuHE5M0FG1F9aHLXRCOV917xvycTdLdct0w/edit?usp=sharing"",""พะเยา!I576"")"),25837)</f>
        <v>25837</v>
      </c>
      <c r="AO20" s="181">
        <f ca="1">IFERROR(__xludf.DUMMYFUNCTION("IMPORTRANGE(""https://docs.google.com/spreadsheets/d/1K0Aa9s-6EuHE5M0FG1F9aHLXRCOV917xvycTdLdct0w/edit?usp=sharing"",""พะเยา!I577"")"),4200)</f>
        <v>4200</v>
      </c>
      <c r="AP20" s="186">
        <f ca="1">IFERROR(__xludf.DUMMYFUNCTION("IMPORTRANGE(""https://docs.google.com/spreadsheets/d/1K0Aa9s-6EuHE5M0FG1F9aHLXRCOV917xvycTdLdct0w/edit?usp=sharing"",""พะเยา!J576"")"),0)</f>
        <v>0</v>
      </c>
      <c r="AQ20" s="186">
        <f t="shared" ca="1" si="35"/>
        <v>0</v>
      </c>
      <c r="AR20" s="181">
        <f ca="1">IFERROR(__xludf.DUMMYFUNCTION("IMPORTRANGE(""https://docs.google.com/spreadsheets/d/1K0Aa9s-6EuHE5M0FG1F9aHLXRCOV917xvycTdLdct0w/edit?usp=sharing"",""พะเยา!J577"")"),0)</f>
        <v>0</v>
      </c>
      <c r="AS20" s="186">
        <f t="shared" ca="1" si="13"/>
        <v>0</v>
      </c>
      <c r="AT20" s="186">
        <f ca="1">IFERROR(__xludf.DUMMYFUNCTION("IMPORTRANGE(""https://docs.google.com/spreadsheets/d/1K0Aa9s-6EuHE5M0FG1F9aHLXRCOV917xvycTdLdct0w/edit?usp=sharing"",""พะเยา!J578"")"),0)</f>
        <v>0</v>
      </c>
      <c r="AU20" s="261">
        <f ca="1">IFERROR(__xludf.DUMMYFUNCTION("IMPORTRANGE(""https://docs.google.com/spreadsheets/d/1K0Aa9s-6EuHE5M0FG1F9aHLXRCOV917xvycTdLdct0w/edit?usp=sharing"",""พะเยา!J579"")"),0)</f>
        <v>0</v>
      </c>
      <c r="AV20" s="186">
        <f ca="1">IFERROR(__xludf.DUMMYFUNCTION("IMPORTRANGE(""https://docs.google.com/spreadsheets/d/1K0Aa9s-6EuHE5M0FG1F9aHLXRCOV917xvycTdLdct0w/edit?usp=sharing"",""พะเยา!J580"")"),0)</f>
        <v>0</v>
      </c>
      <c r="AW20" s="261">
        <f ca="1">IFERROR(__xludf.DUMMYFUNCTION("IMPORTRANGE(""https://docs.google.com/spreadsheets/d/1K0Aa9s-6EuHE5M0FG1F9aHLXRCOV917xvycTdLdct0w/edit?usp=sharing"",""พะเยา!J581"")"),0)</f>
        <v>0</v>
      </c>
      <c r="AX20" s="186">
        <f ca="1">IFERROR(__xludf.DUMMYFUNCTION("IMPORTRANGE(""https://docs.google.com/spreadsheets/d/1K0Aa9s-6EuHE5M0FG1F9aHLXRCOV917xvycTdLdct0w/edit?usp=sharing"",""พะเยา!J582"")"),0)</f>
        <v>0</v>
      </c>
      <c r="AY20" s="261">
        <f ca="1">IFERROR(__xludf.DUMMYFUNCTION("IMPORTRANGE(""https://docs.google.com/spreadsheets/d/1K0Aa9s-6EuHE5M0FG1F9aHLXRCOV917xvycTdLdct0w/edit?usp=sharing"",""พะเยา!J583"")"),0)</f>
        <v>0</v>
      </c>
      <c r="AZ20" s="262">
        <f ca="1">IFERROR(__xludf.DUMMYFUNCTION("IMPORTRANGE(""https://docs.google.com/spreadsheets/d/1K0Aa9s-6EuHE5M0FG1F9aHLXRCOV917xvycTdLdct0w/edit?usp=sharing"",""พะเยา!J584"")"),0)</f>
        <v>0</v>
      </c>
      <c r="BA20" s="261">
        <f ca="1">IFERROR(__xludf.DUMMYFUNCTION("IMPORTRANGE(""https://docs.google.com/spreadsheets/d/1K0Aa9s-6EuHE5M0FG1F9aHLXRCOV917xvycTdLdct0w/edit?usp=sharing"",""พะเยา!J585"")"),0)</f>
        <v>0</v>
      </c>
      <c r="BB20" s="262">
        <f ca="1">IFERROR(__xludf.DUMMYFUNCTION("IMPORTRANGE(""https://docs.google.com/spreadsheets/d/1K0Aa9s-6EuHE5M0FG1F9aHLXRCOV917xvycTdLdct0w/edit?usp=sharing"",""พะเยา!J586"")"),0)</f>
        <v>0</v>
      </c>
      <c r="BC20" s="261">
        <f ca="1">IFERROR(__xludf.DUMMYFUNCTION("IMPORTRANGE(""https://docs.google.com/spreadsheets/d/1K0Aa9s-6EuHE5M0FG1F9aHLXRCOV917xvycTdLdct0w/edit?usp=sharing"",""พะเยา!J587"")"),0)</f>
        <v>0</v>
      </c>
      <c r="BD20" s="186">
        <f ca="1">IFERROR(__xludf.DUMMYFUNCTION("IMPORTRANGE(""https://docs.google.com/spreadsheets/d/1K0Aa9s-6EuHE5M0FG1F9aHLXRCOV917xvycTdLdct0w/edit?usp=sharing"",""พะเยา!J588"")"),0)</f>
        <v>0</v>
      </c>
      <c r="BE20" s="261">
        <f ca="1">IFERROR(__xludf.DUMMYFUNCTION("IMPORTRANGE(""https://docs.google.com/spreadsheets/d/1K0Aa9s-6EuHE5M0FG1F9aHLXRCOV917xvycTdLdct0w/edit?usp=sharing"",""พะเยา!J589"")"),0)</f>
        <v>0</v>
      </c>
      <c r="BF20" s="186">
        <f ca="1">IFERROR(__xludf.DUMMYFUNCTION("IMPORTRANGE(""https://docs.google.com/spreadsheets/d/1K0Aa9s-6EuHE5M0FG1F9aHLXRCOV917xvycTdLdct0w/edit?usp=sharing"",""พะเยา!J590"")"),0)</f>
        <v>0</v>
      </c>
      <c r="BG20" s="261">
        <f ca="1">IFERROR(__xludf.DUMMYFUNCTION("IMPORTRANGE(""https://docs.google.com/spreadsheets/d/1K0Aa9s-6EuHE5M0FG1F9aHLXRCOV917xvycTdLdct0w/edit?usp=sharing"",""พะเยา!J591"")"),0)</f>
        <v>0</v>
      </c>
      <c r="BH20" s="181">
        <f ca="1">IFERROR(__xludf.DUMMYFUNCTION("IMPORTRANGE(""https://docs.google.com/spreadsheets/d/1K0Aa9s-6EuHE5M0FG1F9aHLXRCOV917xvycTdLdct0w/edit?usp=sharing"",""พะเยา!I593"")"),795.13)</f>
        <v>795.13</v>
      </c>
      <c r="BI20" s="181">
        <f ca="1">IFERROR(__xludf.DUMMYFUNCTION("IMPORTRANGE(""https://docs.google.com/spreadsheets/d/1K0Aa9s-6EuHE5M0FG1F9aHLXRCOV917xvycTdLdct0w/edit?usp=sharing"",""พะเยา!I594"")"),89)</f>
        <v>89</v>
      </c>
      <c r="BJ20" s="186">
        <f ca="1">IFERROR(__xludf.DUMMYFUNCTION("IMPORTRANGE(""https://docs.google.com/spreadsheets/d/1K0Aa9s-6EuHE5M0FG1F9aHLXRCOV917xvycTdLdct0w/edit?usp=sharing"",""พะเยา!J593"")"),0)</f>
        <v>0</v>
      </c>
      <c r="BK20" s="186">
        <f t="shared" ca="1" si="36"/>
        <v>0</v>
      </c>
      <c r="BL20" s="181">
        <f ca="1">IFERROR(__xludf.DUMMYFUNCTION("IMPORTRANGE(""https://docs.google.com/spreadsheets/d/1K0Aa9s-6EuHE5M0FG1F9aHLXRCOV917xvycTdLdct0w/edit?usp=sharing"",""พะเยา!J594"")"),0)</f>
        <v>0</v>
      </c>
      <c r="BM20" s="186">
        <f t="shared" ca="1" si="16"/>
        <v>0</v>
      </c>
      <c r="BN20" s="186">
        <f ca="1">IFERROR(__xludf.DUMMYFUNCTION("IMPORTRANGE(""https://docs.google.com/spreadsheets/d/1K0Aa9s-6EuHE5M0FG1F9aHLXRCOV917xvycTdLdct0w/edit?usp=sharing"",""พะเยา!J595"")"),0)</f>
        <v>0</v>
      </c>
      <c r="BO20" s="261">
        <f ca="1">IFERROR(__xludf.DUMMYFUNCTION("IMPORTRANGE(""https://docs.google.com/spreadsheets/d/1K0Aa9s-6EuHE5M0FG1F9aHLXRCOV917xvycTdLdct0w/edit?usp=sharing"",""พะเยา!J596"")"),0)</f>
        <v>0</v>
      </c>
      <c r="BP20" s="186">
        <f ca="1">IFERROR(__xludf.DUMMYFUNCTION("IMPORTRANGE(""https://docs.google.com/spreadsheets/d/1K0Aa9s-6EuHE5M0FG1F9aHLXRCOV917xvycTdLdct0w/edit?usp=sharing"",""พะเยา!J597"")"),0)</f>
        <v>0</v>
      </c>
      <c r="BQ20" s="261">
        <f ca="1">IFERROR(__xludf.DUMMYFUNCTION("IMPORTRANGE(""https://docs.google.com/spreadsheets/d/1K0Aa9s-6EuHE5M0FG1F9aHLXRCOV917xvycTdLdct0w/edit?usp=sharing"",""พะเยา!J598"")"),0)</f>
        <v>0</v>
      </c>
      <c r="BR20" s="186">
        <f ca="1">IFERROR(__xludf.DUMMYFUNCTION("IMPORTRANGE(""https://docs.google.com/spreadsheets/d/1K0Aa9s-6EuHE5M0FG1F9aHLXRCOV917xvycTdLdct0w/edit?usp=sharing"",""พะเยา!J599"")"),0)</f>
        <v>0</v>
      </c>
      <c r="BS20" s="261">
        <f ca="1">IFERROR(__xludf.DUMMYFUNCTION("IMPORTRANGE(""https://docs.google.com/spreadsheets/d/1K0Aa9s-6EuHE5M0FG1F9aHLXRCOV917xvycTdLdct0w/edit?usp=sharing"",""พะเยา!J600"")"),0)</f>
        <v>0</v>
      </c>
      <c r="BT20" s="262">
        <f ca="1">IFERROR(__xludf.DUMMYFUNCTION("IMPORTRANGE(""https://docs.google.com/spreadsheets/d/1K0Aa9s-6EuHE5M0FG1F9aHLXRCOV917xvycTdLdct0w/edit?usp=sharing"",""พะเยา!J601"")"),0)</f>
        <v>0</v>
      </c>
      <c r="BU20" s="261">
        <f ca="1">IFERROR(__xludf.DUMMYFUNCTION("IMPORTRANGE(""https://docs.google.com/spreadsheets/d/1K0Aa9s-6EuHE5M0FG1F9aHLXRCOV917xvycTdLdct0w/edit?usp=sharing"",""พะเยา!J602"")"),0)</f>
        <v>0</v>
      </c>
      <c r="BV20" s="186">
        <f ca="1">IFERROR(__xludf.DUMMYFUNCTION("IMPORTRANGE(""https://docs.google.com/spreadsheets/d/1K0Aa9s-6EuHE5M0FG1F9aHLXRCOV917xvycTdLdct0w/edit?usp=sharing"",""พะเยา!J603"")"),0)</f>
        <v>0</v>
      </c>
      <c r="BW20" s="261">
        <f ca="1">IFERROR(__xludf.DUMMYFUNCTION("IMPORTRANGE(""https://docs.google.com/spreadsheets/d/1K0Aa9s-6EuHE5M0FG1F9aHLXRCOV917xvycTdLdct0w/edit?usp=sharing"",""พะเยา!J604"")"),0)</f>
        <v>0</v>
      </c>
      <c r="BX20" s="186">
        <f ca="1">IFERROR(__xludf.DUMMYFUNCTION("IMPORTRANGE(""https://docs.google.com/spreadsheets/d/1K0Aa9s-6EuHE5M0FG1F9aHLXRCOV917xvycTdLdct0w/edit?usp=sharing"",""พะเยา!J605"")"),0)</f>
        <v>0</v>
      </c>
      <c r="BY20" s="261">
        <f ca="1">IFERROR(__xludf.DUMMYFUNCTION("IMPORTRANGE(""https://docs.google.com/spreadsheets/d/1K0Aa9s-6EuHE5M0FG1F9aHLXRCOV917xvycTdLdct0w/edit?usp=sharing"",""พะเยา!J606"")"),0)</f>
        <v>0</v>
      </c>
      <c r="BZ20" s="186">
        <f ca="1">IFERROR(__xludf.DUMMYFUNCTION("IMPORTRANGE(""https://docs.google.com/spreadsheets/d/1K0Aa9s-6EuHE5M0FG1F9aHLXRCOV917xvycTdLdct0w/edit?usp=sharing"",""พะเยา!J607"")"),0)</f>
        <v>0</v>
      </c>
      <c r="CA20" s="261">
        <f ca="1">IFERROR(__xludf.DUMMYFUNCTION("IMPORTRANGE(""https://docs.google.com/spreadsheets/d/1K0Aa9s-6EuHE5M0FG1F9aHLXRCOV917xvycTdLdct0w/edit?usp=sharing"",""พะเยา!J608"")"),0)</f>
        <v>0</v>
      </c>
      <c r="CB20" s="186">
        <f ca="1">IFERROR(__xludf.DUMMYFUNCTION("IMPORTRANGE(""https://docs.google.com/spreadsheets/d/1K0Aa9s-6EuHE5M0FG1F9aHLXRCOV917xvycTdLdct0w/edit?usp=sharing"",""พะเยา!J609"")"),0)</f>
        <v>0</v>
      </c>
      <c r="CC20" s="261">
        <f ca="1">IFERROR(__xludf.DUMMYFUNCTION("IMPORTRANGE(""https://docs.google.com/spreadsheets/d/1K0Aa9s-6EuHE5M0FG1F9aHLXRCOV917xvycTdLdct0w/edit?usp=sharing"",""พะเยา!J610"")"),0)</f>
        <v>0</v>
      </c>
      <c r="CD20" s="261">
        <f ca="1">IFERROR(__xludf.DUMMYFUNCTION("IMPORTRANGE(""https://docs.google.com/spreadsheets/d/1K0Aa9s-6EuHE5M0FG1F9aHLXRCOV917xvycTdLdct0w/edit?usp=sharing"",""พะเยา!I612"")"),0)</f>
        <v>0</v>
      </c>
      <c r="CE20" s="261">
        <f ca="1">IFERROR(__xludf.DUMMYFUNCTION("IMPORTRANGE(""https://docs.google.com/spreadsheets/d/1K0Aa9s-6EuHE5M0FG1F9aHLXRCOV917xvycTdLdct0w/edit?usp=sharing"",""พะเยา!I594"")"),89)</f>
        <v>89</v>
      </c>
      <c r="CF20" s="262">
        <f ca="1">IFERROR(__xludf.DUMMYFUNCTION("IMPORTRANGE(""https://docs.google.com/spreadsheets/d/1K0Aa9s-6EuHE5M0FG1F9aHLXRCOV917xvycTdLdct0w/edit?usp=sharing"",""พะเยา!J612"")"),0)</f>
        <v>0</v>
      </c>
      <c r="CG20" s="262">
        <f t="shared" ca="1" si="37"/>
        <v>0</v>
      </c>
      <c r="CH20" s="261">
        <f ca="1">IFERROR(__xludf.DUMMYFUNCTION("IMPORTRANGE(""https://docs.google.com/spreadsheets/d/1K0Aa9s-6EuHE5M0FG1F9aHLXRCOV917xvycTdLdct0w/edit?usp=sharing"",""พะเยา!J613"")"),0)</f>
        <v>0</v>
      </c>
      <c r="CI20" s="262">
        <f t="shared" ca="1" si="19"/>
        <v>0</v>
      </c>
      <c r="CJ20" s="186">
        <f ca="1">IFERROR(__xludf.DUMMYFUNCTION("IMPORTRANGE(""https://docs.google.com/spreadsheets/d/1K0Aa9s-6EuHE5M0FG1F9aHLXRCOV917xvycTdLdct0w/edit?usp=sharing"",""พะเยา!J614"")"),0)</f>
        <v>0</v>
      </c>
      <c r="CK20" s="261">
        <f ca="1">IFERROR(__xludf.DUMMYFUNCTION("IMPORTRANGE(""https://docs.google.com/spreadsheets/d/1K0Aa9s-6EuHE5M0FG1F9aHLXRCOV917xvycTdLdct0w/edit?usp=sharing"",""พะเยา!J615"")"),0)</f>
        <v>0</v>
      </c>
      <c r="CL20" s="186">
        <f ca="1">IFERROR(__xludf.DUMMYFUNCTION("IMPORTRANGE(""https://docs.google.com/spreadsheets/d/1K0Aa9s-6EuHE5M0FG1F9aHLXRCOV917xvycTdLdct0w/edit?usp=sharing"",""พะเยา!J616"")"),0)</f>
        <v>0</v>
      </c>
      <c r="CM20" s="261">
        <f ca="1">IFERROR(__xludf.DUMMYFUNCTION("IMPORTRANGE(""https://docs.google.com/spreadsheets/d/1K0Aa9s-6EuHE5M0FG1F9aHLXRCOV917xvycTdLdct0w/edit?usp=sharing"",""พะเยา!J617"")"),0)</f>
        <v>0</v>
      </c>
      <c r="CN20" s="261">
        <f ca="1">IFERROR(__xludf.DUMMYFUNCTION("IMPORTRANGE(""https://docs.google.com/spreadsheets/d/1K0Aa9s-6EuHE5M0FG1F9aHLXRCOV917xvycTdLdct0w/edit?usp=sharing"",""พะเยา!I620"")"),0)</f>
        <v>0</v>
      </c>
      <c r="CO20" s="261">
        <f ca="1">IFERROR(__xludf.DUMMYFUNCTION("IMPORTRANGE(""https://docs.google.com/spreadsheets/d/1K0Aa9s-6EuHE5M0FG1F9aHLXRCOV917xvycTdLdct0w/edit?usp=sharing"",""พะเยา!I621"")"),0)</f>
        <v>0</v>
      </c>
      <c r="CP20" s="262">
        <f ca="1">IFERROR(__xludf.DUMMYFUNCTION("IMPORTRANGE(""https://docs.google.com/spreadsheets/d/1K0Aa9s-6EuHE5M0FG1F9aHLXRCOV917xvycTdLdct0w/edit?usp=sharing"",""พะเยา!J620"")"),0)</f>
        <v>0</v>
      </c>
      <c r="CQ20" s="262">
        <f t="shared" ca="1" si="38"/>
        <v>0</v>
      </c>
      <c r="CR20" s="261">
        <f ca="1">IFERROR(__xludf.DUMMYFUNCTION("IMPORTRANGE(""https://docs.google.com/spreadsheets/d/1K0Aa9s-6EuHE5M0FG1F9aHLXRCOV917xvycTdLdct0w/edit?usp=sharing"",""พะเยา!J621"")"),0)</f>
        <v>0</v>
      </c>
      <c r="CS20" s="262">
        <f t="shared" ca="1" si="22"/>
        <v>0</v>
      </c>
      <c r="CT20" s="186">
        <f ca="1">IFERROR(__xludf.DUMMYFUNCTION("IMPORTRANGE(""https://docs.google.com/spreadsheets/d/1K0Aa9s-6EuHE5M0FG1F9aHLXRCOV917xvycTdLdct0w/edit?usp=sharing"",""พะเยา!J622"")"),0)</f>
        <v>0</v>
      </c>
      <c r="CU20" s="261">
        <f ca="1">IFERROR(__xludf.DUMMYFUNCTION("IMPORTRANGE(""https://docs.google.com/spreadsheets/d/1K0Aa9s-6EuHE5M0FG1F9aHLXRCOV917xvycTdLdct0w/edit?usp=sharing"",""พะเยา!J623"")"),0)</f>
        <v>0</v>
      </c>
      <c r="CV20" s="186">
        <f ca="1">IFERROR(__xludf.DUMMYFUNCTION("IMPORTRANGE(""https://docs.google.com/spreadsheets/d/1K0Aa9s-6EuHE5M0FG1F9aHLXRCOV917xvycTdLdct0w/edit?usp=sharing"",""พะเยา!J624"")"),0)</f>
        <v>0</v>
      </c>
      <c r="CW20" s="261">
        <f ca="1">IFERROR(__xludf.DUMMYFUNCTION("IMPORTRANGE(""https://docs.google.com/spreadsheets/d/1K0Aa9s-6EuHE5M0FG1F9aHLXRCOV917xvycTdLdct0w/edit?usp=sharing"",""พะเยา!J625"")"),0)</f>
        <v>0</v>
      </c>
      <c r="CX20" s="186">
        <f ca="1">IFERROR(__xludf.DUMMYFUNCTION("IMPORTRANGE(""https://docs.google.com/spreadsheets/d/1K0Aa9s-6EuHE5M0FG1F9aHLXRCOV917xvycTdLdct0w/edit?usp=sharing"",""พะเยา!J626"")"),0)</f>
        <v>0</v>
      </c>
      <c r="CY20" s="261">
        <f ca="1">IFERROR(__xludf.DUMMYFUNCTION("IMPORTRANGE(""https://docs.google.com/spreadsheets/d/1K0Aa9s-6EuHE5M0FG1F9aHLXRCOV917xvycTdLdct0w/edit?usp=sharing"",""พะเยา!J627"")"),0)</f>
        <v>0</v>
      </c>
    </row>
    <row r="21" spans="1:103" ht="24" customHeight="1" x14ac:dyDescent="0.3">
      <c r="A21" s="178">
        <v>8</v>
      </c>
      <c r="B21" s="179" t="s">
        <v>38</v>
      </c>
      <c r="C21" s="180">
        <f t="shared" ca="1" si="49"/>
        <v>365626</v>
      </c>
      <c r="D21" s="181">
        <f ca="1">IFERROR(__xludf.DUMMYFUNCTION("IMPORTRANGE(""https://docs.google.com/spreadsheets/d/1Y9LPKx95PyL5OKy09d-KbKJSuuEZCFdkhYjwC0XQjBA/edit?usp=sharing"",""พิจิตร!L549"")"),365626)</f>
        <v>365626</v>
      </c>
      <c r="E21" s="187">
        <f ca="1">IFERROR(__xludf.DUMMYFUNCTION("IMPORTRANGE(""https://docs.google.com/spreadsheets/d/1Y9LPKx95PyL5OKy09d-KbKJSuuEZCFdkhYjwC0XQjBA/edit?usp=sharing"",""พิจิตร!L557"")"),0)</f>
        <v>0</v>
      </c>
      <c r="F21" s="182">
        <f t="shared" ca="1" si="1"/>
        <v>67345</v>
      </c>
      <c r="G21" s="183">
        <f t="shared" ca="1" si="2"/>
        <v>18.419094922133546</v>
      </c>
      <c r="H21" s="184">
        <f t="shared" ca="1" si="50"/>
        <v>67345</v>
      </c>
      <c r="I21" s="187">
        <f ca="1">IFERROR(__xludf.DUMMYFUNCTION("IMPORTRANGE(""https://docs.google.com/spreadsheets/d/1Y9LPKx95PyL5OKy09d-KbKJSuuEZCFdkhYjwC0XQjBA/edit?usp=sharing"",""พิจิตร!N550"")"),0)</f>
        <v>0</v>
      </c>
      <c r="J21" s="187">
        <f ca="1">IFERROR(__xludf.DUMMYFUNCTION("IMPORTRANGE(""https://docs.google.com/spreadsheets/d/1Y9LPKx95PyL5OKy09d-KbKJSuuEZCFdkhYjwC0XQjBA/edit?usp=sharing"",""พิจิตร!N551"")"),0)</f>
        <v>0</v>
      </c>
      <c r="K21" s="187">
        <f ca="1">IFERROR(__xludf.DUMMYFUNCTION("IMPORTRANGE(""https://docs.google.com/spreadsheets/d/1Y9LPKx95PyL5OKy09d-KbKJSuuEZCFdkhYjwC0XQjBA/edit?usp=sharing"",""พิจิตร!N552"")"),0)</f>
        <v>0</v>
      </c>
      <c r="L21" s="187">
        <f ca="1">IFERROR(__xludf.DUMMYFUNCTION("IMPORTRANGE(""https://docs.google.com/spreadsheets/d/1Y9LPKx95PyL5OKy09d-KbKJSuuEZCFdkhYjwC0XQjBA/edit?usp=sharing"",""พิจิตร!N553"")"),67345)</f>
        <v>67345</v>
      </c>
      <c r="M21" s="187">
        <f ca="1">IFERROR(__xludf.DUMMYFUNCTION("IMPORTRANGE(""https://docs.google.com/spreadsheets/d/1Y9LPKx95PyL5OKy09d-KbKJSuuEZCFdkhYjwC0XQjBA/edit?usp=sharing"",""พิจิตร!N554"")"),0)</f>
        <v>0</v>
      </c>
      <c r="N21" s="185">
        <f ca="1">IFERROR(__xludf.DUMMYFUNCTION("IMPORTRANGE(""https://docs.google.com/spreadsheets/d/1Y9LPKx95PyL5OKy09d-KbKJSuuEZCFdkhYjwC0XQjBA/edit?usp=sharing"",""พิจิตร!N557"")"),0)</f>
        <v>0</v>
      </c>
      <c r="O21" s="185">
        <f t="shared" ca="1" si="41"/>
        <v>0</v>
      </c>
      <c r="P21" s="181">
        <f ca="1">IFERROR(__xludf.DUMMYFUNCTION("IMPORTRANGE(""https://docs.google.com/spreadsheets/d/1Y9LPKx95PyL5OKy09d-KbKJSuuEZCFdkhYjwC0XQjBA/edit?usp=sharing"",""พิจิตร!I560"")"),2373)</f>
        <v>2373</v>
      </c>
      <c r="Q21" s="181">
        <f ca="1">IFERROR(__xludf.DUMMYFUNCTION("IMPORTRANGE(""https://docs.google.com/spreadsheets/d/1Y9LPKx95PyL5OKy09d-KbKJSuuEZCFdkhYjwC0XQjBA/edit?usp=sharing"",""พิจิตร!I561"")"),118)</f>
        <v>118</v>
      </c>
      <c r="R21" s="186">
        <f ca="1">IFERROR(__xludf.DUMMYFUNCTION("IMPORTRANGE(""https://docs.google.com/spreadsheets/d/1Y9LPKx95PyL5OKy09d-KbKJSuuEZCFdkhYjwC0XQjBA/edit?usp=sharing"",""พิจิตร!J560"")"),2373)</f>
        <v>2373</v>
      </c>
      <c r="S21" s="186">
        <f t="shared" ca="1" si="33"/>
        <v>100</v>
      </c>
      <c r="T21" s="181">
        <f ca="1">IFERROR(__xludf.DUMMYFUNCTION("IMPORTRANGE(""https://docs.google.com/spreadsheets/d/1Y9LPKx95PyL5OKy09d-KbKJSuuEZCFdkhYjwC0XQjBA/edit?usp=sharing"",""พิจิตร!J561"")"),118)</f>
        <v>118</v>
      </c>
      <c r="U21" s="186">
        <f t="shared" ca="1" si="7"/>
        <v>100</v>
      </c>
      <c r="V21" s="186">
        <f ca="1">IFERROR(__xludf.DUMMYFUNCTION("IMPORTRANGE(""https://docs.google.com/spreadsheets/d/1Y9LPKx95PyL5OKy09d-KbKJSuuEZCFdkhYjwC0XQjBA/edit?usp=sharing"",""พิจิตร!J562"")"),1870)</f>
        <v>1870</v>
      </c>
      <c r="W21" s="261">
        <f ca="1">IFERROR(__xludf.DUMMYFUNCTION("IMPORTRANGE(""https://docs.google.com/spreadsheets/d/1Y9LPKx95PyL5OKy09d-KbKJSuuEZCFdkhYjwC0XQjBA/edit?usp=sharing"",""พิจิตร!J563"")"),97)</f>
        <v>97</v>
      </c>
      <c r="X21" s="186">
        <f ca="1">IFERROR(__xludf.DUMMYFUNCTION("IMPORTRANGE(""https://docs.google.com/spreadsheets/d/1Y9LPKx95PyL5OKy09d-KbKJSuuEZCFdkhYjwC0XQjBA/edit?usp=sharing"",""พิจิตร!J564"")"),418)</f>
        <v>418</v>
      </c>
      <c r="Y21" s="261">
        <f ca="1">IFERROR(__xludf.DUMMYFUNCTION("IMPORTRANGE(""https://docs.google.com/spreadsheets/d/1Y9LPKx95PyL5OKy09d-KbKJSuuEZCFdkhYjwC0XQjBA/edit?usp=sharing"",""พิจิตร!J565"")"),17)</f>
        <v>17</v>
      </c>
      <c r="Z21" s="186">
        <f ca="1">IFERROR(__xludf.DUMMYFUNCTION("IMPORTRANGE(""https://docs.google.com/spreadsheets/d/1Y9LPKx95PyL5OKy09d-KbKJSuuEZCFdkhYjwC0XQjBA/edit?usp=sharing"",""พิจิตร!J566"")"),85)</f>
        <v>85</v>
      </c>
      <c r="AA21" s="261">
        <f ca="1">IFERROR(__xludf.DUMMYFUNCTION("IMPORTRANGE(""https://docs.google.com/spreadsheets/d/1Y9LPKx95PyL5OKy09d-KbKJSuuEZCFdkhYjwC0XQjBA/edit?usp=sharing"",""พิจิตร!J567"")"),4)</f>
        <v>4</v>
      </c>
      <c r="AB21" s="181">
        <f ca="1">IFERROR(__xludf.DUMMYFUNCTION("IMPORTRANGE(""https://docs.google.com/spreadsheets/d/1Y9LPKx95PyL5OKy09d-KbKJSuuEZCFdkhYjwC0XQjBA/edit?usp=sharing"",""พิจิตร!I568"")"),2373)</f>
        <v>2373</v>
      </c>
      <c r="AC21" s="181">
        <f ca="1">IFERROR(__xludf.DUMMYFUNCTION("IMPORTRANGE(""https://docs.google.com/spreadsheets/d/1Y9LPKx95PyL5OKy09d-KbKJSuuEZCFdkhYjwC0XQjBA/edit?usp=sharing"",""พิจิตร!I569"")"),118)</f>
        <v>118</v>
      </c>
      <c r="AD21" s="186">
        <f ca="1">IFERROR(__xludf.DUMMYFUNCTION("IMPORTRANGE(""https://docs.google.com/spreadsheets/d/1Y9LPKx95PyL5OKy09d-KbKJSuuEZCFdkhYjwC0XQjBA/edit?usp=sharing"",""พิจิตร!J568"")"),2373)</f>
        <v>2373</v>
      </c>
      <c r="AE21" s="186">
        <f t="shared" ca="1" si="34"/>
        <v>100</v>
      </c>
      <c r="AF21" s="181">
        <f ca="1">IFERROR(__xludf.DUMMYFUNCTION("IMPORTRANGE(""https://docs.google.com/spreadsheets/d/1Y9LPKx95PyL5OKy09d-KbKJSuuEZCFdkhYjwC0XQjBA/edit?usp=sharing"",""พิจิตร!J569"")"),118)</f>
        <v>118</v>
      </c>
      <c r="AG21" s="186">
        <f t="shared" ca="1" si="10"/>
        <v>100</v>
      </c>
      <c r="AH21" s="186">
        <f ca="1">IFERROR(__xludf.DUMMYFUNCTION("IMPORTRANGE(""https://docs.google.com/spreadsheets/d/1Y9LPKx95PyL5OKy09d-KbKJSuuEZCFdkhYjwC0XQjBA/edit?usp=sharing"",""พิจิตร!J570"")"),1870)</f>
        <v>1870</v>
      </c>
      <c r="AI21" s="261">
        <f ca="1">IFERROR(__xludf.DUMMYFUNCTION("IMPORTRANGE(""https://docs.google.com/spreadsheets/d/1Y9LPKx95PyL5OKy09d-KbKJSuuEZCFdkhYjwC0XQjBA/edit?usp=sharing"",""พิจิตร!J571"")"),97)</f>
        <v>97</v>
      </c>
      <c r="AJ21" s="186">
        <f ca="1">IFERROR(__xludf.DUMMYFUNCTION("IMPORTRANGE(""https://docs.google.com/spreadsheets/d/1Y9LPKx95PyL5OKy09d-KbKJSuuEZCFdkhYjwC0XQjBA/edit?usp=sharing"",""พิจิตร!J572"")"),418)</f>
        <v>418</v>
      </c>
      <c r="AK21" s="261">
        <f ca="1">IFERROR(__xludf.DUMMYFUNCTION("IMPORTRANGE(""https://docs.google.com/spreadsheets/d/1Y9LPKx95PyL5OKy09d-KbKJSuuEZCFdkhYjwC0XQjBA/edit?usp=sharing"",""พิจิตร!J573"")"),17)</f>
        <v>17</v>
      </c>
      <c r="AL21" s="186">
        <f ca="1">IFERROR(__xludf.DUMMYFUNCTION("IMPORTRANGE(""https://docs.google.com/spreadsheets/d/1Y9LPKx95PyL5OKy09d-KbKJSuuEZCFdkhYjwC0XQjBA/edit?usp=sharing"",""พิจิตร!J574"")"),85)</f>
        <v>85</v>
      </c>
      <c r="AM21" s="261">
        <f ca="1">IFERROR(__xludf.DUMMYFUNCTION("IMPORTRANGE(""https://docs.google.com/spreadsheets/d/1Y9LPKx95PyL5OKy09d-KbKJSuuEZCFdkhYjwC0XQjBA/edit?usp=sharing"",""พิจิตร!J575"")"),4)</f>
        <v>4</v>
      </c>
      <c r="AN21" s="181">
        <f ca="1">IFERROR(__xludf.DUMMYFUNCTION("IMPORTRANGE(""https://docs.google.com/spreadsheets/d/1Y9LPKx95PyL5OKy09d-KbKJSuuEZCFdkhYjwC0XQjBA/edit?usp=sharing"",""พิจิตร!I576"")"),2373)</f>
        <v>2373</v>
      </c>
      <c r="AO21" s="181">
        <f ca="1">IFERROR(__xludf.DUMMYFUNCTION("IMPORTRANGE(""https://docs.google.com/spreadsheets/d/1Y9LPKx95PyL5OKy09d-KbKJSuuEZCFdkhYjwC0XQjBA/edit?usp=sharing"",""พิจิตร!I577"")"),118)</f>
        <v>118</v>
      </c>
      <c r="AP21" s="186">
        <f ca="1">IFERROR(__xludf.DUMMYFUNCTION("IMPORTRANGE(""https://docs.google.com/spreadsheets/d/1Y9LPKx95PyL5OKy09d-KbKJSuuEZCFdkhYjwC0XQjBA/edit?usp=sharing"",""พิจิตร!J576"")"),0)</f>
        <v>0</v>
      </c>
      <c r="AQ21" s="186">
        <f t="shared" ca="1" si="35"/>
        <v>0</v>
      </c>
      <c r="AR21" s="181">
        <f ca="1">IFERROR(__xludf.DUMMYFUNCTION("IMPORTRANGE(""https://docs.google.com/spreadsheets/d/1Y9LPKx95PyL5OKy09d-KbKJSuuEZCFdkhYjwC0XQjBA/edit?usp=sharing"",""พิจิตร!J577"")"),0)</f>
        <v>0</v>
      </c>
      <c r="AS21" s="186">
        <f t="shared" ca="1" si="13"/>
        <v>0</v>
      </c>
      <c r="AT21" s="186">
        <f ca="1">IFERROR(__xludf.DUMMYFUNCTION("IMPORTRANGE(""https://docs.google.com/spreadsheets/d/1Y9LPKx95PyL5OKy09d-KbKJSuuEZCFdkhYjwC0XQjBA/edit?usp=sharing"",""พิจิตร!J578"")"),0)</f>
        <v>0</v>
      </c>
      <c r="AU21" s="261">
        <f ca="1">IFERROR(__xludf.DUMMYFUNCTION("IMPORTRANGE(""https://docs.google.com/spreadsheets/d/1Y9LPKx95PyL5OKy09d-KbKJSuuEZCFdkhYjwC0XQjBA/edit?usp=sharing"",""พิจิตร!J579"")"),0)</f>
        <v>0</v>
      </c>
      <c r="AV21" s="186">
        <f ca="1">IFERROR(__xludf.DUMMYFUNCTION("IMPORTRANGE(""https://docs.google.com/spreadsheets/d/1Y9LPKx95PyL5OKy09d-KbKJSuuEZCFdkhYjwC0XQjBA/edit?usp=sharing"",""พิจิตร!J580"")"),0)</f>
        <v>0</v>
      </c>
      <c r="AW21" s="261">
        <f ca="1">IFERROR(__xludf.DUMMYFUNCTION("IMPORTRANGE(""https://docs.google.com/spreadsheets/d/1Y9LPKx95PyL5OKy09d-KbKJSuuEZCFdkhYjwC0XQjBA/edit?usp=sharing"",""พิจิตร!J581"")"),0)</f>
        <v>0</v>
      </c>
      <c r="AX21" s="186">
        <f ca="1">IFERROR(__xludf.DUMMYFUNCTION("IMPORTRANGE(""https://docs.google.com/spreadsheets/d/1Y9LPKx95PyL5OKy09d-KbKJSuuEZCFdkhYjwC0XQjBA/edit?usp=sharing"",""พิจิตร!J582"")"),0)</f>
        <v>0</v>
      </c>
      <c r="AY21" s="261">
        <f ca="1">IFERROR(__xludf.DUMMYFUNCTION("IMPORTRANGE(""https://docs.google.com/spreadsheets/d/1Y9LPKx95PyL5OKy09d-KbKJSuuEZCFdkhYjwC0XQjBA/edit?usp=sharing"",""พิจิตร!J583"")"),0)</f>
        <v>0</v>
      </c>
      <c r="AZ21" s="262">
        <f ca="1">IFERROR(__xludf.DUMMYFUNCTION("IMPORTRANGE(""https://docs.google.com/spreadsheets/d/1Y9LPKx95PyL5OKy09d-KbKJSuuEZCFdkhYjwC0XQjBA/edit?usp=sharing"",""พิจิตร!J584"")"),0)</f>
        <v>0</v>
      </c>
      <c r="BA21" s="261">
        <f ca="1">IFERROR(__xludf.DUMMYFUNCTION("IMPORTRANGE(""https://docs.google.com/spreadsheets/d/1Y9LPKx95PyL5OKy09d-KbKJSuuEZCFdkhYjwC0XQjBA/edit?usp=sharing"",""พิจิตร!J585"")"),0)</f>
        <v>0</v>
      </c>
      <c r="BB21" s="262">
        <f ca="1">IFERROR(__xludf.DUMMYFUNCTION("IMPORTRANGE(""https://docs.google.com/spreadsheets/d/1Y9LPKx95PyL5OKy09d-KbKJSuuEZCFdkhYjwC0XQjBA/edit?usp=sharing"",""พิจิตร!J586"")"),0)</f>
        <v>0</v>
      </c>
      <c r="BC21" s="261">
        <f ca="1">IFERROR(__xludf.DUMMYFUNCTION("IMPORTRANGE(""https://docs.google.com/spreadsheets/d/1Y9LPKx95PyL5OKy09d-KbKJSuuEZCFdkhYjwC0XQjBA/edit?usp=sharing"",""พิจิตร!J587"")"),0)</f>
        <v>0</v>
      </c>
      <c r="BD21" s="186">
        <f ca="1">IFERROR(__xludf.DUMMYFUNCTION("IMPORTRANGE(""https://docs.google.com/spreadsheets/d/1Y9LPKx95PyL5OKy09d-KbKJSuuEZCFdkhYjwC0XQjBA/edit?usp=sharing"",""พิจิตร!J588"")"),0)</f>
        <v>0</v>
      </c>
      <c r="BE21" s="261">
        <f ca="1">IFERROR(__xludf.DUMMYFUNCTION("IMPORTRANGE(""https://docs.google.com/spreadsheets/d/1Y9LPKx95PyL5OKy09d-KbKJSuuEZCFdkhYjwC0XQjBA/edit?usp=sharing"",""พิจิตร!J589"")"),0)</f>
        <v>0</v>
      </c>
      <c r="BF21" s="186">
        <f ca="1">IFERROR(__xludf.DUMMYFUNCTION("IMPORTRANGE(""https://docs.google.com/spreadsheets/d/1Y9LPKx95PyL5OKy09d-KbKJSuuEZCFdkhYjwC0XQjBA/edit?usp=sharing"",""พิจิตร!J590"")"),0)</f>
        <v>0</v>
      </c>
      <c r="BG21" s="261">
        <f ca="1">IFERROR(__xludf.DUMMYFUNCTION("IMPORTRANGE(""https://docs.google.com/spreadsheets/d/1Y9LPKx95PyL5OKy09d-KbKJSuuEZCFdkhYjwC0XQjBA/edit?usp=sharing"",""พิจิตร!J591"")"),0)</f>
        <v>0</v>
      </c>
      <c r="BH21" s="181">
        <f ca="1">IFERROR(__xludf.DUMMYFUNCTION("IMPORTRANGE(""https://docs.google.com/spreadsheets/d/1Y9LPKx95PyL5OKy09d-KbKJSuuEZCFdkhYjwC0XQjBA/edit?usp=sharing"",""พิจิตร!I593"")"),6935.73)</f>
        <v>6935.73</v>
      </c>
      <c r="BI21" s="181">
        <f ca="1">IFERROR(__xludf.DUMMYFUNCTION("IMPORTRANGE(""https://docs.google.com/spreadsheets/d/1Y9LPKx95PyL5OKy09d-KbKJSuuEZCFdkhYjwC0XQjBA/edit?usp=sharing"",""พิจิตร!I594"")"),458)</f>
        <v>458</v>
      </c>
      <c r="BJ21" s="186">
        <f ca="1">IFERROR(__xludf.DUMMYFUNCTION("IMPORTRANGE(""https://docs.google.com/spreadsheets/d/1Y9LPKx95PyL5OKy09d-KbKJSuuEZCFdkhYjwC0XQjBA/edit?usp=sharing"",""พิจิตร!J593"")"),0)</f>
        <v>0</v>
      </c>
      <c r="BK21" s="186">
        <f t="shared" ca="1" si="36"/>
        <v>0</v>
      </c>
      <c r="BL21" s="181">
        <f ca="1">IFERROR(__xludf.DUMMYFUNCTION("IMPORTRANGE(""https://docs.google.com/spreadsheets/d/1Y9LPKx95PyL5OKy09d-KbKJSuuEZCFdkhYjwC0XQjBA/edit?usp=sharing"",""พิจิตร!J594"")"),0)</f>
        <v>0</v>
      </c>
      <c r="BM21" s="186">
        <f t="shared" ca="1" si="16"/>
        <v>0</v>
      </c>
      <c r="BN21" s="186">
        <f ca="1">IFERROR(__xludf.DUMMYFUNCTION("IMPORTRANGE(""https://docs.google.com/spreadsheets/d/1Y9LPKx95PyL5OKy09d-KbKJSuuEZCFdkhYjwC0XQjBA/edit?usp=sharing"",""พิจิตร!J595"")"),0)</f>
        <v>0</v>
      </c>
      <c r="BO21" s="261">
        <f ca="1">IFERROR(__xludf.DUMMYFUNCTION("IMPORTRANGE(""https://docs.google.com/spreadsheets/d/1Y9LPKx95PyL5OKy09d-KbKJSuuEZCFdkhYjwC0XQjBA/edit?usp=sharing"",""พิจิตร!J596"")"),0)</f>
        <v>0</v>
      </c>
      <c r="BP21" s="186">
        <f ca="1">IFERROR(__xludf.DUMMYFUNCTION("IMPORTRANGE(""https://docs.google.com/spreadsheets/d/1Y9LPKx95PyL5OKy09d-KbKJSuuEZCFdkhYjwC0XQjBA/edit?usp=sharing"",""พิจิตร!J597"")"),0)</f>
        <v>0</v>
      </c>
      <c r="BQ21" s="261">
        <f ca="1">IFERROR(__xludf.DUMMYFUNCTION("IMPORTRANGE(""https://docs.google.com/spreadsheets/d/1Y9LPKx95PyL5OKy09d-KbKJSuuEZCFdkhYjwC0XQjBA/edit?usp=sharing"",""พิจิตร!J598"")"),0)</f>
        <v>0</v>
      </c>
      <c r="BR21" s="186">
        <f ca="1">IFERROR(__xludf.DUMMYFUNCTION("IMPORTRANGE(""https://docs.google.com/spreadsheets/d/1Y9LPKx95PyL5OKy09d-KbKJSuuEZCFdkhYjwC0XQjBA/edit?usp=sharing"",""พิจิตร!J599"")"),0)</f>
        <v>0</v>
      </c>
      <c r="BS21" s="261">
        <f ca="1">IFERROR(__xludf.DUMMYFUNCTION("IMPORTRANGE(""https://docs.google.com/spreadsheets/d/1Y9LPKx95PyL5OKy09d-KbKJSuuEZCFdkhYjwC0XQjBA/edit?usp=sharing"",""พิจิตร!J600"")"),0)</f>
        <v>0</v>
      </c>
      <c r="BT21" s="262">
        <f ca="1">IFERROR(__xludf.DUMMYFUNCTION("IMPORTRANGE(""https://docs.google.com/spreadsheets/d/1Y9LPKx95PyL5OKy09d-KbKJSuuEZCFdkhYjwC0XQjBA/edit?usp=sharing"",""พิจิตร!J601"")"),0)</f>
        <v>0</v>
      </c>
      <c r="BU21" s="261">
        <f ca="1">IFERROR(__xludf.DUMMYFUNCTION("IMPORTRANGE(""https://docs.google.com/spreadsheets/d/1Y9LPKx95PyL5OKy09d-KbKJSuuEZCFdkhYjwC0XQjBA/edit?usp=sharing"",""พิจิตร!J602"")"),0)</f>
        <v>0</v>
      </c>
      <c r="BV21" s="186">
        <f ca="1">IFERROR(__xludf.DUMMYFUNCTION("IMPORTRANGE(""https://docs.google.com/spreadsheets/d/1Y9LPKx95PyL5OKy09d-KbKJSuuEZCFdkhYjwC0XQjBA/edit?usp=sharing"",""พิจิตร!J603"")"),0)</f>
        <v>0</v>
      </c>
      <c r="BW21" s="261">
        <f ca="1">IFERROR(__xludf.DUMMYFUNCTION("IMPORTRANGE(""https://docs.google.com/spreadsheets/d/1Y9LPKx95PyL5OKy09d-KbKJSuuEZCFdkhYjwC0XQjBA/edit?usp=sharing"",""พิจิตร!J604"")"),0)</f>
        <v>0</v>
      </c>
      <c r="BX21" s="186">
        <f ca="1">IFERROR(__xludf.DUMMYFUNCTION("IMPORTRANGE(""https://docs.google.com/spreadsheets/d/1Y9LPKx95PyL5OKy09d-KbKJSuuEZCFdkhYjwC0XQjBA/edit?usp=sharing"",""พิจิตร!J605"")"),0)</f>
        <v>0</v>
      </c>
      <c r="BY21" s="261">
        <f ca="1">IFERROR(__xludf.DUMMYFUNCTION("IMPORTRANGE(""https://docs.google.com/spreadsheets/d/1Y9LPKx95PyL5OKy09d-KbKJSuuEZCFdkhYjwC0XQjBA/edit?usp=sharing"",""พิจิตร!J606"")"),0)</f>
        <v>0</v>
      </c>
      <c r="BZ21" s="186">
        <f ca="1">IFERROR(__xludf.DUMMYFUNCTION("IMPORTRANGE(""https://docs.google.com/spreadsheets/d/1Y9LPKx95PyL5OKy09d-KbKJSuuEZCFdkhYjwC0XQjBA/edit?usp=sharing"",""พิจิตร!J607"")"),0)</f>
        <v>0</v>
      </c>
      <c r="CA21" s="261">
        <f ca="1">IFERROR(__xludf.DUMMYFUNCTION("IMPORTRANGE(""https://docs.google.com/spreadsheets/d/1Y9LPKx95PyL5OKy09d-KbKJSuuEZCFdkhYjwC0XQjBA/edit?usp=sharing"",""พิจิตร!J608"")"),0)</f>
        <v>0</v>
      </c>
      <c r="CB21" s="186">
        <f ca="1">IFERROR(__xludf.DUMMYFUNCTION("IMPORTRANGE(""https://docs.google.com/spreadsheets/d/1Y9LPKx95PyL5OKy09d-KbKJSuuEZCFdkhYjwC0XQjBA/edit?usp=sharing"",""พิจิตร!J609"")"),0)</f>
        <v>0</v>
      </c>
      <c r="CC21" s="261">
        <f ca="1">IFERROR(__xludf.DUMMYFUNCTION("IMPORTRANGE(""https://docs.google.com/spreadsheets/d/1Y9LPKx95PyL5OKy09d-KbKJSuuEZCFdkhYjwC0XQjBA/edit?usp=sharing"",""พิจิตร!J610"")"),0)</f>
        <v>0</v>
      </c>
      <c r="CD21" s="261">
        <f ca="1">IFERROR(__xludf.DUMMYFUNCTION("IMPORTRANGE(""https://docs.google.com/spreadsheets/d/1Y9LPKx95PyL5OKy09d-KbKJSuuEZCFdkhYjwC0XQjBA/edit?usp=sharing"",""พิจิตร!I612"")"),0)</f>
        <v>0</v>
      </c>
      <c r="CE21" s="261">
        <f ca="1">IFERROR(__xludf.DUMMYFUNCTION("IMPORTRANGE(""https://docs.google.com/spreadsheets/d/1Y9LPKx95PyL5OKy09d-KbKJSuuEZCFdkhYjwC0XQjBA/edit?usp=sharing"",""พิจิตร!I594"")"),458)</f>
        <v>458</v>
      </c>
      <c r="CF21" s="262">
        <f ca="1">IFERROR(__xludf.DUMMYFUNCTION("IMPORTRANGE(""https://docs.google.com/spreadsheets/d/1Y9LPKx95PyL5OKy09d-KbKJSuuEZCFdkhYjwC0XQjBA/edit?usp=sharing"",""พิจิตร!J612"")"),0)</f>
        <v>0</v>
      </c>
      <c r="CG21" s="262">
        <f t="shared" ca="1" si="37"/>
        <v>0</v>
      </c>
      <c r="CH21" s="261">
        <f ca="1">IFERROR(__xludf.DUMMYFUNCTION("IMPORTRANGE(""https://docs.google.com/spreadsheets/d/1Y9LPKx95PyL5OKy09d-KbKJSuuEZCFdkhYjwC0XQjBA/edit?usp=sharing"",""พิจิตร!J613"")"),0)</f>
        <v>0</v>
      </c>
      <c r="CI21" s="262">
        <f t="shared" ca="1" si="19"/>
        <v>0</v>
      </c>
      <c r="CJ21" s="186">
        <f ca="1">IFERROR(__xludf.DUMMYFUNCTION("IMPORTRANGE(""https://docs.google.com/spreadsheets/d/1Y9LPKx95PyL5OKy09d-KbKJSuuEZCFdkhYjwC0XQjBA/edit?usp=sharing"",""พิจิตร!J614"")"),0)</f>
        <v>0</v>
      </c>
      <c r="CK21" s="261">
        <f ca="1">IFERROR(__xludf.DUMMYFUNCTION("IMPORTRANGE(""https://docs.google.com/spreadsheets/d/1Y9LPKx95PyL5OKy09d-KbKJSuuEZCFdkhYjwC0XQjBA/edit?usp=sharing"",""พิจิตร!J615"")"),0)</f>
        <v>0</v>
      </c>
      <c r="CL21" s="186">
        <f ca="1">IFERROR(__xludf.DUMMYFUNCTION("IMPORTRANGE(""https://docs.google.com/spreadsheets/d/1Y9LPKx95PyL5OKy09d-KbKJSuuEZCFdkhYjwC0XQjBA/edit?usp=sharing"",""พิจิตร!J616"")"),0)</f>
        <v>0</v>
      </c>
      <c r="CM21" s="261">
        <f ca="1">IFERROR(__xludf.DUMMYFUNCTION("IMPORTRANGE(""https://docs.google.com/spreadsheets/d/1Y9LPKx95PyL5OKy09d-KbKJSuuEZCFdkhYjwC0XQjBA/edit?usp=sharing"",""พิจิตร!J617"")"),0)</f>
        <v>0</v>
      </c>
      <c r="CN21" s="261">
        <f ca="1">IFERROR(__xludf.DUMMYFUNCTION("IMPORTRANGE(""https://docs.google.com/spreadsheets/d/1Y9LPKx95PyL5OKy09d-KbKJSuuEZCFdkhYjwC0XQjBA/edit?usp=sharing"",""พิจิตร!I620"")"),0)</f>
        <v>0</v>
      </c>
      <c r="CO21" s="261">
        <f ca="1">IFERROR(__xludf.DUMMYFUNCTION("IMPORTRANGE(""https://docs.google.com/spreadsheets/d/1Y9LPKx95PyL5OKy09d-KbKJSuuEZCFdkhYjwC0XQjBA/edit?usp=sharing"",""พิจิตร!I621"")"),0)</f>
        <v>0</v>
      </c>
      <c r="CP21" s="262">
        <f ca="1">IFERROR(__xludf.DUMMYFUNCTION("IMPORTRANGE(""https://docs.google.com/spreadsheets/d/1Y9LPKx95PyL5OKy09d-KbKJSuuEZCFdkhYjwC0XQjBA/edit?usp=sharing"",""พิจิตร!J620"")"),0)</f>
        <v>0</v>
      </c>
      <c r="CQ21" s="262">
        <f t="shared" ca="1" si="38"/>
        <v>0</v>
      </c>
      <c r="CR21" s="261">
        <f ca="1">IFERROR(__xludf.DUMMYFUNCTION("IMPORTRANGE(""https://docs.google.com/spreadsheets/d/1Y9LPKx95PyL5OKy09d-KbKJSuuEZCFdkhYjwC0XQjBA/edit?usp=sharing"",""พิจิตร!J621"")"),0)</f>
        <v>0</v>
      </c>
      <c r="CS21" s="262">
        <f t="shared" ca="1" si="22"/>
        <v>0</v>
      </c>
      <c r="CT21" s="186">
        <f ca="1">IFERROR(__xludf.DUMMYFUNCTION("IMPORTRANGE(""https://docs.google.com/spreadsheets/d/1Y9LPKx95PyL5OKy09d-KbKJSuuEZCFdkhYjwC0XQjBA/edit?usp=sharing"",""พิจิตร!J622"")"),0)</f>
        <v>0</v>
      </c>
      <c r="CU21" s="261">
        <f ca="1">IFERROR(__xludf.DUMMYFUNCTION("IMPORTRANGE(""https://docs.google.com/spreadsheets/d/1Y9LPKx95PyL5OKy09d-KbKJSuuEZCFdkhYjwC0XQjBA/edit?usp=sharing"",""พิจิตร!J623"")"),0)</f>
        <v>0</v>
      </c>
      <c r="CV21" s="186">
        <f ca="1">IFERROR(__xludf.DUMMYFUNCTION("IMPORTRANGE(""https://docs.google.com/spreadsheets/d/1Y9LPKx95PyL5OKy09d-KbKJSuuEZCFdkhYjwC0XQjBA/edit?usp=sharing"",""พิจิตร!J624"")"),0)</f>
        <v>0</v>
      </c>
      <c r="CW21" s="261">
        <f ca="1">IFERROR(__xludf.DUMMYFUNCTION("IMPORTRANGE(""https://docs.google.com/spreadsheets/d/1Y9LPKx95PyL5OKy09d-KbKJSuuEZCFdkhYjwC0XQjBA/edit?usp=sharing"",""พิจิตร!J625"")"),0)</f>
        <v>0</v>
      </c>
      <c r="CX21" s="186">
        <f ca="1">IFERROR(__xludf.DUMMYFUNCTION("IMPORTRANGE(""https://docs.google.com/spreadsheets/d/1Y9LPKx95PyL5OKy09d-KbKJSuuEZCFdkhYjwC0XQjBA/edit?usp=sharing"",""พิจิตร!J626"")"),0)</f>
        <v>0</v>
      </c>
      <c r="CY21" s="261">
        <f ca="1">IFERROR(__xludf.DUMMYFUNCTION("IMPORTRANGE(""https://docs.google.com/spreadsheets/d/1Y9LPKx95PyL5OKy09d-KbKJSuuEZCFdkhYjwC0XQjBA/edit?usp=sharing"",""พิจิตร!J627"")"),0)</f>
        <v>0</v>
      </c>
    </row>
    <row r="22" spans="1:103" ht="24" customHeight="1" x14ac:dyDescent="0.3">
      <c r="A22" s="178">
        <v>9</v>
      </c>
      <c r="B22" s="179" t="s">
        <v>39</v>
      </c>
      <c r="C22" s="180">
        <f t="shared" ca="1" si="49"/>
        <v>365169</v>
      </c>
      <c r="D22" s="181">
        <f ca="1">IFERROR(__xludf.DUMMYFUNCTION("IMPORTRANGE(""https://docs.google.com/spreadsheets/d/16OMuOwy2eVqZcYWOouQtTpa8X1L23h4660uVHc0C8os/edit?usp=sharing"",""พิษณุโลก!L549"")"),365169)</f>
        <v>365169</v>
      </c>
      <c r="E22" s="187">
        <f ca="1">IFERROR(__xludf.DUMMYFUNCTION("IMPORTRANGE(""https://docs.google.com/spreadsheets/d/16OMuOwy2eVqZcYWOouQtTpa8X1L23h4660uVHc0C8os/edit?usp=sharing"",""พิษณุโลก!L557"")"),0)</f>
        <v>0</v>
      </c>
      <c r="F22" s="182">
        <f t="shared" ca="1" si="1"/>
        <v>131490.01</v>
      </c>
      <c r="G22" s="183">
        <f t="shared" ca="1" si="2"/>
        <v>36.007988082230419</v>
      </c>
      <c r="H22" s="184">
        <f t="shared" ca="1" si="50"/>
        <v>131490.01</v>
      </c>
      <c r="I22" s="187">
        <f ca="1">IFERROR(__xludf.DUMMYFUNCTION("IMPORTRANGE(""https://docs.google.com/spreadsheets/d/16OMuOwy2eVqZcYWOouQtTpa8X1L23h4660uVHc0C8os/edit?usp=sharing"",""พิษณุโลก!N550"")"),0)</f>
        <v>0</v>
      </c>
      <c r="J22" s="187">
        <f ca="1">IFERROR(__xludf.DUMMYFUNCTION("IMPORTRANGE(""https://docs.google.com/spreadsheets/d/16OMuOwy2eVqZcYWOouQtTpa8X1L23h4660uVHc0C8os/edit?usp=sharing"",""พิษณุโลก!N551"")"),0)</f>
        <v>0</v>
      </c>
      <c r="K22" s="187">
        <f ca="1">IFERROR(__xludf.DUMMYFUNCTION("IMPORTRANGE(""https://docs.google.com/spreadsheets/d/16OMuOwy2eVqZcYWOouQtTpa8X1L23h4660uVHc0C8os/edit?usp=sharing"",""พิษณุโลก!N552"")"),51566.67)</f>
        <v>51566.67</v>
      </c>
      <c r="L22" s="187">
        <f ca="1">IFERROR(__xludf.DUMMYFUNCTION("IMPORTRANGE(""https://docs.google.com/spreadsheets/d/16OMuOwy2eVqZcYWOouQtTpa8X1L23h4660uVHc0C8os/edit?usp=sharing"",""พิษณุโลก!N553"")"),79923.34)</f>
        <v>79923.34</v>
      </c>
      <c r="M22" s="187">
        <f ca="1">IFERROR(__xludf.DUMMYFUNCTION("IMPORTRANGE(""https://docs.google.com/spreadsheets/d/16OMuOwy2eVqZcYWOouQtTpa8X1L23h4660uVHc0C8os/edit?usp=sharing"",""พิษณุโลก!N554"")"),0)</f>
        <v>0</v>
      </c>
      <c r="N22" s="185">
        <f ca="1">IFERROR(__xludf.DUMMYFUNCTION("IMPORTRANGE(""https://docs.google.com/spreadsheets/d/16OMuOwy2eVqZcYWOouQtTpa8X1L23h4660uVHc0C8os/edit?usp=sharing"",""พิษณุโลก!N557"")"),0)</f>
        <v>0</v>
      </c>
      <c r="O22" s="185">
        <f t="shared" ca="1" si="41"/>
        <v>0</v>
      </c>
      <c r="P22" s="181">
        <f ca="1">IFERROR(__xludf.DUMMYFUNCTION("IMPORTRANGE(""https://docs.google.com/spreadsheets/d/16OMuOwy2eVqZcYWOouQtTpa8X1L23h4660uVHc0C8os/edit?usp=sharing"",""พิษณุโลก!I560"")"),37505)</f>
        <v>37505</v>
      </c>
      <c r="Q22" s="181">
        <f ca="1">IFERROR(__xludf.DUMMYFUNCTION("IMPORTRANGE(""https://docs.google.com/spreadsheets/d/16OMuOwy2eVqZcYWOouQtTpa8X1L23h4660uVHc0C8os/edit?usp=sharing"",""พิษณุโลก!I561"")"),4678)</f>
        <v>4678</v>
      </c>
      <c r="R22" s="186">
        <f ca="1">IFERROR(__xludf.DUMMYFUNCTION("IMPORTRANGE(""https://docs.google.com/spreadsheets/d/16OMuOwy2eVqZcYWOouQtTpa8X1L23h4660uVHc0C8os/edit?usp=sharing"",""พิษณุโลก!J560"")"),36267.15)</f>
        <v>36267.15</v>
      </c>
      <c r="S22" s="186">
        <f t="shared" ca="1" si="33"/>
        <v>96.69950673243568</v>
      </c>
      <c r="T22" s="181">
        <f ca="1">IFERROR(__xludf.DUMMYFUNCTION("IMPORTRANGE(""https://docs.google.com/spreadsheets/d/16OMuOwy2eVqZcYWOouQtTpa8X1L23h4660uVHc0C8os/edit?usp=sharing"",""พิษณุโลก!J561"")"),4514)</f>
        <v>4514</v>
      </c>
      <c r="U22" s="186">
        <f t="shared" ca="1" si="7"/>
        <v>96.494228302693458</v>
      </c>
      <c r="V22" s="186">
        <f ca="1">IFERROR(__xludf.DUMMYFUNCTION("IMPORTRANGE(""https://docs.google.com/spreadsheets/d/16OMuOwy2eVqZcYWOouQtTpa8X1L23h4660uVHc0C8os/edit?usp=sharing"",""พิษณุโลก!J562"")"),33040.66)</f>
        <v>33040.660000000003</v>
      </c>
      <c r="W22" s="261">
        <f ca="1">IFERROR(__xludf.DUMMYFUNCTION("IMPORTRANGE(""https://docs.google.com/spreadsheets/d/16OMuOwy2eVqZcYWOouQtTpa8X1L23h4660uVHc0C8os/edit?usp=sharing"",""พิษณุโลก!J563"")"),4253)</f>
        <v>4253</v>
      </c>
      <c r="X22" s="186">
        <f ca="1">IFERROR(__xludf.DUMMYFUNCTION("IMPORTRANGE(""https://docs.google.com/spreadsheets/d/16OMuOwy2eVqZcYWOouQtTpa8X1L23h4660uVHc0C8os/edit?usp=sharing"",""พิษณุโลก!J564"")"),2405.06)</f>
        <v>2405.06</v>
      </c>
      <c r="Y22" s="261">
        <f ca="1">IFERROR(__xludf.DUMMYFUNCTION("IMPORTRANGE(""https://docs.google.com/spreadsheets/d/16OMuOwy2eVqZcYWOouQtTpa8X1L23h4660uVHc0C8os/edit?usp=sharing"",""พิษณุโลก!J565"")"),175)</f>
        <v>175</v>
      </c>
      <c r="Z22" s="186">
        <f ca="1">IFERROR(__xludf.DUMMYFUNCTION("IMPORTRANGE(""https://docs.google.com/spreadsheets/d/16OMuOwy2eVqZcYWOouQtTpa8X1L23h4660uVHc0C8os/edit?usp=sharing"",""พิษณุโลก!J566"")"),821.43)</f>
        <v>821.43</v>
      </c>
      <c r="AA22" s="261">
        <f ca="1">IFERROR(__xludf.DUMMYFUNCTION("IMPORTRANGE(""https://docs.google.com/spreadsheets/d/16OMuOwy2eVqZcYWOouQtTpa8X1L23h4660uVHc0C8os/edit?usp=sharing"",""พิษณุโลก!J567"")"),86)</f>
        <v>86</v>
      </c>
      <c r="AB22" s="181">
        <f ca="1">IFERROR(__xludf.DUMMYFUNCTION("IMPORTRANGE(""https://docs.google.com/spreadsheets/d/16OMuOwy2eVqZcYWOouQtTpa8X1L23h4660uVHc0C8os/edit?usp=sharing"",""พิษณุโลก!I568"")"),37505)</f>
        <v>37505</v>
      </c>
      <c r="AC22" s="181">
        <f ca="1">IFERROR(__xludf.DUMMYFUNCTION("IMPORTRANGE(""https://docs.google.com/spreadsheets/d/16OMuOwy2eVqZcYWOouQtTpa8X1L23h4660uVHc0C8os/edit?usp=sharing"",""พิษณุโลก!I569"")"),4678)</f>
        <v>4678</v>
      </c>
      <c r="AD22" s="186">
        <f ca="1">IFERROR(__xludf.DUMMYFUNCTION("IMPORTRANGE(""https://docs.google.com/spreadsheets/d/16OMuOwy2eVqZcYWOouQtTpa8X1L23h4660uVHc0C8os/edit?usp=sharing"",""พิษณุโลก!J568"")"),0)</f>
        <v>0</v>
      </c>
      <c r="AE22" s="186">
        <f t="shared" ca="1" si="34"/>
        <v>0</v>
      </c>
      <c r="AF22" s="181">
        <f ca="1">IFERROR(__xludf.DUMMYFUNCTION("IMPORTRANGE(""https://docs.google.com/spreadsheets/d/16OMuOwy2eVqZcYWOouQtTpa8X1L23h4660uVHc0C8os/edit?usp=sharing"",""พิษณุโลก!J569"")"),0)</f>
        <v>0</v>
      </c>
      <c r="AG22" s="186">
        <f t="shared" ca="1" si="10"/>
        <v>0</v>
      </c>
      <c r="AH22" s="186">
        <f ca="1">IFERROR(__xludf.DUMMYFUNCTION("IMPORTRANGE(""https://docs.google.com/spreadsheets/d/16OMuOwy2eVqZcYWOouQtTpa8X1L23h4660uVHc0C8os/edit?usp=sharing"",""พิษณุโลก!J570"")"),0)</f>
        <v>0</v>
      </c>
      <c r="AI22" s="261">
        <f ca="1">IFERROR(__xludf.DUMMYFUNCTION("IMPORTRANGE(""https://docs.google.com/spreadsheets/d/16OMuOwy2eVqZcYWOouQtTpa8X1L23h4660uVHc0C8os/edit?usp=sharing"",""พิษณุโลก!J571"")"),0)</f>
        <v>0</v>
      </c>
      <c r="AJ22" s="186">
        <f ca="1">IFERROR(__xludf.DUMMYFUNCTION("IMPORTRANGE(""https://docs.google.com/spreadsheets/d/16OMuOwy2eVqZcYWOouQtTpa8X1L23h4660uVHc0C8os/edit?usp=sharing"",""พิษณุโลก!J572"")"),0)</f>
        <v>0</v>
      </c>
      <c r="AK22" s="261">
        <f ca="1">IFERROR(__xludf.DUMMYFUNCTION("IMPORTRANGE(""https://docs.google.com/spreadsheets/d/16OMuOwy2eVqZcYWOouQtTpa8X1L23h4660uVHc0C8os/edit?usp=sharing"",""พิษณุโลก!J573"")"),0)</f>
        <v>0</v>
      </c>
      <c r="AL22" s="186">
        <f ca="1">IFERROR(__xludf.DUMMYFUNCTION("IMPORTRANGE(""https://docs.google.com/spreadsheets/d/16OMuOwy2eVqZcYWOouQtTpa8X1L23h4660uVHc0C8os/edit?usp=sharing"",""พิษณุโลก!J574"")"),0)</f>
        <v>0</v>
      </c>
      <c r="AM22" s="261">
        <f ca="1">IFERROR(__xludf.DUMMYFUNCTION("IMPORTRANGE(""https://docs.google.com/spreadsheets/d/16OMuOwy2eVqZcYWOouQtTpa8X1L23h4660uVHc0C8os/edit?usp=sharing"",""พิษณุโลก!J575"")"),0)</f>
        <v>0</v>
      </c>
      <c r="AN22" s="181">
        <f ca="1">IFERROR(__xludf.DUMMYFUNCTION("IMPORTRANGE(""https://docs.google.com/spreadsheets/d/16OMuOwy2eVqZcYWOouQtTpa8X1L23h4660uVHc0C8os/edit?usp=sharing"",""พิษณุโลก!I576"")"),37505)</f>
        <v>37505</v>
      </c>
      <c r="AO22" s="181">
        <f ca="1">IFERROR(__xludf.DUMMYFUNCTION("IMPORTRANGE(""https://docs.google.com/spreadsheets/d/16OMuOwy2eVqZcYWOouQtTpa8X1L23h4660uVHc0C8os/edit?usp=sharing"",""พิษณุโลก!I577"")"),4678)</f>
        <v>4678</v>
      </c>
      <c r="AP22" s="186">
        <f ca="1">IFERROR(__xludf.DUMMYFUNCTION("IMPORTRANGE(""https://docs.google.com/spreadsheets/d/16OMuOwy2eVqZcYWOouQtTpa8X1L23h4660uVHc0C8os/edit?usp=sharing"",""พิษณุโลก!J576"")"),0)</f>
        <v>0</v>
      </c>
      <c r="AQ22" s="186">
        <f t="shared" ca="1" si="35"/>
        <v>0</v>
      </c>
      <c r="AR22" s="181">
        <f ca="1">IFERROR(__xludf.DUMMYFUNCTION("IMPORTRANGE(""https://docs.google.com/spreadsheets/d/16OMuOwy2eVqZcYWOouQtTpa8X1L23h4660uVHc0C8os/edit?usp=sharing"",""พิษณุโลก!J577"")"),0)</f>
        <v>0</v>
      </c>
      <c r="AS22" s="186">
        <f t="shared" ca="1" si="13"/>
        <v>0</v>
      </c>
      <c r="AT22" s="186">
        <f ca="1">IFERROR(__xludf.DUMMYFUNCTION("IMPORTRANGE(""https://docs.google.com/spreadsheets/d/16OMuOwy2eVqZcYWOouQtTpa8X1L23h4660uVHc0C8os/edit?usp=sharing"",""พิษณุโลก!J578"")"),0)</f>
        <v>0</v>
      </c>
      <c r="AU22" s="261">
        <f ca="1">IFERROR(__xludf.DUMMYFUNCTION("IMPORTRANGE(""https://docs.google.com/spreadsheets/d/16OMuOwy2eVqZcYWOouQtTpa8X1L23h4660uVHc0C8os/edit?usp=sharing"",""พิษณุโลก!J579"")"),0)</f>
        <v>0</v>
      </c>
      <c r="AV22" s="186">
        <f ca="1">IFERROR(__xludf.DUMMYFUNCTION("IMPORTRANGE(""https://docs.google.com/spreadsheets/d/16OMuOwy2eVqZcYWOouQtTpa8X1L23h4660uVHc0C8os/edit?usp=sharing"",""พิษณุโลก!J580"")"),0)</f>
        <v>0</v>
      </c>
      <c r="AW22" s="261">
        <f ca="1">IFERROR(__xludf.DUMMYFUNCTION("IMPORTRANGE(""https://docs.google.com/spreadsheets/d/16OMuOwy2eVqZcYWOouQtTpa8X1L23h4660uVHc0C8os/edit?usp=sharing"",""พิษณุโลก!J581"")"),0)</f>
        <v>0</v>
      </c>
      <c r="AX22" s="186">
        <f ca="1">IFERROR(__xludf.DUMMYFUNCTION("IMPORTRANGE(""https://docs.google.com/spreadsheets/d/16OMuOwy2eVqZcYWOouQtTpa8X1L23h4660uVHc0C8os/edit?usp=sharing"",""พิษณุโลก!J582"")"),0)</f>
        <v>0</v>
      </c>
      <c r="AY22" s="261">
        <f ca="1">IFERROR(__xludf.DUMMYFUNCTION("IMPORTRANGE(""https://docs.google.com/spreadsheets/d/16OMuOwy2eVqZcYWOouQtTpa8X1L23h4660uVHc0C8os/edit?usp=sharing"",""พิษณุโลก!J583"")"),0)</f>
        <v>0</v>
      </c>
      <c r="AZ22" s="262">
        <f ca="1">IFERROR(__xludf.DUMMYFUNCTION("IMPORTRANGE(""https://docs.google.com/spreadsheets/d/16OMuOwy2eVqZcYWOouQtTpa8X1L23h4660uVHc0C8os/edit?usp=sharing"",""พิษณุโลก!J584"")"),0)</f>
        <v>0</v>
      </c>
      <c r="BA22" s="261">
        <f ca="1">IFERROR(__xludf.DUMMYFUNCTION("IMPORTRANGE(""https://docs.google.com/spreadsheets/d/16OMuOwy2eVqZcYWOouQtTpa8X1L23h4660uVHc0C8os/edit?usp=sharing"",""พิษณุโลก!J585"")"),0)</f>
        <v>0</v>
      </c>
      <c r="BB22" s="262">
        <f ca="1">IFERROR(__xludf.DUMMYFUNCTION("IMPORTRANGE(""https://docs.google.com/spreadsheets/d/16OMuOwy2eVqZcYWOouQtTpa8X1L23h4660uVHc0C8os/edit?usp=sharing"",""พิษณุโลก!J586"")"),0)</f>
        <v>0</v>
      </c>
      <c r="BC22" s="261">
        <f ca="1">IFERROR(__xludf.DUMMYFUNCTION("IMPORTRANGE(""https://docs.google.com/spreadsheets/d/16OMuOwy2eVqZcYWOouQtTpa8X1L23h4660uVHc0C8os/edit?usp=sharing"",""พิษณุโลก!J587"")"),0)</f>
        <v>0</v>
      </c>
      <c r="BD22" s="186">
        <f ca="1">IFERROR(__xludf.DUMMYFUNCTION("IMPORTRANGE(""https://docs.google.com/spreadsheets/d/16OMuOwy2eVqZcYWOouQtTpa8X1L23h4660uVHc0C8os/edit?usp=sharing"",""พิษณุโลก!J588"")"),0)</f>
        <v>0</v>
      </c>
      <c r="BE22" s="261">
        <f ca="1">IFERROR(__xludf.DUMMYFUNCTION("IMPORTRANGE(""https://docs.google.com/spreadsheets/d/16OMuOwy2eVqZcYWOouQtTpa8X1L23h4660uVHc0C8os/edit?usp=sharing"",""พิษณุโลก!J589"")"),0)</f>
        <v>0</v>
      </c>
      <c r="BF22" s="186">
        <f ca="1">IFERROR(__xludf.DUMMYFUNCTION("IMPORTRANGE(""https://docs.google.com/spreadsheets/d/16OMuOwy2eVqZcYWOouQtTpa8X1L23h4660uVHc0C8os/edit?usp=sharing"",""พิษณุโลก!J590"")"),0)</f>
        <v>0</v>
      </c>
      <c r="BG22" s="261">
        <f ca="1">IFERROR(__xludf.DUMMYFUNCTION("IMPORTRANGE(""https://docs.google.com/spreadsheets/d/16OMuOwy2eVqZcYWOouQtTpa8X1L23h4660uVHc0C8os/edit?usp=sharing"",""พิษณุโลก!J591"")"),0)</f>
        <v>0</v>
      </c>
      <c r="BH22" s="181">
        <f ca="1">IFERROR(__xludf.DUMMYFUNCTION("IMPORTRANGE(""https://docs.google.com/spreadsheets/d/16OMuOwy2eVqZcYWOouQtTpa8X1L23h4660uVHc0C8os/edit?usp=sharing"",""พิษณุโลก!I593"")"),3059.22)</f>
        <v>3059.22</v>
      </c>
      <c r="BI22" s="181">
        <f ca="1">IFERROR(__xludf.DUMMYFUNCTION("IMPORTRANGE(""https://docs.google.com/spreadsheets/d/16OMuOwy2eVqZcYWOouQtTpa8X1L23h4660uVHc0C8os/edit?usp=sharing"",""พิษณุโลก!I594"")"),202)</f>
        <v>202</v>
      </c>
      <c r="BJ22" s="186">
        <f ca="1">IFERROR(__xludf.DUMMYFUNCTION("IMPORTRANGE(""https://docs.google.com/spreadsheets/d/16OMuOwy2eVqZcYWOouQtTpa8X1L23h4660uVHc0C8os/edit?usp=sharing"",""พิษณุโลก!J593"")"),0)</f>
        <v>0</v>
      </c>
      <c r="BK22" s="186">
        <f t="shared" ca="1" si="36"/>
        <v>0</v>
      </c>
      <c r="BL22" s="181">
        <f ca="1">IFERROR(__xludf.DUMMYFUNCTION("IMPORTRANGE(""https://docs.google.com/spreadsheets/d/16OMuOwy2eVqZcYWOouQtTpa8X1L23h4660uVHc0C8os/edit?usp=sharing"",""พิษณุโลก!J594"")"),0)</f>
        <v>0</v>
      </c>
      <c r="BM22" s="186">
        <f t="shared" ca="1" si="16"/>
        <v>0</v>
      </c>
      <c r="BN22" s="186">
        <f ca="1">IFERROR(__xludf.DUMMYFUNCTION("IMPORTRANGE(""https://docs.google.com/spreadsheets/d/16OMuOwy2eVqZcYWOouQtTpa8X1L23h4660uVHc0C8os/edit?usp=sharing"",""พิษณุโลก!J595"")"),0)</f>
        <v>0</v>
      </c>
      <c r="BO22" s="261">
        <f ca="1">IFERROR(__xludf.DUMMYFUNCTION("IMPORTRANGE(""https://docs.google.com/spreadsheets/d/16OMuOwy2eVqZcYWOouQtTpa8X1L23h4660uVHc0C8os/edit?usp=sharing"",""พิษณุโลก!J596"")"),0)</f>
        <v>0</v>
      </c>
      <c r="BP22" s="186">
        <f ca="1">IFERROR(__xludf.DUMMYFUNCTION("IMPORTRANGE(""https://docs.google.com/spreadsheets/d/16OMuOwy2eVqZcYWOouQtTpa8X1L23h4660uVHc0C8os/edit?usp=sharing"",""พิษณุโลก!J597"")"),0)</f>
        <v>0</v>
      </c>
      <c r="BQ22" s="261">
        <f ca="1">IFERROR(__xludf.DUMMYFUNCTION("IMPORTRANGE(""https://docs.google.com/spreadsheets/d/16OMuOwy2eVqZcYWOouQtTpa8X1L23h4660uVHc0C8os/edit?usp=sharing"",""พิษณุโลก!J598"")"),0)</f>
        <v>0</v>
      </c>
      <c r="BR22" s="186">
        <f ca="1">IFERROR(__xludf.DUMMYFUNCTION("IMPORTRANGE(""https://docs.google.com/spreadsheets/d/16OMuOwy2eVqZcYWOouQtTpa8X1L23h4660uVHc0C8os/edit?usp=sharing"",""พิษณุโลก!J599"")"),0)</f>
        <v>0</v>
      </c>
      <c r="BS22" s="261">
        <f ca="1">IFERROR(__xludf.DUMMYFUNCTION("IMPORTRANGE(""https://docs.google.com/spreadsheets/d/16OMuOwy2eVqZcYWOouQtTpa8X1L23h4660uVHc0C8os/edit?usp=sharing"",""พิษณุโลก!J600"")"),0)</f>
        <v>0</v>
      </c>
      <c r="BT22" s="262">
        <f ca="1">IFERROR(__xludf.DUMMYFUNCTION("IMPORTRANGE(""https://docs.google.com/spreadsheets/d/16OMuOwy2eVqZcYWOouQtTpa8X1L23h4660uVHc0C8os/edit?usp=sharing"",""พิษณุโลก!J601"")"),0)</f>
        <v>0</v>
      </c>
      <c r="BU22" s="261">
        <f ca="1">IFERROR(__xludf.DUMMYFUNCTION("IMPORTRANGE(""https://docs.google.com/spreadsheets/d/16OMuOwy2eVqZcYWOouQtTpa8X1L23h4660uVHc0C8os/edit?usp=sharing"",""พิษณุโลก!J602"")"),0)</f>
        <v>0</v>
      </c>
      <c r="BV22" s="186">
        <f ca="1">IFERROR(__xludf.DUMMYFUNCTION("IMPORTRANGE(""https://docs.google.com/spreadsheets/d/16OMuOwy2eVqZcYWOouQtTpa8X1L23h4660uVHc0C8os/edit?usp=sharing"",""พิษณุโลก!J603"")"),0)</f>
        <v>0</v>
      </c>
      <c r="BW22" s="261">
        <f ca="1">IFERROR(__xludf.DUMMYFUNCTION("IMPORTRANGE(""https://docs.google.com/spreadsheets/d/16OMuOwy2eVqZcYWOouQtTpa8X1L23h4660uVHc0C8os/edit?usp=sharing"",""พิษณุโลก!J604"")"),0)</f>
        <v>0</v>
      </c>
      <c r="BX22" s="186">
        <f ca="1">IFERROR(__xludf.DUMMYFUNCTION("IMPORTRANGE(""https://docs.google.com/spreadsheets/d/16OMuOwy2eVqZcYWOouQtTpa8X1L23h4660uVHc0C8os/edit?usp=sharing"",""พิษณุโลก!J605"")"),0)</f>
        <v>0</v>
      </c>
      <c r="BY22" s="261">
        <f ca="1">IFERROR(__xludf.DUMMYFUNCTION("IMPORTRANGE(""https://docs.google.com/spreadsheets/d/16OMuOwy2eVqZcYWOouQtTpa8X1L23h4660uVHc0C8os/edit?usp=sharing"",""พิษณุโลก!J606"")"),0)</f>
        <v>0</v>
      </c>
      <c r="BZ22" s="186">
        <f ca="1">IFERROR(__xludf.DUMMYFUNCTION("IMPORTRANGE(""https://docs.google.com/spreadsheets/d/16OMuOwy2eVqZcYWOouQtTpa8X1L23h4660uVHc0C8os/edit?usp=sharing"",""พิษณุโลก!J607"")"),0)</f>
        <v>0</v>
      </c>
      <c r="CA22" s="261">
        <f ca="1">IFERROR(__xludf.DUMMYFUNCTION("IMPORTRANGE(""https://docs.google.com/spreadsheets/d/16OMuOwy2eVqZcYWOouQtTpa8X1L23h4660uVHc0C8os/edit?usp=sharing"",""พิษณุโลก!J608"")"),0)</f>
        <v>0</v>
      </c>
      <c r="CB22" s="186">
        <f ca="1">IFERROR(__xludf.DUMMYFUNCTION("IMPORTRANGE(""https://docs.google.com/spreadsheets/d/16OMuOwy2eVqZcYWOouQtTpa8X1L23h4660uVHc0C8os/edit?usp=sharing"",""พิษณุโลก!J609"")"),0)</f>
        <v>0</v>
      </c>
      <c r="CC22" s="261">
        <f ca="1">IFERROR(__xludf.DUMMYFUNCTION("IMPORTRANGE(""https://docs.google.com/spreadsheets/d/16OMuOwy2eVqZcYWOouQtTpa8X1L23h4660uVHc0C8os/edit?usp=sharing"",""พิษณุโลก!J610"")"),0)</f>
        <v>0</v>
      </c>
      <c r="CD22" s="261">
        <f ca="1">IFERROR(__xludf.DUMMYFUNCTION("IMPORTRANGE(""https://docs.google.com/spreadsheets/d/16OMuOwy2eVqZcYWOouQtTpa8X1L23h4660uVHc0C8os/edit?usp=sharing"",""พิษณุโลก!I612"")"),0)</f>
        <v>0</v>
      </c>
      <c r="CE22" s="261">
        <f ca="1">IFERROR(__xludf.DUMMYFUNCTION("IMPORTRANGE(""https://docs.google.com/spreadsheets/d/16OMuOwy2eVqZcYWOouQtTpa8X1L23h4660uVHc0C8os/edit?usp=sharing"",""พิษณุโลก!I594"")"),202)</f>
        <v>202</v>
      </c>
      <c r="CF22" s="262">
        <f ca="1">IFERROR(__xludf.DUMMYFUNCTION("IMPORTRANGE(""https://docs.google.com/spreadsheets/d/16OMuOwy2eVqZcYWOouQtTpa8X1L23h4660uVHc0C8os/edit?usp=sharing"",""พิษณุโลก!J612"")"),0)</f>
        <v>0</v>
      </c>
      <c r="CG22" s="262">
        <f t="shared" ca="1" si="37"/>
        <v>0</v>
      </c>
      <c r="CH22" s="261">
        <f ca="1">IFERROR(__xludf.DUMMYFUNCTION("IMPORTRANGE(""https://docs.google.com/spreadsheets/d/16OMuOwy2eVqZcYWOouQtTpa8X1L23h4660uVHc0C8os/edit?usp=sharing"",""พิษณุโลก!J613"")"),0)</f>
        <v>0</v>
      </c>
      <c r="CI22" s="262">
        <f t="shared" ca="1" si="19"/>
        <v>0</v>
      </c>
      <c r="CJ22" s="186">
        <f ca="1">IFERROR(__xludf.DUMMYFUNCTION("IMPORTRANGE(""https://docs.google.com/spreadsheets/d/16OMuOwy2eVqZcYWOouQtTpa8X1L23h4660uVHc0C8os/edit?usp=sharing"",""พิษณุโลก!J614"")"),0)</f>
        <v>0</v>
      </c>
      <c r="CK22" s="261">
        <f ca="1">IFERROR(__xludf.DUMMYFUNCTION("IMPORTRANGE(""https://docs.google.com/spreadsheets/d/16OMuOwy2eVqZcYWOouQtTpa8X1L23h4660uVHc0C8os/edit?usp=sharing"",""พิษณุโลก!J615"")"),0)</f>
        <v>0</v>
      </c>
      <c r="CL22" s="186">
        <f ca="1">IFERROR(__xludf.DUMMYFUNCTION("IMPORTRANGE(""https://docs.google.com/spreadsheets/d/16OMuOwy2eVqZcYWOouQtTpa8X1L23h4660uVHc0C8os/edit?usp=sharing"",""พิษณุโลก!J616"")"),0)</f>
        <v>0</v>
      </c>
      <c r="CM22" s="261">
        <f ca="1">IFERROR(__xludf.DUMMYFUNCTION("IMPORTRANGE(""https://docs.google.com/spreadsheets/d/16OMuOwy2eVqZcYWOouQtTpa8X1L23h4660uVHc0C8os/edit?usp=sharing"",""พิษณุโลก!J617"")"),0)</f>
        <v>0</v>
      </c>
      <c r="CN22" s="261">
        <f ca="1">IFERROR(__xludf.DUMMYFUNCTION("IMPORTRANGE(""https://docs.google.com/spreadsheets/d/16OMuOwy2eVqZcYWOouQtTpa8X1L23h4660uVHc0C8os/edit?usp=sharing"",""พิษณุโลก!I620"")"),6)</f>
        <v>6</v>
      </c>
      <c r="CO22" s="261">
        <f ca="1">IFERROR(__xludf.DUMMYFUNCTION("IMPORTRANGE(""https://docs.google.com/spreadsheets/d/16OMuOwy2eVqZcYWOouQtTpa8X1L23h4660uVHc0C8os/edit?usp=sharing"",""พิษณุโลก!I621"")"),2)</f>
        <v>2</v>
      </c>
      <c r="CP22" s="262">
        <f ca="1">IFERROR(__xludf.DUMMYFUNCTION("IMPORTRANGE(""https://docs.google.com/spreadsheets/d/16OMuOwy2eVqZcYWOouQtTpa8X1L23h4660uVHc0C8os/edit?usp=sharing"",""พิษณุโลก!J620"")"),0)</f>
        <v>0</v>
      </c>
      <c r="CQ22" s="262">
        <f t="shared" ca="1" si="38"/>
        <v>0</v>
      </c>
      <c r="CR22" s="261">
        <f ca="1">IFERROR(__xludf.DUMMYFUNCTION("IMPORTRANGE(""https://docs.google.com/spreadsheets/d/16OMuOwy2eVqZcYWOouQtTpa8X1L23h4660uVHc0C8os/edit?usp=sharing"",""พิษณุโลก!J621"")"),0)</f>
        <v>0</v>
      </c>
      <c r="CS22" s="262">
        <f t="shared" ca="1" si="22"/>
        <v>0</v>
      </c>
      <c r="CT22" s="186">
        <f ca="1">IFERROR(__xludf.DUMMYFUNCTION("IMPORTRANGE(""https://docs.google.com/spreadsheets/d/16OMuOwy2eVqZcYWOouQtTpa8X1L23h4660uVHc0C8os/edit?usp=sharing"",""พิษณุโลก!J622"")"),0)</f>
        <v>0</v>
      </c>
      <c r="CU22" s="261">
        <f ca="1">IFERROR(__xludf.DUMMYFUNCTION("IMPORTRANGE(""https://docs.google.com/spreadsheets/d/16OMuOwy2eVqZcYWOouQtTpa8X1L23h4660uVHc0C8os/edit?usp=sharing"",""พิษณุโลก!J623"")"),0)</f>
        <v>0</v>
      </c>
      <c r="CV22" s="186">
        <f ca="1">IFERROR(__xludf.DUMMYFUNCTION("IMPORTRANGE(""https://docs.google.com/spreadsheets/d/16OMuOwy2eVqZcYWOouQtTpa8X1L23h4660uVHc0C8os/edit?usp=sharing"",""พิษณุโลก!J624"")"),0)</f>
        <v>0</v>
      </c>
      <c r="CW22" s="261">
        <f ca="1">IFERROR(__xludf.DUMMYFUNCTION("IMPORTRANGE(""https://docs.google.com/spreadsheets/d/16OMuOwy2eVqZcYWOouQtTpa8X1L23h4660uVHc0C8os/edit?usp=sharing"",""พิษณุโลก!J625"")"),0)</f>
        <v>0</v>
      </c>
      <c r="CX22" s="186">
        <f ca="1">IFERROR(__xludf.DUMMYFUNCTION("IMPORTRANGE(""https://docs.google.com/spreadsheets/d/16OMuOwy2eVqZcYWOouQtTpa8X1L23h4660uVHc0C8os/edit?usp=sharing"",""พิษณุโลก!J626"")"),0)</f>
        <v>0</v>
      </c>
      <c r="CY22" s="261">
        <f ca="1">IFERROR(__xludf.DUMMYFUNCTION("IMPORTRANGE(""https://docs.google.com/spreadsheets/d/16OMuOwy2eVqZcYWOouQtTpa8X1L23h4660uVHc0C8os/edit?usp=sharing"",""พิษณุโลก!J627"")"),0)</f>
        <v>0</v>
      </c>
    </row>
    <row r="23" spans="1:103" ht="24" customHeight="1" x14ac:dyDescent="0.3">
      <c r="A23" s="178">
        <v>10</v>
      </c>
      <c r="B23" s="179" t="s">
        <v>40</v>
      </c>
      <c r="C23" s="180">
        <f t="shared" ca="1" si="49"/>
        <v>618295</v>
      </c>
      <c r="D23" s="181">
        <f ca="1">IFERROR(__xludf.DUMMYFUNCTION("IMPORTRANGE(""https://docs.google.com/spreadsheets/d/1GfgTldLG6k77HXaMQzaafODklYuucJZQNs_GAPEfZyY/edit?usp=sharing"",""เพชรบูรณ์!L549"")"),618295)</f>
        <v>618295</v>
      </c>
      <c r="E23" s="187">
        <f ca="1">IFERROR(__xludf.DUMMYFUNCTION("IMPORTRANGE(""https://docs.google.com/spreadsheets/d/1GfgTldLG6k77HXaMQzaafODklYuucJZQNs_GAPEfZyY/edit?usp=sharing"",""เพชรบูรณ์!L557"")"),0)</f>
        <v>0</v>
      </c>
      <c r="F23" s="182">
        <f t="shared" ca="1" si="1"/>
        <v>126155.15</v>
      </c>
      <c r="G23" s="183">
        <f t="shared" ca="1" si="2"/>
        <v>20.403715055111235</v>
      </c>
      <c r="H23" s="184">
        <f t="shared" ca="1" si="50"/>
        <v>126155.15</v>
      </c>
      <c r="I23" s="187">
        <f ca="1">IFERROR(__xludf.DUMMYFUNCTION("IMPORTRANGE(""https://docs.google.com/spreadsheets/d/1GfgTldLG6k77HXaMQzaafODklYuucJZQNs_GAPEfZyY/edit?usp=sharing"",""เพชรบูรณ์!N550"")"),0)</f>
        <v>0</v>
      </c>
      <c r="J23" s="187">
        <f ca="1">IFERROR(__xludf.DUMMYFUNCTION("IMPORTRANGE(""https://docs.google.com/spreadsheets/d/1GfgTldLG6k77HXaMQzaafODklYuucJZQNs_GAPEfZyY/edit?usp=sharing"",""เพชรบูรณ์!N551"")"),0)</f>
        <v>0</v>
      </c>
      <c r="K23" s="187">
        <f ca="1">IFERROR(__xludf.DUMMYFUNCTION("IMPORTRANGE(""https://docs.google.com/spreadsheets/d/1GfgTldLG6k77HXaMQzaafODklYuucJZQNs_GAPEfZyY/edit?usp=sharing"",""เพชรบูรณ์!N552"")"),52000)</f>
        <v>52000</v>
      </c>
      <c r="L23" s="187">
        <f ca="1">IFERROR(__xludf.DUMMYFUNCTION("IMPORTRANGE(""https://docs.google.com/spreadsheets/d/1GfgTldLG6k77HXaMQzaafODklYuucJZQNs_GAPEfZyY/edit?usp=sharing"",""เพชรบูรณ์!N553"")"),74155.15)</f>
        <v>74155.149999999994</v>
      </c>
      <c r="M23" s="187">
        <f ca="1">IFERROR(__xludf.DUMMYFUNCTION("IMPORTRANGE(""https://docs.google.com/spreadsheets/d/1GfgTldLG6k77HXaMQzaafODklYuucJZQNs_GAPEfZyY/edit?usp=sharing"",""เพชรบูรณ์!N554"")"),0)</f>
        <v>0</v>
      </c>
      <c r="N23" s="185">
        <f ca="1">IFERROR(__xludf.DUMMYFUNCTION("IMPORTRANGE(""https://docs.google.com/spreadsheets/d/1GfgTldLG6k77HXaMQzaafODklYuucJZQNs_GAPEfZyY/edit?usp=sharing"",""เพชรบูรณ์!N557"")"),0)</f>
        <v>0</v>
      </c>
      <c r="O23" s="185">
        <f t="shared" ca="1" si="41"/>
        <v>0</v>
      </c>
      <c r="P23" s="181">
        <f ca="1">IFERROR(__xludf.DUMMYFUNCTION("IMPORTRANGE(""https://docs.google.com/spreadsheets/d/1GfgTldLG6k77HXaMQzaafODklYuucJZQNs_GAPEfZyY/edit?usp=sharing"",""เพชรบูรณ์!I560"")"),133053)</f>
        <v>133053</v>
      </c>
      <c r="Q23" s="181">
        <f ca="1">IFERROR(__xludf.DUMMYFUNCTION("IMPORTRANGE(""https://docs.google.com/spreadsheets/d/1GfgTldLG6k77HXaMQzaafODklYuucJZQNs_GAPEfZyY/edit?usp=sharing"",""เพชรบูรณ์!I561"")"),7593)</f>
        <v>7593</v>
      </c>
      <c r="R23" s="186">
        <f ca="1">IFERROR(__xludf.DUMMYFUNCTION("IMPORTRANGE(""https://docs.google.com/spreadsheets/d/1GfgTldLG6k77HXaMQzaafODklYuucJZQNs_GAPEfZyY/edit?usp=sharing"",""เพชรบูรณ์!J560"")"),133053)</f>
        <v>133053</v>
      </c>
      <c r="S23" s="186">
        <f t="shared" ca="1" si="33"/>
        <v>100</v>
      </c>
      <c r="T23" s="181">
        <f ca="1">IFERROR(__xludf.DUMMYFUNCTION("IMPORTRANGE(""https://docs.google.com/spreadsheets/d/1GfgTldLG6k77HXaMQzaafODklYuucJZQNs_GAPEfZyY/edit?usp=sharing"",""เพชรบูรณ์!J561"")"),7593)</f>
        <v>7593</v>
      </c>
      <c r="U23" s="186">
        <f t="shared" ca="1" si="7"/>
        <v>100</v>
      </c>
      <c r="V23" s="186">
        <f ca="1">IFERROR(__xludf.DUMMYFUNCTION("IMPORTRANGE(""https://docs.google.com/spreadsheets/d/1GfgTldLG6k77HXaMQzaafODklYuucJZQNs_GAPEfZyY/edit?usp=sharing"",""เพชรบูรณ์!J562"")"),88330)</f>
        <v>88330</v>
      </c>
      <c r="W23" s="261">
        <f ca="1">IFERROR(__xludf.DUMMYFUNCTION("IMPORTRANGE(""https://docs.google.com/spreadsheets/d/1GfgTldLG6k77HXaMQzaafODklYuucJZQNs_GAPEfZyY/edit?usp=sharing"",""เพชรบูรณ์!J563"")"),5462)</f>
        <v>5462</v>
      </c>
      <c r="X23" s="186">
        <f ca="1">IFERROR(__xludf.DUMMYFUNCTION("IMPORTRANGE(""https://docs.google.com/spreadsheets/d/1GfgTldLG6k77HXaMQzaafODklYuucJZQNs_GAPEfZyY/edit?usp=sharing"",""เพชรบูรณ์!J564"")"),39824)</f>
        <v>39824</v>
      </c>
      <c r="Y23" s="261">
        <f ca="1">IFERROR(__xludf.DUMMYFUNCTION("IMPORTRANGE(""https://docs.google.com/spreadsheets/d/1GfgTldLG6k77HXaMQzaafODklYuucJZQNs_GAPEfZyY/edit?usp=sharing"",""เพชรบูรณ์!J565"")"),1887)</f>
        <v>1887</v>
      </c>
      <c r="Z23" s="186">
        <f ca="1">IFERROR(__xludf.DUMMYFUNCTION("IMPORTRANGE(""https://docs.google.com/spreadsheets/d/1GfgTldLG6k77HXaMQzaafODklYuucJZQNs_GAPEfZyY/edit?usp=sharing"",""เพชรบูรณ์!J566"")"),4899)</f>
        <v>4899</v>
      </c>
      <c r="AA23" s="261">
        <f ca="1">IFERROR(__xludf.DUMMYFUNCTION("IMPORTRANGE(""https://docs.google.com/spreadsheets/d/1GfgTldLG6k77HXaMQzaafODklYuucJZQNs_GAPEfZyY/edit?usp=sharing"",""เพชรบูรณ์!J567"")"),244)</f>
        <v>244</v>
      </c>
      <c r="AB23" s="181">
        <f ca="1">IFERROR(__xludf.DUMMYFUNCTION("IMPORTRANGE(""https://docs.google.com/spreadsheets/d/1GfgTldLG6k77HXaMQzaafODklYuucJZQNs_GAPEfZyY/edit?usp=sharing"",""เพชรบูรณ์!I568"")"),133053)</f>
        <v>133053</v>
      </c>
      <c r="AC23" s="181">
        <f ca="1">IFERROR(__xludf.DUMMYFUNCTION("IMPORTRANGE(""https://docs.google.com/spreadsheets/d/1GfgTldLG6k77HXaMQzaafODklYuucJZQNs_GAPEfZyY/edit?usp=sharing"",""เพชรบูรณ์!I569"")"),7593)</f>
        <v>7593</v>
      </c>
      <c r="AD23" s="186">
        <f ca="1">IFERROR(__xludf.DUMMYFUNCTION("IMPORTRANGE(""https://docs.google.com/spreadsheets/d/1GfgTldLG6k77HXaMQzaafODklYuucJZQNs_GAPEfZyY/edit?usp=sharing"",""เพชรบูรณ์!J568"")"),19376.5199999999)</f>
        <v>19376.519999999899</v>
      </c>
      <c r="AE23" s="186">
        <f t="shared" ca="1" si="34"/>
        <v>14.563008725846014</v>
      </c>
      <c r="AF23" s="181">
        <f ca="1">IFERROR(__xludf.DUMMYFUNCTION("IMPORTRANGE(""https://docs.google.com/spreadsheets/d/1GfgTldLG6k77HXaMQzaafODklYuucJZQNs_GAPEfZyY/edit?usp=sharing"",""เพชรบูรณ์!J569"")"),1047)</f>
        <v>1047</v>
      </c>
      <c r="AG23" s="186">
        <f t="shared" ca="1" si="10"/>
        <v>13.789016199130778</v>
      </c>
      <c r="AH23" s="186">
        <f ca="1">IFERROR(__xludf.DUMMYFUNCTION("IMPORTRANGE(""https://docs.google.com/spreadsheets/d/1GfgTldLG6k77HXaMQzaafODklYuucJZQNs_GAPEfZyY/edit?usp=sharing"",""เพชรบูรณ์!J570"")"),15971.4)</f>
        <v>15971.4</v>
      </c>
      <c r="AI23" s="261">
        <f ca="1">IFERROR(__xludf.DUMMYFUNCTION("IMPORTRANGE(""https://docs.google.com/spreadsheets/d/1GfgTldLG6k77HXaMQzaafODklYuucJZQNs_GAPEfZyY/edit?usp=sharing"",""เพชรบูรณ์!J571"")"),899)</f>
        <v>899</v>
      </c>
      <c r="AJ23" s="186">
        <f ca="1">IFERROR(__xludf.DUMMYFUNCTION("IMPORTRANGE(""https://docs.google.com/spreadsheets/d/1GfgTldLG6k77HXaMQzaafODklYuucJZQNs_GAPEfZyY/edit?usp=sharing"",""เพชรบูรณ์!J572"")"),2527.59)</f>
        <v>2527.59</v>
      </c>
      <c r="AK23" s="261">
        <f ca="1">IFERROR(__xludf.DUMMYFUNCTION("IMPORTRANGE(""https://docs.google.com/spreadsheets/d/1GfgTldLG6k77HXaMQzaafODklYuucJZQNs_GAPEfZyY/edit?usp=sharing"",""เพชรบูรณ์!J573"")"),104)</f>
        <v>104</v>
      </c>
      <c r="AL23" s="186">
        <f ca="1">IFERROR(__xludf.DUMMYFUNCTION("IMPORTRANGE(""https://docs.google.com/spreadsheets/d/1GfgTldLG6k77HXaMQzaafODklYuucJZQNs_GAPEfZyY/edit?usp=sharing"",""เพชรบูรณ์!J574"")"),877.53)</f>
        <v>877.53</v>
      </c>
      <c r="AM23" s="261">
        <f ca="1">IFERROR(__xludf.DUMMYFUNCTION("IMPORTRANGE(""https://docs.google.com/spreadsheets/d/1GfgTldLG6k77HXaMQzaafODklYuucJZQNs_GAPEfZyY/edit?usp=sharing"",""เพชรบูรณ์!J575"")"),44)</f>
        <v>44</v>
      </c>
      <c r="AN23" s="181">
        <f ca="1">IFERROR(__xludf.DUMMYFUNCTION("IMPORTRANGE(""https://docs.google.com/spreadsheets/d/1GfgTldLG6k77HXaMQzaafODklYuucJZQNs_GAPEfZyY/edit?usp=sharing"",""เพชรบูรณ์!I576"")"),133053)</f>
        <v>133053</v>
      </c>
      <c r="AO23" s="181">
        <f ca="1">IFERROR(__xludf.DUMMYFUNCTION("IMPORTRANGE(""https://docs.google.com/spreadsheets/d/1GfgTldLG6k77HXaMQzaafODklYuucJZQNs_GAPEfZyY/edit?usp=sharing"",""เพชรบูรณ์!I577"")"),7593)</f>
        <v>7593</v>
      </c>
      <c r="AP23" s="186">
        <f ca="1">IFERROR(__xludf.DUMMYFUNCTION("IMPORTRANGE(""https://docs.google.com/spreadsheets/d/1GfgTldLG6k77HXaMQzaafODklYuucJZQNs_GAPEfZyY/edit?usp=sharing"",""เพชรบูรณ์!J576"")"),0)</f>
        <v>0</v>
      </c>
      <c r="AQ23" s="186">
        <f t="shared" ca="1" si="35"/>
        <v>0</v>
      </c>
      <c r="AR23" s="181">
        <f ca="1">IFERROR(__xludf.DUMMYFUNCTION("IMPORTRANGE(""https://docs.google.com/spreadsheets/d/1GfgTldLG6k77HXaMQzaafODklYuucJZQNs_GAPEfZyY/edit?usp=sharing"",""เพชรบูรณ์!J577"")"),0)</f>
        <v>0</v>
      </c>
      <c r="AS23" s="186">
        <f t="shared" ca="1" si="13"/>
        <v>0</v>
      </c>
      <c r="AT23" s="186">
        <f ca="1">IFERROR(__xludf.DUMMYFUNCTION("IMPORTRANGE(""https://docs.google.com/spreadsheets/d/1GfgTldLG6k77HXaMQzaafODklYuucJZQNs_GAPEfZyY/edit?usp=sharing"",""เพชรบูรณ์!J578"")"),0)</f>
        <v>0</v>
      </c>
      <c r="AU23" s="261">
        <f ca="1">IFERROR(__xludf.DUMMYFUNCTION("IMPORTRANGE(""https://docs.google.com/spreadsheets/d/1GfgTldLG6k77HXaMQzaafODklYuucJZQNs_GAPEfZyY/edit?usp=sharing"",""เพชรบูรณ์!J579"")"),0)</f>
        <v>0</v>
      </c>
      <c r="AV23" s="186">
        <f ca="1">IFERROR(__xludf.DUMMYFUNCTION("IMPORTRANGE(""https://docs.google.com/spreadsheets/d/1GfgTldLG6k77HXaMQzaafODklYuucJZQNs_GAPEfZyY/edit?usp=sharing"",""เพชรบูรณ์!J580"")"),0)</f>
        <v>0</v>
      </c>
      <c r="AW23" s="261">
        <f ca="1">IFERROR(__xludf.DUMMYFUNCTION("IMPORTRANGE(""https://docs.google.com/spreadsheets/d/1GfgTldLG6k77HXaMQzaafODklYuucJZQNs_GAPEfZyY/edit?usp=sharing"",""เพชรบูรณ์!J581"")"),0)</f>
        <v>0</v>
      </c>
      <c r="AX23" s="186">
        <f ca="1">IFERROR(__xludf.DUMMYFUNCTION("IMPORTRANGE(""https://docs.google.com/spreadsheets/d/1GfgTldLG6k77HXaMQzaafODklYuucJZQNs_GAPEfZyY/edit?usp=sharing"",""เพชรบูรณ์!J582"")"),0)</f>
        <v>0</v>
      </c>
      <c r="AY23" s="261">
        <f ca="1">IFERROR(__xludf.DUMMYFUNCTION("IMPORTRANGE(""https://docs.google.com/spreadsheets/d/1GfgTldLG6k77HXaMQzaafODklYuucJZQNs_GAPEfZyY/edit?usp=sharing"",""เพชรบูรณ์!J583"")"),0)</f>
        <v>0</v>
      </c>
      <c r="AZ23" s="262">
        <f ca="1">IFERROR(__xludf.DUMMYFUNCTION("IMPORTRANGE(""https://docs.google.com/spreadsheets/d/1GfgTldLG6k77HXaMQzaafODklYuucJZQNs_GAPEfZyY/edit?usp=sharing"",""เพชรบูรณ์!J584"")"),0)</f>
        <v>0</v>
      </c>
      <c r="BA23" s="261">
        <f ca="1">IFERROR(__xludf.DUMMYFUNCTION("IMPORTRANGE(""https://docs.google.com/spreadsheets/d/1GfgTldLG6k77HXaMQzaafODklYuucJZQNs_GAPEfZyY/edit?usp=sharing"",""เพชรบูรณ์!J585"")"),0)</f>
        <v>0</v>
      </c>
      <c r="BB23" s="262">
        <f ca="1">IFERROR(__xludf.DUMMYFUNCTION("IMPORTRANGE(""https://docs.google.com/spreadsheets/d/1GfgTldLG6k77HXaMQzaafODklYuucJZQNs_GAPEfZyY/edit?usp=sharing"",""เพชรบูรณ์!J586"")"),0)</f>
        <v>0</v>
      </c>
      <c r="BC23" s="261">
        <f ca="1">IFERROR(__xludf.DUMMYFUNCTION("IMPORTRANGE(""https://docs.google.com/spreadsheets/d/1GfgTldLG6k77HXaMQzaafODklYuucJZQNs_GAPEfZyY/edit?usp=sharing"",""เพชรบูรณ์!J587"")"),0)</f>
        <v>0</v>
      </c>
      <c r="BD23" s="186">
        <f ca="1">IFERROR(__xludf.DUMMYFUNCTION("IMPORTRANGE(""https://docs.google.com/spreadsheets/d/1GfgTldLG6k77HXaMQzaafODklYuucJZQNs_GAPEfZyY/edit?usp=sharing"",""เพชรบูรณ์!J588"")"),0)</f>
        <v>0</v>
      </c>
      <c r="BE23" s="261">
        <f ca="1">IFERROR(__xludf.DUMMYFUNCTION("IMPORTRANGE(""https://docs.google.com/spreadsheets/d/1GfgTldLG6k77HXaMQzaafODklYuucJZQNs_GAPEfZyY/edit?usp=sharing"",""เพชรบูรณ์!J589"")"),0)</f>
        <v>0</v>
      </c>
      <c r="BF23" s="186">
        <f ca="1">IFERROR(__xludf.DUMMYFUNCTION("IMPORTRANGE(""https://docs.google.com/spreadsheets/d/1GfgTldLG6k77HXaMQzaafODklYuucJZQNs_GAPEfZyY/edit?usp=sharing"",""เพชรบูรณ์!J590"")"),0)</f>
        <v>0</v>
      </c>
      <c r="BG23" s="261">
        <f ca="1">IFERROR(__xludf.DUMMYFUNCTION("IMPORTRANGE(""https://docs.google.com/spreadsheets/d/1GfgTldLG6k77HXaMQzaafODklYuucJZQNs_GAPEfZyY/edit?usp=sharing"",""เพชรบูรณ์!J591"")"),0)</f>
        <v>0</v>
      </c>
      <c r="BH23" s="181">
        <f ca="1">IFERROR(__xludf.DUMMYFUNCTION("IMPORTRANGE(""https://docs.google.com/spreadsheets/d/1GfgTldLG6k77HXaMQzaafODklYuucJZQNs_GAPEfZyY/edit?usp=sharing"",""เพชรบูรณ์!I593"")"),7886.87)</f>
        <v>7886.87</v>
      </c>
      <c r="BI23" s="181">
        <f ca="1">IFERROR(__xludf.DUMMYFUNCTION("IMPORTRANGE(""https://docs.google.com/spreadsheets/d/1GfgTldLG6k77HXaMQzaafODklYuucJZQNs_GAPEfZyY/edit?usp=sharing"",""เพชรบูรณ์!I594"")"),382)</f>
        <v>382</v>
      </c>
      <c r="BJ23" s="186">
        <f ca="1">IFERROR(__xludf.DUMMYFUNCTION("IMPORTRANGE(""https://docs.google.com/spreadsheets/d/1GfgTldLG6k77HXaMQzaafODklYuucJZQNs_GAPEfZyY/edit?usp=sharing"",""เพชรบูรณ์!J593"")"),222)</f>
        <v>222</v>
      </c>
      <c r="BK23" s="186">
        <f t="shared" ca="1" si="36"/>
        <v>2.8148048592153794</v>
      </c>
      <c r="BL23" s="181">
        <f ca="1">IFERROR(__xludf.DUMMYFUNCTION("IMPORTRANGE(""https://docs.google.com/spreadsheets/d/1GfgTldLG6k77HXaMQzaafODklYuucJZQNs_GAPEfZyY/edit?usp=sharing"",""เพชรบูรณ์!J594"")"),19)</f>
        <v>19</v>
      </c>
      <c r="BM23" s="186">
        <f t="shared" ca="1" si="16"/>
        <v>4.9738219895287958</v>
      </c>
      <c r="BN23" s="186">
        <f ca="1">IFERROR(__xludf.DUMMYFUNCTION("IMPORTRANGE(""https://docs.google.com/spreadsheets/d/1GfgTldLG6k77HXaMQzaafODklYuucJZQNs_GAPEfZyY/edit?usp=sharing"",""เพชรบูรณ์!J595"")"),154)</f>
        <v>154</v>
      </c>
      <c r="BO23" s="261">
        <f ca="1">IFERROR(__xludf.DUMMYFUNCTION("IMPORTRANGE(""https://docs.google.com/spreadsheets/d/1GfgTldLG6k77HXaMQzaafODklYuucJZQNs_GAPEfZyY/edit?usp=sharing"",""เพชรบูรณ์!J596"")"),16)</f>
        <v>16</v>
      </c>
      <c r="BP23" s="186" t="str">
        <f ca="1">IFERROR(__xludf.DUMMYFUNCTION("IMPORTRANGE(""https://docs.google.com/spreadsheets/d/1GfgTldLG6k77HXaMQzaafODklYuucJZQNs_GAPEfZyY/edit?usp=sharing"",""เพชรบูรณ์!J597"")"),"")</f>
        <v/>
      </c>
      <c r="BQ23" s="261">
        <f ca="1">IFERROR(__xludf.DUMMYFUNCTION("IMPORTRANGE(""https://docs.google.com/spreadsheets/d/1GfgTldLG6k77HXaMQzaafODklYuucJZQNs_GAPEfZyY/edit?usp=sharing"",""เพชรบูรณ์!J598"")"),16)</f>
        <v>16</v>
      </c>
      <c r="BR23" s="186">
        <f ca="1">IFERROR(__xludf.DUMMYFUNCTION("IMPORTRANGE(""https://docs.google.com/spreadsheets/d/1GfgTldLG6k77HXaMQzaafODklYuucJZQNs_GAPEfZyY/edit?usp=sharing"",""เพชรบูรณ์!J599"")"),154)</f>
        <v>154</v>
      </c>
      <c r="BS23" s="261">
        <f ca="1">IFERROR(__xludf.DUMMYFUNCTION("IMPORTRANGE(""https://docs.google.com/spreadsheets/d/1GfgTldLG6k77HXaMQzaafODklYuucJZQNs_GAPEfZyY/edit?usp=sharing"",""เพชรบูรณ์!J600"")"),0)</f>
        <v>0</v>
      </c>
      <c r="BT23" s="262">
        <f ca="1">IFERROR(__xludf.DUMMYFUNCTION("IMPORTRANGE(""https://docs.google.com/spreadsheets/d/1GfgTldLG6k77HXaMQzaafODklYuucJZQNs_GAPEfZyY/edit?usp=sharing"",""เพชรบูรณ์!J601"")"),0)</f>
        <v>0</v>
      </c>
      <c r="BU23" s="261">
        <f ca="1">IFERROR(__xludf.DUMMYFUNCTION("IMPORTRANGE(""https://docs.google.com/spreadsheets/d/1GfgTldLG6k77HXaMQzaafODklYuucJZQNs_GAPEfZyY/edit?usp=sharing"",""เพชรบูรณ์!J602"")"),0)</f>
        <v>0</v>
      </c>
      <c r="BV23" s="186">
        <f ca="1">IFERROR(__xludf.DUMMYFUNCTION("IMPORTRANGE(""https://docs.google.com/spreadsheets/d/1GfgTldLG6k77HXaMQzaafODklYuucJZQNs_GAPEfZyY/edit?usp=sharing"",""เพชรบูรณ์!J603"")"),68)</f>
        <v>68</v>
      </c>
      <c r="BW23" s="261">
        <f ca="1">IFERROR(__xludf.DUMMYFUNCTION("IMPORTRANGE(""https://docs.google.com/spreadsheets/d/1GfgTldLG6k77HXaMQzaafODklYuucJZQNs_GAPEfZyY/edit?usp=sharing"",""เพชรบูรณ์!J604"")"),3)</f>
        <v>3</v>
      </c>
      <c r="BX23" s="186">
        <f ca="1">IFERROR(__xludf.DUMMYFUNCTION("IMPORTRANGE(""https://docs.google.com/spreadsheets/d/1GfgTldLG6k77HXaMQzaafODklYuucJZQNs_GAPEfZyY/edit?usp=sharing"",""เพชรบูรณ์!J605"")"),68)</f>
        <v>68</v>
      </c>
      <c r="BY23" s="261">
        <f ca="1">IFERROR(__xludf.DUMMYFUNCTION("IMPORTRANGE(""https://docs.google.com/spreadsheets/d/1GfgTldLG6k77HXaMQzaafODklYuucJZQNs_GAPEfZyY/edit?usp=sharing"",""เพชรบูรณ์!J606"")"),3)</f>
        <v>3</v>
      </c>
      <c r="BZ23" s="186">
        <f ca="1">IFERROR(__xludf.DUMMYFUNCTION("IMPORTRANGE(""https://docs.google.com/spreadsheets/d/1GfgTldLG6k77HXaMQzaafODklYuucJZQNs_GAPEfZyY/edit?usp=sharing"",""เพชรบูรณ์!J607"")"),0)</f>
        <v>0</v>
      </c>
      <c r="CA23" s="261">
        <f ca="1">IFERROR(__xludf.DUMMYFUNCTION("IMPORTRANGE(""https://docs.google.com/spreadsheets/d/1GfgTldLG6k77HXaMQzaafODklYuucJZQNs_GAPEfZyY/edit?usp=sharing"",""เพชรบูรณ์!J608"")"),0)</f>
        <v>0</v>
      </c>
      <c r="CB23" s="186">
        <f ca="1">IFERROR(__xludf.DUMMYFUNCTION("IMPORTRANGE(""https://docs.google.com/spreadsheets/d/1GfgTldLG6k77HXaMQzaafODklYuucJZQNs_GAPEfZyY/edit?usp=sharing"",""เพชรบูรณ์!J609"")"),0)</f>
        <v>0</v>
      </c>
      <c r="CC23" s="261">
        <f ca="1">IFERROR(__xludf.DUMMYFUNCTION("IMPORTRANGE(""https://docs.google.com/spreadsheets/d/1GfgTldLG6k77HXaMQzaafODklYuucJZQNs_GAPEfZyY/edit?usp=sharing"",""เพชรบูรณ์!J610"")"),0)</f>
        <v>0</v>
      </c>
      <c r="CD23" s="261">
        <f ca="1">IFERROR(__xludf.DUMMYFUNCTION("IMPORTRANGE(""https://docs.google.com/spreadsheets/d/1GfgTldLG6k77HXaMQzaafODklYuucJZQNs_GAPEfZyY/edit?usp=sharing"",""เพชรบูรณ์!I612"")"),0)</f>
        <v>0</v>
      </c>
      <c r="CE23" s="261">
        <f ca="1">IFERROR(__xludf.DUMMYFUNCTION("IMPORTRANGE(""https://docs.google.com/spreadsheets/d/1GfgTldLG6k77HXaMQzaafODklYuucJZQNs_GAPEfZyY/edit?usp=sharing"",""เพชรบูรณ์!I594"")"),382)</f>
        <v>382</v>
      </c>
      <c r="CF23" s="262">
        <f ca="1">IFERROR(__xludf.DUMMYFUNCTION("IMPORTRANGE(""https://docs.google.com/spreadsheets/d/1GfgTldLG6k77HXaMQzaafODklYuucJZQNs_GAPEfZyY/edit?usp=sharing"",""เพชรบูรณ์!J612"")"),0)</f>
        <v>0</v>
      </c>
      <c r="CG23" s="262">
        <f t="shared" ca="1" si="37"/>
        <v>0</v>
      </c>
      <c r="CH23" s="261">
        <f ca="1">IFERROR(__xludf.DUMMYFUNCTION("IMPORTRANGE(""https://docs.google.com/spreadsheets/d/1GfgTldLG6k77HXaMQzaafODklYuucJZQNs_GAPEfZyY/edit?usp=sharing"",""เพชรบูรณ์!J613"")"),0)</f>
        <v>0</v>
      </c>
      <c r="CI23" s="262">
        <f t="shared" ca="1" si="19"/>
        <v>0</v>
      </c>
      <c r="CJ23" s="186">
        <f ca="1">IFERROR(__xludf.DUMMYFUNCTION("IMPORTRANGE(""https://docs.google.com/spreadsheets/d/1GfgTldLG6k77HXaMQzaafODklYuucJZQNs_GAPEfZyY/edit?usp=sharing"",""เพชรบูรณ์!J614"")"),0)</f>
        <v>0</v>
      </c>
      <c r="CK23" s="261">
        <f ca="1">IFERROR(__xludf.DUMMYFUNCTION("IMPORTRANGE(""https://docs.google.com/spreadsheets/d/1GfgTldLG6k77HXaMQzaafODklYuucJZQNs_GAPEfZyY/edit?usp=sharing"",""เพชรบูรณ์!J615"")"),0)</f>
        <v>0</v>
      </c>
      <c r="CL23" s="186">
        <f ca="1">IFERROR(__xludf.DUMMYFUNCTION("IMPORTRANGE(""https://docs.google.com/spreadsheets/d/1GfgTldLG6k77HXaMQzaafODklYuucJZQNs_GAPEfZyY/edit?usp=sharing"",""เพชรบูรณ์!J616"")"),0)</f>
        <v>0</v>
      </c>
      <c r="CM23" s="261">
        <f ca="1">IFERROR(__xludf.DUMMYFUNCTION("IMPORTRANGE(""https://docs.google.com/spreadsheets/d/1GfgTldLG6k77HXaMQzaafODklYuucJZQNs_GAPEfZyY/edit?usp=sharing"",""เพชรบูรณ์!J617"")"),0)</f>
        <v>0</v>
      </c>
      <c r="CN23" s="261">
        <f ca="1">IFERROR(__xludf.DUMMYFUNCTION("IMPORTRANGE(""https://docs.google.com/spreadsheets/d/1GfgTldLG6k77HXaMQzaafODklYuucJZQNs_GAPEfZyY/edit?usp=sharing"",""เพชรบูรณ์!I620"")"),506)</f>
        <v>506</v>
      </c>
      <c r="CO23" s="261">
        <f ca="1">IFERROR(__xludf.DUMMYFUNCTION("IMPORTRANGE(""https://docs.google.com/spreadsheets/d/1GfgTldLG6k77HXaMQzaafODklYuucJZQNs_GAPEfZyY/edit?usp=sharing"",""เพชรบูรณ์!I621"")"),15)</f>
        <v>15</v>
      </c>
      <c r="CP23" s="262">
        <f ca="1">IFERROR(__xludf.DUMMYFUNCTION("IMPORTRANGE(""https://docs.google.com/spreadsheets/d/1GfgTldLG6k77HXaMQzaafODklYuucJZQNs_GAPEfZyY/edit?usp=sharing"",""เพชรบูรณ์!J620"")"),0)</f>
        <v>0</v>
      </c>
      <c r="CQ23" s="262">
        <f t="shared" ca="1" si="38"/>
        <v>0</v>
      </c>
      <c r="CR23" s="261">
        <f ca="1">IFERROR(__xludf.DUMMYFUNCTION("IMPORTRANGE(""https://docs.google.com/spreadsheets/d/1GfgTldLG6k77HXaMQzaafODklYuucJZQNs_GAPEfZyY/edit?usp=sharing"",""เพชรบูรณ์!J621"")"),0)</f>
        <v>0</v>
      </c>
      <c r="CS23" s="262">
        <f t="shared" ca="1" si="22"/>
        <v>0</v>
      </c>
      <c r="CT23" s="186">
        <f ca="1">IFERROR(__xludf.DUMMYFUNCTION("IMPORTRANGE(""https://docs.google.com/spreadsheets/d/1GfgTldLG6k77HXaMQzaafODklYuucJZQNs_GAPEfZyY/edit?usp=sharing"",""เพชรบูรณ์!J622"")"),0)</f>
        <v>0</v>
      </c>
      <c r="CU23" s="261">
        <f ca="1">IFERROR(__xludf.DUMMYFUNCTION("IMPORTRANGE(""https://docs.google.com/spreadsheets/d/1GfgTldLG6k77HXaMQzaafODklYuucJZQNs_GAPEfZyY/edit?usp=sharing"",""เพชรบูรณ์!J623"")"),0)</f>
        <v>0</v>
      </c>
      <c r="CV23" s="186">
        <f ca="1">IFERROR(__xludf.DUMMYFUNCTION("IMPORTRANGE(""https://docs.google.com/spreadsheets/d/1GfgTldLG6k77HXaMQzaafODklYuucJZQNs_GAPEfZyY/edit?usp=sharing"",""เพชรบูรณ์!J624"")"),0)</f>
        <v>0</v>
      </c>
      <c r="CW23" s="261">
        <f ca="1">IFERROR(__xludf.DUMMYFUNCTION("IMPORTRANGE(""https://docs.google.com/spreadsheets/d/1GfgTldLG6k77HXaMQzaafODklYuucJZQNs_GAPEfZyY/edit?usp=sharing"",""เพชรบูรณ์!J625"")"),0)</f>
        <v>0</v>
      </c>
      <c r="CX23" s="186">
        <f ca="1">IFERROR(__xludf.DUMMYFUNCTION("IMPORTRANGE(""https://docs.google.com/spreadsheets/d/1GfgTldLG6k77HXaMQzaafODklYuucJZQNs_GAPEfZyY/edit?usp=sharing"",""เพชรบูรณ์!J626"")"),0)</f>
        <v>0</v>
      </c>
      <c r="CY23" s="261">
        <f ca="1">IFERROR(__xludf.DUMMYFUNCTION("IMPORTRANGE(""https://docs.google.com/spreadsheets/d/1GfgTldLG6k77HXaMQzaafODklYuucJZQNs_GAPEfZyY/edit?usp=sharing"",""เพชรบูรณ์!J627"")"),0)</f>
        <v>0</v>
      </c>
    </row>
    <row r="24" spans="1:103" ht="24" customHeight="1" x14ac:dyDescent="0.3">
      <c r="A24" s="178">
        <v>11</v>
      </c>
      <c r="B24" s="179" t="s">
        <v>41</v>
      </c>
      <c r="C24" s="180">
        <f t="shared" ca="1" si="49"/>
        <v>481114</v>
      </c>
      <c r="D24" s="181">
        <f ca="1">IFERROR(__xludf.DUMMYFUNCTION("IMPORTRANGE(""https://docs.google.com/spreadsheets/d/1gvTMYAnm7v1yG1BKWFtr0DnaTsq59oW9dwWvFgq6hs0/edit?usp=sharing"",""แพร่!L549"")"),481114)</f>
        <v>481114</v>
      </c>
      <c r="E24" s="187">
        <f ca="1">IFERROR(__xludf.DUMMYFUNCTION("IMPORTRANGE(""https://docs.google.com/spreadsheets/d/1gvTMYAnm7v1yG1BKWFtr0DnaTsq59oW9dwWvFgq6hs0/edit?usp=sharing"",""แพร่!L557"")"),0)</f>
        <v>0</v>
      </c>
      <c r="F24" s="182">
        <f t="shared" ca="1" si="1"/>
        <v>103784.47</v>
      </c>
      <c r="G24" s="183">
        <f t="shared" ca="1" si="2"/>
        <v>21.571700262307893</v>
      </c>
      <c r="H24" s="184">
        <f t="shared" ca="1" si="50"/>
        <v>103784.47</v>
      </c>
      <c r="I24" s="187">
        <f ca="1">IFERROR(__xludf.DUMMYFUNCTION("IMPORTRANGE(""https://docs.google.com/spreadsheets/d/1gvTMYAnm7v1yG1BKWFtr0DnaTsq59oW9dwWvFgq6hs0/edit?usp=sharing"",""แพร่!N550"")"),0)</f>
        <v>0</v>
      </c>
      <c r="J24" s="187">
        <f ca="1">IFERROR(__xludf.DUMMYFUNCTION("IMPORTRANGE(""https://docs.google.com/spreadsheets/d/1gvTMYAnm7v1yG1BKWFtr0DnaTsq59oW9dwWvFgq6hs0/edit?usp=sharing"",""แพร่!N551"")"),27000)</f>
        <v>27000</v>
      </c>
      <c r="K24" s="187">
        <f ca="1">IFERROR(__xludf.DUMMYFUNCTION("IMPORTRANGE(""https://docs.google.com/spreadsheets/d/1gvTMYAnm7v1yG1BKWFtr0DnaTsq59oW9dwWvFgq6hs0/edit?usp=sharing"",""แพร่!N552"")"),37701)</f>
        <v>37701</v>
      </c>
      <c r="L24" s="187">
        <f ca="1">IFERROR(__xludf.DUMMYFUNCTION("IMPORTRANGE(""https://docs.google.com/spreadsheets/d/1gvTMYAnm7v1yG1BKWFtr0DnaTsq59oW9dwWvFgq6hs0/edit?usp=sharing"",""แพร่!N553"")"),39083.47)</f>
        <v>39083.47</v>
      </c>
      <c r="M24" s="187">
        <f ca="1">IFERROR(__xludf.DUMMYFUNCTION("IMPORTRANGE(""https://docs.google.com/spreadsheets/d/1gvTMYAnm7v1yG1BKWFtr0DnaTsq59oW9dwWvFgq6hs0/edit?usp=sharing"",""แพร่!N554"")"),0)</f>
        <v>0</v>
      </c>
      <c r="N24" s="185">
        <f ca="1">IFERROR(__xludf.DUMMYFUNCTION("IMPORTRANGE(""https://docs.google.com/spreadsheets/d/1gvTMYAnm7v1yG1BKWFtr0DnaTsq59oW9dwWvFgq6hs0/edit?usp=sharing"",""แพร่!N557"")"),0)</f>
        <v>0</v>
      </c>
      <c r="O24" s="185">
        <f t="shared" ca="1" si="41"/>
        <v>0</v>
      </c>
      <c r="P24" s="181">
        <f ca="1">IFERROR(__xludf.DUMMYFUNCTION("IMPORTRANGE(""https://docs.google.com/spreadsheets/d/1gvTMYAnm7v1yG1BKWFtr0DnaTsq59oW9dwWvFgq6hs0/edit?usp=sharing"",""แพร่!I560"")"),54558)</f>
        <v>54558</v>
      </c>
      <c r="Q24" s="181">
        <f ca="1">IFERROR(__xludf.DUMMYFUNCTION("IMPORTRANGE(""https://docs.google.com/spreadsheets/d/1gvTMYAnm7v1yG1BKWFtr0DnaTsq59oW9dwWvFgq6hs0/edit?usp=sharing"",""แพร่!I561"")"),7999)</f>
        <v>7999</v>
      </c>
      <c r="R24" s="186">
        <f ca="1">IFERROR(__xludf.DUMMYFUNCTION("IMPORTRANGE(""https://docs.google.com/spreadsheets/d/1gvTMYAnm7v1yG1BKWFtr0DnaTsq59oW9dwWvFgq6hs0/edit?usp=sharing"",""แพร่!J560"")"),54558.2)</f>
        <v>54558.2</v>
      </c>
      <c r="S24" s="186">
        <f t="shared" ca="1" si="33"/>
        <v>100.00036658235273</v>
      </c>
      <c r="T24" s="181">
        <f ca="1">IFERROR(__xludf.DUMMYFUNCTION("IMPORTRANGE(""https://docs.google.com/spreadsheets/d/1gvTMYAnm7v1yG1BKWFtr0DnaTsq59oW9dwWvFgq6hs0/edit?usp=sharing"",""แพร่!J561"")"),7999)</f>
        <v>7999</v>
      </c>
      <c r="U24" s="186">
        <f t="shared" ca="1" si="7"/>
        <v>100</v>
      </c>
      <c r="V24" s="186">
        <f ca="1">IFERROR(__xludf.DUMMYFUNCTION("IMPORTRANGE(""https://docs.google.com/spreadsheets/d/1gvTMYAnm7v1yG1BKWFtr0DnaTsq59oW9dwWvFgq6hs0/edit?usp=sharing"",""แพร่!J562"")"),43084.6)</f>
        <v>43084.6</v>
      </c>
      <c r="W24" s="261">
        <f ca="1">IFERROR(__xludf.DUMMYFUNCTION("IMPORTRANGE(""https://docs.google.com/spreadsheets/d/1gvTMYAnm7v1yG1BKWFtr0DnaTsq59oW9dwWvFgq6hs0/edit?usp=sharing"",""แพร่!J563"")"),6613)</f>
        <v>6613</v>
      </c>
      <c r="X24" s="186">
        <f ca="1">IFERROR(__xludf.DUMMYFUNCTION("IMPORTRANGE(""https://docs.google.com/spreadsheets/d/1gvTMYAnm7v1yG1BKWFtr0DnaTsq59oW9dwWvFgq6hs0/edit?usp=sharing"",""แพร่!J564"")"),11473.6)</f>
        <v>11473.6</v>
      </c>
      <c r="Y24" s="261">
        <f ca="1">IFERROR(__xludf.DUMMYFUNCTION("IMPORTRANGE(""https://docs.google.com/spreadsheets/d/1gvTMYAnm7v1yG1BKWFtr0DnaTsq59oW9dwWvFgq6hs0/edit?usp=sharing"",""แพร่!J565"")"),1386)</f>
        <v>1386</v>
      </c>
      <c r="Z24" s="186">
        <f ca="1">IFERROR(__xludf.DUMMYFUNCTION("IMPORTRANGE(""https://docs.google.com/spreadsheets/d/1gvTMYAnm7v1yG1BKWFtr0DnaTsq59oW9dwWvFgq6hs0/edit?usp=sharing"",""แพร่!J566"")"),0)</f>
        <v>0</v>
      </c>
      <c r="AA24" s="261">
        <f ca="1">IFERROR(__xludf.DUMMYFUNCTION("IMPORTRANGE(""https://docs.google.com/spreadsheets/d/1gvTMYAnm7v1yG1BKWFtr0DnaTsq59oW9dwWvFgq6hs0/edit?usp=sharing"",""แพร่!J567"")"),0)</f>
        <v>0</v>
      </c>
      <c r="AB24" s="181">
        <f ca="1">IFERROR(__xludf.DUMMYFUNCTION("IMPORTRANGE(""https://docs.google.com/spreadsheets/d/1gvTMYAnm7v1yG1BKWFtr0DnaTsq59oW9dwWvFgq6hs0/edit?usp=sharing"",""แพร่!I568"")"),54558)</f>
        <v>54558</v>
      </c>
      <c r="AC24" s="181">
        <f ca="1">IFERROR(__xludf.DUMMYFUNCTION("IMPORTRANGE(""https://docs.google.com/spreadsheets/d/1gvTMYAnm7v1yG1BKWFtr0DnaTsq59oW9dwWvFgq6hs0/edit?usp=sharing"",""แพร่!I569"")"),7999)</f>
        <v>7999</v>
      </c>
      <c r="AD24" s="186">
        <f ca="1">IFERROR(__xludf.DUMMYFUNCTION("IMPORTRANGE(""https://docs.google.com/spreadsheets/d/1gvTMYAnm7v1yG1BKWFtr0DnaTsq59oW9dwWvFgq6hs0/edit?usp=sharing"",""แพร่!J568"")"),0)</f>
        <v>0</v>
      </c>
      <c r="AE24" s="186">
        <f t="shared" ca="1" si="34"/>
        <v>0</v>
      </c>
      <c r="AF24" s="181">
        <f ca="1">IFERROR(__xludf.DUMMYFUNCTION("IMPORTRANGE(""https://docs.google.com/spreadsheets/d/1gvTMYAnm7v1yG1BKWFtr0DnaTsq59oW9dwWvFgq6hs0/edit?usp=sharing"",""แพร่!J569"")"),0)</f>
        <v>0</v>
      </c>
      <c r="AG24" s="186">
        <f t="shared" ca="1" si="10"/>
        <v>0</v>
      </c>
      <c r="AH24" s="186">
        <f ca="1">IFERROR(__xludf.DUMMYFUNCTION("IMPORTRANGE(""https://docs.google.com/spreadsheets/d/1gvTMYAnm7v1yG1BKWFtr0DnaTsq59oW9dwWvFgq6hs0/edit?usp=sharing"",""แพร่!J570"")"),0)</f>
        <v>0</v>
      </c>
      <c r="AI24" s="261">
        <f ca="1">IFERROR(__xludf.DUMMYFUNCTION("IMPORTRANGE(""https://docs.google.com/spreadsheets/d/1gvTMYAnm7v1yG1BKWFtr0DnaTsq59oW9dwWvFgq6hs0/edit?usp=sharing"",""แพร่!J571"")"),0)</f>
        <v>0</v>
      </c>
      <c r="AJ24" s="186">
        <f ca="1">IFERROR(__xludf.DUMMYFUNCTION("IMPORTRANGE(""https://docs.google.com/spreadsheets/d/1gvTMYAnm7v1yG1BKWFtr0DnaTsq59oW9dwWvFgq6hs0/edit?usp=sharing"",""แพร่!J572"")"),0)</f>
        <v>0</v>
      </c>
      <c r="AK24" s="261">
        <f ca="1">IFERROR(__xludf.DUMMYFUNCTION("IMPORTRANGE(""https://docs.google.com/spreadsheets/d/1gvTMYAnm7v1yG1BKWFtr0DnaTsq59oW9dwWvFgq6hs0/edit?usp=sharing"",""แพร่!J573"")"),0)</f>
        <v>0</v>
      </c>
      <c r="AL24" s="186">
        <f ca="1">IFERROR(__xludf.DUMMYFUNCTION("IMPORTRANGE(""https://docs.google.com/spreadsheets/d/1gvTMYAnm7v1yG1BKWFtr0DnaTsq59oW9dwWvFgq6hs0/edit?usp=sharing"",""แพร่!J574"")"),0)</f>
        <v>0</v>
      </c>
      <c r="AM24" s="261">
        <f ca="1">IFERROR(__xludf.DUMMYFUNCTION("IMPORTRANGE(""https://docs.google.com/spreadsheets/d/1gvTMYAnm7v1yG1BKWFtr0DnaTsq59oW9dwWvFgq6hs0/edit?usp=sharing"",""แพร่!J575"")"),0)</f>
        <v>0</v>
      </c>
      <c r="AN24" s="181">
        <f ca="1">IFERROR(__xludf.DUMMYFUNCTION("IMPORTRANGE(""https://docs.google.com/spreadsheets/d/1gvTMYAnm7v1yG1BKWFtr0DnaTsq59oW9dwWvFgq6hs0/edit?usp=sharing"",""แพร่!I576"")"),54558)</f>
        <v>54558</v>
      </c>
      <c r="AO24" s="181">
        <f ca="1">IFERROR(__xludf.DUMMYFUNCTION("IMPORTRANGE(""https://docs.google.com/spreadsheets/d/1gvTMYAnm7v1yG1BKWFtr0DnaTsq59oW9dwWvFgq6hs0/edit?usp=sharing"",""แพร่!I577"")"),7999)</f>
        <v>7999</v>
      </c>
      <c r="AP24" s="186">
        <f ca="1">IFERROR(__xludf.DUMMYFUNCTION("IMPORTRANGE(""https://docs.google.com/spreadsheets/d/1gvTMYAnm7v1yG1BKWFtr0DnaTsq59oW9dwWvFgq6hs0/edit?usp=sharing"",""แพร่!J576"")"),0)</f>
        <v>0</v>
      </c>
      <c r="AQ24" s="186">
        <f t="shared" ca="1" si="35"/>
        <v>0</v>
      </c>
      <c r="AR24" s="181">
        <f ca="1">IFERROR(__xludf.DUMMYFUNCTION("IMPORTRANGE(""https://docs.google.com/spreadsheets/d/1gvTMYAnm7v1yG1BKWFtr0DnaTsq59oW9dwWvFgq6hs0/edit?usp=sharing"",""แพร่!J577"")"),0)</f>
        <v>0</v>
      </c>
      <c r="AS24" s="186">
        <f t="shared" ca="1" si="13"/>
        <v>0</v>
      </c>
      <c r="AT24" s="186">
        <f ca="1">IFERROR(__xludf.DUMMYFUNCTION("IMPORTRANGE(""https://docs.google.com/spreadsheets/d/1gvTMYAnm7v1yG1BKWFtr0DnaTsq59oW9dwWvFgq6hs0/edit?usp=sharing"",""แพร่!J578"")"),0)</f>
        <v>0</v>
      </c>
      <c r="AU24" s="261">
        <f ca="1">IFERROR(__xludf.DUMMYFUNCTION("IMPORTRANGE(""https://docs.google.com/spreadsheets/d/1gvTMYAnm7v1yG1BKWFtr0DnaTsq59oW9dwWvFgq6hs0/edit?usp=sharing"",""แพร่!J579"")"),0)</f>
        <v>0</v>
      </c>
      <c r="AV24" s="186">
        <f ca="1">IFERROR(__xludf.DUMMYFUNCTION("IMPORTRANGE(""https://docs.google.com/spreadsheets/d/1gvTMYAnm7v1yG1BKWFtr0DnaTsq59oW9dwWvFgq6hs0/edit?usp=sharing"",""แพร่!J580"")"),0)</f>
        <v>0</v>
      </c>
      <c r="AW24" s="261">
        <f ca="1">IFERROR(__xludf.DUMMYFUNCTION("IMPORTRANGE(""https://docs.google.com/spreadsheets/d/1gvTMYAnm7v1yG1BKWFtr0DnaTsq59oW9dwWvFgq6hs0/edit?usp=sharing"",""แพร่!J581"")"),0)</f>
        <v>0</v>
      </c>
      <c r="AX24" s="186">
        <f ca="1">IFERROR(__xludf.DUMMYFUNCTION("IMPORTRANGE(""https://docs.google.com/spreadsheets/d/1gvTMYAnm7v1yG1BKWFtr0DnaTsq59oW9dwWvFgq6hs0/edit?usp=sharing"",""แพร่!J582"")"),0)</f>
        <v>0</v>
      </c>
      <c r="AY24" s="261">
        <f ca="1">IFERROR(__xludf.DUMMYFUNCTION("IMPORTRANGE(""https://docs.google.com/spreadsheets/d/1gvTMYAnm7v1yG1BKWFtr0DnaTsq59oW9dwWvFgq6hs0/edit?usp=sharing"",""แพร่!J583"")"),0)</f>
        <v>0</v>
      </c>
      <c r="AZ24" s="262">
        <f ca="1">IFERROR(__xludf.DUMMYFUNCTION("IMPORTRANGE(""https://docs.google.com/spreadsheets/d/1gvTMYAnm7v1yG1BKWFtr0DnaTsq59oW9dwWvFgq6hs0/edit?usp=sharing"",""แพร่!J584"")"),0)</f>
        <v>0</v>
      </c>
      <c r="BA24" s="261">
        <f ca="1">IFERROR(__xludf.DUMMYFUNCTION("IMPORTRANGE(""https://docs.google.com/spreadsheets/d/1gvTMYAnm7v1yG1BKWFtr0DnaTsq59oW9dwWvFgq6hs0/edit?usp=sharing"",""แพร่!J585"")"),0)</f>
        <v>0</v>
      </c>
      <c r="BB24" s="262">
        <f ca="1">IFERROR(__xludf.DUMMYFUNCTION("IMPORTRANGE(""https://docs.google.com/spreadsheets/d/1gvTMYAnm7v1yG1BKWFtr0DnaTsq59oW9dwWvFgq6hs0/edit?usp=sharing"",""แพร่!J586"")"),0)</f>
        <v>0</v>
      </c>
      <c r="BC24" s="261">
        <f ca="1">IFERROR(__xludf.DUMMYFUNCTION("IMPORTRANGE(""https://docs.google.com/spreadsheets/d/1gvTMYAnm7v1yG1BKWFtr0DnaTsq59oW9dwWvFgq6hs0/edit?usp=sharing"",""แพร่!J587"")"),0)</f>
        <v>0</v>
      </c>
      <c r="BD24" s="186">
        <f ca="1">IFERROR(__xludf.DUMMYFUNCTION("IMPORTRANGE(""https://docs.google.com/spreadsheets/d/1gvTMYAnm7v1yG1BKWFtr0DnaTsq59oW9dwWvFgq6hs0/edit?usp=sharing"",""แพร่!J588"")"),0)</f>
        <v>0</v>
      </c>
      <c r="BE24" s="261">
        <f ca="1">IFERROR(__xludf.DUMMYFUNCTION("IMPORTRANGE(""https://docs.google.com/spreadsheets/d/1gvTMYAnm7v1yG1BKWFtr0DnaTsq59oW9dwWvFgq6hs0/edit?usp=sharing"",""แพร่!J589"")"),0)</f>
        <v>0</v>
      </c>
      <c r="BF24" s="186">
        <f ca="1">IFERROR(__xludf.DUMMYFUNCTION("IMPORTRANGE(""https://docs.google.com/spreadsheets/d/1gvTMYAnm7v1yG1BKWFtr0DnaTsq59oW9dwWvFgq6hs0/edit?usp=sharing"",""แพร่!J590"")"),0)</f>
        <v>0</v>
      </c>
      <c r="BG24" s="261">
        <f ca="1">IFERROR(__xludf.DUMMYFUNCTION("IMPORTRANGE(""https://docs.google.com/spreadsheets/d/1gvTMYAnm7v1yG1BKWFtr0DnaTsq59oW9dwWvFgq6hs0/edit?usp=sharing"",""แพร่!J591"")"),0)</f>
        <v>0</v>
      </c>
      <c r="BH24" s="181">
        <f ca="1">IFERROR(__xludf.DUMMYFUNCTION("IMPORTRANGE(""https://docs.google.com/spreadsheets/d/1gvTMYAnm7v1yG1BKWFtr0DnaTsq59oW9dwWvFgq6hs0/edit?usp=sharing"",""แพร่!I593"")"),1861.83)</f>
        <v>1861.83</v>
      </c>
      <c r="BI24" s="181">
        <f ca="1">IFERROR(__xludf.DUMMYFUNCTION("IMPORTRANGE(""https://docs.google.com/spreadsheets/d/1gvTMYAnm7v1yG1BKWFtr0DnaTsq59oW9dwWvFgq6hs0/edit?usp=sharing"",""แพร่!I594"")"),313)</f>
        <v>313</v>
      </c>
      <c r="BJ24" s="186">
        <f ca="1">IFERROR(__xludf.DUMMYFUNCTION("IMPORTRANGE(""https://docs.google.com/spreadsheets/d/1gvTMYAnm7v1yG1BKWFtr0DnaTsq59oW9dwWvFgq6hs0/edit?usp=sharing"",""แพร่!J593"")"),0)</f>
        <v>0</v>
      </c>
      <c r="BK24" s="186">
        <f t="shared" ca="1" si="36"/>
        <v>0</v>
      </c>
      <c r="BL24" s="181">
        <f ca="1">IFERROR(__xludf.DUMMYFUNCTION("IMPORTRANGE(""https://docs.google.com/spreadsheets/d/1gvTMYAnm7v1yG1BKWFtr0DnaTsq59oW9dwWvFgq6hs0/edit?usp=sharing"",""แพร่!J594"")"),0)</f>
        <v>0</v>
      </c>
      <c r="BM24" s="186">
        <f t="shared" ca="1" si="16"/>
        <v>0</v>
      </c>
      <c r="BN24" s="186">
        <f ca="1">IFERROR(__xludf.DUMMYFUNCTION("IMPORTRANGE(""https://docs.google.com/spreadsheets/d/1gvTMYAnm7v1yG1BKWFtr0DnaTsq59oW9dwWvFgq6hs0/edit?usp=sharing"",""แพร่!J595"")"),0)</f>
        <v>0</v>
      </c>
      <c r="BO24" s="261">
        <f ca="1">IFERROR(__xludf.DUMMYFUNCTION("IMPORTRANGE(""https://docs.google.com/spreadsheets/d/1gvTMYAnm7v1yG1BKWFtr0DnaTsq59oW9dwWvFgq6hs0/edit?usp=sharing"",""แพร่!J596"")"),0)</f>
        <v>0</v>
      </c>
      <c r="BP24" s="186">
        <f ca="1">IFERROR(__xludf.DUMMYFUNCTION("IMPORTRANGE(""https://docs.google.com/spreadsheets/d/1gvTMYAnm7v1yG1BKWFtr0DnaTsq59oW9dwWvFgq6hs0/edit?usp=sharing"",""แพร่!J597"")"),0)</f>
        <v>0</v>
      </c>
      <c r="BQ24" s="261">
        <f ca="1">IFERROR(__xludf.DUMMYFUNCTION("IMPORTRANGE(""https://docs.google.com/spreadsheets/d/1gvTMYAnm7v1yG1BKWFtr0DnaTsq59oW9dwWvFgq6hs0/edit?usp=sharing"",""แพร่!J598"")"),0)</f>
        <v>0</v>
      </c>
      <c r="BR24" s="186">
        <f ca="1">IFERROR(__xludf.DUMMYFUNCTION("IMPORTRANGE(""https://docs.google.com/spreadsheets/d/1gvTMYAnm7v1yG1BKWFtr0DnaTsq59oW9dwWvFgq6hs0/edit?usp=sharing"",""แพร่!J599"")"),0)</f>
        <v>0</v>
      </c>
      <c r="BS24" s="261">
        <f ca="1">IFERROR(__xludf.DUMMYFUNCTION("IMPORTRANGE(""https://docs.google.com/spreadsheets/d/1gvTMYAnm7v1yG1BKWFtr0DnaTsq59oW9dwWvFgq6hs0/edit?usp=sharing"",""แพร่!J600"")"),0)</f>
        <v>0</v>
      </c>
      <c r="BT24" s="262">
        <f ca="1">IFERROR(__xludf.DUMMYFUNCTION("IMPORTRANGE(""https://docs.google.com/spreadsheets/d/1gvTMYAnm7v1yG1BKWFtr0DnaTsq59oW9dwWvFgq6hs0/edit?usp=sharing"",""แพร่!J601"")"),0)</f>
        <v>0</v>
      </c>
      <c r="BU24" s="261">
        <f ca="1">IFERROR(__xludf.DUMMYFUNCTION("IMPORTRANGE(""https://docs.google.com/spreadsheets/d/1gvTMYAnm7v1yG1BKWFtr0DnaTsq59oW9dwWvFgq6hs0/edit?usp=sharing"",""แพร่!J602"")"),0)</f>
        <v>0</v>
      </c>
      <c r="BV24" s="186">
        <f ca="1">IFERROR(__xludf.DUMMYFUNCTION("IMPORTRANGE(""https://docs.google.com/spreadsheets/d/1gvTMYAnm7v1yG1BKWFtr0DnaTsq59oW9dwWvFgq6hs0/edit?usp=sharing"",""แพร่!J603"")"),0)</f>
        <v>0</v>
      </c>
      <c r="BW24" s="261">
        <f ca="1">IFERROR(__xludf.DUMMYFUNCTION("IMPORTRANGE(""https://docs.google.com/spreadsheets/d/1gvTMYAnm7v1yG1BKWFtr0DnaTsq59oW9dwWvFgq6hs0/edit?usp=sharing"",""แพร่!J604"")"),0)</f>
        <v>0</v>
      </c>
      <c r="BX24" s="186">
        <f ca="1">IFERROR(__xludf.DUMMYFUNCTION("IMPORTRANGE(""https://docs.google.com/spreadsheets/d/1gvTMYAnm7v1yG1BKWFtr0DnaTsq59oW9dwWvFgq6hs0/edit?usp=sharing"",""แพร่!J605"")"),0)</f>
        <v>0</v>
      </c>
      <c r="BY24" s="261">
        <f ca="1">IFERROR(__xludf.DUMMYFUNCTION("IMPORTRANGE(""https://docs.google.com/spreadsheets/d/1gvTMYAnm7v1yG1BKWFtr0DnaTsq59oW9dwWvFgq6hs0/edit?usp=sharing"",""แพร่!J606"")"),0)</f>
        <v>0</v>
      </c>
      <c r="BZ24" s="186">
        <f ca="1">IFERROR(__xludf.DUMMYFUNCTION("IMPORTRANGE(""https://docs.google.com/spreadsheets/d/1gvTMYAnm7v1yG1BKWFtr0DnaTsq59oW9dwWvFgq6hs0/edit?usp=sharing"",""แพร่!J607"")"),0)</f>
        <v>0</v>
      </c>
      <c r="CA24" s="261">
        <f ca="1">IFERROR(__xludf.DUMMYFUNCTION("IMPORTRANGE(""https://docs.google.com/spreadsheets/d/1gvTMYAnm7v1yG1BKWFtr0DnaTsq59oW9dwWvFgq6hs0/edit?usp=sharing"",""แพร่!J608"")"),0)</f>
        <v>0</v>
      </c>
      <c r="CB24" s="186">
        <f ca="1">IFERROR(__xludf.DUMMYFUNCTION("IMPORTRANGE(""https://docs.google.com/spreadsheets/d/1gvTMYAnm7v1yG1BKWFtr0DnaTsq59oW9dwWvFgq6hs0/edit?usp=sharing"",""แพร่!J609"")"),0)</f>
        <v>0</v>
      </c>
      <c r="CC24" s="261">
        <f ca="1">IFERROR(__xludf.DUMMYFUNCTION("IMPORTRANGE(""https://docs.google.com/spreadsheets/d/1gvTMYAnm7v1yG1BKWFtr0DnaTsq59oW9dwWvFgq6hs0/edit?usp=sharing"",""แพร่!J610"")"),0)</f>
        <v>0</v>
      </c>
      <c r="CD24" s="261">
        <f ca="1">IFERROR(__xludf.DUMMYFUNCTION("IMPORTRANGE(""https://docs.google.com/spreadsheets/d/1gvTMYAnm7v1yG1BKWFtr0DnaTsq59oW9dwWvFgq6hs0/edit?usp=sharing"",""แพร่!I612"")"),0)</f>
        <v>0</v>
      </c>
      <c r="CE24" s="261">
        <f ca="1">IFERROR(__xludf.DUMMYFUNCTION("IMPORTRANGE(""https://docs.google.com/spreadsheets/d/1gvTMYAnm7v1yG1BKWFtr0DnaTsq59oW9dwWvFgq6hs0/edit?usp=sharing"",""แพร่!I594"")"),313)</f>
        <v>313</v>
      </c>
      <c r="CF24" s="262">
        <f ca="1">IFERROR(__xludf.DUMMYFUNCTION("IMPORTRANGE(""https://docs.google.com/spreadsheets/d/1gvTMYAnm7v1yG1BKWFtr0DnaTsq59oW9dwWvFgq6hs0/edit?usp=sharing"",""แพร่!J612"")"),0)</f>
        <v>0</v>
      </c>
      <c r="CG24" s="262">
        <f t="shared" ca="1" si="37"/>
        <v>0</v>
      </c>
      <c r="CH24" s="261">
        <f ca="1">IFERROR(__xludf.DUMMYFUNCTION("IMPORTRANGE(""https://docs.google.com/spreadsheets/d/1gvTMYAnm7v1yG1BKWFtr0DnaTsq59oW9dwWvFgq6hs0/edit?usp=sharing"",""แพร่!J613"")"),0)</f>
        <v>0</v>
      </c>
      <c r="CI24" s="262">
        <f t="shared" ca="1" si="19"/>
        <v>0</v>
      </c>
      <c r="CJ24" s="186">
        <f ca="1">IFERROR(__xludf.DUMMYFUNCTION("IMPORTRANGE(""https://docs.google.com/spreadsheets/d/1gvTMYAnm7v1yG1BKWFtr0DnaTsq59oW9dwWvFgq6hs0/edit?usp=sharing"",""แพร่!J614"")"),0)</f>
        <v>0</v>
      </c>
      <c r="CK24" s="261">
        <f ca="1">IFERROR(__xludf.DUMMYFUNCTION("IMPORTRANGE(""https://docs.google.com/spreadsheets/d/1gvTMYAnm7v1yG1BKWFtr0DnaTsq59oW9dwWvFgq6hs0/edit?usp=sharing"",""แพร่!J615"")"),0)</f>
        <v>0</v>
      </c>
      <c r="CL24" s="186">
        <f ca="1">IFERROR(__xludf.DUMMYFUNCTION("IMPORTRANGE(""https://docs.google.com/spreadsheets/d/1gvTMYAnm7v1yG1BKWFtr0DnaTsq59oW9dwWvFgq6hs0/edit?usp=sharing"",""แพร่!J616"")"),0)</f>
        <v>0</v>
      </c>
      <c r="CM24" s="261">
        <f ca="1">IFERROR(__xludf.DUMMYFUNCTION("IMPORTRANGE(""https://docs.google.com/spreadsheets/d/1gvTMYAnm7v1yG1BKWFtr0DnaTsq59oW9dwWvFgq6hs0/edit?usp=sharing"",""แพร่!J617"")"),0)</f>
        <v>0</v>
      </c>
      <c r="CN24" s="261">
        <f ca="1">IFERROR(__xludf.DUMMYFUNCTION("IMPORTRANGE(""https://docs.google.com/spreadsheets/d/1gvTMYAnm7v1yG1BKWFtr0DnaTsq59oW9dwWvFgq6hs0/edit?usp=sharing"",""แพร่!I620"")"),57)</f>
        <v>57</v>
      </c>
      <c r="CO24" s="261">
        <f ca="1">IFERROR(__xludf.DUMMYFUNCTION("IMPORTRANGE(""https://docs.google.com/spreadsheets/d/1gvTMYAnm7v1yG1BKWFtr0DnaTsq59oW9dwWvFgq6hs0/edit?usp=sharing"",""แพร่!I621"")"),12)</f>
        <v>12</v>
      </c>
      <c r="CP24" s="262">
        <f ca="1">IFERROR(__xludf.DUMMYFUNCTION("IMPORTRANGE(""https://docs.google.com/spreadsheets/d/1gvTMYAnm7v1yG1BKWFtr0DnaTsq59oW9dwWvFgq6hs0/edit?usp=sharing"",""แพร่!J620"")"),0)</f>
        <v>0</v>
      </c>
      <c r="CQ24" s="262">
        <f t="shared" ca="1" si="38"/>
        <v>0</v>
      </c>
      <c r="CR24" s="261">
        <f ca="1">IFERROR(__xludf.DUMMYFUNCTION("IMPORTRANGE(""https://docs.google.com/spreadsheets/d/1gvTMYAnm7v1yG1BKWFtr0DnaTsq59oW9dwWvFgq6hs0/edit?usp=sharing"",""แพร่!J621"")"),0)</f>
        <v>0</v>
      </c>
      <c r="CS24" s="262">
        <f t="shared" ca="1" si="22"/>
        <v>0</v>
      </c>
      <c r="CT24" s="186">
        <f ca="1">IFERROR(__xludf.DUMMYFUNCTION("IMPORTRANGE(""https://docs.google.com/spreadsheets/d/1gvTMYAnm7v1yG1BKWFtr0DnaTsq59oW9dwWvFgq6hs0/edit?usp=sharing"",""แพร่!J622"")"),0)</f>
        <v>0</v>
      </c>
      <c r="CU24" s="261">
        <f ca="1">IFERROR(__xludf.DUMMYFUNCTION("IMPORTRANGE(""https://docs.google.com/spreadsheets/d/1gvTMYAnm7v1yG1BKWFtr0DnaTsq59oW9dwWvFgq6hs0/edit?usp=sharing"",""แพร่!J623"")"),0)</f>
        <v>0</v>
      </c>
      <c r="CV24" s="186">
        <f ca="1">IFERROR(__xludf.DUMMYFUNCTION("IMPORTRANGE(""https://docs.google.com/spreadsheets/d/1gvTMYAnm7v1yG1BKWFtr0DnaTsq59oW9dwWvFgq6hs0/edit?usp=sharing"",""แพร่!J624"")"),0)</f>
        <v>0</v>
      </c>
      <c r="CW24" s="261">
        <f ca="1">IFERROR(__xludf.DUMMYFUNCTION("IMPORTRANGE(""https://docs.google.com/spreadsheets/d/1gvTMYAnm7v1yG1BKWFtr0DnaTsq59oW9dwWvFgq6hs0/edit?usp=sharing"",""แพร่!J625"")"),0)</f>
        <v>0</v>
      </c>
      <c r="CX24" s="186">
        <f ca="1">IFERROR(__xludf.DUMMYFUNCTION("IMPORTRANGE(""https://docs.google.com/spreadsheets/d/1gvTMYAnm7v1yG1BKWFtr0DnaTsq59oW9dwWvFgq6hs0/edit?usp=sharing"",""แพร่!J626"")"),0)</f>
        <v>0</v>
      </c>
      <c r="CY24" s="261">
        <f ca="1">IFERROR(__xludf.DUMMYFUNCTION("IMPORTRANGE(""https://docs.google.com/spreadsheets/d/1gvTMYAnm7v1yG1BKWFtr0DnaTsq59oW9dwWvFgq6hs0/edit?usp=sharing"",""แพร่!J627"")"),0)</f>
        <v>0</v>
      </c>
    </row>
    <row r="25" spans="1:103" ht="24" customHeight="1" x14ac:dyDescent="0.3">
      <c r="A25" s="178">
        <v>12</v>
      </c>
      <c r="B25" s="179" t="s">
        <v>42</v>
      </c>
      <c r="C25" s="180">
        <f t="shared" ca="1" si="49"/>
        <v>300500</v>
      </c>
      <c r="D25" s="181">
        <f ca="1">IFERROR(__xludf.DUMMYFUNCTION("IMPORTRANGE(""https://docs.google.com/spreadsheets/d/1Wbcosgy-Xa1xXUArJSOenub6EfZHUSzc_bpJFWwQUf0/edit?usp=sharing"",""แม่ฮ่องสอน!L549"")"),300500)</f>
        <v>300500</v>
      </c>
      <c r="E25" s="187">
        <f ca="1">IFERROR(__xludf.DUMMYFUNCTION("IMPORTRANGE(""https://docs.google.com/spreadsheets/d/1Wbcosgy-Xa1xXUArJSOenub6EfZHUSzc_bpJFWwQUf0/edit?usp=sharing"",""แม่ฮ่องสอน!L557"")"),0)</f>
        <v>0</v>
      </c>
      <c r="F25" s="182">
        <f t="shared" ca="1" si="1"/>
        <v>0</v>
      </c>
      <c r="G25" s="183">
        <f t="shared" ca="1" si="2"/>
        <v>0</v>
      </c>
      <c r="H25" s="184">
        <f t="shared" ca="1" si="50"/>
        <v>0</v>
      </c>
      <c r="I25" s="187">
        <f ca="1">IFERROR(__xludf.DUMMYFUNCTION("IMPORTRANGE(""https://docs.google.com/spreadsheets/d/1Wbcosgy-Xa1xXUArJSOenub6EfZHUSzc_bpJFWwQUf0/edit?usp=sharing"",""แม่ฮ่องสอน!N550"")"),0)</f>
        <v>0</v>
      </c>
      <c r="J25" s="187">
        <f ca="1">IFERROR(__xludf.DUMMYFUNCTION("IMPORTRANGE(""https://docs.google.com/spreadsheets/d/1Wbcosgy-Xa1xXUArJSOenub6EfZHUSzc_bpJFWwQUf0/edit?usp=sharing"",""แม่ฮ่องสอน!N551"")"),0)</f>
        <v>0</v>
      </c>
      <c r="K25" s="187">
        <f ca="1">IFERROR(__xludf.DUMMYFUNCTION("IMPORTRANGE(""https://docs.google.com/spreadsheets/d/1Wbcosgy-Xa1xXUArJSOenub6EfZHUSzc_bpJFWwQUf0/edit?usp=sharing"",""แม่ฮ่องสอน!N552"")"),0)</f>
        <v>0</v>
      </c>
      <c r="L25" s="187">
        <f ca="1">IFERROR(__xludf.DUMMYFUNCTION("IMPORTRANGE(""https://docs.google.com/spreadsheets/d/1Wbcosgy-Xa1xXUArJSOenub6EfZHUSzc_bpJFWwQUf0/edit?usp=sharing"",""แม่ฮ่องสอน!N553"")"),0)</f>
        <v>0</v>
      </c>
      <c r="M25" s="187">
        <f ca="1">IFERROR(__xludf.DUMMYFUNCTION("IMPORTRANGE(""https://docs.google.com/spreadsheets/d/1Wbcosgy-Xa1xXUArJSOenub6EfZHUSzc_bpJFWwQUf0/edit?usp=sharing"",""แม่ฮ่องสอน!N554"")"),0)</f>
        <v>0</v>
      </c>
      <c r="N25" s="185">
        <f ca="1">IFERROR(__xludf.DUMMYFUNCTION("IMPORTRANGE(""https://docs.google.com/spreadsheets/d/1Wbcosgy-Xa1xXUArJSOenub6EfZHUSzc_bpJFWwQUf0/edit?usp=sharing"",""แม่ฮ่องสอน!N557"")"),0)</f>
        <v>0</v>
      </c>
      <c r="O25" s="185">
        <f t="shared" ca="1" si="41"/>
        <v>0</v>
      </c>
      <c r="P25" s="181">
        <f ca="1">IFERROR(__xludf.DUMMYFUNCTION("IMPORTRANGE(""https://docs.google.com/spreadsheets/d/1Wbcosgy-Xa1xXUArJSOenub6EfZHUSzc_bpJFWwQUf0/edit?usp=sharing"",""แม่ฮ่องสอน!I560"")"),0)</f>
        <v>0</v>
      </c>
      <c r="Q25" s="181">
        <f ca="1">IFERROR(__xludf.DUMMYFUNCTION("IMPORTRANGE(""https://docs.google.com/spreadsheets/d/1Wbcosgy-Xa1xXUArJSOenub6EfZHUSzc_bpJFWwQUf0/edit?usp=sharing"",""แม่ฮ่องสอน!I561"")"),0)</f>
        <v>0</v>
      </c>
      <c r="R25" s="186">
        <f ca="1">IFERROR(__xludf.DUMMYFUNCTION("IMPORTRANGE(""https://docs.google.com/spreadsheets/d/1Wbcosgy-Xa1xXUArJSOenub6EfZHUSzc_bpJFWwQUf0/edit?usp=sharing"",""แม่ฮ่องสอน!J560"")"),0)</f>
        <v>0</v>
      </c>
      <c r="S25" s="186">
        <f t="shared" ca="1" si="33"/>
        <v>0</v>
      </c>
      <c r="T25" s="181">
        <f ca="1">IFERROR(__xludf.DUMMYFUNCTION("IMPORTRANGE(""https://docs.google.com/spreadsheets/d/1Wbcosgy-Xa1xXUArJSOenub6EfZHUSzc_bpJFWwQUf0/edit?usp=sharing"",""แม่ฮ่องสอน!J561"")"),0)</f>
        <v>0</v>
      </c>
      <c r="U25" s="186">
        <f t="shared" ca="1" si="7"/>
        <v>0</v>
      </c>
      <c r="V25" s="186">
        <f ca="1">IFERROR(__xludf.DUMMYFUNCTION("IMPORTRANGE(""https://docs.google.com/spreadsheets/d/1Wbcosgy-Xa1xXUArJSOenub6EfZHUSzc_bpJFWwQUf0/edit?usp=sharing"",""แม่ฮ่องสอน!J562"")"),0)</f>
        <v>0</v>
      </c>
      <c r="W25" s="261">
        <f ca="1">IFERROR(__xludf.DUMMYFUNCTION("IMPORTRANGE(""https://docs.google.com/spreadsheets/d/1Wbcosgy-Xa1xXUArJSOenub6EfZHUSzc_bpJFWwQUf0/edit?usp=sharing"",""แม่ฮ่องสอน!J563"")"),0)</f>
        <v>0</v>
      </c>
      <c r="X25" s="186">
        <f ca="1">IFERROR(__xludf.DUMMYFUNCTION("IMPORTRANGE(""https://docs.google.com/spreadsheets/d/1Wbcosgy-Xa1xXUArJSOenub6EfZHUSzc_bpJFWwQUf0/edit?usp=sharing"",""แม่ฮ่องสอน!J564"")"),0)</f>
        <v>0</v>
      </c>
      <c r="Y25" s="261">
        <f ca="1">IFERROR(__xludf.DUMMYFUNCTION("IMPORTRANGE(""https://docs.google.com/spreadsheets/d/1Wbcosgy-Xa1xXUArJSOenub6EfZHUSzc_bpJFWwQUf0/edit?usp=sharing"",""แม่ฮ่องสอน!J565"")"),0)</f>
        <v>0</v>
      </c>
      <c r="Z25" s="186">
        <f ca="1">IFERROR(__xludf.DUMMYFUNCTION("IMPORTRANGE(""https://docs.google.com/spreadsheets/d/1Wbcosgy-Xa1xXUArJSOenub6EfZHUSzc_bpJFWwQUf0/edit?usp=sharing"",""แม่ฮ่องสอน!J566"")"),0)</f>
        <v>0</v>
      </c>
      <c r="AA25" s="261">
        <f ca="1">IFERROR(__xludf.DUMMYFUNCTION("IMPORTRANGE(""https://docs.google.com/spreadsheets/d/1Wbcosgy-Xa1xXUArJSOenub6EfZHUSzc_bpJFWwQUf0/edit?usp=sharing"",""แม่ฮ่องสอน!J567"")"),0)</f>
        <v>0</v>
      </c>
      <c r="AB25" s="181">
        <f ca="1">IFERROR(__xludf.DUMMYFUNCTION("IMPORTRANGE(""https://docs.google.com/spreadsheets/d/1Wbcosgy-Xa1xXUArJSOenub6EfZHUSzc_bpJFWwQUf0/edit?usp=sharing"",""แม่ฮ่องสอน!I568"")"),0)</f>
        <v>0</v>
      </c>
      <c r="AC25" s="181">
        <f ca="1">IFERROR(__xludf.DUMMYFUNCTION("IMPORTRANGE(""https://docs.google.com/spreadsheets/d/1Wbcosgy-Xa1xXUArJSOenub6EfZHUSzc_bpJFWwQUf0/edit?usp=sharing"",""แม่ฮ่องสอน!I569"")"),0)</f>
        <v>0</v>
      </c>
      <c r="AD25" s="186">
        <f ca="1">IFERROR(__xludf.DUMMYFUNCTION("IMPORTRANGE(""https://docs.google.com/spreadsheets/d/1Wbcosgy-Xa1xXUArJSOenub6EfZHUSzc_bpJFWwQUf0/edit?usp=sharing"",""แม่ฮ่องสอน!J568"")"),0)</f>
        <v>0</v>
      </c>
      <c r="AE25" s="186">
        <f t="shared" ca="1" si="34"/>
        <v>0</v>
      </c>
      <c r="AF25" s="181">
        <f ca="1">IFERROR(__xludf.DUMMYFUNCTION("IMPORTRANGE(""https://docs.google.com/spreadsheets/d/1Wbcosgy-Xa1xXUArJSOenub6EfZHUSzc_bpJFWwQUf0/edit?usp=sharing"",""แม่ฮ่องสอน!J569"")"),0)</f>
        <v>0</v>
      </c>
      <c r="AG25" s="186">
        <f t="shared" ca="1" si="10"/>
        <v>0</v>
      </c>
      <c r="AH25" s="186">
        <f ca="1">IFERROR(__xludf.DUMMYFUNCTION("IMPORTRANGE(""https://docs.google.com/spreadsheets/d/1Wbcosgy-Xa1xXUArJSOenub6EfZHUSzc_bpJFWwQUf0/edit?usp=sharing"",""แม่ฮ่องสอน!J570"")"),0)</f>
        <v>0</v>
      </c>
      <c r="AI25" s="261">
        <f ca="1">IFERROR(__xludf.DUMMYFUNCTION("IMPORTRANGE(""https://docs.google.com/spreadsheets/d/1Wbcosgy-Xa1xXUArJSOenub6EfZHUSzc_bpJFWwQUf0/edit?usp=sharing"",""แม่ฮ่องสอน!J571"")"),0)</f>
        <v>0</v>
      </c>
      <c r="AJ25" s="186">
        <f ca="1">IFERROR(__xludf.DUMMYFUNCTION("IMPORTRANGE(""https://docs.google.com/spreadsheets/d/1Wbcosgy-Xa1xXUArJSOenub6EfZHUSzc_bpJFWwQUf0/edit?usp=sharing"",""แม่ฮ่องสอน!J572"")"),0)</f>
        <v>0</v>
      </c>
      <c r="AK25" s="261">
        <f ca="1">IFERROR(__xludf.DUMMYFUNCTION("IMPORTRANGE(""https://docs.google.com/spreadsheets/d/1Wbcosgy-Xa1xXUArJSOenub6EfZHUSzc_bpJFWwQUf0/edit?usp=sharing"",""แม่ฮ่องสอน!J573"")"),0)</f>
        <v>0</v>
      </c>
      <c r="AL25" s="186">
        <f ca="1">IFERROR(__xludf.DUMMYFUNCTION("IMPORTRANGE(""https://docs.google.com/spreadsheets/d/1Wbcosgy-Xa1xXUArJSOenub6EfZHUSzc_bpJFWwQUf0/edit?usp=sharing"",""แม่ฮ่องสอน!J574"")"),0)</f>
        <v>0</v>
      </c>
      <c r="AM25" s="261">
        <f ca="1">IFERROR(__xludf.DUMMYFUNCTION("IMPORTRANGE(""https://docs.google.com/spreadsheets/d/1Wbcosgy-Xa1xXUArJSOenub6EfZHUSzc_bpJFWwQUf0/edit?usp=sharing"",""แม่ฮ่องสอน!J575"")"),0)</f>
        <v>0</v>
      </c>
      <c r="AN25" s="181">
        <f ca="1">IFERROR(__xludf.DUMMYFUNCTION("IMPORTRANGE(""https://docs.google.com/spreadsheets/d/1Wbcosgy-Xa1xXUArJSOenub6EfZHUSzc_bpJFWwQUf0/edit?usp=sharing"",""แม่ฮ่องสอน!I576"")"),0)</f>
        <v>0</v>
      </c>
      <c r="AO25" s="181">
        <f ca="1">IFERROR(__xludf.DUMMYFUNCTION("IMPORTRANGE(""https://docs.google.com/spreadsheets/d/1Wbcosgy-Xa1xXUArJSOenub6EfZHUSzc_bpJFWwQUf0/edit?usp=sharing"",""แม่ฮ่องสอน!I577"")"),0)</f>
        <v>0</v>
      </c>
      <c r="AP25" s="186">
        <f ca="1">IFERROR(__xludf.DUMMYFUNCTION("IMPORTRANGE(""https://docs.google.com/spreadsheets/d/1Wbcosgy-Xa1xXUArJSOenub6EfZHUSzc_bpJFWwQUf0/edit?usp=sharing"",""แม่ฮ่องสอน!J576"")"),0)</f>
        <v>0</v>
      </c>
      <c r="AQ25" s="186">
        <f t="shared" ca="1" si="35"/>
        <v>0</v>
      </c>
      <c r="AR25" s="181">
        <f ca="1">IFERROR(__xludf.DUMMYFUNCTION("IMPORTRANGE(""https://docs.google.com/spreadsheets/d/1Wbcosgy-Xa1xXUArJSOenub6EfZHUSzc_bpJFWwQUf0/edit?usp=sharing"",""แม่ฮ่องสอน!J577"")"),0)</f>
        <v>0</v>
      </c>
      <c r="AS25" s="186">
        <f t="shared" ca="1" si="13"/>
        <v>0</v>
      </c>
      <c r="AT25" s="186">
        <f ca="1">IFERROR(__xludf.DUMMYFUNCTION("IMPORTRANGE(""https://docs.google.com/spreadsheets/d/1Wbcosgy-Xa1xXUArJSOenub6EfZHUSzc_bpJFWwQUf0/edit?usp=sharing"",""แม่ฮ่องสอน!J578"")"),0)</f>
        <v>0</v>
      </c>
      <c r="AU25" s="261">
        <f ca="1">IFERROR(__xludf.DUMMYFUNCTION("IMPORTRANGE(""https://docs.google.com/spreadsheets/d/1Wbcosgy-Xa1xXUArJSOenub6EfZHUSzc_bpJFWwQUf0/edit?usp=sharing"",""แม่ฮ่องสอน!J579"")"),0)</f>
        <v>0</v>
      </c>
      <c r="AV25" s="186">
        <f ca="1">IFERROR(__xludf.DUMMYFUNCTION("IMPORTRANGE(""https://docs.google.com/spreadsheets/d/1Wbcosgy-Xa1xXUArJSOenub6EfZHUSzc_bpJFWwQUf0/edit?usp=sharing"",""แม่ฮ่องสอน!J580"")"),0)</f>
        <v>0</v>
      </c>
      <c r="AW25" s="261">
        <f ca="1">IFERROR(__xludf.DUMMYFUNCTION("IMPORTRANGE(""https://docs.google.com/spreadsheets/d/1Wbcosgy-Xa1xXUArJSOenub6EfZHUSzc_bpJFWwQUf0/edit?usp=sharing"",""แม่ฮ่องสอน!J581"")"),0)</f>
        <v>0</v>
      </c>
      <c r="AX25" s="186">
        <f ca="1">IFERROR(__xludf.DUMMYFUNCTION("IMPORTRANGE(""https://docs.google.com/spreadsheets/d/1Wbcosgy-Xa1xXUArJSOenub6EfZHUSzc_bpJFWwQUf0/edit?usp=sharing"",""แม่ฮ่องสอน!J582"")"),0)</f>
        <v>0</v>
      </c>
      <c r="AY25" s="261">
        <f ca="1">IFERROR(__xludf.DUMMYFUNCTION("IMPORTRANGE(""https://docs.google.com/spreadsheets/d/1Wbcosgy-Xa1xXUArJSOenub6EfZHUSzc_bpJFWwQUf0/edit?usp=sharing"",""แม่ฮ่องสอน!J583"")"),0)</f>
        <v>0</v>
      </c>
      <c r="AZ25" s="262">
        <f ca="1">IFERROR(__xludf.DUMMYFUNCTION("IMPORTRANGE(""https://docs.google.com/spreadsheets/d/1Wbcosgy-Xa1xXUArJSOenub6EfZHUSzc_bpJFWwQUf0/edit?usp=sharing"",""แม่ฮ่องสอน!J584"")"),0)</f>
        <v>0</v>
      </c>
      <c r="BA25" s="261">
        <f ca="1">IFERROR(__xludf.DUMMYFUNCTION("IMPORTRANGE(""https://docs.google.com/spreadsheets/d/1Wbcosgy-Xa1xXUArJSOenub6EfZHUSzc_bpJFWwQUf0/edit?usp=sharing"",""แม่ฮ่องสอน!J585"")"),0)</f>
        <v>0</v>
      </c>
      <c r="BB25" s="262">
        <f ca="1">IFERROR(__xludf.DUMMYFUNCTION("IMPORTRANGE(""https://docs.google.com/spreadsheets/d/1Wbcosgy-Xa1xXUArJSOenub6EfZHUSzc_bpJFWwQUf0/edit?usp=sharing"",""แม่ฮ่องสอน!J586"")"),0)</f>
        <v>0</v>
      </c>
      <c r="BC25" s="261">
        <f ca="1">IFERROR(__xludf.DUMMYFUNCTION("IMPORTRANGE(""https://docs.google.com/spreadsheets/d/1Wbcosgy-Xa1xXUArJSOenub6EfZHUSzc_bpJFWwQUf0/edit?usp=sharing"",""แม่ฮ่องสอน!J587"")"),0)</f>
        <v>0</v>
      </c>
      <c r="BD25" s="186">
        <f ca="1">IFERROR(__xludf.DUMMYFUNCTION("IMPORTRANGE(""https://docs.google.com/spreadsheets/d/1Wbcosgy-Xa1xXUArJSOenub6EfZHUSzc_bpJFWwQUf0/edit?usp=sharing"",""แม่ฮ่องสอน!J588"")"),0)</f>
        <v>0</v>
      </c>
      <c r="BE25" s="261">
        <f ca="1">IFERROR(__xludf.DUMMYFUNCTION("IMPORTRANGE(""https://docs.google.com/spreadsheets/d/1Wbcosgy-Xa1xXUArJSOenub6EfZHUSzc_bpJFWwQUf0/edit?usp=sharing"",""แม่ฮ่องสอน!J589"")"),0)</f>
        <v>0</v>
      </c>
      <c r="BF25" s="186">
        <f ca="1">IFERROR(__xludf.DUMMYFUNCTION("IMPORTRANGE(""https://docs.google.com/spreadsheets/d/1Wbcosgy-Xa1xXUArJSOenub6EfZHUSzc_bpJFWwQUf0/edit?usp=sharing"",""แม่ฮ่องสอน!J590"")"),0)</f>
        <v>0</v>
      </c>
      <c r="BG25" s="261">
        <f ca="1">IFERROR(__xludf.DUMMYFUNCTION("IMPORTRANGE(""https://docs.google.com/spreadsheets/d/1Wbcosgy-Xa1xXUArJSOenub6EfZHUSzc_bpJFWwQUf0/edit?usp=sharing"",""แม่ฮ่องสอน!J591"")"),0)</f>
        <v>0</v>
      </c>
      <c r="BH25" s="181">
        <f ca="1">IFERROR(__xludf.DUMMYFUNCTION("IMPORTRANGE(""https://docs.google.com/spreadsheets/d/1Wbcosgy-Xa1xXUArJSOenub6EfZHUSzc_bpJFWwQUf0/edit?usp=sharing"",""แม่ฮ่องสอน!I593"")"),1174.12)</f>
        <v>1174.1199999999999</v>
      </c>
      <c r="BI25" s="181">
        <f ca="1">IFERROR(__xludf.DUMMYFUNCTION("IMPORTRANGE(""https://docs.google.com/spreadsheets/d/1Wbcosgy-Xa1xXUArJSOenub6EfZHUSzc_bpJFWwQUf0/edit?usp=sharing"",""แม่ฮ่องสอน!I594"")"),295)</f>
        <v>295</v>
      </c>
      <c r="BJ25" s="186">
        <f ca="1">IFERROR(__xludf.DUMMYFUNCTION("IMPORTRANGE(""https://docs.google.com/spreadsheets/d/1Wbcosgy-Xa1xXUArJSOenub6EfZHUSzc_bpJFWwQUf0/edit?usp=sharing"",""แม่ฮ่องสอน!J593"")"),0)</f>
        <v>0</v>
      </c>
      <c r="BK25" s="186">
        <f t="shared" ca="1" si="36"/>
        <v>0</v>
      </c>
      <c r="BL25" s="181">
        <f ca="1">IFERROR(__xludf.DUMMYFUNCTION("IMPORTRANGE(""https://docs.google.com/spreadsheets/d/1Wbcosgy-Xa1xXUArJSOenub6EfZHUSzc_bpJFWwQUf0/edit?usp=sharing"",""แม่ฮ่องสอน!J594"")"),0)</f>
        <v>0</v>
      </c>
      <c r="BM25" s="186">
        <f t="shared" ca="1" si="16"/>
        <v>0</v>
      </c>
      <c r="BN25" s="186">
        <f ca="1">IFERROR(__xludf.DUMMYFUNCTION("IMPORTRANGE(""https://docs.google.com/spreadsheets/d/1Wbcosgy-Xa1xXUArJSOenub6EfZHUSzc_bpJFWwQUf0/edit?usp=sharing"",""แม่ฮ่องสอน!J595"")"),0)</f>
        <v>0</v>
      </c>
      <c r="BO25" s="261">
        <f ca="1">IFERROR(__xludf.DUMMYFUNCTION("IMPORTRANGE(""https://docs.google.com/spreadsheets/d/1Wbcosgy-Xa1xXUArJSOenub6EfZHUSzc_bpJFWwQUf0/edit?usp=sharing"",""แม่ฮ่องสอน!J596"")"),0)</f>
        <v>0</v>
      </c>
      <c r="BP25" s="186">
        <f ca="1">IFERROR(__xludf.DUMMYFUNCTION("IMPORTRANGE(""https://docs.google.com/spreadsheets/d/1Wbcosgy-Xa1xXUArJSOenub6EfZHUSzc_bpJFWwQUf0/edit?usp=sharing"",""แม่ฮ่องสอน!J597"")"),0)</f>
        <v>0</v>
      </c>
      <c r="BQ25" s="261">
        <f ca="1">IFERROR(__xludf.DUMMYFUNCTION("IMPORTRANGE(""https://docs.google.com/spreadsheets/d/1Wbcosgy-Xa1xXUArJSOenub6EfZHUSzc_bpJFWwQUf0/edit?usp=sharing"",""แม่ฮ่องสอน!J598"")"),0)</f>
        <v>0</v>
      </c>
      <c r="BR25" s="186">
        <f ca="1">IFERROR(__xludf.DUMMYFUNCTION("IMPORTRANGE(""https://docs.google.com/spreadsheets/d/1Wbcosgy-Xa1xXUArJSOenub6EfZHUSzc_bpJFWwQUf0/edit?usp=sharing"",""แม่ฮ่องสอน!J599"")"),0)</f>
        <v>0</v>
      </c>
      <c r="BS25" s="261">
        <f ca="1">IFERROR(__xludf.DUMMYFUNCTION("IMPORTRANGE(""https://docs.google.com/spreadsheets/d/1Wbcosgy-Xa1xXUArJSOenub6EfZHUSzc_bpJFWwQUf0/edit?usp=sharing"",""แม่ฮ่องสอน!J600"")"),0)</f>
        <v>0</v>
      </c>
      <c r="BT25" s="262">
        <f ca="1">IFERROR(__xludf.DUMMYFUNCTION("IMPORTRANGE(""https://docs.google.com/spreadsheets/d/1Wbcosgy-Xa1xXUArJSOenub6EfZHUSzc_bpJFWwQUf0/edit?usp=sharing"",""แม่ฮ่องสอน!J601"")"),0)</f>
        <v>0</v>
      </c>
      <c r="BU25" s="261">
        <f ca="1">IFERROR(__xludf.DUMMYFUNCTION("IMPORTRANGE(""https://docs.google.com/spreadsheets/d/1Wbcosgy-Xa1xXUArJSOenub6EfZHUSzc_bpJFWwQUf0/edit?usp=sharing"",""แม่ฮ่องสอน!J602"")"),0)</f>
        <v>0</v>
      </c>
      <c r="BV25" s="186">
        <f ca="1">IFERROR(__xludf.DUMMYFUNCTION("IMPORTRANGE(""https://docs.google.com/spreadsheets/d/1Wbcosgy-Xa1xXUArJSOenub6EfZHUSzc_bpJFWwQUf0/edit?usp=sharing"",""แม่ฮ่องสอน!J603"")"),0)</f>
        <v>0</v>
      </c>
      <c r="BW25" s="261">
        <f ca="1">IFERROR(__xludf.DUMMYFUNCTION("IMPORTRANGE(""https://docs.google.com/spreadsheets/d/1Wbcosgy-Xa1xXUArJSOenub6EfZHUSzc_bpJFWwQUf0/edit?usp=sharing"",""แม่ฮ่องสอน!J604"")"),0)</f>
        <v>0</v>
      </c>
      <c r="BX25" s="186">
        <f ca="1">IFERROR(__xludf.DUMMYFUNCTION("IMPORTRANGE(""https://docs.google.com/spreadsheets/d/1Wbcosgy-Xa1xXUArJSOenub6EfZHUSzc_bpJFWwQUf0/edit?usp=sharing"",""แม่ฮ่องสอน!J605"")"),0)</f>
        <v>0</v>
      </c>
      <c r="BY25" s="261">
        <f ca="1">IFERROR(__xludf.DUMMYFUNCTION("IMPORTRANGE(""https://docs.google.com/spreadsheets/d/1Wbcosgy-Xa1xXUArJSOenub6EfZHUSzc_bpJFWwQUf0/edit?usp=sharing"",""แม่ฮ่องสอน!J606"")"),0)</f>
        <v>0</v>
      </c>
      <c r="BZ25" s="186">
        <f ca="1">IFERROR(__xludf.DUMMYFUNCTION("IMPORTRANGE(""https://docs.google.com/spreadsheets/d/1Wbcosgy-Xa1xXUArJSOenub6EfZHUSzc_bpJFWwQUf0/edit?usp=sharing"",""แม่ฮ่องสอน!J607"")"),0)</f>
        <v>0</v>
      </c>
      <c r="CA25" s="261">
        <f ca="1">IFERROR(__xludf.DUMMYFUNCTION("IMPORTRANGE(""https://docs.google.com/spreadsheets/d/1Wbcosgy-Xa1xXUArJSOenub6EfZHUSzc_bpJFWwQUf0/edit?usp=sharing"",""แม่ฮ่องสอน!J608"")"),0)</f>
        <v>0</v>
      </c>
      <c r="CB25" s="186">
        <f ca="1">IFERROR(__xludf.DUMMYFUNCTION("IMPORTRANGE(""https://docs.google.com/spreadsheets/d/1Wbcosgy-Xa1xXUArJSOenub6EfZHUSzc_bpJFWwQUf0/edit?usp=sharing"",""แม่ฮ่องสอน!J609"")"),0)</f>
        <v>0</v>
      </c>
      <c r="CC25" s="261">
        <f ca="1">IFERROR(__xludf.DUMMYFUNCTION("IMPORTRANGE(""https://docs.google.com/spreadsheets/d/1Wbcosgy-Xa1xXUArJSOenub6EfZHUSzc_bpJFWwQUf0/edit?usp=sharing"",""แม่ฮ่องสอน!J610"")"),0)</f>
        <v>0</v>
      </c>
      <c r="CD25" s="261">
        <f ca="1">IFERROR(__xludf.DUMMYFUNCTION("IMPORTRANGE(""https://docs.google.com/spreadsheets/d/1Wbcosgy-Xa1xXUArJSOenub6EfZHUSzc_bpJFWwQUf0/edit?usp=sharing"",""แม่ฮ่องสอน!I612"")"),0)</f>
        <v>0</v>
      </c>
      <c r="CE25" s="261">
        <f ca="1">IFERROR(__xludf.DUMMYFUNCTION("IMPORTRANGE(""https://docs.google.com/spreadsheets/d/1Wbcosgy-Xa1xXUArJSOenub6EfZHUSzc_bpJFWwQUf0/edit?usp=sharing"",""แม่ฮ่องสอน!I594"")"),295)</f>
        <v>295</v>
      </c>
      <c r="CF25" s="262">
        <f ca="1">IFERROR(__xludf.DUMMYFUNCTION("IMPORTRANGE(""https://docs.google.com/spreadsheets/d/1Wbcosgy-Xa1xXUArJSOenub6EfZHUSzc_bpJFWwQUf0/edit?usp=sharing"",""แม่ฮ่องสอน!J612"")"),0)</f>
        <v>0</v>
      </c>
      <c r="CG25" s="262">
        <f t="shared" ca="1" si="37"/>
        <v>0</v>
      </c>
      <c r="CH25" s="261">
        <f ca="1">IFERROR(__xludf.DUMMYFUNCTION("IMPORTRANGE(""https://docs.google.com/spreadsheets/d/1Wbcosgy-Xa1xXUArJSOenub6EfZHUSzc_bpJFWwQUf0/edit?usp=sharing"",""แม่ฮ่องสอน!J613"")"),0)</f>
        <v>0</v>
      </c>
      <c r="CI25" s="262">
        <f t="shared" ca="1" si="19"/>
        <v>0</v>
      </c>
      <c r="CJ25" s="186">
        <f ca="1">IFERROR(__xludf.DUMMYFUNCTION("IMPORTRANGE(""https://docs.google.com/spreadsheets/d/1Wbcosgy-Xa1xXUArJSOenub6EfZHUSzc_bpJFWwQUf0/edit?usp=sharing"",""แม่ฮ่องสอน!J614"")"),0)</f>
        <v>0</v>
      </c>
      <c r="CK25" s="261">
        <f ca="1">IFERROR(__xludf.DUMMYFUNCTION("IMPORTRANGE(""https://docs.google.com/spreadsheets/d/1Wbcosgy-Xa1xXUArJSOenub6EfZHUSzc_bpJFWwQUf0/edit?usp=sharing"",""แม่ฮ่องสอน!J615"")"),0)</f>
        <v>0</v>
      </c>
      <c r="CL25" s="186">
        <f ca="1">IFERROR(__xludf.DUMMYFUNCTION("IMPORTRANGE(""https://docs.google.com/spreadsheets/d/1Wbcosgy-Xa1xXUArJSOenub6EfZHUSzc_bpJFWwQUf0/edit?usp=sharing"",""แม่ฮ่องสอน!J616"")"),0)</f>
        <v>0</v>
      </c>
      <c r="CM25" s="261">
        <f ca="1">IFERROR(__xludf.DUMMYFUNCTION("IMPORTRANGE(""https://docs.google.com/spreadsheets/d/1Wbcosgy-Xa1xXUArJSOenub6EfZHUSzc_bpJFWwQUf0/edit?usp=sharing"",""แม่ฮ่องสอน!J617"")"),0)</f>
        <v>0</v>
      </c>
      <c r="CN25" s="261">
        <f ca="1">IFERROR(__xludf.DUMMYFUNCTION("IMPORTRANGE(""https://docs.google.com/spreadsheets/d/1Wbcosgy-Xa1xXUArJSOenub6EfZHUSzc_bpJFWwQUf0/edit?usp=sharing"",""แม่ฮ่องสอน!I620"")"),0)</f>
        <v>0</v>
      </c>
      <c r="CO25" s="261">
        <f ca="1">IFERROR(__xludf.DUMMYFUNCTION("IMPORTRANGE(""https://docs.google.com/spreadsheets/d/1Wbcosgy-Xa1xXUArJSOenub6EfZHUSzc_bpJFWwQUf0/edit?usp=sharing"",""แม่ฮ่องสอน!I621"")"),0)</f>
        <v>0</v>
      </c>
      <c r="CP25" s="262">
        <f ca="1">IFERROR(__xludf.DUMMYFUNCTION("IMPORTRANGE(""https://docs.google.com/spreadsheets/d/1Wbcosgy-Xa1xXUArJSOenub6EfZHUSzc_bpJFWwQUf0/edit?usp=sharing"",""แม่ฮ่องสอน!J620"")"),0)</f>
        <v>0</v>
      </c>
      <c r="CQ25" s="262">
        <f t="shared" ca="1" si="38"/>
        <v>0</v>
      </c>
      <c r="CR25" s="261">
        <f ca="1">IFERROR(__xludf.DUMMYFUNCTION("IMPORTRANGE(""https://docs.google.com/spreadsheets/d/1Wbcosgy-Xa1xXUArJSOenub6EfZHUSzc_bpJFWwQUf0/edit?usp=sharing"",""แม่ฮ่องสอน!J621"")"),0)</f>
        <v>0</v>
      </c>
      <c r="CS25" s="262">
        <f t="shared" ca="1" si="22"/>
        <v>0</v>
      </c>
      <c r="CT25" s="186">
        <f ca="1">IFERROR(__xludf.DUMMYFUNCTION("IMPORTRANGE(""https://docs.google.com/spreadsheets/d/1Wbcosgy-Xa1xXUArJSOenub6EfZHUSzc_bpJFWwQUf0/edit?usp=sharing"",""แม่ฮ่องสอน!J622"")"),0)</f>
        <v>0</v>
      </c>
      <c r="CU25" s="261">
        <f ca="1">IFERROR(__xludf.DUMMYFUNCTION("IMPORTRANGE(""https://docs.google.com/spreadsheets/d/1Wbcosgy-Xa1xXUArJSOenub6EfZHUSzc_bpJFWwQUf0/edit?usp=sharing"",""แม่ฮ่องสอน!J623"")"),0)</f>
        <v>0</v>
      </c>
      <c r="CV25" s="186">
        <f ca="1">IFERROR(__xludf.DUMMYFUNCTION("IMPORTRANGE(""https://docs.google.com/spreadsheets/d/1Wbcosgy-Xa1xXUArJSOenub6EfZHUSzc_bpJFWwQUf0/edit?usp=sharing"",""แม่ฮ่องสอน!J624"")"),0)</f>
        <v>0</v>
      </c>
      <c r="CW25" s="261">
        <f ca="1">IFERROR(__xludf.DUMMYFUNCTION("IMPORTRANGE(""https://docs.google.com/spreadsheets/d/1Wbcosgy-Xa1xXUArJSOenub6EfZHUSzc_bpJFWwQUf0/edit?usp=sharing"",""แม่ฮ่องสอน!J625"")"),0)</f>
        <v>0</v>
      </c>
      <c r="CX25" s="186">
        <f ca="1">IFERROR(__xludf.DUMMYFUNCTION("IMPORTRANGE(""https://docs.google.com/spreadsheets/d/1Wbcosgy-Xa1xXUArJSOenub6EfZHUSzc_bpJFWwQUf0/edit?usp=sharing"",""แม่ฮ่องสอน!J626"")"),0)</f>
        <v>0</v>
      </c>
      <c r="CY25" s="261">
        <f ca="1">IFERROR(__xludf.DUMMYFUNCTION("IMPORTRANGE(""https://docs.google.com/spreadsheets/d/1Wbcosgy-Xa1xXUArJSOenub6EfZHUSzc_bpJFWwQUf0/edit?usp=sharing"",""แม่ฮ่องสอน!J627"")"),0)</f>
        <v>0</v>
      </c>
    </row>
    <row r="26" spans="1:103" ht="24" customHeight="1" x14ac:dyDescent="0.3">
      <c r="A26" s="178">
        <v>13</v>
      </c>
      <c r="B26" s="179" t="s">
        <v>43</v>
      </c>
      <c r="C26" s="180">
        <f t="shared" ca="1" si="49"/>
        <v>485811</v>
      </c>
      <c r="D26" s="181">
        <f ca="1">IFERROR(__xludf.DUMMYFUNCTION("IMPORTRANGE(""https://docs.google.com/spreadsheets/d/1p7ERhsr0qZeSn-KSOdeHS9r0heI-lHtkcn2OH7hP0jQ/edit?usp=sharing"",""ลำปาง!L549"")"),485811)</f>
        <v>485811</v>
      </c>
      <c r="E26" s="187">
        <f ca="1">IFERROR(__xludf.DUMMYFUNCTION("IMPORTRANGE(""https://docs.google.com/spreadsheets/d/1p7ERhsr0qZeSn-KSOdeHS9r0heI-lHtkcn2OH7hP0jQ/edit?usp=sharing"",""ลำปาง!L557"")"),0)</f>
        <v>0</v>
      </c>
      <c r="F26" s="182">
        <f t="shared" ca="1" si="1"/>
        <v>100390</v>
      </c>
      <c r="G26" s="183">
        <f t="shared" ca="1" si="2"/>
        <v>20.664414762119424</v>
      </c>
      <c r="H26" s="184">
        <f t="shared" ca="1" si="50"/>
        <v>100390</v>
      </c>
      <c r="I26" s="187">
        <f ca="1">IFERROR(__xludf.DUMMYFUNCTION("IMPORTRANGE(""https://docs.google.com/spreadsheets/d/1p7ERhsr0qZeSn-KSOdeHS9r0heI-lHtkcn2OH7hP0jQ/edit?usp=sharing"",""ลำปาง!N550"")"),0)</f>
        <v>0</v>
      </c>
      <c r="J26" s="187">
        <f ca="1">IFERROR(__xludf.DUMMYFUNCTION("IMPORTRANGE(""https://docs.google.com/spreadsheets/d/1p7ERhsr0qZeSn-KSOdeHS9r0heI-lHtkcn2OH7hP0jQ/edit?usp=sharing"",""ลำปาง!N551"")"),0)</f>
        <v>0</v>
      </c>
      <c r="K26" s="187">
        <f ca="1">IFERROR(__xludf.DUMMYFUNCTION("IMPORTRANGE(""https://docs.google.com/spreadsheets/d/1p7ERhsr0qZeSn-KSOdeHS9r0heI-lHtkcn2OH7hP0jQ/edit?usp=sharing"",""ลำปาง!N552"")"),39000)</f>
        <v>39000</v>
      </c>
      <c r="L26" s="187">
        <f ca="1">IFERROR(__xludf.DUMMYFUNCTION("IMPORTRANGE(""https://docs.google.com/spreadsheets/d/1p7ERhsr0qZeSn-KSOdeHS9r0heI-lHtkcn2OH7hP0jQ/edit?usp=sharing"",""ลำปาง!N553"")"),61390)</f>
        <v>61390</v>
      </c>
      <c r="M26" s="187">
        <f ca="1">IFERROR(__xludf.DUMMYFUNCTION("IMPORTRANGE(""https://docs.google.com/spreadsheets/d/1p7ERhsr0qZeSn-KSOdeHS9r0heI-lHtkcn2OH7hP0jQ/edit?usp=sharing"",""ลำปาง!N554"")"),0)</f>
        <v>0</v>
      </c>
      <c r="N26" s="185">
        <f ca="1">IFERROR(__xludf.DUMMYFUNCTION("IMPORTRANGE(""https://docs.google.com/spreadsheets/d/1p7ERhsr0qZeSn-KSOdeHS9r0heI-lHtkcn2OH7hP0jQ/edit?usp=sharing"",""ลำปาง!N557"")"),0)</f>
        <v>0</v>
      </c>
      <c r="O26" s="185">
        <f t="shared" ca="1" si="41"/>
        <v>0</v>
      </c>
      <c r="P26" s="181">
        <f ca="1">IFERROR(__xludf.DUMMYFUNCTION("IMPORTRANGE(""https://docs.google.com/spreadsheets/d/1p7ERhsr0qZeSn-KSOdeHS9r0heI-lHtkcn2OH7hP0jQ/edit?usp=sharing"",""ลำปาง!I560"")"),24651)</f>
        <v>24651</v>
      </c>
      <c r="Q26" s="181">
        <f ca="1">IFERROR(__xludf.DUMMYFUNCTION("IMPORTRANGE(""https://docs.google.com/spreadsheets/d/1p7ERhsr0qZeSn-KSOdeHS9r0heI-lHtkcn2OH7hP0jQ/edit?usp=sharing"",""ลำปาง!I561"")"),4817)</f>
        <v>4817</v>
      </c>
      <c r="R26" s="186">
        <f ca="1">IFERROR(__xludf.DUMMYFUNCTION("IMPORTRANGE(""https://docs.google.com/spreadsheets/d/1p7ERhsr0qZeSn-KSOdeHS9r0heI-lHtkcn2OH7hP0jQ/edit?usp=sharing"",""ลำปาง!J560"")"),24651)</f>
        <v>24651</v>
      </c>
      <c r="S26" s="186">
        <f t="shared" ca="1" si="33"/>
        <v>100</v>
      </c>
      <c r="T26" s="181">
        <f ca="1">IFERROR(__xludf.DUMMYFUNCTION("IMPORTRANGE(""https://docs.google.com/spreadsheets/d/1p7ERhsr0qZeSn-KSOdeHS9r0heI-lHtkcn2OH7hP0jQ/edit?usp=sharing"",""ลำปาง!J561"")"),4817)</f>
        <v>4817</v>
      </c>
      <c r="U26" s="186">
        <f t="shared" ca="1" si="7"/>
        <v>100</v>
      </c>
      <c r="V26" s="186">
        <f ca="1">IFERROR(__xludf.DUMMYFUNCTION("IMPORTRANGE(""https://docs.google.com/spreadsheets/d/1p7ERhsr0qZeSn-KSOdeHS9r0heI-lHtkcn2OH7hP0jQ/edit?usp=sharing"",""ลำปาง!J562"")"),21886)</f>
        <v>21886</v>
      </c>
      <c r="W26" s="261">
        <f ca="1">IFERROR(__xludf.DUMMYFUNCTION("IMPORTRANGE(""https://docs.google.com/spreadsheets/d/1p7ERhsr0qZeSn-KSOdeHS9r0heI-lHtkcn2OH7hP0jQ/edit?usp=sharing"",""ลำปาง!J563"")"),4325)</f>
        <v>4325</v>
      </c>
      <c r="X26" s="186">
        <f ca="1">IFERROR(__xludf.DUMMYFUNCTION("IMPORTRANGE(""https://docs.google.com/spreadsheets/d/1p7ERhsr0qZeSn-KSOdeHS9r0heI-lHtkcn2OH7hP0jQ/edit?usp=sharing"",""ลำปาง!J564"")"),2152)</f>
        <v>2152</v>
      </c>
      <c r="Y26" s="261">
        <f ca="1">IFERROR(__xludf.DUMMYFUNCTION("IMPORTRANGE(""https://docs.google.com/spreadsheets/d/1p7ERhsr0qZeSn-KSOdeHS9r0heI-lHtkcn2OH7hP0jQ/edit?usp=sharing"",""ลำปาง!J565"")"),379)</f>
        <v>379</v>
      </c>
      <c r="Z26" s="186">
        <f ca="1">IFERROR(__xludf.DUMMYFUNCTION("IMPORTRANGE(""https://docs.google.com/spreadsheets/d/1p7ERhsr0qZeSn-KSOdeHS9r0heI-lHtkcn2OH7hP0jQ/edit?usp=sharing"",""ลำปาง!J566"")"),613)</f>
        <v>613</v>
      </c>
      <c r="AA26" s="261">
        <f ca="1">IFERROR(__xludf.DUMMYFUNCTION("IMPORTRANGE(""https://docs.google.com/spreadsheets/d/1p7ERhsr0qZeSn-KSOdeHS9r0heI-lHtkcn2OH7hP0jQ/edit?usp=sharing"",""ลำปาง!J567"")"),113)</f>
        <v>113</v>
      </c>
      <c r="AB26" s="181">
        <f ca="1">IFERROR(__xludf.DUMMYFUNCTION("IMPORTRANGE(""https://docs.google.com/spreadsheets/d/1p7ERhsr0qZeSn-KSOdeHS9r0heI-lHtkcn2OH7hP0jQ/edit?usp=sharing"",""ลำปาง!I568"")"),24651)</f>
        <v>24651</v>
      </c>
      <c r="AC26" s="181">
        <f ca="1">IFERROR(__xludf.DUMMYFUNCTION("IMPORTRANGE(""https://docs.google.com/spreadsheets/d/1p7ERhsr0qZeSn-KSOdeHS9r0heI-lHtkcn2OH7hP0jQ/edit?usp=sharing"",""ลำปาง!I569"")"),4817)</f>
        <v>4817</v>
      </c>
      <c r="AD26" s="186">
        <f ca="1">IFERROR(__xludf.DUMMYFUNCTION("IMPORTRANGE(""https://docs.google.com/spreadsheets/d/1p7ERhsr0qZeSn-KSOdeHS9r0heI-lHtkcn2OH7hP0jQ/edit?usp=sharing"",""ลำปาง!J568"")"),0)</f>
        <v>0</v>
      </c>
      <c r="AE26" s="186">
        <f t="shared" ca="1" si="34"/>
        <v>0</v>
      </c>
      <c r="AF26" s="181">
        <f ca="1">IFERROR(__xludf.DUMMYFUNCTION("IMPORTRANGE(""https://docs.google.com/spreadsheets/d/1p7ERhsr0qZeSn-KSOdeHS9r0heI-lHtkcn2OH7hP0jQ/edit?usp=sharing"",""ลำปาง!J569"")"),0)</f>
        <v>0</v>
      </c>
      <c r="AG26" s="186">
        <f t="shared" ca="1" si="10"/>
        <v>0</v>
      </c>
      <c r="AH26" s="186">
        <f ca="1">IFERROR(__xludf.DUMMYFUNCTION("IMPORTRANGE(""https://docs.google.com/spreadsheets/d/1p7ERhsr0qZeSn-KSOdeHS9r0heI-lHtkcn2OH7hP0jQ/edit?usp=sharing"",""ลำปาง!J570"")"),0)</f>
        <v>0</v>
      </c>
      <c r="AI26" s="261">
        <f ca="1">IFERROR(__xludf.DUMMYFUNCTION("IMPORTRANGE(""https://docs.google.com/spreadsheets/d/1p7ERhsr0qZeSn-KSOdeHS9r0heI-lHtkcn2OH7hP0jQ/edit?usp=sharing"",""ลำปาง!J571"")"),0)</f>
        <v>0</v>
      </c>
      <c r="AJ26" s="186">
        <f ca="1">IFERROR(__xludf.DUMMYFUNCTION("IMPORTRANGE(""https://docs.google.com/spreadsheets/d/1p7ERhsr0qZeSn-KSOdeHS9r0heI-lHtkcn2OH7hP0jQ/edit?usp=sharing"",""ลำปาง!J572"")"),0)</f>
        <v>0</v>
      </c>
      <c r="AK26" s="261">
        <f ca="1">IFERROR(__xludf.DUMMYFUNCTION("IMPORTRANGE(""https://docs.google.com/spreadsheets/d/1p7ERhsr0qZeSn-KSOdeHS9r0heI-lHtkcn2OH7hP0jQ/edit?usp=sharing"",""ลำปาง!J573"")"),0)</f>
        <v>0</v>
      </c>
      <c r="AL26" s="186">
        <f ca="1">IFERROR(__xludf.DUMMYFUNCTION("IMPORTRANGE(""https://docs.google.com/spreadsheets/d/1p7ERhsr0qZeSn-KSOdeHS9r0heI-lHtkcn2OH7hP0jQ/edit?usp=sharing"",""ลำปาง!J574"")"),0)</f>
        <v>0</v>
      </c>
      <c r="AM26" s="261">
        <f ca="1">IFERROR(__xludf.DUMMYFUNCTION("IMPORTRANGE(""https://docs.google.com/spreadsheets/d/1p7ERhsr0qZeSn-KSOdeHS9r0heI-lHtkcn2OH7hP0jQ/edit?usp=sharing"",""ลำปาง!J575"")"),0)</f>
        <v>0</v>
      </c>
      <c r="AN26" s="181">
        <f ca="1">IFERROR(__xludf.DUMMYFUNCTION("IMPORTRANGE(""https://docs.google.com/spreadsheets/d/1p7ERhsr0qZeSn-KSOdeHS9r0heI-lHtkcn2OH7hP0jQ/edit?usp=sharing"",""ลำปาง!I576"")"),24651)</f>
        <v>24651</v>
      </c>
      <c r="AO26" s="181">
        <f ca="1">IFERROR(__xludf.DUMMYFUNCTION("IMPORTRANGE(""https://docs.google.com/spreadsheets/d/1p7ERhsr0qZeSn-KSOdeHS9r0heI-lHtkcn2OH7hP0jQ/edit?usp=sharing"",""ลำปาง!I577"")"),4817)</f>
        <v>4817</v>
      </c>
      <c r="AP26" s="186">
        <f ca="1">IFERROR(__xludf.DUMMYFUNCTION("IMPORTRANGE(""https://docs.google.com/spreadsheets/d/1p7ERhsr0qZeSn-KSOdeHS9r0heI-lHtkcn2OH7hP0jQ/edit?usp=sharing"",""ลำปาง!J576"")"),0)</f>
        <v>0</v>
      </c>
      <c r="AQ26" s="186">
        <f t="shared" ca="1" si="35"/>
        <v>0</v>
      </c>
      <c r="AR26" s="181">
        <f ca="1">IFERROR(__xludf.DUMMYFUNCTION("IMPORTRANGE(""https://docs.google.com/spreadsheets/d/1p7ERhsr0qZeSn-KSOdeHS9r0heI-lHtkcn2OH7hP0jQ/edit?usp=sharing"",""ลำปาง!J577"")"),0)</f>
        <v>0</v>
      </c>
      <c r="AS26" s="186">
        <f t="shared" ca="1" si="13"/>
        <v>0</v>
      </c>
      <c r="AT26" s="186">
        <f ca="1">IFERROR(__xludf.DUMMYFUNCTION("IMPORTRANGE(""https://docs.google.com/spreadsheets/d/1p7ERhsr0qZeSn-KSOdeHS9r0heI-lHtkcn2OH7hP0jQ/edit?usp=sharing"",""ลำปาง!J578"")"),0)</f>
        <v>0</v>
      </c>
      <c r="AU26" s="261">
        <f ca="1">IFERROR(__xludf.DUMMYFUNCTION("IMPORTRANGE(""https://docs.google.com/spreadsheets/d/1p7ERhsr0qZeSn-KSOdeHS9r0heI-lHtkcn2OH7hP0jQ/edit?usp=sharing"",""ลำปาง!J579"")"),0)</f>
        <v>0</v>
      </c>
      <c r="AV26" s="186">
        <f ca="1">IFERROR(__xludf.DUMMYFUNCTION("IMPORTRANGE(""https://docs.google.com/spreadsheets/d/1p7ERhsr0qZeSn-KSOdeHS9r0heI-lHtkcn2OH7hP0jQ/edit?usp=sharing"",""ลำปาง!J580"")"),0)</f>
        <v>0</v>
      </c>
      <c r="AW26" s="261">
        <f ca="1">IFERROR(__xludf.DUMMYFUNCTION("IMPORTRANGE(""https://docs.google.com/spreadsheets/d/1p7ERhsr0qZeSn-KSOdeHS9r0heI-lHtkcn2OH7hP0jQ/edit?usp=sharing"",""ลำปาง!J581"")"),0)</f>
        <v>0</v>
      </c>
      <c r="AX26" s="186">
        <f ca="1">IFERROR(__xludf.DUMMYFUNCTION("IMPORTRANGE(""https://docs.google.com/spreadsheets/d/1p7ERhsr0qZeSn-KSOdeHS9r0heI-lHtkcn2OH7hP0jQ/edit?usp=sharing"",""ลำปาง!J582"")"),0)</f>
        <v>0</v>
      </c>
      <c r="AY26" s="261">
        <f ca="1">IFERROR(__xludf.DUMMYFUNCTION("IMPORTRANGE(""https://docs.google.com/spreadsheets/d/1p7ERhsr0qZeSn-KSOdeHS9r0heI-lHtkcn2OH7hP0jQ/edit?usp=sharing"",""ลำปาง!J583"")"),0)</f>
        <v>0</v>
      </c>
      <c r="AZ26" s="262">
        <f ca="1">IFERROR(__xludf.DUMMYFUNCTION("IMPORTRANGE(""https://docs.google.com/spreadsheets/d/1p7ERhsr0qZeSn-KSOdeHS9r0heI-lHtkcn2OH7hP0jQ/edit?usp=sharing"",""ลำปาง!J584"")"),0)</f>
        <v>0</v>
      </c>
      <c r="BA26" s="261">
        <f ca="1">IFERROR(__xludf.DUMMYFUNCTION("IMPORTRANGE(""https://docs.google.com/spreadsheets/d/1p7ERhsr0qZeSn-KSOdeHS9r0heI-lHtkcn2OH7hP0jQ/edit?usp=sharing"",""ลำปาง!J585"")"),0)</f>
        <v>0</v>
      </c>
      <c r="BB26" s="262">
        <f ca="1">IFERROR(__xludf.DUMMYFUNCTION("IMPORTRANGE(""https://docs.google.com/spreadsheets/d/1p7ERhsr0qZeSn-KSOdeHS9r0heI-lHtkcn2OH7hP0jQ/edit?usp=sharing"",""ลำปาง!J586"")"),0)</f>
        <v>0</v>
      </c>
      <c r="BC26" s="261">
        <f ca="1">IFERROR(__xludf.DUMMYFUNCTION("IMPORTRANGE(""https://docs.google.com/spreadsheets/d/1p7ERhsr0qZeSn-KSOdeHS9r0heI-lHtkcn2OH7hP0jQ/edit?usp=sharing"",""ลำปาง!J587"")"),0)</f>
        <v>0</v>
      </c>
      <c r="BD26" s="186">
        <f ca="1">IFERROR(__xludf.DUMMYFUNCTION("IMPORTRANGE(""https://docs.google.com/spreadsheets/d/1p7ERhsr0qZeSn-KSOdeHS9r0heI-lHtkcn2OH7hP0jQ/edit?usp=sharing"",""ลำปาง!J588"")"),0)</f>
        <v>0</v>
      </c>
      <c r="BE26" s="261">
        <f ca="1">IFERROR(__xludf.DUMMYFUNCTION("IMPORTRANGE(""https://docs.google.com/spreadsheets/d/1p7ERhsr0qZeSn-KSOdeHS9r0heI-lHtkcn2OH7hP0jQ/edit?usp=sharing"",""ลำปาง!J589"")"),0)</f>
        <v>0</v>
      </c>
      <c r="BF26" s="186">
        <f ca="1">IFERROR(__xludf.DUMMYFUNCTION("IMPORTRANGE(""https://docs.google.com/spreadsheets/d/1p7ERhsr0qZeSn-KSOdeHS9r0heI-lHtkcn2OH7hP0jQ/edit?usp=sharing"",""ลำปาง!J590"")"),0)</f>
        <v>0</v>
      </c>
      <c r="BG26" s="261">
        <f ca="1">IFERROR(__xludf.DUMMYFUNCTION("IMPORTRANGE(""https://docs.google.com/spreadsheets/d/1p7ERhsr0qZeSn-KSOdeHS9r0heI-lHtkcn2OH7hP0jQ/edit?usp=sharing"",""ลำปาง!J591"")"),0)</f>
        <v>0</v>
      </c>
      <c r="BH26" s="181">
        <f ca="1">IFERROR(__xludf.DUMMYFUNCTION("IMPORTRANGE(""https://docs.google.com/spreadsheets/d/1p7ERhsr0qZeSn-KSOdeHS9r0heI-lHtkcn2OH7hP0jQ/edit?usp=sharing"",""ลำปาง!I593"")"),3952.03)</f>
        <v>3952.03</v>
      </c>
      <c r="BI26" s="181">
        <f ca="1">IFERROR(__xludf.DUMMYFUNCTION("IMPORTRANGE(""https://docs.google.com/spreadsheets/d/1p7ERhsr0qZeSn-KSOdeHS9r0heI-lHtkcn2OH7hP0jQ/edit?usp=sharing"",""ลำปาง!I594"")"),599)</f>
        <v>599</v>
      </c>
      <c r="BJ26" s="186">
        <f ca="1">IFERROR(__xludf.DUMMYFUNCTION("IMPORTRANGE(""https://docs.google.com/spreadsheets/d/1p7ERhsr0qZeSn-KSOdeHS9r0heI-lHtkcn2OH7hP0jQ/edit?usp=sharing"",""ลำปาง!J593"")"),2834.49)</f>
        <v>2834.49</v>
      </c>
      <c r="BK26" s="186">
        <f t="shared" ca="1" si="36"/>
        <v>71.722380649944455</v>
      </c>
      <c r="BL26" s="181">
        <f ca="1">IFERROR(__xludf.DUMMYFUNCTION("IMPORTRANGE(""https://docs.google.com/spreadsheets/d/1p7ERhsr0qZeSn-KSOdeHS9r0heI-lHtkcn2OH7hP0jQ/edit?usp=sharing"",""ลำปาง!J594"")"),395)</f>
        <v>395</v>
      </c>
      <c r="BM26" s="186">
        <f t="shared" ca="1" si="16"/>
        <v>65.943238731218699</v>
      </c>
      <c r="BN26" s="186">
        <f ca="1">IFERROR(__xludf.DUMMYFUNCTION("IMPORTRANGE(""https://docs.google.com/spreadsheets/d/1p7ERhsr0qZeSn-KSOdeHS9r0heI-lHtkcn2OH7hP0jQ/edit?usp=sharing"",""ลำปาง!J595"")"),2834.49)</f>
        <v>2834.49</v>
      </c>
      <c r="BO26" s="261">
        <f ca="1">IFERROR(__xludf.DUMMYFUNCTION("IMPORTRANGE(""https://docs.google.com/spreadsheets/d/1p7ERhsr0qZeSn-KSOdeHS9r0heI-lHtkcn2OH7hP0jQ/edit?usp=sharing"",""ลำปาง!J596"")"),395)</f>
        <v>395</v>
      </c>
      <c r="BP26" s="186">
        <f ca="1">IFERROR(__xludf.DUMMYFUNCTION("IMPORTRANGE(""https://docs.google.com/spreadsheets/d/1p7ERhsr0qZeSn-KSOdeHS9r0heI-lHtkcn2OH7hP0jQ/edit?usp=sharing"",""ลำปาง!J597"")"),136)</f>
        <v>136</v>
      </c>
      <c r="BQ26" s="261">
        <f ca="1">IFERROR(__xludf.DUMMYFUNCTION("IMPORTRANGE(""https://docs.google.com/spreadsheets/d/1p7ERhsr0qZeSn-KSOdeHS9r0heI-lHtkcn2OH7hP0jQ/edit?usp=sharing"",""ลำปาง!J598"")"),13)</f>
        <v>13</v>
      </c>
      <c r="BR26" s="186">
        <f ca="1">IFERROR(__xludf.DUMMYFUNCTION("IMPORTRANGE(""https://docs.google.com/spreadsheets/d/1p7ERhsr0qZeSn-KSOdeHS9r0heI-lHtkcn2OH7hP0jQ/edit?usp=sharing"",""ลำปาง!J599"")"),2698.49)</f>
        <v>2698.49</v>
      </c>
      <c r="BS26" s="261">
        <f ca="1">IFERROR(__xludf.DUMMYFUNCTION("IMPORTRANGE(""https://docs.google.com/spreadsheets/d/1p7ERhsr0qZeSn-KSOdeHS9r0heI-lHtkcn2OH7hP0jQ/edit?usp=sharing"",""ลำปาง!J600"")"),382)</f>
        <v>382</v>
      </c>
      <c r="BT26" s="262">
        <f ca="1">IFERROR(__xludf.DUMMYFUNCTION("IMPORTRANGE(""https://docs.google.com/spreadsheets/d/1p7ERhsr0qZeSn-KSOdeHS9r0heI-lHtkcn2OH7hP0jQ/edit?usp=sharing"",""ลำปาง!J601"")"),0)</f>
        <v>0</v>
      </c>
      <c r="BU26" s="261">
        <f ca="1">IFERROR(__xludf.DUMMYFUNCTION("IMPORTRANGE(""https://docs.google.com/spreadsheets/d/1p7ERhsr0qZeSn-KSOdeHS9r0heI-lHtkcn2OH7hP0jQ/edit?usp=sharing"",""ลำปาง!J602"")"),0)</f>
        <v>0</v>
      </c>
      <c r="BV26" s="186">
        <f ca="1">IFERROR(__xludf.DUMMYFUNCTION("IMPORTRANGE(""https://docs.google.com/spreadsheets/d/1p7ERhsr0qZeSn-KSOdeHS9r0heI-lHtkcn2OH7hP0jQ/edit?usp=sharing"",""ลำปาง!J603"")"),0)</f>
        <v>0</v>
      </c>
      <c r="BW26" s="261">
        <f ca="1">IFERROR(__xludf.DUMMYFUNCTION("IMPORTRANGE(""https://docs.google.com/spreadsheets/d/1p7ERhsr0qZeSn-KSOdeHS9r0heI-lHtkcn2OH7hP0jQ/edit?usp=sharing"",""ลำปาง!J604"")"),0)</f>
        <v>0</v>
      </c>
      <c r="BX26" s="186">
        <f ca="1">IFERROR(__xludf.DUMMYFUNCTION("IMPORTRANGE(""https://docs.google.com/spreadsheets/d/1p7ERhsr0qZeSn-KSOdeHS9r0heI-lHtkcn2OH7hP0jQ/edit?usp=sharing"",""ลำปาง!J605"")"),0)</f>
        <v>0</v>
      </c>
      <c r="BY26" s="261">
        <f ca="1">IFERROR(__xludf.DUMMYFUNCTION("IMPORTRANGE(""https://docs.google.com/spreadsheets/d/1p7ERhsr0qZeSn-KSOdeHS9r0heI-lHtkcn2OH7hP0jQ/edit?usp=sharing"",""ลำปาง!J606"")"),0)</f>
        <v>0</v>
      </c>
      <c r="BZ26" s="186">
        <f ca="1">IFERROR(__xludf.DUMMYFUNCTION("IMPORTRANGE(""https://docs.google.com/spreadsheets/d/1p7ERhsr0qZeSn-KSOdeHS9r0heI-lHtkcn2OH7hP0jQ/edit?usp=sharing"",""ลำปาง!J607"")"),0)</f>
        <v>0</v>
      </c>
      <c r="CA26" s="261">
        <f ca="1">IFERROR(__xludf.DUMMYFUNCTION("IMPORTRANGE(""https://docs.google.com/spreadsheets/d/1p7ERhsr0qZeSn-KSOdeHS9r0heI-lHtkcn2OH7hP0jQ/edit?usp=sharing"",""ลำปาง!J608"")"),0)</f>
        <v>0</v>
      </c>
      <c r="CB26" s="186">
        <f ca="1">IFERROR(__xludf.DUMMYFUNCTION("IMPORTRANGE(""https://docs.google.com/spreadsheets/d/1p7ERhsr0qZeSn-KSOdeHS9r0heI-lHtkcn2OH7hP0jQ/edit?usp=sharing"",""ลำปาง!J609"")"),0)</f>
        <v>0</v>
      </c>
      <c r="CC26" s="261">
        <f ca="1">IFERROR(__xludf.DUMMYFUNCTION("IMPORTRANGE(""https://docs.google.com/spreadsheets/d/1p7ERhsr0qZeSn-KSOdeHS9r0heI-lHtkcn2OH7hP0jQ/edit?usp=sharing"",""ลำปาง!J610"")"),0)</f>
        <v>0</v>
      </c>
      <c r="CD26" s="261">
        <f ca="1">IFERROR(__xludf.DUMMYFUNCTION("IMPORTRANGE(""https://docs.google.com/spreadsheets/d/1p7ERhsr0qZeSn-KSOdeHS9r0heI-lHtkcn2OH7hP0jQ/edit?usp=sharing"",""ลำปาง!I612"")"),0)</f>
        <v>0</v>
      </c>
      <c r="CE26" s="261">
        <f ca="1">IFERROR(__xludf.DUMMYFUNCTION("IMPORTRANGE(""https://docs.google.com/spreadsheets/d/1p7ERhsr0qZeSn-KSOdeHS9r0heI-lHtkcn2OH7hP0jQ/edit?usp=sharing"",""ลำปาง!I594"")"),599)</f>
        <v>599</v>
      </c>
      <c r="CF26" s="262">
        <f ca="1">IFERROR(__xludf.DUMMYFUNCTION("IMPORTRANGE(""https://docs.google.com/spreadsheets/d/1p7ERhsr0qZeSn-KSOdeHS9r0heI-lHtkcn2OH7hP0jQ/edit?usp=sharing"",""ลำปาง!J612"")"),0)</f>
        <v>0</v>
      </c>
      <c r="CG26" s="262">
        <f t="shared" ca="1" si="37"/>
        <v>0</v>
      </c>
      <c r="CH26" s="261">
        <f ca="1">IFERROR(__xludf.DUMMYFUNCTION("IMPORTRANGE(""https://docs.google.com/spreadsheets/d/1p7ERhsr0qZeSn-KSOdeHS9r0heI-lHtkcn2OH7hP0jQ/edit?usp=sharing"",""ลำปาง!J613"")"),0)</f>
        <v>0</v>
      </c>
      <c r="CI26" s="262">
        <f t="shared" ca="1" si="19"/>
        <v>0</v>
      </c>
      <c r="CJ26" s="186">
        <f ca="1">IFERROR(__xludf.DUMMYFUNCTION("IMPORTRANGE(""https://docs.google.com/spreadsheets/d/1p7ERhsr0qZeSn-KSOdeHS9r0heI-lHtkcn2OH7hP0jQ/edit?usp=sharing"",""ลำปาง!J614"")"),0)</f>
        <v>0</v>
      </c>
      <c r="CK26" s="261">
        <f ca="1">IFERROR(__xludf.DUMMYFUNCTION("IMPORTRANGE(""https://docs.google.com/spreadsheets/d/1p7ERhsr0qZeSn-KSOdeHS9r0heI-lHtkcn2OH7hP0jQ/edit?usp=sharing"",""ลำปาง!J615"")"),0)</f>
        <v>0</v>
      </c>
      <c r="CL26" s="186">
        <f ca="1">IFERROR(__xludf.DUMMYFUNCTION("IMPORTRANGE(""https://docs.google.com/spreadsheets/d/1p7ERhsr0qZeSn-KSOdeHS9r0heI-lHtkcn2OH7hP0jQ/edit?usp=sharing"",""ลำปาง!J616"")"),0)</f>
        <v>0</v>
      </c>
      <c r="CM26" s="261">
        <f ca="1">IFERROR(__xludf.DUMMYFUNCTION("IMPORTRANGE(""https://docs.google.com/spreadsheets/d/1p7ERhsr0qZeSn-KSOdeHS9r0heI-lHtkcn2OH7hP0jQ/edit?usp=sharing"",""ลำปาง!J617"")"),0)</f>
        <v>0</v>
      </c>
      <c r="CN26" s="261">
        <f ca="1">IFERROR(__xludf.DUMMYFUNCTION("IMPORTRANGE(""https://docs.google.com/spreadsheets/d/1p7ERhsr0qZeSn-KSOdeHS9r0heI-lHtkcn2OH7hP0jQ/edit?usp=sharing"",""ลำปาง!I620"")"),114)</f>
        <v>114</v>
      </c>
      <c r="CO26" s="261">
        <f ca="1">IFERROR(__xludf.DUMMYFUNCTION("IMPORTRANGE(""https://docs.google.com/spreadsheets/d/1p7ERhsr0qZeSn-KSOdeHS9r0heI-lHtkcn2OH7hP0jQ/edit?usp=sharing"",""ลำปาง!I621"")"),13)</f>
        <v>13</v>
      </c>
      <c r="CP26" s="262">
        <f ca="1">IFERROR(__xludf.DUMMYFUNCTION("IMPORTRANGE(""https://docs.google.com/spreadsheets/d/1p7ERhsr0qZeSn-KSOdeHS9r0heI-lHtkcn2OH7hP0jQ/edit?usp=sharing"",""ลำปาง!J620"")"),0)</f>
        <v>0</v>
      </c>
      <c r="CQ26" s="262">
        <f t="shared" ca="1" si="38"/>
        <v>0</v>
      </c>
      <c r="CR26" s="261">
        <f ca="1">IFERROR(__xludf.DUMMYFUNCTION("IMPORTRANGE(""https://docs.google.com/spreadsheets/d/1p7ERhsr0qZeSn-KSOdeHS9r0heI-lHtkcn2OH7hP0jQ/edit?usp=sharing"",""ลำปาง!J621"")"),0)</f>
        <v>0</v>
      </c>
      <c r="CS26" s="262">
        <f t="shared" ca="1" si="22"/>
        <v>0</v>
      </c>
      <c r="CT26" s="186">
        <f ca="1">IFERROR(__xludf.DUMMYFUNCTION("IMPORTRANGE(""https://docs.google.com/spreadsheets/d/1p7ERhsr0qZeSn-KSOdeHS9r0heI-lHtkcn2OH7hP0jQ/edit?usp=sharing"",""ลำปาง!J622"")"),0)</f>
        <v>0</v>
      </c>
      <c r="CU26" s="261">
        <f ca="1">IFERROR(__xludf.DUMMYFUNCTION("IMPORTRANGE(""https://docs.google.com/spreadsheets/d/1p7ERhsr0qZeSn-KSOdeHS9r0heI-lHtkcn2OH7hP0jQ/edit?usp=sharing"",""ลำปาง!J623"")"),0)</f>
        <v>0</v>
      </c>
      <c r="CV26" s="186">
        <f ca="1">IFERROR(__xludf.DUMMYFUNCTION("IMPORTRANGE(""https://docs.google.com/spreadsheets/d/1p7ERhsr0qZeSn-KSOdeHS9r0heI-lHtkcn2OH7hP0jQ/edit?usp=sharing"",""ลำปาง!J624"")"),0)</f>
        <v>0</v>
      </c>
      <c r="CW26" s="261">
        <f ca="1">IFERROR(__xludf.DUMMYFUNCTION("IMPORTRANGE(""https://docs.google.com/spreadsheets/d/1p7ERhsr0qZeSn-KSOdeHS9r0heI-lHtkcn2OH7hP0jQ/edit?usp=sharing"",""ลำปาง!J625"")"),0)</f>
        <v>0</v>
      </c>
      <c r="CX26" s="186">
        <f ca="1">IFERROR(__xludf.DUMMYFUNCTION("IMPORTRANGE(""https://docs.google.com/spreadsheets/d/1p7ERhsr0qZeSn-KSOdeHS9r0heI-lHtkcn2OH7hP0jQ/edit?usp=sharing"",""ลำปาง!J626"")"),0)</f>
        <v>0</v>
      </c>
      <c r="CY26" s="261">
        <f ca="1">IFERROR(__xludf.DUMMYFUNCTION("IMPORTRANGE(""https://docs.google.com/spreadsheets/d/1p7ERhsr0qZeSn-KSOdeHS9r0heI-lHtkcn2OH7hP0jQ/edit?usp=sharing"",""ลำปาง!J627"")"),0)</f>
        <v>0</v>
      </c>
    </row>
    <row r="27" spans="1:103" ht="24" customHeight="1" x14ac:dyDescent="0.3">
      <c r="A27" s="178">
        <v>14</v>
      </c>
      <c r="B27" s="179" t="s">
        <v>44</v>
      </c>
      <c r="C27" s="180">
        <f t="shared" ca="1" si="49"/>
        <v>423266</v>
      </c>
      <c r="D27" s="181">
        <f ca="1">IFERROR(__xludf.DUMMYFUNCTION("IMPORTRANGE(""https://docs.google.com/spreadsheets/d/1-uUXvimVhiU2U0bMN-xi2te0tS4X7DI2GLPnMjzl8cA/edit?usp=sharing"",""ลำพูน!L549"")"),423266)</f>
        <v>423266</v>
      </c>
      <c r="E27" s="187">
        <f ca="1">IFERROR(__xludf.DUMMYFUNCTION("IMPORTRANGE(""https://docs.google.com/spreadsheets/d/1-uUXvimVhiU2U0bMN-xi2te0tS4X7DI2GLPnMjzl8cA/edit?usp=sharing"",""ลำพูน!L557"")"),0)</f>
        <v>0</v>
      </c>
      <c r="F27" s="182">
        <f t="shared" ca="1" si="1"/>
        <v>70490</v>
      </c>
      <c r="G27" s="183">
        <f t="shared" ca="1" si="2"/>
        <v>16.653829979256543</v>
      </c>
      <c r="H27" s="184">
        <f t="shared" ca="1" si="50"/>
        <v>70490</v>
      </c>
      <c r="I27" s="187">
        <f ca="1">IFERROR(__xludf.DUMMYFUNCTION("IMPORTRANGE(""https://docs.google.com/spreadsheets/d/1-uUXvimVhiU2U0bMN-xi2te0tS4X7DI2GLPnMjzl8cA/edit?usp=sharing"",""ลำพูน!N550"")"),0)</f>
        <v>0</v>
      </c>
      <c r="J27" s="187">
        <f ca="1">IFERROR(__xludf.DUMMYFUNCTION("IMPORTRANGE(""https://docs.google.com/spreadsheets/d/1-uUXvimVhiU2U0bMN-xi2te0tS4X7DI2GLPnMjzl8cA/edit?usp=sharing"",""ลำพูน!N551"")"),0)</f>
        <v>0</v>
      </c>
      <c r="K27" s="187">
        <f ca="1">IFERROR(__xludf.DUMMYFUNCTION("IMPORTRANGE(""https://docs.google.com/spreadsheets/d/1-uUXvimVhiU2U0bMN-xi2te0tS4X7DI2GLPnMjzl8cA/edit?usp=sharing"",""ลำพูน!N552"")"),52000)</f>
        <v>52000</v>
      </c>
      <c r="L27" s="187">
        <f ca="1">IFERROR(__xludf.DUMMYFUNCTION("IMPORTRANGE(""https://docs.google.com/spreadsheets/d/1-uUXvimVhiU2U0bMN-xi2te0tS4X7DI2GLPnMjzl8cA/edit?usp=sharing"",""ลำพูน!N553"")"),18490)</f>
        <v>18490</v>
      </c>
      <c r="M27" s="187">
        <f ca="1">IFERROR(__xludf.DUMMYFUNCTION("IMPORTRANGE(""https://docs.google.com/spreadsheets/d/1-uUXvimVhiU2U0bMN-xi2te0tS4X7DI2GLPnMjzl8cA/edit?usp=sharing"",""ลำพูน!N554"")"),0)</f>
        <v>0</v>
      </c>
      <c r="N27" s="185">
        <f ca="1">IFERROR(__xludf.DUMMYFUNCTION("IMPORTRANGE(""https://docs.google.com/spreadsheets/d/1-uUXvimVhiU2U0bMN-xi2te0tS4X7DI2GLPnMjzl8cA/edit?usp=sharing"",""ลำพูน!N557"")"),0)</f>
        <v>0</v>
      </c>
      <c r="O27" s="185">
        <f t="shared" ca="1" si="41"/>
        <v>0</v>
      </c>
      <c r="P27" s="181">
        <f ca="1">IFERROR(__xludf.DUMMYFUNCTION("IMPORTRANGE(""https://docs.google.com/spreadsheets/d/1-uUXvimVhiU2U0bMN-xi2te0tS4X7DI2GLPnMjzl8cA/edit?usp=sharing"",""ลำพูน!I560"")"),25487)</f>
        <v>25487</v>
      </c>
      <c r="Q27" s="181">
        <f ca="1">IFERROR(__xludf.DUMMYFUNCTION("IMPORTRANGE(""https://docs.google.com/spreadsheets/d/1-uUXvimVhiU2U0bMN-xi2te0tS4X7DI2GLPnMjzl8cA/edit?usp=sharing"",""ลำพูน!I561"")"),3299)</f>
        <v>3299</v>
      </c>
      <c r="R27" s="186">
        <f ca="1">IFERROR(__xludf.DUMMYFUNCTION("IMPORTRANGE(""https://docs.google.com/spreadsheets/d/1-uUXvimVhiU2U0bMN-xi2te0tS4X7DI2GLPnMjzl8cA/edit?usp=sharing"",""ลำพูน!J560"")"),10591)</f>
        <v>10591</v>
      </c>
      <c r="S27" s="186">
        <f t="shared" ca="1" si="33"/>
        <v>41.554517989563308</v>
      </c>
      <c r="T27" s="181">
        <f ca="1">IFERROR(__xludf.DUMMYFUNCTION("IMPORTRANGE(""https://docs.google.com/spreadsheets/d/1-uUXvimVhiU2U0bMN-xi2te0tS4X7DI2GLPnMjzl8cA/edit?usp=sharing"",""ลำพูน!J561"")"),1206)</f>
        <v>1206</v>
      </c>
      <c r="U27" s="186">
        <f t="shared" ca="1" si="7"/>
        <v>36.556532282509849</v>
      </c>
      <c r="V27" s="186">
        <f ca="1">IFERROR(__xludf.DUMMYFUNCTION("IMPORTRANGE(""https://docs.google.com/spreadsheets/d/1-uUXvimVhiU2U0bMN-xi2te0tS4X7DI2GLPnMjzl8cA/edit?usp=sharing"",""ลำพูน!J562"")"),10455)</f>
        <v>10455</v>
      </c>
      <c r="W27" s="261">
        <f ca="1">IFERROR(__xludf.DUMMYFUNCTION("IMPORTRANGE(""https://docs.google.com/spreadsheets/d/1-uUXvimVhiU2U0bMN-xi2te0tS4X7DI2GLPnMjzl8cA/edit?usp=sharing"",""ลำพูน!J563"")"),1189)</f>
        <v>1189</v>
      </c>
      <c r="X27" s="186">
        <f ca="1">IFERROR(__xludf.DUMMYFUNCTION("IMPORTRANGE(""https://docs.google.com/spreadsheets/d/1-uUXvimVhiU2U0bMN-xi2te0tS4X7DI2GLPnMjzl8cA/edit?usp=sharing"",""ลำพูน!J564"")"),27)</f>
        <v>27</v>
      </c>
      <c r="Y27" s="261">
        <f ca="1">IFERROR(__xludf.DUMMYFUNCTION("IMPORTRANGE(""https://docs.google.com/spreadsheets/d/1-uUXvimVhiU2U0bMN-xi2te0tS4X7DI2GLPnMjzl8cA/edit?usp=sharing"",""ลำพูน!J565"")"),5)</f>
        <v>5</v>
      </c>
      <c r="Z27" s="186">
        <f ca="1">IFERROR(__xludf.DUMMYFUNCTION("IMPORTRANGE(""https://docs.google.com/spreadsheets/d/1-uUXvimVhiU2U0bMN-xi2te0tS4X7DI2GLPnMjzl8cA/edit?usp=sharing"",""ลำพูน!J566"")"),109)</f>
        <v>109</v>
      </c>
      <c r="AA27" s="261">
        <f ca="1">IFERROR(__xludf.DUMMYFUNCTION("IMPORTRANGE(""https://docs.google.com/spreadsheets/d/1-uUXvimVhiU2U0bMN-xi2te0tS4X7DI2GLPnMjzl8cA/edit?usp=sharing"",""ลำพูน!J567"")"),12)</f>
        <v>12</v>
      </c>
      <c r="AB27" s="181">
        <f ca="1">IFERROR(__xludf.DUMMYFUNCTION("IMPORTRANGE(""https://docs.google.com/spreadsheets/d/1-uUXvimVhiU2U0bMN-xi2te0tS4X7DI2GLPnMjzl8cA/edit?usp=sharing"",""ลำพูน!I568"")"),25487)</f>
        <v>25487</v>
      </c>
      <c r="AC27" s="181">
        <f ca="1">IFERROR(__xludf.DUMMYFUNCTION("IMPORTRANGE(""https://docs.google.com/spreadsheets/d/1-uUXvimVhiU2U0bMN-xi2te0tS4X7DI2GLPnMjzl8cA/edit?usp=sharing"",""ลำพูน!I569"")"),3299)</f>
        <v>3299</v>
      </c>
      <c r="AD27" s="186">
        <f ca="1">IFERROR(__xludf.DUMMYFUNCTION("IMPORTRANGE(""https://docs.google.com/spreadsheets/d/1-uUXvimVhiU2U0bMN-xi2te0tS4X7DI2GLPnMjzl8cA/edit?usp=sharing"",""ลำพูน!J568"")"),0)</f>
        <v>0</v>
      </c>
      <c r="AE27" s="186">
        <f t="shared" ca="1" si="34"/>
        <v>0</v>
      </c>
      <c r="AF27" s="181">
        <f ca="1">IFERROR(__xludf.DUMMYFUNCTION("IMPORTRANGE(""https://docs.google.com/spreadsheets/d/1-uUXvimVhiU2U0bMN-xi2te0tS4X7DI2GLPnMjzl8cA/edit?usp=sharing"",""ลำพูน!J569"")"),0)</f>
        <v>0</v>
      </c>
      <c r="AG27" s="186">
        <f t="shared" ca="1" si="10"/>
        <v>0</v>
      </c>
      <c r="AH27" s="186">
        <f ca="1">IFERROR(__xludf.DUMMYFUNCTION("IMPORTRANGE(""https://docs.google.com/spreadsheets/d/1-uUXvimVhiU2U0bMN-xi2te0tS4X7DI2GLPnMjzl8cA/edit?usp=sharing"",""ลำพูน!J570"")"),0)</f>
        <v>0</v>
      </c>
      <c r="AI27" s="261">
        <f ca="1">IFERROR(__xludf.DUMMYFUNCTION("IMPORTRANGE(""https://docs.google.com/spreadsheets/d/1-uUXvimVhiU2U0bMN-xi2te0tS4X7DI2GLPnMjzl8cA/edit?usp=sharing"",""ลำพูน!J571"")"),0)</f>
        <v>0</v>
      </c>
      <c r="AJ27" s="186">
        <f ca="1">IFERROR(__xludf.DUMMYFUNCTION("IMPORTRANGE(""https://docs.google.com/spreadsheets/d/1-uUXvimVhiU2U0bMN-xi2te0tS4X7DI2GLPnMjzl8cA/edit?usp=sharing"",""ลำพูน!J572"")"),0)</f>
        <v>0</v>
      </c>
      <c r="AK27" s="261">
        <f ca="1">IFERROR(__xludf.DUMMYFUNCTION("IMPORTRANGE(""https://docs.google.com/spreadsheets/d/1-uUXvimVhiU2U0bMN-xi2te0tS4X7DI2GLPnMjzl8cA/edit?usp=sharing"",""ลำพูน!J573"")"),0)</f>
        <v>0</v>
      </c>
      <c r="AL27" s="186">
        <f ca="1">IFERROR(__xludf.DUMMYFUNCTION("IMPORTRANGE(""https://docs.google.com/spreadsheets/d/1-uUXvimVhiU2U0bMN-xi2te0tS4X7DI2GLPnMjzl8cA/edit?usp=sharing"",""ลำพูน!J574"")"),0)</f>
        <v>0</v>
      </c>
      <c r="AM27" s="261">
        <f ca="1">IFERROR(__xludf.DUMMYFUNCTION("IMPORTRANGE(""https://docs.google.com/spreadsheets/d/1-uUXvimVhiU2U0bMN-xi2te0tS4X7DI2GLPnMjzl8cA/edit?usp=sharing"",""ลำพูน!J575"")"),0)</f>
        <v>0</v>
      </c>
      <c r="AN27" s="181">
        <f ca="1">IFERROR(__xludf.DUMMYFUNCTION("IMPORTRANGE(""https://docs.google.com/spreadsheets/d/1-uUXvimVhiU2U0bMN-xi2te0tS4X7DI2GLPnMjzl8cA/edit?usp=sharing"",""ลำพูน!I576"")"),25487)</f>
        <v>25487</v>
      </c>
      <c r="AO27" s="181">
        <f ca="1">IFERROR(__xludf.DUMMYFUNCTION("IMPORTRANGE(""https://docs.google.com/spreadsheets/d/1-uUXvimVhiU2U0bMN-xi2te0tS4X7DI2GLPnMjzl8cA/edit?usp=sharing"",""ลำพูน!I577"")"),3299)</f>
        <v>3299</v>
      </c>
      <c r="AP27" s="186">
        <f ca="1">IFERROR(__xludf.DUMMYFUNCTION("IMPORTRANGE(""https://docs.google.com/spreadsheets/d/1-uUXvimVhiU2U0bMN-xi2te0tS4X7DI2GLPnMjzl8cA/edit?usp=sharing"",""ลำพูน!J576"")"),0)</f>
        <v>0</v>
      </c>
      <c r="AQ27" s="186">
        <f t="shared" ca="1" si="35"/>
        <v>0</v>
      </c>
      <c r="AR27" s="181">
        <f ca="1">IFERROR(__xludf.DUMMYFUNCTION("IMPORTRANGE(""https://docs.google.com/spreadsheets/d/1-uUXvimVhiU2U0bMN-xi2te0tS4X7DI2GLPnMjzl8cA/edit?usp=sharing"",""ลำพูน!J577"")"),0)</f>
        <v>0</v>
      </c>
      <c r="AS27" s="186">
        <f t="shared" ca="1" si="13"/>
        <v>0</v>
      </c>
      <c r="AT27" s="186">
        <f ca="1">IFERROR(__xludf.DUMMYFUNCTION("IMPORTRANGE(""https://docs.google.com/spreadsheets/d/1-uUXvimVhiU2U0bMN-xi2te0tS4X7DI2GLPnMjzl8cA/edit?usp=sharing"",""ลำพูน!J578"")"),0)</f>
        <v>0</v>
      </c>
      <c r="AU27" s="261">
        <f ca="1">IFERROR(__xludf.DUMMYFUNCTION("IMPORTRANGE(""https://docs.google.com/spreadsheets/d/1-uUXvimVhiU2U0bMN-xi2te0tS4X7DI2GLPnMjzl8cA/edit?usp=sharing"",""ลำพูน!J579"")"),0)</f>
        <v>0</v>
      </c>
      <c r="AV27" s="186">
        <f ca="1">IFERROR(__xludf.DUMMYFUNCTION("IMPORTRANGE(""https://docs.google.com/spreadsheets/d/1-uUXvimVhiU2U0bMN-xi2te0tS4X7DI2GLPnMjzl8cA/edit?usp=sharing"",""ลำพูน!J580"")"),0)</f>
        <v>0</v>
      </c>
      <c r="AW27" s="261">
        <f ca="1">IFERROR(__xludf.DUMMYFUNCTION("IMPORTRANGE(""https://docs.google.com/spreadsheets/d/1-uUXvimVhiU2U0bMN-xi2te0tS4X7DI2GLPnMjzl8cA/edit?usp=sharing"",""ลำพูน!J581"")"),0)</f>
        <v>0</v>
      </c>
      <c r="AX27" s="186">
        <f ca="1">IFERROR(__xludf.DUMMYFUNCTION("IMPORTRANGE(""https://docs.google.com/spreadsheets/d/1-uUXvimVhiU2U0bMN-xi2te0tS4X7DI2GLPnMjzl8cA/edit?usp=sharing"",""ลำพูน!J582"")"),0)</f>
        <v>0</v>
      </c>
      <c r="AY27" s="261">
        <f ca="1">IFERROR(__xludf.DUMMYFUNCTION("IMPORTRANGE(""https://docs.google.com/spreadsheets/d/1-uUXvimVhiU2U0bMN-xi2te0tS4X7DI2GLPnMjzl8cA/edit?usp=sharing"",""ลำพูน!J583"")"),0)</f>
        <v>0</v>
      </c>
      <c r="AZ27" s="262">
        <f ca="1">IFERROR(__xludf.DUMMYFUNCTION("IMPORTRANGE(""https://docs.google.com/spreadsheets/d/1-uUXvimVhiU2U0bMN-xi2te0tS4X7DI2GLPnMjzl8cA/edit?usp=sharing"",""ลำพูน!J584"")"),0)</f>
        <v>0</v>
      </c>
      <c r="BA27" s="261">
        <f ca="1">IFERROR(__xludf.DUMMYFUNCTION("IMPORTRANGE(""https://docs.google.com/spreadsheets/d/1-uUXvimVhiU2U0bMN-xi2te0tS4X7DI2GLPnMjzl8cA/edit?usp=sharing"",""ลำพูน!J585"")"),0)</f>
        <v>0</v>
      </c>
      <c r="BB27" s="262">
        <f ca="1">IFERROR(__xludf.DUMMYFUNCTION("IMPORTRANGE(""https://docs.google.com/spreadsheets/d/1-uUXvimVhiU2U0bMN-xi2te0tS4X7DI2GLPnMjzl8cA/edit?usp=sharing"",""ลำพูน!J586"")"),0)</f>
        <v>0</v>
      </c>
      <c r="BC27" s="261">
        <f ca="1">IFERROR(__xludf.DUMMYFUNCTION("IMPORTRANGE(""https://docs.google.com/spreadsheets/d/1-uUXvimVhiU2U0bMN-xi2te0tS4X7DI2GLPnMjzl8cA/edit?usp=sharing"",""ลำพูน!J587"")"),0)</f>
        <v>0</v>
      </c>
      <c r="BD27" s="186">
        <f ca="1">IFERROR(__xludf.DUMMYFUNCTION("IMPORTRANGE(""https://docs.google.com/spreadsheets/d/1-uUXvimVhiU2U0bMN-xi2te0tS4X7DI2GLPnMjzl8cA/edit?usp=sharing"",""ลำพูน!J588"")"),0)</f>
        <v>0</v>
      </c>
      <c r="BE27" s="261">
        <f ca="1">IFERROR(__xludf.DUMMYFUNCTION("IMPORTRANGE(""https://docs.google.com/spreadsheets/d/1-uUXvimVhiU2U0bMN-xi2te0tS4X7DI2GLPnMjzl8cA/edit?usp=sharing"",""ลำพูน!J589"")"),0)</f>
        <v>0</v>
      </c>
      <c r="BF27" s="186">
        <f ca="1">IFERROR(__xludf.DUMMYFUNCTION("IMPORTRANGE(""https://docs.google.com/spreadsheets/d/1-uUXvimVhiU2U0bMN-xi2te0tS4X7DI2GLPnMjzl8cA/edit?usp=sharing"",""ลำพูน!J590"")"),0)</f>
        <v>0</v>
      </c>
      <c r="BG27" s="261">
        <f ca="1">IFERROR(__xludf.DUMMYFUNCTION("IMPORTRANGE(""https://docs.google.com/spreadsheets/d/1-uUXvimVhiU2U0bMN-xi2te0tS4X7DI2GLPnMjzl8cA/edit?usp=sharing"",""ลำพูน!J591"")"),0)</f>
        <v>0</v>
      </c>
      <c r="BH27" s="181">
        <f ca="1">IFERROR(__xludf.DUMMYFUNCTION("IMPORTRANGE(""https://docs.google.com/spreadsheets/d/1-uUXvimVhiU2U0bMN-xi2te0tS4X7DI2GLPnMjzl8cA/edit?usp=sharing"",""ลำพูน!I593"")"),3071.82)</f>
        <v>3071.82</v>
      </c>
      <c r="BI27" s="181">
        <f ca="1">IFERROR(__xludf.DUMMYFUNCTION("IMPORTRANGE(""https://docs.google.com/spreadsheets/d/1-uUXvimVhiU2U0bMN-xi2te0tS4X7DI2GLPnMjzl8cA/edit?usp=sharing"",""ลำพูน!I594"")"),413)</f>
        <v>413</v>
      </c>
      <c r="BJ27" s="186">
        <f ca="1">IFERROR(__xludf.DUMMYFUNCTION("IMPORTRANGE(""https://docs.google.com/spreadsheets/d/1-uUXvimVhiU2U0bMN-xi2te0tS4X7DI2GLPnMjzl8cA/edit?usp=sharing"",""ลำพูน!J593"")"),0)</f>
        <v>0</v>
      </c>
      <c r="BK27" s="186">
        <f t="shared" ca="1" si="36"/>
        <v>0</v>
      </c>
      <c r="BL27" s="181">
        <f ca="1">IFERROR(__xludf.DUMMYFUNCTION("IMPORTRANGE(""https://docs.google.com/spreadsheets/d/1-uUXvimVhiU2U0bMN-xi2te0tS4X7DI2GLPnMjzl8cA/edit?usp=sharing"",""ลำพูน!J594"")"),0)</f>
        <v>0</v>
      </c>
      <c r="BM27" s="186">
        <f t="shared" ca="1" si="16"/>
        <v>0</v>
      </c>
      <c r="BN27" s="186">
        <f ca="1">IFERROR(__xludf.DUMMYFUNCTION("IMPORTRANGE(""https://docs.google.com/spreadsheets/d/1-uUXvimVhiU2U0bMN-xi2te0tS4X7DI2GLPnMjzl8cA/edit?usp=sharing"",""ลำพูน!J595"")"),0)</f>
        <v>0</v>
      </c>
      <c r="BO27" s="261">
        <f ca="1">IFERROR(__xludf.DUMMYFUNCTION("IMPORTRANGE(""https://docs.google.com/spreadsheets/d/1-uUXvimVhiU2U0bMN-xi2te0tS4X7DI2GLPnMjzl8cA/edit?usp=sharing"",""ลำพูน!J596"")"),0)</f>
        <v>0</v>
      </c>
      <c r="BP27" s="186">
        <f ca="1">IFERROR(__xludf.DUMMYFUNCTION("IMPORTRANGE(""https://docs.google.com/spreadsheets/d/1-uUXvimVhiU2U0bMN-xi2te0tS4X7DI2GLPnMjzl8cA/edit?usp=sharing"",""ลำพูน!J597"")"),0)</f>
        <v>0</v>
      </c>
      <c r="BQ27" s="261">
        <f ca="1">IFERROR(__xludf.DUMMYFUNCTION("IMPORTRANGE(""https://docs.google.com/spreadsheets/d/1-uUXvimVhiU2U0bMN-xi2te0tS4X7DI2GLPnMjzl8cA/edit?usp=sharing"",""ลำพูน!J598"")"),0)</f>
        <v>0</v>
      </c>
      <c r="BR27" s="186">
        <f ca="1">IFERROR(__xludf.DUMMYFUNCTION("IMPORTRANGE(""https://docs.google.com/spreadsheets/d/1-uUXvimVhiU2U0bMN-xi2te0tS4X7DI2GLPnMjzl8cA/edit?usp=sharing"",""ลำพูน!J599"")"),0)</f>
        <v>0</v>
      </c>
      <c r="BS27" s="261">
        <f ca="1">IFERROR(__xludf.DUMMYFUNCTION("IMPORTRANGE(""https://docs.google.com/spreadsheets/d/1-uUXvimVhiU2U0bMN-xi2te0tS4X7DI2GLPnMjzl8cA/edit?usp=sharing"",""ลำพูน!J600"")"),0)</f>
        <v>0</v>
      </c>
      <c r="BT27" s="262">
        <f ca="1">IFERROR(__xludf.DUMMYFUNCTION("IMPORTRANGE(""https://docs.google.com/spreadsheets/d/1-uUXvimVhiU2U0bMN-xi2te0tS4X7DI2GLPnMjzl8cA/edit?usp=sharing"",""ลำพูน!J601"")"),0)</f>
        <v>0</v>
      </c>
      <c r="BU27" s="261">
        <f ca="1">IFERROR(__xludf.DUMMYFUNCTION("IMPORTRANGE(""https://docs.google.com/spreadsheets/d/1-uUXvimVhiU2U0bMN-xi2te0tS4X7DI2GLPnMjzl8cA/edit?usp=sharing"",""ลำพูน!J602"")"),0)</f>
        <v>0</v>
      </c>
      <c r="BV27" s="186">
        <f ca="1">IFERROR(__xludf.DUMMYFUNCTION("IMPORTRANGE(""https://docs.google.com/spreadsheets/d/1-uUXvimVhiU2U0bMN-xi2te0tS4X7DI2GLPnMjzl8cA/edit?usp=sharing"",""ลำพูน!J603"")"),0)</f>
        <v>0</v>
      </c>
      <c r="BW27" s="261">
        <f ca="1">IFERROR(__xludf.DUMMYFUNCTION("IMPORTRANGE(""https://docs.google.com/spreadsheets/d/1-uUXvimVhiU2U0bMN-xi2te0tS4X7DI2GLPnMjzl8cA/edit?usp=sharing"",""ลำพูน!J604"")"),0)</f>
        <v>0</v>
      </c>
      <c r="BX27" s="186">
        <f ca="1">IFERROR(__xludf.DUMMYFUNCTION("IMPORTRANGE(""https://docs.google.com/spreadsheets/d/1-uUXvimVhiU2U0bMN-xi2te0tS4X7DI2GLPnMjzl8cA/edit?usp=sharing"",""ลำพูน!J605"")"),0)</f>
        <v>0</v>
      </c>
      <c r="BY27" s="261">
        <f ca="1">IFERROR(__xludf.DUMMYFUNCTION("IMPORTRANGE(""https://docs.google.com/spreadsheets/d/1-uUXvimVhiU2U0bMN-xi2te0tS4X7DI2GLPnMjzl8cA/edit?usp=sharing"",""ลำพูน!J606"")"),0)</f>
        <v>0</v>
      </c>
      <c r="BZ27" s="186">
        <f ca="1">IFERROR(__xludf.DUMMYFUNCTION("IMPORTRANGE(""https://docs.google.com/spreadsheets/d/1-uUXvimVhiU2U0bMN-xi2te0tS4X7DI2GLPnMjzl8cA/edit?usp=sharing"",""ลำพูน!J607"")"),0)</f>
        <v>0</v>
      </c>
      <c r="CA27" s="261">
        <f ca="1">IFERROR(__xludf.DUMMYFUNCTION("IMPORTRANGE(""https://docs.google.com/spreadsheets/d/1-uUXvimVhiU2U0bMN-xi2te0tS4X7DI2GLPnMjzl8cA/edit?usp=sharing"",""ลำพูน!J608"")"),0)</f>
        <v>0</v>
      </c>
      <c r="CB27" s="186">
        <f ca="1">IFERROR(__xludf.DUMMYFUNCTION("IMPORTRANGE(""https://docs.google.com/spreadsheets/d/1-uUXvimVhiU2U0bMN-xi2te0tS4X7DI2GLPnMjzl8cA/edit?usp=sharing"",""ลำพูน!J609"")"),0)</f>
        <v>0</v>
      </c>
      <c r="CC27" s="261">
        <f ca="1">IFERROR(__xludf.DUMMYFUNCTION("IMPORTRANGE(""https://docs.google.com/spreadsheets/d/1-uUXvimVhiU2U0bMN-xi2te0tS4X7DI2GLPnMjzl8cA/edit?usp=sharing"",""ลำพูน!J610"")"),0)</f>
        <v>0</v>
      </c>
      <c r="CD27" s="261">
        <f ca="1">IFERROR(__xludf.DUMMYFUNCTION("IMPORTRANGE(""https://docs.google.com/spreadsheets/d/1-uUXvimVhiU2U0bMN-xi2te0tS4X7DI2GLPnMjzl8cA/edit?usp=sharing"",""ลำพูน!I612"")"),0)</f>
        <v>0</v>
      </c>
      <c r="CE27" s="261">
        <f ca="1">IFERROR(__xludf.DUMMYFUNCTION("IMPORTRANGE(""https://docs.google.com/spreadsheets/d/1-uUXvimVhiU2U0bMN-xi2te0tS4X7DI2GLPnMjzl8cA/edit?usp=sharing"",""ลำพูน!I594"")"),413)</f>
        <v>413</v>
      </c>
      <c r="CF27" s="262">
        <f ca="1">IFERROR(__xludf.DUMMYFUNCTION("IMPORTRANGE(""https://docs.google.com/spreadsheets/d/1-uUXvimVhiU2U0bMN-xi2te0tS4X7DI2GLPnMjzl8cA/edit?usp=sharing"",""ลำพูน!J612"")"),0)</f>
        <v>0</v>
      </c>
      <c r="CG27" s="262">
        <f t="shared" ca="1" si="37"/>
        <v>0</v>
      </c>
      <c r="CH27" s="261">
        <f ca="1">IFERROR(__xludf.DUMMYFUNCTION("IMPORTRANGE(""https://docs.google.com/spreadsheets/d/1-uUXvimVhiU2U0bMN-xi2te0tS4X7DI2GLPnMjzl8cA/edit?usp=sharing"",""ลำพูน!J613"")"),0)</f>
        <v>0</v>
      </c>
      <c r="CI27" s="262">
        <f t="shared" ca="1" si="19"/>
        <v>0</v>
      </c>
      <c r="CJ27" s="186">
        <f ca="1">IFERROR(__xludf.DUMMYFUNCTION("IMPORTRANGE(""https://docs.google.com/spreadsheets/d/1-uUXvimVhiU2U0bMN-xi2te0tS4X7DI2GLPnMjzl8cA/edit?usp=sharing"",""ลำพูน!J614"")"),0)</f>
        <v>0</v>
      </c>
      <c r="CK27" s="261">
        <f ca="1">IFERROR(__xludf.DUMMYFUNCTION("IMPORTRANGE(""https://docs.google.com/spreadsheets/d/1-uUXvimVhiU2U0bMN-xi2te0tS4X7DI2GLPnMjzl8cA/edit?usp=sharing"",""ลำพูน!J615"")"),0)</f>
        <v>0</v>
      </c>
      <c r="CL27" s="186">
        <f ca="1">IFERROR(__xludf.DUMMYFUNCTION("IMPORTRANGE(""https://docs.google.com/spreadsheets/d/1-uUXvimVhiU2U0bMN-xi2te0tS4X7DI2GLPnMjzl8cA/edit?usp=sharing"",""ลำพูน!J616"")"),0)</f>
        <v>0</v>
      </c>
      <c r="CM27" s="261">
        <f ca="1">IFERROR(__xludf.DUMMYFUNCTION("IMPORTRANGE(""https://docs.google.com/spreadsheets/d/1-uUXvimVhiU2U0bMN-xi2te0tS4X7DI2GLPnMjzl8cA/edit?usp=sharing"",""ลำพูน!J617"")"),0)</f>
        <v>0</v>
      </c>
      <c r="CN27" s="261">
        <f ca="1">IFERROR(__xludf.DUMMYFUNCTION("IMPORTRANGE(""https://docs.google.com/spreadsheets/d/1-uUXvimVhiU2U0bMN-xi2te0tS4X7DI2GLPnMjzl8cA/edit?usp=sharing"",""ลำพูน!I620"")"),98)</f>
        <v>98</v>
      </c>
      <c r="CO27" s="261">
        <f ca="1">IFERROR(__xludf.DUMMYFUNCTION("IMPORTRANGE(""https://docs.google.com/spreadsheets/d/1-uUXvimVhiU2U0bMN-xi2te0tS4X7DI2GLPnMjzl8cA/edit?usp=sharing"",""ลำพูน!I621"")"),6)</f>
        <v>6</v>
      </c>
      <c r="CP27" s="262">
        <f ca="1">IFERROR(__xludf.DUMMYFUNCTION("IMPORTRANGE(""https://docs.google.com/spreadsheets/d/1-uUXvimVhiU2U0bMN-xi2te0tS4X7DI2GLPnMjzl8cA/edit?usp=sharing"",""ลำพูน!J620"")"),0)</f>
        <v>0</v>
      </c>
      <c r="CQ27" s="262">
        <f t="shared" ca="1" si="38"/>
        <v>0</v>
      </c>
      <c r="CR27" s="261">
        <f ca="1">IFERROR(__xludf.DUMMYFUNCTION("IMPORTRANGE(""https://docs.google.com/spreadsheets/d/1-uUXvimVhiU2U0bMN-xi2te0tS4X7DI2GLPnMjzl8cA/edit?usp=sharing"",""ลำพูน!J621"")"),0)</f>
        <v>0</v>
      </c>
      <c r="CS27" s="262">
        <f t="shared" ca="1" si="22"/>
        <v>0</v>
      </c>
      <c r="CT27" s="186">
        <f ca="1">IFERROR(__xludf.DUMMYFUNCTION("IMPORTRANGE(""https://docs.google.com/spreadsheets/d/1-uUXvimVhiU2U0bMN-xi2te0tS4X7DI2GLPnMjzl8cA/edit?usp=sharing"",""ลำพูน!J622"")"),0)</f>
        <v>0</v>
      </c>
      <c r="CU27" s="261">
        <f ca="1">IFERROR(__xludf.DUMMYFUNCTION("IMPORTRANGE(""https://docs.google.com/spreadsheets/d/1-uUXvimVhiU2U0bMN-xi2te0tS4X7DI2GLPnMjzl8cA/edit?usp=sharing"",""ลำพูน!J623"")"),0)</f>
        <v>0</v>
      </c>
      <c r="CV27" s="186">
        <f ca="1">IFERROR(__xludf.DUMMYFUNCTION("IMPORTRANGE(""https://docs.google.com/spreadsheets/d/1-uUXvimVhiU2U0bMN-xi2te0tS4X7DI2GLPnMjzl8cA/edit?usp=sharing"",""ลำพูน!J624"")"),0)</f>
        <v>0</v>
      </c>
      <c r="CW27" s="261">
        <f ca="1">IFERROR(__xludf.DUMMYFUNCTION("IMPORTRANGE(""https://docs.google.com/spreadsheets/d/1-uUXvimVhiU2U0bMN-xi2te0tS4X7DI2GLPnMjzl8cA/edit?usp=sharing"",""ลำพูน!J625"")"),0)</f>
        <v>0</v>
      </c>
      <c r="CX27" s="186">
        <f ca="1">IFERROR(__xludf.DUMMYFUNCTION("IMPORTRANGE(""https://docs.google.com/spreadsheets/d/1-uUXvimVhiU2U0bMN-xi2te0tS4X7DI2GLPnMjzl8cA/edit?usp=sharing"",""ลำพูน!J626"")"),0)</f>
        <v>0</v>
      </c>
      <c r="CY27" s="261">
        <f ca="1">IFERROR(__xludf.DUMMYFUNCTION("IMPORTRANGE(""https://docs.google.com/spreadsheets/d/1-uUXvimVhiU2U0bMN-xi2te0tS4X7DI2GLPnMjzl8cA/edit?usp=sharing"",""ลำพูน!J627"")"),0)</f>
        <v>0</v>
      </c>
    </row>
    <row r="28" spans="1:103" ht="24" customHeight="1" x14ac:dyDescent="0.3">
      <c r="A28" s="178">
        <v>15</v>
      </c>
      <c r="B28" s="179" t="s">
        <v>45</v>
      </c>
      <c r="C28" s="180">
        <f t="shared" ca="1" si="49"/>
        <v>478301</v>
      </c>
      <c r="D28" s="181">
        <f ca="1">IFERROR(__xludf.DUMMYFUNCTION("IMPORTRANGE(""https://docs.google.com/spreadsheets/d/17HrOaa5pBUI1onckFfumXB8xlg35qb2uBAFfF1D-Myo/edit?usp=sharing"",""สุโขทัย!L549"")"),478301)</f>
        <v>478301</v>
      </c>
      <c r="E28" s="187">
        <f ca="1">IFERROR(__xludf.DUMMYFUNCTION("IMPORTRANGE(""https://docs.google.com/spreadsheets/d/17HrOaa5pBUI1onckFfumXB8xlg35qb2uBAFfF1D-Myo/edit?usp=sharing"",""สุโขทัย!L557"")"),0)</f>
        <v>0</v>
      </c>
      <c r="F28" s="182">
        <f t="shared" ca="1" si="1"/>
        <v>37869.54</v>
      </c>
      <c r="G28" s="183">
        <f t="shared" ca="1" si="2"/>
        <v>7.9175121942040683</v>
      </c>
      <c r="H28" s="184">
        <f t="shared" ca="1" si="50"/>
        <v>37869.54</v>
      </c>
      <c r="I28" s="187">
        <f ca="1">IFERROR(__xludf.DUMMYFUNCTION("IMPORTRANGE(""https://docs.google.com/spreadsheets/d/17HrOaa5pBUI1onckFfumXB8xlg35qb2uBAFfF1D-Myo/edit?usp=sharing"",""สุโขทัย!N550"")"),0)</f>
        <v>0</v>
      </c>
      <c r="J28" s="187">
        <f ca="1">IFERROR(__xludf.DUMMYFUNCTION("IMPORTRANGE(""https://docs.google.com/spreadsheets/d/17HrOaa5pBUI1onckFfumXB8xlg35qb2uBAFfF1D-Myo/edit?usp=sharing"",""สุโขทัย!N551"")"),0)</f>
        <v>0</v>
      </c>
      <c r="K28" s="187">
        <f ca="1">IFERROR(__xludf.DUMMYFUNCTION("IMPORTRANGE(""https://docs.google.com/spreadsheets/d/17HrOaa5pBUI1onckFfumXB8xlg35qb2uBAFfF1D-Myo/edit?usp=sharing"",""สุโขทัย!N552"")"),26000)</f>
        <v>26000</v>
      </c>
      <c r="L28" s="187">
        <f ca="1">IFERROR(__xludf.DUMMYFUNCTION("IMPORTRANGE(""https://docs.google.com/spreadsheets/d/17HrOaa5pBUI1onckFfumXB8xlg35qb2uBAFfF1D-Myo/edit?usp=sharing"",""สุโขทัย!N553"")"),11869.54)</f>
        <v>11869.54</v>
      </c>
      <c r="M28" s="187">
        <f ca="1">IFERROR(__xludf.DUMMYFUNCTION("IMPORTRANGE(""https://docs.google.com/spreadsheets/d/17HrOaa5pBUI1onckFfumXB8xlg35qb2uBAFfF1D-Myo/edit?usp=sharing"",""สุโขทัย!N554"")"),0)</f>
        <v>0</v>
      </c>
      <c r="N28" s="185">
        <f ca="1">IFERROR(__xludf.DUMMYFUNCTION("IMPORTRANGE(""https://docs.google.com/spreadsheets/d/17HrOaa5pBUI1onckFfumXB8xlg35qb2uBAFfF1D-Myo/edit?usp=sharing"",""สุโขทัย!N557"")"),0)</f>
        <v>0</v>
      </c>
      <c r="O28" s="185">
        <f t="shared" ca="1" si="41"/>
        <v>0</v>
      </c>
      <c r="P28" s="181">
        <f ca="1">IFERROR(__xludf.DUMMYFUNCTION("IMPORTRANGE(""https://docs.google.com/spreadsheets/d/17HrOaa5pBUI1onckFfumXB8xlg35qb2uBAFfF1D-Myo/edit?usp=sharing"",""สุโขทัย!I560"")"),45451)</f>
        <v>45451</v>
      </c>
      <c r="Q28" s="181">
        <f ca="1">IFERROR(__xludf.DUMMYFUNCTION("IMPORTRANGE(""https://docs.google.com/spreadsheets/d/17HrOaa5pBUI1onckFfumXB8xlg35qb2uBAFfF1D-Myo/edit?usp=sharing"",""สุโขทัย!I561"")"),5250)</f>
        <v>5250</v>
      </c>
      <c r="R28" s="186">
        <f ca="1">IFERROR(__xludf.DUMMYFUNCTION("IMPORTRANGE(""https://docs.google.com/spreadsheets/d/17HrOaa5pBUI1onckFfumXB8xlg35qb2uBAFfF1D-Myo/edit?usp=sharing"",""สุโขทัย!J560"")"),5460)</f>
        <v>5460</v>
      </c>
      <c r="S28" s="186">
        <f t="shared" ca="1" si="33"/>
        <v>12.012937009086709</v>
      </c>
      <c r="T28" s="181">
        <f ca="1">IFERROR(__xludf.DUMMYFUNCTION("IMPORTRANGE(""https://docs.google.com/spreadsheets/d/17HrOaa5pBUI1onckFfumXB8xlg35qb2uBAFfF1D-Myo/edit?usp=sharing"",""สุโขทัย!J561"")"),532)</f>
        <v>532</v>
      </c>
      <c r="U28" s="186">
        <f t="shared" ca="1" si="7"/>
        <v>10.133333333333333</v>
      </c>
      <c r="V28" s="186">
        <f ca="1">IFERROR(__xludf.DUMMYFUNCTION("IMPORTRANGE(""https://docs.google.com/spreadsheets/d/17HrOaa5pBUI1onckFfumXB8xlg35qb2uBAFfF1D-Myo/edit?usp=sharing"",""สุโขทัย!J562"")"),3427)</f>
        <v>3427</v>
      </c>
      <c r="W28" s="261">
        <f ca="1">IFERROR(__xludf.DUMMYFUNCTION("IMPORTRANGE(""https://docs.google.com/spreadsheets/d/17HrOaa5pBUI1onckFfumXB8xlg35qb2uBAFfF1D-Myo/edit?usp=sharing"",""สุโขทัย!J563"")"),363)</f>
        <v>363</v>
      </c>
      <c r="X28" s="186">
        <f ca="1">IFERROR(__xludf.DUMMYFUNCTION("IMPORTRANGE(""https://docs.google.com/spreadsheets/d/17HrOaa5pBUI1onckFfumXB8xlg35qb2uBAFfF1D-Myo/edit?usp=sharing"",""สุโขทัย!J564"")"),1887)</f>
        <v>1887</v>
      </c>
      <c r="Y28" s="261">
        <f ca="1">IFERROR(__xludf.DUMMYFUNCTION("IMPORTRANGE(""https://docs.google.com/spreadsheets/d/17HrOaa5pBUI1onckFfumXB8xlg35qb2uBAFfF1D-Myo/edit?usp=sharing"",""สุโขทัย!J565"")"),156)</f>
        <v>156</v>
      </c>
      <c r="Z28" s="186">
        <f ca="1">IFERROR(__xludf.DUMMYFUNCTION("IMPORTRANGE(""https://docs.google.com/spreadsheets/d/17HrOaa5pBUI1onckFfumXB8xlg35qb2uBAFfF1D-Myo/edit?usp=sharing"",""สุโขทัย!J566"")"),146)</f>
        <v>146</v>
      </c>
      <c r="AA28" s="261">
        <f ca="1">IFERROR(__xludf.DUMMYFUNCTION("IMPORTRANGE(""https://docs.google.com/spreadsheets/d/17HrOaa5pBUI1onckFfumXB8xlg35qb2uBAFfF1D-Myo/edit?usp=sharing"",""สุโขทัย!J567"")"),13)</f>
        <v>13</v>
      </c>
      <c r="AB28" s="181">
        <f ca="1">IFERROR(__xludf.DUMMYFUNCTION("IMPORTRANGE(""https://docs.google.com/spreadsheets/d/17HrOaa5pBUI1onckFfumXB8xlg35qb2uBAFfF1D-Myo/edit?usp=sharing"",""สุโขทัย!I568"")"),45451)</f>
        <v>45451</v>
      </c>
      <c r="AC28" s="181">
        <f ca="1">IFERROR(__xludf.DUMMYFUNCTION("IMPORTRANGE(""https://docs.google.com/spreadsheets/d/17HrOaa5pBUI1onckFfumXB8xlg35qb2uBAFfF1D-Myo/edit?usp=sharing"",""สุโขทัย!I569"")"),5250)</f>
        <v>5250</v>
      </c>
      <c r="AD28" s="186">
        <f ca="1">IFERROR(__xludf.DUMMYFUNCTION("IMPORTRANGE(""https://docs.google.com/spreadsheets/d/17HrOaa5pBUI1onckFfumXB8xlg35qb2uBAFfF1D-Myo/edit?usp=sharing"",""สุโขทัย!J568"")"),0)</f>
        <v>0</v>
      </c>
      <c r="AE28" s="186">
        <f t="shared" ca="1" si="34"/>
        <v>0</v>
      </c>
      <c r="AF28" s="181">
        <f ca="1">IFERROR(__xludf.DUMMYFUNCTION("IMPORTRANGE(""https://docs.google.com/spreadsheets/d/17HrOaa5pBUI1onckFfumXB8xlg35qb2uBAFfF1D-Myo/edit?usp=sharing"",""สุโขทัย!J569"")"),0)</f>
        <v>0</v>
      </c>
      <c r="AG28" s="186">
        <f t="shared" ca="1" si="10"/>
        <v>0</v>
      </c>
      <c r="AH28" s="186">
        <f ca="1">IFERROR(__xludf.DUMMYFUNCTION("IMPORTRANGE(""https://docs.google.com/spreadsheets/d/17HrOaa5pBUI1onckFfumXB8xlg35qb2uBAFfF1D-Myo/edit?usp=sharing"",""สุโขทัย!J570"")"),0)</f>
        <v>0</v>
      </c>
      <c r="AI28" s="261">
        <f ca="1">IFERROR(__xludf.DUMMYFUNCTION("IMPORTRANGE(""https://docs.google.com/spreadsheets/d/17HrOaa5pBUI1onckFfumXB8xlg35qb2uBAFfF1D-Myo/edit?usp=sharing"",""สุโขทัย!J571"")"),0)</f>
        <v>0</v>
      </c>
      <c r="AJ28" s="186">
        <f ca="1">IFERROR(__xludf.DUMMYFUNCTION("IMPORTRANGE(""https://docs.google.com/spreadsheets/d/17HrOaa5pBUI1onckFfumXB8xlg35qb2uBAFfF1D-Myo/edit?usp=sharing"",""สุโขทัย!J572"")"),0)</f>
        <v>0</v>
      </c>
      <c r="AK28" s="261">
        <f ca="1">IFERROR(__xludf.DUMMYFUNCTION("IMPORTRANGE(""https://docs.google.com/spreadsheets/d/17HrOaa5pBUI1onckFfumXB8xlg35qb2uBAFfF1D-Myo/edit?usp=sharing"",""สุโขทัย!J573"")"),0)</f>
        <v>0</v>
      </c>
      <c r="AL28" s="186">
        <f ca="1">IFERROR(__xludf.DUMMYFUNCTION("IMPORTRANGE(""https://docs.google.com/spreadsheets/d/17HrOaa5pBUI1onckFfumXB8xlg35qb2uBAFfF1D-Myo/edit?usp=sharing"",""สุโขทัย!J574"")"),0)</f>
        <v>0</v>
      </c>
      <c r="AM28" s="261">
        <f ca="1">IFERROR(__xludf.DUMMYFUNCTION("IMPORTRANGE(""https://docs.google.com/spreadsheets/d/17HrOaa5pBUI1onckFfumXB8xlg35qb2uBAFfF1D-Myo/edit?usp=sharing"",""สุโขทัย!J575"")"),0)</f>
        <v>0</v>
      </c>
      <c r="AN28" s="181">
        <f ca="1">IFERROR(__xludf.DUMMYFUNCTION("IMPORTRANGE(""https://docs.google.com/spreadsheets/d/17HrOaa5pBUI1onckFfumXB8xlg35qb2uBAFfF1D-Myo/edit?usp=sharing"",""สุโขทัย!I576"")"),45451)</f>
        <v>45451</v>
      </c>
      <c r="AO28" s="181">
        <f ca="1">IFERROR(__xludf.DUMMYFUNCTION("IMPORTRANGE(""https://docs.google.com/spreadsheets/d/17HrOaa5pBUI1onckFfumXB8xlg35qb2uBAFfF1D-Myo/edit?usp=sharing"",""สุโขทัย!I577"")"),5250)</f>
        <v>5250</v>
      </c>
      <c r="AP28" s="186">
        <f ca="1">IFERROR(__xludf.DUMMYFUNCTION("IMPORTRANGE(""https://docs.google.com/spreadsheets/d/17HrOaa5pBUI1onckFfumXB8xlg35qb2uBAFfF1D-Myo/edit?usp=sharing"",""สุโขทัย!J576"")"),0)</f>
        <v>0</v>
      </c>
      <c r="AQ28" s="186">
        <f t="shared" ca="1" si="35"/>
        <v>0</v>
      </c>
      <c r="AR28" s="181">
        <f ca="1">IFERROR(__xludf.DUMMYFUNCTION("IMPORTRANGE(""https://docs.google.com/spreadsheets/d/17HrOaa5pBUI1onckFfumXB8xlg35qb2uBAFfF1D-Myo/edit?usp=sharing"",""สุโขทัย!J577"")"),0)</f>
        <v>0</v>
      </c>
      <c r="AS28" s="186">
        <f t="shared" ca="1" si="13"/>
        <v>0</v>
      </c>
      <c r="AT28" s="186">
        <f ca="1">IFERROR(__xludf.DUMMYFUNCTION("IMPORTRANGE(""https://docs.google.com/spreadsheets/d/17HrOaa5pBUI1onckFfumXB8xlg35qb2uBAFfF1D-Myo/edit?usp=sharing"",""สุโขทัย!J578"")"),0)</f>
        <v>0</v>
      </c>
      <c r="AU28" s="261">
        <f ca="1">IFERROR(__xludf.DUMMYFUNCTION("IMPORTRANGE(""https://docs.google.com/spreadsheets/d/17HrOaa5pBUI1onckFfumXB8xlg35qb2uBAFfF1D-Myo/edit?usp=sharing"",""สุโขทัย!J579"")"),0)</f>
        <v>0</v>
      </c>
      <c r="AV28" s="186">
        <f ca="1">IFERROR(__xludf.DUMMYFUNCTION("IMPORTRANGE(""https://docs.google.com/spreadsheets/d/17HrOaa5pBUI1onckFfumXB8xlg35qb2uBAFfF1D-Myo/edit?usp=sharing"",""สุโขทัย!J580"")"),0)</f>
        <v>0</v>
      </c>
      <c r="AW28" s="261">
        <f ca="1">IFERROR(__xludf.DUMMYFUNCTION("IMPORTRANGE(""https://docs.google.com/spreadsheets/d/17HrOaa5pBUI1onckFfumXB8xlg35qb2uBAFfF1D-Myo/edit?usp=sharing"",""สุโขทัย!J581"")"),0)</f>
        <v>0</v>
      </c>
      <c r="AX28" s="186">
        <f ca="1">IFERROR(__xludf.DUMMYFUNCTION("IMPORTRANGE(""https://docs.google.com/spreadsheets/d/17HrOaa5pBUI1onckFfumXB8xlg35qb2uBAFfF1D-Myo/edit?usp=sharing"",""สุโขทัย!J582"")"),0)</f>
        <v>0</v>
      </c>
      <c r="AY28" s="261">
        <f ca="1">IFERROR(__xludf.DUMMYFUNCTION("IMPORTRANGE(""https://docs.google.com/spreadsheets/d/17HrOaa5pBUI1onckFfumXB8xlg35qb2uBAFfF1D-Myo/edit?usp=sharing"",""สุโขทัย!J583"")"),0)</f>
        <v>0</v>
      </c>
      <c r="AZ28" s="262">
        <f ca="1">IFERROR(__xludf.DUMMYFUNCTION("IMPORTRANGE(""https://docs.google.com/spreadsheets/d/17HrOaa5pBUI1onckFfumXB8xlg35qb2uBAFfF1D-Myo/edit?usp=sharing"",""สุโขทัย!J584"")"),0)</f>
        <v>0</v>
      </c>
      <c r="BA28" s="261">
        <f ca="1">IFERROR(__xludf.DUMMYFUNCTION("IMPORTRANGE(""https://docs.google.com/spreadsheets/d/17HrOaa5pBUI1onckFfumXB8xlg35qb2uBAFfF1D-Myo/edit?usp=sharing"",""สุโขทัย!J585"")"),0)</f>
        <v>0</v>
      </c>
      <c r="BB28" s="262">
        <f ca="1">IFERROR(__xludf.DUMMYFUNCTION("IMPORTRANGE(""https://docs.google.com/spreadsheets/d/17HrOaa5pBUI1onckFfumXB8xlg35qb2uBAFfF1D-Myo/edit?usp=sharing"",""สุโขทัย!J586"")"),0)</f>
        <v>0</v>
      </c>
      <c r="BC28" s="261">
        <f ca="1">IFERROR(__xludf.DUMMYFUNCTION("IMPORTRANGE(""https://docs.google.com/spreadsheets/d/17HrOaa5pBUI1onckFfumXB8xlg35qb2uBAFfF1D-Myo/edit?usp=sharing"",""สุโขทัย!J587"")"),0)</f>
        <v>0</v>
      </c>
      <c r="BD28" s="186">
        <f ca="1">IFERROR(__xludf.DUMMYFUNCTION("IMPORTRANGE(""https://docs.google.com/spreadsheets/d/17HrOaa5pBUI1onckFfumXB8xlg35qb2uBAFfF1D-Myo/edit?usp=sharing"",""สุโขทัย!J588"")"),0)</f>
        <v>0</v>
      </c>
      <c r="BE28" s="261">
        <f ca="1">IFERROR(__xludf.DUMMYFUNCTION("IMPORTRANGE(""https://docs.google.com/spreadsheets/d/17HrOaa5pBUI1onckFfumXB8xlg35qb2uBAFfF1D-Myo/edit?usp=sharing"",""สุโขทัย!J589"")"),0)</f>
        <v>0</v>
      </c>
      <c r="BF28" s="186">
        <f ca="1">IFERROR(__xludf.DUMMYFUNCTION("IMPORTRANGE(""https://docs.google.com/spreadsheets/d/17HrOaa5pBUI1onckFfumXB8xlg35qb2uBAFfF1D-Myo/edit?usp=sharing"",""สุโขทัย!J590"")"),0)</f>
        <v>0</v>
      </c>
      <c r="BG28" s="261">
        <f ca="1">IFERROR(__xludf.DUMMYFUNCTION("IMPORTRANGE(""https://docs.google.com/spreadsheets/d/17HrOaa5pBUI1onckFfumXB8xlg35qb2uBAFfF1D-Myo/edit?usp=sharing"",""สุโขทัย!J591"")"),0)</f>
        <v>0</v>
      </c>
      <c r="BH28" s="181">
        <f ca="1">IFERROR(__xludf.DUMMYFUNCTION("IMPORTRANGE(""https://docs.google.com/spreadsheets/d/17HrOaa5pBUI1onckFfumXB8xlg35qb2uBAFfF1D-Myo/edit?usp=sharing"",""สุโขทัย!I593"")"),4307.33)</f>
        <v>4307.33</v>
      </c>
      <c r="BI28" s="181">
        <f ca="1">IFERROR(__xludf.DUMMYFUNCTION("IMPORTRANGE(""https://docs.google.com/spreadsheets/d/17HrOaa5pBUI1onckFfumXB8xlg35qb2uBAFfF1D-Myo/edit?usp=sharing"",""สุโขทัย!I594"")"),452)</f>
        <v>452</v>
      </c>
      <c r="BJ28" s="186">
        <f ca="1">IFERROR(__xludf.DUMMYFUNCTION("IMPORTRANGE(""https://docs.google.com/spreadsheets/d/17HrOaa5pBUI1onckFfumXB8xlg35qb2uBAFfF1D-Myo/edit?usp=sharing"",""สุโขทัย!J593"")"),1726)</f>
        <v>1726</v>
      </c>
      <c r="BK28" s="186">
        <f t="shared" ca="1" si="36"/>
        <v>40.071227419306162</v>
      </c>
      <c r="BL28" s="181">
        <f ca="1">IFERROR(__xludf.DUMMYFUNCTION("IMPORTRANGE(""https://docs.google.com/spreadsheets/d/17HrOaa5pBUI1onckFfumXB8xlg35qb2uBAFfF1D-Myo/edit?usp=sharing"",""สุโขทัย!J594"")"),135)</f>
        <v>135</v>
      </c>
      <c r="BM28" s="186">
        <f t="shared" ca="1" si="16"/>
        <v>29.86725663716814</v>
      </c>
      <c r="BN28" s="186">
        <f ca="1">IFERROR(__xludf.DUMMYFUNCTION("IMPORTRANGE(""https://docs.google.com/spreadsheets/d/17HrOaa5pBUI1onckFfumXB8xlg35qb2uBAFfF1D-Myo/edit?usp=sharing"",""สุโขทัย!J595"")"),1627)</f>
        <v>1627</v>
      </c>
      <c r="BO28" s="261">
        <f ca="1">IFERROR(__xludf.DUMMYFUNCTION("IMPORTRANGE(""https://docs.google.com/spreadsheets/d/17HrOaa5pBUI1onckFfumXB8xlg35qb2uBAFfF1D-Myo/edit?usp=sharing"",""สุโขทัย!J596"")"),122)</f>
        <v>122</v>
      </c>
      <c r="BP28" s="186">
        <f ca="1">IFERROR(__xludf.DUMMYFUNCTION("IMPORTRANGE(""https://docs.google.com/spreadsheets/d/17HrOaa5pBUI1onckFfumXB8xlg35qb2uBAFfF1D-Myo/edit?usp=sharing"",""สุโขทัย!J597"")"),1627)</f>
        <v>1627</v>
      </c>
      <c r="BQ28" s="261">
        <f ca="1">IFERROR(__xludf.DUMMYFUNCTION("IMPORTRANGE(""https://docs.google.com/spreadsheets/d/17HrOaa5pBUI1onckFfumXB8xlg35qb2uBAFfF1D-Myo/edit?usp=sharing"",""สุโขทัย!J598"")"),122)</f>
        <v>122</v>
      </c>
      <c r="BR28" s="186">
        <f ca="1">IFERROR(__xludf.DUMMYFUNCTION("IMPORTRANGE(""https://docs.google.com/spreadsheets/d/17HrOaa5pBUI1onckFfumXB8xlg35qb2uBAFfF1D-Myo/edit?usp=sharing"",""สุโขทัย!J599"")"),0)</f>
        <v>0</v>
      </c>
      <c r="BS28" s="261">
        <f ca="1">IFERROR(__xludf.DUMMYFUNCTION("IMPORTRANGE(""https://docs.google.com/spreadsheets/d/17HrOaa5pBUI1onckFfumXB8xlg35qb2uBAFfF1D-Myo/edit?usp=sharing"",""สุโขทัย!J600"")"),0)</f>
        <v>0</v>
      </c>
      <c r="BT28" s="262">
        <f ca="1">IFERROR(__xludf.DUMMYFUNCTION("IMPORTRANGE(""https://docs.google.com/spreadsheets/d/17HrOaa5pBUI1onckFfumXB8xlg35qb2uBAFfF1D-Myo/edit?usp=sharing"",""สุโขทัย!J601"")"),0)</f>
        <v>0</v>
      </c>
      <c r="BU28" s="261">
        <f ca="1">IFERROR(__xludf.DUMMYFUNCTION("IMPORTRANGE(""https://docs.google.com/spreadsheets/d/17HrOaa5pBUI1onckFfumXB8xlg35qb2uBAFfF1D-Myo/edit?usp=sharing"",""สุโขทัย!J602"")"),0)</f>
        <v>0</v>
      </c>
      <c r="BV28" s="186">
        <f ca="1">IFERROR(__xludf.DUMMYFUNCTION("IMPORTRANGE(""https://docs.google.com/spreadsheets/d/17HrOaa5pBUI1onckFfumXB8xlg35qb2uBAFfF1D-Myo/edit?usp=sharing"",""สุโขทัย!J603"")"),99)</f>
        <v>99</v>
      </c>
      <c r="BW28" s="261">
        <f ca="1">IFERROR(__xludf.DUMMYFUNCTION("IMPORTRANGE(""https://docs.google.com/spreadsheets/d/17HrOaa5pBUI1onckFfumXB8xlg35qb2uBAFfF1D-Myo/edit?usp=sharing"",""สุโขทัย!J604"")"),13)</f>
        <v>13</v>
      </c>
      <c r="BX28" s="186">
        <f ca="1">IFERROR(__xludf.DUMMYFUNCTION("IMPORTRANGE(""https://docs.google.com/spreadsheets/d/17HrOaa5pBUI1onckFfumXB8xlg35qb2uBAFfF1D-Myo/edit?usp=sharing"",""สุโขทัย!J605"")"),99)</f>
        <v>99</v>
      </c>
      <c r="BY28" s="261">
        <f ca="1">IFERROR(__xludf.DUMMYFUNCTION("IMPORTRANGE(""https://docs.google.com/spreadsheets/d/17HrOaa5pBUI1onckFfumXB8xlg35qb2uBAFfF1D-Myo/edit?usp=sharing"",""สุโขทัย!J606"")"),13)</f>
        <v>13</v>
      </c>
      <c r="BZ28" s="186">
        <f ca="1">IFERROR(__xludf.DUMMYFUNCTION("IMPORTRANGE(""https://docs.google.com/spreadsheets/d/17HrOaa5pBUI1onckFfumXB8xlg35qb2uBAFfF1D-Myo/edit?usp=sharing"",""สุโขทัย!J607"")"),0)</f>
        <v>0</v>
      </c>
      <c r="CA28" s="261">
        <f ca="1">IFERROR(__xludf.DUMMYFUNCTION("IMPORTRANGE(""https://docs.google.com/spreadsheets/d/17HrOaa5pBUI1onckFfumXB8xlg35qb2uBAFfF1D-Myo/edit?usp=sharing"",""สุโขทัย!J608"")"),0)</f>
        <v>0</v>
      </c>
      <c r="CB28" s="186">
        <f ca="1">IFERROR(__xludf.DUMMYFUNCTION("IMPORTRANGE(""https://docs.google.com/spreadsheets/d/17HrOaa5pBUI1onckFfumXB8xlg35qb2uBAFfF1D-Myo/edit?usp=sharing"",""สุโขทัย!J609"")"),0)</f>
        <v>0</v>
      </c>
      <c r="CC28" s="261">
        <f ca="1">IFERROR(__xludf.DUMMYFUNCTION("IMPORTRANGE(""https://docs.google.com/spreadsheets/d/17HrOaa5pBUI1onckFfumXB8xlg35qb2uBAFfF1D-Myo/edit?usp=sharing"",""สุโขทัย!J610"")"),0)</f>
        <v>0</v>
      </c>
      <c r="CD28" s="261">
        <f ca="1">IFERROR(__xludf.DUMMYFUNCTION("IMPORTRANGE(""https://docs.google.com/spreadsheets/d/17HrOaa5pBUI1onckFfumXB8xlg35qb2uBAFfF1D-Myo/edit?usp=sharing"",""สุโขทัย!I612"")"),0)</f>
        <v>0</v>
      </c>
      <c r="CE28" s="261">
        <f ca="1">IFERROR(__xludf.DUMMYFUNCTION("IMPORTRANGE(""https://docs.google.com/spreadsheets/d/17HrOaa5pBUI1onckFfumXB8xlg35qb2uBAFfF1D-Myo/edit?usp=sharing"",""สุโขทัย!I594"")"),452)</f>
        <v>452</v>
      </c>
      <c r="CF28" s="262">
        <f ca="1">IFERROR(__xludf.DUMMYFUNCTION("IMPORTRANGE(""https://docs.google.com/spreadsheets/d/17HrOaa5pBUI1onckFfumXB8xlg35qb2uBAFfF1D-Myo/edit?usp=sharing"",""สุโขทัย!J612"")"),0)</f>
        <v>0</v>
      </c>
      <c r="CG28" s="262">
        <f t="shared" ca="1" si="37"/>
        <v>0</v>
      </c>
      <c r="CH28" s="261">
        <f ca="1">IFERROR(__xludf.DUMMYFUNCTION("IMPORTRANGE(""https://docs.google.com/spreadsheets/d/17HrOaa5pBUI1onckFfumXB8xlg35qb2uBAFfF1D-Myo/edit?usp=sharing"",""สุโขทัย!J613"")"),0)</f>
        <v>0</v>
      </c>
      <c r="CI28" s="262">
        <f t="shared" ca="1" si="19"/>
        <v>0</v>
      </c>
      <c r="CJ28" s="186">
        <f ca="1">IFERROR(__xludf.DUMMYFUNCTION("IMPORTRANGE(""https://docs.google.com/spreadsheets/d/17HrOaa5pBUI1onckFfumXB8xlg35qb2uBAFfF1D-Myo/edit?usp=sharing"",""สุโขทัย!J614"")"),0)</f>
        <v>0</v>
      </c>
      <c r="CK28" s="261">
        <f ca="1">IFERROR(__xludf.DUMMYFUNCTION("IMPORTRANGE(""https://docs.google.com/spreadsheets/d/17HrOaa5pBUI1onckFfumXB8xlg35qb2uBAFfF1D-Myo/edit?usp=sharing"",""สุโขทัย!J615"")"),0)</f>
        <v>0</v>
      </c>
      <c r="CL28" s="186">
        <f ca="1">IFERROR(__xludf.DUMMYFUNCTION("IMPORTRANGE(""https://docs.google.com/spreadsheets/d/17HrOaa5pBUI1onckFfumXB8xlg35qb2uBAFfF1D-Myo/edit?usp=sharing"",""สุโขทัย!J616"")"),0)</f>
        <v>0</v>
      </c>
      <c r="CM28" s="261">
        <f ca="1">IFERROR(__xludf.DUMMYFUNCTION("IMPORTRANGE(""https://docs.google.com/spreadsheets/d/17HrOaa5pBUI1onckFfumXB8xlg35qb2uBAFfF1D-Myo/edit?usp=sharing"",""สุโขทัย!J617"")"),0)</f>
        <v>0</v>
      </c>
      <c r="CN28" s="261">
        <f ca="1">IFERROR(__xludf.DUMMYFUNCTION("IMPORTRANGE(""https://docs.google.com/spreadsheets/d/17HrOaa5pBUI1onckFfumXB8xlg35qb2uBAFfF1D-Myo/edit?usp=sharing"",""สุโขทัย!I620"")"),51)</f>
        <v>51</v>
      </c>
      <c r="CO28" s="261">
        <f ca="1">IFERROR(__xludf.DUMMYFUNCTION("IMPORTRANGE(""https://docs.google.com/spreadsheets/d/17HrOaa5pBUI1onckFfumXB8xlg35qb2uBAFfF1D-Myo/edit?usp=sharing"",""สุโขทัย!I621"")"),3)</f>
        <v>3</v>
      </c>
      <c r="CP28" s="262">
        <f ca="1">IFERROR(__xludf.DUMMYFUNCTION("IMPORTRANGE(""https://docs.google.com/spreadsheets/d/17HrOaa5pBUI1onckFfumXB8xlg35qb2uBAFfF1D-Myo/edit?usp=sharing"",""สุโขทัย!J620"")"),0)</f>
        <v>0</v>
      </c>
      <c r="CQ28" s="262">
        <f t="shared" ca="1" si="38"/>
        <v>0</v>
      </c>
      <c r="CR28" s="261">
        <f ca="1">IFERROR(__xludf.DUMMYFUNCTION("IMPORTRANGE(""https://docs.google.com/spreadsheets/d/17HrOaa5pBUI1onckFfumXB8xlg35qb2uBAFfF1D-Myo/edit?usp=sharing"",""สุโขทัย!J621"")"),0)</f>
        <v>0</v>
      </c>
      <c r="CS28" s="262">
        <f t="shared" ca="1" si="22"/>
        <v>0</v>
      </c>
      <c r="CT28" s="186">
        <f ca="1">IFERROR(__xludf.DUMMYFUNCTION("IMPORTRANGE(""https://docs.google.com/spreadsheets/d/17HrOaa5pBUI1onckFfumXB8xlg35qb2uBAFfF1D-Myo/edit?usp=sharing"",""สุโขทัย!J622"")"),0)</f>
        <v>0</v>
      </c>
      <c r="CU28" s="261">
        <f ca="1">IFERROR(__xludf.DUMMYFUNCTION("IMPORTRANGE(""https://docs.google.com/spreadsheets/d/17HrOaa5pBUI1onckFfumXB8xlg35qb2uBAFfF1D-Myo/edit?usp=sharing"",""สุโขทัย!J623"")"),0)</f>
        <v>0</v>
      </c>
      <c r="CV28" s="186">
        <f ca="1">IFERROR(__xludf.DUMMYFUNCTION("IMPORTRANGE(""https://docs.google.com/spreadsheets/d/17HrOaa5pBUI1onckFfumXB8xlg35qb2uBAFfF1D-Myo/edit?usp=sharing"",""สุโขทัย!J624"")"),0)</f>
        <v>0</v>
      </c>
      <c r="CW28" s="261">
        <f ca="1">IFERROR(__xludf.DUMMYFUNCTION("IMPORTRANGE(""https://docs.google.com/spreadsheets/d/17HrOaa5pBUI1onckFfumXB8xlg35qb2uBAFfF1D-Myo/edit?usp=sharing"",""สุโขทัย!J625"")"),0)</f>
        <v>0</v>
      </c>
      <c r="CX28" s="186">
        <f ca="1">IFERROR(__xludf.DUMMYFUNCTION("IMPORTRANGE(""https://docs.google.com/spreadsheets/d/17HrOaa5pBUI1onckFfumXB8xlg35qb2uBAFfF1D-Myo/edit?usp=sharing"",""สุโขทัย!J626"")"),0)</f>
        <v>0</v>
      </c>
      <c r="CY28" s="261">
        <f ca="1">IFERROR(__xludf.DUMMYFUNCTION("IMPORTRANGE(""https://docs.google.com/spreadsheets/d/17HrOaa5pBUI1onckFfumXB8xlg35qb2uBAFfF1D-Myo/edit?usp=sharing"",""สุโขทัย!J627"")"),0)</f>
        <v>0</v>
      </c>
    </row>
    <row r="29" spans="1:103" ht="24" customHeight="1" x14ac:dyDescent="0.3">
      <c r="A29" s="178">
        <v>16</v>
      </c>
      <c r="B29" s="179" t="s">
        <v>46</v>
      </c>
      <c r="C29" s="180">
        <f t="shared" ca="1" si="49"/>
        <v>368439</v>
      </c>
      <c r="D29" s="181">
        <f ca="1">IFERROR(__xludf.DUMMYFUNCTION("IMPORTRANGE(""https://docs.google.com/spreadsheets/d/1ubs5cl16eYL9gHbdHTJtmtYb9MGzHBs7CAphn8kNCgM/edit?usp=sharing"",""อุตรดิตถ์!L549"")"),368439)</f>
        <v>368439</v>
      </c>
      <c r="E29" s="187">
        <f ca="1">IFERROR(__xludf.DUMMYFUNCTION("IMPORTRANGE(""https://docs.google.com/spreadsheets/d/1ubs5cl16eYL9gHbdHTJtmtYb9MGzHBs7CAphn8kNCgM/edit?usp=sharing"",""อุตรดิตถ์!L557"")"),0)</f>
        <v>0</v>
      </c>
      <c r="F29" s="182">
        <f t="shared" ca="1" si="1"/>
        <v>95296</v>
      </c>
      <c r="G29" s="183">
        <f t="shared" ca="1" si="2"/>
        <v>25.864797157738458</v>
      </c>
      <c r="H29" s="184">
        <f t="shared" ca="1" si="50"/>
        <v>95296</v>
      </c>
      <c r="I29" s="187">
        <f ca="1">IFERROR(__xludf.DUMMYFUNCTION("IMPORTRANGE(""https://docs.google.com/spreadsheets/d/1ubs5cl16eYL9gHbdHTJtmtYb9MGzHBs7CAphn8kNCgM/edit?usp=sharing"",""อุตรดิตถ์!N550"")"),0)</f>
        <v>0</v>
      </c>
      <c r="J29" s="187">
        <f ca="1">IFERROR(__xludf.DUMMYFUNCTION("IMPORTRANGE(""https://docs.google.com/spreadsheets/d/1ubs5cl16eYL9gHbdHTJtmtYb9MGzHBs7CAphn8kNCgM/edit?usp=sharing"",""อุตรดิตถ์!N551"")"),0)</f>
        <v>0</v>
      </c>
      <c r="K29" s="187">
        <f ca="1">IFERROR(__xludf.DUMMYFUNCTION("IMPORTRANGE(""https://docs.google.com/spreadsheets/d/1ubs5cl16eYL9gHbdHTJtmtYb9MGzHBs7CAphn8kNCgM/edit?usp=sharing"",""อุตรดิตถ์!N552"")"),50728)</f>
        <v>50728</v>
      </c>
      <c r="L29" s="187">
        <f ca="1">IFERROR(__xludf.DUMMYFUNCTION("IMPORTRANGE(""https://docs.google.com/spreadsheets/d/1ubs5cl16eYL9gHbdHTJtmtYb9MGzHBs7CAphn8kNCgM/edit?usp=sharing"",""อุตรดิตถ์!N553"")"),44568)</f>
        <v>44568</v>
      </c>
      <c r="M29" s="187">
        <f ca="1">IFERROR(__xludf.DUMMYFUNCTION("IMPORTRANGE(""https://docs.google.com/spreadsheets/d/1ubs5cl16eYL9gHbdHTJtmtYb9MGzHBs7CAphn8kNCgM/edit?usp=sharing"",""อุตรดิตถ์!N554"")"),0)</f>
        <v>0</v>
      </c>
      <c r="N29" s="185">
        <f ca="1">IFERROR(__xludf.DUMMYFUNCTION("IMPORTRANGE(""https://docs.google.com/spreadsheets/d/1ubs5cl16eYL9gHbdHTJtmtYb9MGzHBs7CAphn8kNCgM/edit?usp=sharing"",""อุตรดิตถ์!N557"")"),0)</f>
        <v>0</v>
      </c>
      <c r="O29" s="185">
        <f t="shared" ca="1" si="41"/>
        <v>0</v>
      </c>
      <c r="P29" s="181">
        <f ca="1">IFERROR(__xludf.DUMMYFUNCTION("IMPORTRANGE(""https://docs.google.com/spreadsheets/d/1ubs5cl16eYL9gHbdHTJtmtYb9MGzHBs7CAphn8kNCgM/edit?usp=sharing"",""อุตรดิตถ์!I560"")"),60744)</f>
        <v>60744</v>
      </c>
      <c r="Q29" s="181">
        <f ca="1">IFERROR(__xludf.DUMMYFUNCTION("IMPORTRANGE(""https://docs.google.com/spreadsheets/d/1ubs5cl16eYL9gHbdHTJtmtYb9MGzHBs7CAphn8kNCgM/edit?usp=sharing"",""อุตรดิตถ์!I561"")"),8156)</f>
        <v>8156</v>
      </c>
      <c r="R29" s="186">
        <f ca="1">IFERROR(__xludf.DUMMYFUNCTION("IMPORTRANGE(""https://docs.google.com/spreadsheets/d/1ubs5cl16eYL9gHbdHTJtmtYb9MGzHBs7CAphn8kNCgM/edit?usp=sharing"",""อุตรดิตถ์!J560"")"),60719)</f>
        <v>60719</v>
      </c>
      <c r="S29" s="186">
        <f t="shared" ca="1" si="33"/>
        <v>99.958843671802981</v>
      </c>
      <c r="T29" s="181">
        <f ca="1">IFERROR(__xludf.DUMMYFUNCTION("IMPORTRANGE(""https://docs.google.com/spreadsheets/d/1ubs5cl16eYL9gHbdHTJtmtYb9MGzHBs7CAphn8kNCgM/edit?usp=sharing"",""อุตรดิตถ์!J561"")"),8151)</f>
        <v>8151</v>
      </c>
      <c r="U29" s="186">
        <f t="shared" ca="1" si="7"/>
        <v>99.938695438940655</v>
      </c>
      <c r="V29" s="186">
        <f ca="1">IFERROR(__xludf.DUMMYFUNCTION("IMPORTRANGE(""https://docs.google.com/spreadsheets/d/1ubs5cl16eYL9gHbdHTJtmtYb9MGzHBs7CAphn8kNCgM/edit?usp=sharing"",""อุตรดิตถ์!J562"")"),59106)</f>
        <v>59106</v>
      </c>
      <c r="W29" s="261">
        <f ca="1">IFERROR(__xludf.DUMMYFUNCTION("IMPORTRANGE(""https://docs.google.com/spreadsheets/d/1ubs5cl16eYL9gHbdHTJtmtYb9MGzHBs7CAphn8kNCgM/edit?usp=sharing"",""อุตรดิตถ์!J563"")"),7939)</f>
        <v>7939</v>
      </c>
      <c r="X29" s="186">
        <f ca="1">IFERROR(__xludf.DUMMYFUNCTION("IMPORTRANGE(""https://docs.google.com/spreadsheets/d/1ubs5cl16eYL9gHbdHTJtmtYb9MGzHBs7CAphn8kNCgM/edit?usp=sharing"",""อุตรดิตถ์!J564"")"),473)</f>
        <v>473</v>
      </c>
      <c r="Y29" s="261">
        <f ca="1">IFERROR(__xludf.DUMMYFUNCTION("IMPORTRANGE(""https://docs.google.com/spreadsheets/d/1ubs5cl16eYL9gHbdHTJtmtYb9MGzHBs7CAphn8kNCgM/edit?usp=sharing"",""อุตรดิตถ์!J565"")"),62)</f>
        <v>62</v>
      </c>
      <c r="Z29" s="186">
        <f ca="1">IFERROR(__xludf.DUMMYFUNCTION("IMPORTRANGE(""https://docs.google.com/spreadsheets/d/1ubs5cl16eYL9gHbdHTJtmtYb9MGzHBs7CAphn8kNCgM/edit?usp=sharing"",""อุตรดิตถ์!J566"")"),1140)</f>
        <v>1140</v>
      </c>
      <c r="AA29" s="261">
        <f ca="1">IFERROR(__xludf.DUMMYFUNCTION("IMPORTRANGE(""https://docs.google.com/spreadsheets/d/1ubs5cl16eYL9gHbdHTJtmtYb9MGzHBs7CAphn8kNCgM/edit?usp=sharing"",""อุตรดิตถ์!J567"")"),150)</f>
        <v>150</v>
      </c>
      <c r="AB29" s="181">
        <f ca="1">IFERROR(__xludf.DUMMYFUNCTION("IMPORTRANGE(""https://docs.google.com/spreadsheets/d/1ubs5cl16eYL9gHbdHTJtmtYb9MGzHBs7CAphn8kNCgM/edit?usp=sharing"",""อุตรดิตถ์!I568"")"),60744)</f>
        <v>60744</v>
      </c>
      <c r="AC29" s="181">
        <f ca="1">IFERROR(__xludf.DUMMYFUNCTION("IMPORTRANGE(""https://docs.google.com/spreadsheets/d/1ubs5cl16eYL9gHbdHTJtmtYb9MGzHBs7CAphn8kNCgM/edit?usp=sharing"",""อุตรดิตถ์!I569"")"),8156)</f>
        <v>8156</v>
      </c>
      <c r="AD29" s="186">
        <f ca="1">IFERROR(__xludf.DUMMYFUNCTION("IMPORTRANGE(""https://docs.google.com/spreadsheets/d/1ubs5cl16eYL9gHbdHTJtmtYb9MGzHBs7CAphn8kNCgM/edit?usp=sharing"",""อุตรดิตถ์!J568"")"),0)</f>
        <v>0</v>
      </c>
      <c r="AE29" s="186">
        <f t="shared" ca="1" si="34"/>
        <v>0</v>
      </c>
      <c r="AF29" s="181">
        <f ca="1">IFERROR(__xludf.DUMMYFUNCTION("IMPORTRANGE(""https://docs.google.com/spreadsheets/d/1ubs5cl16eYL9gHbdHTJtmtYb9MGzHBs7CAphn8kNCgM/edit?usp=sharing"",""อุตรดิตถ์!J569"")"),0)</f>
        <v>0</v>
      </c>
      <c r="AG29" s="186">
        <f t="shared" ca="1" si="10"/>
        <v>0</v>
      </c>
      <c r="AH29" s="186">
        <f ca="1">IFERROR(__xludf.DUMMYFUNCTION("IMPORTRANGE(""https://docs.google.com/spreadsheets/d/1ubs5cl16eYL9gHbdHTJtmtYb9MGzHBs7CAphn8kNCgM/edit?usp=sharing"",""อุตรดิตถ์!J570"")"),0)</f>
        <v>0</v>
      </c>
      <c r="AI29" s="261">
        <f ca="1">IFERROR(__xludf.DUMMYFUNCTION("IMPORTRANGE(""https://docs.google.com/spreadsheets/d/1ubs5cl16eYL9gHbdHTJtmtYb9MGzHBs7CAphn8kNCgM/edit?usp=sharing"",""อุตรดิตถ์!J571"")"),0)</f>
        <v>0</v>
      </c>
      <c r="AJ29" s="186">
        <f ca="1">IFERROR(__xludf.DUMMYFUNCTION("IMPORTRANGE(""https://docs.google.com/spreadsheets/d/1ubs5cl16eYL9gHbdHTJtmtYb9MGzHBs7CAphn8kNCgM/edit?usp=sharing"",""อุตรดิตถ์!J572"")"),0)</f>
        <v>0</v>
      </c>
      <c r="AK29" s="261">
        <f ca="1">IFERROR(__xludf.DUMMYFUNCTION("IMPORTRANGE(""https://docs.google.com/spreadsheets/d/1ubs5cl16eYL9gHbdHTJtmtYb9MGzHBs7CAphn8kNCgM/edit?usp=sharing"",""อุตรดิตถ์!J573"")"),0)</f>
        <v>0</v>
      </c>
      <c r="AL29" s="186">
        <f ca="1">IFERROR(__xludf.DUMMYFUNCTION("IMPORTRANGE(""https://docs.google.com/spreadsheets/d/1ubs5cl16eYL9gHbdHTJtmtYb9MGzHBs7CAphn8kNCgM/edit?usp=sharing"",""อุตรดิตถ์!J574"")"),0)</f>
        <v>0</v>
      </c>
      <c r="AM29" s="261">
        <f ca="1">IFERROR(__xludf.DUMMYFUNCTION("IMPORTRANGE(""https://docs.google.com/spreadsheets/d/1ubs5cl16eYL9gHbdHTJtmtYb9MGzHBs7CAphn8kNCgM/edit?usp=sharing"",""อุตรดิตถ์!J575"")"),0)</f>
        <v>0</v>
      </c>
      <c r="AN29" s="181">
        <f ca="1">IFERROR(__xludf.DUMMYFUNCTION("IMPORTRANGE(""https://docs.google.com/spreadsheets/d/1ubs5cl16eYL9gHbdHTJtmtYb9MGzHBs7CAphn8kNCgM/edit?usp=sharing"",""อุตรดิตถ์!I576"")"),60744)</f>
        <v>60744</v>
      </c>
      <c r="AO29" s="181">
        <f ca="1">IFERROR(__xludf.DUMMYFUNCTION("IMPORTRANGE(""https://docs.google.com/spreadsheets/d/1ubs5cl16eYL9gHbdHTJtmtYb9MGzHBs7CAphn8kNCgM/edit?usp=sharing"",""อุตรดิตถ์!I577"")"),8156)</f>
        <v>8156</v>
      </c>
      <c r="AP29" s="186">
        <f ca="1">IFERROR(__xludf.DUMMYFUNCTION("IMPORTRANGE(""https://docs.google.com/spreadsheets/d/1ubs5cl16eYL9gHbdHTJtmtYb9MGzHBs7CAphn8kNCgM/edit?usp=sharing"",""อุตรดิตถ์!J576"")"),0)</f>
        <v>0</v>
      </c>
      <c r="AQ29" s="186">
        <f t="shared" ca="1" si="35"/>
        <v>0</v>
      </c>
      <c r="AR29" s="181">
        <f ca="1">IFERROR(__xludf.DUMMYFUNCTION("IMPORTRANGE(""https://docs.google.com/spreadsheets/d/1ubs5cl16eYL9gHbdHTJtmtYb9MGzHBs7CAphn8kNCgM/edit?usp=sharing"",""อุตรดิตถ์!J577"")"),0)</f>
        <v>0</v>
      </c>
      <c r="AS29" s="186">
        <f t="shared" ca="1" si="13"/>
        <v>0</v>
      </c>
      <c r="AT29" s="186">
        <f ca="1">IFERROR(__xludf.DUMMYFUNCTION("IMPORTRANGE(""https://docs.google.com/spreadsheets/d/1ubs5cl16eYL9gHbdHTJtmtYb9MGzHBs7CAphn8kNCgM/edit?usp=sharing"",""อุตรดิตถ์!J578"")"),0)</f>
        <v>0</v>
      </c>
      <c r="AU29" s="261">
        <f ca="1">IFERROR(__xludf.DUMMYFUNCTION("IMPORTRANGE(""https://docs.google.com/spreadsheets/d/1ubs5cl16eYL9gHbdHTJtmtYb9MGzHBs7CAphn8kNCgM/edit?usp=sharing"",""อุตรดิตถ์!J579"")"),0)</f>
        <v>0</v>
      </c>
      <c r="AV29" s="186">
        <f ca="1">IFERROR(__xludf.DUMMYFUNCTION("IMPORTRANGE(""https://docs.google.com/spreadsheets/d/1ubs5cl16eYL9gHbdHTJtmtYb9MGzHBs7CAphn8kNCgM/edit?usp=sharing"",""อุตรดิตถ์!J580"")"),0)</f>
        <v>0</v>
      </c>
      <c r="AW29" s="261">
        <f ca="1">IFERROR(__xludf.DUMMYFUNCTION("IMPORTRANGE(""https://docs.google.com/spreadsheets/d/1ubs5cl16eYL9gHbdHTJtmtYb9MGzHBs7CAphn8kNCgM/edit?usp=sharing"",""อุตรดิตถ์!J581"")"),0)</f>
        <v>0</v>
      </c>
      <c r="AX29" s="186">
        <f ca="1">IFERROR(__xludf.DUMMYFUNCTION("IMPORTRANGE(""https://docs.google.com/spreadsheets/d/1ubs5cl16eYL9gHbdHTJtmtYb9MGzHBs7CAphn8kNCgM/edit?usp=sharing"",""อุตรดิตถ์!J582"")"),0)</f>
        <v>0</v>
      </c>
      <c r="AY29" s="261">
        <f ca="1">IFERROR(__xludf.DUMMYFUNCTION("IMPORTRANGE(""https://docs.google.com/spreadsheets/d/1ubs5cl16eYL9gHbdHTJtmtYb9MGzHBs7CAphn8kNCgM/edit?usp=sharing"",""อุตรดิตถ์!J583"")"),0)</f>
        <v>0</v>
      </c>
      <c r="AZ29" s="262">
        <f ca="1">IFERROR(__xludf.DUMMYFUNCTION("IMPORTRANGE(""https://docs.google.com/spreadsheets/d/1ubs5cl16eYL9gHbdHTJtmtYb9MGzHBs7CAphn8kNCgM/edit?usp=sharing"",""อุตรดิตถ์!J584"")"),0)</f>
        <v>0</v>
      </c>
      <c r="BA29" s="261">
        <f ca="1">IFERROR(__xludf.DUMMYFUNCTION("IMPORTRANGE(""https://docs.google.com/spreadsheets/d/1ubs5cl16eYL9gHbdHTJtmtYb9MGzHBs7CAphn8kNCgM/edit?usp=sharing"",""อุตรดิตถ์!J585"")"),0)</f>
        <v>0</v>
      </c>
      <c r="BB29" s="262">
        <f ca="1">IFERROR(__xludf.DUMMYFUNCTION("IMPORTRANGE(""https://docs.google.com/spreadsheets/d/1ubs5cl16eYL9gHbdHTJtmtYb9MGzHBs7CAphn8kNCgM/edit?usp=sharing"",""อุตรดิตถ์!J586"")"),0)</f>
        <v>0</v>
      </c>
      <c r="BC29" s="261">
        <f ca="1">IFERROR(__xludf.DUMMYFUNCTION("IMPORTRANGE(""https://docs.google.com/spreadsheets/d/1ubs5cl16eYL9gHbdHTJtmtYb9MGzHBs7CAphn8kNCgM/edit?usp=sharing"",""อุตรดิตถ์!J587"")"),0)</f>
        <v>0</v>
      </c>
      <c r="BD29" s="186">
        <f ca="1">IFERROR(__xludf.DUMMYFUNCTION("IMPORTRANGE(""https://docs.google.com/spreadsheets/d/1ubs5cl16eYL9gHbdHTJtmtYb9MGzHBs7CAphn8kNCgM/edit?usp=sharing"",""อุตรดิตถ์!J588"")"),0)</f>
        <v>0</v>
      </c>
      <c r="BE29" s="261">
        <f ca="1">IFERROR(__xludf.DUMMYFUNCTION("IMPORTRANGE(""https://docs.google.com/spreadsheets/d/1ubs5cl16eYL9gHbdHTJtmtYb9MGzHBs7CAphn8kNCgM/edit?usp=sharing"",""อุตรดิตถ์!J589"")"),0)</f>
        <v>0</v>
      </c>
      <c r="BF29" s="186">
        <f ca="1">IFERROR(__xludf.DUMMYFUNCTION("IMPORTRANGE(""https://docs.google.com/spreadsheets/d/1ubs5cl16eYL9gHbdHTJtmtYb9MGzHBs7CAphn8kNCgM/edit?usp=sharing"",""อุตรดิตถ์!J590"")"),0)</f>
        <v>0</v>
      </c>
      <c r="BG29" s="261">
        <f ca="1">IFERROR(__xludf.DUMMYFUNCTION("IMPORTRANGE(""https://docs.google.com/spreadsheets/d/1ubs5cl16eYL9gHbdHTJtmtYb9MGzHBs7CAphn8kNCgM/edit?usp=sharing"",""อุตรดิตถ์!J591"")"),0)</f>
        <v>0</v>
      </c>
      <c r="BH29" s="181">
        <f ca="1">IFERROR(__xludf.DUMMYFUNCTION("IMPORTRANGE(""https://docs.google.com/spreadsheets/d/1ubs5cl16eYL9gHbdHTJtmtYb9MGzHBs7CAphn8kNCgM/edit?usp=sharing"",""อุตรดิตถ์!I593"")"),316.11)</f>
        <v>316.11</v>
      </c>
      <c r="BI29" s="181">
        <f ca="1">IFERROR(__xludf.DUMMYFUNCTION("IMPORTRANGE(""https://docs.google.com/spreadsheets/d/1ubs5cl16eYL9gHbdHTJtmtYb9MGzHBs7CAphn8kNCgM/edit?usp=sharing"",""อุตรดิตถ์!I594"")"),32)</f>
        <v>32</v>
      </c>
      <c r="BJ29" s="186">
        <f ca="1">IFERROR(__xludf.DUMMYFUNCTION("IMPORTRANGE(""https://docs.google.com/spreadsheets/d/1ubs5cl16eYL9gHbdHTJtmtYb9MGzHBs7CAphn8kNCgM/edit?usp=sharing"",""อุตรดิตถ์!J593"")"),0)</f>
        <v>0</v>
      </c>
      <c r="BK29" s="186">
        <f t="shared" ca="1" si="36"/>
        <v>0</v>
      </c>
      <c r="BL29" s="181">
        <f ca="1">IFERROR(__xludf.DUMMYFUNCTION("IMPORTRANGE(""https://docs.google.com/spreadsheets/d/1ubs5cl16eYL9gHbdHTJtmtYb9MGzHBs7CAphn8kNCgM/edit?usp=sharing"",""อุตรดิตถ์!J594"")"),0)</f>
        <v>0</v>
      </c>
      <c r="BM29" s="186">
        <f t="shared" ca="1" si="16"/>
        <v>0</v>
      </c>
      <c r="BN29" s="186">
        <f ca="1">IFERROR(__xludf.DUMMYFUNCTION("IMPORTRANGE(""https://docs.google.com/spreadsheets/d/1ubs5cl16eYL9gHbdHTJtmtYb9MGzHBs7CAphn8kNCgM/edit?usp=sharing"",""อุตรดิตถ์!J595"")"),0)</f>
        <v>0</v>
      </c>
      <c r="BO29" s="261">
        <f ca="1">IFERROR(__xludf.DUMMYFUNCTION("IMPORTRANGE(""https://docs.google.com/spreadsheets/d/1ubs5cl16eYL9gHbdHTJtmtYb9MGzHBs7CAphn8kNCgM/edit?usp=sharing"",""อุตรดิตถ์!J596"")"),0)</f>
        <v>0</v>
      </c>
      <c r="BP29" s="186">
        <f ca="1">IFERROR(__xludf.DUMMYFUNCTION("IMPORTRANGE(""https://docs.google.com/spreadsheets/d/1ubs5cl16eYL9gHbdHTJtmtYb9MGzHBs7CAphn8kNCgM/edit?usp=sharing"",""อุตรดิตถ์!J597"")"),0)</f>
        <v>0</v>
      </c>
      <c r="BQ29" s="261">
        <f ca="1">IFERROR(__xludf.DUMMYFUNCTION("IMPORTRANGE(""https://docs.google.com/spreadsheets/d/1ubs5cl16eYL9gHbdHTJtmtYb9MGzHBs7CAphn8kNCgM/edit?usp=sharing"",""อุตรดิตถ์!J598"")"),0)</f>
        <v>0</v>
      </c>
      <c r="BR29" s="186">
        <f ca="1">IFERROR(__xludf.DUMMYFUNCTION("IMPORTRANGE(""https://docs.google.com/spreadsheets/d/1ubs5cl16eYL9gHbdHTJtmtYb9MGzHBs7CAphn8kNCgM/edit?usp=sharing"",""อุตรดิตถ์!J599"")"),0)</f>
        <v>0</v>
      </c>
      <c r="BS29" s="261">
        <f ca="1">IFERROR(__xludf.DUMMYFUNCTION("IMPORTRANGE(""https://docs.google.com/spreadsheets/d/1ubs5cl16eYL9gHbdHTJtmtYb9MGzHBs7CAphn8kNCgM/edit?usp=sharing"",""อุตรดิตถ์!J600"")"),0)</f>
        <v>0</v>
      </c>
      <c r="BT29" s="262">
        <f ca="1">IFERROR(__xludf.DUMMYFUNCTION("IMPORTRANGE(""https://docs.google.com/spreadsheets/d/1ubs5cl16eYL9gHbdHTJtmtYb9MGzHBs7CAphn8kNCgM/edit?usp=sharing"",""อุตรดิตถ์!J601"")"),0)</f>
        <v>0</v>
      </c>
      <c r="BU29" s="261">
        <f ca="1">IFERROR(__xludf.DUMMYFUNCTION("IMPORTRANGE(""https://docs.google.com/spreadsheets/d/1ubs5cl16eYL9gHbdHTJtmtYb9MGzHBs7CAphn8kNCgM/edit?usp=sharing"",""อุตรดิตถ์!J602"")"),0)</f>
        <v>0</v>
      </c>
      <c r="BV29" s="186">
        <f ca="1">IFERROR(__xludf.DUMMYFUNCTION("IMPORTRANGE(""https://docs.google.com/spreadsheets/d/1ubs5cl16eYL9gHbdHTJtmtYb9MGzHBs7CAphn8kNCgM/edit?usp=sharing"",""อุตรดิตถ์!J603"")"),0)</f>
        <v>0</v>
      </c>
      <c r="BW29" s="261">
        <f ca="1">IFERROR(__xludf.DUMMYFUNCTION("IMPORTRANGE(""https://docs.google.com/spreadsheets/d/1ubs5cl16eYL9gHbdHTJtmtYb9MGzHBs7CAphn8kNCgM/edit?usp=sharing"",""อุตรดิตถ์!J604"")"),0)</f>
        <v>0</v>
      </c>
      <c r="BX29" s="186">
        <f ca="1">IFERROR(__xludf.DUMMYFUNCTION("IMPORTRANGE(""https://docs.google.com/spreadsheets/d/1ubs5cl16eYL9gHbdHTJtmtYb9MGzHBs7CAphn8kNCgM/edit?usp=sharing"",""อุตรดิตถ์!J605"")"),0)</f>
        <v>0</v>
      </c>
      <c r="BY29" s="261">
        <f ca="1">IFERROR(__xludf.DUMMYFUNCTION("IMPORTRANGE(""https://docs.google.com/spreadsheets/d/1ubs5cl16eYL9gHbdHTJtmtYb9MGzHBs7CAphn8kNCgM/edit?usp=sharing"",""อุตรดิตถ์!J606"")"),0)</f>
        <v>0</v>
      </c>
      <c r="BZ29" s="186">
        <f ca="1">IFERROR(__xludf.DUMMYFUNCTION("IMPORTRANGE(""https://docs.google.com/spreadsheets/d/1ubs5cl16eYL9gHbdHTJtmtYb9MGzHBs7CAphn8kNCgM/edit?usp=sharing"",""อุตรดิตถ์!J607"")"),0)</f>
        <v>0</v>
      </c>
      <c r="CA29" s="261">
        <f ca="1">IFERROR(__xludf.DUMMYFUNCTION("IMPORTRANGE(""https://docs.google.com/spreadsheets/d/1ubs5cl16eYL9gHbdHTJtmtYb9MGzHBs7CAphn8kNCgM/edit?usp=sharing"",""อุตรดิตถ์!J608"")"),0)</f>
        <v>0</v>
      </c>
      <c r="CB29" s="186">
        <f ca="1">IFERROR(__xludf.DUMMYFUNCTION("IMPORTRANGE(""https://docs.google.com/spreadsheets/d/1ubs5cl16eYL9gHbdHTJtmtYb9MGzHBs7CAphn8kNCgM/edit?usp=sharing"",""อุตรดิตถ์!J609"")"),0)</f>
        <v>0</v>
      </c>
      <c r="CC29" s="261">
        <f ca="1">IFERROR(__xludf.DUMMYFUNCTION("IMPORTRANGE(""https://docs.google.com/spreadsheets/d/1ubs5cl16eYL9gHbdHTJtmtYb9MGzHBs7CAphn8kNCgM/edit?usp=sharing"",""อุตรดิตถ์!J610"")"),0)</f>
        <v>0</v>
      </c>
      <c r="CD29" s="261">
        <f ca="1">IFERROR(__xludf.DUMMYFUNCTION("IMPORTRANGE(""https://docs.google.com/spreadsheets/d/1ubs5cl16eYL9gHbdHTJtmtYb9MGzHBs7CAphn8kNCgM/edit?usp=sharing"",""อุตรดิตถ์!I612"")"),0)</f>
        <v>0</v>
      </c>
      <c r="CE29" s="261">
        <f ca="1">IFERROR(__xludf.DUMMYFUNCTION("IMPORTRANGE(""https://docs.google.com/spreadsheets/d/1ubs5cl16eYL9gHbdHTJtmtYb9MGzHBs7CAphn8kNCgM/edit?usp=sharing"",""อุตรดิตถ์!I594"")"),32)</f>
        <v>32</v>
      </c>
      <c r="CF29" s="262">
        <f ca="1">IFERROR(__xludf.DUMMYFUNCTION("IMPORTRANGE(""https://docs.google.com/spreadsheets/d/1ubs5cl16eYL9gHbdHTJtmtYb9MGzHBs7CAphn8kNCgM/edit?usp=sharing"",""อุตรดิตถ์!J612"")"),0)</f>
        <v>0</v>
      </c>
      <c r="CG29" s="262">
        <f t="shared" ca="1" si="37"/>
        <v>0</v>
      </c>
      <c r="CH29" s="261">
        <f ca="1">IFERROR(__xludf.DUMMYFUNCTION("IMPORTRANGE(""https://docs.google.com/spreadsheets/d/1ubs5cl16eYL9gHbdHTJtmtYb9MGzHBs7CAphn8kNCgM/edit?usp=sharing"",""อุตรดิตถ์!J613"")"),0)</f>
        <v>0</v>
      </c>
      <c r="CI29" s="262">
        <f t="shared" ca="1" si="19"/>
        <v>0</v>
      </c>
      <c r="CJ29" s="186">
        <f ca="1">IFERROR(__xludf.DUMMYFUNCTION("IMPORTRANGE(""https://docs.google.com/spreadsheets/d/1ubs5cl16eYL9gHbdHTJtmtYb9MGzHBs7CAphn8kNCgM/edit?usp=sharing"",""อุตรดิตถ์!J614"")"),0)</f>
        <v>0</v>
      </c>
      <c r="CK29" s="261">
        <f ca="1">IFERROR(__xludf.DUMMYFUNCTION("IMPORTRANGE(""https://docs.google.com/spreadsheets/d/1ubs5cl16eYL9gHbdHTJtmtYb9MGzHBs7CAphn8kNCgM/edit?usp=sharing"",""อุตรดิตถ์!J615"")"),0)</f>
        <v>0</v>
      </c>
      <c r="CL29" s="186">
        <f ca="1">IFERROR(__xludf.DUMMYFUNCTION("IMPORTRANGE(""https://docs.google.com/spreadsheets/d/1ubs5cl16eYL9gHbdHTJtmtYb9MGzHBs7CAphn8kNCgM/edit?usp=sharing"",""อุตรดิตถ์!J616"")"),0)</f>
        <v>0</v>
      </c>
      <c r="CM29" s="261">
        <f ca="1">IFERROR(__xludf.DUMMYFUNCTION("IMPORTRANGE(""https://docs.google.com/spreadsheets/d/1ubs5cl16eYL9gHbdHTJtmtYb9MGzHBs7CAphn8kNCgM/edit?usp=sharing"",""อุตรดิตถ์!J617"")"),0)</f>
        <v>0</v>
      </c>
      <c r="CN29" s="261">
        <f ca="1">IFERROR(__xludf.DUMMYFUNCTION("IMPORTRANGE(""https://docs.google.com/spreadsheets/d/1ubs5cl16eYL9gHbdHTJtmtYb9MGzHBs7CAphn8kNCgM/edit?usp=sharing"",""อุตรดิตถ์!I620"")"),631)</f>
        <v>631</v>
      </c>
      <c r="CO29" s="261">
        <f ca="1">IFERROR(__xludf.DUMMYFUNCTION("IMPORTRANGE(""https://docs.google.com/spreadsheets/d/1ubs5cl16eYL9gHbdHTJtmtYb9MGzHBs7CAphn8kNCgM/edit?usp=sharing"",""อุตรดิตถ์!I621"")"),50)</f>
        <v>50</v>
      </c>
      <c r="CP29" s="262">
        <f ca="1">IFERROR(__xludf.DUMMYFUNCTION("IMPORTRANGE(""https://docs.google.com/spreadsheets/d/1ubs5cl16eYL9gHbdHTJtmtYb9MGzHBs7CAphn8kNCgM/edit?usp=sharing"",""อุตรดิตถ์!J620"")"),0)</f>
        <v>0</v>
      </c>
      <c r="CQ29" s="262">
        <f t="shared" ca="1" si="38"/>
        <v>0</v>
      </c>
      <c r="CR29" s="261">
        <f ca="1">IFERROR(__xludf.DUMMYFUNCTION("IMPORTRANGE(""https://docs.google.com/spreadsheets/d/1ubs5cl16eYL9gHbdHTJtmtYb9MGzHBs7CAphn8kNCgM/edit?usp=sharing"",""อุตรดิตถ์!J621"")"),0)</f>
        <v>0</v>
      </c>
      <c r="CS29" s="262">
        <f t="shared" ca="1" si="22"/>
        <v>0</v>
      </c>
      <c r="CT29" s="186">
        <f ca="1">IFERROR(__xludf.DUMMYFUNCTION("IMPORTRANGE(""https://docs.google.com/spreadsheets/d/1ubs5cl16eYL9gHbdHTJtmtYb9MGzHBs7CAphn8kNCgM/edit?usp=sharing"",""อุตรดิตถ์!J622"")"),0)</f>
        <v>0</v>
      </c>
      <c r="CU29" s="261">
        <f ca="1">IFERROR(__xludf.DUMMYFUNCTION("IMPORTRANGE(""https://docs.google.com/spreadsheets/d/1ubs5cl16eYL9gHbdHTJtmtYb9MGzHBs7CAphn8kNCgM/edit?usp=sharing"",""อุตรดิตถ์!J623"")"),0)</f>
        <v>0</v>
      </c>
      <c r="CV29" s="186">
        <f ca="1">IFERROR(__xludf.DUMMYFUNCTION("IMPORTRANGE(""https://docs.google.com/spreadsheets/d/1ubs5cl16eYL9gHbdHTJtmtYb9MGzHBs7CAphn8kNCgM/edit?usp=sharing"",""อุตรดิตถ์!J624"")"),0)</f>
        <v>0</v>
      </c>
      <c r="CW29" s="261">
        <f ca="1">IFERROR(__xludf.DUMMYFUNCTION("IMPORTRANGE(""https://docs.google.com/spreadsheets/d/1ubs5cl16eYL9gHbdHTJtmtYb9MGzHBs7CAphn8kNCgM/edit?usp=sharing"",""อุตรดิตถ์!J625"")"),0)</f>
        <v>0</v>
      </c>
      <c r="CX29" s="186">
        <f ca="1">IFERROR(__xludf.DUMMYFUNCTION("IMPORTRANGE(""https://docs.google.com/spreadsheets/d/1ubs5cl16eYL9gHbdHTJtmtYb9MGzHBs7CAphn8kNCgM/edit?usp=sharing"",""อุตรดิตถ์!J626"")"),0)</f>
        <v>0</v>
      </c>
      <c r="CY29" s="261">
        <f ca="1">IFERROR(__xludf.DUMMYFUNCTION("IMPORTRANGE(""https://docs.google.com/spreadsheets/d/1ubs5cl16eYL9gHbdHTJtmtYb9MGzHBs7CAphn8kNCgM/edit?usp=sharing"",""อุตรดิตถ์!J627"")"),0)</f>
        <v>0</v>
      </c>
    </row>
    <row r="30" spans="1:103" ht="24" customHeight="1" x14ac:dyDescent="0.3">
      <c r="A30" s="192">
        <v>17</v>
      </c>
      <c r="B30" s="193" t="s">
        <v>47</v>
      </c>
      <c r="C30" s="204">
        <f t="shared" ca="1" si="49"/>
        <v>431888</v>
      </c>
      <c r="D30" s="202">
        <f ca="1">IFERROR(__xludf.DUMMYFUNCTION("IMPORTRANGE(""https://docs.google.com/spreadsheets/d/1kII0BjS6CtVrBvI8IrytgPdxDrlyQDyigzMsohRtDMs/edit?usp=sharing"",""อุทัยธานี!L549"")"),431888)</f>
        <v>431888</v>
      </c>
      <c r="E30" s="200">
        <f ca="1">IFERROR(__xludf.DUMMYFUNCTION("IMPORTRANGE(""https://docs.google.com/spreadsheets/d/1kII0BjS6CtVrBvI8IrytgPdxDrlyQDyigzMsohRtDMs/edit?usp=sharing"",""อุทัยธานี!L557"")"),0)</f>
        <v>0</v>
      </c>
      <c r="F30" s="197">
        <f t="shared" ca="1" si="1"/>
        <v>129275</v>
      </c>
      <c r="G30" s="205">
        <f t="shared" ca="1" si="2"/>
        <v>29.93252880376394</v>
      </c>
      <c r="H30" s="199">
        <f t="shared" ca="1" si="50"/>
        <v>129275</v>
      </c>
      <c r="I30" s="200">
        <f ca="1">IFERROR(__xludf.DUMMYFUNCTION("IMPORTRANGE(""https://docs.google.com/spreadsheets/d/1kII0BjS6CtVrBvI8IrytgPdxDrlyQDyigzMsohRtDMs/edit?usp=sharing"",""อุทัยธานี!N550"")"),0)</f>
        <v>0</v>
      </c>
      <c r="J30" s="200">
        <f ca="1">IFERROR(__xludf.DUMMYFUNCTION("IMPORTRANGE(""https://docs.google.com/spreadsheets/d/1kII0BjS6CtVrBvI8IrytgPdxDrlyQDyigzMsohRtDMs/edit?usp=sharing"",""อุทัยธานี!N551"")"),0)</f>
        <v>0</v>
      </c>
      <c r="K30" s="200">
        <f ca="1">IFERROR(__xludf.DUMMYFUNCTION("IMPORTRANGE(""https://docs.google.com/spreadsheets/d/1kII0BjS6CtVrBvI8IrytgPdxDrlyQDyigzMsohRtDMs/edit?usp=sharing"",""อุทัยธานี!N552"")"),38580)</f>
        <v>38580</v>
      </c>
      <c r="L30" s="200">
        <f ca="1">IFERROR(__xludf.DUMMYFUNCTION("IMPORTRANGE(""https://docs.google.com/spreadsheets/d/1kII0BjS6CtVrBvI8IrytgPdxDrlyQDyigzMsohRtDMs/edit?usp=sharing"",""อุทัยธานี!N553"")"),90695)</f>
        <v>90695</v>
      </c>
      <c r="M30" s="200">
        <f ca="1">IFERROR(__xludf.DUMMYFUNCTION("IMPORTRANGE(""https://docs.google.com/spreadsheets/d/1kII0BjS6CtVrBvI8IrytgPdxDrlyQDyigzMsohRtDMs/edit?usp=sharing"",""อุทัยธานี!N554"")"),0)</f>
        <v>0</v>
      </c>
      <c r="N30" s="201">
        <f ca="1">IFERROR(__xludf.DUMMYFUNCTION("IMPORTRANGE(""https://docs.google.com/spreadsheets/d/1kII0BjS6CtVrBvI8IrytgPdxDrlyQDyigzMsohRtDMs/edit?usp=sharing"",""อุทัยธานี!N557"")"),0)</f>
        <v>0</v>
      </c>
      <c r="O30" s="201">
        <f t="shared" ca="1" si="41"/>
        <v>0</v>
      </c>
      <c r="P30" s="202">
        <f ca="1">IFERROR(__xludf.DUMMYFUNCTION("IMPORTRANGE(""https://docs.google.com/spreadsheets/d/1kII0BjS6CtVrBvI8IrytgPdxDrlyQDyigzMsohRtDMs/edit?usp=sharing"",""อุทัยธานี!I560"")"),53985)</f>
        <v>53985</v>
      </c>
      <c r="Q30" s="202">
        <f ca="1">IFERROR(__xludf.DUMMYFUNCTION("IMPORTRANGE(""https://docs.google.com/spreadsheets/d/1kII0BjS6CtVrBvI8IrytgPdxDrlyQDyigzMsohRtDMs/edit?usp=sharing"",""อุทัยธานี!I561"")"),4693)</f>
        <v>4693</v>
      </c>
      <c r="R30" s="203">
        <f ca="1">IFERROR(__xludf.DUMMYFUNCTION("IMPORTRANGE(""https://docs.google.com/spreadsheets/d/1kII0BjS6CtVrBvI8IrytgPdxDrlyQDyigzMsohRtDMs/edit?usp=sharing"",""อุทัยธานี!J560"")"),52855.65)</f>
        <v>52855.65</v>
      </c>
      <c r="S30" s="203">
        <f t="shared" ca="1" si="33"/>
        <v>97.908030008335643</v>
      </c>
      <c r="T30" s="202">
        <f ca="1">IFERROR(__xludf.DUMMYFUNCTION("IMPORTRANGE(""https://docs.google.com/spreadsheets/d/1kII0BjS6CtVrBvI8IrytgPdxDrlyQDyigzMsohRtDMs/edit?usp=sharing"",""อุทัยธานี!J561"")"),4636)</f>
        <v>4636</v>
      </c>
      <c r="U30" s="203">
        <f t="shared" ca="1" si="7"/>
        <v>98.785425101214571</v>
      </c>
      <c r="V30" s="203">
        <f ca="1">IFERROR(__xludf.DUMMYFUNCTION("IMPORTRANGE(""https://docs.google.com/spreadsheets/d/1kII0BjS6CtVrBvI8IrytgPdxDrlyQDyigzMsohRtDMs/edit?usp=sharing"",""อุทัยธานี!J562"")"),38911.18)</f>
        <v>38911.18</v>
      </c>
      <c r="W30" s="263">
        <f ca="1">IFERROR(__xludf.DUMMYFUNCTION("IMPORTRANGE(""https://docs.google.com/spreadsheets/d/1kII0BjS6CtVrBvI8IrytgPdxDrlyQDyigzMsohRtDMs/edit?usp=sharing"",""อุทัยธานี!J563"")"),3680)</f>
        <v>3680</v>
      </c>
      <c r="X30" s="203">
        <f ca="1">IFERROR(__xludf.DUMMYFUNCTION("IMPORTRANGE(""https://docs.google.com/spreadsheets/d/1kII0BjS6CtVrBvI8IrytgPdxDrlyQDyigzMsohRtDMs/edit?usp=sharing"",""อุทัยธานี!J564"")"),10880.29)</f>
        <v>10880.29</v>
      </c>
      <c r="Y30" s="263">
        <f ca="1">IFERROR(__xludf.DUMMYFUNCTION("IMPORTRANGE(""https://docs.google.com/spreadsheets/d/1kII0BjS6CtVrBvI8IrytgPdxDrlyQDyigzMsohRtDMs/edit?usp=sharing"",""อุทัยธานี!J565"")"),732)</f>
        <v>732</v>
      </c>
      <c r="Z30" s="203">
        <f ca="1">IFERROR(__xludf.DUMMYFUNCTION("IMPORTRANGE(""https://docs.google.com/spreadsheets/d/1kII0BjS6CtVrBvI8IrytgPdxDrlyQDyigzMsohRtDMs/edit?usp=sharing"",""อุทัยธานี!J566"")"),3064.18)</f>
        <v>3064.18</v>
      </c>
      <c r="AA30" s="263">
        <f ca="1">IFERROR(__xludf.DUMMYFUNCTION("IMPORTRANGE(""https://docs.google.com/spreadsheets/d/1kII0BjS6CtVrBvI8IrytgPdxDrlyQDyigzMsohRtDMs/edit?usp=sharing"",""อุทัยธานี!J567"")"),224)</f>
        <v>224</v>
      </c>
      <c r="AB30" s="202">
        <f ca="1">IFERROR(__xludf.DUMMYFUNCTION("IMPORTRANGE(""https://docs.google.com/spreadsheets/d/1kII0BjS6CtVrBvI8IrytgPdxDrlyQDyigzMsohRtDMs/edit?usp=sharing"",""อุทัยธานี!I568"")"),53985)</f>
        <v>53985</v>
      </c>
      <c r="AC30" s="202">
        <f ca="1">IFERROR(__xludf.DUMMYFUNCTION("IMPORTRANGE(""https://docs.google.com/spreadsheets/d/1kII0BjS6CtVrBvI8IrytgPdxDrlyQDyigzMsohRtDMs/edit?usp=sharing"",""อุทัยธานี!I569"")"),4693)</f>
        <v>4693</v>
      </c>
      <c r="AD30" s="203">
        <f ca="1">IFERROR(__xludf.DUMMYFUNCTION("IMPORTRANGE(""https://docs.google.com/spreadsheets/d/1kII0BjS6CtVrBvI8IrytgPdxDrlyQDyigzMsohRtDMs/edit?usp=sharing"",""อุทัยธานี!J568"")"),0)</f>
        <v>0</v>
      </c>
      <c r="AE30" s="203">
        <f t="shared" ca="1" si="34"/>
        <v>0</v>
      </c>
      <c r="AF30" s="202">
        <f ca="1">IFERROR(__xludf.DUMMYFUNCTION("IMPORTRANGE(""https://docs.google.com/spreadsheets/d/1kII0BjS6CtVrBvI8IrytgPdxDrlyQDyigzMsohRtDMs/edit?usp=sharing"",""อุทัยธานี!J569"")"),0)</f>
        <v>0</v>
      </c>
      <c r="AG30" s="203">
        <f t="shared" ca="1" si="10"/>
        <v>0</v>
      </c>
      <c r="AH30" s="203">
        <f ca="1">IFERROR(__xludf.DUMMYFUNCTION("IMPORTRANGE(""https://docs.google.com/spreadsheets/d/1kII0BjS6CtVrBvI8IrytgPdxDrlyQDyigzMsohRtDMs/edit?usp=sharing"",""อุทัยธานี!J570"")"),0)</f>
        <v>0</v>
      </c>
      <c r="AI30" s="263">
        <f ca="1">IFERROR(__xludf.DUMMYFUNCTION("IMPORTRANGE(""https://docs.google.com/spreadsheets/d/1kII0BjS6CtVrBvI8IrytgPdxDrlyQDyigzMsohRtDMs/edit?usp=sharing"",""อุทัยธานี!J571"")"),0)</f>
        <v>0</v>
      </c>
      <c r="AJ30" s="203">
        <f ca="1">IFERROR(__xludf.DUMMYFUNCTION("IMPORTRANGE(""https://docs.google.com/spreadsheets/d/1kII0BjS6CtVrBvI8IrytgPdxDrlyQDyigzMsohRtDMs/edit?usp=sharing"",""อุทัยธานี!J572"")"),0)</f>
        <v>0</v>
      </c>
      <c r="AK30" s="263">
        <f ca="1">IFERROR(__xludf.DUMMYFUNCTION("IMPORTRANGE(""https://docs.google.com/spreadsheets/d/1kII0BjS6CtVrBvI8IrytgPdxDrlyQDyigzMsohRtDMs/edit?usp=sharing"",""อุทัยธานี!J573"")"),0)</f>
        <v>0</v>
      </c>
      <c r="AL30" s="203">
        <f ca="1">IFERROR(__xludf.DUMMYFUNCTION("IMPORTRANGE(""https://docs.google.com/spreadsheets/d/1kII0BjS6CtVrBvI8IrytgPdxDrlyQDyigzMsohRtDMs/edit?usp=sharing"",""อุทัยธานี!J574"")"),0)</f>
        <v>0</v>
      </c>
      <c r="AM30" s="263">
        <f ca="1">IFERROR(__xludf.DUMMYFUNCTION("IMPORTRANGE(""https://docs.google.com/spreadsheets/d/1kII0BjS6CtVrBvI8IrytgPdxDrlyQDyigzMsohRtDMs/edit?usp=sharing"",""อุทัยธานี!J575"")"),0)</f>
        <v>0</v>
      </c>
      <c r="AN30" s="202">
        <f ca="1">IFERROR(__xludf.DUMMYFUNCTION("IMPORTRANGE(""https://docs.google.com/spreadsheets/d/1kII0BjS6CtVrBvI8IrytgPdxDrlyQDyigzMsohRtDMs/edit?usp=sharing"",""อุทัยธานี!I576"")"),53985)</f>
        <v>53985</v>
      </c>
      <c r="AO30" s="202">
        <f ca="1">IFERROR(__xludf.DUMMYFUNCTION("IMPORTRANGE(""https://docs.google.com/spreadsheets/d/1kII0BjS6CtVrBvI8IrytgPdxDrlyQDyigzMsohRtDMs/edit?usp=sharing"",""อุทัยธานี!I577"")"),4693)</f>
        <v>4693</v>
      </c>
      <c r="AP30" s="203">
        <f ca="1">IFERROR(__xludf.DUMMYFUNCTION("IMPORTRANGE(""https://docs.google.com/spreadsheets/d/1kII0BjS6CtVrBvI8IrytgPdxDrlyQDyigzMsohRtDMs/edit?usp=sharing"",""อุทัยธานี!J576"")"),0)</f>
        <v>0</v>
      </c>
      <c r="AQ30" s="203">
        <f t="shared" ca="1" si="35"/>
        <v>0</v>
      </c>
      <c r="AR30" s="202">
        <f ca="1">IFERROR(__xludf.DUMMYFUNCTION("IMPORTRANGE(""https://docs.google.com/spreadsheets/d/1kII0BjS6CtVrBvI8IrytgPdxDrlyQDyigzMsohRtDMs/edit?usp=sharing"",""อุทัยธานี!J577"")"),0)</f>
        <v>0</v>
      </c>
      <c r="AS30" s="203">
        <f t="shared" ca="1" si="13"/>
        <v>0</v>
      </c>
      <c r="AT30" s="203">
        <f ca="1">IFERROR(__xludf.DUMMYFUNCTION("IMPORTRANGE(""https://docs.google.com/spreadsheets/d/1kII0BjS6CtVrBvI8IrytgPdxDrlyQDyigzMsohRtDMs/edit?usp=sharing"",""อุทัยธานี!J578"")"),0)</f>
        <v>0</v>
      </c>
      <c r="AU30" s="263">
        <f ca="1">IFERROR(__xludf.DUMMYFUNCTION("IMPORTRANGE(""https://docs.google.com/spreadsheets/d/1kII0BjS6CtVrBvI8IrytgPdxDrlyQDyigzMsohRtDMs/edit?usp=sharing"",""อุทัยธานี!J579"")"),0)</f>
        <v>0</v>
      </c>
      <c r="AV30" s="203">
        <f ca="1">IFERROR(__xludf.DUMMYFUNCTION("IMPORTRANGE(""https://docs.google.com/spreadsheets/d/1kII0BjS6CtVrBvI8IrytgPdxDrlyQDyigzMsohRtDMs/edit?usp=sharing"",""อุทัยธานี!J580"")"),0)</f>
        <v>0</v>
      </c>
      <c r="AW30" s="263">
        <f ca="1">IFERROR(__xludf.DUMMYFUNCTION("IMPORTRANGE(""https://docs.google.com/spreadsheets/d/1kII0BjS6CtVrBvI8IrytgPdxDrlyQDyigzMsohRtDMs/edit?usp=sharing"",""อุทัยธานี!J581"")"),0)</f>
        <v>0</v>
      </c>
      <c r="AX30" s="203">
        <f ca="1">IFERROR(__xludf.DUMMYFUNCTION("IMPORTRANGE(""https://docs.google.com/spreadsheets/d/1kII0BjS6CtVrBvI8IrytgPdxDrlyQDyigzMsohRtDMs/edit?usp=sharing"",""อุทัยธานี!J582"")"),0)</f>
        <v>0</v>
      </c>
      <c r="AY30" s="263">
        <f ca="1">IFERROR(__xludf.DUMMYFUNCTION("IMPORTRANGE(""https://docs.google.com/spreadsheets/d/1kII0BjS6CtVrBvI8IrytgPdxDrlyQDyigzMsohRtDMs/edit?usp=sharing"",""อุทัยธานี!J583"")"),0)</f>
        <v>0</v>
      </c>
      <c r="AZ30" s="264">
        <f ca="1">IFERROR(__xludf.DUMMYFUNCTION("IMPORTRANGE(""https://docs.google.com/spreadsheets/d/1kII0BjS6CtVrBvI8IrytgPdxDrlyQDyigzMsohRtDMs/edit?usp=sharing"",""อุทัยธานี!J584"")"),0)</f>
        <v>0</v>
      </c>
      <c r="BA30" s="263">
        <f ca="1">IFERROR(__xludf.DUMMYFUNCTION("IMPORTRANGE(""https://docs.google.com/spreadsheets/d/1kII0BjS6CtVrBvI8IrytgPdxDrlyQDyigzMsohRtDMs/edit?usp=sharing"",""อุทัยธานี!J585"")"),0)</f>
        <v>0</v>
      </c>
      <c r="BB30" s="264">
        <f ca="1">IFERROR(__xludf.DUMMYFUNCTION("IMPORTRANGE(""https://docs.google.com/spreadsheets/d/1kII0BjS6CtVrBvI8IrytgPdxDrlyQDyigzMsohRtDMs/edit?usp=sharing"",""อุทัยธานี!J586"")"),0)</f>
        <v>0</v>
      </c>
      <c r="BC30" s="263">
        <f ca="1">IFERROR(__xludf.DUMMYFUNCTION("IMPORTRANGE(""https://docs.google.com/spreadsheets/d/1kII0BjS6CtVrBvI8IrytgPdxDrlyQDyigzMsohRtDMs/edit?usp=sharing"",""อุทัยธานี!J587"")"),0)</f>
        <v>0</v>
      </c>
      <c r="BD30" s="203">
        <f ca="1">IFERROR(__xludf.DUMMYFUNCTION("IMPORTRANGE(""https://docs.google.com/spreadsheets/d/1kII0BjS6CtVrBvI8IrytgPdxDrlyQDyigzMsohRtDMs/edit?usp=sharing"",""อุทัยธานี!J588"")"),0)</f>
        <v>0</v>
      </c>
      <c r="BE30" s="263">
        <f ca="1">IFERROR(__xludf.DUMMYFUNCTION("IMPORTRANGE(""https://docs.google.com/spreadsheets/d/1kII0BjS6CtVrBvI8IrytgPdxDrlyQDyigzMsohRtDMs/edit?usp=sharing"",""อุทัยธานี!J589"")"),0)</f>
        <v>0</v>
      </c>
      <c r="BF30" s="203">
        <f ca="1">IFERROR(__xludf.DUMMYFUNCTION("IMPORTRANGE(""https://docs.google.com/spreadsheets/d/1kII0BjS6CtVrBvI8IrytgPdxDrlyQDyigzMsohRtDMs/edit?usp=sharing"",""อุทัยธานี!J590"")"),0)</f>
        <v>0</v>
      </c>
      <c r="BG30" s="263">
        <f ca="1">IFERROR(__xludf.DUMMYFUNCTION("IMPORTRANGE(""https://docs.google.com/spreadsheets/d/1kII0BjS6CtVrBvI8IrytgPdxDrlyQDyigzMsohRtDMs/edit?usp=sharing"",""อุทัยธานี!J591"")"),0)</f>
        <v>0</v>
      </c>
      <c r="BH30" s="202">
        <f ca="1">IFERROR(__xludf.DUMMYFUNCTION("IMPORTRANGE(""https://docs.google.com/spreadsheets/d/1kII0BjS6CtVrBvI8IrytgPdxDrlyQDyigzMsohRtDMs/edit?usp=sharing"",""อุทัยธานี!I593"")"),6005.77)</f>
        <v>6005.77</v>
      </c>
      <c r="BI30" s="202">
        <f ca="1">IFERROR(__xludf.DUMMYFUNCTION("IMPORTRANGE(""https://docs.google.com/spreadsheets/d/1kII0BjS6CtVrBvI8IrytgPdxDrlyQDyigzMsohRtDMs/edit?usp=sharing"",""อุทัยธานี!I594"")"),358)</f>
        <v>358</v>
      </c>
      <c r="BJ30" s="203">
        <f ca="1">IFERROR(__xludf.DUMMYFUNCTION("IMPORTRANGE(""https://docs.google.com/spreadsheets/d/1kII0BjS6CtVrBvI8IrytgPdxDrlyQDyigzMsohRtDMs/edit?usp=sharing"",""อุทัยธานี!J593"")"),304)</f>
        <v>304</v>
      </c>
      <c r="BK30" s="203">
        <f t="shared" ca="1" si="36"/>
        <v>5.0617989033879081</v>
      </c>
      <c r="BL30" s="202">
        <f ca="1">IFERROR(__xludf.DUMMYFUNCTION("IMPORTRANGE(""https://docs.google.com/spreadsheets/d/1kII0BjS6CtVrBvI8IrytgPdxDrlyQDyigzMsohRtDMs/edit?usp=sharing"",""อุทัยธานี!J594"")"),13)</f>
        <v>13</v>
      </c>
      <c r="BM30" s="203">
        <f t="shared" ca="1" si="16"/>
        <v>3.6312849162011172</v>
      </c>
      <c r="BN30" s="203">
        <f ca="1">IFERROR(__xludf.DUMMYFUNCTION("IMPORTRANGE(""https://docs.google.com/spreadsheets/d/1kII0BjS6CtVrBvI8IrytgPdxDrlyQDyigzMsohRtDMs/edit?usp=sharing"",""อุทัยธานี!J595"")"),262)</f>
        <v>262</v>
      </c>
      <c r="BO30" s="263">
        <f ca="1">IFERROR(__xludf.DUMMYFUNCTION("IMPORTRANGE(""https://docs.google.com/spreadsheets/d/1kII0BjS6CtVrBvI8IrytgPdxDrlyQDyigzMsohRtDMs/edit?usp=sharing"",""อุทัยธานี!J596"")"),11)</f>
        <v>11</v>
      </c>
      <c r="BP30" s="203">
        <f ca="1">IFERROR(__xludf.DUMMYFUNCTION("IMPORTRANGE(""https://docs.google.com/spreadsheets/d/1kII0BjS6CtVrBvI8IrytgPdxDrlyQDyigzMsohRtDMs/edit?usp=sharing"",""อุทัยธานี!J597"")"),262)</f>
        <v>262</v>
      </c>
      <c r="BQ30" s="263">
        <f ca="1">IFERROR(__xludf.DUMMYFUNCTION("IMPORTRANGE(""https://docs.google.com/spreadsheets/d/1kII0BjS6CtVrBvI8IrytgPdxDrlyQDyigzMsohRtDMs/edit?usp=sharing"",""อุทัยธานี!J598"")"),11)</f>
        <v>11</v>
      </c>
      <c r="BR30" s="203">
        <f ca="1">IFERROR(__xludf.DUMMYFUNCTION("IMPORTRANGE(""https://docs.google.com/spreadsheets/d/1kII0BjS6CtVrBvI8IrytgPdxDrlyQDyigzMsohRtDMs/edit?usp=sharing"",""อุทัยธานี!J599"")"),0)</f>
        <v>0</v>
      </c>
      <c r="BS30" s="263">
        <f ca="1">IFERROR(__xludf.DUMMYFUNCTION("IMPORTRANGE(""https://docs.google.com/spreadsheets/d/1kII0BjS6CtVrBvI8IrytgPdxDrlyQDyigzMsohRtDMs/edit?usp=sharing"",""อุทัยธานี!J600"")"),0)</f>
        <v>0</v>
      </c>
      <c r="BT30" s="264">
        <f ca="1">IFERROR(__xludf.DUMMYFUNCTION("IMPORTRANGE(""https://docs.google.com/spreadsheets/d/1kII0BjS6CtVrBvI8IrytgPdxDrlyQDyigzMsohRtDMs/edit?usp=sharing"",""อุทัยธานี!J601"")"),0)</f>
        <v>0</v>
      </c>
      <c r="BU30" s="263">
        <f ca="1">IFERROR(__xludf.DUMMYFUNCTION("IMPORTRANGE(""https://docs.google.com/spreadsheets/d/1kII0BjS6CtVrBvI8IrytgPdxDrlyQDyigzMsohRtDMs/edit?usp=sharing"",""อุทัยธานี!J602"")"),0)</f>
        <v>0</v>
      </c>
      <c r="BV30" s="203">
        <f ca="1">IFERROR(__xludf.DUMMYFUNCTION("IMPORTRANGE(""https://docs.google.com/spreadsheets/d/1kII0BjS6CtVrBvI8IrytgPdxDrlyQDyigzMsohRtDMs/edit?usp=sharing"",""อุทัยธานี!J603"")"),42)</f>
        <v>42</v>
      </c>
      <c r="BW30" s="263">
        <f ca="1">IFERROR(__xludf.DUMMYFUNCTION("IMPORTRANGE(""https://docs.google.com/spreadsheets/d/1kII0BjS6CtVrBvI8IrytgPdxDrlyQDyigzMsohRtDMs/edit?usp=sharing"",""อุทัยธานี!J604"")"),2)</f>
        <v>2</v>
      </c>
      <c r="BX30" s="203">
        <f ca="1">IFERROR(__xludf.DUMMYFUNCTION("IMPORTRANGE(""https://docs.google.com/spreadsheets/d/1kII0BjS6CtVrBvI8IrytgPdxDrlyQDyigzMsohRtDMs/edit?usp=sharing"",""อุทัยธานี!J605"")"),24)</f>
        <v>24</v>
      </c>
      <c r="BY30" s="263">
        <f ca="1">IFERROR(__xludf.DUMMYFUNCTION("IMPORTRANGE(""https://docs.google.com/spreadsheets/d/1kII0BjS6CtVrBvI8IrytgPdxDrlyQDyigzMsohRtDMs/edit?usp=sharing"",""อุทัยธานี!J606"")"),1)</f>
        <v>1</v>
      </c>
      <c r="BZ30" s="203">
        <f ca="1">IFERROR(__xludf.DUMMYFUNCTION("IMPORTRANGE(""https://docs.google.com/spreadsheets/d/1kII0BjS6CtVrBvI8IrytgPdxDrlyQDyigzMsohRtDMs/edit?usp=sharing"",""อุทัยธานี!J607"")"),18)</f>
        <v>18</v>
      </c>
      <c r="CA30" s="263">
        <f ca="1">IFERROR(__xludf.DUMMYFUNCTION("IMPORTRANGE(""https://docs.google.com/spreadsheets/d/1kII0BjS6CtVrBvI8IrytgPdxDrlyQDyigzMsohRtDMs/edit?usp=sharing"",""อุทัยธานี!J608"")"),1)</f>
        <v>1</v>
      </c>
      <c r="CB30" s="203">
        <f ca="1">IFERROR(__xludf.DUMMYFUNCTION("IMPORTRANGE(""https://docs.google.com/spreadsheets/d/1kII0BjS6CtVrBvI8IrytgPdxDrlyQDyigzMsohRtDMs/edit?usp=sharing"",""อุทัยธานี!J609"")"),0)</f>
        <v>0</v>
      </c>
      <c r="CC30" s="263">
        <f ca="1">IFERROR(__xludf.DUMMYFUNCTION("IMPORTRANGE(""https://docs.google.com/spreadsheets/d/1kII0BjS6CtVrBvI8IrytgPdxDrlyQDyigzMsohRtDMs/edit?usp=sharing"",""อุทัยธานี!J610"")"),0)</f>
        <v>0</v>
      </c>
      <c r="CD30" s="263">
        <f ca="1">IFERROR(__xludf.DUMMYFUNCTION("IMPORTRANGE(""https://docs.google.com/spreadsheets/d/1kII0BjS6CtVrBvI8IrytgPdxDrlyQDyigzMsohRtDMs/edit?usp=sharing"",""อุทัยธานี!I612"")"),0)</f>
        <v>0</v>
      </c>
      <c r="CE30" s="263">
        <f ca="1">IFERROR(__xludf.DUMMYFUNCTION("IMPORTRANGE(""https://docs.google.com/spreadsheets/d/1kII0BjS6CtVrBvI8IrytgPdxDrlyQDyigzMsohRtDMs/edit?usp=sharing"",""อุทัยธานี!I594"")"),358)</f>
        <v>358</v>
      </c>
      <c r="CF30" s="264">
        <f ca="1">IFERROR(__xludf.DUMMYFUNCTION("IMPORTRANGE(""https://docs.google.com/spreadsheets/d/1kII0BjS6CtVrBvI8IrytgPdxDrlyQDyigzMsohRtDMs/edit?usp=sharing"",""อุทัยธานี!J612"")"),0)</f>
        <v>0</v>
      </c>
      <c r="CG30" s="264">
        <f t="shared" ca="1" si="37"/>
        <v>0</v>
      </c>
      <c r="CH30" s="263">
        <f ca="1">IFERROR(__xludf.DUMMYFUNCTION("IMPORTRANGE(""https://docs.google.com/spreadsheets/d/1kII0BjS6CtVrBvI8IrytgPdxDrlyQDyigzMsohRtDMs/edit?usp=sharing"",""อุทัยธานี!J613"")"),0)</f>
        <v>0</v>
      </c>
      <c r="CI30" s="264">
        <f t="shared" ca="1" si="19"/>
        <v>0</v>
      </c>
      <c r="CJ30" s="203">
        <f ca="1">IFERROR(__xludf.DUMMYFUNCTION("IMPORTRANGE(""https://docs.google.com/spreadsheets/d/1kII0BjS6CtVrBvI8IrytgPdxDrlyQDyigzMsohRtDMs/edit?usp=sharing"",""อุทัยธานี!J614"")"),0)</f>
        <v>0</v>
      </c>
      <c r="CK30" s="263">
        <f ca="1">IFERROR(__xludf.DUMMYFUNCTION("IMPORTRANGE(""https://docs.google.com/spreadsheets/d/1kII0BjS6CtVrBvI8IrytgPdxDrlyQDyigzMsohRtDMs/edit?usp=sharing"",""อุทัยธานี!J615"")"),0)</f>
        <v>0</v>
      </c>
      <c r="CL30" s="203">
        <f ca="1">IFERROR(__xludf.DUMMYFUNCTION("IMPORTRANGE(""https://docs.google.com/spreadsheets/d/1kII0BjS6CtVrBvI8IrytgPdxDrlyQDyigzMsohRtDMs/edit?usp=sharing"",""อุทัยธานี!J616"")"),0)</f>
        <v>0</v>
      </c>
      <c r="CM30" s="263">
        <f ca="1">IFERROR(__xludf.DUMMYFUNCTION("IMPORTRANGE(""https://docs.google.com/spreadsheets/d/1kII0BjS6CtVrBvI8IrytgPdxDrlyQDyigzMsohRtDMs/edit?usp=sharing"",""อุทัยธานี!J617"")"),0)</f>
        <v>0</v>
      </c>
      <c r="CN30" s="263">
        <f ca="1">IFERROR(__xludf.DUMMYFUNCTION("IMPORTRANGE(""https://docs.google.com/spreadsheets/d/1kII0BjS6CtVrBvI8IrytgPdxDrlyQDyigzMsohRtDMs/edit?usp=sharing"",""อุทัยธานี!I620"")"),0)</f>
        <v>0</v>
      </c>
      <c r="CO30" s="263">
        <f ca="1">IFERROR(__xludf.DUMMYFUNCTION("IMPORTRANGE(""https://docs.google.com/spreadsheets/d/1kII0BjS6CtVrBvI8IrytgPdxDrlyQDyigzMsohRtDMs/edit?usp=sharing"",""อุทัยธานี!I621"")"),0)</f>
        <v>0</v>
      </c>
      <c r="CP30" s="264">
        <f ca="1">IFERROR(__xludf.DUMMYFUNCTION("IMPORTRANGE(""https://docs.google.com/spreadsheets/d/1kII0BjS6CtVrBvI8IrytgPdxDrlyQDyigzMsohRtDMs/edit?usp=sharing"",""อุทัยธานี!J620"")"),0)</f>
        <v>0</v>
      </c>
      <c r="CQ30" s="264">
        <f t="shared" ca="1" si="38"/>
        <v>0</v>
      </c>
      <c r="CR30" s="263">
        <f ca="1">IFERROR(__xludf.DUMMYFUNCTION("IMPORTRANGE(""https://docs.google.com/spreadsheets/d/1kII0BjS6CtVrBvI8IrytgPdxDrlyQDyigzMsohRtDMs/edit?usp=sharing"",""อุทัยธานี!J621"")"),0)</f>
        <v>0</v>
      </c>
      <c r="CS30" s="264">
        <f t="shared" ca="1" si="22"/>
        <v>0</v>
      </c>
      <c r="CT30" s="203">
        <f ca="1">IFERROR(__xludf.DUMMYFUNCTION("IMPORTRANGE(""https://docs.google.com/spreadsheets/d/1kII0BjS6CtVrBvI8IrytgPdxDrlyQDyigzMsohRtDMs/edit?usp=sharing"",""อุทัยธานี!J622"")"),0)</f>
        <v>0</v>
      </c>
      <c r="CU30" s="263">
        <f ca="1">IFERROR(__xludf.DUMMYFUNCTION("IMPORTRANGE(""https://docs.google.com/spreadsheets/d/1kII0BjS6CtVrBvI8IrytgPdxDrlyQDyigzMsohRtDMs/edit?usp=sharing"",""อุทัยธานี!J623"")"),0)</f>
        <v>0</v>
      </c>
      <c r="CV30" s="203">
        <f ca="1">IFERROR(__xludf.DUMMYFUNCTION("IMPORTRANGE(""https://docs.google.com/spreadsheets/d/1kII0BjS6CtVrBvI8IrytgPdxDrlyQDyigzMsohRtDMs/edit?usp=sharing"",""อุทัยธานี!J624"")"),0)</f>
        <v>0</v>
      </c>
      <c r="CW30" s="263">
        <f ca="1">IFERROR(__xludf.DUMMYFUNCTION("IMPORTRANGE(""https://docs.google.com/spreadsheets/d/1kII0BjS6CtVrBvI8IrytgPdxDrlyQDyigzMsohRtDMs/edit?usp=sharing"",""อุทัยธานี!J625"")"),0)</f>
        <v>0</v>
      </c>
      <c r="CX30" s="203">
        <f ca="1">IFERROR(__xludf.DUMMYFUNCTION("IMPORTRANGE(""https://docs.google.com/spreadsheets/d/1kII0BjS6CtVrBvI8IrytgPdxDrlyQDyigzMsohRtDMs/edit?usp=sharing"",""อุทัยธานี!J626"")"),0)</f>
        <v>0</v>
      </c>
      <c r="CY30" s="263">
        <f ca="1">IFERROR(__xludf.DUMMYFUNCTION("IMPORTRANGE(""https://docs.google.com/spreadsheets/d/1kII0BjS6CtVrBvI8IrytgPdxDrlyQDyigzMsohRtDMs/edit?usp=sharing"",""อุทัยธานี!J627"")"),0)</f>
        <v>0</v>
      </c>
    </row>
    <row r="31" spans="1:103" ht="21" customHeight="1" x14ac:dyDescent="0.3">
      <c r="A31" s="338" t="s">
        <v>48</v>
      </c>
      <c r="B31" s="339"/>
      <c r="C31" s="265">
        <f t="shared" ref="C31:E31" ca="1" si="51">SUM(C32:C51)</f>
        <v>9848653</v>
      </c>
      <c r="D31" s="159">
        <f t="shared" ca="1" si="51"/>
        <v>9848653</v>
      </c>
      <c r="E31" s="159">
        <f t="shared" ca="1" si="51"/>
        <v>0</v>
      </c>
      <c r="F31" s="159">
        <f t="shared" ca="1" si="1"/>
        <v>2865543.6100000003</v>
      </c>
      <c r="G31" s="253">
        <f t="shared" ca="1" si="2"/>
        <v>29.095792185997421</v>
      </c>
      <c r="H31" s="159">
        <f t="shared" ref="H31:N31" ca="1" si="52">SUM(H32:H51)</f>
        <v>2865543.6100000003</v>
      </c>
      <c r="I31" s="159">
        <f t="shared" ca="1" si="52"/>
        <v>0</v>
      </c>
      <c r="J31" s="159">
        <f t="shared" ca="1" si="52"/>
        <v>44990</v>
      </c>
      <c r="K31" s="159">
        <f t="shared" ca="1" si="52"/>
        <v>878732.52</v>
      </c>
      <c r="L31" s="159">
        <f t="shared" ca="1" si="52"/>
        <v>1827703.4900000002</v>
      </c>
      <c r="M31" s="159">
        <f t="shared" ca="1" si="52"/>
        <v>114117.6</v>
      </c>
      <c r="N31" s="161">
        <f t="shared" ca="1" si="52"/>
        <v>0</v>
      </c>
      <c r="O31" s="161">
        <f t="shared" ca="1" si="41"/>
        <v>0</v>
      </c>
      <c r="P31" s="159">
        <f t="shared" ref="P31:R31" ca="1" si="53">SUM(P32:P51)</f>
        <v>1172953</v>
      </c>
      <c r="Q31" s="159">
        <f t="shared" ca="1" si="53"/>
        <v>126148</v>
      </c>
      <c r="R31" s="162">
        <f t="shared" ca="1" si="53"/>
        <v>1092543.7450000001</v>
      </c>
      <c r="S31" s="162">
        <f t="shared" ca="1" si="33"/>
        <v>93.144716369709627</v>
      </c>
      <c r="T31" s="159">
        <f ca="1">SUM(T32:T51)</f>
        <v>118088</v>
      </c>
      <c r="U31" s="162">
        <f t="shared" ca="1" si="7"/>
        <v>93.610679519294791</v>
      </c>
      <c r="V31" s="162">
        <f t="shared" ref="V31:AD31" ca="1" si="54">SUM(V32:V51)</f>
        <v>872922.66250000009</v>
      </c>
      <c r="W31" s="254">
        <f t="shared" ca="1" si="54"/>
        <v>98692</v>
      </c>
      <c r="X31" s="162">
        <f t="shared" ca="1" si="54"/>
        <v>183753.86749999999</v>
      </c>
      <c r="Y31" s="254">
        <f t="shared" ca="1" si="54"/>
        <v>15694</v>
      </c>
      <c r="Z31" s="162">
        <f t="shared" ca="1" si="54"/>
        <v>35867.214999999997</v>
      </c>
      <c r="AA31" s="254">
        <f t="shared" ca="1" si="54"/>
        <v>3702</v>
      </c>
      <c r="AB31" s="159">
        <f t="shared" ca="1" si="54"/>
        <v>1172953</v>
      </c>
      <c r="AC31" s="159">
        <f t="shared" ca="1" si="54"/>
        <v>126148</v>
      </c>
      <c r="AD31" s="162">
        <f t="shared" ca="1" si="54"/>
        <v>342565.11999999988</v>
      </c>
      <c r="AE31" s="162">
        <f t="shared" ca="1" si="34"/>
        <v>29.205357759432804</v>
      </c>
      <c r="AF31" s="159">
        <f ca="1">SUM(AF32:AF51)</f>
        <v>37762</v>
      </c>
      <c r="AG31" s="162">
        <f t="shared" ca="1" si="10"/>
        <v>29.934679899800233</v>
      </c>
      <c r="AH31" s="162">
        <f t="shared" ref="AH31:AP31" ca="1" si="55">SUM(AH32:AH51)</f>
        <v>294474.92249999999</v>
      </c>
      <c r="AI31" s="254">
        <f t="shared" ca="1" si="55"/>
        <v>33468</v>
      </c>
      <c r="AJ31" s="162">
        <f t="shared" ca="1" si="55"/>
        <v>37722.985000000001</v>
      </c>
      <c r="AK31" s="254">
        <f t="shared" ca="1" si="55"/>
        <v>3171</v>
      </c>
      <c r="AL31" s="162">
        <f t="shared" ca="1" si="55"/>
        <v>10367.212500000001</v>
      </c>
      <c r="AM31" s="254">
        <f t="shared" ca="1" si="55"/>
        <v>1123</v>
      </c>
      <c r="AN31" s="159">
        <f t="shared" ca="1" si="55"/>
        <v>1172953</v>
      </c>
      <c r="AO31" s="159">
        <f t="shared" ca="1" si="55"/>
        <v>126148</v>
      </c>
      <c r="AP31" s="162">
        <f t="shared" ca="1" si="55"/>
        <v>162876.5</v>
      </c>
      <c r="AQ31" s="162">
        <f t="shared" ca="1" si="35"/>
        <v>13.886021008514408</v>
      </c>
      <c r="AR31" s="159">
        <f ca="1">SUM(AR32:AR51)</f>
        <v>16584</v>
      </c>
      <c r="AS31" s="162">
        <f t="shared" ca="1" si="13"/>
        <v>13.146462884865397</v>
      </c>
      <c r="AT31" s="162">
        <f t="shared" ref="AT31:BJ31" ca="1" si="56">SUM(AT32:AT51)</f>
        <v>137125.88250000001</v>
      </c>
      <c r="AU31" s="254">
        <f t="shared" ca="1" si="56"/>
        <v>14528</v>
      </c>
      <c r="AV31" s="162">
        <f t="shared" ca="1" si="56"/>
        <v>20575.195</v>
      </c>
      <c r="AW31" s="254">
        <f t="shared" ca="1" si="56"/>
        <v>1559</v>
      </c>
      <c r="AX31" s="162">
        <f t="shared" ca="1" si="56"/>
        <v>5175.4224999999997</v>
      </c>
      <c r="AY31" s="254">
        <f t="shared" ca="1" si="56"/>
        <v>497</v>
      </c>
      <c r="AZ31" s="255">
        <f t="shared" ca="1" si="56"/>
        <v>5135.7049999999999</v>
      </c>
      <c r="BA31" s="254">
        <f t="shared" ca="1" si="56"/>
        <v>493</v>
      </c>
      <c r="BB31" s="255">
        <f t="shared" ca="1" si="56"/>
        <v>39.717500000000001</v>
      </c>
      <c r="BC31" s="254">
        <f t="shared" ca="1" si="56"/>
        <v>4</v>
      </c>
      <c r="BD31" s="162">
        <f t="shared" ca="1" si="56"/>
        <v>0</v>
      </c>
      <c r="BE31" s="254">
        <f t="shared" ca="1" si="56"/>
        <v>0</v>
      </c>
      <c r="BF31" s="162">
        <f t="shared" ca="1" si="56"/>
        <v>0</v>
      </c>
      <c r="BG31" s="254">
        <f t="shared" ca="1" si="56"/>
        <v>0</v>
      </c>
      <c r="BH31" s="159">
        <f t="shared" ca="1" si="56"/>
        <v>78677.900000000009</v>
      </c>
      <c r="BI31" s="159">
        <f t="shared" ca="1" si="56"/>
        <v>6904</v>
      </c>
      <c r="BJ31" s="162">
        <f t="shared" ca="1" si="56"/>
        <v>3497.43</v>
      </c>
      <c r="BK31" s="162">
        <f t="shared" ca="1" si="36"/>
        <v>4.4452508264709651</v>
      </c>
      <c r="BL31" s="159">
        <f ca="1">SUM(BL32:BL51)</f>
        <v>590</v>
      </c>
      <c r="BM31" s="162">
        <f t="shared" ca="1" si="16"/>
        <v>8.545770567786791</v>
      </c>
      <c r="BN31" s="162">
        <f t="shared" ref="BN31:CF31" ca="1" si="57">SUM(BN32:BN51)</f>
        <v>3047.8599999999997</v>
      </c>
      <c r="BO31" s="254">
        <f t="shared" ca="1" si="57"/>
        <v>552</v>
      </c>
      <c r="BP31" s="162">
        <f t="shared" ca="1" si="57"/>
        <v>2797.8599999999997</v>
      </c>
      <c r="BQ31" s="254">
        <f t="shared" ca="1" si="57"/>
        <v>538</v>
      </c>
      <c r="BR31" s="162">
        <f t="shared" ca="1" si="57"/>
        <v>250</v>
      </c>
      <c r="BS31" s="254">
        <f t="shared" ca="1" si="57"/>
        <v>14</v>
      </c>
      <c r="BT31" s="255">
        <f t="shared" ca="1" si="57"/>
        <v>11</v>
      </c>
      <c r="BU31" s="254">
        <f t="shared" ca="1" si="57"/>
        <v>1</v>
      </c>
      <c r="BV31" s="162">
        <f t="shared" ca="1" si="57"/>
        <v>363.32</v>
      </c>
      <c r="BW31" s="254">
        <f t="shared" ca="1" si="57"/>
        <v>28</v>
      </c>
      <c r="BX31" s="162">
        <f t="shared" ca="1" si="57"/>
        <v>47.32</v>
      </c>
      <c r="BY31" s="254">
        <f t="shared" ca="1" si="57"/>
        <v>10</v>
      </c>
      <c r="BZ31" s="162">
        <f t="shared" ca="1" si="57"/>
        <v>316</v>
      </c>
      <c r="CA31" s="254">
        <f t="shared" ca="1" si="57"/>
        <v>18</v>
      </c>
      <c r="CB31" s="162">
        <f t="shared" ca="1" si="57"/>
        <v>86.25</v>
      </c>
      <c r="CC31" s="254">
        <f t="shared" ca="1" si="57"/>
        <v>10</v>
      </c>
      <c r="CD31" s="254">
        <f t="shared" ca="1" si="57"/>
        <v>0</v>
      </c>
      <c r="CE31" s="254">
        <f t="shared" ca="1" si="57"/>
        <v>6904</v>
      </c>
      <c r="CF31" s="255">
        <f t="shared" ca="1" si="57"/>
        <v>0</v>
      </c>
      <c r="CG31" s="255">
        <f t="shared" ca="1" si="37"/>
        <v>0</v>
      </c>
      <c r="CH31" s="254">
        <f ca="1">SUM(CH32:CH51)</f>
        <v>0</v>
      </c>
      <c r="CI31" s="255">
        <f t="shared" ca="1" si="19"/>
        <v>0</v>
      </c>
      <c r="CJ31" s="162">
        <f t="shared" ref="CJ31:CP31" ca="1" si="58">SUM(CJ32:CJ51)</f>
        <v>0</v>
      </c>
      <c r="CK31" s="254">
        <f t="shared" ca="1" si="58"/>
        <v>0</v>
      </c>
      <c r="CL31" s="162">
        <f t="shared" ca="1" si="58"/>
        <v>0</v>
      </c>
      <c r="CM31" s="254">
        <f t="shared" ca="1" si="58"/>
        <v>0</v>
      </c>
      <c r="CN31" s="254">
        <f t="shared" ca="1" si="58"/>
        <v>1310</v>
      </c>
      <c r="CO31" s="254">
        <f t="shared" ca="1" si="58"/>
        <v>108</v>
      </c>
      <c r="CP31" s="255">
        <f t="shared" ca="1" si="58"/>
        <v>22</v>
      </c>
      <c r="CQ31" s="255">
        <f t="shared" ca="1" si="38"/>
        <v>1.6793893129770991</v>
      </c>
      <c r="CR31" s="254">
        <f ca="1">SUM(CR32:CR51)</f>
        <v>1</v>
      </c>
      <c r="CS31" s="255">
        <f t="shared" ca="1" si="22"/>
        <v>0.92592592592592593</v>
      </c>
      <c r="CT31" s="162">
        <f t="shared" ref="CT31:CY31" ca="1" si="59">SUM(CT32:CT51)</f>
        <v>0</v>
      </c>
      <c r="CU31" s="254">
        <f t="shared" ca="1" si="59"/>
        <v>0</v>
      </c>
      <c r="CV31" s="162">
        <f t="shared" ca="1" si="59"/>
        <v>22</v>
      </c>
      <c r="CW31" s="254">
        <f t="shared" ca="1" si="59"/>
        <v>1</v>
      </c>
      <c r="CX31" s="162">
        <f t="shared" ca="1" si="59"/>
        <v>0</v>
      </c>
      <c r="CY31" s="254">
        <f t="shared" ca="1" si="59"/>
        <v>0</v>
      </c>
    </row>
    <row r="32" spans="1:103" ht="21" customHeight="1" x14ac:dyDescent="0.3">
      <c r="A32" s="178">
        <v>1</v>
      </c>
      <c r="B32" s="179" t="s">
        <v>49</v>
      </c>
      <c r="C32" s="180">
        <f t="shared" ref="C32:C51" ca="1" si="60">D32+E32</f>
        <v>406544</v>
      </c>
      <c r="D32" s="181">
        <f ca="1">IFERROR(__xludf.DUMMYFUNCTION("IMPORTRANGE(""https://docs.google.com/spreadsheets/d/1fb2B9NLcpJgjIieIJvenUTNPn0TimZDUi0OtYeiSQ_s/edit?usp=sharing"",""กาฬสินธุ์!L549"")"),406544)</f>
        <v>406544</v>
      </c>
      <c r="E32" s="181">
        <f ca="1">IFERROR(__xludf.DUMMYFUNCTION("IMPORTRANGE(""https://docs.google.com/spreadsheets/d/1fb2B9NLcpJgjIieIJvenUTNPn0TimZDUi0OtYeiSQ_s/edit?usp=sharing"",""กาฬสินธุ์!L557"")"),0)</f>
        <v>0</v>
      </c>
      <c r="F32" s="182">
        <f t="shared" ca="1" si="1"/>
        <v>72218</v>
      </c>
      <c r="G32" s="183">
        <f t="shared" ca="1" si="2"/>
        <v>17.763882876146248</v>
      </c>
      <c r="H32" s="184">
        <f t="shared" ref="H32:H51" ca="1" si="61">I32+J32+K32+L32+M32</f>
        <v>72218</v>
      </c>
      <c r="I32" s="181">
        <f ca="1">IFERROR(__xludf.DUMMYFUNCTION("IMPORTRANGE(""https://docs.google.com/spreadsheets/d/1fb2B9NLcpJgjIieIJvenUTNPn0TimZDUi0OtYeiSQ_s/edit?usp=sharing"",""กาฬสินธุ์!N550"")"),0)</f>
        <v>0</v>
      </c>
      <c r="J32" s="181">
        <f ca="1">IFERROR(__xludf.DUMMYFUNCTION("IMPORTRANGE(""https://docs.google.com/spreadsheets/d/1fb2B9NLcpJgjIieIJvenUTNPn0TimZDUi0OtYeiSQ_s/edit?usp=sharing"",""กาฬสินธุ์!N551"")"),0)</f>
        <v>0</v>
      </c>
      <c r="K32" s="181">
        <f ca="1">IFERROR(__xludf.DUMMYFUNCTION("IMPORTRANGE(""https://docs.google.com/spreadsheets/d/1fb2B9NLcpJgjIieIJvenUTNPn0TimZDUi0OtYeiSQ_s/edit?usp=sharing"",""กาฬสินธุ์!N552"")"),39000)</f>
        <v>39000</v>
      </c>
      <c r="L32" s="181">
        <f ca="1">IFERROR(__xludf.DUMMYFUNCTION("IMPORTRANGE(""https://docs.google.com/spreadsheets/d/1fb2B9NLcpJgjIieIJvenUTNPn0TimZDUi0OtYeiSQ_s/edit?usp=sharing"",""กาฬสินธุ์!N553"")"),33218)</f>
        <v>33218</v>
      </c>
      <c r="M32" s="181">
        <f ca="1">IFERROR(__xludf.DUMMYFUNCTION("IMPORTRANGE(""https://docs.google.com/spreadsheets/d/1fb2B9NLcpJgjIieIJvenUTNPn0TimZDUi0OtYeiSQ_s/edit?usp=sharing"",""กาฬสินธุ์!N554"")"),0)</f>
        <v>0</v>
      </c>
      <c r="N32" s="185">
        <f ca="1">IFERROR(__xludf.DUMMYFUNCTION("IMPORTRANGE(""https://docs.google.com/spreadsheets/d/1fb2B9NLcpJgjIieIJvenUTNPn0TimZDUi0OtYeiSQ_s/edit?usp=sharing"",""กาฬสินธุ์!N557"")"),0)</f>
        <v>0</v>
      </c>
      <c r="O32" s="185">
        <f t="shared" ca="1" si="41"/>
        <v>0</v>
      </c>
      <c r="P32" s="181">
        <f ca="1">IFERROR(__xludf.DUMMYFUNCTION("IMPORTRANGE(""https://docs.google.com/spreadsheets/d/1fb2B9NLcpJgjIieIJvenUTNPn0TimZDUi0OtYeiSQ_s/edit?usp=sharing"",""กาฬสินธุ์!I560"")"),43969)</f>
        <v>43969</v>
      </c>
      <c r="Q32" s="181">
        <f ca="1">IFERROR(__xludf.DUMMYFUNCTION("IMPORTRANGE(""https://docs.google.com/spreadsheets/d/1fb2B9NLcpJgjIieIJvenUTNPn0TimZDUi0OtYeiSQ_s/edit?usp=sharing"",""กาฬสินธุ์!I561"")"),4713)</f>
        <v>4713</v>
      </c>
      <c r="R32" s="186">
        <f ca="1">IFERROR(__xludf.DUMMYFUNCTION("IMPORTRANGE(""https://docs.google.com/spreadsheets/d/1fb2B9NLcpJgjIieIJvenUTNPn0TimZDUi0OtYeiSQ_s/edit?usp=sharing"",""กาฬสินธุ์!J560"")"),43969)</f>
        <v>43969</v>
      </c>
      <c r="S32" s="186">
        <f t="shared" ca="1" si="33"/>
        <v>100</v>
      </c>
      <c r="T32" s="181">
        <f ca="1">IFERROR(__xludf.DUMMYFUNCTION("IMPORTRANGE(""https://docs.google.com/spreadsheets/d/1fb2B9NLcpJgjIieIJvenUTNPn0TimZDUi0OtYeiSQ_s/edit?usp=sharing"",""กาฬสินธุ์!J561"")"),4713)</f>
        <v>4713</v>
      </c>
      <c r="U32" s="186">
        <f t="shared" ca="1" si="7"/>
        <v>100</v>
      </c>
      <c r="V32" s="186">
        <f ca="1">IFERROR(__xludf.DUMMYFUNCTION("IMPORTRANGE(""https://docs.google.com/spreadsheets/d/1fb2B9NLcpJgjIieIJvenUTNPn0TimZDUi0OtYeiSQ_s/edit?usp=sharing"",""กาฬสินธุ์!J562"")"),34293)</f>
        <v>34293</v>
      </c>
      <c r="W32" s="261">
        <f ca="1">IFERROR(__xludf.DUMMYFUNCTION("IMPORTRANGE(""https://docs.google.com/spreadsheets/d/1fb2B9NLcpJgjIieIJvenUTNPn0TimZDUi0OtYeiSQ_s/edit?usp=sharing"",""กาฬสินธุ์!J563"")"),3886)</f>
        <v>3886</v>
      </c>
      <c r="X32" s="186">
        <f ca="1">IFERROR(__xludf.DUMMYFUNCTION("IMPORTRANGE(""https://docs.google.com/spreadsheets/d/1fb2B9NLcpJgjIieIJvenUTNPn0TimZDUi0OtYeiSQ_s/edit?usp=sharing"",""กาฬสินธุ์!J564"")"),8547)</f>
        <v>8547</v>
      </c>
      <c r="Y32" s="261">
        <f ca="1">IFERROR(__xludf.DUMMYFUNCTION("IMPORTRANGE(""https://docs.google.com/spreadsheets/d/1fb2B9NLcpJgjIieIJvenUTNPn0TimZDUi0OtYeiSQ_s/edit?usp=sharing"",""กาฬสินธุ์!J565"")"),699)</f>
        <v>699</v>
      </c>
      <c r="Z32" s="186">
        <f ca="1">IFERROR(__xludf.DUMMYFUNCTION("IMPORTRANGE(""https://docs.google.com/spreadsheets/d/1fb2B9NLcpJgjIieIJvenUTNPn0TimZDUi0OtYeiSQ_s/edit?usp=sharing"",""กาฬสินธุ์!J566"")"),1129)</f>
        <v>1129</v>
      </c>
      <c r="AA32" s="261">
        <f ca="1">IFERROR(__xludf.DUMMYFUNCTION("IMPORTRANGE(""https://docs.google.com/spreadsheets/d/1fb2B9NLcpJgjIieIJvenUTNPn0TimZDUi0OtYeiSQ_s/edit?usp=sharing"",""กาฬสินธุ์!J567"")"),128)</f>
        <v>128</v>
      </c>
      <c r="AB32" s="181">
        <f ca="1">IFERROR(__xludf.DUMMYFUNCTION("IMPORTRANGE(""https://docs.google.com/spreadsheets/d/1fb2B9NLcpJgjIieIJvenUTNPn0TimZDUi0OtYeiSQ_s/edit?usp=sharing"",""กาฬสินธุ์!I568"")"),43969)</f>
        <v>43969</v>
      </c>
      <c r="AC32" s="181">
        <f ca="1">IFERROR(__xludf.DUMMYFUNCTION("IMPORTRANGE(""https://docs.google.com/spreadsheets/d/1fb2B9NLcpJgjIieIJvenUTNPn0TimZDUi0OtYeiSQ_s/edit?usp=sharing"",""กาฬสินธุ์!I569"")"),4713)</f>
        <v>4713</v>
      </c>
      <c r="AD32" s="186">
        <f ca="1">IFERROR(__xludf.DUMMYFUNCTION("IMPORTRANGE(""https://docs.google.com/spreadsheets/d/1fb2B9NLcpJgjIieIJvenUTNPn0TimZDUi0OtYeiSQ_s/edit?usp=sharing"",""กาฬสินธุ์!J568"")"),0)</f>
        <v>0</v>
      </c>
      <c r="AE32" s="186">
        <f t="shared" ca="1" si="34"/>
        <v>0</v>
      </c>
      <c r="AF32" s="181">
        <f ca="1">IFERROR(__xludf.DUMMYFUNCTION("IMPORTRANGE(""https://docs.google.com/spreadsheets/d/1fb2B9NLcpJgjIieIJvenUTNPn0TimZDUi0OtYeiSQ_s/edit?usp=sharing"",""กาฬสินธุ์!J569"")"),0)</f>
        <v>0</v>
      </c>
      <c r="AG32" s="186">
        <f t="shared" ca="1" si="10"/>
        <v>0</v>
      </c>
      <c r="AH32" s="186">
        <f ca="1">IFERROR(__xludf.DUMMYFUNCTION("IMPORTRANGE(""https://docs.google.com/spreadsheets/d/1fb2B9NLcpJgjIieIJvenUTNPn0TimZDUi0OtYeiSQ_s/edit?usp=sharing"",""กาฬสินธุ์!J570"")"),0)</f>
        <v>0</v>
      </c>
      <c r="AI32" s="261">
        <f ca="1">IFERROR(__xludf.DUMMYFUNCTION("IMPORTRANGE(""https://docs.google.com/spreadsheets/d/1fb2B9NLcpJgjIieIJvenUTNPn0TimZDUi0OtYeiSQ_s/edit?usp=sharing"",""กาฬสินธุ์!J571"")"),0)</f>
        <v>0</v>
      </c>
      <c r="AJ32" s="186">
        <f ca="1">IFERROR(__xludf.DUMMYFUNCTION("IMPORTRANGE(""https://docs.google.com/spreadsheets/d/1fb2B9NLcpJgjIieIJvenUTNPn0TimZDUi0OtYeiSQ_s/edit?usp=sharing"",""กาฬสินธุ์!J572"")"),0)</f>
        <v>0</v>
      </c>
      <c r="AK32" s="261">
        <f ca="1">IFERROR(__xludf.DUMMYFUNCTION("IMPORTRANGE(""https://docs.google.com/spreadsheets/d/1fb2B9NLcpJgjIieIJvenUTNPn0TimZDUi0OtYeiSQ_s/edit?usp=sharing"",""กาฬสินธุ์!J573"")"),0)</f>
        <v>0</v>
      </c>
      <c r="AL32" s="186">
        <f ca="1">IFERROR(__xludf.DUMMYFUNCTION("IMPORTRANGE(""https://docs.google.com/spreadsheets/d/1fb2B9NLcpJgjIieIJvenUTNPn0TimZDUi0OtYeiSQ_s/edit?usp=sharing"",""กาฬสินธุ์!J574"")"),0)</f>
        <v>0</v>
      </c>
      <c r="AM32" s="261">
        <f ca="1">IFERROR(__xludf.DUMMYFUNCTION("IMPORTRANGE(""https://docs.google.com/spreadsheets/d/1fb2B9NLcpJgjIieIJvenUTNPn0TimZDUi0OtYeiSQ_s/edit?usp=sharing"",""กาฬสินธุ์!J575"")"),0)</f>
        <v>0</v>
      </c>
      <c r="AN32" s="181">
        <f ca="1">IFERROR(__xludf.DUMMYFUNCTION("IMPORTRANGE(""https://docs.google.com/spreadsheets/d/1fb2B9NLcpJgjIieIJvenUTNPn0TimZDUi0OtYeiSQ_s/edit?usp=sharing"",""กาฬสินธุ์!I576"")"),43969)</f>
        <v>43969</v>
      </c>
      <c r="AO32" s="181">
        <f ca="1">IFERROR(__xludf.DUMMYFUNCTION("IMPORTRANGE(""https://docs.google.com/spreadsheets/d/1fb2B9NLcpJgjIieIJvenUTNPn0TimZDUi0OtYeiSQ_s/edit?usp=sharing"",""กาฬสินธุ์!I577"")"),4713)</f>
        <v>4713</v>
      </c>
      <c r="AP32" s="186">
        <f ca="1">IFERROR(__xludf.DUMMYFUNCTION("IMPORTRANGE(""https://docs.google.com/spreadsheets/d/1fb2B9NLcpJgjIieIJvenUTNPn0TimZDUi0OtYeiSQ_s/edit?usp=sharing"",""กาฬสินธุ์!J576"")"),0)</f>
        <v>0</v>
      </c>
      <c r="AQ32" s="186">
        <f t="shared" ca="1" si="35"/>
        <v>0</v>
      </c>
      <c r="AR32" s="181">
        <f ca="1">IFERROR(__xludf.DUMMYFUNCTION("IMPORTRANGE(""https://docs.google.com/spreadsheets/d/1fb2B9NLcpJgjIieIJvenUTNPn0TimZDUi0OtYeiSQ_s/edit?usp=sharing"",""กาฬสินธุ์!J577"")"),0)</f>
        <v>0</v>
      </c>
      <c r="AS32" s="186">
        <f t="shared" ca="1" si="13"/>
        <v>0</v>
      </c>
      <c r="AT32" s="186">
        <f ca="1">IFERROR(__xludf.DUMMYFUNCTION("IMPORTRANGE(""https://docs.google.com/spreadsheets/d/1fb2B9NLcpJgjIieIJvenUTNPn0TimZDUi0OtYeiSQ_s/edit?usp=sharing"",""กาฬสินธุ์!J578"")"),0)</f>
        <v>0</v>
      </c>
      <c r="AU32" s="261">
        <f ca="1">IFERROR(__xludf.DUMMYFUNCTION("IMPORTRANGE(""https://docs.google.com/spreadsheets/d/1fb2B9NLcpJgjIieIJvenUTNPn0TimZDUi0OtYeiSQ_s/edit?usp=sharing"",""กาฬสินธุ์!J579"")"),0)</f>
        <v>0</v>
      </c>
      <c r="AV32" s="186">
        <f ca="1">IFERROR(__xludf.DUMMYFUNCTION("IMPORTRANGE(""https://docs.google.com/spreadsheets/d/1fb2B9NLcpJgjIieIJvenUTNPn0TimZDUi0OtYeiSQ_s/edit?usp=sharing"",""กาฬสินธุ์!J580"")"),0)</f>
        <v>0</v>
      </c>
      <c r="AW32" s="261">
        <f ca="1">IFERROR(__xludf.DUMMYFUNCTION("IMPORTRANGE(""https://docs.google.com/spreadsheets/d/1fb2B9NLcpJgjIieIJvenUTNPn0TimZDUi0OtYeiSQ_s/edit?usp=sharing"",""กาฬสินธุ์!J581"")"),0)</f>
        <v>0</v>
      </c>
      <c r="AX32" s="186">
        <f ca="1">IFERROR(__xludf.DUMMYFUNCTION("IMPORTRANGE(""https://docs.google.com/spreadsheets/d/1fb2B9NLcpJgjIieIJvenUTNPn0TimZDUi0OtYeiSQ_s/edit?usp=sharing"",""กาฬสินธุ์!J582"")"),0)</f>
        <v>0</v>
      </c>
      <c r="AY32" s="261">
        <f ca="1">IFERROR(__xludf.DUMMYFUNCTION("IMPORTRANGE(""https://docs.google.com/spreadsheets/d/1fb2B9NLcpJgjIieIJvenUTNPn0TimZDUi0OtYeiSQ_s/edit?usp=sharing"",""กาฬสินธุ์!J583"")"),0)</f>
        <v>0</v>
      </c>
      <c r="AZ32" s="262">
        <f ca="1">IFERROR(__xludf.DUMMYFUNCTION("IMPORTRANGE(""https://docs.google.com/spreadsheets/d/1fb2B9NLcpJgjIieIJvenUTNPn0TimZDUi0OtYeiSQ_s/edit?usp=sharing"",""กาฬสินธุ์!J584"")"),0)</f>
        <v>0</v>
      </c>
      <c r="BA32" s="261">
        <f ca="1">IFERROR(__xludf.DUMMYFUNCTION("IMPORTRANGE(""https://docs.google.com/spreadsheets/d/1fb2B9NLcpJgjIieIJvenUTNPn0TimZDUi0OtYeiSQ_s/edit?usp=sharing"",""กาฬสินธุ์!J585"")"),0)</f>
        <v>0</v>
      </c>
      <c r="BB32" s="262">
        <f ca="1">IFERROR(__xludf.DUMMYFUNCTION("IMPORTRANGE(""https://docs.google.com/spreadsheets/d/1fb2B9NLcpJgjIieIJvenUTNPn0TimZDUi0OtYeiSQ_s/edit?usp=sharing"",""กาฬสินธุ์!J586"")"),0)</f>
        <v>0</v>
      </c>
      <c r="BC32" s="261">
        <f ca="1">IFERROR(__xludf.DUMMYFUNCTION("IMPORTRANGE(""https://docs.google.com/spreadsheets/d/1fb2B9NLcpJgjIieIJvenUTNPn0TimZDUi0OtYeiSQ_s/edit?usp=sharing"",""กาฬสินธุ์!J587"")"),0)</f>
        <v>0</v>
      </c>
      <c r="BD32" s="186">
        <f ca="1">IFERROR(__xludf.DUMMYFUNCTION("IMPORTRANGE(""https://docs.google.com/spreadsheets/d/1fb2B9NLcpJgjIieIJvenUTNPn0TimZDUi0OtYeiSQ_s/edit?usp=sharing"",""กาฬสินธุ์!J588"")"),0)</f>
        <v>0</v>
      </c>
      <c r="BE32" s="261">
        <f ca="1">IFERROR(__xludf.DUMMYFUNCTION("IMPORTRANGE(""https://docs.google.com/spreadsheets/d/1fb2B9NLcpJgjIieIJvenUTNPn0TimZDUi0OtYeiSQ_s/edit?usp=sharing"",""กาฬสินธุ์!J589"")"),0)</f>
        <v>0</v>
      </c>
      <c r="BF32" s="186">
        <f ca="1">IFERROR(__xludf.DUMMYFUNCTION("IMPORTRANGE(""https://docs.google.com/spreadsheets/d/1fb2B9NLcpJgjIieIJvenUTNPn0TimZDUi0OtYeiSQ_s/edit?usp=sharing"",""กาฬสินธุ์!J590"")"),0)</f>
        <v>0</v>
      </c>
      <c r="BG32" s="261">
        <f ca="1">IFERROR(__xludf.DUMMYFUNCTION("IMPORTRANGE(""https://docs.google.com/spreadsheets/d/1fb2B9NLcpJgjIieIJvenUTNPn0TimZDUi0OtYeiSQ_s/edit?usp=sharing"",""กาฬสินธุ์!J591"")"),0)</f>
        <v>0</v>
      </c>
      <c r="BH32" s="181">
        <f ca="1">IFERROR(__xludf.DUMMYFUNCTION("IMPORTRANGE(""https://docs.google.com/spreadsheets/d/1fb2B9NLcpJgjIieIJvenUTNPn0TimZDUi0OtYeiSQ_s/edit?usp=sharing"",""กาฬสินธุ์!I593"")"),1340.38)</f>
        <v>1340.38</v>
      </c>
      <c r="BI32" s="181">
        <f ca="1">IFERROR(__xludf.DUMMYFUNCTION("IMPORTRANGE(""https://docs.google.com/spreadsheets/d/1fb2B9NLcpJgjIieIJvenUTNPn0TimZDUi0OtYeiSQ_s/edit?usp=sharing"",""กาฬสินธุ์!I594"")"),137)</f>
        <v>137</v>
      </c>
      <c r="BJ32" s="186">
        <f ca="1">IFERROR(__xludf.DUMMYFUNCTION("IMPORTRANGE(""https://docs.google.com/spreadsheets/d/1fb2B9NLcpJgjIieIJvenUTNPn0TimZDUi0OtYeiSQ_s/edit?usp=sharing"",""กาฬสินธุ์!J593"")"),0)</f>
        <v>0</v>
      </c>
      <c r="BK32" s="186">
        <f t="shared" ca="1" si="36"/>
        <v>0</v>
      </c>
      <c r="BL32" s="181">
        <f ca="1">IFERROR(__xludf.DUMMYFUNCTION("IMPORTRANGE(""https://docs.google.com/spreadsheets/d/1fb2B9NLcpJgjIieIJvenUTNPn0TimZDUi0OtYeiSQ_s/edit?usp=sharing"",""กาฬสินธุ์!J594"")"),0)</f>
        <v>0</v>
      </c>
      <c r="BM32" s="186">
        <f t="shared" ca="1" si="16"/>
        <v>0</v>
      </c>
      <c r="BN32" s="186">
        <f ca="1">IFERROR(__xludf.DUMMYFUNCTION("IMPORTRANGE(""https://docs.google.com/spreadsheets/d/1fb2B9NLcpJgjIieIJvenUTNPn0TimZDUi0OtYeiSQ_s/edit?usp=sharing"",""กาฬสินธุ์!J595"")"),0)</f>
        <v>0</v>
      </c>
      <c r="BO32" s="261">
        <f ca="1">IFERROR(__xludf.DUMMYFUNCTION("IMPORTRANGE(""https://docs.google.com/spreadsheets/d/1fb2B9NLcpJgjIieIJvenUTNPn0TimZDUi0OtYeiSQ_s/edit?usp=sharing"",""กาฬสินธุ์!J596"")"),0)</f>
        <v>0</v>
      </c>
      <c r="BP32" s="186">
        <f ca="1">IFERROR(__xludf.DUMMYFUNCTION("IMPORTRANGE(""https://docs.google.com/spreadsheets/d/1fb2B9NLcpJgjIieIJvenUTNPn0TimZDUi0OtYeiSQ_s/edit?usp=sharing"",""กาฬสินธุ์!J597"")"),0)</f>
        <v>0</v>
      </c>
      <c r="BQ32" s="261">
        <f ca="1">IFERROR(__xludf.DUMMYFUNCTION("IMPORTRANGE(""https://docs.google.com/spreadsheets/d/1fb2B9NLcpJgjIieIJvenUTNPn0TimZDUi0OtYeiSQ_s/edit?usp=sharing"",""กาฬสินธุ์!J598"")"),0)</f>
        <v>0</v>
      </c>
      <c r="BR32" s="186">
        <f ca="1">IFERROR(__xludf.DUMMYFUNCTION("IMPORTRANGE(""https://docs.google.com/spreadsheets/d/1fb2B9NLcpJgjIieIJvenUTNPn0TimZDUi0OtYeiSQ_s/edit?usp=sharing"",""กาฬสินธุ์!J599"")"),0)</f>
        <v>0</v>
      </c>
      <c r="BS32" s="261">
        <f ca="1">IFERROR(__xludf.DUMMYFUNCTION("IMPORTRANGE(""https://docs.google.com/spreadsheets/d/1fb2B9NLcpJgjIieIJvenUTNPn0TimZDUi0OtYeiSQ_s/edit?usp=sharing"",""กาฬสินธุ์!J600"")"),0)</f>
        <v>0</v>
      </c>
      <c r="BT32" s="262">
        <f ca="1">IFERROR(__xludf.DUMMYFUNCTION("IMPORTRANGE(""https://docs.google.com/spreadsheets/d/1fb2B9NLcpJgjIieIJvenUTNPn0TimZDUi0OtYeiSQ_s/edit?usp=sharing"",""กาฬสินธุ์!J601"")"),0)</f>
        <v>0</v>
      </c>
      <c r="BU32" s="261">
        <f ca="1">IFERROR(__xludf.DUMMYFUNCTION("IMPORTRANGE(""https://docs.google.com/spreadsheets/d/1fb2B9NLcpJgjIieIJvenUTNPn0TimZDUi0OtYeiSQ_s/edit?usp=sharing"",""กาฬสินธุ์!J602"")"),0)</f>
        <v>0</v>
      </c>
      <c r="BV32" s="186">
        <f ca="1">IFERROR(__xludf.DUMMYFUNCTION("IMPORTRANGE(""https://docs.google.com/spreadsheets/d/1fb2B9NLcpJgjIieIJvenUTNPn0TimZDUi0OtYeiSQ_s/edit?usp=sharing"",""กาฬสินธุ์!J603"")"),0)</f>
        <v>0</v>
      </c>
      <c r="BW32" s="261">
        <f ca="1">IFERROR(__xludf.DUMMYFUNCTION("IMPORTRANGE(""https://docs.google.com/spreadsheets/d/1fb2B9NLcpJgjIieIJvenUTNPn0TimZDUi0OtYeiSQ_s/edit?usp=sharing"",""กาฬสินธุ์!J604"")"),0)</f>
        <v>0</v>
      </c>
      <c r="BX32" s="186">
        <f ca="1">IFERROR(__xludf.DUMMYFUNCTION("IMPORTRANGE(""https://docs.google.com/spreadsheets/d/1fb2B9NLcpJgjIieIJvenUTNPn0TimZDUi0OtYeiSQ_s/edit?usp=sharing"",""กาฬสินธุ์!J605"")"),0)</f>
        <v>0</v>
      </c>
      <c r="BY32" s="261">
        <f ca="1">IFERROR(__xludf.DUMMYFUNCTION("IMPORTRANGE(""https://docs.google.com/spreadsheets/d/1fb2B9NLcpJgjIieIJvenUTNPn0TimZDUi0OtYeiSQ_s/edit?usp=sharing"",""กาฬสินธุ์!J606"")"),0)</f>
        <v>0</v>
      </c>
      <c r="BZ32" s="186">
        <f ca="1">IFERROR(__xludf.DUMMYFUNCTION("IMPORTRANGE(""https://docs.google.com/spreadsheets/d/1fb2B9NLcpJgjIieIJvenUTNPn0TimZDUi0OtYeiSQ_s/edit?usp=sharing"",""กาฬสินธุ์!J607"")"),0)</f>
        <v>0</v>
      </c>
      <c r="CA32" s="261">
        <f ca="1">IFERROR(__xludf.DUMMYFUNCTION("IMPORTRANGE(""https://docs.google.com/spreadsheets/d/1fb2B9NLcpJgjIieIJvenUTNPn0TimZDUi0OtYeiSQ_s/edit?usp=sharing"",""กาฬสินธุ์!J608"")"),0)</f>
        <v>0</v>
      </c>
      <c r="CB32" s="186">
        <f ca="1">IFERROR(__xludf.DUMMYFUNCTION("IMPORTRANGE(""https://docs.google.com/spreadsheets/d/1fb2B9NLcpJgjIieIJvenUTNPn0TimZDUi0OtYeiSQ_s/edit?usp=sharing"",""กาฬสินธุ์!J609"")"),0)</f>
        <v>0</v>
      </c>
      <c r="CC32" s="261">
        <f ca="1">IFERROR(__xludf.DUMMYFUNCTION("IMPORTRANGE(""https://docs.google.com/spreadsheets/d/1fb2B9NLcpJgjIieIJvenUTNPn0TimZDUi0OtYeiSQ_s/edit?usp=sharing"",""กาฬสินธุ์!J610"")"),0)</f>
        <v>0</v>
      </c>
      <c r="CD32" s="261">
        <f ca="1">IFERROR(__xludf.DUMMYFUNCTION("IMPORTRANGE(""https://docs.google.com/spreadsheets/d/1fb2B9NLcpJgjIieIJvenUTNPn0TimZDUi0OtYeiSQ_s/edit?usp=sharing"",""กาฬสินธุ์!I612"")"),0)</f>
        <v>0</v>
      </c>
      <c r="CE32" s="261">
        <f ca="1">IFERROR(__xludf.DUMMYFUNCTION("IMPORTRANGE(""https://docs.google.com/spreadsheets/d/1fb2B9NLcpJgjIieIJvenUTNPn0TimZDUi0OtYeiSQ_s/edit?usp=sharing"",""กาฬสินธุ์!I594"")"),137)</f>
        <v>137</v>
      </c>
      <c r="CF32" s="262">
        <f ca="1">IFERROR(__xludf.DUMMYFUNCTION("IMPORTRANGE(""https://docs.google.com/spreadsheets/d/1fb2B9NLcpJgjIieIJvenUTNPn0TimZDUi0OtYeiSQ_s/edit?usp=sharing"",""กาฬสินธุ์!J612"")"),0)</f>
        <v>0</v>
      </c>
      <c r="CG32" s="262">
        <f t="shared" ca="1" si="37"/>
        <v>0</v>
      </c>
      <c r="CH32" s="261">
        <f ca="1">IFERROR(__xludf.DUMMYFUNCTION("IMPORTRANGE(""https://docs.google.com/spreadsheets/d/1fb2B9NLcpJgjIieIJvenUTNPn0TimZDUi0OtYeiSQ_s/edit?usp=sharing"",""กาฬสินธุ์!J613"")"),0)</f>
        <v>0</v>
      </c>
      <c r="CI32" s="262">
        <f t="shared" ca="1" si="19"/>
        <v>0</v>
      </c>
      <c r="CJ32" s="186">
        <f ca="1">IFERROR(__xludf.DUMMYFUNCTION("IMPORTRANGE(""https://docs.google.com/spreadsheets/d/1fb2B9NLcpJgjIieIJvenUTNPn0TimZDUi0OtYeiSQ_s/edit?usp=sharing"",""กาฬสินธุ์!J614"")"),0)</f>
        <v>0</v>
      </c>
      <c r="CK32" s="261">
        <f ca="1">IFERROR(__xludf.DUMMYFUNCTION("IMPORTRANGE(""https://docs.google.com/spreadsheets/d/1fb2B9NLcpJgjIieIJvenUTNPn0TimZDUi0OtYeiSQ_s/edit?usp=sharing"",""กาฬสินธุ์!J615"")"),0)</f>
        <v>0</v>
      </c>
      <c r="CL32" s="186">
        <f ca="1">IFERROR(__xludf.DUMMYFUNCTION("IMPORTRANGE(""https://docs.google.com/spreadsheets/d/1fb2B9NLcpJgjIieIJvenUTNPn0TimZDUi0OtYeiSQ_s/edit?usp=sharing"",""กาฬสินธุ์!J616"")"),0)</f>
        <v>0</v>
      </c>
      <c r="CM32" s="261">
        <f ca="1">IFERROR(__xludf.DUMMYFUNCTION("IMPORTRANGE(""https://docs.google.com/spreadsheets/d/1fb2B9NLcpJgjIieIJvenUTNPn0TimZDUi0OtYeiSQ_s/edit?usp=sharing"",""กาฬสินธุ์!J617"")"),0)</f>
        <v>0</v>
      </c>
      <c r="CN32" s="261">
        <f ca="1">IFERROR(__xludf.DUMMYFUNCTION("IMPORTRANGE(""https://docs.google.com/spreadsheets/d/1fb2B9NLcpJgjIieIJvenUTNPn0TimZDUi0OtYeiSQ_s/edit?usp=sharing"",""กาฬสินธุ์!I620"")"),4)</f>
        <v>4</v>
      </c>
      <c r="CO32" s="261">
        <f ca="1">IFERROR(__xludf.DUMMYFUNCTION("IMPORTRANGE(""https://docs.google.com/spreadsheets/d/1fb2B9NLcpJgjIieIJvenUTNPn0TimZDUi0OtYeiSQ_s/edit?usp=sharing"",""กาฬสินธุ์!I621"")"),3)</f>
        <v>3</v>
      </c>
      <c r="CP32" s="262">
        <f ca="1">IFERROR(__xludf.DUMMYFUNCTION("IMPORTRANGE(""https://docs.google.com/spreadsheets/d/1fb2B9NLcpJgjIieIJvenUTNPn0TimZDUi0OtYeiSQ_s/edit?usp=sharing"",""กาฬสินธุ์!J620"")"),0)</f>
        <v>0</v>
      </c>
      <c r="CQ32" s="262">
        <f t="shared" ca="1" si="38"/>
        <v>0</v>
      </c>
      <c r="CR32" s="261">
        <f ca="1">IFERROR(__xludf.DUMMYFUNCTION("IMPORTRANGE(""https://docs.google.com/spreadsheets/d/1fb2B9NLcpJgjIieIJvenUTNPn0TimZDUi0OtYeiSQ_s/edit?usp=sharing"",""กาฬสินธุ์!J621"")"),0)</f>
        <v>0</v>
      </c>
      <c r="CS32" s="262">
        <f t="shared" ca="1" si="22"/>
        <v>0</v>
      </c>
      <c r="CT32" s="186">
        <f ca="1">IFERROR(__xludf.DUMMYFUNCTION("IMPORTRANGE(""https://docs.google.com/spreadsheets/d/1fb2B9NLcpJgjIieIJvenUTNPn0TimZDUi0OtYeiSQ_s/edit?usp=sharing"",""กาฬสินธุ์!J622"")"),0)</f>
        <v>0</v>
      </c>
      <c r="CU32" s="261">
        <f ca="1">IFERROR(__xludf.DUMMYFUNCTION("IMPORTRANGE(""https://docs.google.com/spreadsheets/d/1fb2B9NLcpJgjIieIJvenUTNPn0TimZDUi0OtYeiSQ_s/edit?usp=sharing"",""กาฬสินธุ์!J623"")"),0)</f>
        <v>0</v>
      </c>
      <c r="CV32" s="186">
        <f ca="1">IFERROR(__xludf.DUMMYFUNCTION("IMPORTRANGE(""https://docs.google.com/spreadsheets/d/1fb2B9NLcpJgjIieIJvenUTNPn0TimZDUi0OtYeiSQ_s/edit?usp=sharing"",""กาฬสินธุ์!J624"")"),0)</f>
        <v>0</v>
      </c>
      <c r="CW32" s="261">
        <f ca="1">IFERROR(__xludf.DUMMYFUNCTION("IMPORTRANGE(""https://docs.google.com/spreadsheets/d/1fb2B9NLcpJgjIieIJvenUTNPn0TimZDUi0OtYeiSQ_s/edit?usp=sharing"",""กาฬสินธุ์!J625"")"),0)</f>
        <v>0</v>
      </c>
      <c r="CX32" s="186">
        <f ca="1">IFERROR(__xludf.DUMMYFUNCTION("IMPORTRANGE(""https://docs.google.com/spreadsheets/d/1fb2B9NLcpJgjIieIJvenUTNPn0TimZDUi0OtYeiSQ_s/edit?usp=sharing"",""กาฬสินธุ์!J626"")"),0)</f>
        <v>0</v>
      </c>
      <c r="CY32" s="261">
        <f ca="1">IFERROR(__xludf.DUMMYFUNCTION("IMPORTRANGE(""https://docs.google.com/spreadsheets/d/1fb2B9NLcpJgjIieIJvenUTNPn0TimZDUi0OtYeiSQ_s/edit?usp=sharing"",""กาฬสินธุ์!J627"")"),0)</f>
        <v>0</v>
      </c>
    </row>
    <row r="33" spans="1:103" ht="21" customHeight="1" x14ac:dyDescent="0.3">
      <c r="A33" s="178">
        <v>2</v>
      </c>
      <c r="B33" s="179" t="s">
        <v>50</v>
      </c>
      <c r="C33" s="180">
        <f t="shared" ca="1" si="60"/>
        <v>477343</v>
      </c>
      <c r="D33" s="181">
        <f ca="1">IFERROR(__xludf.DUMMYFUNCTION("IMPORTRANGE(""https://docs.google.com/spreadsheets/d/1SaMnqrwRGmFYNR0MhpWmHuL5niYUd5E7vDq8X7whAlI/edit?usp=sharing"",""ขอนแก่น!L549"")"),477343)</f>
        <v>477343</v>
      </c>
      <c r="E33" s="187">
        <f ca="1">IFERROR(__xludf.DUMMYFUNCTION("IMPORTRANGE(""https://docs.google.com/spreadsheets/d/1SaMnqrwRGmFYNR0MhpWmHuL5niYUd5E7vDq8X7whAlI/edit?usp=sharing"",""ขอนแก่น!L557"")"),0)</f>
        <v>0</v>
      </c>
      <c r="F33" s="182">
        <f t="shared" ca="1" si="1"/>
        <v>191400</v>
      </c>
      <c r="G33" s="183">
        <f t="shared" ca="1" si="2"/>
        <v>40.096953343821944</v>
      </c>
      <c r="H33" s="184">
        <f t="shared" ca="1" si="61"/>
        <v>191400</v>
      </c>
      <c r="I33" s="187">
        <f ca="1">IFERROR(__xludf.DUMMYFUNCTION("IMPORTRANGE(""https://docs.google.com/spreadsheets/d/1SaMnqrwRGmFYNR0MhpWmHuL5niYUd5E7vDq8X7whAlI/edit?usp=sharing"",""ขอนแก่น!N550"")"),0)</f>
        <v>0</v>
      </c>
      <c r="J33" s="187">
        <f ca="1">IFERROR(__xludf.DUMMYFUNCTION("IMPORTRANGE(""https://docs.google.com/spreadsheets/d/1SaMnqrwRGmFYNR0MhpWmHuL5niYUd5E7vDq8X7whAlI/edit?usp=sharing"",""ขอนแก่น!N551"")"),0)</f>
        <v>0</v>
      </c>
      <c r="K33" s="187">
        <f ca="1">IFERROR(__xludf.DUMMYFUNCTION("IMPORTRANGE(""https://docs.google.com/spreadsheets/d/1SaMnqrwRGmFYNR0MhpWmHuL5niYUd5E7vDq8X7whAlI/edit?usp=sharing"",""ขอนแก่น!N552"")"),52000)</f>
        <v>52000</v>
      </c>
      <c r="L33" s="187">
        <f ca="1">IFERROR(__xludf.DUMMYFUNCTION("IMPORTRANGE(""https://docs.google.com/spreadsheets/d/1SaMnqrwRGmFYNR0MhpWmHuL5niYUd5E7vDq8X7whAlI/edit?usp=sharing"",""ขอนแก่น!N553"")"),139400)</f>
        <v>139400</v>
      </c>
      <c r="M33" s="187">
        <f ca="1">IFERROR(__xludf.DUMMYFUNCTION("IMPORTRANGE(""https://docs.google.com/spreadsheets/d/1SaMnqrwRGmFYNR0MhpWmHuL5niYUd5E7vDq8X7whAlI/edit?usp=sharing"",""ขอนแก่น!N554"")"),0)</f>
        <v>0</v>
      </c>
      <c r="N33" s="185">
        <f ca="1">IFERROR(__xludf.DUMMYFUNCTION("IMPORTRANGE(""https://docs.google.com/spreadsheets/d/1SaMnqrwRGmFYNR0MhpWmHuL5niYUd5E7vDq8X7whAlI/edit?usp=sharing"",""ขอนแก่น!N557"")"),0)</f>
        <v>0</v>
      </c>
      <c r="O33" s="185">
        <f t="shared" ca="1" si="41"/>
        <v>0</v>
      </c>
      <c r="P33" s="181">
        <f ca="1">IFERROR(__xludf.DUMMYFUNCTION("IMPORTRANGE(""https://docs.google.com/spreadsheets/d/1SaMnqrwRGmFYNR0MhpWmHuL5niYUd5E7vDq8X7whAlI/edit?usp=sharing"",""ขอนแก่น!I560"")"),73574)</f>
        <v>73574</v>
      </c>
      <c r="Q33" s="181">
        <f ca="1">IFERROR(__xludf.DUMMYFUNCTION("IMPORTRANGE(""https://docs.google.com/spreadsheets/d/1SaMnqrwRGmFYNR0MhpWmHuL5niYUd5E7vDq8X7whAlI/edit?usp=sharing"",""ขอนแก่น!I561"")"),7333)</f>
        <v>7333</v>
      </c>
      <c r="R33" s="186">
        <f ca="1">IFERROR(__xludf.DUMMYFUNCTION("IMPORTRANGE(""https://docs.google.com/spreadsheets/d/1SaMnqrwRGmFYNR0MhpWmHuL5niYUd5E7vDq8X7whAlI/edit?usp=sharing"",""ขอนแก่น!J560"")"),73574.36)</f>
        <v>73574.36</v>
      </c>
      <c r="S33" s="186">
        <f t="shared" ca="1" si="33"/>
        <v>100.00048930328649</v>
      </c>
      <c r="T33" s="181">
        <f ca="1">IFERROR(__xludf.DUMMYFUNCTION("IMPORTRANGE(""https://docs.google.com/spreadsheets/d/1SaMnqrwRGmFYNR0MhpWmHuL5niYUd5E7vDq8X7whAlI/edit?usp=sharing"",""ขอนแก่น!J561"")"),7333)</f>
        <v>7333</v>
      </c>
      <c r="U33" s="186">
        <f t="shared" ca="1" si="7"/>
        <v>100</v>
      </c>
      <c r="V33" s="186">
        <f ca="1">IFERROR(__xludf.DUMMYFUNCTION("IMPORTRANGE(""https://docs.google.com/spreadsheets/d/1SaMnqrwRGmFYNR0MhpWmHuL5niYUd5E7vDq8X7whAlI/edit?usp=sharing"",""ขอนแก่น!J562"")"),62059.56)</f>
        <v>62059.56</v>
      </c>
      <c r="W33" s="261">
        <f ca="1">IFERROR(__xludf.DUMMYFUNCTION("IMPORTRANGE(""https://docs.google.com/spreadsheets/d/1SaMnqrwRGmFYNR0MhpWmHuL5niYUd5E7vDq8X7whAlI/edit?usp=sharing"",""ขอนแก่น!J563"")"),6309)</f>
        <v>6309</v>
      </c>
      <c r="X33" s="186">
        <f ca="1">IFERROR(__xludf.DUMMYFUNCTION("IMPORTRANGE(""https://docs.google.com/spreadsheets/d/1SaMnqrwRGmFYNR0MhpWmHuL5niYUd5E7vDq8X7whAlI/edit?usp=sharing"",""ขอนแก่น!J564"")"),7370.39)</f>
        <v>7370.39</v>
      </c>
      <c r="Y33" s="261">
        <f ca="1">IFERROR(__xludf.DUMMYFUNCTION("IMPORTRANGE(""https://docs.google.com/spreadsheets/d/1SaMnqrwRGmFYNR0MhpWmHuL5niYUd5E7vDq8X7whAlI/edit?usp=sharing"",""ขอนแก่น!J565"")"),664)</f>
        <v>664</v>
      </c>
      <c r="Z33" s="186">
        <f ca="1">IFERROR(__xludf.DUMMYFUNCTION("IMPORTRANGE(""https://docs.google.com/spreadsheets/d/1SaMnqrwRGmFYNR0MhpWmHuL5niYUd5E7vDq8X7whAlI/edit?usp=sharing"",""ขอนแก่น!J566"")"),4144.41)</f>
        <v>4144.41</v>
      </c>
      <c r="AA33" s="261">
        <f ca="1">IFERROR(__xludf.DUMMYFUNCTION("IMPORTRANGE(""https://docs.google.com/spreadsheets/d/1SaMnqrwRGmFYNR0MhpWmHuL5niYUd5E7vDq8X7whAlI/edit?usp=sharing"",""ขอนแก่น!J567"")"),360)</f>
        <v>360</v>
      </c>
      <c r="AB33" s="181">
        <f ca="1">IFERROR(__xludf.DUMMYFUNCTION("IMPORTRANGE(""https://docs.google.com/spreadsheets/d/1SaMnqrwRGmFYNR0MhpWmHuL5niYUd5E7vDq8X7whAlI/edit?usp=sharing"",""ขอนแก่น!I568"")"),73574)</f>
        <v>73574</v>
      </c>
      <c r="AC33" s="181">
        <f ca="1">IFERROR(__xludf.DUMMYFUNCTION("IMPORTRANGE(""https://docs.google.com/spreadsheets/d/1SaMnqrwRGmFYNR0MhpWmHuL5niYUd5E7vDq8X7whAlI/edit?usp=sharing"",""ขอนแก่น!I569"")"),7333)</f>
        <v>7333</v>
      </c>
      <c r="AD33" s="186">
        <f ca="1">IFERROR(__xludf.DUMMYFUNCTION("IMPORTRANGE(""https://docs.google.com/spreadsheets/d/1SaMnqrwRGmFYNR0MhpWmHuL5niYUd5E7vDq8X7whAlI/edit?usp=sharing"",""ขอนแก่น!J568"")"),28515.8999999999)</f>
        <v>28515.8999999999</v>
      </c>
      <c r="AE33" s="186">
        <f t="shared" ca="1" si="34"/>
        <v>38.758121075379748</v>
      </c>
      <c r="AF33" s="181">
        <f ca="1">IFERROR(__xludf.DUMMYFUNCTION("IMPORTRANGE(""https://docs.google.com/spreadsheets/d/1SaMnqrwRGmFYNR0MhpWmHuL5niYUd5E7vDq8X7whAlI/edit?usp=sharing"",""ขอนแก่น!J569"")"),3103)</f>
        <v>3103</v>
      </c>
      <c r="AG33" s="186">
        <f t="shared" ca="1" si="10"/>
        <v>42.315559798172643</v>
      </c>
      <c r="AH33" s="186">
        <f ca="1">IFERROR(__xludf.DUMMYFUNCTION("IMPORTRANGE(""https://docs.google.com/spreadsheets/d/1SaMnqrwRGmFYNR0MhpWmHuL5niYUd5E7vDq8X7whAlI/edit?usp=sharing"",""ขอนแก่น!J570"")"),25067.43)</f>
        <v>25067.43</v>
      </c>
      <c r="AI33" s="261">
        <f ca="1">IFERROR(__xludf.DUMMYFUNCTION("IMPORTRANGE(""https://docs.google.com/spreadsheets/d/1SaMnqrwRGmFYNR0MhpWmHuL5niYUd5E7vDq8X7whAlI/edit?usp=sharing"",""ขอนแก่น!J571"")"),2780)</f>
        <v>2780</v>
      </c>
      <c r="AJ33" s="186">
        <f ca="1">IFERROR(__xludf.DUMMYFUNCTION("IMPORTRANGE(""https://docs.google.com/spreadsheets/d/1SaMnqrwRGmFYNR0MhpWmHuL5niYUd5E7vDq8X7whAlI/edit?usp=sharing"",""ขอนแก่น!J572"")"),1385.78)</f>
        <v>1385.78</v>
      </c>
      <c r="AK33" s="261">
        <f ca="1">IFERROR(__xludf.DUMMYFUNCTION("IMPORTRANGE(""https://docs.google.com/spreadsheets/d/1SaMnqrwRGmFYNR0MhpWmHuL5niYUd5E7vDq8X7whAlI/edit?usp=sharing"",""ขอนแก่น!J573"")"),127)</f>
        <v>127</v>
      </c>
      <c r="AL33" s="186">
        <f ca="1">IFERROR(__xludf.DUMMYFUNCTION("IMPORTRANGE(""https://docs.google.com/spreadsheets/d/1SaMnqrwRGmFYNR0MhpWmHuL5niYUd5E7vDq8X7whAlI/edit?usp=sharing"",""ขอนแก่น!J574"")"),2062.69)</f>
        <v>2062.69</v>
      </c>
      <c r="AM33" s="261">
        <f ca="1">IFERROR(__xludf.DUMMYFUNCTION("IMPORTRANGE(""https://docs.google.com/spreadsheets/d/1SaMnqrwRGmFYNR0MhpWmHuL5niYUd5E7vDq8X7whAlI/edit?usp=sharing"",""ขอนแก่น!J575"")"),196)</f>
        <v>196</v>
      </c>
      <c r="AN33" s="181">
        <f ca="1">IFERROR(__xludf.DUMMYFUNCTION("IMPORTRANGE(""https://docs.google.com/spreadsheets/d/1SaMnqrwRGmFYNR0MhpWmHuL5niYUd5E7vDq8X7whAlI/edit?usp=sharing"",""ขอนแก่น!I576"")"),73574)</f>
        <v>73574</v>
      </c>
      <c r="AO33" s="181">
        <f ca="1">IFERROR(__xludf.DUMMYFUNCTION("IMPORTRANGE(""https://docs.google.com/spreadsheets/d/1SaMnqrwRGmFYNR0MhpWmHuL5niYUd5E7vDq8X7whAlI/edit?usp=sharing"",""ขอนแก่น!I577"")"),7333)</f>
        <v>7333</v>
      </c>
      <c r="AP33" s="186">
        <f ca="1">IFERROR(__xludf.DUMMYFUNCTION("IMPORTRANGE(""https://docs.google.com/spreadsheets/d/1SaMnqrwRGmFYNR0MhpWmHuL5niYUd5E7vDq8X7whAlI/edit?usp=sharing"",""ขอนแก่น!J576"")"),0)</f>
        <v>0</v>
      </c>
      <c r="AQ33" s="186">
        <f t="shared" ca="1" si="35"/>
        <v>0</v>
      </c>
      <c r="AR33" s="181">
        <f ca="1">IFERROR(__xludf.DUMMYFUNCTION("IMPORTRANGE(""https://docs.google.com/spreadsheets/d/1SaMnqrwRGmFYNR0MhpWmHuL5niYUd5E7vDq8X7whAlI/edit?usp=sharing"",""ขอนแก่น!J577"")"),0)</f>
        <v>0</v>
      </c>
      <c r="AS33" s="186">
        <f t="shared" ca="1" si="13"/>
        <v>0</v>
      </c>
      <c r="AT33" s="186">
        <f ca="1">IFERROR(__xludf.DUMMYFUNCTION("IMPORTRANGE(""https://docs.google.com/spreadsheets/d/1SaMnqrwRGmFYNR0MhpWmHuL5niYUd5E7vDq8X7whAlI/edit?usp=sharing"",""ขอนแก่น!J578"")"),0)</f>
        <v>0</v>
      </c>
      <c r="AU33" s="261">
        <f ca="1">IFERROR(__xludf.DUMMYFUNCTION("IMPORTRANGE(""https://docs.google.com/spreadsheets/d/1SaMnqrwRGmFYNR0MhpWmHuL5niYUd5E7vDq8X7whAlI/edit?usp=sharing"",""ขอนแก่น!J579"")"),0)</f>
        <v>0</v>
      </c>
      <c r="AV33" s="186">
        <f ca="1">IFERROR(__xludf.DUMMYFUNCTION("IMPORTRANGE(""https://docs.google.com/spreadsheets/d/1SaMnqrwRGmFYNR0MhpWmHuL5niYUd5E7vDq8X7whAlI/edit?usp=sharing"",""ขอนแก่น!J580"")"),0)</f>
        <v>0</v>
      </c>
      <c r="AW33" s="261">
        <f ca="1">IFERROR(__xludf.DUMMYFUNCTION("IMPORTRANGE(""https://docs.google.com/spreadsheets/d/1SaMnqrwRGmFYNR0MhpWmHuL5niYUd5E7vDq8X7whAlI/edit?usp=sharing"",""ขอนแก่น!J581"")"),0)</f>
        <v>0</v>
      </c>
      <c r="AX33" s="186">
        <f ca="1">IFERROR(__xludf.DUMMYFUNCTION("IMPORTRANGE(""https://docs.google.com/spreadsheets/d/1SaMnqrwRGmFYNR0MhpWmHuL5niYUd5E7vDq8X7whAlI/edit?usp=sharing"",""ขอนแก่น!J582"")"),0)</f>
        <v>0</v>
      </c>
      <c r="AY33" s="261">
        <f ca="1">IFERROR(__xludf.DUMMYFUNCTION("IMPORTRANGE(""https://docs.google.com/spreadsheets/d/1SaMnqrwRGmFYNR0MhpWmHuL5niYUd5E7vDq8X7whAlI/edit?usp=sharing"",""ขอนแก่น!J583"")"),0)</f>
        <v>0</v>
      </c>
      <c r="AZ33" s="262">
        <f ca="1">IFERROR(__xludf.DUMMYFUNCTION("IMPORTRANGE(""https://docs.google.com/spreadsheets/d/1SaMnqrwRGmFYNR0MhpWmHuL5niYUd5E7vDq8X7whAlI/edit?usp=sharing"",""ขอนแก่น!J584"")"),0)</f>
        <v>0</v>
      </c>
      <c r="BA33" s="261">
        <f ca="1">IFERROR(__xludf.DUMMYFUNCTION("IMPORTRANGE(""https://docs.google.com/spreadsheets/d/1SaMnqrwRGmFYNR0MhpWmHuL5niYUd5E7vDq8X7whAlI/edit?usp=sharing"",""ขอนแก่น!J585"")"),0)</f>
        <v>0</v>
      </c>
      <c r="BB33" s="262">
        <f ca="1">IFERROR(__xludf.DUMMYFUNCTION("IMPORTRANGE(""https://docs.google.com/spreadsheets/d/1SaMnqrwRGmFYNR0MhpWmHuL5niYUd5E7vDq8X7whAlI/edit?usp=sharing"",""ขอนแก่น!J586"")"),0)</f>
        <v>0</v>
      </c>
      <c r="BC33" s="261">
        <f ca="1">IFERROR(__xludf.DUMMYFUNCTION("IMPORTRANGE(""https://docs.google.com/spreadsheets/d/1SaMnqrwRGmFYNR0MhpWmHuL5niYUd5E7vDq8X7whAlI/edit?usp=sharing"",""ขอนแก่น!J587"")"),0)</f>
        <v>0</v>
      </c>
      <c r="BD33" s="186">
        <f ca="1">IFERROR(__xludf.DUMMYFUNCTION("IMPORTRANGE(""https://docs.google.com/spreadsheets/d/1SaMnqrwRGmFYNR0MhpWmHuL5niYUd5E7vDq8X7whAlI/edit?usp=sharing"",""ขอนแก่น!J588"")"),0)</f>
        <v>0</v>
      </c>
      <c r="BE33" s="261">
        <f ca="1">IFERROR(__xludf.DUMMYFUNCTION("IMPORTRANGE(""https://docs.google.com/spreadsheets/d/1SaMnqrwRGmFYNR0MhpWmHuL5niYUd5E7vDq8X7whAlI/edit?usp=sharing"",""ขอนแก่น!J589"")"),0)</f>
        <v>0</v>
      </c>
      <c r="BF33" s="186">
        <f ca="1">IFERROR(__xludf.DUMMYFUNCTION("IMPORTRANGE(""https://docs.google.com/spreadsheets/d/1SaMnqrwRGmFYNR0MhpWmHuL5niYUd5E7vDq8X7whAlI/edit?usp=sharing"",""ขอนแก่น!J590"")"),0)</f>
        <v>0</v>
      </c>
      <c r="BG33" s="261">
        <f ca="1">IFERROR(__xludf.DUMMYFUNCTION("IMPORTRANGE(""https://docs.google.com/spreadsheets/d/1SaMnqrwRGmFYNR0MhpWmHuL5niYUd5E7vDq8X7whAlI/edit?usp=sharing"",""ขอนแก่น!J591"")"),0)</f>
        <v>0</v>
      </c>
      <c r="BH33" s="181">
        <f ca="1">IFERROR(__xludf.DUMMYFUNCTION("IMPORTRANGE(""https://docs.google.com/spreadsheets/d/1SaMnqrwRGmFYNR0MhpWmHuL5niYUd5E7vDq8X7whAlI/edit?usp=sharing"",""ขอนแก่น!I593"")"),1346.1)</f>
        <v>1346.1</v>
      </c>
      <c r="BI33" s="181">
        <f ca="1">IFERROR(__xludf.DUMMYFUNCTION("IMPORTRANGE(""https://docs.google.com/spreadsheets/d/1SaMnqrwRGmFYNR0MhpWmHuL5niYUd5E7vDq8X7whAlI/edit?usp=sharing"",""ขอนแก่น!I594"")"),146)</f>
        <v>146</v>
      </c>
      <c r="BJ33" s="186">
        <f ca="1">IFERROR(__xludf.DUMMYFUNCTION("IMPORTRANGE(""https://docs.google.com/spreadsheets/d/1SaMnqrwRGmFYNR0MhpWmHuL5niYUd5E7vDq8X7whAlI/edit?usp=sharing"",""ขอนแก่น!J593"")"),0)</f>
        <v>0</v>
      </c>
      <c r="BK33" s="186">
        <f t="shared" ca="1" si="36"/>
        <v>0</v>
      </c>
      <c r="BL33" s="181">
        <f ca="1">IFERROR(__xludf.DUMMYFUNCTION("IMPORTRANGE(""https://docs.google.com/spreadsheets/d/1SaMnqrwRGmFYNR0MhpWmHuL5niYUd5E7vDq8X7whAlI/edit?usp=sharing"",""ขอนแก่น!J594"")"),0)</f>
        <v>0</v>
      </c>
      <c r="BM33" s="186">
        <f t="shared" ca="1" si="16"/>
        <v>0</v>
      </c>
      <c r="BN33" s="186">
        <f ca="1">IFERROR(__xludf.DUMMYFUNCTION("IMPORTRANGE(""https://docs.google.com/spreadsheets/d/1SaMnqrwRGmFYNR0MhpWmHuL5niYUd5E7vDq8X7whAlI/edit?usp=sharing"",""ขอนแก่น!J595"")"),0)</f>
        <v>0</v>
      </c>
      <c r="BO33" s="261">
        <f ca="1">IFERROR(__xludf.DUMMYFUNCTION("IMPORTRANGE(""https://docs.google.com/spreadsheets/d/1SaMnqrwRGmFYNR0MhpWmHuL5niYUd5E7vDq8X7whAlI/edit?usp=sharing"",""ขอนแก่น!J596"")"),0)</f>
        <v>0</v>
      </c>
      <c r="BP33" s="186">
        <f ca="1">IFERROR(__xludf.DUMMYFUNCTION("IMPORTRANGE(""https://docs.google.com/spreadsheets/d/1SaMnqrwRGmFYNR0MhpWmHuL5niYUd5E7vDq8X7whAlI/edit?usp=sharing"",""ขอนแก่น!J597"")"),0)</f>
        <v>0</v>
      </c>
      <c r="BQ33" s="261">
        <f ca="1">IFERROR(__xludf.DUMMYFUNCTION("IMPORTRANGE(""https://docs.google.com/spreadsheets/d/1SaMnqrwRGmFYNR0MhpWmHuL5niYUd5E7vDq8X7whAlI/edit?usp=sharing"",""ขอนแก่น!J598"")"),0)</f>
        <v>0</v>
      </c>
      <c r="BR33" s="186">
        <f ca="1">IFERROR(__xludf.DUMMYFUNCTION("IMPORTRANGE(""https://docs.google.com/spreadsheets/d/1SaMnqrwRGmFYNR0MhpWmHuL5niYUd5E7vDq8X7whAlI/edit?usp=sharing"",""ขอนแก่น!J599"")"),0)</f>
        <v>0</v>
      </c>
      <c r="BS33" s="261">
        <f ca="1">IFERROR(__xludf.DUMMYFUNCTION("IMPORTRANGE(""https://docs.google.com/spreadsheets/d/1SaMnqrwRGmFYNR0MhpWmHuL5niYUd5E7vDq8X7whAlI/edit?usp=sharing"",""ขอนแก่น!J600"")"),0)</f>
        <v>0</v>
      </c>
      <c r="BT33" s="262">
        <f ca="1">IFERROR(__xludf.DUMMYFUNCTION("IMPORTRANGE(""https://docs.google.com/spreadsheets/d/1SaMnqrwRGmFYNR0MhpWmHuL5niYUd5E7vDq8X7whAlI/edit?usp=sharing"",""ขอนแก่น!J601"")"),0)</f>
        <v>0</v>
      </c>
      <c r="BU33" s="261">
        <f ca="1">IFERROR(__xludf.DUMMYFUNCTION("IMPORTRANGE(""https://docs.google.com/spreadsheets/d/1SaMnqrwRGmFYNR0MhpWmHuL5niYUd5E7vDq8X7whAlI/edit?usp=sharing"",""ขอนแก่น!J602"")"),0)</f>
        <v>0</v>
      </c>
      <c r="BV33" s="186">
        <f ca="1">IFERROR(__xludf.DUMMYFUNCTION("IMPORTRANGE(""https://docs.google.com/spreadsheets/d/1SaMnqrwRGmFYNR0MhpWmHuL5niYUd5E7vDq8X7whAlI/edit?usp=sharing"",""ขอนแก่น!J603"")"),0)</f>
        <v>0</v>
      </c>
      <c r="BW33" s="261">
        <f ca="1">IFERROR(__xludf.DUMMYFUNCTION("IMPORTRANGE(""https://docs.google.com/spreadsheets/d/1SaMnqrwRGmFYNR0MhpWmHuL5niYUd5E7vDq8X7whAlI/edit?usp=sharing"",""ขอนแก่น!J604"")"),0)</f>
        <v>0</v>
      </c>
      <c r="BX33" s="186">
        <f ca="1">IFERROR(__xludf.DUMMYFUNCTION("IMPORTRANGE(""https://docs.google.com/spreadsheets/d/1SaMnqrwRGmFYNR0MhpWmHuL5niYUd5E7vDq8X7whAlI/edit?usp=sharing"",""ขอนแก่น!J605"")"),0)</f>
        <v>0</v>
      </c>
      <c r="BY33" s="261">
        <f ca="1">IFERROR(__xludf.DUMMYFUNCTION("IMPORTRANGE(""https://docs.google.com/spreadsheets/d/1SaMnqrwRGmFYNR0MhpWmHuL5niYUd5E7vDq8X7whAlI/edit?usp=sharing"",""ขอนแก่น!J606"")"),0)</f>
        <v>0</v>
      </c>
      <c r="BZ33" s="186">
        <f ca="1">IFERROR(__xludf.DUMMYFUNCTION("IMPORTRANGE(""https://docs.google.com/spreadsheets/d/1SaMnqrwRGmFYNR0MhpWmHuL5niYUd5E7vDq8X7whAlI/edit?usp=sharing"",""ขอนแก่น!J607"")"),0)</f>
        <v>0</v>
      </c>
      <c r="CA33" s="261">
        <f ca="1">IFERROR(__xludf.DUMMYFUNCTION("IMPORTRANGE(""https://docs.google.com/spreadsheets/d/1SaMnqrwRGmFYNR0MhpWmHuL5niYUd5E7vDq8X7whAlI/edit?usp=sharing"",""ขอนแก่น!J608"")"),0)</f>
        <v>0</v>
      </c>
      <c r="CB33" s="186">
        <f ca="1">IFERROR(__xludf.DUMMYFUNCTION("IMPORTRANGE(""https://docs.google.com/spreadsheets/d/1SaMnqrwRGmFYNR0MhpWmHuL5niYUd5E7vDq8X7whAlI/edit?usp=sharing"",""ขอนแก่น!J609"")"),0)</f>
        <v>0</v>
      </c>
      <c r="CC33" s="261">
        <f ca="1">IFERROR(__xludf.DUMMYFUNCTION("IMPORTRANGE(""https://docs.google.com/spreadsheets/d/1SaMnqrwRGmFYNR0MhpWmHuL5niYUd5E7vDq8X7whAlI/edit?usp=sharing"",""ขอนแก่น!J610"")"),0)</f>
        <v>0</v>
      </c>
      <c r="CD33" s="261">
        <f ca="1">IFERROR(__xludf.DUMMYFUNCTION("IMPORTRANGE(""https://docs.google.com/spreadsheets/d/1SaMnqrwRGmFYNR0MhpWmHuL5niYUd5E7vDq8X7whAlI/edit?usp=sharing"",""ขอนแก่น!I612"")"),0)</f>
        <v>0</v>
      </c>
      <c r="CE33" s="261">
        <f ca="1">IFERROR(__xludf.DUMMYFUNCTION("IMPORTRANGE(""https://docs.google.com/spreadsheets/d/1SaMnqrwRGmFYNR0MhpWmHuL5niYUd5E7vDq8X7whAlI/edit?usp=sharing"",""ขอนแก่น!I594"")"),146)</f>
        <v>146</v>
      </c>
      <c r="CF33" s="262">
        <f ca="1">IFERROR(__xludf.DUMMYFUNCTION("IMPORTRANGE(""https://docs.google.com/spreadsheets/d/1SaMnqrwRGmFYNR0MhpWmHuL5niYUd5E7vDq8X7whAlI/edit?usp=sharing"",""ขอนแก่น!J612"")"),0)</f>
        <v>0</v>
      </c>
      <c r="CG33" s="262">
        <f t="shared" ca="1" si="37"/>
        <v>0</v>
      </c>
      <c r="CH33" s="261">
        <f ca="1">IFERROR(__xludf.DUMMYFUNCTION("IMPORTRANGE(""https://docs.google.com/spreadsheets/d/1SaMnqrwRGmFYNR0MhpWmHuL5niYUd5E7vDq8X7whAlI/edit?usp=sharing"",""ขอนแก่น!J613"")"),0)</f>
        <v>0</v>
      </c>
      <c r="CI33" s="262">
        <f t="shared" ca="1" si="19"/>
        <v>0</v>
      </c>
      <c r="CJ33" s="186">
        <f ca="1">IFERROR(__xludf.DUMMYFUNCTION("IMPORTRANGE(""https://docs.google.com/spreadsheets/d/1SaMnqrwRGmFYNR0MhpWmHuL5niYUd5E7vDq8X7whAlI/edit?usp=sharing"",""ขอนแก่น!J614"")"),0)</f>
        <v>0</v>
      </c>
      <c r="CK33" s="261">
        <f ca="1">IFERROR(__xludf.DUMMYFUNCTION("IMPORTRANGE(""https://docs.google.com/spreadsheets/d/1SaMnqrwRGmFYNR0MhpWmHuL5niYUd5E7vDq8X7whAlI/edit?usp=sharing"",""ขอนแก่น!J615"")"),0)</f>
        <v>0</v>
      </c>
      <c r="CL33" s="186">
        <f ca="1">IFERROR(__xludf.DUMMYFUNCTION("IMPORTRANGE(""https://docs.google.com/spreadsheets/d/1SaMnqrwRGmFYNR0MhpWmHuL5niYUd5E7vDq8X7whAlI/edit?usp=sharing"",""ขอนแก่น!J616"")"),0)</f>
        <v>0</v>
      </c>
      <c r="CM33" s="261">
        <f ca="1">IFERROR(__xludf.DUMMYFUNCTION("IMPORTRANGE(""https://docs.google.com/spreadsheets/d/1SaMnqrwRGmFYNR0MhpWmHuL5niYUd5E7vDq8X7whAlI/edit?usp=sharing"",""ขอนแก่น!J617"")"),0)</f>
        <v>0</v>
      </c>
      <c r="CN33" s="261">
        <f ca="1">IFERROR(__xludf.DUMMYFUNCTION("IMPORTRANGE(""https://docs.google.com/spreadsheets/d/1SaMnqrwRGmFYNR0MhpWmHuL5niYUd5E7vDq8X7whAlI/edit?usp=sharing"",""ขอนแก่น!I620"")"),71)</f>
        <v>71</v>
      </c>
      <c r="CO33" s="261">
        <f ca="1">IFERROR(__xludf.DUMMYFUNCTION("IMPORTRANGE(""https://docs.google.com/spreadsheets/d/1SaMnqrwRGmFYNR0MhpWmHuL5niYUd5E7vDq8X7whAlI/edit?usp=sharing"",""ขอนแก่น!I621"")"),3)</f>
        <v>3</v>
      </c>
      <c r="CP33" s="262">
        <f ca="1">IFERROR(__xludf.DUMMYFUNCTION("IMPORTRANGE(""https://docs.google.com/spreadsheets/d/1SaMnqrwRGmFYNR0MhpWmHuL5niYUd5E7vDq8X7whAlI/edit?usp=sharing"",""ขอนแก่น!J620"")"),0)</f>
        <v>0</v>
      </c>
      <c r="CQ33" s="262">
        <f t="shared" ca="1" si="38"/>
        <v>0</v>
      </c>
      <c r="CR33" s="261">
        <f ca="1">IFERROR(__xludf.DUMMYFUNCTION("IMPORTRANGE(""https://docs.google.com/spreadsheets/d/1SaMnqrwRGmFYNR0MhpWmHuL5niYUd5E7vDq8X7whAlI/edit?usp=sharing"",""ขอนแก่น!J621"")"),0)</f>
        <v>0</v>
      </c>
      <c r="CS33" s="262">
        <f t="shared" ca="1" si="22"/>
        <v>0</v>
      </c>
      <c r="CT33" s="186">
        <f ca="1">IFERROR(__xludf.DUMMYFUNCTION("IMPORTRANGE(""https://docs.google.com/spreadsheets/d/1SaMnqrwRGmFYNR0MhpWmHuL5niYUd5E7vDq8X7whAlI/edit?usp=sharing"",""ขอนแก่น!J622"")"),0)</f>
        <v>0</v>
      </c>
      <c r="CU33" s="261">
        <f ca="1">IFERROR(__xludf.DUMMYFUNCTION("IMPORTRANGE(""https://docs.google.com/spreadsheets/d/1SaMnqrwRGmFYNR0MhpWmHuL5niYUd5E7vDq8X7whAlI/edit?usp=sharing"",""ขอนแก่น!J623"")"),0)</f>
        <v>0</v>
      </c>
      <c r="CV33" s="186">
        <f ca="1">IFERROR(__xludf.DUMMYFUNCTION("IMPORTRANGE(""https://docs.google.com/spreadsheets/d/1SaMnqrwRGmFYNR0MhpWmHuL5niYUd5E7vDq8X7whAlI/edit?usp=sharing"",""ขอนแก่น!J624"")"),0)</f>
        <v>0</v>
      </c>
      <c r="CW33" s="261">
        <f ca="1">IFERROR(__xludf.DUMMYFUNCTION("IMPORTRANGE(""https://docs.google.com/spreadsheets/d/1SaMnqrwRGmFYNR0MhpWmHuL5niYUd5E7vDq8X7whAlI/edit?usp=sharing"",""ขอนแก่น!J625"")"),0)</f>
        <v>0</v>
      </c>
      <c r="CX33" s="186">
        <f ca="1">IFERROR(__xludf.DUMMYFUNCTION("IMPORTRANGE(""https://docs.google.com/spreadsheets/d/1SaMnqrwRGmFYNR0MhpWmHuL5niYUd5E7vDq8X7whAlI/edit?usp=sharing"",""ขอนแก่น!J626"")"),0)</f>
        <v>0</v>
      </c>
      <c r="CY33" s="261">
        <f ca="1">IFERROR(__xludf.DUMMYFUNCTION("IMPORTRANGE(""https://docs.google.com/spreadsheets/d/1SaMnqrwRGmFYNR0MhpWmHuL5niYUd5E7vDq8X7whAlI/edit?usp=sharing"",""ขอนแก่น!J627"")"),0)</f>
        <v>0</v>
      </c>
    </row>
    <row r="34" spans="1:103" ht="21" customHeight="1" x14ac:dyDescent="0.3">
      <c r="A34" s="178">
        <v>3</v>
      </c>
      <c r="B34" s="179" t="s">
        <v>51</v>
      </c>
      <c r="C34" s="180">
        <f t="shared" ca="1" si="60"/>
        <v>689881</v>
      </c>
      <c r="D34" s="181">
        <f ca="1">IFERROR(__xludf.DUMMYFUNCTION("IMPORTRANGE(""https://docs.google.com/spreadsheets/d/1xQzEtGHhTTgxHh6YUkKY1P4dRyjVhS74dGswLfAASA4/edit?usp=sharing"",""ชัยภูมิ!L549"")"),689881)</f>
        <v>689881</v>
      </c>
      <c r="E34" s="187">
        <f ca="1">IFERROR(__xludf.DUMMYFUNCTION("IMPORTRANGE(""https://docs.google.com/spreadsheets/d/1xQzEtGHhTTgxHh6YUkKY1P4dRyjVhS74dGswLfAASA4/edit?usp=sharing"",""ชัยภูมิ!L557"")"),0)</f>
        <v>0</v>
      </c>
      <c r="F34" s="182">
        <f t="shared" ca="1" si="1"/>
        <v>154509</v>
      </c>
      <c r="G34" s="183">
        <f t="shared" ca="1" si="2"/>
        <v>22.396471275480845</v>
      </c>
      <c r="H34" s="184">
        <f t="shared" ca="1" si="61"/>
        <v>154509</v>
      </c>
      <c r="I34" s="187">
        <f ca="1">IFERROR(__xludf.DUMMYFUNCTION("IMPORTRANGE(""https://docs.google.com/spreadsheets/d/1xQzEtGHhTTgxHh6YUkKY1P4dRyjVhS74dGswLfAASA4/edit?usp=sharing"",""ชัยภูมิ!N550"")"),0)</f>
        <v>0</v>
      </c>
      <c r="J34" s="187">
        <f ca="1">IFERROR(__xludf.DUMMYFUNCTION("IMPORTRANGE(""https://docs.google.com/spreadsheets/d/1xQzEtGHhTTgxHh6YUkKY1P4dRyjVhS74dGswLfAASA4/edit?usp=sharing"",""ชัยภูมิ!N551"")"),32700)</f>
        <v>32700</v>
      </c>
      <c r="K34" s="187">
        <f ca="1">IFERROR(__xludf.DUMMYFUNCTION("IMPORTRANGE(""https://docs.google.com/spreadsheets/d/1xQzEtGHhTTgxHh6YUkKY1P4dRyjVhS74dGswLfAASA4/edit?usp=sharing"",""ชัยภูมิ!N552"")"),37266)</f>
        <v>37266</v>
      </c>
      <c r="L34" s="187">
        <f ca="1">IFERROR(__xludf.DUMMYFUNCTION("IMPORTRANGE(""https://docs.google.com/spreadsheets/d/1xQzEtGHhTTgxHh6YUkKY1P4dRyjVhS74dGswLfAASA4/edit?usp=sharing"",""ชัยภูมิ!N553"")"),84543)</f>
        <v>84543</v>
      </c>
      <c r="M34" s="187">
        <f ca="1">IFERROR(__xludf.DUMMYFUNCTION("IMPORTRANGE(""https://docs.google.com/spreadsheets/d/1xQzEtGHhTTgxHh6YUkKY1P4dRyjVhS74dGswLfAASA4/edit?usp=sharing"",""ชัยภูมิ!N554"")"),0)</f>
        <v>0</v>
      </c>
      <c r="N34" s="185">
        <f ca="1">IFERROR(__xludf.DUMMYFUNCTION("IMPORTRANGE(""https://docs.google.com/spreadsheets/d/1xQzEtGHhTTgxHh6YUkKY1P4dRyjVhS74dGswLfAASA4/edit?usp=sharing"",""ชัยภูมิ!N557"")"),0)</f>
        <v>0</v>
      </c>
      <c r="O34" s="185">
        <f t="shared" ca="1" si="41"/>
        <v>0</v>
      </c>
      <c r="P34" s="181">
        <f ca="1">IFERROR(__xludf.DUMMYFUNCTION("IMPORTRANGE(""https://docs.google.com/spreadsheets/d/1xQzEtGHhTTgxHh6YUkKY1P4dRyjVhS74dGswLfAASA4/edit?usp=sharing"",""ชัยภูมิ!I560"")"),99295)</f>
        <v>99295</v>
      </c>
      <c r="Q34" s="181">
        <f ca="1">IFERROR(__xludf.DUMMYFUNCTION("IMPORTRANGE(""https://docs.google.com/spreadsheets/d/1xQzEtGHhTTgxHh6YUkKY1P4dRyjVhS74dGswLfAASA4/edit?usp=sharing"",""ชัยภูมิ!I561"")"),8010)</f>
        <v>8010</v>
      </c>
      <c r="R34" s="186">
        <f ca="1">IFERROR(__xludf.DUMMYFUNCTION("IMPORTRANGE(""https://docs.google.com/spreadsheets/d/1xQzEtGHhTTgxHh6YUkKY1P4dRyjVhS74dGswLfAASA4/edit?usp=sharing"",""ชัยภูมิ!J560"")"),99295)</f>
        <v>99295</v>
      </c>
      <c r="S34" s="186">
        <f t="shared" ca="1" si="33"/>
        <v>100</v>
      </c>
      <c r="T34" s="181">
        <f ca="1">IFERROR(__xludf.DUMMYFUNCTION("IMPORTRANGE(""https://docs.google.com/spreadsheets/d/1xQzEtGHhTTgxHh6YUkKY1P4dRyjVhS74dGswLfAASA4/edit?usp=sharing"",""ชัยภูมิ!J561"")"),8010)</f>
        <v>8010</v>
      </c>
      <c r="U34" s="186">
        <f t="shared" ca="1" si="7"/>
        <v>100</v>
      </c>
      <c r="V34" s="186">
        <f ca="1">IFERROR(__xludf.DUMMYFUNCTION("IMPORTRANGE(""https://docs.google.com/spreadsheets/d/1xQzEtGHhTTgxHh6YUkKY1P4dRyjVhS74dGswLfAASA4/edit?usp=sharing"",""ชัยภูมิ!J562"")"),88224)</f>
        <v>88224</v>
      </c>
      <c r="W34" s="261">
        <f ca="1">IFERROR(__xludf.DUMMYFUNCTION("IMPORTRANGE(""https://docs.google.com/spreadsheets/d/1xQzEtGHhTTgxHh6YUkKY1P4dRyjVhS74dGswLfAASA4/edit?usp=sharing"",""ชัยภูมิ!J563"")"),7244)</f>
        <v>7244</v>
      </c>
      <c r="X34" s="186">
        <f ca="1">IFERROR(__xludf.DUMMYFUNCTION("IMPORTRANGE(""https://docs.google.com/spreadsheets/d/1xQzEtGHhTTgxHh6YUkKY1P4dRyjVhS74dGswLfAASA4/edit?usp=sharing"",""ชัยภูมิ!J564"")"),8071)</f>
        <v>8071</v>
      </c>
      <c r="Y34" s="261">
        <f ca="1">IFERROR(__xludf.DUMMYFUNCTION("IMPORTRANGE(""https://docs.google.com/spreadsheets/d/1xQzEtGHhTTgxHh6YUkKY1P4dRyjVhS74dGswLfAASA4/edit?usp=sharing"",""ชัยภูมิ!J565"")"),514)</f>
        <v>514</v>
      </c>
      <c r="Z34" s="186">
        <f ca="1">IFERROR(__xludf.DUMMYFUNCTION("IMPORTRANGE(""https://docs.google.com/spreadsheets/d/1xQzEtGHhTTgxHh6YUkKY1P4dRyjVhS74dGswLfAASA4/edit?usp=sharing"",""ชัยภูมิ!J566"")"),3000)</f>
        <v>3000</v>
      </c>
      <c r="AA34" s="261">
        <f ca="1">IFERROR(__xludf.DUMMYFUNCTION("IMPORTRANGE(""https://docs.google.com/spreadsheets/d/1xQzEtGHhTTgxHh6YUkKY1P4dRyjVhS74dGswLfAASA4/edit?usp=sharing"",""ชัยภูมิ!J567"")"),252)</f>
        <v>252</v>
      </c>
      <c r="AB34" s="181">
        <f ca="1">IFERROR(__xludf.DUMMYFUNCTION("IMPORTRANGE(""https://docs.google.com/spreadsheets/d/1xQzEtGHhTTgxHh6YUkKY1P4dRyjVhS74dGswLfAASA4/edit?usp=sharing"",""ชัยภูมิ!I568"")"),99295)</f>
        <v>99295</v>
      </c>
      <c r="AC34" s="181">
        <f ca="1">IFERROR(__xludf.DUMMYFUNCTION("IMPORTRANGE(""https://docs.google.com/spreadsheets/d/1xQzEtGHhTTgxHh6YUkKY1P4dRyjVhS74dGswLfAASA4/edit?usp=sharing"",""ชัยภูมิ!I569"")"),8010)</f>
        <v>8010</v>
      </c>
      <c r="AD34" s="186">
        <f ca="1">IFERROR(__xludf.DUMMYFUNCTION("IMPORTRANGE(""https://docs.google.com/spreadsheets/d/1xQzEtGHhTTgxHh6YUkKY1P4dRyjVhS74dGswLfAASA4/edit?usp=sharing"",""ชัยภูมิ!J568"")"),29682)</f>
        <v>29682</v>
      </c>
      <c r="AE34" s="186">
        <f t="shared" ca="1" si="34"/>
        <v>29.892743844100913</v>
      </c>
      <c r="AF34" s="181">
        <f ca="1">IFERROR(__xludf.DUMMYFUNCTION("IMPORTRANGE(""https://docs.google.com/spreadsheets/d/1xQzEtGHhTTgxHh6YUkKY1P4dRyjVhS74dGswLfAASA4/edit?usp=sharing"",""ชัยภูมิ!J569"")"),2506)</f>
        <v>2506</v>
      </c>
      <c r="AG34" s="186">
        <f t="shared" ca="1" si="10"/>
        <v>31.28589263420724</v>
      </c>
      <c r="AH34" s="186">
        <f ca="1">IFERROR(__xludf.DUMMYFUNCTION("IMPORTRANGE(""https://docs.google.com/spreadsheets/d/1xQzEtGHhTTgxHh6YUkKY1P4dRyjVhS74dGswLfAASA4/edit?usp=sharing"",""ชัยภูมิ!J570"")"),27758)</f>
        <v>27758</v>
      </c>
      <c r="AI34" s="261">
        <f ca="1">IFERROR(__xludf.DUMMYFUNCTION("IMPORTRANGE(""https://docs.google.com/spreadsheets/d/1xQzEtGHhTTgxHh6YUkKY1P4dRyjVhS74dGswLfAASA4/edit?usp=sharing"",""ชัยภูมิ!J571"")"),2341)</f>
        <v>2341</v>
      </c>
      <c r="AJ34" s="186">
        <f ca="1">IFERROR(__xludf.DUMMYFUNCTION("IMPORTRANGE(""https://docs.google.com/spreadsheets/d/1xQzEtGHhTTgxHh6YUkKY1P4dRyjVhS74dGswLfAASA4/edit?usp=sharing"",""ชัยภูมิ!J572"")"),1334)</f>
        <v>1334</v>
      </c>
      <c r="AK34" s="261">
        <f ca="1">IFERROR(__xludf.DUMMYFUNCTION("IMPORTRANGE(""https://docs.google.com/spreadsheets/d/1xQzEtGHhTTgxHh6YUkKY1P4dRyjVhS74dGswLfAASA4/edit?usp=sharing"",""ชัยภูมิ!J573"")"),104)</f>
        <v>104</v>
      </c>
      <c r="AL34" s="186">
        <f ca="1">IFERROR(__xludf.DUMMYFUNCTION("IMPORTRANGE(""https://docs.google.com/spreadsheets/d/1xQzEtGHhTTgxHh6YUkKY1P4dRyjVhS74dGswLfAASA4/edit?usp=sharing"",""ชัยภูมิ!J574"")"),590)</f>
        <v>590</v>
      </c>
      <c r="AM34" s="261">
        <f ca="1">IFERROR(__xludf.DUMMYFUNCTION("IMPORTRANGE(""https://docs.google.com/spreadsheets/d/1xQzEtGHhTTgxHh6YUkKY1P4dRyjVhS74dGswLfAASA4/edit?usp=sharing"",""ชัยภูมิ!J575"")"),61)</f>
        <v>61</v>
      </c>
      <c r="AN34" s="181">
        <f ca="1">IFERROR(__xludf.DUMMYFUNCTION("IMPORTRANGE(""https://docs.google.com/spreadsheets/d/1xQzEtGHhTTgxHh6YUkKY1P4dRyjVhS74dGswLfAASA4/edit?usp=sharing"",""ชัยภูมิ!I576"")"),99295)</f>
        <v>99295</v>
      </c>
      <c r="AO34" s="181">
        <f ca="1">IFERROR(__xludf.DUMMYFUNCTION("IMPORTRANGE(""https://docs.google.com/spreadsheets/d/1xQzEtGHhTTgxHh6YUkKY1P4dRyjVhS74dGswLfAASA4/edit?usp=sharing"",""ชัยภูมิ!I577"")"),8010)</f>
        <v>8010</v>
      </c>
      <c r="AP34" s="186">
        <f ca="1">IFERROR(__xludf.DUMMYFUNCTION("IMPORTRANGE(""https://docs.google.com/spreadsheets/d/1xQzEtGHhTTgxHh6YUkKY1P4dRyjVhS74dGswLfAASA4/edit?usp=sharing"",""ชัยภูมิ!J576"")"),0)</f>
        <v>0</v>
      </c>
      <c r="AQ34" s="186">
        <f t="shared" ca="1" si="35"/>
        <v>0</v>
      </c>
      <c r="AR34" s="181">
        <f ca="1">IFERROR(__xludf.DUMMYFUNCTION("IMPORTRANGE(""https://docs.google.com/spreadsheets/d/1xQzEtGHhTTgxHh6YUkKY1P4dRyjVhS74dGswLfAASA4/edit?usp=sharing"",""ชัยภูมิ!J577"")"),0)</f>
        <v>0</v>
      </c>
      <c r="AS34" s="186">
        <f t="shared" ca="1" si="13"/>
        <v>0</v>
      </c>
      <c r="AT34" s="186">
        <f ca="1">IFERROR(__xludf.DUMMYFUNCTION("IMPORTRANGE(""https://docs.google.com/spreadsheets/d/1xQzEtGHhTTgxHh6YUkKY1P4dRyjVhS74dGswLfAASA4/edit?usp=sharing"",""ชัยภูมิ!J578"")"),0)</f>
        <v>0</v>
      </c>
      <c r="AU34" s="261">
        <f ca="1">IFERROR(__xludf.DUMMYFUNCTION("IMPORTRANGE(""https://docs.google.com/spreadsheets/d/1xQzEtGHhTTgxHh6YUkKY1P4dRyjVhS74dGswLfAASA4/edit?usp=sharing"",""ชัยภูมิ!J579"")"),0)</f>
        <v>0</v>
      </c>
      <c r="AV34" s="186">
        <f ca="1">IFERROR(__xludf.DUMMYFUNCTION("IMPORTRANGE(""https://docs.google.com/spreadsheets/d/1xQzEtGHhTTgxHh6YUkKY1P4dRyjVhS74dGswLfAASA4/edit?usp=sharing"",""ชัยภูมิ!J580"")"),0)</f>
        <v>0</v>
      </c>
      <c r="AW34" s="261">
        <f ca="1">IFERROR(__xludf.DUMMYFUNCTION("IMPORTRANGE(""https://docs.google.com/spreadsheets/d/1xQzEtGHhTTgxHh6YUkKY1P4dRyjVhS74dGswLfAASA4/edit?usp=sharing"",""ชัยภูมิ!J581"")"),0)</f>
        <v>0</v>
      </c>
      <c r="AX34" s="186">
        <f ca="1">IFERROR(__xludf.DUMMYFUNCTION("IMPORTRANGE(""https://docs.google.com/spreadsheets/d/1xQzEtGHhTTgxHh6YUkKY1P4dRyjVhS74dGswLfAASA4/edit?usp=sharing"",""ชัยภูมิ!J582"")"),0)</f>
        <v>0</v>
      </c>
      <c r="AY34" s="261">
        <f ca="1">IFERROR(__xludf.DUMMYFUNCTION("IMPORTRANGE(""https://docs.google.com/spreadsheets/d/1xQzEtGHhTTgxHh6YUkKY1P4dRyjVhS74dGswLfAASA4/edit?usp=sharing"",""ชัยภูมิ!J583"")"),0)</f>
        <v>0</v>
      </c>
      <c r="AZ34" s="262">
        <f ca="1">IFERROR(__xludf.DUMMYFUNCTION("IMPORTRANGE(""https://docs.google.com/spreadsheets/d/1xQzEtGHhTTgxHh6YUkKY1P4dRyjVhS74dGswLfAASA4/edit?usp=sharing"",""ชัยภูมิ!J584"")"),0)</f>
        <v>0</v>
      </c>
      <c r="BA34" s="261">
        <f ca="1">IFERROR(__xludf.DUMMYFUNCTION("IMPORTRANGE(""https://docs.google.com/spreadsheets/d/1xQzEtGHhTTgxHh6YUkKY1P4dRyjVhS74dGswLfAASA4/edit?usp=sharing"",""ชัยภูมิ!J585"")"),0)</f>
        <v>0</v>
      </c>
      <c r="BB34" s="262">
        <f ca="1">IFERROR(__xludf.DUMMYFUNCTION("IMPORTRANGE(""https://docs.google.com/spreadsheets/d/1xQzEtGHhTTgxHh6YUkKY1P4dRyjVhS74dGswLfAASA4/edit?usp=sharing"",""ชัยภูมิ!J586"")"),0)</f>
        <v>0</v>
      </c>
      <c r="BC34" s="261">
        <f ca="1">IFERROR(__xludf.DUMMYFUNCTION("IMPORTRANGE(""https://docs.google.com/spreadsheets/d/1xQzEtGHhTTgxHh6YUkKY1P4dRyjVhS74dGswLfAASA4/edit?usp=sharing"",""ชัยภูมิ!J587"")"),0)</f>
        <v>0</v>
      </c>
      <c r="BD34" s="186">
        <f ca="1">IFERROR(__xludf.DUMMYFUNCTION("IMPORTRANGE(""https://docs.google.com/spreadsheets/d/1xQzEtGHhTTgxHh6YUkKY1P4dRyjVhS74dGswLfAASA4/edit?usp=sharing"",""ชัยภูมิ!J588"")"),0)</f>
        <v>0</v>
      </c>
      <c r="BE34" s="261">
        <f ca="1">IFERROR(__xludf.DUMMYFUNCTION("IMPORTRANGE(""https://docs.google.com/spreadsheets/d/1xQzEtGHhTTgxHh6YUkKY1P4dRyjVhS74dGswLfAASA4/edit?usp=sharing"",""ชัยภูมิ!J589"")"),0)</f>
        <v>0</v>
      </c>
      <c r="BF34" s="186">
        <f ca="1">IFERROR(__xludf.DUMMYFUNCTION("IMPORTRANGE(""https://docs.google.com/spreadsheets/d/1xQzEtGHhTTgxHh6YUkKY1P4dRyjVhS74dGswLfAASA4/edit?usp=sharing"",""ชัยภูมิ!J590"")"),0)</f>
        <v>0</v>
      </c>
      <c r="BG34" s="261">
        <f ca="1">IFERROR(__xludf.DUMMYFUNCTION("IMPORTRANGE(""https://docs.google.com/spreadsheets/d/1xQzEtGHhTTgxHh6YUkKY1P4dRyjVhS74dGswLfAASA4/edit?usp=sharing"",""ชัยภูมิ!J591"")"),0)</f>
        <v>0</v>
      </c>
      <c r="BH34" s="181">
        <f ca="1">IFERROR(__xludf.DUMMYFUNCTION("IMPORTRANGE(""https://docs.google.com/spreadsheets/d/1xQzEtGHhTTgxHh6YUkKY1P4dRyjVhS74dGswLfAASA4/edit?usp=sharing"",""ชัยภูมิ!I593"")"),8081.89)</f>
        <v>8081.89</v>
      </c>
      <c r="BI34" s="181">
        <f ca="1">IFERROR(__xludf.DUMMYFUNCTION("IMPORTRANGE(""https://docs.google.com/spreadsheets/d/1xQzEtGHhTTgxHh6YUkKY1P4dRyjVhS74dGswLfAASA4/edit?usp=sharing"",""ชัยภูมิ!I594"")"),699)</f>
        <v>699</v>
      </c>
      <c r="BJ34" s="186">
        <f ca="1">IFERROR(__xludf.DUMMYFUNCTION("IMPORTRANGE(""https://docs.google.com/spreadsheets/d/1xQzEtGHhTTgxHh6YUkKY1P4dRyjVhS74dGswLfAASA4/edit?usp=sharing"",""ชัยภูมิ!J593"")"),0)</f>
        <v>0</v>
      </c>
      <c r="BK34" s="186">
        <f t="shared" ca="1" si="36"/>
        <v>0</v>
      </c>
      <c r="BL34" s="181">
        <f ca="1">IFERROR(__xludf.DUMMYFUNCTION("IMPORTRANGE(""https://docs.google.com/spreadsheets/d/1xQzEtGHhTTgxHh6YUkKY1P4dRyjVhS74dGswLfAASA4/edit?usp=sharing"",""ชัยภูมิ!J594"")"),0)</f>
        <v>0</v>
      </c>
      <c r="BM34" s="186">
        <f t="shared" ca="1" si="16"/>
        <v>0</v>
      </c>
      <c r="BN34" s="186">
        <f ca="1">IFERROR(__xludf.DUMMYFUNCTION("IMPORTRANGE(""https://docs.google.com/spreadsheets/d/1xQzEtGHhTTgxHh6YUkKY1P4dRyjVhS74dGswLfAASA4/edit?usp=sharing"",""ชัยภูมิ!J595"")"),0)</f>
        <v>0</v>
      </c>
      <c r="BO34" s="261">
        <f ca="1">IFERROR(__xludf.DUMMYFUNCTION("IMPORTRANGE(""https://docs.google.com/spreadsheets/d/1xQzEtGHhTTgxHh6YUkKY1P4dRyjVhS74dGswLfAASA4/edit?usp=sharing"",""ชัยภูมิ!J596"")"),0)</f>
        <v>0</v>
      </c>
      <c r="BP34" s="186">
        <f ca="1">IFERROR(__xludf.DUMMYFUNCTION("IMPORTRANGE(""https://docs.google.com/spreadsheets/d/1xQzEtGHhTTgxHh6YUkKY1P4dRyjVhS74dGswLfAASA4/edit?usp=sharing"",""ชัยภูมิ!J597"")"),0)</f>
        <v>0</v>
      </c>
      <c r="BQ34" s="261">
        <f ca="1">IFERROR(__xludf.DUMMYFUNCTION("IMPORTRANGE(""https://docs.google.com/spreadsheets/d/1xQzEtGHhTTgxHh6YUkKY1P4dRyjVhS74dGswLfAASA4/edit?usp=sharing"",""ชัยภูมิ!J598"")"),0)</f>
        <v>0</v>
      </c>
      <c r="BR34" s="186">
        <f ca="1">IFERROR(__xludf.DUMMYFUNCTION("IMPORTRANGE(""https://docs.google.com/spreadsheets/d/1xQzEtGHhTTgxHh6YUkKY1P4dRyjVhS74dGswLfAASA4/edit?usp=sharing"",""ชัยภูมิ!J599"")"),0)</f>
        <v>0</v>
      </c>
      <c r="BS34" s="261">
        <f ca="1">IFERROR(__xludf.DUMMYFUNCTION("IMPORTRANGE(""https://docs.google.com/spreadsheets/d/1xQzEtGHhTTgxHh6YUkKY1P4dRyjVhS74dGswLfAASA4/edit?usp=sharing"",""ชัยภูมิ!J600"")"),0)</f>
        <v>0</v>
      </c>
      <c r="BT34" s="262">
        <f ca="1">IFERROR(__xludf.DUMMYFUNCTION("IMPORTRANGE(""https://docs.google.com/spreadsheets/d/1xQzEtGHhTTgxHh6YUkKY1P4dRyjVhS74dGswLfAASA4/edit?usp=sharing"",""ชัยภูมิ!J601"")"),0)</f>
        <v>0</v>
      </c>
      <c r="BU34" s="261">
        <f ca="1">IFERROR(__xludf.DUMMYFUNCTION("IMPORTRANGE(""https://docs.google.com/spreadsheets/d/1xQzEtGHhTTgxHh6YUkKY1P4dRyjVhS74dGswLfAASA4/edit?usp=sharing"",""ชัยภูมิ!J602"")"),0)</f>
        <v>0</v>
      </c>
      <c r="BV34" s="186">
        <f ca="1">IFERROR(__xludf.DUMMYFUNCTION("IMPORTRANGE(""https://docs.google.com/spreadsheets/d/1xQzEtGHhTTgxHh6YUkKY1P4dRyjVhS74dGswLfAASA4/edit?usp=sharing"",""ชัยภูมิ!J603"")"),0)</f>
        <v>0</v>
      </c>
      <c r="BW34" s="261">
        <f ca="1">IFERROR(__xludf.DUMMYFUNCTION("IMPORTRANGE(""https://docs.google.com/spreadsheets/d/1xQzEtGHhTTgxHh6YUkKY1P4dRyjVhS74dGswLfAASA4/edit?usp=sharing"",""ชัยภูมิ!J604"")"),0)</f>
        <v>0</v>
      </c>
      <c r="BX34" s="186">
        <f ca="1">IFERROR(__xludf.DUMMYFUNCTION("IMPORTRANGE(""https://docs.google.com/spreadsheets/d/1xQzEtGHhTTgxHh6YUkKY1P4dRyjVhS74dGswLfAASA4/edit?usp=sharing"",""ชัยภูมิ!J605"")"),0)</f>
        <v>0</v>
      </c>
      <c r="BY34" s="261">
        <f ca="1">IFERROR(__xludf.DUMMYFUNCTION("IMPORTRANGE(""https://docs.google.com/spreadsheets/d/1xQzEtGHhTTgxHh6YUkKY1P4dRyjVhS74dGswLfAASA4/edit?usp=sharing"",""ชัยภูมิ!J606"")"),0)</f>
        <v>0</v>
      </c>
      <c r="BZ34" s="186">
        <f ca="1">IFERROR(__xludf.DUMMYFUNCTION("IMPORTRANGE(""https://docs.google.com/spreadsheets/d/1xQzEtGHhTTgxHh6YUkKY1P4dRyjVhS74dGswLfAASA4/edit?usp=sharing"",""ชัยภูมิ!J607"")"),0)</f>
        <v>0</v>
      </c>
      <c r="CA34" s="261">
        <f ca="1">IFERROR(__xludf.DUMMYFUNCTION("IMPORTRANGE(""https://docs.google.com/spreadsheets/d/1xQzEtGHhTTgxHh6YUkKY1P4dRyjVhS74dGswLfAASA4/edit?usp=sharing"",""ชัยภูมิ!J608"")"),0)</f>
        <v>0</v>
      </c>
      <c r="CB34" s="186">
        <f ca="1">IFERROR(__xludf.DUMMYFUNCTION("IMPORTRANGE(""https://docs.google.com/spreadsheets/d/1xQzEtGHhTTgxHh6YUkKY1P4dRyjVhS74dGswLfAASA4/edit?usp=sharing"",""ชัยภูมิ!J609"")"),0)</f>
        <v>0</v>
      </c>
      <c r="CC34" s="261">
        <f ca="1">IFERROR(__xludf.DUMMYFUNCTION("IMPORTRANGE(""https://docs.google.com/spreadsheets/d/1xQzEtGHhTTgxHh6YUkKY1P4dRyjVhS74dGswLfAASA4/edit?usp=sharing"",""ชัยภูมิ!J610"")"),0)</f>
        <v>0</v>
      </c>
      <c r="CD34" s="261">
        <f ca="1">IFERROR(__xludf.DUMMYFUNCTION("IMPORTRANGE(""https://docs.google.com/spreadsheets/d/1xQzEtGHhTTgxHh6YUkKY1P4dRyjVhS74dGswLfAASA4/edit?usp=sharing"",""ชัยภูมิ!I612"")"),0)</f>
        <v>0</v>
      </c>
      <c r="CE34" s="261">
        <f ca="1">IFERROR(__xludf.DUMMYFUNCTION("IMPORTRANGE(""https://docs.google.com/spreadsheets/d/1xQzEtGHhTTgxHh6YUkKY1P4dRyjVhS74dGswLfAASA4/edit?usp=sharing"",""ชัยภูมิ!I594"")"),699)</f>
        <v>699</v>
      </c>
      <c r="CF34" s="262">
        <f ca="1">IFERROR(__xludf.DUMMYFUNCTION("IMPORTRANGE(""https://docs.google.com/spreadsheets/d/1xQzEtGHhTTgxHh6YUkKY1P4dRyjVhS74dGswLfAASA4/edit?usp=sharing"",""ชัยภูมิ!J612"")"),0)</f>
        <v>0</v>
      </c>
      <c r="CG34" s="262">
        <f t="shared" ca="1" si="37"/>
        <v>0</v>
      </c>
      <c r="CH34" s="261">
        <f ca="1">IFERROR(__xludf.DUMMYFUNCTION("IMPORTRANGE(""https://docs.google.com/spreadsheets/d/1xQzEtGHhTTgxHh6YUkKY1P4dRyjVhS74dGswLfAASA4/edit?usp=sharing"",""ชัยภูมิ!J613"")"),0)</f>
        <v>0</v>
      </c>
      <c r="CI34" s="262">
        <f t="shared" ca="1" si="19"/>
        <v>0</v>
      </c>
      <c r="CJ34" s="186">
        <f ca="1">IFERROR(__xludf.DUMMYFUNCTION("IMPORTRANGE(""https://docs.google.com/spreadsheets/d/1xQzEtGHhTTgxHh6YUkKY1P4dRyjVhS74dGswLfAASA4/edit?usp=sharing"",""ชัยภูมิ!J614"")"),0)</f>
        <v>0</v>
      </c>
      <c r="CK34" s="261">
        <f ca="1">IFERROR(__xludf.DUMMYFUNCTION("IMPORTRANGE(""https://docs.google.com/spreadsheets/d/1xQzEtGHhTTgxHh6YUkKY1P4dRyjVhS74dGswLfAASA4/edit?usp=sharing"",""ชัยภูมิ!J615"")"),0)</f>
        <v>0</v>
      </c>
      <c r="CL34" s="186">
        <f ca="1">IFERROR(__xludf.DUMMYFUNCTION("IMPORTRANGE(""https://docs.google.com/spreadsheets/d/1xQzEtGHhTTgxHh6YUkKY1P4dRyjVhS74dGswLfAASA4/edit?usp=sharing"",""ชัยภูมิ!J616"")"),0)</f>
        <v>0</v>
      </c>
      <c r="CM34" s="261">
        <f ca="1">IFERROR(__xludf.DUMMYFUNCTION("IMPORTRANGE(""https://docs.google.com/spreadsheets/d/1xQzEtGHhTTgxHh6YUkKY1P4dRyjVhS74dGswLfAASA4/edit?usp=sharing"",""ชัยภูมิ!J617"")"),0)</f>
        <v>0</v>
      </c>
      <c r="CN34" s="261">
        <f ca="1">IFERROR(__xludf.DUMMYFUNCTION("IMPORTRANGE(""https://docs.google.com/spreadsheets/d/1xQzEtGHhTTgxHh6YUkKY1P4dRyjVhS74dGswLfAASA4/edit?usp=sharing"",""ชัยภูมิ!I620"")"),121)</f>
        <v>121</v>
      </c>
      <c r="CO34" s="261">
        <f ca="1">IFERROR(__xludf.DUMMYFUNCTION("IMPORTRANGE(""https://docs.google.com/spreadsheets/d/1xQzEtGHhTTgxHh6YUkKY1P4dRyjVhS74dGswLfAASA4/edit?usp=sharing"",""ชัยภูมิ!I621"")"),6)</f>
        <v>6</v>
      </c>
      <c r="CP34" s="262">
        <f ca="1">IFERROR(__xludf.DUMMYFUNCTION("IMPORTRANGE(""https://docs.google.com/spreadsheets/d/1xQzEtGHhTTgxHh6YUkKY1P4dRyjVhS74dGswLfAASA4/edit?usp=sharing"",""ชัยภูมิ!J620"")"),0)</f>
        <v>0</v>
      </c>
      <c r="CQ34" s="262">
        <f t="shared" ca="1" si="38"/>
        <v>0</v>
      </c>
      <c r="CR34" s="261">
        <f ca="1">IFERROR(__xludf.DUMMYFUNCTION("IMPORTRANGE(""https://docs.google.com/spreadsheets/d/1xQzEtGHhTTgxHh6YUkKY1P4dRyjVhS74dGswLfAASA4/edit?usp=sharing"",""ชัยภูมิ!J621"")"),0)</f>
        <v>0</v>
      </c>
      <c r="CS34" s="262">
        <f t="shared" ca="1" si="22"/>
        <v>0</v>
      </c>
      <c r="CT34" s="186">
        <f ca="1">IFERROR(__xludf.DUMMYFUNCTION("IMPORTRANGE(""https://docs.google.com/spreadsheets/d/1xQzEtGHhTTgxHh6YUkKY1P4dRyjVhS74dGswLfAASA4/edit?usp=sharing"",""ชัยภูมิ!J622"")"),0)</f>
        <v>0</v>
      </c>
      <c r="CU34" s="261">
        <f ca="1">IFERROR(__xludf.DUMMYFUNCTION("IMPORTRANGE(""https://docs.google.com/spreadsheets/d/1xQzEtGHhTTgxHh6YUkKY1P4dRyjVhS74dGswLfAASA4/edit?usp=sharing"",""ชัยภูมิ!J623"")"),0)</f>
        <v>0</v>
      </c>
      <c r="CV34" s="186">
        <f ca="1">IFERROR(__xludf.DUMMYFUNCTION("IMPORTRANGE(""https://docs.google.com/spreadsheets/d/1xQzEtGHhTTgxHh6YUkKY1P4dRyjVhS74dGswLfAASA4/edit?usp=sharing"",""ชัยภูมิ!J624"")"),0)</f>
        <v>0</v>
      </c>
      <c r="CW34" s="261">
        <f ca="1">IFERROR(__xludf.DUMMYFUNCTION("IMPORTRANGE(""https://docs.google.com/spreadsheets/d/1xQzEtGHhTTgxHh6YUkKY1P4dRyjVhS74dGswLfAASA4/edit?usp=sharing"",""ชัยภูมิ!J625"")"),0)</f>
        <v>0</v>
      </c>
      <c r="CX34" s="186">
        <f ca="1">IFERROR(__xludf.DUMMYFUNCTION("IMPORTRANGE(""https://docs.google.com/spreadsheets/d/1xQzEtGHhTTgxHh6YUkKY1P4dRyjVhS74dGswLfAASA4/edit?usp=sharing"",""ชัยภูมิ!J626"")"),0)</f>
        <v>0</v>
      </c>
      <c r="CY34" s="261">
        <f ca="1">IFERROR(__xludf.DUMMYFUNCTION("IMPORTRANGE(""https://docs.google.com/spreadsheets/d/1xQzEtGHhTTgxHh6YUkKY1P4dRyjVhS74dGswLfAASA4/edit?usp=sharing"",""ชัยภูมิ!J627"")"),0)</f>
        <v>0</v>
      </c>
    </row>
    <row r="35" spans="1:103" ht="21" customHeight="1" x14ac:dyDescent="0.3">
      <c r="A35" s="178">
        <v>4</v>
      </c>
      <c r="B35" s="179" t="s">
        <v>52</v>
      </c>
      <c r="C35" s="180">
        <f t="shared" ca="1" si="60"/>
        <v>432306</v>
      </c>
      <c r="D35" s="181">
        <f ca="1">IFERROR(__xludf.DUMMYFUNCTION("IMPORTRANGE(""https://docs.google.com/spreadsheets/d/1EXMBoBxU3OFbjT2TRpneM33qFjqDzrKmn9ydcflfI0o/edit?usp=sharing"",""นครพนม!L549"")"),432306)</f>
        <v>432306</v>
      </c>
      <c r="E35" s="187">
        <f ca="1">IFERROR(__xludf.DUMMYFUNCTION("IMPORTRANGE(""https://docs.google.com/spreadsheets/d/1EXMBoBxU3OFbjT2TRpneM33qFjqDzrKmn9ydcflfI0o/edit?usp=sharing"",""นครพนม!L557"")"),0)</f>
        <v>0</v>
      </c>
      <c r="F35" s="182">
        <f t="shared" ca="1" si="1"/>
        <v>84680</v>
      </c>
      <c r="G35" s="183">
        <f t="shared" ca="1" si="2"/>
        <v>19.587977034785546</v>
      </c>
      <c r="H35" s="184">
        <f t="shared" ca="1" si="61"/>
        <v>84680</v>
      </c>
      <c r="I35" s="187">
        <f ca="1">IFERROR(__xludf.DUMMYFUNCTION("IMPORTRANGE(""https://docs.google.com/spreadsheets/d/1EXMBoBxU3OFbjT2TRpneM33qFjqDzrKmn9ydcflfI0o/edit?usp=sharing"",""นครพนม!N550"")"),0)</f>
        <v>0</v>
      </c>
      <c r="J35" s="187">
        <f ca="1">IFERROR(__xludf.DUMMYFUNCTION("IMPORTRANGE(""https://docs.google.com/spreadsheets/d/1EXMBoBxU3OFbjT2TRpneM33qFjqDzrKmn9ydcflfI0o/edit?usp=sharing"",""นครพนม!N551"")"),0)</f>
        <v>0</v>
      </c>
      <c r="K35" s="187">
        <f ca="1">IFERROR(__xludf.DUMMYFUNCTION("IMPORTRANGE(""https://docs.google.com/spreadsheets/d/1EXMBoBxU3OFbjT2TRpneM33qFjqDzrKmn9ydcflfI0o/edit?usp=sharing"",""นครพนม!N552"")"),52000)</f>
        <v>52000</v>
      </c>
      <c r="L35" s="187">
        <f ca="1">IFERROR(__xludf.DUMMYFUNCTION("IMPORTRANGE(""https://docs.google.com/spreadsheets/d/1EXMBoBxU3OFbjT2TRpneM33qFjqDzrKmn9ydcflfI0o/edit?usp=sharing"",""นครพนม!N553"")"),32680)</f>
        <v>32680</v>
      </c>
      <c r="M35" s="187">
        <f ca="1">IFERROR(__xludf.DUMMYFUNCTION("IMPORTRANGE(""https://docs.google.com/spreadsheets/d/1EXMBoBxU3OFbjT2TRpneM33qFjqDzrKmn9ydcflfI0o/edit?usp=sharing"",""นครพนม!N554"")"),0)</f>
        <v>0</v>
      </c>
      <c r="N35" s="185">
        <f ca="1">IFERROR(__xludf.DUMMYFUNCTION("IMPORTRANGE(""https://docs.google.com/spreadsheets/d/1EXMBoBxU3OFbjT2TRpneM33qFjqDzrKmn9ydcflfI0o/edit?usp=sharing"",""นครพนม!N557"")"),0)</f>
        <v>0</v>
      </c>
      <c r="O35" s="185">
        <f t="shared" ca="1" si="41"/>
        <v>0</v>
      </c>
      <c r="P35" s="181">
        <f ca="1">IFERROR(__xludf.DUMMYFUNCTION("IMPORTRANGE(""https://docs.google.com/spreadsheets/d/1EXMBoBxU3OFbjT2TRpneM33qFjqDzrKmn9ydcflfI0o/edit?usp=sharing"",""นครพนม!I560"")"),71012)</f>
        <v>71012</v>
      </c>
      <c r="Q35" s="181">
        <f ca="1">IFERROR(__xludf.DUMMYFUNCTION("IMPORTRANGE(""https://docs.google.com/spreadsheets/d/1EXMBoBxU3OFbjT2TRpneM33qFjqDzrKmn9ydcflfI0o/edit?usp=sharing"",""นครพนม!I561"")"),6571)</f>
        <v>6571</v>
      </c>
      <c r="R35" s="186">
        <f ca="1">IFERROR(__xludf.DUMMYFUNCTION("IMPORTRANGE(""https://docs.google.com/spreadsheets/d/1EXMBoBxU3OFbjT2TRpneM33qFjqDzrKmn9ydcflfI0o/edit?usp=sharing"",""นครพนม!J560"")"),0)</f>
        <v>0</v>
      </c>
      <c r="S35" s="186">
        <f t="shared" ca="1" si="33"/>
        <v>0</v>
      </c>
      <c r="T35" s="181">
        <f ca="1">IFERROR(__xludf.DUMMYFUNCTION("IMPORTRANGE(""https://docs.google.com/spreadsheets/d/1EXMBoBxU3OFbjT2TRpneM33qFjqDzrKmn9ydcflfI0o/edit?usp=sharing"",""นครพนม!J561"")"),0)</f>
        <v>0</v>
      </c>
      <c r="U35" s="186">
        <f t="shared" ca="1" si="7"/>
        <v>0</v>
      </c>
      <c r="V35" s="186">
        <f ca="1">IFERROR(__xludf.DUMMYFUNCTION("IMPORTRANGE(""https://docs.google.com/spreadsheets/d/1EXMBoBxU3OFbjT2TRpneM33qFjqDzrKmn9ydcflfI0o/edit?usp=sharing"",""นครพนม!J562"")"),0)</f>
        <v>0</v>
      </c>
      <c r="W35" s="261">
        <f ca="1">IFERROR(__xludf.DUMMYFUNCTION("IMPORTRANGE(""https://docs.google.com/spreadsheets/d/1EXMBoBxU3OFbjT2TRpneM33qFjqDzrKmn9ydcflfI0o/edit?usp=sharing"",""นครพนม!J563"")"),0)</f>
        <v>0</v>
      </c>
      <c r="X35" s="186">
        <f ca="1">IFERROR(__xludf.DUMMYFUNCTION("IMPORTRANGE(""https://docs.google.com/spreadsheets/d/1EXMBoBxU3OFbjT2TRpneM33qFjqDzrKmn9ydcflfI0o/edit?usp=sharing"",""นครพนม!J564"")"),0)</f>
        <v>0</v>
      </c>
      <c r="Y35" s="261">
        <f ca="1">IFERROR(__xludf.DUMMYFUNCTION("IMPORTRANGE(""https://docs.google.com/spreadsheets/d/1EXMBoBxU3OFbjT2TRpneM33qFjqDzrKmn9ydcflfI0o/edit?usp=sharing"",""นครพนม!J565"")"),0)</f>
        <v>0</v>
      </c>
      <c r="Z35" s="186">
        <f ca="1">IFERROR(__xludf.DUMMYFUNCTION("IMPORTRANGE(""https://docs.google.com/spreadsheets/d/1EXMBoBxU3OFbjT2TRpneM33qFjqDzrKmn9ydcflfI0o/edit?usp=sharing"",""นครพนม!J566"")"),0)</f>
        <v>0</v>
      </c>
      <c r="AA35" s="261">
        <f ca="1">IFERROR(__xludf.DUMMYFUNCTION("IMPORTRANGE(""https://docs.google.com/spreadsheets/d/1EXMBoBxU3OFbjT2TRpneM33qFjqDzrKmn9ydcflfI0o/edit?usp=sharing"",""นครพนม!J567"")"),0)</f>
        <v>0</v>
      </c>
      <c r="AB35" s="181">
        <f ca="1">IFERROR(__xludf.DUMMYFUNCTION("IMPORTRANGE(""https://docs.google.com/spreadsheets/d/1EXMBoBxU3OFbjT2TRpneM33qFjqDzrKmn9ydcflfI0o/edit?usp=sharing"",""นครพนม!I568"")"),71012)</f>
        <v>71012</v>
      </c>
      <c r="AC35" s="181">
        <f ca="1">IFERROR(__xludf.DUMMYFUNCTION("IMPORTRANGE(""https://docs.google.com/spreadsheets/d/1EXMBoBxU3OFbjT2TRpneM33qFjqDzrKmn9ydcflfI0o/edit?usp=sharing"",""นครพนม!I569"")"),6571)</f>
        <v>6571</v>
      </c>
      <c r="AD35" s="186">
        <f ca="1">IFERROR(__xludf.DUMMYFUNCTION("IMPORTRANGE(""https://docs.google.com/spreadsheets/d/1EXMBoBxU3OFbjT2TRpneM33qFjqDzrKmn9ydcflfI0o/edit?usp=sharing"",""นครพนม!J568"")"),0)</f>
        <v>0</v>
      </c>
      <c r="AE35" s="186">
        <f t="shared" ca="1" si="34"/>
        <v>0</v>
      </c>
      <c r="AF35" s="181">
        <f ca="1">IFERROR(__xludf.DUMMYFUNCTION("IMPORTRANGE(""https://docs.google.com/spreadsheets/d/1EXMBoBxU3OFbjT2TRpneM33qFjqDzrKmn9ydcflfI0o/edit?usp=sharing"",""นครพนม!J569"")"),0)</f>
        <v>0</v>
      </c>
      <c r="AG35" s="186">
        <f t="shared" ca="1" si="10"/>
        <v>0</v>
      </c>
      <c r="AH35" s="186">
        <f ca="1">IFERROR(__xludf.DUMMYFUNCTION("IMPORTRANGE(""https://docs.google.com/spreadsheets/d/1EXMBoBxU3OFbjT2TRpneM33qFjqDzrKmn9ydcflfI0o/edit?usp=sharing"",""นครพนม!J570"")"),0)</f>
        <v>0</v>
      </c>
      <c r="AI35" s="261">
        <f ca="1">IFERROR(__xludf.DUMMYFUNCTION("IMPORTRANGE(""https://docs.google.com/spreadsheets/d/1EXMBoBxU3OFbjT2TRpneM33qFjqDzrKmn9ydcflfI0o/edit?usp=sharing"",""นครพนม!J571"")"),0)</f>
        <v>0</v>
      </c>
      <c r="AJ35" s="186">
        <f ca="1">IFERROR(__xludf.DUMMYFUNCTION("IMPORTRANGE(""https://docs.google.com/spreadsheets/d/1EXMBoBxU3OFbjT2TRpneM33qFjqDzrKmn9ydcflfI0o/edit?usp=sharing"",""นครพนม!J572"")"),0)</f>
        <v>0</v>
      </c>
      <c r="AK35" s="261">
        <f ca="1">IFERROR(__xludf.DUMMYFUNCTION("IMPORTRANGE(""https://docs.google.com/spreadsheets/d/1EXMBoBxU3OFbjT2TRpneM33qFjqDzrKmn9ydcflfI0o/edit?usp=sharing"",""นครพนม!J573"")"),0)</f>
        <v>0</v>
      </c>
      <c r="AL35" s="186">
        <f ca="1">IFERROR(__xludf.DUMMYFUNCTION("IMPORTRANGE(""https://docs.google.com/spreadsheets/d/1EXMBoBxU3OFbjT2TRpneM33qFjqDzrKmn9ydcflfI0o/edit?usp=sharing"",""นครพนม!J574"")"),0)</f>
        <v>0</v>
      </c>
      <c r="AM35" s="261">
        <f ca="1">IFERROR(__xludf.DUMMYFUNCTION("IMPORTRANGE(""https://docs.google.com/spreadsheets/d/1EXMBoBxU3OFbjT2TRpneM33qFjqDzrKmn9ydcflfI0o/edit?usp=sharing"",""นครพนม!J575"")"),0)</f>
        <v>0</v>
      </c>
      <c r="AN35" s="181">
        <f ca="1">IFERROR(__xludf.DUMMYFUNCTION("IMPORTRANGE(""https://docs.google.com/spreadsheets/d/1EXMBoBxU3OFbjT2TRpneM33qFjqDzrKmn9ydcflfI0o/edit?usp=sharing"",""นครพนม!I576"")"),71012)</f>
        <v>71012</v>
      </c>
      <c r="AO35" s="181">
        <f ca="1">IFERROR(__xludf.DUMMYFUNCTION("IMPORTRANGE(""https://docs.google.com/spreadsheets/d/1EXMBoBxU3OFbjT2TRpneM33qFjqDzrKmn9ydcflfI0o/edit?usp=sharing"",""นครพนม!I577"")"),6571)</f>
        <v>6571</v>
      </c>
      <c r="AP35" s="186">
        <f ca="1">IFERROR(__xludf.DUMMYFUNCTION("IMPORTRANGE(""https://docs.google.com/spreadsheets/d/1EXMBoBxU3OFbjT2TRpneM33qFjqDzrKmn9ydcflfI0o/edit?usp=sharing"",""นครพนม!J576"")"),0)</f>
        <v>0</v>
      </c>
      <c r="AQ35" s="186">
        <f t="shared" ca="1" si="35"/>
        <v>0</v>
      </c>
      <c r="AR35" s="181">
        <f ca="1">IFERROR(__xludf.DUMMYFUNCTION("IMPORTRANGE(""https://docs.google.com/spreadsheets/d/1EXMBoBxU3OFbjT2TRpneM33qFjqDzrKmn9ydcflfI0o/edit?usp=sharing"",""นครพนม!J577"")"),0)</f>
        <v>0</v>
      </c>
      <c r="AS35" s="186">
        <f t="shared" ca="1" si="13"/>
        <v>0</v>
      </c>
      <c r="AT35" s="186">
        <f ca="1">IFERROR(__xludf.DUMMYFUNCTION("IMPORTRANGE(""https://docs.google.com/spreadsheets/d/1EXMBoBxU3OFbjT2TRpneM33qFjqDzrKmn9ydcflfI0o/edit?usp=sharing"",""นครพนม!J578"")"),0)</f>
        <v>0</v>
      </c>
      <c r="AU35" s="261">
        <f ca="1">IFERROR(__xludf.DUMMYFUNCTION("IMPORTRANGE(""https://docs.google.com/spreadsheets/d/1EXMBoBxU3OFbjT2TRpneM33qFjqDzrKmn9ydcflfI0o/edit?usp=sharing"",""นครพนม!J579"")"),0)</f>
        <v>0</v>
      </c>
      <c r="AV35" s="186">
        <f ca="1">IFERROR(__xludf.DUMMYFUNCTION("IMPORTRANGE(""https://docs.google.com/spreadsheets/d/1EXMBoBxU3OFbjT2TRpneM33qFjqDzrKmn9ydcflfI0o/edit?usp=sharing"",""นครพนม!J580"")"),0)</f>
        <v>0</v>
      </c>
      <c r="AW35" s="261">
        <f ca="1">IFERROR(__xludf.DUMMYFUNCTION("IMPORTRANGE(""https://docs.google.com/spreadsheets/d/1EXMBoBxU3OFbjT2TRpneM33qFjqDzrKmn9ydcflfI0o/edit?usp=sharing"",""นครพนม!J581"")"),0)</f>
        <v>0</v>
      </c>
      <c r="AX35" s="186">
        <f ca="1">IFERROR(__xludf.DUMMYFUNCTION("IMPORTRANGE(""https://docs.google.com/spreadsheets/d/1EXMBoBxU3OFbjT2TRpneM33qFjqDzrKmn9ydcflfI0o/edit?usp=sharing"",""นครพนม!J582"")"),0)</f>
        <v>0</v>
      </c>
      <c r="AY35" s="261">
        <f ca="1">IFERROR(__xludf.DUMMYFUNCTION("IMPORTRANGE(""https://docs.google.com/spreadsheets/d/1EXMBoBxU3OFbjT2TRpneM33qFjqDzrKmn9ydcflfI0o/edit?usp=sharing"",""นครพนม!J583"")"),0)</f>
        <v>0</v>
      </c>
      <c r="AZ35" s="262">
        <f ca="1">IFERROR(__xludf.DUMMYFUNCTION("IMPORTRANGE(""https://docs.google.com/spreadsheets/d/1EXMBoBxU3OFbjT2TRpneM33qFjqDzrKmn9ydcflfI0o/edit?usp=sharing"",""นครพนม!J584"")"),0)</f>
        <v>0</v>
      </c>
      <c r="BA35" s="261">
        <f ca="1">IFERROR(__xludf.DUMMYFUNCTION("IMPORTRANGE(""https://docs.google.com/spreadsheets/d/1EXMBoBxU3OFbjT2TRpneM33qFjqDzrKmn9ydcflfI0o/edit?usp=sharing"",""นครพนม!J585"")"),0)</f>
        <v>0</v>
      </c>
      <c r="BB35" s="262">
        <f ca="1">IFERROR(__xludf.DUMMYFUNCTION("IMPORTRANGE(""https://docs.google.com/spreadsheets/d/1EXMBoBxU3OFbjT2TRpneM33qFjqDzrKmn9ydcflfI0o/edit?usp=sharing"",""นครพนม!J586"")"),0)</f>
        <v>0</v>
      </c>
      <c r="BC35" s="261">
        <f ca="1">IFERROR(__xludf.DUMMYFUNCTION("IMPORTRANGE(""https://docs.google.com/spreadsheets/d/1EXMBoBxU3OFbjT2TRpneM33qFjqDzrKmn9ydcflfI0o/edit?usp=sharing"",""นครพนม!J587"")"),0)</f>
        <v>0</v>
      </c>
      <c r="BD35" s="186">
        <f ca="1">IFERROR(__xludf.DUMMYFUNCTION("IMPORTRANGE(""https://docs.google.com/spreadsheets/d/1EXMBoBxU3OFbjT2TRpneM33qFjqDzrKmn9ydcflfI0o/edit?usp=sharing"",""นครพนม!J588"")"),0)</f>
        <v>0</v>
      </c>
      <c r="BE35" s="261">
        <f ca="1">IFERROR(__xludf.DUMMYFUNCTION("IMPORTRANGE(""https://docs.google.com/spreadsheets/d/1EXMBoBxU3OFbjT2TRpneM33qFjqDzrKmn9ydcflfI0o/edit?usp=sharing"",""นครพนม!J589"")"),0)</f>
        <v>0</v>
      </c>
      <c r="BF35" s="186">
        <f ca="1">IFERROR(__xludf.DUMMYFUNCTION("IMPORTRANGE(""https://docs.google.com/spreadsheets/d/1EXMBoBxU3OFbjT2TRpneM33qFjqDzrKmn9ydcflfI0o/edit?usp=sharing"",""นครพนม!J590"")"),0)</f>
        <v>0</v>
      </c>
      <c r="BG35" s="261">
        <f ca="1">IFERROR(__xludf.DUMMYFUNCTION("IMPORTRANGE(""https://docs.google.com/spreadsheets/d/1EXMBoBxU3OFbjT2TRpneM33qFjqDzrKmn9ydcflfI0o/edit?usp=sharing"",""นครพนม!J591"")"),0)</f>
        <v>0</v>
      </c>
      <c r="BH35" s="181">
        <f ca="1">IFERROR(__xludf.DUMMYFUNCTION("IMPORTRANGE(""https://docs.google.com/spreadsheets/d/1EXMBoBxU3OFbjT2TRpneM33qFjqDzrKmn9ydcflfI0o/edit?usp=sharing"",""นครพนม!I593"")"),3008.54)</f>
        <v>3008.54</v>
      </c>
      <c r="BI35" s="181">
        <f ca="1">IFERROR(__xludf.DUMMYFUNCTION("IMPORTRANGE(""https://docs.google.com/spreadsheets/d/1EXMBoBxU3OFbjT2TRpneM33qFjqDzrKmn9ydcflfI0o/edit?usp=sharing"",""นครพนม!I594"")"),222)</f>
        <v>222</v>
      </c>
      <c r="BJ35" s="186">
        <f ca="1">IFERROR(__xludf.DUMMYFUNCTION("IMPORTRANGE(""https://docs.google.com/spreadsheets/d/1EXMBoBxU3OFbjT2TRpneM33qFjqDzrKmn9ydcflfI0o/edit?usp=sharing"",""นครพนม!J593"")"),0)</f>
        <v>0</v>
      </c>
      <c r="BK35" s="186">
        <f t="shared" ca="1" si="36"/>
        <v>0</v>
      </c>
      <c r="BL35" s="181">
        <f ca="1">IFERROR(__xludf.DUMMYFUNCTION("IMPORTRANGE(""https://docs.google.com/spreadsheets/d/1EXMBoBxU3OFbjT2TRpneM33qFjqDzrKmn9ydcflfI0o/edit?usp=sharing"",""นครพนม!J594"")"),0)</f>
        <v>0</v>
      </c>
      <c r="BM35" s="186">
        <f t="shared" ca="1" si="16"/>
        <v>0</v>
      </c>
      <c r="BN35" s="186">
        <f ca="1">IFERROR(__xludf.DUMMYFUNCTION("IMPORTRANGE(""https://docs.google.com/spreadsheets/d/1EXMBoBxU3OFbjT2TRpneM33qFjqDzrKmn9ydcflfI0o/edit?usp=sharing"",""นครพนม!J595"")"),0)</f>
        <v>0</v>
      </c>
      <c r="BO35" s="261">
        <f ca="1">IFERROR(__xludf.DUMMYFUNCTION("IMPORTRANGE(""https://docs.google.com/spreadsheets/d/1EXMBoBxU3OFbjT2TRpneM33qFjqDzrKmn9ydcflfI0o/edit?usp=sharing"",""นครพนม!J596"")"),0)</f>
        <v>0</v>
      </c>
      <c r="BP35" s="186">
        <f ca="1">IFERROR(__xludf.DUMMYFUNCTION("IMPORTRANGE(""https://docs.google.com/spreadsheets/d/1EXMBoBxU3OFbjT2TRpneM33qFjqDzrKmn9ydcflfI0o/edit?usp=sharing"",""นครพนม!J597"")"),0)</f>
        <v>0</v>
      </c>
      <c r="BQ35" s="261">
        <f ca="1">IFERROR(__xludf.DUMMYFUNCTION("IMPORTRANGE(""https://docs.google.com/spreadsheets/d/1EXMBoBxU3OFbjT2TRpneM33qFjqDzrKmn9ydcflfI0o/edit?usp=sharing"",""นครพนม!J598"")"),0)</f>
        <v>0</v>
      </c>
      <c r="BR35" s="186">
        <f ca="1">IFERROR(__xludf.DUMMYFUNCTION("IMPORTRANGE(""https://docs.google.com/spreadsheets/d/1EXMBoBxU3OFbjT2TRpneM33qFjqDzrKmn9ydcflfI0o/edit?usp=sharing"",""นครพนม!J599"")"),0)</f>
        <v>0</v>
      </c>
      <c r="BS35" s="261">
        <f ca="1">IFERROR(__xludf.DUMMYFUNCTION("IMPORTRANGE(""https://docs.google.com/spreadsheets/d/1EXMBoBxU3OFbjT2TRpneM33qFjqDzrKmn9ydcflfI0o/edit?usp=sharing"",""นครพนม!J600"")"),0)</f>
        <v>0</v>
      </c>
      <c r="BT35" s="262">
        <f ca="1">IFERROR(__xludf.DUMMYFUNCTION("IMPORTRANGE(""https://docs.google.com/spreadsheets/d/1EXMBoBxU3OFbjT2TRpneM33qFjqDzrKmn9ydcflfI0o/edit?usp=sharing"",""นครพนม!J601"")"),0)</f>
        <v>0</v>
      </c>
      <c r="BU35" s="261">
        <f ca="1">IFERROR(__xludf.DUMMYFUNCTION("IMPORTRANGE(""https://docs.google.com/spreadsheets/d/1EXMBoBxU3OFbjT2TRpneM33qFjqDzrKmn9ydcflfI0o/edit?usp=sharing"",""นครพนม!J602"")"),0)</f>
        <v>0</v>
      </c>
      <c r="BV35" s="186">
        <f ca="1">IFERROR(__xludf.DUMMYFUNCTION("IMPORTRANGE(""https://docs.google.com/spreadsheets/d/1EXMBoBxU3OFbjT2TRpneM33qFjqDzrKmn9ydcflfI0o/edit?usp=sharing"",""นครพนม!J603"")"),0)</f>
        <v>0</v>
      </c>
      <c r="BW35" s="261">
        <f ca="1">IFERROR(__xludf.DUMMYFUNCTION("IMPORTRANGE(""https://docs.google.com/spreadsheets/d/1EXMBoBxU3OFbjT2TRpneM33qFjqDzrKmn9ydcflfI0o/edit?usp=sharing"",""นครพนม!J604"")"),0)</f>
        <v>0</v>
      </c>
      <c r="BX35" s="186">
        <f ca="1">IFERROR(__xludf.DUMMYFUNCTION("IMPORTRANGE(""https://docs.google.com/spreadsheets/d/1EXMBoBxU3OFbjT2TRpneM33qFjqDzrKmn9ydcflfI0o/edit?usp=sharing"",""นครพนม!J605"")"),0)</f>
        <v>0</v>
      </c>
      <c r="BY35" s="261">
        <f ca="1">IFERROR(__xludf.DUMMYFUNCTION("IMPORTRANGE(""https://docs.google.com/spreadsheets/d/1EXMBoBxU3OFbjT2TRpneM33qFjqDzrKmn9ydcflfI0o/edit?usp=sharing"",""นครพนม!J606"")"),0)</f>
        <v>0</v>
      </c>
      <c r="BZ35" s="186">
        <f ca="1">IFERROR(__xludf.DUMMYFUNCTION("IMPORTRANGE(""https://docs.google.com/spreadsheets/d/1EXMBoBxU3OFbjT2TRpneM33qFjqDzrKmn9ydcflfI0o/edit?usp=sharing"",""นครพนม!J607"")"),0)</f>
        <v>0</v>
      </c>
      <c r="CA35" s="261">
        <f ca="1">IFERROR(__xludf.DUMMYFUNCTION("IMPORTRANGE(""https://docs.google.com/spreadsheets/d/1EXMBoBxU3OFbjT2TRpneM33qFjqDzrKmn9ydcflfI0o/edit?usp=sharing"",""นครพนม!J608"")"),0)</f>
        <v>0</v>
      </c>
      <c r="CB35" s="186">
        <f ca="1">IFERROR(__xludf.DUMMYFUNCTION("IMPORTRANGE(""https://docs.google.com/spreadsheets/d/1EXMBoBxU3OFbjT2TRpneM33qFjqDzrKmn9ydcflfI0o/edit?usp=sharing"",""นครพนม!J609"")"),0)</f>
        <v>0</v>
      </c>
      <c r="CC35" s="261">
        <f ca="1">IFERROR(__xludf.DUMMYFUNCTION("IMPORTRANGE(""https://docs.google.com/spreadsheets/d/1EXMBoBxU3OFbjT2TRpneM33qFjqDzrKmn9ydcflfI0o/edit?usp=sharing"",""นครพนม!J610"")"),0)</f>
        <v>0</v>
      </c>
      <c r="CD35" s="261">
        <f ca="1">IFERROR(__xludf.DUMMYFUNCTION("IMPORTRANGE(""https://docs.google.com/spreadsheets/d/1EXMBoBxU3OFbjT2TRpneM33qFjqDzrKmn9ydcflfI0o/edit?usp=sharing"",""นครพนม!I612"")"),0)</f>
        <v>0</v>
      </c>
      <c r="CE35" s="261">
        <f ca="1">IFERROR(__xludf.DUMMYFUNCTION("IMPORTRANGE(""https://docs.google.com/spreadsheets/d/1EXMBoBxU3OFbjT2TRpneM33qFjqDzrKmn9ydcflfI0o/edit?usp=sharing"",""นครพนม!I594"")"),222)</f>
        <v>222</v>
      </c>
      <c r="CF35" s="262">
        <f ca="1">IFERROR(__xludf.DUMMYFUNCTION("IMPORTRANGE(""https://docs.google.com/spreadsheets/d/1EXMBoBxU3OFbjT2TRpneM33qFjqDzrKmn9ydcflfI0o/edit?usp=sharing"",""นครพนม!J612"")"),0)</f>
        <v>0</v>
      </c>
      <c r="CG35" s="262">
        <f t="shared" ca="1" si="37"/>
        <v>0</v>
      </c>
      <c r="CH35" s="261">
        <f ca="1">IFERROR(__xludf.DUMMYFUNCTION("IMPORTRANGE(""https://docs.google.com/spreadsheets/d/1EXMBoBxU3OFbjT2TRpneM33qFjqDzrKmn9ydcflfI0o/edit?usp=sharing"",""นครพนม!J613"")"),0)</f>
        <v>0</v>
      </c>
      <c r="CI35" s="262">
        <f t="shared" ca="1" si="19"/>
        <v>0</v>
      </c>
      <c r="CJ35" s="186">
        <f ca="1">IFERROR(__xludf.DUMMYFUNCTION("IMPORTRANGE(""https://docs.google.com/spreadsheets/d/1EXMBoBxU3OFbjT2TRpneM33qFjqDzrKmn9ydcflfI0o/edit?usp=sharing"",""นครพนม!J614"")"),0)</f>
        <v>0</v>
      </c>
      <c r="CK35" s="261">
        <f ca="1">IFERROR(__xludf.DUMMYFUNCTION("IMPORTRANGE(""https://docs.google.com/spreadsheets/d/1EXMBoBxU3OFbjT2TRpneM33qFjqDzrKmn9ydcflfI0o/edit?usp=sharing"",""นครพนม!J615"")"),0)</f>
        <v>0</v>
      </c>
      <c r="CL35" s="186">
        <f ca="1">IFERROR(__xludf.DUMMYFUNCTION("IMPORTRANGE(""https://docs.google.com/spreadsheets/d/1EXMBoBxU3OFbjT2TRpneM33qFjqDzrKmn9ydcflfI0o/edit?usp=sharing"",""นครพนม!J616"")"),0)</f>
        <v>0</v>
      </c>
      <c r="CM35" s="261">
        <f ca="1">IFERROR(__xludf.DUMMYFUNCTION("IMPORTRANGE(""https://docs.google.com/spreadsheets/d/1EXMBoBxU3OFbjT2TRpneM33qFjqDzrKmn9ydcflfI0o/edit?usp=sharing"",""นครพนม!J617"")"),0)</f>
        <v>0</v>
      </c>
      <c r="CN35" s="261">
        <f ca="1">IFERROR(__xludf.DUMMYFUNCTION("IMPORTRANGE(""https://docs.google.com/spreadsheets/d/1EXMBoBxU3OFbjT2TRpneM33qFjqDzrKmn9ydcflfI0o/edit?usp=sharing"",""นครพนม!I620"")"),0)</f>
        <v>0</v>
      </c>
      <c r="CO35" s="261">
        <f ca="1">IFERROR(__xludf.DUMMYFUNCTION("IMPORTRANGE(""https://docs.google.com/spreadsheets/d/1EXMBoBxU3OFbjT2TRpneM33qFjqDzrKmn9ydcflfI0o/edit?usp=sharing"",""นครพนม!I621"")"),0)</f>
        <v>0</v>
      </c>
      <c r="CP35" s="262">
        <f ca="1">IFERROR(__xludf.DUMMYFUNCTION("IMPORTRANGE(""https://docs.google.com/spreadsheets/d/1EXMBoBxU3OFbjT2TRpneM33qFjqDzrKmn9ydcflfI0o/edit?usp=sharing"",""นครพนม!J620"")"),0)</f>
        <v>0</v>
      </c>
      <c r="CQ35" s="262">
        <f t="shared" ca="1" si="38"/>
        <v>0</v>
      </c>
      <c r="CR35" s="261">
        <f ca="1">IFERROR(__xludf.DUMMYFUNCTION("IMPORTRANGE(""https://docs.google.com/spreadsheets/d/1EXMBoBxU3OFbjT2TRpneM33qFjqDzrKmn9ydcflfI0o/edit?usp=sharing"",""นครพนม!J621"")"),0)</f>
        <v>0</v>
      </c>
      <c r="CS35" s="262">
        <f t="shared" ca="1" si="22"/>
        <v>0</v>
      </c>
      <c r="CT35" s="186">
        <f ca="1">IFERROR(__xludf.DUMMYFUNCTION("IMPORTRANGE(""https://docs.google.com/spreadsheets/d/1EXMBoBxU3OFbjT2TRpneM33qFjqDzrKmn9ydcflfI0o/edit?usp=sharing"",""นครพนม!J622"")"),0)</f>
        <v>0</v>
      </c>
      <c r="CU35" s="261">
        <f ca="1">IFERROR(__xludf.DUMMYFUNCTION("IMPORTRANGE(""https://docs.google.com/spreadsheets/d/1EXMBoBxU3OFbjT2TRpneM33qFjqDzrKmn9ydcflfI0o/edit?usp=sharing"",""นครพนม!J623"")"),0)</f>
        <v>0</v>
      </c>
      <c r="CV35" s="186">
        <f ca="1">IFERROR(__xludf.DUMMYFUNCTION("IMPORTRANGE(""https://docs.google.com/spreadsheets/d/1EXMBoBxU3OFbjT2TRpneM33qFjqDzrKmn9ydcflfI0o/edit?usp=sharing"",""นครพนม!J624"")"),0)</f>
        <v>0</v>
      </c>
      <c r="CW35" s="261">
        <f ca="1">IFERROR(__xludf.DUMMYFUNCTION("IMPORTRANGE(""https://docs.google.com/spreadsheets/d/1EXMBoBxU3OFbjT2TRpneM33qFjqDzrKmn9ydcflfI0o/edit?usp=sharing"",""นครพนม!J625"")"),0)</f>
        <v>0</v>
      </c>
      <c r="CX35" s="186">
        <f ca="1">IFERROR(__xludf.DUMMYFUNCTION("IMPORTRANGE(""https://docs.google.com/spreadsheets/d/1EXMBoBxU3OFbjT2TRpneM33qFjqDzrKmn9ydcflfI0o/edit?usp=sharing"",""นครพนม!J626"")"),0)</f>
        <v>0</v>
      </c>
      <c r="CY35" s="261">
        <f ca="1">IFERROR(__xludf.DUMMYFUNCTION("IMPORTRANGE(""https://docs.google.com/spreadsheets/d/1EXMBoBxU3OFbjT2TRpneM33qFjqDzrKmn9ydcflfI0o/edit?usp=sharing"",""นครพนม!J627"")"),0)</f>
        <v>0</v>
      </c>
    </row>
    <row r="36" spans="1:103" ht="21" customHeight="1" x14ac:dyDescent="0.3">
      <c r="A36" s="178">
        <v>5</v>
      </c>
      <c r="B36" s="179" t="s">
        <v>53</v>
      </c>
      <c r="C36" s="180">
        <f t="shared" ca="1" si="60"/>
        <v>759787</v>
      </c>
      <c r="D36" s="181">
        <f ca="1">IFERROR(__xludf.DUMMYFUNCTION("IMPORTRANGE(""https://docs.google.com/spreadsheets/d/1bDQrolntRWtHumK8W-x-HXKntwxB9S3sF5aDeRS66Ko/edit?usp=sharing"",""นครราชสีมา!L549"")"),759787)</f>
        <v>759787</v>
      </c>
      <c r="E36" s="187">
        <f ca="1">IFERROR(__xludf.DUMMYFUNCTION("IMPORTRANGE(""https://docs.google.com/spreadsheets/d/1bDQrolntRWtHumK8W-x-HXKntwxB9S3sF5aDeRS66Ko/edit?usp=sharing"",""นครราชสีมา!L557"")"),0)</f>
        <v>0</v>
      </c>
      <c r="F36" s="182">
        <f t="shared" ca="1" si="1"/>
        <v>293552.32</v>
      </c>
      <c r="G36" s="183">
        <f t="shared" ca="1" si="2"/>
        <v>38.636133547954884</v>
      </c>
      <c r="H36" s="184">
        <f t="shared" ca="1" si="61"/>
        <v>293552.32</v>
      </c>
      <c r="I36" s="187">
        <f ca="1">IFERROR(__xludf.DUMMYFUNCTION("IMPORTRANGE(""https://docs.google.com/spreadsheets/d/1bDQrolntRWtHumK8W-x-HXKntwxB9S3sF5aDeRS66Ko/edit?usp=sharing"",""นครราชสีมา!N550"")"),0)</f>
        <v>0</v>
      </c>
      <c r="J36" s="187">
        <f ca="1">IFERROR(__xludf.DUMMYFUNCTION("IMPORTRANGE(""https://docs.google.com/spreadsheets/d/1bDQrolntRWtHumK8W-x-HXKntwxB9S3sF5aDeRS66Ko/edit?usp=sharing"",""นครราชสีมา!N551"")"),0)</f>
        <v>0</v>
      </c>
      <c r="K36" s="187">
        <f ca="1">IFERROR(__xludf.DUMMYFUNCTION("IMPORTRANGE(""https://docs.google.com/spreadsheets/d/1bDQrolntRWtHumK8W-x-HXKntwxB9S3sF5aDeRS66Ko/edit?usp=sharing"",""นครราชสีมา!N552"")"),51566.67)</f>
        <v>51566.67</v>
      </c>
      <c r="L36" s="187">
        <f ca="1">IFERROR(__xludf.DUMMYFUNCTION("IMPORTRANGE(""https://docs.google.com/spreadsheets/d/1bDQrolntRWtHumK8W-x-HXKntwxB9S3sF5aDeRS66Ko/edit?usp=sharing"",""นครราชสีมา!N553"")"),241985.65)</f>
        <v>241985.65</v>
      </c>
      <c r="M36" s="187">
        <f ca="1">IFERROR(__xludf.DUMMYFUNCTION("IMPORTRANGE(""https://docs.google.com/spreadsheets/d/1bDQrolntRWtHumK8W-x-HXKntwxB9S3sF5aDeRS66Ko/edit?usp=sharing"",""นครราชสีมา!N554"")"),0)</f>
        <v>0</v>
      </c>
      <c r="N36" s="185">
        <f ca="1">IFERROR(__xludf.DUMMYFUNCTION("IMPORTRANGE(""https://docs.google.com/spreadsheets/d/1bDQrolntRWtHumK8W-x-HXKntwxB9S3sF5aDeRS66Ko/edit?usp=sharing"",""นครราชสีมา!N557"")"),0)</f>
        <v>0</v>
      </c>
      <c r="O36" s="185">
        <f t="shared" ca="1" si="41"/>
        <v>0</v>
      </c>
      <c r="P36" s="181">
        <f ca="1">IFERROR(__xludf.DUMMYFUNCTION("IMPORTRANGE(""https://docs.google.com/spreadsheets/d/1bDQrolntRWtHumK8W-x-HXKntwxB9S3sF5aDeRS66Ko/edit?usp=sharing"",""นครราชสีมา!I560"")"),103382)</f>
        <v>103382</v>
      </c>
      <c r="Q36" s="181">
        <f ca="1">IFERROR(__xludf.DUMMYFUNCTION("IMPORTRANGE(""https://docs.google.com/spreadsheets/d/1bDQrolntRWtHumK8W-x-HXKntwxB9S3sF5aDeRS66Ko/edit?usp=sharing"",""นครราชสีมา!I561"")"),10317)</f>
        <v>10317</v>
      </c>
      <c r="R36" s="186">
        <f ca="1">IFERROR(__xludf.DUMMYFUNCTION("IMPORTRANGE(""https://docs.google.com/spreadsheets/d/1bDQrolntRWtHumK8W-x-HXKntwxB9S3sF5aDeRS66Ko/edit?usp=sharing"",""นครราชสีมา!J560"")"),103382.3475)</f>
        <v>103382.3475</v>
      </c>
      <c r="S36" s="186">
        <f t="shared" ca="1" si="33"/>
        <v>100.00033613201525</v>
      </c>
      <c r="T36" s="181">
        <f ca="1">IFERROR(__xludf.DUMMYFUNCTION("IMPORTRANGE(""https://docs.google.com/spreadsheets/d/1bDQrolntRWtHumK8W-x-HXKntwxB9S3sF5aDeRS66Ko/edit?usp=sharing"",""นครราชสีมา!J561"")"),10317)</f>
        <v>10317</v>
      </c>
      <c r="U36" s="186">
        <f t="shared" ca="1" si="7"/>
        <v>100</v>
      </c>
      <c r="V36" s="186">
        <f ca="1">IFERROR(__xludf.DUMMYFUNCTION("IMPORTRANGE(""https://docs.google.com/spreadsheets/d/1bDQrolntRWtHumK8W-x-HXKntwxB9S3sF5aDeRS66Ko/edit?usp=sharing"",""นครราชสีมา!J562"")"),75688.6)</f>
        <v>75688.600000000006</v>
      </c>
      <c r="W36" s="261">
        <f ca="1">IFERROR(__xludf.DUMMYFUNCTION("IMPORTRANGE(""https://docs.google.com/spreadsheets/d/1bDQrolntRWtHumK8W-x-HXKntwxB9S3sF5aDeRS66Ko/edit?usp=sharing"",""นครราชสีมา!J563"")"),8094)</f>
        <v>8094</v>
      </c>
      <c r="X36" s="186">
        <f ca="1">IFERROR(__xludf.DUMMYFUNCTION("IMPORTRANGE(""https://docs.google.com/spreadsheets/d/1bDQrolntRWtHumK8W-x-HXKntwxB9S3sF5aDeRS66Ko/edit?usp=sharing"",""นครราชสีมา!J564"")"),25321.6475)</f>
        <v>25321.647499999999</v>
      </c>
      <c r="Y36" s="261">
        <f ca="1">IFERROR(__xludf.DUMMYFUNCTION("IMPORTRANGE(""https://docs.google.com/spreadsheets/d/1bDQrolntRWtHumK8W-x-HXKntwxB9S3sF5aDeRS66Ko/edit?usp=sharing"",""นครราชสีมา!J565"")"),2006)</f>
        <v>2006</v>
      </c>
      <c r="Z36" s="186">
        <f ca="1">IFERROR(__xludf.DUMMYFUNCTION("IMPORTRANGE(""https://docs.google.com/spreadsheets/d/1bDQrolntRWtHumK8W-x-HXKntwxB9S3sF5aDeRS66Ko/edit?usp=sharing"",""นครราชสีมา!J566"")"),2372.1)</f>
        <v>2372.1</v>
      </c>
      <c r="AA36" s="261">
        <f ca="1">IFERROR(__xludf.DUMMYFUNCTION("IMPORTRANGE(""https://docs.google.com/spreadsheets/d/1bDQrolntRWtHumK8W-x-HXKntwxB9S3sF5aDeRS66Ko/edit?usp=sharing"",""นครราชสีมา!J567"")"),217)</f>
        <v>217</v>
      </c>
      <c r="AB36" s="181">
        <f ca="1">IFERROR(__xludf.DUMMYFUNCTION("IMPORTRANGE(""https://docs.google.com/spreadsheets/d/1bDQrolntRWtHumK8W-x-HXKntwxB9S3sF5aDeRS66Ko/edit?usp=sharing"",""นครราชสีมา!I568"")"),103382)</f>
        <v>103382</v>
      </c>
      <c r="AC36" s="181">
        <f ca="1">IFERROR(__xludf.DUMMYFUNCTION("IMPORTRANGE(""https://docs.google.com/spreadsheets/d/1bDQrolntRWtHumK8W-x-HXKntwxB9S3sF5aDeRS66Ko/edit?usp=sharing"",""นครราชสีมา!I569"")"),10317)</f>
        <v>10317</v>
      </c>
      <c r="AD36" s="186">
        <f ca="1">IFERROR(__xludf.DUMMYFUNCTION("IMPORTRANGE(""https://docs.google.com/spreadsheets/d/1bDQrolntRWtHumK8W-x-HXKntwxB9S3sF5aDeRS66Ko/edit?usp=sharing"",""นครราชสีมา!J568"")"),0)</f>
        <v>0</v>
      </c>
      <c r="AE36" s="186">
        <f t="shared" ca="1" si="34"/>
        <v>0</v>
      </c>
      <c r="AF36" s="181">
        <f ca="1">IFERROR(__xludf.DUMMYFUNCTION("IMPORTRANGE(""https://docs.google.com/spreadsheets/d/1bDQrolntRWtHumK8W-x-HXKntwxB9S3sF5aDeRS66Ko/edit?usp=sharing"",""นครราชสีมา!J569"")"),0)</f>
        <v>0</v>
      </c>
      <c r="AG36" s="186">
        <f t="shared" ca="1" si="10"/>
        <v>0</v>
      </c>
      <c r="AH36" s="186">
        <f ca="1">IFERROR(__xludf.DUMMYFUNCTION("IMPORTRANGE(""https://docs.google.com/spreadsheets/d/1bDQrolntRWtHumK8W-x-HXKntwxB9S3sF5aDeRS66Ko/edit?usp=sharing"",""นครราชสีมา!J570"")"),0)</f>
        <v>0</v>
      </c>
      <c r="AI36" s="261">
        <f ca="1">IFERROR(__xludf.DUMMYFUNCTION("IMPORTRANGE(""https://docs.google.com/spreadsheets/d/1bDQrolntRWtHumK8W-x-HXKntwxB9S3sF5aDeRS66Ko/edit?usp=sharing"",""นครราชสีมา!J571"")"),0)</f>
        <v>0</v>
      </c>
      <c r="AJ36" s="186">
        <f ca="1">IFERROR(__xludf.DUMMYFUNCTION("IMPORTRANGE(""https://docs.google.com/spreadsheets/d/1bDQrolntRWtHumK8W-x-HXKntwxB9S3sF5aDeRS66Ko/edit?usp=sharing"",""นครราชสีมา!J572"")"),0)</f>
        <v>0</v>
      </c>
      <c r="AK36" s="261">
        <f ca="1">IFERROR(__xludf.DUMMYFUNCTION("IMPORTRANGE(""https://docs.google.com/spreadsheets/d/1bDQrolntRWtHumK8W-x-HXKntwxB9S3sF5aDeRS66Ko/edit?usp=sharing"",""นครราชสีมา!J573"")"),0)</f>
        <v>0</v>
      </c>
      <c r="AL36" s="186">
        <f ca="1">IFERROR(__xludf.DUMMYFUNCTION("IMPORTRANGE(""https://docs.google.com/spreadsheets/d/1bDQrolntRWtHumK8W-x-HXKntwxB9S3sF5aDeRS66Ko/edit?usp=sharing"",""นครราชสีมา!J574"")"),0)</f>
        <v>0</v>
      </c>
      <c r="AM36" s="261">
        <f ca="1">IFERROR(__xludf.DUMMYFUNCTION("IMPORTRANGE(""https://docs.google.com/spreadsheets/d/1bDQrolntRWtHumK8W-x-HXKntwxB9S3sF5aDeRS66Ko/edit?usp=sharing"",""นครราชสีมา!J575"")"),0)</f>
        <v>0</v>
      </c>
      <c r="AN36" s="181">
        <f ca="1">IFERROR(__xludf.DUMMYFUNCTION("IMPORTRANGE(""https://docs.google.com/spreadsheets/d/1bDQrolntRWtHumK8W-x-HXKntwxB9S3sF5aDeRS66Ko/edit?usp=sharing"",""นครราชสีมา!I576"")"),103382)</f>
        <v>103382</v>
      </c>
      <c r="AO36" s="181">
        <f ca="1">IFERROR(__xludf.DUMMYFUNCTION("IMPORTRANGE(""https://docs.google.com/spreadsheets/d/1bDQrolntRWtHumK8W-x-HXKntwxB9S3sF5aDeRS66Ko/edit?usp=sharing"",""นครราชสีมา!I577"")"),10317)</f>
        <v>10317</v>
      </c>
      <c r="AP36" s="186">
        <f ca="1">IFERROR(__xludf.DUMMYFUNCTION("IMPORTRANGE(""https://docs.google.com/spreadsheets/d/1bDQrolntRWtHumK8W-x-HXKntwxB9S3sF5aDeRS66Ko/edit?usp=sharing"",""นครราชสีมา!J576"")"),0)</f>
        <v>0</v>
      </c>
      <c r="AQ36" s="186">
        <f t="shared" ca="1" si="35"/>
        <v>0</v>
      </c>
      <c r="AR36" s="181">
        <f ca="1">IFERROR(__xludf.DUMMYFUNCTION("IMPORTRANGE(""https://docs.google.com/spreadsheets/d/1bDQrolntRWtHumK8W-x-HXKntwxB9S3sF5aDeRS66Ko/edit?usp=sharing"",""นครราชสีมา!J577"")"),0)</f>
        <v>0</v>
      </c>
      <c r="AS36" s="186">
        <f t="shared" ca="1" si="13"/>
        <v>0</v>
      </c>
      <c r="AT36" s="186">
        <f ca="1">IFERROR(__xludf.DUMMYFUNCTION("IMPORTRANGE(""https://docs.google.com/spreadsheets/d/1bDQrolntRWtHumK8W-x-HXKntwxB9S3sF5aDeRS66Ko/edit?usp=sharing"",""นครราชสีมา!J578"")"),0)</f>
        <v>0</v>
      </c>
      <c r="AU36" s="261">
        <f ca="1">IFERROR(__xludf.DUMMYFUNCTION("IMPORTRANGE(""https://docs.google.com/spreadsheets/d/1bDQrolntRWtHumK8W-x-HXKntwxB9S3sF5aDeRS66Ko/edit?usp=sharing"",""นครราชสีมา!J579"")"),0)</f>
        <v>0</v>
      </c>
      <c r="AV36" s="186">
        <f ca="1">IFERROR(__xludf.DUMMYFUNCTION("IMPORTRANGE(""https://docs.google.com/spreadsheets/d/1bDQrolntRWtHumK8W-x-HXKntwxB9S3sF5aDeRS66Ko/edit?usp=sharing"",""นครราชสีมา!J580"")"),0)</f>
        <v>0</v>
      </c>
      <c r="AW36" s="261">
        <f ca="1">IFERROR(__xludf.DUMMYFUNCTION("IMPORTRANGE(""https://docs.google.com/spreadsheets/d/1bDQrolntRWtHumK8W-x-HXKntwxB9S3sF5aDeRS66Ko/edit?usp=sharing"",""นครราชสีมา!J581"")"),0)</f>
        <v>0</v>
      </c>
      <c r="AX36" s="186">
        <f ca="1">IFERROR(__xludf.DUMMYFUNCTION("IMPORTRANGE(""https://docs.google.com/spreadsheets/d/1bDQrolntRWtHumK8W-x-HXKntwxB9S3sF5aDeRS66Ko/edit?usp=sharing"",""นครราชสีมา!J582"")"),0)</f>
        <v>0</v>
      </c>
      <c r="AY36" s="261">
        <f ca="1">IFERROR(__xludf.DUMMYFUNCTION("IMPORTRANGE(""https://docs.google.com/spreadsheets/d/1bDQrolntRWtHumK8W-x-HXKntwxB9S3sF5aDeRS66Ko/edit?usp=sharing"",""นครราชสีมา!J583"")"),0)</f>
        <v>0</v>
      </c>
      <c r="AZ36" s="262">
        <f ca="1">IFERROR(__xludf.DUMMYFUNCTION("IMPORTRANGE(""https://docs.google.com/spreadsheets/d/1bDQrolntRWtHumK8W-x-HXKntwxB9S3sF5aDeRS66Ko/edit?usp=sharing"",""นครราชสีมา!J584"")"),0)</f>
        <v>0</v>
      </c>
      <c r="BA36" s="261">
        <f ca="1">IFERROR(__xludf.DUMMYFUNCTION("IMPORTRANGE(""https://docs.google.com/spreadsheets/d/1bDQrolntRWtHumK8W-x-HXKntwxB9S3sF5aDeRS66Ko/edit?usp=sharing"",""นครราชสีมา!J585"")"),0)</f>
        <v>0</v>
      </c>
      <c r="BB36" s="262">
        <f ca="1">IFERROR(__xludf.DUMMYFUNCTION("IMPORTRANGE(""https://docs.google.com/spreadsheets/d/1bDQrolntRWtHumK8W-x-HXKntwxB9S3sF5aDeRS66Ko/edit?usp=sharing"",""นครราชสีมา!J586"")"),0)</f>
        <v>0</v>
      </c>
      <c r="BC36" s="261">
        <f ca="1">IFERROR(__xludf.DUMMYFUNCTION("IMPORTRANGE(""https://docs.google.com/spreadsheets/d/1bDQrolntRWtHumK8W-x-HXKntwxB9S3sF5aDeRS66Ko/edit?usp=sharing"",""นครราชสีมา!J587"")"),0)</f>
        <v>0</v>
      </c>
      <c r="BD36" s="186">
        <f ca="1">IFERROR(__xludf.DUMMYFUNCTION("IMPORTRANGE(""https://docs.google.com/spreadsheets/d/1bDQrolntRWtHumK8W-x-HXKntwxB9S3sF5aDeRS66Ko/edit?usp=sharing"",""นครราชสีมา!J588"")"),0)</f>
        <v>0</v>
      </c>
      <c r="BE36" s="261">
        <f ca="1">IFERROR(__xludf.DUMMYFUNCTION("IMPORTRANGE(""https://docs.google.com/spreadsheets/d/1bDQrolntRWtHumK8W-x-HXKntwxB9S3sF5aDeRS66Ko/edit?usp=sharing"",""นครราชสีมา!J589"")"),0)</f>
        <v>0</v>
      </c>
      <c r="BF36" s="186">
        <f ca="1">IFERROR(__xludf.DUMMYFUNCTION("IMPORTRANGE(""https://docs.google.com/spreadsheets/d/1bDQrolntRWtHumK8W-x-HXKntwxB9S3sF5aDeRS66Ko/edit?usp=sharing"",""นครราชสีมา!J590"")"),0)</f>
        <v>0</v>
      </c>
      <c r="BG36" s="261">
        <f ca="1">IFERROR(__xludf.DUMMYFUNCTION("IMPORTRANGE(""https://docs.google.com/spreadsheets/d/1bDQrolntRWtHumK8W-x-HXKntwxB9S3sF5aDeRS66Ko/edit?usp=sharing"",""นครราชสีมา!J591"")"),0)</f>
        <v>0</v>
      </c>
      <c r="BH36" s="181">
        <f ca="1">IFERROR(__xludf.DUMMYFUNCTION("IMPORTRANGE(""https://docs.google.com/spreadsheets/d/1bDQrolntRWtHumK8W-x-HXKntwxB9S3sF5aDeRS66Ko/edit?usp=sharing"",""นครราชสีมา!I593"")"),10751.98)</f>
        <v>10751.98</v>
      </c>
      <c r="BI36" s="181">
        <f ca="1">IFERROR(__xludf.DUMMYFUNCTION("IMPORTRANGE(""https://docs.google.com/spreadsheets/d/1bDQrolntRWtHumK8W-x-HXKntwxB9S3sF5aDeRS66Ko/edit?usp=sharing"",""นครราชสีมา!I594"")"),823)</f>
        <v>823</v>
      </c>
      <c r="BJ36" s="186">
        <f ca="1">IFERROR(__xludf.DUMMYFUNCTION("IMPORTRANGE(""https://docs.google.com/spreadsheets/d/1bDQrolntRWtHumK8W-x-HXKntwxB9S3sF5aDeRS66Ko/edit?usp=sharing"",""นครราชสีมา!J593"")"),0)</f>
        <v>0</v>
      </c>
      <c r="BK36" s="186">
        <f t="shared" ca="1" si="36"/>
        <v>0</v>
      </c>
      <c r="BL36" s="181">
        <f ca="1">IFERROR(__xludf.DUMMYFUNCTION("IMPORTRANGE(""https://docs.google.com/spreadsheets/d/1bDQrolntRWtHumK8W-x-HXKntwxB9S3sF5aDeRS66Ko/edit?usp=sharing"",""นครราชสีมา!J594"")"),0)</f>
        <v>0</v>
      </c>
      <c r="BM36" s="186">
        <f t="shared" ca="1" si="16"/>
        <v>0</v>
      </c>
      <c r="BN36" s="186">
        <f ca="1">IFERROR(__xludf.DUMMYFUNCTION("IMPORTRANGE(""https://docs.google.com/spreadsheets/d/1bDQrolntRWtHumK8W-x-HXKntwxB9S3sF5aDeRS66Ko/edit?usp=sharing"",""นครราชสีมา!J595"")"),0)</f>
        <v>0</v>
      </c>
      <c r="BO36" s="261">
        <f ca="1">IFERROR(__xludf.DUMMYFUNCTION("IMPORTRANGE(""https://docs.google.com/spreadsheets/d/1bDQrolntRWtHumK8W-x-HXKntwxB9S3sF5aDeRS66Ko/edit?usp=sharing"",""นครราชสีมา!J596"")"),0)</f>
        <v>0</v>
      </c>
      <c r="BP36" s="186">
        <f ca="1">IFERROR(__xludf.DUMMYFUNCTION("IMPORTRANGE(""https://docs.google.com/spreadsheets/d/1bDQrolntRWtHumK8W-x-HXKntwxB9S3sF5aDeRS66Ko/edit?usp=sharing"",""นครราชสีมา!J597"")"),0)</f>
        <v>0</v>
      </c>
      <c r="BQ36" s="261">
        <f ca="1">IFERROR(__xludf.DUMMYFUNCTION("IMPORTRANGE(""https://docs.google.com/spreadsheets/d/1bDQrolntRWtHumK8W-x-HXKntwxB9S3sF5aDeRS66Ko/edit?usp=sharing"",""นครราชสีมา!J598"")"),0)</f>
        <v>0</v>
      </c>
      <c r="BR36" s="186">
        <f ca="1">IFERROR(__xludf.DUMMYFUNCTION("IMPORTRANGE(""https://docs.google.com/spreadsheets/d/1bDQrolntRWtHumK8W-x-HXKntwxB9S3sF5aDeRS66Ko/edit?usp=sharing"",""นครราชสีมา!J599"")"),0)</f>
        <v>0</v>
      </c>
      <c r="BS36" s="261">
        <f ca="1">IFERROR(__xludf.DUMMYFUNCTION("IMPORTRANGE(""https://docs.google.com/spreadsheets/d/1bDQrolntRWtHumK8W-x-HXKntwxB9S3sF5aDeRS66Ko/edit?usp=sharing"",""นครราชสีมา!J600"")"),0)</f>
        <v>0</v>
      </c>
      <c r="BT36" s="262">
        <f ca="1">IFERROR(__xludf.DUMMYFUNCTION("IMPORTRANGE(""https://docs.google.com/spreadsheets/d/1bDQrolntRWtHumK8W-x-HXKntwxB9S3sF5aDeRS66Ko/edit?usp=sharing"",""นครราชสีมา!J601"")"),0)</f>
        <v>0</v>
      </c>
      <c r="BU36" s="261">
        <f ca="1">IFERROR(__xludf.DUMMYFUNCTION("IMPORTRANGE(""https://docs.google.com/spreadsheets/d/1bDQrolntRWtHumK8W-x-HXKntwxB9S3sF5aDeRS66Ko/edit?usp=sharing"",""นครราชสีมา!J602"")"),0)</f>
        <v>0</v>
      </c>
      <c r="BV36" s="186">
        <f ca="1">IFERROR(__xludf.DUMMYFUNCTION("IMPORTRANGE(""https://docs.google.com/spreadsheets/d/1bDQrolntRWtHumK8W-x-HXKntwxB9S3sF5aDeRS66Ko/edit?usp=sharing"",""นครราชสีมา!J603"")"),0)</f>
        <v>0</v>
      </c>
      <c r="BW36" s="261">
        <f ca="1">IFERROR(__xludf.DUMMYFUNCTION("IMPORTRANGE(""https://docs.google.com/spreadsheets/d/1bDQrolntRWtHumK8W-x-HXKntwxB9S3sF5aDeRS66Ko/edit?usp=sharing"",""นครราชสีมา!J604"")"),0)</f>
        <v>0</v>
      </c>
      <c r="BX36" s="186">
        <f ca="1">IFERROR(__xludf.DUMMYFUNCTION("IMPORTRANGE(""https://docs.google.com/spreadsheets/d/1bDQrolntRWtHumK8W-x-HXKntwxB9S3sF5aDeRS66Ko/edit?usp=sharing"",""นครราชสีมา!J605"")"),0)</f>
        <v>0</v>
      </c>
      <c r="BY36" s="261">
        <f ca="1">IFERROR(__xludf.DUMMYFUNCTION("IMPORTRANGE(""https://docs.google.com/spreadsheets/d/1bDQrolntRWtHumK8W-x-HXKntwxB9S3sF5aDeRS66Ko/edit?usp=sharing"",""นครราชสีมา!J606"")"),0)</f>
        <v>0</v>
      </c>
      <c r="BZ36" s="186">
        <f ca="1">IFERROR(__xludf.DUMMYFUNCTION("IMPORTRANGE(""https://docs.google.com/spreadsheets/d/1bDQrolntRWtHumK8W-x-HXKntwxB9S3sF5aDeRS66Ko/edit?usp=sharing"",""นครราชสีมา!J607"")"),0)</f>
        <v>0</v>
      </c>
      <c r="CA36" s="261">
        <f ca="1">IFERROR(__xludf.DUMMYFUNCTION("IMPORTRANGE(""https://docs.google.com/spreadsheets/d/1bDQrolntRWtHumK8W-x-HXKntwxB9S3sF5aDeRS66Ko/edit?usp=sharing"",""นครราชสีมา!J608"")"),0)</f>
        <v>0</v>
      </c>
      <c r="CB36" s="186">
        <f ca="1">IFERROR(__xludf.DUMMYFUNCTION("IMPORTRANGE(""https://docs.google.com/spreadsheets/d/1bDQrolntRWtHumK8W-x-HXKntwxB9S3sF5aDeRS66Ko/edit?usp=sharing"",""นครราชสีมา!J609"")"),0)</f>
        <v>0</v>
      </c>
      <c r="CC36" s="261">
        <f ca="1">IFERROR(__xludf.DUMMYFUNCTION("IMPORTRANGE(""https://docs.google.com/spreadsheets/d/1bDQrolntRWtHumK8W-x-HXKntwxB9S3sF5aDeRS66Ko/edit?usp=sharing"",""นครราชสีมา!J610"")"),0)</f>
        <v>0</v>
      </c>
      <c r="CD36" s="261">
        <f ca="1">IFERROR(__xludf.DUMMYFUNCTION("IMPORTRANGE(""https://docs.google.com/spreadsheets/d/1bDQrolntRWtHumK8W-x-HXKntwxB9S3sF5aDeRS66Ko/edit?usp=sharing"",""นครราชสีมา!I612"")"),0)</f>
        <v>0</v>
      </c>
      <c r="CE36" s="261">
        <f ca="1">IFERROR(__xludf.DUMMYFUNCTION("IMPORTRANGE(""https://docs.google.com/spreadsheets/d/1bDQrolntRWtHumK8W-x-HXKntwxB9S3sF5aDeRS66Ko/edit?usp=sharing"",""นครราชสีมา!I594"")"),823)</f>
        <v>823</v>
      </c>
      <c r="CF36" s="262">
        <f ca="1">IFERROR(__xludf.DUMMYFUNCTION("IMPORTRANGE(""https://docs.google.com/spreadsheets/d/1bDQrolntRWtHumK8W-x-HXKntwxB9S3sF5aDeRS66Ko/edit?usp=sharing"",""นครราชสีมา!J612"")"),0)</f>
        <v>0</v>
      </c>
      <c r="CG36" s="262">
        <f t="shared" ca="1" si="37"/>
        <v>0</v>
      </c>
      <c r="CH36" s="261">
        <f ca="1">IFERROR(__xludf.DUMMYFUNCTION("IMPORTRANGE(""https://docs.google.com/spreadsheets/d/1bDQrolntRWtHumK8W-x-HXKntwxB9S3sF5aDeRS66Ko/edit?usp=sharing"",""นครราชสีมา!J613"")"),0)</f>
        <v>0</v>
      </c>
      <c r="CI36" s="262">
        <f t="shared" ca="1" si="19"/>
        <v>0</v>
      </c>
      <c r="CJ36" s="186">
        <f ca="1">IFERROR(__xludf.DUMMYFUNCTION("IMPORTRANGE(""https://docs.google.com/spreadsheets/d/1bDQrolntRWtHumK8W-x-HXKntwxB9S3sF5aDeRS66Ko/edit?usp=sharing"",""นครราชสีมา!J614"")"),0)</f>
        <v>0</v>
      </c>
      <c r="CK36" s="261">
        <f ca="1">IFERROR(__xludf.DUMMYFUNCTION("IMPORTRANGE(""https://docs.google.com/spreadsheets/d/1bDQrolntRWtHumK8W-x-HXKntwxB9S3sF5aDeRS66Ko/edit?usp=sharing"",""นครราชสีมา!J615"")"),0)</f>
        <v>0</v>
      </c>
      <c r="CL36" s="186">
        <f ca="1">IFERROR(__xludf.DUMMYFUNCTION("IMPORTRANGE(""https://docs.google.com/spreadsheets/d/1bDQrolntRWtHumK8W-x-HXKntwxB9S3sF5aDeRS66Ko/edit?usp=sharing"",""นครราชสีมา!J616"")"),0)</f>
        <v>0</v>
      </c>
      <c r="CM36" s="261">
        <f ca="1">IFERROR(__xludf.DUMMYFUNCTION("IMPORTRANGE(""https://docs.google.com/spreadsheets/d/1bDQrolntRWtHumK8W-x-HXKntwxB9S3sF5aDeRS66Ko/edit?usp=sharing"",""นครราชสีมา!J617"")"),0)</f>
        <v>0</v>
      </c>
      <c r="CN36" s="261">
        <f ca="1">IFERROR(__xludf.DUMMYFUNCTION("IMPORTRANGE(""https://docs.google.com/spreadsheets/d/1bDQrolntRWtHumK8W-x-HXKntwxB9S3sF5aDeRS66Ko/edit?usp=sharing"",""นครราชสีมา!I620"")"),0)</f>
        <v>0</v>
      </c>
      <c r="CO36" s="261">
        <f ca="1">IFERROR(__xludf.DUMMYFUNCTION("IMPORTRANGE(""https://docs.google.com/spreadsheets/d/1bDQrolntRWtHumK8W-x-HXKntwxB9S3sF5aDeRS66Ko/edit?usp=sharing"",""นครราชสีมา!I621"")"),0)</f>
        <v>0</v>
      </c>
      <c r="CP36" s="262">
        <f ca="1">IFERROR(__xludf.DUMMYFUNCTION("IMPORTRANGE(""https://docs.google.com/spreadsheets/d/1bDQrolntRWtHumK8W-x-HXKntwxB9S3sF5aDeRS66Ko/edit?usp=sharing"",""นครราชสีมา!J620"")"),0)</f>
        <v>0</v>
      </c>
      <c r="CQ36" s="262">
        <f t="shared" ca="1" si="38"/>
        <v>0</v>
      </c>
      <c r="CR36" s="261">
        <f ca="1">IFERROR(__xludf.DUMMYFUNCTION("IMPORTRANGE(""https://docs.google.com/spreadsheets/d/1bDQrolntRWtHumK8W-x-HXKntwxB9S3sF5aDeRS66Ko/edit?usp=sharing"",""นครราชสีมา!J621"")"),0)</f>
        <v>0</v>
      </c>
      <c r="CS36" s="262">
        <f t="shared" ca="1" si="22"/>
        <v>0</v>
      </c>
      <c r="CT36" s="186">
        <f ca="1">IFERROR(__xludf.DUMMYFUNCTION("IMPORTRANGE(""https://docs.google.com/spreadsheets/d/1bDQrolntRWtHumK8W-x-HXKntwxB9S3sF5aDeRS66Ko/edit?usp=sharing"",""นครราชสีมา!J622"")"),0)</f>
        <v>0</v>
      </c>
      <c r="CU36" s="261">
        <f ca="1">IFERROR(__xludf.DUMMYFUNCTION("IMPORTRANGE(""https://docs.google.com/spreadsheets/d/1bDQrolntRWtHumK8W-x-HXKntwxB9S3sF5aDeRS66Ko/edit?usp=sharing"",""นครราชสีมา!J623"")"),0)</f>
        <v>0</v>
      </c>
      <c r="CV36" s="186">
        <f ca="1">IFERROR(__xludf.DUMMYFUNCTION("IMPORTRANGE(""https://docs.google.com/spreadsheets/d/1bDQrolntRWtHumK8W-x-HXKntwxB9S3sF5aDeRS66Ko/edit?usp=sharing"",""นครราชสีมา!J624"")"),0)</f>
        <v>0</v>
      </c>
      <c r="CW36" s="261">
        <f ca="1">IFERROR(__xludf.DUMMYFUNCTION("IMPORTRANGE(""https://docs.google.com/spreadsheets/d/1bDQrolntRWtHumK8W-x-HXKntwxB9S3sF5aDeRS66Ko/edit?usp=sharing"",""นครราชสีมา!J625"")"),0)</f>
        <v>0</v>
      </c>
      <c r="CX36" s="186">
        <f ca="1">IFERROR(__xludf.DUMMYFUNCTION("IMPORTRANGE(""https://docs.google.com/spreadsheets/d/1bDQrolntRWtHumK8W-x-HXKntwxB9S3sF5aDeRS66Ko/edit?usp=sharing"",""นครราชสีมา!J626"")"),0)</f>
        <v>0</v>
      </c>
      <c r="CY36" s="261">
        <f ca="1">IFERROR(__xludf.DUMMYFUNCTION("IMPORTRANGE(""https://docs.google.com/spreadsheets/d/1bDQrolntRWtHumK8W-x-HXKntwxB9S3sF5aDeRS66Ko/edit?usp=sharing"",""นครราชสีมา!J627"")"),0)</f>
        <v>0</v>
      </c>
    </row>
    <row r="37" spans="1:103" ht="21" customHeight="1" x14ac:dyDescent="0.3">
      <c r="A37" s="178">
        <v>6</v>
      </c>
      <c r="B37" s="179" t="s">
        <v>54</v>
      </c>
      <c r="C37" s="180">
        <f t="shared" ca="1" si="60"/>
        <v>487547</v>
      </c>
      <c r="D37" s="181">
        <f ca="1">IFERROR(__xludf.DUMMYFUNCTION("IMPORTRANGE(""https://docs.google.com/spreadsheets/d/1_MzZ-2gVPiCW-d2VcafoCmFJQTSrZ6SQyFcMqRRQQ2w/edit?usp=sharing"",""บึงกาฬ!L549"")"),487547)</f>
        <v>487547</v>
      </c>
      <c r="E37" s="187">
        <f ca="1">IFERROR(__xludf.DUMMYFUNCTION("IMPORTRANGE(""https://docs.google.com/spreadsheets/d/1_MzZ-2gVPiCW-d2VcafoCmFJQTSrZ6SQyFcMqRRQQ2w/edit?usp=sharing"",""บึงกาฬ!L557"")"),0)</f>
        <v>0</v>
      </c>
      <c r="F37" s="182">
        <f t="shared" ca="1" si="1"/>
        <v>147156</v>
      </c>
      <c r="G37" s="183">
        <f t="shared" ca="1" si="2"/>
        <v>30.182936209227009</v>
      </c>
      <c r="H37" s="184">
        <f t="shared" ca="1" si="61"/>
        <v>147156</v>
      </c>
      <c r="I37" s="187">
        <f ca="1">IFERROR(__xludf.DUMMYFUNCTION("IMPORTRANGE(""https://docs.google.com/spreadsheets/d/1_MzZ-2gVPiCW-d2VcafoCmFJQTSrZ6SQyFcMqRRQQ2w/edit?usp=sharing"",""บึงกาฬ!N550"")"),0)</f>
        <v>0</v>
      </c>
      <c r="J37" s="187">
        <f ca="1">IFERROR(__xludf.DUMMYFUNCTION("IMPORTRANGE(""https://docs.google.com/spreadsheets/d/1_MzZ-2gVPiCW-d2VcafoCmFJQTSrZ6SQyFcMqRRQQ2w/edit?usp=sharing"",""บึงกาฬ!N551"")"),12290)</f>
        <v>12290</v>
      </c>
      <c r="K37" s="187">
        <f ca="1">IFERROR(__xludf.DUMMYFUNCTION("IMPORTRANGE(""https://docs.google.com/spreadsheets/d/1_MzZ-2gVPiCW-d2VcafoCmFJQTSrZ6SQyFcMqRRQQ2w/edit?usp=sharing"",""บึงกาฬ!N552"")"),51160)</f>
        <v>51160</v>
      </c>
      <c r="L37" s="187">
        <f ca="1">IFERROR(__xludf.DUMMYFUNCTION("IMPORTRANGE(""https://docs.google.com/spreadsheets/d/1_MzZ-2gVPiCW-d2VcafoCmFJQTSrZ6SQyFcMqRRQQ2w/edit?usp=sharing"",""บึงกาฬ!N553"")"),83706)</f>
        <v>83706</v>
      </c>
      <c r="M37" s="187">
        <f ca="1">IFERROR(__xludf.DUMMYFUNCTION("IMPORTRANGE(""https://docs.google.com/spreadsheets/d/1_MzZ-2gVPiCW-d2VcafoCmFJQTSrZ6SQyFcMqRRQQ2w/edit?usp=sharing"",""บึงกาฬ!N554"")"),0)</f>
        <v>0</v>
      </c>
      <c r="N37" s="185">
        <f ca="1">IFERROR(__xludf.DUMMYFUNCTION("IMPORTRANGE(""https://docs.google.com/spreadsheets/d/1_MzZ-2gVPiCW-d2VcafoCmFJQTSrZ6SQyFcMqRRQQ2w/edit?usp=sharing"",""บึงกาฬ!N557"")"),0)</f>
        <v>0</v>
      </c>
      <c r="O37" s="185">
        <f t="shared" ca="1" si="41"/>
        <v>0</v>
      </c>
      <c r="P37" s="181">
        <f ca="1">IFERROR(__xludf.DUMMYFUNCTION("IMPORTRANGE(""https://docs.google.com/spreadsheets/d/1_MzZ-2gVPiCW-d2VcafoCmFJQTSrZ6SQyFcMqRRQQ2w/edit?usp=sharing"",""บึงกาฬ!I560"")"),90157)</f>
        <v>90157</v>
      </c>
      <c r="Q37" s="181">
        <f ca="1">IFERROR(__xludf.DUMMYFUNCTION("IMPORTRANGE(""https://docs.google.com/spreadsheets/d/1_MzZ-2gVPiCW-d2VcafoCmFJQTSrZ6SQyFcMqRRQQ2w/edit?usp=sharing"",""บึงกาฬ!I561"")"),7894)</f>
        <v>7894</v>
      </c>
      <c r="R37" s="186">
        <f ca="1">IFERROR(__xludf.DUMMYFUNCTION("IMPORTRANGE(""https://docs.google.com/spreadsheets/d/1_MzZ-2gVPiCW-d2VcafoCmFJQTSrZ6SQyFcMqRRQQ2w/edit?usp=sharing"",""บึงกาฬ!J560"")"),90157)</f>
        <v>90157</v>
      </c>
      <c r="S37" s="186">
        <f t="shared" ca="1" si="33"/>
        <v>100</v>
      </c>
      <c r="T37" s="181">
        <f ca="1">IFERROR(__xludf.DUMMYFUNCTION("IMPORTRANGE(""https://docs.google.com/spreadsheets/d/1_MzZ-2gVPiCW-d2VcafoCmFJQTSrZ6SQyFcMqRRQQ2w/edit?usp=sharing"",""บึงกาฬ!J561"")"),7894)</f>
        <v>7894</v>
      </c>
      <c r="U37" s="186">
        <f t="shared" ca="1" si="7"/>
        <v>100</v>
      </c>
      <c r="V37" s="186">
        <f ca="1">IFERROR(__xludf.DUMMYFUNCTION("IMPORTRANGE(""https://docs.google.com/spreadsheets/d/1_MzZ-2gVPiCW-d2VcafoCmFJQTSrZ6SQyFcMqRRQQ2w/edit?usp=sharing"",""บึงกาฬ!J562"")"),74026)</f>
        <v>74026</v>
      </c>
      <c r="W37" s="261">
        <f ca="1">IFERROR(__xludf.DUMMYFUNCTION("IMPORTRANGE(""https://docs.google.com/spreadsheets/d/1_MzZ-2gVPiCW-d2VcafoCmFJQTSrZ6SQyFcMqRRQQ2w/edit?usp=sharing"",""บึงกาฬ!J563"")"),6762)</f>
        <v>6762</v>
      </c>
      <c r="X37" s="186">
        <f ca="1">IFERROR(__xludf.DUMMYFUNCTION("IMPORTRANGE(""https://docs.google.com/spreadsheets/d/1_MzZ-2gVPiCW-d2VcafoCmFJQTSrZ6SQyFcMqRRQQ2w/edit?usp=sharing"",""บึงกาฬ!J564"")"),13719)</f>
        <v>13719</v>
      </c>
      <c r="Y37" s="261">
        <f ca="1">IFERROR(__xludf.DUMMYFUNCTION("IMPORTRANGE(""https://docs.google.com/spreadsheets/d/1_MzZ-2gVPiCW-d2VcafoCmFJQTSrZ6SQyFcMqRRQQ2w/edit?usp=sharing"",""บึงกาฬ!J565"")"),944)</f>
        <v>944</v>
      </c>
      <c r="Z37" s="186">
        <f ca="1">IFERROR(__xludf.DUMMYFUNCTION("IMPORTRANGE(""https://docs.google.com/spreadsheets/d/1_MzZ-2gVPiCW-d2VcafoCmFJQTSrZ6SQyFcMqRRQQ2w/edit?usp=sharing"",""บึงกาฬ!J566"")"),2412)</f>
        <v>2412</v>
      </c>
      <c r="AA37" s="261">
        <f ca="1">IFERROR(__xludf.DUMMYFUNCTION("IMPORTRANGE(""https://docs.google.com/spreadsheets/d/1_MzZ-2gVPiCW-d2VcafoCmFJQTSrZ6SQyFcMqRRQQ2w/edit?usp=sharing"",""บึงกาฬ!J567"")"),188)</f>
        <v>188</v>
      </c>
      <c r="AB37" s="181">
        <f ca="1">IFERROR(__xludf.DUMMYFUNCTION("IMPORTRANGE(""https://docs.google.com/spreadsheets/d/1_MzZ-2gVPiCW-d2VcafoCmFJQTSrZ6SQyFcMqRRQQ2w/edit?usp=sharing"",""บึงกาฬ!I568"")"),90157)</f>
        <v>90157</v>
      </c>
      <c r="AC37" s="181">
        <f ca="1">IFERROR(__xludf.DUMMYFUNCTION("IMPORTRANGE(""https://docs.google.com/spreadsheets/d/1_MzZ-2gVPiCW-d2VcafoCmFJQTSrZ6SQyFcMqRRQQ2w/edit?usp=sharing"",""บึงกาฬ!I569"")"),7894)</f>
        <v>7894</v>
      </c>
      <c r="AD37" s="186">
        <f ca="1">IFERROR(__xludf.DUMMYFUNCTION("IMPORTRANGE(""https://docs.google.com/spreadsheets/d/1_MzZ-2gVPiCW-d2VcafoCmFJQTSrZ6SQyFcMqRRQQ2w/edit?usp=sharing"",""บึงกาฬ!J568"")"),90157)</f>
        <v>90157</v>
      </c>
      <c r="AE37" s="186">
        <f t="shared" ca="1" si="34"/>
        <v>100</v>
      </c>
      <c r="AF37" s="181">
        <f ca="1">IFERROR(__xludf.DUMMYFUNCTION("IMPORTRANGE(""https://docs.google.com/spreadsheets/d/1_MzZ-2gVPiCW-d2VcafoCmFJQTSrZ6SQyFcMqRRQQ2w/edit?usp=sharing"",""บึงกาฬ!J569"")"),7894)</f>
        <v>7894</v>
      </c>
      <c r="AG37" s="186">
        <f t="shared" ca="1" si="10"/>
        <v>100</v>
      </c>
      <c r="AH37" s="186">
        <f ca="1">IFERROR(__xludf.DUMMYFUNCTION("IMPORTRANGE(""https://docs.google.com/spreadsheets/d/1_MzZ-2gVPiCW-d2VcafoCmFJQTSrZ6SQyFcMqRRQQ2w/edit?usp=sharing"",""บึงกาฬ!J570"")"),76518)</f>
        <v>76518</v>
      </c>
      <c r="AI37" s="261">
        <f ca="1">IFERROR(__xludf.DUMMYFUNCTION("IMPORTRANGE(""https://docs.google.com/spreadsheets/d/1_MzZ-2gVPiCW-d2VcafoCmFJQTSrZ6SQyFcMqRRQQ2w/edit?usp=sharing"",""บึงกาฬ!J571"")"),6950)</f>
        <v>6950</v>
      </c>
      <c r="AJ37" s="186">
        <f ca="1">IFERROR(__xludf.DUMMYFUNCTION("IMPORTRANGE(""https://docs.google.com/spreadsheets/d/1_MzZ-2gVPiCW-d2VcafoCmFJQTSrZ6SQyFcMqRRQQ2w/edit?usp=sharing"",""บึงกาฬ!J572"")"),11227)</f>
        <v>11227</v>
      </c>
      <c r="AK37" s="261">
        <f ca="1">IFERROR(__xludf.DUMMYFUNCTION("IMPORTRANGE(""https://docs.google.com/spreadsheets/d/1_MzZ-2gVPiCW-d2VcafoCmFJQTSrZ6SQyFcMqRRQQ2w/edit?usp=sharing"",""บึงกาฬ!J573"")"),756)</f>
        <v>756</v>
      </c>
      <c r="AL37" s="186">
        <f ca="1">IFERROR(__xludf.DUMMYFUNCTION("IMPORTRANGE(""https://docs.google.com/spreadsheets/d/1_MzZ-2gVPiCW-d2VcafoCmFJQTSrZ6SQyFcMqRRQQ2w/edit?usp=sharing"",""บึงกาฬ!J574"")"),2412)</f>
        <v>2412</v>
      </c>
      <c r="AM37" s="261">
        <f ca="1">IFERROR(__xludf.DUMMYFUNCTION("IMPORTRANGE(""https://docs.google.com/spreadsheets/d/1_MzZ-2gVPiCW-d2VcafoCmFJQTSrZ6SQyFcMqRRQQ2w/edit?usp=sharing"",""บึงกาฬ!J575"")"),188)</f>
        <v>188</v>
      </c>
      <c r="AN37" s="181">
        <f ca="1">IFERROR(__xludf.DUMMYFUNCTION("IMPORTRANGE(""https://docs.google.com/spreadsheets/d/1_MzZ-2gVPiCW-d2VcafoCmFJQTSrZ6SQyFcMqRRQQ2w/edit?usp=sharing"",""บึงกาฬ!I576"")"),90157)</f>
        <v>90157</v>
      </c>
      <c r="AO37" s="181">
        <f ca="1">IFERROR(__xludf.DUMMYFUNCTION("IMPORTRANGE(""https://docs.google.com/spreadsheets/d/1_MzZ-2gVPiCW-d2VcafoCmFJQTSrZ6SQyFcMqRRQQ2w/edit?usp=sharing"",""บึงกาฬ!I577"")"),7894)</f>
        <v>7894</v>
      </c>
      <c r="AP37" s="186">
        <f ca="1">IFERROR(__xludf.DUMMYFUNCTION("IMPORTRANGE(""https://docs.google.com/spreadsheets/d/1_MzZ-2gVPiCW-d2VcafoCmFJQTSrZ6SQyFcMqRRQQ2w/edit?usp=sharing"",""บึงกาฬ!J576"")"),0)</f>
        <v>0</v>
      </c>
      <c r="AQ37" s="186">
        <f t="shared" ca="1" si="35"/>
        <v>0</v>
      </c>
      <c r="AR37" s="181">
        <f ca="1">IFERROR(__xludf.DUMMYFUNCTION("IMPORTRANGE(""https://docs.google.com/spreadsheets/d/1_MzZ-2gVPiCW-d2VcafoCmFJQTSrZ6SQyFcMqRRQQ2w/edit?usp=sharing"",""บึงกาฬ!J577"")"),0)</f>
        <v>0</v>
      </c>
      <c r="AS37" s="186">
        <f t="shared" ca="1" si="13"/>
        <v>0</v>
      </c>
      <c r="AT37" s="186">
        <f ca="1">IFERROR(__xludf.DUMMYFUNCTION("IMPORTRANGE(""https://docs.google.com/spreadsheets/d/1_MzZ-2gVPiCW-d2VcafoCmFJQTSrZ6SQyFcMqRRQQ2w/edit?usp=sharing"",""บึงกาฬ!J578"")"),0)</f>
        <v>0</v>
      </c>
      <c r="AU37" s="261">
        <f ca="1">IFERROR(__xludf.DUMMYFUNCTION("IMPORTRANGE(""https://docs.google.com/spreadsheets/d/1_MzZ-2gVPiCW-d2VcafoCmFJQTSrZ6SQyFcMqRRQQ2w/edit?usp=sharing"",""บึงกาฬ!J579"")"),0)</f>
        <v>0</v>
      </c>
      <c r="AV37" s="186">
        <f ca="1">IFERROR(__xludf.DUMMYFUNCTION("IMPORTRANGE(""https://docs.google.com/spreadsheets/d/1_MzZ-2gVPiCW-d2VcafoCmFJQTSrZ6SQyFcMqRRQQ2w/edit?usp=sharing"",""บึงกาฬ!J580"")"),0)</f>
        <v>0</v>
      </c>
      <c r="AW37" s="261">
        <f ca="1">IFERROR(__xludf.DUMMYFUNCTION("IMPORTRANGE(""https://docs.google.com/spreadsheets/d/1_MzZ-2gVPiCW-d2VcafoCmFJQTSrZ6SQyFcMqRRQQ2w/edit?usp=sharing"",""บึงกาฬ!J581"")"),0)</f>
        <v>0</v>
      </c>
      <c r="AX37" s="186">
        <f ca="1">IFERROR(__xludf.DUMMYFUNCTION("IMPORTRANGE(""https://docs.google.com/spreadsheets/d/1_MzZ-2gVPiCW-d2VcafoCmFJQTSrZ6SQyFcMqRRQQ2w/edit?usp=sharing"",""บึงกาฬ!J582"")"),0)</f>
        <v>0</v>
      </c>
      <c r="AY37" s="261">
        <f ca="1">IFERROR(__xludf.DUMMYFUNCTION("IMPORTRANGE(""https://docs.google.com/spreadsheets/d/1_MzZ-2gVPiCW-d2VcafoCmFJQTSrZ6SQyFcMqRRQQ2w/edit?usp=sharing"",""บึงกาฬ!J583"")"),0)</f>
        <v>0</v>
      </c>
      <c r="AZ37" s="262">
        <f ca="1">IFERROR(__xludf.DUMMYFUNCTION("IMPORTRANGE(""https://docs.google.com/spreadsheets/d/1_MzZ-2gVPiCW-d2VcafoCmFJQTSrZ6SQyFcMqRRQQ2w/edit?usp=sharing"",""บึงกาฬ!J584"")"),0)</f>
        <v>0</v>
      </c>
      <c r="BA37" s="261">
        <f ca="1">IFERROR(__xludf.DUMMYFUNCTION("IMPORTRANGE(""https://docs.google.com/spreadsheets/d/1_MzZ-2gVPiCW-d2VcafoCmFJQTSrZ6SQyFcMqRRQQ2w/edit?usp=sharing"",""บึงกาฬ!J585"")"),0)</f>
        <v>0</v>
      </c>
      <c r="BB37" s="262">
        <f ca="1">IFERROR(__xludf.DUMMYFUNCTION("IMPORTRANGE(""https://docs.google.com/spreadsheets/d/1_MzZ-2gVPiCW-d2VcafoCmFJQTSrZ6SQyFcMqRRQQ2w/edit?usp=sharing"",""บึงกาฬ!J586"")"),0)</f>
        <v>0</v>
      </c>
      <c r="BC37" s="261">
        <f ca="1">IFERROR(__xludf.DUMMYFUNCTION("IMPORTRANGE(""https://docs.google.com/spreadsheets/d/1_MzZ-2gVPiCW-d2VcafoCmFJQTSrZ6SQyFcMqRRQQ2w/edit?usp=sharing"",""บึงกาฬ!J587"")"),0)</f>
        <v>0</v>
      </c>
      <c r="BD37" s="186">
        <f ca="1">IFERROR(__xludf.DUMMYFUNCTION("IMPORTRANGE(""https://docs.google.com/spreadsheets/d/1_MzZ-2gVPiCW-d2VcafoCmFJQTSrZ6SQyFcMqRRQQ2w/edit?usp=sharing"",""บึงกาฬ!J588"")"),0)</f>
        <v>0</v>
      </c>
      <c r="BE37" s="261">
        <f ca="1">IFERROR(__xludf.DUMMYFUNCTION("IMPORTRANGE(""https://docs.google.com/spreadsheets/d/1_MzZ-2gVPiCW-d2VcafoCmFJQTSrZ6SQyFcMqRRQQ2w/edit?usp=sharing"",""บึงกาฬ!J589"")"),0)</f>
        <v>0</v>
      </c>
      <c r="BF37" s="186">
        <f ca="1">IFERROR(__xludf.DUMMYFUNCTION("IMPORTRANGE(""https://docs.google.com/spreadsheets/d/1_MzZ-2gVPiCW-d2VcafoCmFJQTSrZ6SQyFcMqRRQQ2w/edit?usp=sharing"",""บึงกาฬ!J590"")"),0)</f>
        <v>0</v>
      </c>
      <c r="BG37" s="261">
        <f ca="1">IFERROR(__xludf.DUMMYFUNCTION("IMPORTRANGE(""https://docs.google.com/spreadsheets/d/1_MzZ-2gVPiCW-d2VcafoCmFJQTSrZ6SQyFcMqRRQQ2w/edit?usp=sharing"",""บึงกาฬ!J591"")"),0)</f>
        <v>0</v>
      </c>
      <c r="BH37" s="181">
        <f ca="1">IFERROR(__xludf.DUMMYFUNCTION("IMPORTRANGE(""https://docs.google.com/spreadsheets/d/1_MzZ-2gVPiCW-d2VcafoCmFJQTSrZ6SQyFcMqRRQQ2w/edit?usp=sharing"",""บึงกาฬ!I593"")"),6390.89)</f>
        <v>6390.89</v>
      </c>
      <c r="BI37" s="181">
        <f ca="1">IFERROR(__xludf.DUMMYFUNCTION("IMPORTRANGE(""https://docs.google.com/spreadsheets/d/1_MzZ-2gVPiCW-d2VcafoCmFJQTSrZ6SQyFcMqRRQQ2w/edit?usp=sharing"",""บึงกาฬ!I594"")"),339)</f>
        <v>339</v>
      </c>
      <c r="BJ37" s="186">
        <f ca="1">IFERROR(__xludf.DUMMYFUNCTION("IMPORTRANGE(""https://docs.google.com/spreadsheets/d/1_MzZ-2gVPiCW-d2VcafoCmFJQTSrZ6SQyFcMqRRQQ2w/edit?usp=sharing"",""บึงกาฬ!J593"")"),0)</f>
        <v>0</v>
      </c>
      <c r="BK37" s="186">
        <f t="shared" ca="1" si="36"/>
        <v>0</v>
      </c>
      <c r="BL37" s="181">
        <f ca="1">IFERROR(__xludf.DUMMYFUNCTION("IMPORTRANGE(""https://docs.google.com/spreadsheets/d/1_MzZ-2gVPiCW-d2VcafoCmFJQTSrZ6SQyFcMqRRQQ2w/edit?usp=sharing"",""บึงกาฬ!J594"")"),0)</f>
        <v>0</v>
      </c>
      <c r="BM37" s="186">
        <f t="shared" ca="1" si="16"/>
        <v>0</v>
      </c>
      <c r="BN37" s="186">
        <f ca="1">IFERROR(__xludf.DUMMYFUNCTION("IMPORTRANGE(""https://docs.google.com/spreadsheets/d/1_MzZ-2gVPiCW-d2VcafoCmFJQTSrZ6SQyFcMqRRQQ2w/edit?usp=sharing"",""บึงกาฬ!J595"")"),0)</f>
        <v>0</v>
      </c>
      <c r="BO37" s="261">
        <f ca="1">IFERROR(__xludf.DUMMYFUNCTION("IMPORTRANGE(""https://docs.google.com/spreadsheets/d/1_MzZ-2gVPiCW-d2VcafoCmFJQTSrZ6SQyFcMqRRQQ2w/edit?usp=sharing"",""บึงกาฬ!J596"")"),0)</f>
        <v>0</v>
      </c>
      <c r="BP37" s="186">
        <f ca="1">IFERROR(__xludf.DUMMYFUNCTION("IMPORTRANGE(""https://docs.google.com/spreadsheets/d/1_MzZ-2gVPiCW-d2VcafoCmFJQTSrZ6SQyFcMqRRQQ2w/edit?usp=sharing"",""บึงกาฬ!J597"")"),0)</f>
        <v>0</v>
      </c>
      <c r="BQ37" s="261">
        <f ca="1">IFERROR(__xludf.DUMMYFUNCTION("IMPORTRANGE(""https://docs.google.com/spreadsheets/d/1_MzZ-2gVPiCW-d2VcafoCmFJQTSrZ6SQyFcMqRRQQ2w/edit?usp=sharing"",""บึงกาฬ!J598"")"),0)</f>
        <v>0</v>
      </c>
      <c r="BR37" s="186">
        <f ca="1">IFERROR(__xludf.DUMMYFUNCTION("IMPORTRANGE(""https://docs.google.com/spreadsheets/d/1_MzZ-2gVPiCW-d2VcafoCmFJQTSrZ6SQyFcMqRRQQ2w/edit?usp=sharing"",""บึงกาฬ!J599"")"),0)</f>
        <v>0</v>
      </c>
      <c r="BS37" s="261">
        <f ca="1">IFERROR(__xludf.DUMMYFUNCTION("IMPORTRANGE(""https://docs.google.com/spreadsheets/d/1_MzZ-2gVPiCW-d2VcafoCmFJQTSrZ6SQyFcMqRRQQ2w/edit?usp=sharing"",""บึงกาฬ!J600"")"),0)</f>
        <v>0</v>
      </c>
      <c r="BT37" s="262">
        <f ca="1">IFERROR(__xludf.DUMMYFUNCTION("IMPORTRANGE(""https://docs.google.com/spreadsheets/d/1_MzZ-2gVPiCW-d2VcafoCmFJQTSrZ6SQyFcMqRRQQ2w/edit?usp=sharing"",""บึงกาฬ!J601"")"),0)</f>
        <v>0</v>
      </c>
      <c r="BU37" s="261">
        <f ca="1">IFERROR(__xludf.DUMMYFUNCTION("IMPORTRANGE(""https://docs.google.com/spreadsheets/d/1_MzZ-2gVPiCW-d2VcafoCmFJQTSrZ6SQyFcMqRRQQ2w/edit?usp=sharing"",""บึงกาฬ!J602"")"),0)</f>
        <v>0</v>
      </c>
      <c r="BV37" s="186">
        <f ca="1">IFERROR(__xludf.DUMMYFUNCTION("IMPORTRANGE(""https://docs.google.com/spreadsheets/d/1_MzZ-2gVPiCW-d2VcafoCmFJQTSrZ6SQyFcMqRRQQ2w/edit?usp=sharing"",""บึงกาฬ!J603"")"),0)</f>
        <v>0</v>
      </c>
      <c r="BW37" s="261">
        <f ca="1">IFERROR(__xludf.DUMMYFUNCTION("IMPORTRANGE(""https://docs.google.com/spreadsheets/d/1_MzZ-2gVPiCW-d2VcafoCmFJQTSrZ6SQyFcMqRRQQ2w/edit?usp=sharing"",""บึงกาฬ!J604"")"),0)</f>
        <v>0</v>
      </c>
      <c r="BX37" s="186">
        <f ca="1">IFERROR(__xludf.DUMMYFUNCTION("IMPORTRANGE(""https://docs.google.com/spreadsheets/d/1_MzZ-2gVPiCW-d2VcafoCmFJQTSrZ6SQyFcMqRRQQ2w/edit?usp=sharing"",""บึงกาฬ!J605"")"),0)</f>
        <v>0</v>
      </c>
      <c r="BY37" s="261">
        <f ca="1">IFERROR(__xludf.DUMMYFUNCTION("IMPORTRANGE(""https://docs.google.com/spreadsheets/d/1_MzZ-2gVPiCW-d2VcafoCmFJQTSrZ6SQyFcMqRRQQ2w/edit?usp=sharing"",""บึงกาฬ!J606"")"),0)</f>
        <v>0</v>
      </c>
      <c r="BZ37" s="186">
        <f ca="1">IFERROR(__xludf.DUMMYFUNCTION("IMPORTRANGE(""https://docs.google.com/spreadsheets/d/1_MzZ-2gVPiCW-d2VcafoCmFJQTSrZ6SQyFcMqRRQQ2w/edit?usp=sharing"",""บึงกาฬ!J607"")"),0)</f>
        <v>0</v>
      </c>
      <c r="CA37" s="261">
        <f ca="1">IFERROR(__xludf.DUMMYFUNCTION("IMPORTRANGE(""https://docs.google.com/spreadsheets/d/1_MzZ-2gVPiCW-d2VcafoCmFJQTSrZ6SQyFcMqRRQQ2w/edit?usp=sharing"",""บึงกาฬ!J608"")"),0)</f>
        <v>0</v>
      </c>
      <c r="CB37" s="186">
        <f ca="1">IFERROR(__xludf.DUMMYFUNCTION("IMPORTRANGE(""https://docs.google.com/spreadsheets/d/1_MzZ-2gVPiCW-d2VcafoCmFJQTSrZ6SQyFcMqRRQQ2w/edit?usp=sharing"",""บึงกาฬ!J609"")"),0)</f>
        <v>0</v>
      </c>
      <c r="CC37" s="261">
        <f ca="1">IFERROR(__xludf.DUMMYFUNCTION("IMPORTRANGE(""https://docs.google.com/spreadsheets/d/1_MzZ-2gVPiCW-d2VcafoCmFJQTSrZ6SQyFcMqRRQQ2w/edit?usp=sharing"",""บึงกาฬ!J610"")"),0)</f>
        <v>0</v>
      </c>
      <c r="CD37" s="261">
        <f ca="1">IFERROR(__xludf.DUMMYFUNCTION("IMPORTRANGE(""https://docs.google.com/spreadsheets/d/1_MzZ-2gVPiCW-d2VcafoCmFJQTSrZ6SQyFcMqRRQQ2w/edit?usp=sharing"",""บึงกาฬ!I612"")"),0)</f>
        <v>0</v>
      </c>
      <c r="CE37" s="261">
        <f ca="1">IFERROR(__xludf.DUMMYFUNCTION("IMPORTRANGE(""https://docs.google.com/spreadsheets/d/1_MzZ-2gVPiCW-d2VcafoCmFJQTSrZ6SQyFcMqRRQQ2w/edit?usp=sharing"",""บึงกาฬ!I594"")"),339)</f>
        <v>339</v>
      </c>
      <c r="CF37" s="262">
        <f ca="1">IFERROR(__xludf.DUMMYFUNCTION("IMPORTRANGE(""https://docs.google.com/spreadsheets/d/1_MzZ-2gVPiCW-d2VcafoCmFJQTSrZ6SQyFcMqRRQQ2w/edit?usp=sharing"",""บึงกาฬ!J612"")"),0)</f>
        <v>0</v>
      </c>
      <c r="CG37" s="262">
        <f t="shared" ca="1" si="37"/>
        <v>0</v>
      </c>
      <c r="CH37" s="261">
        <f ca="1">IFERROR(__xludf.DUMMYFUNCTION("IMPORTRANGE(""https://docs.google.com/spreadsheets/d/1_MzZ-2gVPiCW-d2VcafoCmFJQTSrZ6SQyFcMqRRQQ2w/edit?usp=sharing"",""บึงกาฬ!J613"")"),0)</f>
        <v>0</v>
      </c>
      <c r="CI37" s="262">
        <f t="shared" ca="1" si="19"/>
        <v>0</v>
      </c>
      <c r="CJ37" s="186">
        <f ca="1">IFERROR(__xludf.DUMMYFUNCTION("IMPORTRANGE(""https://docs.google.com/spreadsheets/d/1_MzZ-2gVPiCW-d2VcafoCmFJQTSrZ6SQyFcMqRRQQ2w/edit?usp=sharing"",""บึงกาฬ!J614"")"),0)</f>
        <v>0</v>
      </c>
      <c r="CK37" s="261">
        <f ca="1">IFERROR(__xludf.DUMMYFUNCTION("IMPORTRANGE(""https://docs.google.com/spreadsheets/d/1_MzZ-2gVPiCW-d2VcafoCmFJQTSrZ6SQyFcMqRRQQ2w/edit?usp=sharing"",""บึงกาฬ!J615"")"),0)</f>
        <v>0</v>
      </c>
      <c r="CL37" s="186">
        <f ca="1">IFERROR(__xludf.DUMMYFUNCTION("IMPORTRANGE(""https://docs.google.com/spreadsheets/d/1_MzZ-2gVPiCW-d2VcafoCmFJQTSrZ6SQyFcMqRRQQ2w/edit?usp=sharing"",""บึงกาฬ!J616"")"),0)</f>
        <v>0</v>
      </c>
      <c r="CM37" s="261">
        <f ca="1">IFERROR(__xludf.DUMMYFUNCTION("IMPORTRANGE(""https://docs.google.com/spreadsheets/d/1_MzZ-2gVPiCW-d2VcafoCmFJQTSrZ6SQyFcMqRRQQ2w/edit?usp=sharing"",""บึงกาฬ!J617"")"),0)</f>
        <v>0</v>
      </c>
      <c r="CN37" s="261">
        <f ca="1">IFERROR(__xludf.DUMMYFUNCTION("IMPORTRANGE(""https://docs.google.com/spreadsheets/d/1_MzZ-2gVPiCW-d2VcafoCmFJQTSrZ6SQyFcMqRRQQ2w/edit?usp=sharing"",""บึงกาฬ!I620"")"),157)</f>
        <v>157</v>
      </c>
      <c r="CO37" s="261">
        <f ca="1">IFERROR(__xludf.DUMMYFUNCTION("IMPORTRANGE(""https://docs.google.com/spreadsheets/d/1_MzZ-2gVPiCW-d2VcafoCmFJQTSrZ6SQyFcMqRRQQ2w/edit?usp=sharing"",""บึงกาฬ!I621"")"),9)</f>
        <v>9</v>
      </c>
      <c r="CP37" s="262">
        <f ca="1">IFERROR(__xludf.DUMMYFUNCTION("IMPORTRANGE(""https://docs.google.com/spreadsheets/d/1_MzZ-2gVPiCW-d2VcafoCmFJQTSrZ6SQyFcMqRRQQ2w/edit?usp=sharing"",""บึงกาฬ!J620"")"),0)</f>
        <v>0</v>
      </c>
      <c r="CQ37" s="262">
        <f t="shared" ca="1" si="38"/>
        <v>0</v>
      </c>
      <c r="CR37" s="261">
        <f ca="1">IFERROR(__xludf.DUMMYFUNCTION("IMPORTRANGE(""https://docs.google.com/spreadsheets/d/1_MzZ-2gVPiCW-d2VcafoCmFJQTSrZ6SQyFcMqRRQQ2w/edit?usp=sharing"",""บึงกาฬ!J621"")"),0)</f>
        <v>0</v>
      </c>
      <c r="CS37" s="262">
        <f t="shared" ca="1" si="22"/>
        <v>0</v>
      </c>
      <c r="CT37" s="186">
        <f ca="1">IFERROR(__xludf.DUMMYFUNCTION("IMPORTRANGE(""https://docs.google.com/spreadsheets/d/1_MzZ-2gVPiCW-d2VcafoCmFJQTSrZ6SQyFcMqRRQQ2w/edit?usp=sharing"",""บึงกาฬ!J622"")"),0)</f>
        <v>0</v>
      </c>
      <c r="CU37" s="261">
        <f ca="1">IFERROR(__xludf.DUMMYFUNCTION("IMPORTRANGE(""https://docs.google.com/spreadsheets/d/1_MzZ-2gVPiCW-d2VcafoCmFJQTSrZ6SQyFcMqRRQQ2w/edit?usp=sharing"",""บึงกาฬ!J623"")"),0)</f>
        <v>0</v>
      </c>
      <c r="CV37" s="186">
        <f ca="1">IFERROR(__xludf.DUMMYFUNCTION("IMPORTRANGE(""https://docs.google.com/spreadsheets/d/1_MzZ-2gVPiCW-d2VcafoCmFJQTSrZ6SQyFcMqRRQQ2w/edit?usp=sharing"",""บึงกาฬ!J624"")"),0)</f>
        <v>0</v>
      </c>
      <c r="CW37" s="261">
        <f ca="1">IFERROR(__xludf.DUMMYFUNCTION("IMPORTRANGE(""https://docs.google.com/spreadsheets/d/1_MzZ-2gVPiCW-d2VcafoCmFJQTSrZ6SQyFcMqRRQQ2w/edit?usp=sharing"",""บึงกาฬ!J625"")"),0)</f>
        <v>0</v>
      </c>
      <c r="CX37" s="186">
        <f ca="1">IFERROR(__xludf.DUMMYFUNCTION("IMPORTRANGE(""https://docs.google.com/spreadsheets/d/1_MzZ-2gVPiCW-d2VcafoCmFJQTSrZ6SQyFcMqRRQQ2w/edit?usp=sharing"",""บึงกาฬ!J626"")"),0)</f>
        <v>0</v>
      </c>
      <c r="CY37" s="261">
        <f ca="1">IFERROR(__xludf.DUMMYFUNCTION("IMPORTRANGE(""https://docs.google.com/spreadsheets/d/1_MzZ-2gVPiCW-d2VcafoCmFJQTSrZ6SQyFcMqRRQQ2w/edit?usp=sharing"",""บึงกาฬ!J627"")"),0)</f>
        <v>0</v>
      </c>
    </row>
    <row r="38" spans="1:103" ht="21" customHeight="1" x14ac:dyDescent="0.3">
      <c r="A38" s="178">
        <v>7</v>
      </c>
      <c r="B38" s="179" t="s">
        <v>55</v>
      </c>
      <c r="C38" s="180">
        <f t="shared" ca="1" si="60"/>
        <v>542720</v>
      </c>
      <c r="D38" s="181">
        <f ca="1">IFERROR(__xludf.DUMMYFUNCTION("IMPORTRANGE(""https://docs.google.com/spreadsheets/d/1B3lPpzOuaNwVItLwLEZYl_qEblfcx7dRnbRkAw0l-pE/edit?usp=sharing"",""บุรีรัมย์!L549"")"),542720)</f>
        <v>542720</v>
      </c>
      <c r="E38" s="187">
        <f ca="1">IFERROR(__xludf.DUMMYFUNCTION("IMPORTRANGE(""https://docs.google.com/spreadsheets/d/1B3lPpzOuaNwVItLwLEZYl_qEblfcx7dRnbRkAw0l-pE/edit?usp=sharing"",""บุรีรัมย์!L557"")"),0)</f>
        <v>0</v>
      </c>
      <c r="F38" s="182">
        <f t="shared" ca="1" si="1"/>
        <v>130335</v>
      </c>
      <c r="G38" s="183">
        <f t="shared" ca="1" si="2"/>
        <v>24.015145931603772</v>
      </c>
      <c r="H38" s="184">
        <f t="shared" ca="1" si="61"/>
        <v>130335</v>
      </c>
      <c r="I38" s="187">
        <f ca="1">IFERROR(__xludf.DUMMYFUNCTION("IMPORTRANGE(""https://docs.google.com/spreadsheets/d/1B3lPpzOuaNwVItLwLEZYl_qEblfcx7dRnbRkAw0l-pE/edit?usp=sharing"",""บุรีรัมย์!N550"")"),0)</f>
        <v>0</v>
      </c>
      <c r="J38" s="187">
        <f ca="1">IFERROR(__xludf.DUMMYFUNCTION("IMPORTRANGE(""https://docs.google.com/spreadsheets/d/1B3lPpzOuaNwVItLwLEZYl_qEblfcx7dRnbRkAw0l-pE/edit?usp=sharing"",""บุรีรัมย์!N551"")"),0)</f>
        <v>0</v>
      </c>
      <c r="K38" s="187">
        <f ca="1">IFERROR(__xludf.DUMMYFUNCTION("IMPORTRANGE(""https://docs.google.com/spreadsheets/d/1B3lPpzOuaNwVItLwLEZYl_qEblfcx7dRnbRkAw0l-pE/edit?usp=sharing"",""บุรีรัมย์!N552"")"),52000)</f>
        <v>52000</v>
      </c>
      <c r="L38" s="187">
        <f ca="1">IFERROR(__xludf.DUMMYFUNCTION("IMPORTRANGE(""https://docs.google.com/spreadsheets/d/1B3lPpzOuaNwVItLwLEZYl_qEblfcx7dRnbRkAw0l-pE/edit?usp=sharing"",""บุรีรัมย์!N553"")"),78335)</f>
        <v>78335</v>
      </c>
      <c r="M38" s="187">
        <f ca="1">IFERROR(__xludf.DUMMYFUNCTION("IMPORTRANGE(""https://docs.google.com/spreadsheets/d/1B3lPpzOuaNwVItLwLEZYl_qEblfcx7dRnbRkAw0l-pE/edit?usp=sharing"",""บุรีรัมย์!N554"")"),0)</f>
        <v>0</v>
      </c>
      <c r="N38" s="185">
        <f ca="1">IFERROR(__xludf.DUMMYFUNCTION("IMPORTRANGE(""https://docs.google.com/spreadsheets/d/1B3lPpzOuaNwVItLwLEZYl_qEblfcx7dRnbRkAw0l-pE/edit?usp=sharing"",""บุรีรัมย์!N557"")"),0)</f>
        <v>0</v>
      </c>
      <c r="O38" s="185">
        <f t="shared" ca="1" si="41"/>
        <v>0</v>
      </c>
      <c r="P38" s="181">
        <f ca="1">IFERROR(__xludf.DUMMYFUNCTION("IMPORTRANGE(""https://docs.google.com/spreadsheets/d/1B3lPpzOuaNwVItLwLEZYl_qEblfcx7dRnbRkAw0l-pE/edit?usp=sharing"",""บุรีรัมย์!I560"")"),52289)</f>
        <v>52289</v>
      </c>
      <c r="Q38" s="181">
        <f ca="1">IFERROR(__xludf.DUMMYFUNCTION("IMPORTRANGE(""https://docs.google.com/spreadsheets/d/1B3lPpzOuaNwVItLwLEZYl_qEblfcx7dRnbRkAw0l-pE/edit?usp=sharing"",""บุรีรัมย์!I561"")"),5734)</f>
        <v>5734</v>
      </c>
      <c r="R38" s="186">
        <f ca="1">IFERROR(__xludf.DUMMYFUNCTION("IMPORTRANGE(""https://docs.google.com/spreadsheets/d/1B3lPpzOuaNwVItLwLEZYl_qEblfcx7dRnbRkAw0l-pE/edit?usp=sharing"",""บุรีรัมย์!J560"")"),52289)</f>
        <v>52289</v>
      </c>
      <c r="S38" s="186">
        <f t="shared" ca="1" si="33"/>
        <v>100</v>
      </c>
      <c r="T38" s="181">
        <f ca="1">IFERROR(__xludf.DUMMYFUNCTION("IMPORTRANGE(""https://docs.google.com/spreadsheets/d/1B3lPpzOuaNwVItLwLEZYl_qEblfcx7dRnbRkAw0l-pE/edit?usp=sharing"",""บุรีรัมย์!J561"")"),5734)</f>
        <v>5734</v>
      </c>
      <c r="U38" s="186">
        <f t="shared" ca="1" si="7"/>
        <v>100</v>
      </c>
      <c r="V38" s="186">
        <f ca="1">IFERROR(__xludf.DUMMYFUNCTION("IMPORTRANGE(""https://docs.google.com/spreadsheets/d/1B3lPpzOuaNwVItLwLEZYl_qEblfcx7dRnbRkAw0l-pE/edit?usp=sharing"",""บุรีรัมย์!J562"")"),33275)</f>
        <v>33275</v>
      </c>
      <c r="W38" s="261">
        <f ca="1">IFERROR(__xludf.DUMMYFUNCTION("IMPORTRANGE(""https://docs.google.com/spreadsheets/d/1B3lPpzOuaNwVItLwLEZYl_qEblfcx7dRnbRkAw0l-pE/edit?usp=sharing"",""บุรีรัมย์!J563"")"),4093)</f>
        <v>4093</v>
      </c>
      <c r="X38" s="186">
        <f ca="1">IFERROR(__xludf.DUMMYFUNCTION("IMPORTRANGE(""https://docs.google.com/spreadsheets/d/1B3lPpzOuaNwVItLwLEZYl_qEblfcx7dRnbRkAw0l-pE/edit?usp=sharing"",""บุรีรัมย์!J564"")"),17713)</f>
        <v>17713</v>
      </c>
      <c r="Y38" s="261">
        <f ca="1">IFERROR(__xludf.DUMMYFUNCTION("IMPORTRANGE(""https://docs.google.com/spreadsheets/d/1B3lPpzOuaNwVItLwLEZYl_qEblfcx7dRnbRkAw0l-pE/edit?usp=sharing"",""บุรีรัมย์!J565"")"),1499)</f>
        <v>1499</v>
      </c>
      <c r="Z38" s="186">
        <f ca="1">IFERROR(__xludf.DUMMYFUNCTION("IMPORTRANGE(""https://docs.google.com/spreadsheets/d/1B3lPpzOuaNwVItLwLEZYl_qEblfcx7dRnbRkAw0l-pE/edit?usp=sharing"",""บุรีรัมย์!J566"")"),1301)</f>
        <v>1301</v>
      </c>
      <c r="AA38" s="261">
        <f ca="1">IFERROR(__xludf.DUMMYFUNCTION("IMPORTRANGE(""https://docs.google.com/spreadsheets/d/1B3lPpzOuaNwVItLwLEZYl_qEblfcx7dRnbRkAw0l-pE/edit?usp=sharing"",""บุรีรัมย์!J567"")"),142)</f>
        <v>142</v>
      </c>
      <c r="AB38" s="181">
        <f ca="1">IFERROR(__xludf.DUMMYFUNCTION("IMPORTRANGE(""https://docs.google.com/spreadsheets/d/1B3lPpzOuaNwVItLwLEZYl_qEblfcx7dRnbRkAw0l-pE/edit?usp=sharing"",""บุรีรัมย์!I568"")"),52289)</f>
        <v>52289</v>
      </c>
      <c r="AC38" s="181">
        <f ca="1">IFERROR(__xludf.DUMMYFUNCTION("IMPORTRANGE(""https://docs.google.com/spreadsheets/d/1B3lPpzOuaNwVItLwLEZYl_qEblfcx7dRnbRkAw0l-pE/edit?usp=sharing"",""บุรีรัมย์!I569"")"),5734)</f>
        <v>5734</v>
      </c>
      <c r="AD38" s="186">
        <f ca="1">IFERROR(__xludf.DUMMYFUNCTION("IMPORTRANGE(""https://docs.google.com/spreadsheets/d/1B3lPpzOuaNwVItLwLEZYl_qEblfcx7dRnbRkAw0l-pE/edit?usp=sharing"",""บุรีรัมย์!J568"")"),0)</f>
        <v>0</v>
      </c>
      <c r="AE38" s="186">
        <f t="shared" ca="1" si="34"/>
        <v>0</v>
      </c>
      <c r="AF38" s="181">
        <f ca="1">IFERROR(__xludf.DUMMYFUNCTION("IMPORTRANGE(""https://docs.google.com/spreadsheets/d/1B3lPpzOuaNwVItLwLEZYl_qEblfcx7dRnbRkAw0l-pE/edit?usp=sharing"",""บุรีรัมย์!J569"")"),0)</f>
        <v>0</v>
      </c>
      <c r="AG38" s="186">
        <f t="shared" ca="1" si="10"/>
        <v>0</v>
      </c>
      <c r="AH38" s="186">
        <f ca="1">IFERROR(__xludf.DUMMYFUNCTION("IMPORTRANGE(""https://docs.google.com/spreadsheets/d/1B3lPpzOuaNwVItLwLEZYl_qEblfcx7dRnbRkAw0l-pE/edit?usp=sharing"",""บุรีรัมย์!J570"")"),0)</f>
        <v>0</v>
      </c>
      <c r="AI38" s="261">
        <f ca="1">IFERROR(__xludf.DUMMYFUNCTION("IMPORTRANGE(""https://docs.google.com/spreadsheets/d/1B3lPpzOuaNwVItLwLEZYl_qEblfcx7dRnbRkAw0l-pE/edit?usp=sharing"",""บุรีรัมย์!J571"")"),0)</f>
        <v>0</v>
      </c>
      <c r="AJ38" s="186">
        <f ca="1">IFERROR(__xludf.DUMMYFUNCTION("IMPORTRANGE(""https://docs.google.com/spreadsheets/d/1B3lPpzOuaNwVItLwLEZYl_qEblfcx7dRnbRkAw0l-pE/edit?usp=sharing"",""บุรีรัมย์!J572"")"),0)</f>
        <v>0</v>
      </c>
      <c r="AK38" s="261">
        <f ca="1">IFERROR(__xludf.DUMMYFUNCTION("IMPORTRANGE(""https://docs.google.com/spreadsheets/d/1B3lPpzOuaNwVItLwLEZYl_qEblfcx7dRnbRkAw0l-pE/edit?usp=sharing"",""บุรีรัมย์!J573"")"),0)</f>
        <v>0</v>
      </c>
      <c r="AL38" s="186">
        <f ca="1">IFERROR(__xludf.DUMMYFUNCTION("IMPORTRANGE(""https://docs.google.com/spreadsheets/d/1B3lPpzOuaNwVItLwLEZYl_qEblfcx7dRnbRkAw0l-pE/edit?usp=sharing"",""บุรีรัมย์!J574"")"),0)</f>
        <v>0</v>
      </c>
      <c r="AM38" s="261">
        <f ca="1">IFERROR(__xludf.DUMMYFUNCTION("IMPORTRANGE(""https://docs.google.com/spreadsheets/d/1B3lPpzOuaNwVItLwLEZYl_qEblfcx7dRnbRkAw0l-pE/edit?usp=sharing"",""บุรีรัมย์!J575"")"),0)</f>
        <v>0</v>
      </c>
      <c r="AN38" s="181">
        <f ca="1">IFERROR(__xludf.DUMMYFUNCTION("IMPORTRANGE(""https://docs.google.com/spreadsheets/d/1B3lPpzOuaNwVItLwLEZYl_qEblfcx7dRnbRkAw0l-pE/edit?usp=sharing"",""บุรีรัมย์!I576"")"),52289)</f>
        <v>52289</v>
      </c>
      <c r="AO38" s="181">
        <f ca="1">IFERROR(__xludf.DUMMYFUNCTION("IMPORTRANGE(""https://docs.google.com/spreadsheets/d/1B3lPpzOuaNwVItLwLEZYl_qEblfcx7dRnbRkAw0l-pE/edit?usp=sharing"",""บุรีรัมย์!I577"")"),5734)</f>
        <v>5734</v>
      </c>
      <c r="AP38" s="186">
        <f ca="1">IFERROR(__xludf.DUMMYFUNCTION("IMPORTRANGE(""https://docs.google.com/spreadsheets/d/1B3lPpzOuaNwVItLwLEZYl_qEblfcx7dRnbRkAw0l-pE/edit?usp=sharing"",""บุรีรัมย์!J576"")"),0)</f>
        <v>0</v>
      </c>
      <c r="AQ38" s="186">
        <f t="shared" ca="1" si="35"/>
        <v>0</v>
      </c>
      <c r="AR38" s="181">
        <f ca="1">IFERROR(__xludf.DUMMYFUNCTION("IMPORTRANGE(""https://docs.google.com/spreadsheets/d/1B3lPpzOuaNwVItLwLEZYl_qEblfcx7dRnbRkAw0l-pE/edit?usp=sharing"",""บุรีรัมย์!J577"")"),0)</f>
        <v>0</v>
      </c>
      <c r="AS38" s="186">
        <f t="shared" ca="1" si="13"/>
        <v>0</v>
      </c>
      <c r="AT38" s="186">
        <f ca="1">IFERROR(__xludf.DUMMYFUNCTION("IMPORTRANGE(""https://docs.google.com/spreadsheets/d/1B3lPpzOuaNwVItLwLEZYl_qEblfcx7dRnbRkAw0l-pE/edit?usp=sharing"",""บุรีรัมย์!J578"")"),0)</f>
        <v>0</v>
      </c>
      <c r="AU38" s="261">
        <f ca="1">IFERROR(__xludf.DUMMYFUNCTION("IMPORTRANGE(""https://docs.google.com/spreadsheets/d/1B3lPpzOuaNwVItLwLEZYl_qEblfcx7dRnbRkAw0l-pE/edit?usp=sharing"",""บุรีรัมย์!J579"")"),0)</f>
        <v>0</v>
      </c>
      <c r="AV38" s="186">
        <f ca="1">IFERROR(__xludf.DUMMYFUNCTION("IMPORTRANGE(""https://docs.google.com/spreadsheets/d/1B3lPpzOuaNwVItLwLEZYl_qEblfcx7dRnbRkAw0l-pE/edit?usp=sharing"",""บุรีรัมย์!J580"")"),0)</f>
        <v>0</v>
      </c>
      <c r="AW38" s="261">
        <f ca="1">IFERROR(__xludf.DUMMYFUNCTION("IMPORTRANGE(""https://docs.google.com/spreadsheets/d/1B3lPpzOuaNwVItLwLEZYl_qEblfcx7dRnbRkAw0l-pE/edit?usp=sharing"",""บุรีรัมย์!J581"")"),0)</f>
        <v>0</v>
      </c>
      <c r="AX38" s="186">
        <f ca="1">IFERROR(__xludf.DUMMYFUNCTION("IMPORTRANGE(""https://docs.google.com/spreadsheets/d/1B3lPpzOuaNwVItLwLEZYl_qEblfcx7dRnbRkAw0l-pE/edit?usp=sharing"",""บุรีรัมย์!J582"")"),0)</f>
        <v>0</v>
      </c>
      <c r="AY38" s="261">
        <f ca="1">IFERROR(__xludf.DUMMYFUNCTION("IMPORTRANGE(""https://docs.google.com/spreadsheets/d/1B3lPpzOuaNwVItLwLEZYl_qEblfcx7dRnbRkAw0l-pE/edit?usp=sharing"",""บุรีรัมย์!J583"")"),0)</f>
        <v>0</v>
      </c>
      <c r="AZ38" s="262">
        <f ca="1">IFERROR(__xludf.DUMMYFUNCTION("IMPORTRANGE(""https://docs.google.com/spreadsheets/d/1B3lPpzOuaNwVItLwLEZYl_qEblfcx7dRnbRkAw0l-pE/edit?usp=sharing"",""บุรีรัมย์!J584"")"),0)</f>
        <v>0</v>
      </c>
      <c r="BA38" s="261">
        <f ca="1">IFERROR(__xludf.DUMMYFUNCTION("IMPORTRANGE(""https://docs.google.com/spreadsheets/d/1B3lPpzOuaNwVItLwLEZYl_qEblfcx7dRnbRkAw0l-pE/edit?usp=sharing"",""บุรีรัมย์!J585"")"),0)</f>
        <v>0</v>
      </c>
      <c r="BB38" s="262">
        <f ca="1">IFERROR(__xludf.DUMMYFUNCTION("IMPORTRANGE(""https://docs.google.com/spreadsheets/d/1B3lPpzOuaNwVItLwLEZYl_qEblfcx7dRnbRkAw0l-pE/edit?usp=sharing"",""บุรีรัมย์!J586"")"),0)</f>
        <v>0</v>
      </c>
      <c r="BC38" s="261">
        <f ca="1">IFERROR(__xludf.DUMMYFUNCTION("IMPORTRANGE(""https://docs.google.com/spreadsheets/d/1B3lPpzOuaNwVItLwLEZYl_qEblfcx7dRnbRkAw0l-pE/edit?usp=sharing"",""บุรีรัมย์!J587"")"),0)</f>
        <v>0</v>
      </c>
      <c r="BD38" s="186">
        <f ca="1">IFERROR(__xludf.DUMMYFUNCTION("IMPORTRANGE(""https://docs.google.com/spreadsheets/d/1B3lPpzOuaNwVItLwLEZYl_qEblfcx7dRnbRkAw0l-pE/edit?usp=sharing"",""บุรีรัมย์!J588"")"),0)</f>
        <v>0</v>
      </c>
      <c r="BE38" s="261">
        <f ca="1">IFERROR(__xludf.DUMMYFUNCTION("IMPORTRANGE(""https://docs.google.com/spreadsheets/d/1B3lPpzOuaNwVItLwLEZYl_qEblfcx7dRnbRkAw0l-pE/edit?usp=sharing"",""บุรีรัมย์!J589"")"),0)</f>
        <v>0</v>
      </c>
      <c r="BF38" s="186">
        <f ca="1">IFERROR(__xludf.DUMMYFUNCTION("IMPORTRANGE(""https://docs.google.com/spreadsheets/d/1B3lPpzOuaNwVItLwLEZYl_qEblfcx7dRnbRkAw0l-pE/edit?usp=sharing"",""บุรีรัมย์!J590"")"),0)</f>
        <v>0</v>
      </c>
      <c r="BG38" s="261">
        <f ca="1">IFERROR(__xludf.DUMMYFUNCTION("IMPORTRANGE(""https://docs.google.com/spreadsheets/d/1B3lPpzOuaNwVItLwLEZYl_qEblfcx7dRnbRkAw0l-pE/edit?usp=sharing"",""บุรีรัมย์!J591"")"),0)</f>
        <v>0</v>
      </c>
      <c r="BH38" s="181">
        <f ca="1">IFERROR(__xludf.DUMMYFUNCTION("IMPORTRANGE(""https://docs.google.com/spreadsheets/d/1B3lPpzOuaNwVItLwLEZYl_qEblfcx7dRnbRkAw0l-pE/edit?usp=sharing"",""บุรีรัมย์!I593"")"),7857.35)</f>
        <v>7857.35</v>
      </c>
      <c r="BI38" s="181">
        <f ca="1">IFERROR(__xludf.DUMMYFUNCTION("IMPORTRANGE(""https://docs.google.com/spreadsheets/d/1B3lPpzOuaNwVItLwLEZYl_qEblfcx7dRnbRkAw0l-pE/edit?usp=sharing"",""บุรีรัมย์!I594"")"),657)</f>
        <v>657</v>
      </c>
      <c r="BJ38" s="186">
        <f ca="1">IFERROR(__xludf.DUMMYFUNCTION("IMPORTRANGE(""https://docs.google.com/spreadsheets/d/1B3lPpzOuaNwVItLwLEZYl_qEblfcx7dRnbRkAw0l-pE/edit?usp=sharing"",""บุรีรัมย์!J593"")"),10)</f>
        <v>10</v>
      </c>
      <c r="BK38" s="186">
        <f t="shared" ca="1" si="36"/>
        <v>0.12726937198928392</v>
      </c>
      <c r="BL38" s="181">
        <f ca="1">IFERROR(__xludf.DUMMYFUNCTION("IMPORTRANGE(""https://docs.google.com/spreadsheets/d/1B3lPpzOuaNwVItLwLEZYl_qEblfcx7dRnbRkAw0l-pE/edit?usp=sharing"",""บุรีรัมย์!J594"")"),5)</f>
        <v>5</v>
      </c>
      <c r="BM38" s="186">
        <f t="shared" ca="1" si="16"/>
        <v>0.76103500761035003</v>
      </c>
      <c r="BN38" s="186">
        <f ca="1">IFERROR(__xludf.DUMMYFUNCTION("IMPORTRANGE(""https://docs.google.com/spreadsheets/d/1B3lPpzOuaNwVItLwLEZYl_qEblfcx7dRnbRkAw0l-pE/edit?usp=sharing"",""บุรีรัมย์!J595"")"),10)</f>
        <v>10</v>
      </c>
      <c r="BO38" s="261">
        <f ca="1">IFERROR(__xludf.DUMMYFUNCTION("IMPORTRANGE(""https://docs.google.com/spreadsheets/d/1B3lPpzOuaNwVItLwLEZYl_qEblfcx7dRnbRkAw0l-pE/edit?usp=sharing"",""บุรีรัมย์!J596"")"),5)</f>
        <v>5</v>
      </c>
      <c r="BP38" s="186">
        <f ca="1">IFERROR(__xludf.DUMMYFUNCTION("IMPORTRANGE(""https://docs.google.com/spreadsheets/d/1B3lPpzOuaNwVItLwLEZYl_qEblfcx7dRnbRkAw0l-pE/edit?usp=sharing"",""บุรีรัมย์!J597"")"),10)</f>
        <v>10</v>
      </c>
      <c r="BQ38" s="261">
        <f ca="1">IFERROR(__xludf.DUMMYFUNCTION("IMPORTRANGE(""https://docs.google.com/spreadsheets/d/1B3lPpzOuaNwVItLwLEZYl_qEblfcx7dRnbRkAw0l-pE/edit?usp=sharing"",""บุรีรัมย์!J598"")"),5)</f>
        <v>5</v>
      </c>
      <c r="BR38" s="186">
        <f ca="1">IFERROR(__xludf.DUMMYFUNCTION("IMPORTRANGE(""https://docs.google.com/spreadsheets/d/1B3lPpzOuaNwVItLwLEZYl_qEblfcx7dRnbRkAw0l-pE/edit?usp=sharing"",""บุรีรัมย์!J599"")"),0)</f>
        <v>0</v>
      </c>
      <c r="BS38" s="261">
        <f ca="1">IFERROR(__xludf.DUMMYFUNCTION("IMPORTRANGE(""https://docs.google.com/spreadsheets/d/1B3lPpzOuaNwVItLwLEZYl_qEblfcx7dRnbRkAw0l-pE/edit?usp=sharing"",""บุรีรัมย์!J600"")"),0)</f>
        <v>0</v>
      </c>
      <c r="BT38" s="262">
        <f ca="1">IFERROR(__xludf.DUMMYFUNCTION("IMPORTRANGE(""https://docs.google.com/spreadsheets/d/1B3lPpzOuaNwVItLwLEZYl_qEblfcx7dRnbRkAw0l-pE/edit?usp=sharing"",""บุรีรัมย์!J601"")"),0)</f>
        <v>0</v>
      </c>
      <c r="BU38" s="261">
        <f ca="1">IFERROR(__xludf.DUMMYFUNCTION("IMPORTRANGE(""https://docs.google.com/spreadsheets/d/1B3lPpzOuaNwVItLwLEZYl_qEblfcx7dRnbRkAw0l-pE/edit?usp=sharing"",""บุรีรัมย์!J602"")"),0)</f>
        <v>0</v>
      </c>
      <c r="BV38" s="186">
        <f ca="1">IFERROR(__xludf.DUMMYFUNCTION("IMPORTRANGE(""https://docs.google.com/spreadsheets/d/1B3lPpzOuaNwVItLwLEZYl_qEblfcx7dRnbRkAw0l-pE/edit?usp=sharing"",""บุรีรัมย์!J603"")"),0)</f>
        <v>0</v>
      </c>
      <c r="BW38" s="261">
        <f ca="1">IFERROR(__xludf.DUMMYFUNCTION("IMPORTRANGE(""https://docs.google.com/spreadsheets/d/1B3lPpzOuaNwVItLwLEZYl_qEblfcx7dRnbRkAw0l-pE/edit?usp=sharing"",""บุรีรัมย์!J604"")"),0)</f>
        <v>0</v>
      </c>
      <c r="BX38" s="186">
        <f ca="1">IFERROR(__xludf.DUMMYFUNCTION("IMPORTRANGE(""https://docs.google.com/spreadsheets/d/1B3lPpzOuaNwVItLwLEZYl_qEblfcx7dRnbRkAw0l-pE/edit?usp=sharing"",""บุรีรัมย์!J605"")"),0)</f>
        <v>0</v>
      </c>
      <c r="BY38" s="261">
        <f ca="1">IFERROR(__xludf.DUMMYFUNCTION("IMPORTRANGE(""https://docs.google.com/spreadsheets/d/1B3lPpzOuaNwVItLwLEZYl_qEblfcx7dRnbRkAw0l-pE/edit?usp=sharing"",""บุรีรัมย์!J606"")"),0)</f>
        <v>0</v>
      </c>
      <c r="BZ38" s="186">
        <f ca="1">IFERROR(__xludf.DUMMYFUNCTION("IMPORTRANGE(""https://docs.google.com/spreadsheets/d/1B3lPpzOuaNwVItLwLEZYl_qEblfcx7dRnbRkAw0l-pE/edit?usp=sharing"",""บุรีรัมย์!J607"")"),0)</f>
        <v>0</v>
      </c>
      <c r="CA38" s="261">
        <f ca="1">IFERROR(__xludf.DUMMYFUNCTION("IMPORTRANGE(""https://docs.google.com/spreadsheets/d/1B3lPpzOuaNwVItLwLEZYl_qEblfcx7dRnbRkAw0l-pE/edit?usp=sharing"",""บุรีรัมย์!J608"")"),0)</f>
        <v>0</v>
      </c>
      <c r="CB38" s="186">
        <f ca="1">IFERROR(__xludf.DUMMYFUNCTION("IMPORTRANGE(""https://docs.google.com/spreadsheets/d/1B3lPpzOuaNwVItLwLEZYl_qEblfcx7dRnbRkAw0l-pE/edit?usp=sharing"",""บุรีรัมย์!J609"")"),0)</f>
        <v>0</v>
      </c>
      <c r="CC38" s="261">
        <f ca="1">IFERROR(__xludf.DUMMYFUNCTION("IMPORTRANGE(""https://docs.google.com/spreadsheets/d/1B3lPpzOuaNwVItLwLEZYl_qEblfcx7dRnbRkAw0l-pE/edit?usp=sharing"",""บุรีรัมย์!J610"")"),0)</f>
        <v>0</v>
      </c>
      <c r="CD38" s="261">
        <f ca="1">IFERROR(__xludf.DUMMYFUNCTION("IMPORTRANGE(""https://docs.google.com/spreadsheets/d/1B3lPpzOuaNwVItLwLEZYl_qEblfcx7dRnbRkAw0l-pE/edit?usp=sharing"",""บุรีรัมย์!I612"")"),0)</f>
        <v>0</v>
      </c>
      <c r="CE38" s="261">
        <f ca="1">IFERROR(__xludf.DUMMYFUNCTION("IMPORTRANGE(""https://docs.google.com/spreadsheets/d/1B3lPpzOuaNwVItLwLEZYl_qEblfcx7dRnbRkAw0l-pE/edit?usp=sharing"",""บุรีรัมย์!I594"")"),657)</f>
        <v>657</v>
      </c>
      <c r="CF38" s="262">
        <f ca="1">IFERROR(__xludf.DUMMYFUNCTION("IMPORTRANGE(""https://docs.google.com/spreadsheets/d/1B3lPpzOuaNwVItLwLEZYl_qEblfcx7dRnbRkAw0l-pE/edit?usp=sharing"",""บุรีรัมย์!J612"")"),0)</f>
        <v>0</v>
      </c>
      <c r="CG38" s="262">
        <f t="shared" ca="1" si="37"/>
        <v>0</v>
      </c>
      <c r="CH38" s="261">
        <f ca="1">IFERROR(__xludf.DUMMYFUNCTION("IMPORTRANGE(""https://docs.google.com/spreadsheets/d/1B3lPpzOuaNwVItLwLEZYl_qEblfcx7dRnbRkAw0l-pE/edit?usp=sharing"",""บุรีรัมย์!J613"")"),0)</f>
        <v>0</v>
      </c>
      <c r="CI38" s="262">
        <f t="shared" ca="1" si="19"/>
        <v>0</v>
      </c>
      <c r="CJ38" s="186">
        <f ca="1">IFERROR(__xludf.DUMMYFUNCTION("IMPORTRANGE(""https://docs.google.com/spreadsheets/d/1B3lPpzOuaNwVItLwLEZYl_qEblfcx7dRnbRkAw0l-pE/edit?usp=sharing"",""บุรีรัมย์!J614"")"),0)</f>
        <v>0</v>
      </c>
      <c r="CK38" s="261">
        <f ca="1">IFERROR(__xludf.DUMMYFUNCTION("IMPORTRANGE(""https://docs.google.com/spreadsheets/d/1B3lPpzOuaNwVItLwLEZYl_qEblfcx7dRnbRkAw0l-pE/edit?usp=sharing"",""บุรีรัมย์!J615"")"),0)</f>
        <v>0</v>
      </c>
      <c r="CL38" s="186">
        <f ca="1">IFERROR(__xludf.DUMMYFUNCTION("IMPORTRANGE(""https://docs.google.com/spreadsheets/d/1B3lPpzOuaNwVItLwLEZYl_qEblfcx7dRnbRkAw0l-pE/edit?usp=sharing"",""บุรีรัมย์!J616"")"),0)</f>
        <v>0</v>
      </c>
      <c r="CM38" s="261">
        <f ca="1">IFERROR(__xludf.DUMMYFUNCTION("IMPORTRANGE(""https://docs.google.com/spreadsheets/d/1B3lPpzOuaNwVItLwLEZYl_qEblfcx7dRnbRkAw0l-pE/edit?usp=sharing"",""บุรีรัมย์!J617"")"),0)</f>
        <v>0</v>
      </c>
      <c r="CN38" s="261">
        <f ca="1">IFERROR(__xludf.DUMMYFUNCTION("IMPORTRANGE(""https://docs.google.com/spreadsheets/d/1B3lPpzOuaNwVItLwLEZYl_qEblfcx7dRnbRkAw0l-pE/edit?usp=sharing"",""บุรีรัมย์!I620"")"),56)</f>
        <v>56</v>
      </c>
      <c r="CO38" s="261">
        <f ca="1">IFERROR(__xludf.DUMMYFUNCTION("IMPORTRANGE(""https://docs.google.com/spreadsheets/d/1B3lPpzOuaNwVItLwLEZYl_qEblfcx7dRnbRkAw0l-pE/edit?usp=sharing"",""บุรีรัมย์!I621"")"),4)</f>
        <v>4</v>
      </c>
      <c r="CP38" s="262">
        <f ca="1">IFERROR(__xludf.DUMMYFUNCTION("IMPORTRANGE(""https://docs.google.com/spreadsheets/d/1B3lPpzOuaNwVItLwLEZYl_qEblfcx7dRnbRkAw0l-pE/edit?usp=sharing"",""บุรีรัมย์!J620"")"),0)</f>
        <v>0</v>
      </c>
      <c r="CQ38" s="262">
        <f t="shared" ca="1" si="38"/>
        <v>0</v>
      </c>
      <c r="CR38" s="261">
        <f ca="1">IFERROR(__xludf.DUMMYFUNCTION("IMPORTRANGE(""https://docs.google.com/spreadsheets/d/1B3lPpzOuaNwVItLwLEZYl_qEblfcx7dRnbRkAw0l-pE/edit?usp=sharing"",""บุรีรัมย์!J621"")"),0)</f>
        <v>0</v>
      </c>
      <c r="CS38" s="262">
        <f t="shared" ca="1" si="22"/>
        <v>0</v>
      </c>
      <c r="CT38" s="186">
        <f ca="1">IFERROR(__xludf.DUMMYFUNCTION("IMPORTRANGE(""https://docs.google.com/spreadsheets/d/1B3lPpzOuaNwVItLwLEZYl_qEblfcx7dRnbRkAw0l-pE/edit?usp=sharing"",""บุรีรัมย์!J622"")"),0)</f>
        <v>0</v>
      </c>
      <c r="CU38" s="261">
        <f ca="1">IFERROR(__xludf.DUMMYFUNCTION("IMPORTRANGE(""https://docs.google.com/spreadsheets/d/1B3lPpzOuaNwVItLwLEZYl_qEblfcx7dRnbRkAw0l-pE/edit?usp=sharing"",""บุรีรัมย์!J623"")"),0)</f>
        <v>0</v>
      </c>
      <c r="CV38" s="186">
        <f ca="1">IFERROR(__xludf.DUMMYFUNCTION("IMPORTRANGE(""https://docs.google.com/spreadsheets/d/1B3lPpzOuaNwVItLwLEZYl_qEblfcx7dRnbRkAw0l-pE/edit?usp=sharing"",""บุรีรัมย์!J624"")"),0)</f>
        <v>0</v>
      </c>
      <c r="CW38" s="261">
        <f ca="1">IFERROR(__xludf.DUMMYFUNCTION("IMPORTRANGE(""https://docs.google.com/spreadsheets/d/1B3lPpzOuaNwVItLwLEZYl_qEblfcx7dRnbRkAw0l-pE/edit?usp=sharing"",""บุรีรัมย์!J625"")"),0)</f>
        <v>0</v>
      </c>
      <c r="CX38" s="186">
        <f ca="1">IFERROR(__xludf.DUMMYFUNCTION("IMPORTRANGE(""https://docs.google.com/spreadsheets/d/1B3lPpzOuaNwVItLwLEZYl_qEblfcx7dRnbRkAw0l-pE/edit?usp=sharing"",""บุรีรัมย์!J626"")"),0)</f>
        <v>0</v>
      </c>
      <c r="CY38" s="261">
        <f ca="1">IFERROR(__xludf.DUMMYFUNCTION("IMPORTRANGE(""https://docs.google.com/spreadsheets/d/1B3lPpzOuaNwVItLwLEZYl_qEblfcx7dRnbRkAw0l-pE/edit?usp=sharing"",""บุรีรัมย์!J627"")"),0)</f>
        <v>0</v>
      </c>
    </row>
    <row r="39" spans="1:103" ht="21" customHeight="1" x14ac:dyDescent="0.3">
      <c r="A39" s="178">
        <v>8</v>
      </c>
      <c r="B39" s="179" t="s">
        <v>56</v>
      </c>
      <c r="C39" s="180">
        <f t="shared" ca="1" si="60"/>
        <v>372469</v>
      </c>
      <c r="D39" s="181">
        <f ca="1">IFERROR(__xludf.DUMMYFUNCTION("IMPORTRANGE(""https://docs.google.com/spreadsheets/d/19GOkiOqnzYbevLYWrMk4qFOXe3rX14BkSA8X-mq-a40/edit?usp=sharing"",""มหาสารคาม!L549"")"),372469)</f>
        <v>372469</v>
      </c>
      <c r="E39" s="187">
        <f ca="1">IFERROR(__xludf.DUMMYFUNCTION("IMPORTRANGE(""https://docs.google.com/spreadsheets/d/19GOkiOqnzYbevLYWrMk4qFOXe3rX14BkSA8X-mq-a40/edit?usp=sharing"",""มหาสารคาม!L557"")"),0)</f>
        <v>0</v>
      </c>
      <c r="F39" s="182">
        <f t="shared" ca="1" si="1"/>
        <v>91752.4</v>
      </c>
      <c r="G39" s="183">
        <f t="shared" ca="1" si="2"/>
        <v>24.633566820325989</v>
      </c>
      <c r="H39" s="184">
        <f t="shared" ca="1" si="61"/>
        <v>91752.4</v>
      </c>
      <c r="I39" s="187">
        <f ca="1">IFERROR(__xludf.DUMMYFUNCTION("IMPORTRANGE(""https://docs.google.com/spreadsheets/d/19GOkiOqnzYbevLYWrMk4qFOXe3rX14BkSA8X-mq-a40/edit?usp=sharing"",""มหาสารคาม!N550"")"),0)</f>
        <v>0</v>
      </c>
      <c r="J39" s="187">
        <f ca="1">IFERROR(__xludf.DUMMYFUNCTION("IMPORTRANGE(""https://docs.google.com/spreadsheets/d/19GOkiOqnzYbevLYWrMk4qFOXe3rX14BkSA8X-mq-a40/edit?usp=sharing"",""มหาสารคาม!N551"")"),0)</f>
        <v>0</v>
      </c>
      <c r="K39" s="187">
        <f ca="1">IFERROR(__xludf.DUMMYFUNCTION("IMPORTRANGE(""https://docs.google.com/spreadsheets/d/19GOkiOqnzYbevLYWrMk4qFOXe3rX14BkSA8X-mq-a40/edit?usp=sharing"",""มหาสารคาม!N552"")"),52000)</f>
        <v>52000</v>
      </c>
      <c r="L39" s="187">
        <f ca="1">IFERROR(__xludf.DUMMYFUNCTION("IMPORTRANGE(""https://docs.google.com/spreadsheets/d/19GOkiOqnzYbevLYWrMk4qFOXe3rX14BkSA8X-mq-a40/edit?usp=sharing"",""มหาสารคาม!N553"")"),39752.4)</f>
        <v>39752.400000000001</v>
      </c>
      <c r="M39" s="187">
        <f ca="1">IFERROR(__xludf.DUMMYFUNCTION("IMPORTRANGE(""https://docs.google.com/spreadsheets/d/19GOkiOqnzYbevLYWrMk4qFOXe3rX14BkSA8X-mq-a40/edit?usp=sharing"",""มหาสารคาม!N554"")"),0)</f>
        <v>0</v>
      </c>
      <c r="N39" s="185">
        <f ca="1">IFERROR(__xludf.DUMMYFUNCTION("IMPORTRANGE(""https://docs.google.com/spreadsheets/d/19GOkiOqnzYbevLYWrMk4qFOXe3rX14BkSA8X-mq-a40/edit?usp=sharing"",""มหาสารคาม!N557"")"),0)</f>
        <v>0</v>
      </c>
      <c r="O39" s="185">
        <f t="shared" ca="1" si="41"/>
        <v>0</v>
      </c>
      <c r="P39" s="181">
        <f ca="1">IFERROR(__xludf.DUMMYFUNCTION("IMPORTRANGE(""https://docs.google.com/spreadsheets/d/19GOkiOqnzYbevLYWrMk4qFOXe3rX14BkSA8X-mq-a40/edit?usp=sharing"",""มหาสารคาม!I560"")"),36261)</f>
        <v>36261</v>
      </c>
      <c r="Q39" s="181">
        <f ca="1">IFERROR(__xludf.DUMMYFUNCTION("IMPORTRANGE(""https://docs.google.com/spreadsheets/d/19GOkiOqnzYbevLYWrMk4qFOXe3rX14BkSA8X-mq-a40/edit?usp=sharing"",""มหาสารคาม!I561"")"),3669)</f>
        <v>3669</v>
      </c>
      <c r="R39" s="186">
        <f ca="1">IFERROR(__xludf.DUMMYFUNCTION("IMPORTRANGE(""https://docs.google.com/spreadsheets/d/19GOkiOqnzYbevLYWrMk4qFOXe3rX14BkSA8X-mq-a40/edit?usp=sharing"",""มหาสารคาม!J560"")"),35733.34)</f>
        <v>35733.339999999997</v>
      </c>
      <c r="S39" s="186">
        <f t="shared" ca="1" si="33"/>
        <v>98.544827776398876</v>
      </c>
      <c r="T39" s="181">
        <f ca="1">IFERROR(__xludf.DUMMYFUNCTION("IMPORTRANGE(""https://docs.google.com/spreadsheets/d/19GOkiOqnzYbevLYWrMk4qFOXe3rX14BkSA8X-mq-a40/edit?usp=sharing"",""มหาสารคาม!J561"")"),3614)</f>
        <v>3614</v>
      </c>
      <c r="U39" s="186">
        <f t="shared" ca="1" si="7"/>
        <v>98.50095393840283</v>
      </c>
      <c r="V39" s="186">
        <f ca="1">IFERROR(__xludf.DUMMYFUNCTION("IMPORTRANGE(""https://docs.google.com/spreadsheets/d/19GOkiOqnzYbevLYWrMk4qFOXe3rX14BkSA8X-mq-a40/edit?usp=sharing"",""มหาสารคาม!J562"")"),26134)</f>
        <v>26134</v>
      </c>
      <c r="W39" s="261">
        <f ca="1">IFERROR(__xludf.DUMMYFUNCTION("IMPORTRANGE(""https://docs.google.com/spreadsheets/d/19GOkiOqnzYbevLYWrMk4qFOXe3rX14BkSA8X-mq-a40/edit?usp=sharing"",""มหาสารคาม!J563"")"),2705)</f>
        <v>2705</v>
      </c>
      <c r="X39" s="186">
        <f ca="1">IFERROR(__xludf.DUMMYFUNCTION("IMPORTRANGE(""https://docs.google.com/spreadsheets/d/19GOkiOqnzYbevLYWrMk4qFOXe3rX14BkSA8X-mq-a40/edit?usp=sharing"",""มหาสารคาม!J564"")"),8313)</f>
        <v>8313</v>
      </c>
      <c r="Y39" s="261">
        <f ca="1">IFERROR(__xludf.DUMMYFUNCTION("IMPORTRANGE(""https://docs.google.com/spreadsheets/d/19GOkiOqnzYbevLYWrMk4qFOXe3rX14BkSA8X-mq-a40/edit?usp=sharing"",""มหาสารคาม!J565"")"),796)</f>
        <v>796</v>
      </c>
      <c r="Z39" s="186">
        <f ca="1">IFERROR(__xludf.DUMMYFUNCTION("IMPORTRANGE(""https://docs.google.com/spreadsheets/d/19GOkiOqnzYbevLYWrMk4qFOXe3rX14BkSA8X-mq-a40/edit?usp=sharing"",""มหาสารคาม!J566"")"),1286.34)</f>
        <v>1286.3399999999999</v>
      </c>
      <c r="AA39" s="261">
        <f ca="1">IFERROR(__xludf.DUMMYFUNCTION("IMPORTRANGE(""https://docs.google.com/spreadsheets/d/19GOkiOqnzYbevLYWrMk4qFOXe3rX14BkSA8X-mq-a40/edit?usp=sharing"",""มหาสารคาม!J567"")"),113)</f>
        <v>113</v>
      </c>
      <c r="AB39" s="181">
        <f ca="1">IFERROR(__xludf.DUMMYFUNCTION("IMPORTRANGE(""https://docs.google.com/spreadsheets/d/19GOkiOqnzYbevLYWrMk4qFOXe3rX14BkSA8X-mq-a40/edit?usp=sharing"",""มหาสารคาม!I568"")"),36261)</f>
        <v>36261</v>
      </c>
      <c r="AC39" s="181">
        <f ca="1">IFERROR(__xludf.DUMMYFUNCTION("IMPORTRANGE(""https://docs.google.com/spreadsheets/d/19GOkiOqnzYbevLYWrMk4qFOXe3rX14BkSA8X-mq-a40/edit?usp=sharing"",""มหาสารคาม!I569"")"),3669)</f>
        <v>3669</v>
      </c>
      <c r="AD39" s="186">
        <f ca="1">IFERROR(__xludf.DUMMYFUNCTION("IMPORTRANGE(""https://docs.google.com/spreadsheets/d/19GOkiOqnzYbevLYWrMk4qFOXe3rX14BkSA8X-mq-a40/edit?usp=sharing"",""มหาสารคาม!J568"")"),0)</f>
        <v>0</v>
      </c>
      <c r="AE39" s="186">
        <f t="shared" ca="1" si="34"/>
        <v>0</v>
      </c>
      <c r="AF39" s="181">
        <f ca="1">IFERROR(__xludf.DUMMYFUNCTION("IMPORTRANGE(""https://docs.google.com/spreadsheets/d/19GOkiOqnzYbevLYWrMk4qFOXe3rX14BkSA8X-mq-a40/edit?usp=sharing"",""มหาสารคาม!J569"")"),0)</f>
        <v>0</v>
      </c>
      <c r="AG39" s="186">
        <f t="shared" ca="1" si="10"/>
        <v>0</v>
      </c>
      <c r="AH39" s="186">
        <f ca="1">IFERROR(__xludf.DUMMYFUNCTION("IMPORTRANGE(""https://docs.google.com/spreadsheets/d/19GOkiOqnzYbevLYWrMk4qFOXe3rX14BkSA8X-mq-a40/edit?usp=sharing"",""มหาสารคาม!J570"")"),0)</f>
        <v>0</v>
      </c>
      <c r="AI39" s="261">
        <f ca="1">IFERROR(__xludf.DUMMYFUNCTION("IMPORTRANGE(""https://docs.google.com/spreadsheets/d/19GOkiOqnzYbevLYWrMk4qFOXe3rX14BkSA8X-mq-a40/edit?usp=sharing"",""มหาสารคาม!J571"")"),0)</f>
        <v>0</v>
      </c>
      <c r="AJ39" s="186">
        <f ca="1">IFERROR(__xludf.DUMMYFUNCTION("IMPORTRANGE(""https://docs.google.com/spreadsheets/d/19GOkiOqnzYbevLYWrMk4qFOXe3rX14BkSA8X-mq-a40/edit?usp=sharing"",""มหาสารคาม!J572"")"),0)</f>
        <v>0</v>
      </c>
      <c r="AK39" s="261">
        <f ca="1">IFERROR(__xludf.DUMMYFUNCTION("IMPORTRANGE(""https://docs.google.com/spreadsheets/d/19GOkiOqnzYbevLYWrMk4qFOXe3rX14BkSA8X-mq-a40/edit?usp=sharing"",""มหาสารคาม!J573"")"),0)</f>
        <v>0</v>
      </c>
      <c r="AL39" s="186">
        <f ca="1">IFERROR(__xludf.DUMMYFUNCTION("IMPORTRANGE(""https://docs.google.com/spreadsheets/d/19GOkiOqnzYbevLYWrMk4qFOXe3rX14BkSA8X-mq-a40/edit?usp=sharing"",""มหาสารคาม!J574"")"),0)</f>
        <v>0</v>
      </c>
      <c r="AM39" s="261">
        <f ca="1">IFERROR(__xludf.DUMMYFUNCTION("IMPORTRANGE(""https://docs.google.com/spreadsheets/d/19GOkiOqnzYbevLYWrMk4qFOXe3rX14BkSA8X-mq-a40/edit?usp=sharing"",""มหาสารคาม!J575"")"),0)</f>
        <v>0</v>
      </c>
      <c r="AN39" s="181">
        <f ca="1">IFERROR(__xludf.DUMMYFUNCTION("IMPORTRANGE(""https://docs.google.com/spreadsheets/d/19GOkiOqnzYbevLYWrMk4qFOXe3rX14BkSA8X-mq-a40/edit?usp=sharing"",""มหาสารคาม!I576"")"),36261)</f>
        <v>36261</v>
      </c>
      <c r="AO39" s="181">
        <f ca="1">IFERROR(__xludf.DUMMYFUNCTION("IMPORTRANGE(""https://docs.google.com/spreadsheets/d/19GOkiOqnzYbevLYWrMk4qFOXe3rX14BkSA8X-mq-a40/edit?usp=sharing"",""มหาสารคาม!I577"")"),3669)</f>
        <v>3669</v>
      </c>
      <c r="AP39" s="186">
        <f ca="1">IFERROR(__xludf.DUMMYFUNCTION("IMPORTRANGE(""https://docs.google.com/spreadsheets/d/19GOkiOqnzYbevLYWrMk4qFOXe3rX14BkSA8X-mq-a40/edit?usp=sharing"",""มหาสารคาม!J576"")"),0)</f>
        <v>0</v>
      </c>
      <c r="AQ39" s="186">
        <f t="shared" ca="1" si="35"/>
        <v>0</v>
      </c>
      <c r="AR39" s="181">
        <f ca="1">IFERROR(__xludf.DUMMYFUNCTION("IMPORTRANGE(""https://docs.google.com/spreadsheets/d/19GOkiOqnzYbevLYWrMk4qFOXe3rX14BkSA8X-mq-a40/edit?usp=sharing"",""มหาสารคาม!J577"")"),0)</f>
        <v>0</v>
      </c>
      <c r="AS39" s="186">
        <f t="shared" ca="1" si="13"/>
        <v>0</v>
      </c>
      <c r="AT39" s="186">
        <f ca="1">IFERROR(__xludf.DUMMYFUNCTION("IMPORTRANGE(""https://docs.google.com/spreadsheets/d/19GOkiOqnzYbevLYWrMk4qFOXe3rX14BkSA8X-mq-a40/edit?usp=sharing"",""มหาสารคาม!J578"")"),0)</f>
        <v>0</v>
      </c>
      <c r="AU39" s="261">
        <f ca="1">IFERROR(__xludf.DUMMYFUNCTION("IMPORTRANGE(""https://docs.google.com/spreadsheets/d/19GOkiOqnzYbevLYWrMk4qFOXe3rX14BkSA8X-mq-a40/edit?usp=sharing"",""มหาสารคาม!J579"")"),0)</f>
        <v>0</v>
      </c>
      <c r="AV39" s="186">
        <f ca="1">IFERROR(__xludf.DUMMYFUNCTION("IMPORTRANGE(""https://docs.google.com/spreadsheets/d/19GOkiOqnzYbevLYWrMk4qFOXe3rX14BkSA8X-mq-a40/edit?usp=sharing"",""มหาสารคาม!J580"")"),0)</f>
        <v>0</v>
      </c>
      <c r="AW39" s="261">
        <f ca="1">IFERROR(__xludf.DUMMYFUNCTION("IMPORTRANGE(""https://docs.google.com/spreadsheets/d/19GOkiOqnzYbevLYWrMk4qFOXe3rX14BkSA8X-mq-a40/edit?usp=sharing"",""มหาสารคาม!J581"")"),0)</f>
        <v>0</v>
      </c>
      <c r="AX39" s="186">
        <f ca="1">IFERROR(__xludf.DUMMYFUNCTION("IMPORTRANGE(""https://docs.google.com/spreadsheets/d/19GOkiOqnzYbevLYWrMk4qFOXe3rX14BkSA8X-mq-a40/edit?usp=sharing"",""มหาสารคาม!J582"")"),0)</f>
        <v>0</v>
      </c>
      <c r="AY39" s="261">
        <f ca="1">IFERROR(__xludf.DUMMYFUNCTION("IMPORTRANGE(""https://docs.google.com/spreadsheets/d/19GOkiOqnzYbevLYWrMk4qFOXe3rX14BkSA8X-mq-a40/edit?usp=sharing"",""มหาสารคาม!J583"")"),0)</f>
        <v>0</v>
      </c>
      <c r="AZ39" s="262">
        <f ca="1">IFERROR(__xludf.DUMMYFUNCTION("IMPORTRANGE(""https://docs.google.com/spreadsheets/d/19GOkiOqnzYbevLYWrMk4qFOXe3rX14BkSA8X-mq-a40/edit?usp=sharing"",""มหาสารคาม!J584"")"),0)</f>
        <v>0</v>
      </c>
      <c r="BA39" s="261">
        <f ca="1">IFERROR(__xludf.DUMMYFUNCTION("IMPORTRANGE(""https://docs.google.com/spreadsheets/d/19GOkiOqnzYbevLYWrMk4qFOXe3rX14BkSA8X-mq-a40/edit?usp=sharing"",""มหาสารคาม!J585"")"),0)</f>
        <v>0</v>
      </c>
      <c r="BB39" s="262">
        <f ca="1">IFERROR(__xludf.DUMMYFUNCTION("IMPORTRANGE(""https://docs.google.com/spreadsheets/d/19GOkiOqnzYbevLYWrMk4qFOXe3rX14BkSA8X-mq-a40/edit?usp=sharing"",""มหาสารคาม!J586"")"),0)</f>
        <v>0</v>
      </c>
      <c r="BC39" s="261">
        <f ca="1">IFERROR(__xludf.DUMMYFUNCTION("IMPORTRANGE(""https://docs.google.com/spreadsheets/d/19GOkiOqnzYbevLYWrMk4qFOXe3rX14BkSA8X-mq-a40/edit?usp=sharing"",""มหาสารคาม!J587"")"),0)</f>
        <v>0</v>
      </c>
      <c r="BD39" s="186">
        <f ca="1">IFERROR(__xludf.DUMMYFUNCTION("IMPORTRANGE(""https://docs.google.com/spreadsheets/d/19GOkiOqnzYbevLYWrMk4qFOXe3rX14BkSA8X-mq-a40/edit?usp=sharing"",""มหาสารคาม!J588"")"),0)</f>
        <v>0</v>
      </c>
      <c r="BE39" s="261">
        <f ca="1">IFERROR(__xludf.DUMMYFUNCTION("IMPORTRANGE(""https://docs.google.com/spreadsheets/d/19GOkiOqnzYbevLYWrMk4qFOXe3rX14BkSA8X-mq-a40/edit?usp=sharing"",""มหาสารคาม!J589"")"),0)</f>
        <v>0</v>
      </c>
      <c r="BF39" s="186">
        <f ca="1">IFERROR(__xludf.DUMMYFUNCTION("IMPORTRANGE(""https://docs.google.com/spreadsheets/d/19GOkiOqnzYbevLYWrMk4qFOXe3rX14BkSA8X-mq-a40/edit?usp=sharing"",""มหาสารคาม!J590"")"),0)</f>
        <v>0</v>
      </c>
      <c r="BG39" s="261">
        <f ca="1">IFERROR(__xludf.DUMMYFUNCTION("IMPORTRANGE(""https://docs.google.com/spreadsheets/d/19GOkiOqnzYbevLYWrMk4qFOXe3rX14BkSA8X-mq-a40/edit?usp=sharing"",""มหาสารคาม!J591"")"),0)</f>
        <v>0</v>
      </c>
      <c r="BH39" s="181">
        <f ca="1">IFERROR(__xludf.DUMMYFUNCTION("IMPORTRANGE(""https://docs.google.com/spreadsheets/d/19GOkiOqnzYbevLYWrMk4qFOXe3rX14BkSA8X-mq-a40/edit?usp=sharing"",""มหาสารคาม!I593"")"),598.48)</f>
        <v>598.48</v>
      </c>
      <c r="BI39" s="181">
        <f ca="1">IFERROR(__xludf.DUMMYFUNCTION("IMPORTRANGE(""https://docs.google.com/spreadsheets/d/19GOkiOqnzYbevLYWrMk4qFOXe3rX14BkSA8X-mq-a40/edit?usp=sharing"",""มหาสารคาม!I594"")"),75)</f>
        <v>75</v>
      </c>
      <c r="BJ39" s="186">
        <f ca="1">IFERROR(__xludf.DUMMYFUNCTION("IMPORTRANGE(""https://docs.google.com/spreadsheets/d/19GOkiOqnzYbevLYWrMk4qFOXe3rX14BkSA8X-mq-a40/edit?usp=sharing"",""มหาสารคาม!J593"")"),0)</f>
        <v>0</v>
      </c>
      <c r="BK39" s="186">
        <f t="shared" ca="1" si="36"/>
        <v>0</v>
      </c>
      <c r="BL39" s="181">
        <f ca="1">IFERROR(__xludf.DUMMYFUNCTION("IMPORTRANGE(""https://docs.google.com/spreadsheets/d/19GOkiOqnzYbevLYWrMk4qFOXe3rX14BkSA8X-mq-a40/edit?usp=sharing"",""มหาสารคาม!J594"")"),0)</f>
        <v>0</v>
      </c>
      <c r="BM39" s="186">
        <f t="shared" ca="1" si="16"/>
        <v>0</v>
      </c>
      <c r="BN39" s="186">
        <f ca="1">IFERROR(__xludf.DUMMYFUNCTION("IMPORTRANGE(""https://docs.google.com/spreadsheets/d/19GOkiOqnzYbevLYWrMk4qFOXe3rX14BkSA8X-mq-a40/edit?usp=sharing"",""มหาสารคาม!J595"")"),0)</f>
        <v>0</v>
      </c>
      <c r="BO39" s="261">
        <f ca="1">IFERROR(__xludf.DUMMYFUNCTION("IMPORTRANGE(""https://docs.google.com/spreadsheets/d/19GOkiOqnzYbevLYWrMk4qFOXe3rX14BkSA8X-mq-a40/edit?usp=sharing"",""มหาสารคาม!J596"")"),0)</f>
        <v>0</v>
      </c>
      <c r="BP39" s="186">
        <f ca="1">IFERROR(__xludf.DUMMYFUNCTION("IMPORTRANGE(""https://docs.google.com/spreadsheets/d/19GOkiOqnzYbevLYWrMk4qFOXe3rX14BkSA8X-mq-a40/edit?usp=sharing"",""มหาสารคาม!J597"")"),0)</f>
        <v>0</v>
      </c>
      <c r="BQ39" s="261">
        <f ca="1">IFERROR(__xludf.DUMMYFUNCTION("IMPORTRANGE(""https://docs.google.com/spreadsheets/d/19GOkiOqnzYbevLYWrMk4qFOXe3rX14BkSA8X-mq-a40/edit?usp=sharing"",""มหาสารคาม!J598"")"),0)</f>
        <v>0</v>
      </c>
      <c r="BR39" s="186">
        <f ca="1">IFERROR(__xludf.DUMMYFUNCTION("IMPORTRANGE(""https://docs.google.com/spreadsheets/d/19GOkiOqnzYbevLYWrMk4qFOXe3rX14BkSA8X-mq-a40/edit?usp=sharing"",""มหาสารคาม!J599"")"),0)</f>
        <v>0</v>
      </c>
      <c r="BS39" s="261">
        <f ca="1">IFERROR(__xludf.DUMMYFUNCTION("IMPORTRANGE(""https://docs.google.com/spreadsheets/d/19GOkiOqnzYbevLYWrMk4qFOXe3rX14BkSA8X-mq-a40/edit?usp=sharing"",""มหาสารคาม!J600"")"),0)</f>
        <v>0</v>
      </c>
      <c r="BT39" s="262">
        <f ca="1">IFERROR(__xludf.DUMMYFUNCTION("IMPORTRANGE(""https://docs.google.com/spreadsheets/d/19GOkiOqnzYbevLYWrMk4qFOXe3rX14BkSA8X-mq-a40/edit?usp=sharing"",""มหาสารคาม!J601"")"),0)</f>
        <v>0</v>
      </c>
      <c r="BU39" s="261">
        <f ca="1">IFERROR(__xludf.DUMMYFUNCTION("IMPORTRANGE(""https://docs.google.com/spreadsheets/d/19GOkiOqnzYbevLYWrMk4qFOXe3rX14BkSA8X-mq-a40/edit?usp=sharing"",""มหาสารคาม!J602"")"),0)</f>
        <v>0</v>
      </c>
      <c r="BV39" s="186">
        <f ca="1">IFERROR(__xludf.DUMMYFUNCTION("IMPORTRANGE(""https://docs.google.com/spreadsheets/d/19GOkiOqnzYbevLYWrMk4qFOXe3rX14BkSA8X-mq-a40/edit?usp=sharing"",""มหาสารคาม!J603"")"),0)</f>
        <v>0</v>
      </c>
      <c r="BW39" s="261">
        <f ca="1">IFERROR(__xludf.DUMMYFUNCTION("IMPORTRANGE(""https://docs.google.com/spreadsheets/d/19GOkiOqnzYbevLYWrMk4qFOXe3rX14BkSA8X-mq-a40/edit?usp=sharing"",""มหาสารคาม!J604"")"),0)</f>
        <v>0</v>
      </c>
      <c r="BX39" s="186">
        <f ca="1">IFERROR(__xludf.DUMMYFUNCTION("IMPORTRANGE(""https://docs.google.com/spreadsheets/d/19GOkiOqnzYbevLYWrMk4qFOXe3rX14BkSA8X-mq-a40/edit?usp=sharing"",""มหาสารคาม!J605"")"),0)</f>
        <v>0</v>
      </c>
      <c r="BY39" s="261">
        <f ca="1">IFERROR(__xludf.DUMMYFUNCTION("IMPORTRANGE(""https://docs.google.com/spreadsheets/d/19GOkiOqnzYbevLYWrMk4qFOXe3rX14BkSA8X-mq-a40/edit?usp=sharing"",""มหาสารคาม!J606"")"),0)</f>
        <v>0</v>
      </c>
      <c r="BZ39" s="186">
        <f ca="1">IFERROR(__xludf.DUMMYFUNCTION("IMPORTRANGE(""https://docs.google.com/spreadsheets/d/19GOkiOqnzYbevLYWrMk4qFOXe3rX14BkSA8X-mq-a40/edit?usp=sharing"",""มหาสารคาม!J607"")"),0)</f>
        <v>0</v>
      </c>
      <c r="CA39" s="261">
        <f ca="1">IFERROR(__xludf.DUMMYFUNCTION("IMPORTRANGE(""https://docs.google.com/spreadsheets/d/19GOkiOqnzYbevLYWrMk4qFOXe3rX14BkSA8X-mq-a40/edit?usp=sharing"",""มหาสารคาม!J608"")"),0)</f>
        <v>0</v>
      </c>
      <c r="CB39" s="186">
        <f ca="1">IFERROR(__xludf.DUMMYFUNCTION("IMPORTRANGE(""https://docs.google.com/spreadsheets/d/19GOkiOqnzYbevLYWrMk4qFOXe3rX14BkSA8X-mq-a40/edit?usp=sharing"",""มหาสารคาม!J609"")"),0)</f>
        <v>0</v>
      </c>
      <c r="CC39" s="261">
        <f ca="1">IFERROR(__xludf.DUMMYFUNCTION("IMPORTRANGE(""https://docs.google.com/spreadsheets/d/19GOkiOqnzYbevLYWrMk4qFOXe3rX14BkSA8X-mq-a40/edit?usp=sharing"",""มหาสารคาม!J610"")"),0)</f>
        <v>0</v>
      </c>
      <c r="CD39" s="261">
        <f ca="1">IFERROR(__xludf.DUMMYFUNCTION("IMPORTRANGE(""https://docs.google.com/spreadsheets/d/19GOkiOqnzYbevLYWrMk4qFOXe3rX14BkSA8X-mq-a40/edit?usp=sharing"",""มหาสารคาม!I612"")"),0)</f>
        <v>0</v>
      </c>
      <c r="CE39" s="261">
        <f ca="1">IFERROR(__xludf.DUMMYFUNCTION("IMPORTRANGE(""https://docs.google.com/spreadsheets/d/19GOkiOqnzYbevLYWrMk4qFOXe3rX14BkSA8X-mq-a40/edit?usp=sharing"",""มหาสารคาม!I594"")"),75)</f>
        <v>75</v>
      </c>
      <c r="CF39" s="262">
        <f ca="1">IFERROR(__xludf.DUMMYFUNCTION("IMPORTRANGE(""https://docs.google.com/spreadsheets/d/19GOkiOqnzYbevLYWrMk4qFOXe3rX14BkSA8X-mq-a40/edit?usp=sharing"",""มหาสารคาม!J612"")"),0)</f>
        <v>0</v>
      </c>
      <c r="CG39" s="262">
        <f t="shared" ca="1" si="37"/>
        <v>0</v>
      </c>
      <c r="CH39" s="261">
        <f ca="1">IFERROR(__xludf.DUMMYFUNCTION("IMPORTRANGE(""https://docs.google.com/spreadsheets/d/19GOkiOqnzYbevLYWrMk4qFOXe3rX14BkSA8X-mq-a40/edit?usp=sharing"",""มหาสารคาม!J613"")"),0)</f>
        <v>0</v>
      </c>
      <c r="CI39" s="262">
        <f t="shared" ca="1" si="19"/>
        <v>0</v>
      </c>
      <c r="CJ39" s="186">
        <f ca="1">IFERROR(__xludf.DUMMYFUNCTION("IMPORTRANGE(""https://docs.google.com/spreadsheets/d/19GOkiOqnzYbevLYWrMk4qFOXe3rX14BkSA8X-mq-a40/edit?usp=sharing"",""มหาสารคาม!J614"")"),0)</f>
        <v>0</v>
      </c>
      <c r="CK39" s="261">
        <f ca="1">IFERROR(__xludf.DUMMYFUNCTION("IMPORTRANGE(""https://docs.google.com/spreadsheets/d/19GOkiOqnzYbevLYWrMk4qFOXe3rX14BkSA8X-mq-a40/edit?usp=sharing"",""มหาสารคาม!J615"")"),0)</f>
        <v>0</v>
      </c>
      <c r="CL39" s="186">
        <f ca="1">IFERROR(__xludf.DUMMYFUNCTION("IMPORTRANGE(""https://docs.google.com/spreadsheets/d/19GOkiOqnzYbevLYWrMk4qFOXe3rX14BkSA8X-mq-a40/edit?usp=sharing"",""มหาสารคาม!J616"")"),0)</f>
        <v>0</v>
      </c>
      <c r="CM39" s="261">
        <f ca="1">IFERROR(__xludf.DUMMYFUNCTION("IMPORTRANGE(""https://docs.google.com/spreadsheets/d/19GOkiOqnzYbevLYWrMk4qFOXe3rX14BkSA8X-mq-a40/edit?usp=sharing"",""มหาสารคาม!J617"")"),0)</f>
        <v>0</v>
      </c>
      <c r="CN39" s="261">
        <f ca="1">IFERROR(__xludf.DUMMYFUNCTION("IMPORTRANGE(""https://docs.google.com/spreadsheets/d/19GOkiOqnzYbevLYWrMk4qFOXe3rX14BkSA8X-mq-a40/edit?usp=sharing"",""มหาสารคาม!I620"")"),0)</f>
        <v>0</v>
      </c>
      <c r="CO39" s="261">
        <f ca="1">IFERROR(__xludf.DUMMYFUNCTION("IMPORTRANGE(""https://docs.google.com/spreadsheets/d/19GOkiOqnzYbevLYWrMk4qFOXe3rX14BkSA8X-mq-a40/edit?usp=sharing"",""มหาสารคาม!I621"")"),0)</f>
        <v>0</v>
      </c>
      <c r="CP39" s="262">
        <f ca="1">IFERROR(__xludf.DUMMYFUNCTION("IMPORTRANGE(""https://docs.google.com/spreadsheets/d/19GOkiOqnzYbevLYWrMk4qFOXe3rX14BkSA8X-mq-a40/edit?usp=sharing"",""มหาสารคาม!J620"")"),0)</f>
        <v>0</v>
      </c>
      <c r="CQ39" s="262">
        <f t="shared" ca="1" si="38"/>
        <v>0</v>
      </c>
      <c r="CR39" s="261">
        <f ca="1">IFERROR(__xludf.DUMMYFUNCTION("IMPORTRANGE(""https://docs.google.com/spreadsheets/d/19GOkiOqnzYbevLYWrMk4qFOXe3rX14BkSA8X-mq-a40/edit?usp=sharing"",""มหาสารคาม!J621"")"),0)</f>
        <v>0</v>
      </c>
      <c r="CS39" s="262">
        <f t="shared" ca="1" si="22"/>
        <v>0</v>
      </c>
      <c r="CT39" s="186">
        <f ca="1">IFERROR(__xludf.DUMMYFUNCTION("IMPORTRANGE(""https://docs.google.com/spreadsheets/d/19GOkiOqnzYbevLYWrMk4qFOXe3rX14BkSA8X-mq-a40/edit?usp=sharing"",""มหาสารคาม!J622"")"),0)</f>
        <v>0</v>
      </c>
      <c r="CU39" s="261">
        <f ca="1">IFERROR(__xludf.DUMMYFUNCTION("IMPORTRANGE(""https://docs.google.com/spreadsheets/d/19GOkiOqnzYbevLYWrMk4qFOXe3rX14BkSA8X-mq-a40/edit?usp=sharing"",""มหาสารคาม!J623"")"),0)</f>
        <v>0</v>
      </c>
      <c r="CV39" s="186">
        <f ca="1">IFERROR(__xludf.DUMMYFUNCTION("IMPORTRANGE(""https://docs.google.com/spreadsheets/d/19GOkiOqnzYbevLYWrMk4qFOXe3rX14BkSA8X-mq-a40/edit?usp=sharing"",""มหาสารคาม!J624"")"),0)</f>
        <v>0</v>
      </c>
      <c r="CW39" s="261">
        <f ca="1">IFERROR(__xludf.DUMMYFUNCTION("IMPORTRANGE(""https://docs.google.com/spreadsheets/d/19GOkiOqnzYbevLYWrMk4qFOXe3rX14BkSA8X-mq-a40/edit?usp=sharing"",""มหาสารคาม!J625"")"),0)</f>
        <v>0</v>
      </c>
      <c r="CX39" s="186">
        <f ca="1">IFERROR(__xludf.DUMMYFUNCTION("IMPORTRANGE(""https://docs.google.com/spreadsheets/d/19GOkiOqnzYbevLYWrMk4qFOXe3rX14BkSA8X-mq-a40/edit?usp=sharing"",""มหาสารคาม!J626"")"),0)</f>
        <v>0</v>
      </c>
      <c r="CY39" s="261">
        <f ca="1">IFERROR(__xludf.DUMMYFUNCTION("IMPORTRANGE(""https://docs.google.com/spreadsheets/d/19GOkiOqnzYbevLYWrMk4qFOXe3rX14BkSA8X-mq-a40/edit?usp=sharing"",""มหาสารคาม!J627"")"),0)</f>
        <v>0</v>
      </c>
    </row>
    <row r="40" spans="1:103" ht="21" customHeight="1" x14ac:dyDescent="0.3">
      <c r="A40" s="178">
        <v>9</v>
      </c>
      <c r="B40" s="179" t="s">
        <v>57</v>
      </c>
      <c r="C40" s="180">
        <f t="shared" ca="1" si="60"/>
        <v>338611</v>
      </c>
      <c r="D40" s="181">
        <f ca="1">IFERROR(__xludf.DUMMYFUNCTION("IMPORTRANGE(""https://docs.google.com/spreadsheets/d/1uMKqWwuNQ-TCKboGA3Bb1qXb5uj2-faACNUINCz8PN4/edit?usp=sharing"",""มุกดาหาร!L549"")"),338611)</f>
        <v>338611</v>
      </c>
      <c r="E40" s="187">
        <f ca="1">IFERROR(__xludf.DUMMYFUNCTION("IMPORTRANGE(""https://docs.google.com/spreadsheets/d/1uMKqWwuNQ-TCKboGA3Bb1qXb5uj2-faACNUINCz8PN4/edit?usp=sharing"",""มุกดาหาร!L557"")"),0)</f>
        <v>0</v>
      </c>
      <c r="F40" s="182">
        <f t="shared" ca="1" si="1"/>
        <v>178201</v>
      </c>
      <c r="G40" s="183">
        <f t="shared" ca="1" si="2"/>
        <v>52.627055825120863</v>
      </c>
      <c r="H40" s="184">
        <f t="shared" ca="1" si="61"/>
        <v>178201</v>
      </c>
      <c r="I40" s="187">
        <f ca="1">IFERROR(__xludf.DUMMYFUNCTION("IMPORTRANGE(""https://docs.google.com/spreadsheets/d/1uMKqWwuNQ-TCKboGA3Bb1qXb5uj2-faACNUINCz8PN4/edit?usp=sharing"",""มุกดาหาร!N550"")"),0)</f>
        <v>0</v>
      </c>
      <c r="J40" s="187">
        <f ca="1">IFERROR(__xludf.DUMMYFUNCTION("IMPORTRANGE(""https://docs.google.com/spreadsheets/d/1uMKqWwuNQ-TCKboGA3Bb1qXb5uj2-faACNUINCz8PN4/edit?usp=sharing"",""มุกดาหาร!N551"")"),0)</f>
        <v>0</v>
      </c>
      <c r="K40" s="187">
        <f ca="1">IFERROR(__xludf.DUMMYFUNCTION("IMPORTRANGE(""https://docs.google.com/spreadsheets/d/1uMKqWwuNQ-TCKboGA3Bb1qXb5uj2-faACNUINCz8PN4/edit?usp=sharing"",""มุกดาหาร!N552"")"),51557)</f>
        <v>51557</v>
      </c>
      <c r="L40" s="187">
        <f ca="1">IFERROR(__xludf.DUMMYFUNCTION("IMPORTRANGE(""https://docs.google.com/spreadsheets/d/1uMKqWwuNQ-TCKboGA3Bb1qXb5uj2-faACNUINCz8PN4/edit?usp=sharing"",""มุกดาหาร!N553"")"),109927)</f>
        <v>109927</v>
      </c>
      <c r="M40" s="187">
        <f ca="1">IFERROR(__xludf.DUMMYFUNCTION("IMPORTRANGE(""https://docs.google.com/spreadsheets/d/1uMKqWwuNQ-TCKboGA3Bb1qXb5uj2-faACNUINCz8PN4/edit?usp=sharing"",""มุกดาหาร!N554"")"),16717)</f>
        <v>16717</v>
      </c>
      <c r="N40" s="185">
        <f ca="1">IFERROR(__xludf.DUMMYFUNCTION("IMPORTRANGE(""https://docs.google.com/spreadsheets/d/1uMKqWwuNQ-TCKboGA3Bb1qXb5uj2-faACNUINCz8PN4/edit?usp=sharing"",""มุกดาหาร!N557"")"),0)</f>
        <v>0</v>
      </c>
      <c r="O40" s="185">
        <f t="shared" ca="1" si="41"/>
        <v>0</v>
      </c>
      <c r="P40" s="181">
        <f ca="1">IFERROR(__xludf.DUMMYFUNCTION("IMPORTRANGE(""https://docs.google.com/spreadsheets/d/1uMKqWwuNQ-TCKboGA3Bb1qXb5uj2-faACNUINCz8PN4/edit?usp=sharing"",""มุกดาหาร!I560"")"),35301)</f>
        <v>35301</v>
      </c>
      <c r="Q40" s="181">
        <f ca="1">IFERROR(__xludf.DUMMYFUNCTION("IMPORTRANGE(""https://docs.google.com/spreadsheets/d/1uMKqWwuNQ-TCKboGA3Bb1qXb5uj2-faACNUINCz8PN4/edit?usp=sharing"",""มุกดาหาร!I561"")"),5276)</f>
        <v>5276</v>
      </c>
      <c r="R40" s="186">
        <f ca="1">IFERROR(__xludf.DUMMYFUNCTION("IMPORTRANGE(""https://docs.google.com/spreadsheets/d/1uMKqWwuNQ-TCKboGA3Bb1qXb5uj2-faACNUINCz8PN4/edit?usp=sharing"",""มุกดาหาร!J560"")"),35302.75)</f>
        <v>35302.75</v>
      </c>
      <c r="S40" s="186">
        <f t="shared" ca="1" si="33"/>
        <v>100.00495736664683</v>
      </c>
      <c r="T40" s="181">
        <f ca="1">IFERROR(__xludf.DUMMYFUNCTION("IMPORTRANGE(""https://docs.google.com/spreadsheets/d/1uMKqWwuNQ-TCKboGA3Bb1qXb5uj2-faACNUINCz8PN4/edit?usp=sharing"",""มุกดาหาร!J561"")"),5276)</f>
        <v>5276</v>
      </c>
      <c r="U40" s="186">
        <f t="shared" ca="1" si="7"/>
        <v>100</v>
      </c>
      <c r="V40" s="186">
        <f ca="1">IFERROR(__xludf.DUMMYFUNCTION("IMPORTRANGE(""https://docs.google.com/spreadsheets/d/1uMKqWwuNQ-TCKboGA3Bb1qXb5uj2-faACNUINCz8PN4/edit?usp=sharing"",""มุกดาหาร!J562"")"),31360.24)</f>
        <v>31360.240000000002</v>
      </c>
      <c r="W40" s="261">
        <f ca="1">IFERROR(__xludf.DUMMYFUNCTION("IMPORTRANGE(""https://docs.google.com/spreadsheets/d/1uMKqWwuNQ-TCKboGA3Bb1qXb5uj2-faACNUINCz8PN4/edit?usp=sharing"",""มุกดาหาร!J563"")"),4781)</f>
        <v>4781</v>
      </c>
      <c r="X40" s="186">
        <f ca="1">IFERROR(__xludf.DUMMYFUNCTION("IMPORTRANGE(""https://docs.google.com/spreadsheets/d/1uMKqWwuNQ-TCKboGA3Bb1qXb5uj2-faACNUINCz8PN4/edit?usp=sharing"",""มุกดาหาร!J564"")"),2765.09)</f>
        <v>2765.09</v>
      </c>
      <c r="Y40" s="261">
        <f ca="1">IFERROR(__xludf.DUMMYFUNCTION("IMPORTRANGE(""https://docs.google.com/spreadsheets/d/1uMKqWwuNQ-TCKboGA3Bb1qXb5uj2-faACNUINCz8PN4/edit?usp=sharing"",""มุกดาหาร!J565"")"),327)</f>
        <v>327</v>
      </c>
      <c r="Z40" s="186">
        <f ca="1">IFERROR(__xludf.DUMMYFUNCTION("IMPORTRANGE(""https://docs.google.com/spreadsheets/d/1uMKqWwuNQ-TCKboGA3Bb1qXb5uj2-faACNUINCz8PN4/edit?usp=sharing"",""มุกดาหาร!J566"")"),1177.42)</f>
        <v>1177.42</v>
      </c>
      <c r="AA40" s="261">
        <f ca="1">IFERROR(__xludf.DUMMYFUNCTION("IMPORTRANGE(""https://docs.google.com/spreadsheets/d/1uMKqWwuNQ-TCKboGA3Bb1qXb5uj2-faACNUINCz8PN4/edit?usp=sharing"",""มุกดาหาร!J567"")"),168)</f>
        <v>168</v>
      </c>
      <c r="AB40" s="181">
        <f ca="1">IFERROR(__xludf.DUMMYFUNCTION("IMPORTRANGE(""https://docs.google.com/spreadsheets/d/1uMKqWwuNQ-TCKboGA3Bb1qXb5uj2-faACNUINCz8PN4/edit?usp=sharing"",""มุกดาหาร!I568"")"),35301)</f>
        <v>35301</v>
      </c>
      <c r="AC40" s="181">
        <f ca="1">IFERROR(__xludf.DUMMYFUNCTION("IMPORTRANGE(""https://docs.google.com/spreadsheets/d/1uMKqWwuNQ-TCKboGA3Bb1qXb5uj2-faACNUINCz8PN4/edit?usp=sharing"",""มุกดาหาร!I569"")"),5276)</f>
        <v>5276</v>
      </c>
      <c r="AD40" s="186">
        <f ca="1">IFERROR(__xludf.DUMMYFUNCTION("IMPORTRANGE(""https://docs.google.com/spreadsheets/d/1uMKqWwuNQ-TCKboGA3Bb1qXb5uj2-faACNUINCz8PN4/edit?usp=sharing"",""มุกดาหาร!J568"")"),0)</f>
        <v>0</v>
      </c>
      <c r="AE40" s="186">
        <f t="shared" ca="1" si="34"/>
        <v>0</v>
      </c>
      <c r="AF40" s="181">
        <f ca="1">IFERROR(__xludf.DUMMYFUNCTION("IMPORTRANGE(""https://docs.google.com/spreadsheets/d/1uMKqWwuNQ-TCKboGA3Bb1qXb5uj2-faACNUINCz8PN4/edit?usp=sharing"",""มุกดาหาร!J569"")"),0)</f>
        <v>0</v>
      </c>
      <c r="AG40" s="186">
        <f t="shared" ca="1" si="10"/>
        <v>0</v>
      </c>
      <c r="AH40" s="186">
        <f ca="1">IFERROR(__xludf.DUMMYFUNCTION("IMPORTRANGE(""https://docs.google.com/spreadsheets/d/1uMKqWwuNQ-TCKboGA3Bb1qXb5uj2-faACNUINCz8PN4/edit?usp=sharing"",""มุกดาหาร!J570"")"),0)</f>
        <v>0</v>
      </c>
      <c r="AI40" s="261">
        <f ca="1">IFERROR(__xludf.DUMMYFUNCTION("IMPORTRANGE(""https://docs.google.com/spreadsheets/d/1uMKqWwuNQ-TCKboGA3Bb1qXb5uj2-faACNUINCz8PN4/edit?usp=sharing"",""มุกดาหาร!J571"")"),0)</f>
        <v>0</v>
      </c>
      <c r="AJ40" s="186">
        <f ca="1">IFERROR(__xludf.DUMMYFUNCTION("IMPORTRANGE(""https://docs.google.com/spreadsheets/d/1uMKqWwuNQ-TCKboGA3Bb1qXb5uj2-faACNUINCz8PN4/edit?usp=sharing"",""มุกดาหาร!J572"")"),0)</f>
        <v>0</v>
      </c>
      <c r="AK40" s="261">
        <f ca="1">IFERROR(__xludf.DUMMYFUNCTION("IMPORTRANGE(""https://docs.google.com/spreadsheets/d/1uMKqWwuNQ-TCKboGA3Bb1qXb5uj2-faACNUINCz8PN4/edit?usp=sharing"",""มุกดาหาร!J573"")"),0)</f>
        <v>0</v>
      </c>
      <c r="AL40" s="186">
        <f ca="1">IFERROR(__xludf.DUMMYFUNCTION("IMPORTRANGE(""https://docs.google.com/spreadsheets/d/1uMKqWwuNQ-TCKboGA3Bb1qXb5uj2-faACNUINCz8PN4/edit?usp=sharing"",""มุกดาหาร!J574"")"),0)</f>
        <v>0</v>
      </c>
      <c r="AM40" s="261">
        <f ca="1">IFERROR(__xludf.DUMMYFUNCTION("IMPORTRANGE(""https://docs.google.com/spreadsheets/d/1uMKqWwuNQ-TCKboGA3Bb1qXb5uj2-faACNUINCz8PN4/edit?usp=sharing"",""มุกดาหาร!J575"")"),0)</f>
        <v>0</v>
      </c>
      <c r="AN40" s="181">
        <f ca="1">IFERROR(__xludf.DUMMYFUNCTION("IMPORTRANGE(""https://docs.google.com/spreadsheets/d/1uMKqWwuNQ-TCKboGA3Bb1qXb5uj2-faACNUINCz8PN4/edit?usp=sharing"",""มุกดาหาร!I576"")"),35301)</f>
        <v>35301</v>
      </c>
      <c r="AO40" s="181">
        <f ca="1">IFERROR(__xludf.DUMMYFUNCTION("IMPORTRANGE(""https://docs.google.com/spreadsheets/d/1uMKqWwuNQ-TCKboGA3Bb1qXb5uj2-faACNUINCz8PN4/edit?usp=sharing"",""มุกดาหาร!I577"")"),5276)</f>
        <v>5276</v>
      </c>
      <c r="AP40" s="186">
        <f ca="1">IFERROR(__xludf.DUMMYFUNCTION("IMPORTRANGE(""https://docs.google.com/spreadsheets/d/1uMKqWwuNQ-TCKboGA3Bb1qXb5uj2-faACNUINCz8PN4/edit?usp=sharing"",""มุกดาหาร!J576"")"),0)</f>
        <v>0</v>
      </c>
      <c r="AQ40" s="186">
        <f t="shared" ca="1" si="35"/>
        <v>0</v>
      </c>
      <c r="AR40" s="181">
        <f ca="1">IFERROR(__xludf.DUMMYFUNCTION("IMPORTRANGE(""https://docs.google.com/spreadsheets/d/1uMKqWwuNQ-TCKboGA3Bb1qXb5uj2-faACNUINCz8PN4/edit?usp=sharing"",""มุกดาหาร!J577"")"),0)</f>
        <v>0</v>
      </c>
      <c r="AS40" s="186">
        <f t="shared" ca="1" si="13"/>
        <v>0</v>
      </c>
      <c r="AT40" s="186">
        <f ca="1">IFERROR(__xludf.DUMMYFUNCTION("IMPORTRANGE(""https://docs.google.com/spreadsheets/d/1uMKqWwuNQ-TCKboGA3Bb1qXb5uj2-faACNUINCz8PN4/edit?usp=sharing"",""มุกดาหาร!J578"")"),0)</f>
        <v>0</v>
      </c>
      <c r="AU40" s="261">
        <f ca="1">IFERROR(__xludf.DUMMYFUNCTION("IMPORTRANGE(""https://docs.google.com/spreadsheets/d/1uMKqWwuNQ-TCKboGA3Bb1qXb5uj2-faACNUINCz8PN4/edit?usp=sharing"",""มุกดาหาร!J579"")"),0)</f>
        <v>0</v>
      </c>
      <c r="AV40" s="186">
        <f ca="1">IFERROR(__xludf.DUMMYFUNCTION("IMPORTRANGE(""https://docs.google.com/spreadsheets/d/1uMKqWwuNQ-TCKboGA3Bb1qXb5uj2-faACNUINCz8PN4/edit?usp=sharing"",""มุกดาหาร!J580"")"),0)</f>
        <v>0</v>
      </c>
      <c r="AW40" s="261">
        <f ca="1">IFERROR(__xludf.DUMMYFUNCTION("IMPORTRANGE(""https://docs.google.com/spreadsheets/d/1uMKqWwuNQ-TCKboGA3Bb1qXb5uj2-faACNUINCz8PN4/edit?usp=sharing"",""มุกดาหาร!J581"")"),0)</f>
        <v>0</v>
      </c>
      <c r="AX40" s="186">
        <f ca="1">IFERROR(__xludf.DUMMYFUNCTION("IMPORTRANGE(""https://docs.google.com/spreadsheets/d/1uMKqWwuNQ-TCKboGA3Bb1qXb5uj2-faACNUINCz8PN4/edit?usp=sharing"",""มุกดาหาร!J582"")"),0)</f>
        <v>0</v>
      </c>
      <c r="AY40" s="261">
        <f ca="1">IFERROR(__xludf.DUMMYFUNCTION("IMPORTRANGE(""https://docs.google.com/spreadsheets/d/1uMKqWwuNQ-TCKboGA3Bb1qXb5uj2-faACNUINCz8PN4/edit?usp=sharing"",""มุกดาหาร!J583"")"),0)</f>
        <v>0</v>
      </c>
      <c r="AZ40" s="262">
        <f ca="1">IFERROR(__xludf.DUMMYFUNCTION("IMPORTRANGE(""https://docs.google.com/spreadsheets/d/1uMKqWwuNQ-TCKboGA3Bb1qXb5uj2-faACNUINCz8PN4/edit?usp=sharing"",""มุกดาหาร!J584"")"),0)</f>
        <v>0</v>
      </c>
      <c r="BA40" s="261">
        <f ca="1">IFERROR(__xludf.DUMMYFUNCTION("IMPORTRANGE(""https://docs.google.com/spreadsheets/d/1uMKqWwuNQ-TCKboGA3Bb1qXb5uj2-faACNUINCz8PN4/edit?usp=sharing"",""มุกดาหาร!J585"")"),0)</f>
        <v>0</v>
      </c>
      <c r="BB40" s="262">
        <f ca="1">IFERROR(__xludf.DUMMYFUNCTION("IMPORTRANGE(""https://docs.google.com/spreadsheets/d/1uMKqWwuNQ-TCKboGA3Bb1qXb5uj2-faACNUINCz8PN4/edit?usp=sharing"",""มุกดาหาร!J586"")"),0)</f>
        <v>0</v>
      </c>
      <c r="BC40" s="261">
        <f ca="1">IFERROR(__xludf.DUMMYFUNCTION("IMPORTRANGE(""https://docs.google.com/spreadsheets/d/1uMKqWwuNQ-TCKboGA3Bb1qXb5uj2-faACNUINCz8PN4/edit?usp=sharing"",""มุกดาหาร!J587"")"),0)</f>
        <v>0</v>
      </c>
      <c r="BD40" s="186">
        <f ca="1">IFERROR(__xludf.DUMMYFUNCTION("IMPORTRANGE(""https://docs.google.com/spreadsheets/d/1uMKqWwuNQ-TCKboGA3Bb1qXb5uj2-faACNUINCz8PN4/edit?usp=sharing"",""มุกดาหาร!J588"")"),0)</f>
        <v>0</v>
      </c>
      <c r="BE40" s="261">
        <f ca="1">IFERROR(__xludf.DUMMYFUNCTION("IMPORTRANGE(""https://docs.google.com/spreadsheets/d/1uMKqWwuNQ-TCKboGA3Bb1qXb5uj2-faACNUINCz8PN4/edit?usp=sharing"",""มุกดาหาร!J589"")"),0)</f>
        <v>0</v>
      </c>
      <c r="BF40" s="186">
        <f ca="1">IFERROR(__xludf.DUMMYFUNCTION("IMPORTRANGE(""https://docs.google.com/spreadsheets/d/1uMKqWwuNQ-TCKboGA3Bb1qXb5uj2-faACNUINCz8PN4/edit?usp=sharing"",""มุกดาหาร!J590"")"),0)</f>
        <v>0</v>
      </c>
      <c r="BG40" s="261">
        <f ca="1">IFERROR(__xludf.DUMMYFUNCTION("IMPORTRANGE(""https://docs.google.com/spreadsheets/d/1uMKqWwuNQ-TCKboGA3Bb1qXb5uj2-faACNUINCz8PN4/edit?usp=sharing"",""มุกดาหาร!J591"")"),0)</f>
        <v>0</v>
      </c>
      <c r="BH40" s="181">
        <f ca="1">IFERROR(__xludf.DUMMYFUNCTION("IMPORTRANGE(""https://docs.google.com/spreadsheets/d/1uMKqWwuNQ-TCKboGA3Bb1qXb5uj2-faACNUINCz8PN4/edit?usp=sharing"",""มุกดาหาร!I593"")"),1102.94)</f>
        <v>1102.94</v>
      </c>
      <c r="BI40" s="181">
        <f ca="1">IFERROR(__xludf.DUMMYFUNCTION("IMPORTRANGE(""https://docs.google.com/spreadsheets/d/1uMKqWwuNQ-TCKboGA3Bb1qXb5uj2-faACNUINCz8PN4/edit?usp=sharing"",""มุกดาหาร!I594"")"),115)</f>
        <v>115</v>
      </c>
      <c r="BJ40" s="186">
        <f ca="1">IFERROR(__xludf.DUMMYFUNCTION("IMPORTRANGE(""https://docs.google.com/spreadsheets/d/1uMKqWwuNQ-TCKboGA3Bb1qXb5uj2-faACNUINCz8PN4/edit?usp=sharing"",""มุกดาหาร!J593"")"),0)</f>
        <v>0</v>
      </c>
      <c r="BK40" s="186">
        <f t="shared" ca="1" si="36"/>
        <v>0</v>
      </c>
      <c r="BL40" s="181">
        <f ca="1">IFERROR(__xludf.DUMMYFUNCTION("IMPORTRANGE(""https://docs.google.com/spreadsheets/d/1uMKqWwuNQ-TCKboGA3Bb1qXb5uj2-faACNUINCz8PN4/edit?usp=sharing"",""มุกดาหาร!J594"")"),0)</f>
        <v>0</v>
      </c>
      <c r="BM40" s="186">
        <f t="shared" ca="1" si="16"/>
        <v>0</v>
      </c>
      <c r="BN40" s="186">
        <f ca="1">IFERROR(__xludf.DUMMYFUNCTION("IMPORTRANGE(""https://docs.google.com/spreadsheets/d/1uMKqWwuNQ-TCKboGA3Bb1qXb5uj2-faACNUINCz8PN4/edit?usp=sharing"",""มุกดาหาร!J595"")"),0)</f>
        <v>0</v>
      </c>
      <c r="BO40" s="261">
        <f ca="1">IFERROR(__xludf.DUMMYFUNCTION("IMPORTRANGE(""https://docs.google.com/spreadsheets/d/1uMKqWwuNQ-TCKboGA3Bb1qXb5uj2-faACNUINCz8PN4/edit?usp=sharing"",""มุกดาหาร!J596"")"),0)</f>
        <v>0</v>
      </c>
      <c r="BP40" s="186">
        <f ca="1">IFERROR(__xludf.DUMMYFUNCTION("IMPORTRANGE(""https://docs.google.com/spreadsheets/d/1uMKqWwuNQ-TCKboGA3Bb1qXb5uj2-faACNUINCz8PN4/edit?usp=sharing"",""มุกดาหาร!J597"")"),0)</f>
        <v>0</v>
      </c>
      <c r="BQ40" s="261">
        <f ca="1">IFERROR(__xludf.DUMMYFUNCTION("IMPORTRANGE(""https://docs.google.com/spreadsheets/d/1uMKqWwuNQ-TCKboGA3Bb1qXb5uj2-faACNUINCz8PN4/edit?usp=sharing"",""มุกดาหาร!J598"")"),0)</f>
        <v>0</v>
      </c>
      <c r="BR40" s="186">
        <f ca="1">IFERROR(__xludf.DUMMYFUNCTION("IMPORTRANGE(""https://docs.google.com/spreadsheets/d/1uMKqWwuNQ-TCKboGA3Bb1qXb5uj2-faACNUINCz8PN4/edit?usp=sharing"",""มุกดาหาร!J599"")"),0)</f>
        <v>0</v>
      </c>
      <c r="BS40" s="261">
        <f ca="1">IFERROR(__xludf.DUMMYFUNCTION("IMPORTRANGE(""https://docs.google.com/spreadsheets/d/1uMKqWwuNQ-TCKboGA3Bb1qXb5uj2-faACNUINCz8PN4/edit?usp=sharing"",""มุกดาหาร!J600"")"),0)</f>
        <v>0</v>
      </c>
      <c r="BT40" s="262">
        <f ca="1">IFERROR(__xludf.DUMMYFUNCTION("IMPORTRANGE(""https://docs.google.com/spreadsheets/d/1uMKqWwuNQ-TCKboGA3Bb1qXb5uj2-faACNUINCz8PN4/edit?usp=sharing"",""มุกดาหาร!J601"")"),0)</f>
        <v>0</v>
      </c>
      <c r="BU40" s="261">
        <f ca="1">IFERROR(__xludf.DUMMYFUNCTION("IMPORTRANGE(""https://docs.google.com/spreadsheets/d/1uMKqWwuNQ-TCKboGA3Bb1qXb5uj2-faACNUINCz8PN4/edit?usp=sharing"",""มุกดาหาร!J602"")"),0)</f>
        <v>0</v>
      </c>
      <c r="BV40" s="186">
        <f ca="1">IFERROR(__xludf.DUMMYFUNCTION("IMPORTRANGE(""https://docs.google.com/spreadsheets/d/1uMKqWwuNQ-TCKboGA3Bb1qXb5uj2-faACNUINCz8PN4/edit?usp=sharing"",""มุกดาหาร!J603"")"),0)</f>
        <v>0</v>
      </c>
      <c r="BW40" s="261">
        <f ca="1">IFERROR(__xludf.DUMMYFUNCTION("IMPORTRANGE(""https://docs.google.com/spreadsheets/d/1uMKqWwuNQ-TCKboGA3Bb1qXb5uj2-faACNUINCz8PN4/edit?usp=sharing"",""มุกดาหาร!J604"")"),0)</f>
        <v>0</v>
      </c>
      <c r="BX40" s="186">
        <f ca="1">IFERROR(__xludf.DUMMYFUNCTION("IMPORTRANGE(""https://docs.google.com/spreadsheets/d/1uMKqWwuNQ-TCKboGA3Bb1qXb5uj2-faACNUINCz8PN4/edit?usp=sharing"",""มุกดาหาร!J605"")"),0)</f>
        <v>0</v>
      </c>
      <c r="BY40" s="261">
        <f ca="1">IFERROR(__xludf.DUMMYFUNCTION("IMPORTRANGE(""https://docs.google.com/spreadsheets/d/1uMKqWwuNQ-TCKboGA3Bb1qXb5uj2-faACNUINCz8PN4/edit?usp=sharing"",""มุกดาหาร!J606"")"),0)</f>
        <v>0</v>
      </c>
      <c r="BZ40" s="186">
        <f ca="1">IFERROR(__xludf.DUMMYFUNCTION("IMPORTRANGE(""https://docs.google.com/spreadsheets/d/1uMKqWwuNQ-TCKboGA3Bb1qXb5uj2-faACNUINCz8PN4/edit?usp=sharing"",""มุกดาหาร!J607"")"),0)</f>
        <v>0</v>
      </c>
      <c r="CA40" s="261">
        <f ca="1">IFERROR(__xludf.DUMMYFUNCTION("IMPORTRANGE(""https://docs.google.com/spreadsheets/d/1uMKqWwuNQ-TCKboGA3Bb1qXb5uj2-faACNUINCz8PN4/edit?usp=sharing"",""มุกดาหาร!J608"")"),0)</f>
        <v>0</v>
      </c>
      <c r="CB40" s="186">
        <f ca="1">IFERROR(__xludf.DUMMYFUNCTION("IMPORTRANGE(""https://docs.google.com/spreadsheets/d/1uMKqWwuNQ-TCKboGA3Bb1qXb5uj2-faACNUINCz8PN4/edit?usp=sharing"",""มุกดาหาร!J609"")"),0)</f>
        <v>0</v>
      </c>
      <c r="CC40" s="261">
        <f ca="1">IFERROR(__xludf.DUMMYFUNCTION("IMPORTRANGE(""https://docs.google.com/spreadsheets/d/1uMKqWwuNQ-TCKboGA3Bb1qXb5uj2-faACNUINCz8PN4/edit?usp=sharing"",""มุกดาหาร!J610"")"),0)</f>
        <v>0</v>
      </c>
      <c r="CD40" s="261">
        <f ca="1">IFERROR(__xludf.DUMMYFUNCTION("IMPORTRANGE(""https://docs.google.com/spreadsheets/d/1uMKqWwuNQ-TCKboGA3Bb1qXb5uj2-faACNUINCz8PN4/edit?usp=sharing"",""มุกดาหาร!I612"")"),0)</f>
        <v>0</v>
      </c>
      <c r="CE40" s="261">
        <f ca="1">IFERROR(__xludf.DUMMYFUNCTION("IMPORTRANGE(""https://docs.google.com/spreadsheets/d/1uMKqWwuNQ-TCKboGA3Bb1qXb5uj2-faACNUINCz8PN4/edit?usp=sharing"",""มุกดาหาร!I594"")"),115)</f>
        <v>115</v>
      </c>
      <c r="CF40" s="262">
        <f ca="1">IFERROR(__xludf.DUMMYFUNCTION("IMPORTRANGE(""https://docs.google.com/spreadsheets/d/1uMKqWwuNQ-TCKboGA3Bb1qXb5uj2-faACNUINCz8PN4/edit?usp=sharing"",""มุกดาหาร!J612"")"),0)</f>
        <v>0</v>
      </c>
      <c r="CG40" s="262">
        <f t="shared" ca="1" si="37"/>
        <v>0</v>
      </c>
      <c r="CH40" s="261">
        <f ca="1">IFERROR(__xludf.DUMMYFUNCTION("IMPORTRANGE(""https://docs.google.com/spreadsheets/d/1uMKqWwuNQ-TCKboGA3Bb1qXb5uj2-faACNUINCz8PN4/edit?usp=sharing"",""มุกดาหาร!J613"")"),0)</f>
        <v>0</v>
      </c>
      <c r="CI40" s="262">
        <f t="shared" ca="1" si="19"/>
        <v>0</v>
      </c>
      <c r="CJ40" s="186">
        <f ca="1">IFERROR(__xludf.DUMMYFUNCTION("IMPORTRANGE(""https://docs.google.com/spreadsheets/d/1uMKqWwuNQ-TCKboGA3Bb1qXb5uj2-faACNUINCz8PN4/edit?usp=sharing"",""มุกดาหาร!J614"")"),0)</f>
        <v>0</v>
      </c>
      <c r="CK40" s="261">
        <f ca="1">IFERROR(__xludf.DUMMYFUNCTION("IMPORTRANGE(""https://docs.google.com/spreadsheets/d/1uMKqWwuNQ-TCKboGA3Bb1qXb5uj2-faACNUINCz8PN4/edit?usp=sharing"",""มุกดาหาร!J615"")"),0)</f>
        <v>0</v>
      </c>
      <c r="CL40" s="186">
        <f ca="1">IFERROR(__xludf.DUMMYFUNCTION("IMPORTRANGE(""https://docs.google.com/spreadsheets/d/1uMKqWwuNQ-TCKboGA3Bb1qXb5uj2-faACNUINCz8PN4/edit?usp=sharing"",""มุกดาหาร!J616"")"),0)</f>
        <v>0</v>
      </c>
      <c r="CM40" s="261">
        <f ca="1">IFERROR(__xludf.DUMMYFUNCTION("IMPORTRANGE(""https://docs.google.com/spreadsheets/d/1uMKqWwuNQ-TCKboGA3Bb1qXb5uj2-faACNUINCz8PN4/edit?usp=sharing"",""มุกดาหาร!J617"")"),0)</f>
        <v>0</v>
      </c>
      <c r="CN40" s="261">
        <f ca="1">IFERROR(__xludf.DUMMYFUNCTION("IMPORTRANGE(""https://docs.google.com/spreadsheets/d/1uMKqWwuNQ-TCKboGA3Bb1qXb5uj2-faACNUINCz8PN4/edit?usp=sharing"",""มุกดาหาร!I620"")"),6)</f>
        <v>6</v>
      </c>
      <c r="CO40" s="261">
        <f ca="1">IFERROR(__xludf.DUMMYFUNCTION("IMPORTRANGE(""https://docs.google.com/spreadsheets/d/1uMKqWwuNQ-TCKboGA3Bb1qXb5uj2-faACNUINCz8PN4/edit?usp=sharing"",""มุกดาหาร!I621"")"),2)</f>
        <v>2</v>
      </c>
      <c r="CP40" s="262">
        <f ca="1">IFERROR(__xludf.DUMMYFUNCTION("IMPORTRANGE(""https://docs.google.com/spreadsheets/d/1uMKqWwuNQ-TCKboGA3Bb1qXb5uj2-faACNUINCz8PN4/edit?usp=sharing"",""มุกดาหาร!J620"")"),0)</f>
        <v>0</v>
      </c>
      <c r="CQ40" s="262">
        <f t="shared" ca="1" si="38"/>
        <v>0</v>
      </c>
      <c r="CR40" s="261">
        <f ca="1">IFERROR(__xludf.DUMMYFUNCTION("IMPORTRANGE(""https://docs.google.com/spreadsheets/d/1uMKqWwuNQ-TCKboGA3Bb1qXb5uj2-faACNUINCz8PN4/edit?usp=sharing"",""มุกดาหาร!J621"")"),0)</f>
        <v>0</v>
      </c>
      <c r="CS40" s="262">
        <f t="shared" ca="1" si="22"/>
        <v>0</v>
      </c>
      <c r="CT40" s="186">
        <f ca="1">IFERROR(__xludf.DUMMYFUNCTION("IMPORTRANGE(""https://docs.google.com/spreadsheets/d/1uMKqWwuNQ-TCKboGA3Bb1qXb5uj2-faACNUINCz8PN4/edit?usp=sharing"",""มุกดาหาร!J622"")"),0)</f>
        <v>0</v>
      </c>
      <c r="CU40" s="261">
        <f ca="1">IFERROR(__xludf.DUMMYFUNCTION("IMPORTRANGE(""https://docs.google.com/spreadsheets/d/1uMKqWwuNQ-TCKboGA3Bb1qXb5uj2-faACNUINCz8PN4/edit?usp=sharing"",""มุกดาหาร!J623"")"),0)</f>
        <v>0</v>
      </c>
      <c r="CV40" s="186">
        <f ca="1">IFERROR(__xludf.DUMMYFUNCTION("IMPORTRANGE(""https://docs.google.com/spreadsheets/d/1uMKqWwuNQ-TCKboGA3Bb1qXb5uj2-faACNUINCz8PN4/edit?usp=sharing"",""มุกดาหาร!J624"")"),0)</f>
        <v>0</v>
      </c>
      <c r="CW40" s="261">
        <f ca="1">IFERROR(__xludf.DUMMYFUNCTION("IMPORTRANGE(""https://docs.google.com/spreadsheets/d/1uMKqWwuNQ-TCKboGA3Bb1qXb5uj2-faACNUINCz8PN4/edit?usp=sharing"",""มุกดาหาร!J625"")"),0)</f>
        <v>0</v>
      </c>
      <c r="CX40" s="186">
        <f ca="1">IFERROR(__xludf.DUMMYFUNCTION("IMPORTRANGE(""https://docs.google.com/spreadsheets/d/1uMKqWwuNQ-TCKboGA3Bb1qXb5uj2-faACNUINCz8PN4/edit?usp=sharing"",""มุกดาหาร!J626"")"),0)</f>
        <v>0</v>
      </c>
      <c r="CY40" s="261">
        <f ca="1">IFERROR(__xludf.DUMMYFUNCTION("IMPORTRANGE(""https://docs.google.com/spreadsheets/d/1uMKqWwuNQ-TCKboGA3Bb1qXb5uj2-faACNUINCz8PN4/edit?usp=sharing"",""มุกดาหาร!J627"")"),0)</f>
        <v>0</v>
      </c>
    </row>
    <row r="41" spans="1:103" ht="21" customHeight="1" x14ac:dyDescent="0.3">
      <c r="A41" s="178">
        <v>10</v>
      </c>
      <c r="B41" s="179" t="s">
        <v>58</v>
      </c>
      <c r="C41" s="180">
        <f t="shared" ca="1" si="60"/>
        <v>326325</v>
      </c>
      <c r="D41" s="181">
        <f ca="1">IFERROR(__xludf.DUMMYFUNCTION("IMPORTRANGE(""https://docs.google.com/spreadsheets/d/1oKaccgDdQABndOzGr688Dbfxb_V3YcF67VqEPBtdzsc/edit?usp=sharing"",""ยโสธร!L549"")"),326325)</f>
        <v>326325</v>
      </c>
      <c r="E41" s="187">
        <f ca="1">IFERROR(__xludf.DUMMYFUNCTION("IMPORTRANGE(""https://docs.google.com/spreadsheets/d/1oKaccgDdQABndOzGr688Dbfxb_V3YcF67VqEPBtdzsc/edit?usp=sharing"",""ยโสธร!L557"")"),0)</f>
        <v>0</v>
      </c>
      <c r="F41" s="182">
        <f t="shared" ca="1" si="1"/>
        <v>92245</v>
      </c>
      <c r="G41" s="183">
        <f t="shared" ca="1" si="2"/>
        <v>28.267831149927218</v>
      </c>
      <c r="H41" s="184">
        <f t="shared" ca="1" si="61"/>
        <v>92245</v>
      </c>
      <c r="I41" s="187">
        <f ca="1">IFERROR(__xludf.DUMMYFUNCTION("IMPORTRANGE(""https://docs.google.com/spreadsheets/d/1oKaccgDdQABndOzGr688Dbfxb_V3YcF67VqEPBtdzsc/edit?usp=sharing"",""ยโสธร!N550"")"),0)</f>
        <v>0</v>
      </c>
      <c r="J41" s="187">
        <f ca="1">IFERROR(__xludf.DUMMYFUNCTION("IMPORTRANGE(""https://docs.google.com/spreadsheets/d/1oKaccgDdQABndOzGr688Dbfxb_V3YcF67VqEPBtdzsc/edit?usp=sharing"",""ยโสธร!N551"")"),0)</f>
        <v>0</v>
      </c>
      <c r="K41" s="187">
        <f ca="1">IFERROR(__xludf.DUMMYFUNCTION("IMPORTRANGE(""https://docs.google.com/spreadsheets/d/1oKaccgDdQABndOzGr688Dbfxb_V3YcF67VqEPBtdzsc/edit?usp=sharing"",""ยโสธร!N552"")"),39000)</f>
        <v>39000</v>
      </c>
      <c r="L41" s="187">
        <f ca="1">IFERROR(__xludf.DUMMYFUNCTION("IMPORTRANGE(""https://docs.google.com/spreadsheets/d/1oKaccgDdQABndOzGr688Dbfxb_V3YcF67VqEPBtdzsc/edit?usp=sharing"",""ยโสธร!N553"")"),53245)</f>
        <v>53245</v>
      </c>
      <c r="M41" s="187">
        <f ca="1">IFERROR(__xludf.DUMMYFUNCTION("IMPORTRANGE(""https://docs.google.com/spreadsheets/d/1oKaccgDdQABndOzGr688Dbfxb_V3YcF67VqEPBtdzsc/edit?usp=sharing"",""ยโสธร!N554"")"),0)</f>
        <v>0</v>
      </c>
      <c r="N41" s="185">
        <f ca="1">IFERROR(__xludf.DUMMYFUNCTION("IMPORTRANGE(""https://docs.google.com/spreadsheets/d/1oKaccgDdQABndOzGr688Dbfxb_V3YcF67VqEPBtdzsc/edit?usp=sharing"",""ยโสธร!N557"")"),0)</f>
        <v>0</v>
      </c>
      <c r="O41" s="185">
        <f t="shared" ca="1" si="41"/>
        <v>0</v>
      </c>
      <c r="P41" s="181">
        <f ca="1">IFERROR(__xludf.DUMMYFUNCTION("IMPORTRANGE(""https://docs.google.com/spreadsheets/d/1oKaccgDdQABndOzGr688Dbfxb_V3YcF67VqEPBtdzsc/edit?usp=sharing"",""ยโสธร!I560"")"),38042)</f>
        <v>38042</v>
      </c>
      <c r="Q41" s="181">
        <f ca="1">IFERROR(__xludf.DUMMYFUNCTION("IMPORTRANGE(""https://docs.google.com/spreadsheets/d/1oKaccgDdQABndOzGr688Dbfxb_V3YcF67VqEPBtdzsc/edit?usp=sharing"",""ยโสธร!I561"")"),3787)</f>
        <v>3787</v>
      </c>
      <c r="R41" s="186">
        <f ca="1">IFERROR(__xludf.DUMMYFUNCTION("IMPORTRANGE(""https://docs.google.com/spreadsheets/d/1oKaccgDdQABndOzGr688Dbfxb_V3YcF67VqEPBtdzsc/edit?usp=sharing"",""ยโสธร!J560"")"),38041.8)</f>
        <v>38041.800000000003</v>
      </c>
      <c r="S41" s="186">
        <f t="shared" ca="1" si="33"/>
        <v>99.999474265285755</v>
      </c>
      <c r="T41" s="181">
        <f ca="1">IFERROR(__xludf.DUMMYFUNCTION("IMPORTRANGE(""https://docs.google.com/spreadsheets/d/1oKaccgDdQABndOzGr688Dbfxb_V3YcF67VqEPBtdzsc/edit?usp=sharing"",""ยโสธร!J561"")"),3787)</f>
        <v>3787</v>
      </c>
      <c r="U41" s="186">
        <f t="shared" ca="1" si="7"/>
        <v>100</v>
      </c>
      <c r="V41" s="186">
        <f ca="1">IFERROR(__xludf.DUMMYFUNCTION("IMPORTRANGE(""https://docs.google.com/spreadsheets/d/1oKaccgDdQABndOzGr688Dbfxb_V3YcF67VqEPBtdzsc/edit?usp=sharing"",""ยโสธร!J562"")"),32395)</f>
        <v>32395</v>
      </c>
      <c r="W41" s="261">
        <f ca="1">IFERROR(__xludf.DUMMYFUNCTION("IMPORTRANGE(""https://docs.google.com/spreadsheets/d/1oKaccgDdQABndOzGr688Dbfxb_V3YcF67VqEPBtdzsc/edit?usp=sharing"",""ยโสธร!J563"")"),3189)</f>
        <v>3189</v>
      </c>
      <c r="X41" s="186">
        <f ca="1">IFERROR(__xludf.DUMMYFUNCTION("IMPORTRANGE(""https://docs.google.com/spreadsheets/d/1oKaccgDdQABndOzGr688Dbfxb_V3YcF67VqEPBtdzsc/edit?usp=sharing"",""ยโสธร!J564"")"),4637.8)</f>
        <v>4637.8</v>
      </c>
      <c r="Y41" s="261">
        <f ca="1">IFERROR(__xludf.DUMMYFUNCTION("IMPORTRANGE(""https://docs.google.com/spreadsheets/d/1oKaccgDdQABndOzGr688Dbfxb_V3YcF67VqEPBtdzsc/edit?usp=sharing"",""ยโสธร!J565"")"),514)</f>
        <v>514</v>
      </c>
      <c r="Z41" s="186">
        <f ca="1">IFERROR(__xludf.DUMMYFUNCTION("IMPORTRANGE(""https://docs.google.com/spreadsheets/d/1oKaccgDdQABndOzGr688Dbfxb_V3YcF67VqEPBtdzsc/edit?usp=sharing"",""ยโสธร!J566"")"),1009)</f>
        <v>1009</v>
      </c>
      <c r="AA41" s="261">
        <f ca="1">IFERROR(__xludf.DUMMYFUNCTION("IMPORTRANGE(""https://docs.google.com/spreadsheets/d/1oKaccgDdQABndOzGr688Dbfxb_V3YcF67VqEPBtdzsc/edit?usp=sharing"",""ยโสธร!J567"")"),84)</f>
        <v>84</v>
      </c>
      <c r="AB41" s="181">
        <f ca="1">IFERROR(__xludf.DUMMYFUNCTION("IMPORTRANGE(""https://docs.google.com/spreadsheets/d/1oKaccgDdQABndOzGr688Dbfxb_V3YcF67VqEPBtdzsc/edit?usp=sharing"",""ยโสธร!I568"")"),38042)</f>
        <v>38042</v>
      </c>
      <c r="AC41" s="181">
        <f ca="1">IFERROR(__xludf.DUMMYFUNCTION("IMPORTRANGE(""https://docs.google.com/spreadsheets/d/1oKaccgDdQABndOzGr688Dbfxb_V3YcF67VqEPBtdzsc/edit?usp=sharing"",""ยโสธร!I569"")"),3787)</f>
        <v>3787</v>
      </c>
      <c r="AD41" s="186">
        <f ca="1">IFERROR(__xludf.DUMMYFUNCTION("IMPORTRANGE(""https://docs.google.com/spreadsheets/d/1oKaccgDdQABndOzGr688Dbfxb_V3YcF67VqEPBtdzsc/edit?usp=sharing"",""ยโสธร!J568"")"),0)</f>
        <v>0</v>
      </c>
      <c r="AE41" s="186">
        <f t="shared" ca="1" si="34"/>
        <v>0</v>
      </c>
      <c r="AF41" s="181">
        <f ca="1">IFERROR(__xludf.DUMMYFUNCTION("IMPORTRANGE(""https://docs.google.com/spreadsheets/d/1oKaccgDdQABndOzGr688Dbfxb_V3YcF67VqEPBtdzsc/edit?usp=sharing"",""ยโสธร!J569"")"),0)</f>
        <v>0</v>
      </c>
      <c r="AG41" s="186">
        <f t="shared" ca="1" si="10"/>
        <v>0</v>
      </c>
      <c r="AH41" s="186">
        <f ca="1">IFERROR(__xludf.DUMMYFUNCTION("IMPORTRANGE(""https://docs.google.com/spreadsheets/d/1oKaccgDdQABndOzGr688Dbfxb_V3YcF67VqEPBtdzsc/edit?usp=sharing"",""ยโสธร!J570"")"),0)</f>
        <v>0</v>
      </c>
      <c r="AI41" s="261">
        <f ca="1">IFERROR(__xludf.DUMMYFUNCTION("IMPORTRANGE(""https://docs.google.com/spreadsheets/d/1oKaccgDdQABndOzGr688Dbfxb_V3YcF67VqEPBtdzsc/edit?usp=sharing"",""ยโสธร!J571"")"),0)</f>
        <v>0</v>
      </c>
      <c r="AJ41" s="186">
        <f ca="1">IFERROR(__xludf.DUMMYFUNCTION("IMPORTRANGE(""https://docs.google.com/spreadsheets/d/1oKaccgDdQABndOzGr688Dbfxb_V3YcF67VqEPBtdzsc/edit?usp=sharing"",""ยโสธร!J572"")"),0)</f>
        <v>0</v>
      </c>
      <c r="AK41" s="261">
        <f ca="1">IFERROR(__xludf.DUMMYFUNCTION("IMPORTRANGE(""https://docs.google.com/spreadsheets/d/1oKaccgDdQABndOzGr688Dbfxb_V3YcF67VqEPBtdzsc/edit?usp=sharing"",""ยโสธร!J573"")"),0)</f>
        <v>0</v>
      </c>
      <c r="AL41" s="186">
        <f ca="1">IFERROR(__xludf.DUMMYFUNCTION("IMPORTRANGE(""https://docs.google.com/spreadsheets/d/1oKaccgDdQABndOzGr688Dbfxb_V3YcF67VqEPBtdzsc/edit?usp=sharing"",""ยโสธร!J574"")"),0)</f>
        <v>0</v>
      </c>
      <c r="AM41" s="261">
        <f ca="1">IFERROR(__xludf.DUMMYFUNCTION("IMPORTRANGE(""https://docs.google.com/spreadsheets/d/1oKaccgDdQABndOzGr688Dbfxb_V3YcF67VqEPBtdzsc/edit?usp=sharing"",""ยโสธร!J575"")"),0)</f>
        <v>0</v>
      </c>
      <c r="AN41" s="181">
        <f ca="1">IFERROR(__xludf.DUMMYFUNCTION("IMPORTRANGE(""https://docs.google.com/spreadsheets/d/1oKaccgDdQABndOzGr688Dbfxb_V3YcF67VqEPBtdzsc/edit?usp=sharing"",""ยโสธร!I576"")"),38042)</f>
        <v>38042</v>
      </c>
      <c r="AO41" s="181">
        <f ca="1">IFERROR(__xludf.DUMMYFUNCTION("IMPORTRANGE(""https://docs.google.com/spreadsheets/d/1oKaccgDdQABndOzGr688Dbfxb_V3YcF67VqEPBtdzsc/edit?usp=sharing"",""ยโสธร!I577"")"),3787)</f>
        <v>3787</v>
      </c>
      <c r="AP41" s="186">
        <f ca="1">IFERROR(__xludf.DUMMYFUNCTION("IMPORTRANGE(""https://docs.google.com/spreadsheets/d/1oKaccgDdQABndOzGr688Dbfxb_V3YcF67VqEPBtdzsc/edit?usp=sharing"",""ยโสธร!J576"")"),0)</f>
        <v>0</v>
      </c>
      <c r="AQ41" s="186">
        <f t="shared" ca="1" si="35"/>
        <v>0</v>
      </c>
      <c r="AR41" s="181">
        <f ca="1">IFERROR(__xludf.DUMMYFUNCTION("IMPORTRANGE(""https://docs.google.com/spreadsheets/d/1oKaccgDdQABndOzGr688Dbfxb_V3YcF67VqEPBtdzsc/edit?usp=sharing"",""ยโสธร!J577"")"),0)</f>
        <v>0</v>
      </c>
      <c r="AS41" s="186">
        <f t="shared" ca="1" si="13"/>
        <v>0</v>
      </c>
      <c r="AT41" s="186">
        <f ca="1">IFERROR(__xludf.DUMMYFUNCTION("IMPORTRANGE(""https://docs.google.com/spreadsheets/d/1oKaccgDdQABndOzGr688Dbfxb_V3YcF67VqEPBtdzsc/edit?usp=sharing"",""ยโสธร!J578"")"),0)</f>
        <v>0</v>
      </c>
      <c r="AU41" s="261">
        <f ca="1">IFERROR(__xludf.DUMMYFUNCTION("IMPORTRANGE(""https://docs.google.com/spreadsheets/d/1oKaccgDdQABndOzGr688Dbfxb_V3YcF67VqEPBtdzsc/edit?usp=sharing"",""ยโสธร!J579"")"),0)</f>
        <v>0</v>
      </c>
      <c r="AV41" s="186">
        <f ca="1">IFERROR(__xludf.DUMMYFUNCTION("IMPORTRANGE(""https://docs.google.com/spreadsheets/d/1oKaccgDdQABndOzGr688Dbfxb_V3YcF67VqEPBtdzsc/edit?usp=sharing"",""ยโสธร!J580"")"),0)</f>
        <v>0</v>
      </c>
      <c r="AW41" s="261">
        <f ca="1">IFERROR(__xludf.DUMMYFUNCTION("IMPORTRANGE(""https://docs.google.com/spreadsheets/d/1oKaccgDdQABndOzGr688Dbfxb_V3YcF67VqEPBtdzsc/edit?usp=sharing"",""ยโสธร!J581"")"),0)</f>
        <v>0</v>
      </c>
      <c r="AX41" s="186">
        <f ca="1">IFERROR(__xludf.DUMMYFUNCTION("IMPORTRANGE(""https://docs.google.com/spreadsheets/d/1oKaccgDdQABndOzGr688Dbfxb_V3YcF67VqEPBtdzsc/edit?usp=sharing"",""ยโสธร!J582"")"),0)</f>
        <v>0</v>
      </c>
      <c r="AY41" s="261">
        <f ca="1">IFERROR(__xludf.DUMMYFUNCTION("IMPORTRANGE(""https://docs.google.com/spreadsheets/d/1oKaccgDdQABndOzGr688Dbfxb_V3YcF67VqEPBtdzsc/edit?usp=sharing"",""ยโสธร!J583"")"),0)</f>
        <v>0</v>
      </c>
      <c r="AZ41" s="262">
        <f ca="1">IFERROR(__xludf.DUMMYFUNCTION("IMPORTRANGE(""https://docs.google.com/spreadsheets/d/1oKaccgDdQABndOzGr688Dbfxb_V3YcF67VqEPBtdzsc/edit?usp=sharing"",""ยโสธร!J584"")"),0)</f>
        <v>0</v>
      </c>
      <c r="BA41" s="261">
        <f ca="1">IFERROR(__xludf.DUMMYFUNCTION("IMPORTRANGE(""https://docs.google.com/spreadsheets/d/1oKaccgDdQABndOzGr688Dbfxb_V3YcF67VqEPBtdzsc/edit?usp=sharing"",""ยโสธร!J585"")"),0)</f>
        <v>0</v>
      </c>
      <c r="BB41" s="262">
        <f ca="1">IFERROR(__xludf.DUMMYFUNCTION("IMPORTRANGE(""https://docs.google.com/spreadsheets/d/1oKaccgDdQABndOzGr688Dbfxb_V3YcF67VqEPBtdzsc/edit?usp=sharing"",""ยโสธร!J586"")"),0)</f>
        <v>0</v>
      </c>
      <c r="BC41" s="261">
        <f ca="1">IFERROR(__xludf.DUMMYFUNCTION("IMPORTRANGE(""https://docs.google.com/spreadsheets/d/1oKaccgDdQABndOzGr688Dbfxb_V3YcF67VqEPBtdzsc/edit?usp=sharing"",""ยโสธร!J587"")"),0)</f>
        <v>0</v>
      </c>
      <c r="BD41" s="186">
        <f ca="1">IFERROR(__xludf.DUMMYFUNCTION("IMPORTRANGE(""https://docs.google.com/spreadsheets/d/1oKaccgDdQABndOzGr688Dbfxb_V3YcF67VqEPBtdzsc/edit?usp=sharing"",""ยโสธร!J588"")"),0)</f>
        <v>0</v>
      </c>
      <c r="BE41" s="261">
        <f ca="1">IFERROR(__xludf.DUMMYFUNCTION("IMPORTRANGE(""https://docs.google.com/spreadsheets/d/1oKaccgDdQABndOzGr688Dbfxb_V3YcF67VqEPBtdzsc/edit?usp=sharing"",""ยโสธร!J589"")"),0)</f>
        <v>0</v>
      </c>
      <c r="BF41" s="186">
        <f ca="1">IFERROR(__xludf.DUMMYFUNCTION("IMPORTRANGE(""https://docs.google.com/spreadsheets/d/1oKaccgDdQABndOzGr688Dbfxb_V3YcF67VqEPBtdzsc/edit?usp=sharing"",""ยโสธร!J590"")"),0)</f>
        <v>0</v>
      </c>
      <c r="BG41" s="261">
        <f ca="1">IFERROR(__xludf.DUMMYFUNCTION("IMPORTRANGE(""https://docs.google.com/spreadsheets/d/1oKaccgDdQABndOzGr688Dbfxb_V3YcF67VqEPBtdzsc/edit?usp=sharing"",""ยโสธร!J591"")"),0)</f>
        <v>0</v>
      </c>
      <c r="BH41" s="181">
        <f ca="1">IFERROR(__xludf.DUMMYFUNCTION("IMPORTRANGE(""https://docs.google.com/spreadsheets/d/1oKaccgDdQABndOzGr688Dbfxb_V3YcF67VqEPBtdzsc/edit?usp=sharing"",""ยโสธร!I593"")"),391.38)</f>
        <v>391.38</v>
      </c>
      <c r="BI41" s="181">
        <f ca="1">IFERROR(__xludf.DUMMYFUNCTION("IMPORTRANGE(""https://docs.google.com/spreadsheets/d/1oKaccgDdQABndOzGr688Dbfxb_V3YcF67VqEPBtdzsc/edit?usp=sharing"",""ยโสธร!I594"")"),28)</f>
        <v>28</v>
      </c>
      <c r="BJ41" s="186">
        <f ca="1">IFERROR(__xludf.DUMMYFUNCTION("IMPORTRANGE(""https://docs.google.com/spreadsheets/d/1oKaccgDdQABndOzGr688Dbfxb_V3YcF67VqEPBtdzsc/edit?usp=sharing"",""ยโสธร!J593"")"),0)</f>
        <v>0</v>
      </c>
      <c r="BK41" s="186">
        <f t="shared" ca="1" si="36"/>
        <v>0</v>
      </c>
      <c r="BL41" s="181">
        <f ca="1">IFERROR(__xludf.DUMMYFUNCTION("IMPORTRANGE(""https://docs.google.com/spreadsheets/d/1oKaccgDdQABndOzGr688Dbfxb_V3YcF67VqEPBtdzsc/edit?usp=sharing"",""ยโสธร!J594"")"),0)</f>
        <v>0</v>
      </c>
      <c r="BM41" s="186">
        <f t="shared" ca="1" si="16"/>
        <v>0</v>
      </c>
      <c r="BN41" s="186">
        <f ca="1">IFERROR(__xludf.DUMMYFUNCTION("IMPORTRANGE(""https://docs.google.com/spreadsheets/d/1oKaccgDdQABndOzGr688Dbfxb_V3YcF67VqEPBtdzsc/edit?usp=sharing"",""ยโสธร!J595"")"),0)</f>
        <v>0</v>
      </c>
      <c r="BO41" s="261">
        <f ca="1">IFERROR(__xludf.DUMMYFUNCTION("IMPORTRANGE(""https://docs.google.com/spreadsheets/d/1oKaccgDdQABndOzGr688Dbfxb_V3YcF67VqEPBtdzsc/edit?usp=sharing"",""ยโสธร!J596"")"),0)</f>
        <v>0</v>
      </c>
      <c r="BP41" s="186">
        <f ca="1">IFERROR(__xludf.DUMMYFUNCTION("IMPORTRANGE(""https://docs.google.com/spreadsheets/d/1oKaccgDdQABndOzGr688Dbfxb_V3YcF67VqEPBtdzsc/edit?usp=sharing"",""ยโสธร!J597"")"),0)</f>
        <v>0</v>
      </c>
      <c r="BQ41" s="261">
        <f ca="1">IFERROR(__xludf.DUMMYFUNCTION("IMPORTRANGE(""https://docs.google.com/spreadsheets/d/1oKaccgDdQABndOzGr688Dbfxb_V3YcF67VqEPBtdzsc/edit?usp=sharing"",""ยโสธร!J598"")"),0)</f>
        <v>0</v>
      </c>
      <c r="BR41" s="186">
        <f ca="1">IFERROR(__xludf.DUMMYFUNCTION("IMPORTRANGE(""https://docs.google.com/spreadsheets/d/1oKaccgDdQABndOzGr688Dbfxb_V3YcF67VqEPBtdzsc/edit?usp=sharing"",""ยโสธร!J599"")"),0)</f>
        <v>0</v>
      </c>
      <c r="BS41" s="261">
        <f ca="1">IFERROR(__xludf.DUMMYFUNCTION("IMPORTRANGE(""https://docs.google.com/spreadsheets/d/1oKaccgDdQABndOzGr688Dbfxb_V3YcF67VqEPBtdzsc/edit?usp=sharing"",""ยโสธร!J600"")"),0)</f>
        <v>0</v>
      </c>
      <c r="BT41" s="262">
        <f ca="1">IFERROR(__xludf.DUMMYFUNCTION("IMPORTRANGE(""https://docs.google.com/spreadsheets/d/1oKaccgDdQABndOzGr688Dbfxb_V3YcF67VqEPBtdzsc/edit?usp=sharing"",""ยโสธร!J601"")"),0)</f>
        <v>0</v>
      </c>
      <c r="BU41" s="261">
        <f ca="1">IFERROR(__xludf.DUMMYFUNCTION("IMPORTRANGE(""https://docs.google.com/spreadsheets/d/1oKaccgDdQABndOzGr688Dbfxb_V3YcF67VqEPBtdzsc/edit?usp=sharing"",""ยโสธร!J602"")"),0)</f>
        <v>0</v>
      </c>
      <c r="BV41" s="186">
        <f ca="1">IFERROR(__xludf.DUMMYFUNCTION("IMPORTRANGE(""https://docs.google.com/spreadsheets/d/1oKaccgDdQABndOzGr688Dbfxb_V3YcF67VqEPBtdzsc/edit?usp=sharing"",""ยโสธร!J603"")"),0)</f>
        <v>0</v>
      </c>
      <c r="BW41" s="261">
        <f ca="1">IFERROR(__xludf.DUMMYFUNCTION("IMPORTRANGE(""https://docs.google.com/spreadsheets/d/1oKaccgDdQABndOzGr688Dbfxb_V3YcF67VqEPBtdzsc/edit?usp=sharing"",""ยโสธร!J604"")"),0)</f>
        <v>0</v>
      </c>
      <c r="BX41" s="186">
        <f ca="1">IFERROR(__xludf.DUMMYFUNCTION("IMPORTRANGE(""https://docs.google.com/spreadsheets/d/1oKaccgDdQABndOzGr688Dbfxb_V3YcF67VqEPBtdzsc/edit?usp=sharing"",""ยโสธร!J605"")"),0)</f>
        <v>0</v>
      </c>
      <c r="BY41" s="261">
        <f ca="1">IFERROR(__xludf.DUMMYFUNCTION("IMPORTRANGE(""https://docs.google.com/spreadsheets/d/1oKaccgDdQABndOzGr688Dbfxb_V3YcF67VqEPBtdzsc/edit?usp=sharing"",""ยโสธร!J606"")"),0)</f>
        <v>0</v>
      </c>
      <c r="BZ41" s="186">
        <f ca="1">IFERROR(__xludf.DUMMYFUNCTION("IMPORTRANGE(""https://docs.google.com/spreadsheets/d/1oKaccgDdQABndOzGr688Dbfxb_V3YcF67VqEPBtdzsc/edit?usp=sharing"",""ยโสธร!J607"")"),0)</f>
        <v>0</v>
      </c>
      <c r="CA41" s="261">
        <f ca="1">IFERROR(__xludf.DUMMYFUNCTION("IMPORTRANGE(""https://docs.google.com/spreadsheets/d/1oKaccgDdQABndOzGr688Dbfxb_V3YcF67VqEPBtdzsc/edit?usp=sharing"",""ยโสธร!J608"")"),0)</f>
        <v>0</v>
      </c>
      <c r="CB41" s="186">
        <f ca="1">IFERROR(__xludf.DUMMYFUNCTION("IMPORTRANGE(""https://docs.google.com/spreadsheets/d/1oKaccgDdQABndOzGr688Dbfxb_V3YcF67VqEPBtdzsc/edit?usp=sharing"",""ยโสธร!J609"")"),0)</f>
        <v>0</v>
      </c>
      <c r="CC41" s="261">
        <f ca="1">IFERROR(__xludf.DUMMYFUNCTION("IMPORTRANGE(""https://docs.google.com/spreadsheets/d/1oKaccgDdQABndOzGr688Dbfxb_V3YcF67VqEPBtdzsc/edit?usp=sharing"",""ยโสธร!J610"")"),0)</f>
        <v>0</v>
      </c>
      <c r="CD41" s="261">
        <f ca="1">IFERROR(__xludf.DUMMYFUNCTION("IMPORTRANGE(""https://docs.google.com/spreadsheets/d/1oKaccgDdQABndOzGr688Dbfxb_V3YcF67VqEPBtdzsc/edit?usp=sharing"",""ยโสธร!I612"")"),0)</f>
        <v>0</v>
      </c>
      <c r="CE41" s="261">
        <f ca="1">IFERROR(__xludf.DUMMYFUNCTION("IMPORTRANGE(""https://docs.google.com/spreadsheets/d/1oKaccgDdQABndOzGr688Dbfxb_V3YcF67VqEPBtdzsc/edit?usp=sharing"",""ยโสธร!I594"")"),28)</f>
        <v>28</v>
      </c>
      <c r="CF41" s="262">
        <f ca="1">IFERROR(__xludf.DUMMYFUNCTION("IMPORTRANGE(""https://docs.google.com/spreadsheets/d/1oKaccgDdQABndOzGr688Dbfxb_V3YcF67VqEPBtdzsc/edit?usp=sharing"",""ยโสธร!J612"")"),0)</f>
        <v>0</v>
      </c>
      <c r="CG41" s="262">
        <f t="shared" ca="1" si="37"/>
        <v>0</v>
      </c>
      <c r="CH41" s="261">
        <f ca="1">IFERROR(__xludf.DUMMYFUNCTION("IMPORTRANGE(""https://docs.google.com/spreadsheets/d/1oKaccgDdQABndOzGr688Dbfxb_V3YcF67VqEPBtdzsc/edit?usp=sharing"",""ยโสธร!J613"")"),0)</f>
        <v>0</v>
      </c>
      <c r="CI41" s="262">
        <f t="shared" ca="1" si="19"/>
        <v>0</v>
      </c>
      <c r="CJ41" s="186">
        <f ca="1">IFERROR(__xludf.DUMMYFUNCTION("IMPORTRANGE(""https://docs.google.com/spreadsheets/d/1oKaccgDdQABndOzGr688Dbfxb_V3YcF67VqEPBtdzsc/edit?usp=sharing"",""ยโสธร!J614"")"),0)</f>
        <v>0</v>
      </c>
      <c r="CK41" s="261">
        <f ca="1">IFERROR(__xludf.DUMMYFUNCTION("IMPORTRANGE(""https://docs.google.com/spreadsheets/d/1oKaccgDdQABndOzGr688Dbfxb_V3YcF67VqEPBtdzsc/edit?usp=sharing"",""ยโสธร!J615"")"),0)</f>
        <v>0</v>
      </c>
      <c r="CL41" s="186">
        <f ca="1">IFERROR(__xludf.DUMMYFUNCTION("IMPORTRANGE(""https://docs.google.com/spreadsheets/d/1oKaccgDdQABndOzGr688Dbfxb_V3YcF67VqEPBtdzsc/edit?usp=sharing"",""ยโสธร!J616"")"),0)</f>
        <v>0</v>
      </c>
      <c r="CM41" s="261">
        <f ca="1">IFERROR(__xludf.DUMMYFUNCTION("IMPORTRANGE(""https://docs.google.com/spreadsheets/d/1oKaccgDdQABndOzGr688Dbfxb_V3YcF67VqEPBtdzsc/edit?usp=sharing"",""ยโสธร!J617"")"),0)</f>
        <v>0</v>
      </c>
      <c r="CN41" s="261">
        <f ca="1">IFERROR(__xludf.DUMMYFUNCTION("IMPORTRANGE(""https://docs.google.com/spreadsheets/d/1oKaccgDdQABndOzGr688Dbfxb_V3YcF67VqEPBtdzsc/edit?usp=sharing"",""ยโสธร!I620"")"),0)</f>
        <v>0</v>
      </c>
      <c r="CO41" s="261">
        <f ca="1">IFERROR(__xludf.DUMMYFUNCTION("IMPORTRANGE(""https://docs.google.com/spreadsheets/d/1oKaccgDdQABndOzGr688Dbfxb_V3YcF67VqEPBtdzsc/edit?usp=sharing"",""ยโสธร!I621"")"),0)</f>
        <v>0</v>
      </c>
      <c r="CP41" s="262">
        <f ca="1">IFERROR(__xludf.DUMMYFUNCTION("IMPORTRANGE(""https://docs.google.com/spreadsheets/d/1oKaccgDdQABndOzGr688Dbfxb_V3YcF67VqEPBtdzsc/edit?usp=sharing"",""ยโสธร!J620"")"),0)</f>
        <v>0</v>
      </c>
      <c r="CQ41" s="262">
        <f t="shared" ca="1" si="38"/>
        <v>0</v>
      </c>
      <c r="CR41" s="261">
        <f ca="1">IFERROR(__xludf.DUMMYFUNCTION("IMPORTRANGE(""https://docs.google.com/spreadsheets/d/1oKaccgDdQABndOzGr688Dbfxb_V3YcF67VqEPBtdzsc/edit?usp=sharing"",""ยโสธร!J621"")"),0)</f>
        <v>0</v>
      </c>
      <c r="CS41" s="262">
        <f t="shared" ca="1" si="22"/>
        <v>0</v>
      </c>
      <c r="CT41" s="186">
        <f ca="1">IFERROR(__xludf.DUMMYFUNCTION("IMPORTRANGE(""https://docs.google.com/spreadsheets/d/1oKaccgDdQABndOzGr688Dbfxb_V3YcF67VqEPBtdzsc/edit?usp=sharing"",""ยโสธร!J622"")"),0)</f>
        <v>0</v>
      </c>
      <c r="CU41" s="261">
        <f ca="1">IFERROR(__xludf.DUMMYFUNCTION("IMPORTRANGE(""https://docs.google.com/spreadsheets/d/1oKaccgDdQABndOzGr688Dbfxb_V3YcF67VqEPBtdzsc/edit?usp=sharing"",""ยโสธร!J623"")"),0)</f>
        <v>0</v>
      </c>
      <c r="CV41" s="186">
        <f ca="1">IFERROR(__xludf.DUMMYFUNCTION("IMPORTRANGE(""https://docs.google.com/spreadsheets/d/1oKaccgDdQABndOzGr688Dbfxb_V3YcF67VqEPBtdzsc/edit?usp=sharing"",""ยโสธร!J624"")"),0)</f>
        <v>0</v>
      </c>
      <c r="CW41" s="261">
        <f ca="1">IFERROR(__xludf.DUMMYFUNCTION("IMPORTRANGE(""https://docs.google.com/spreadsheets/d/1oKaccgDdQABndOzGr688Dbfxb_V3YcF67VqEPBtdzsc/edit?usp=sharing"",""ยโสธร!J625"")"),0)</f>
        <v>0</v>
      </c>
      <c r="CX41" s="186">
        <f ca="1">IFERROR(__xludf.DUMMYFUNCTION("IMPORTRANGE(""https://docs.google.com/spreadsheets/d/1oKaccgDdQABndOzGr688Dbfxb_V3YcF67VqEPBtdzsc/edit?usp=sharing"",""ยโสธร!J626"")"),0)</f>
        <v>0</v>
      </c>
      <c r="CY41" s="261">
        <f ca="1">IFERROR(__xludf.DUMMYFUNCTION("IMPORTRANGE(""https://docs.google.com/spreadsheets/d/1oKaccgDdQABndOzGr688Dbfxb_V3YcF67VqEPBtdzsc/edit?usp=sharing"",""ยโสธร!J627"")"),0)</f>
        <v>0</v>
      </c>
    </row>
    <row r="42" spans="1:103" ht="21" customHeight="1" x14ac:dyDescent="0.3">
      <c r="A42" s="178">
        <v>11</v>
      </c>
      <c r="B42" s="179" t="s">
        <v>59</v>
      </c>
      <c r="C42" s="180">
        <f t="shared" ca="1" si="60"/>
        <v>525419</v>
      </c>
      <c r="D42" s="181">
        <f ca="1">IFERROR(__xludf.DUMMYFUNCTION("IMPORTRANGE(""https://docs.google.com/spreadsheets/d/1BRgc8xKpxZ0PX-gauieMVkV_IOxKSotf0yW8MabGprQ/edit?usp=sharing"",""ร้อยเอ็ด!L549"")"),525419)</f>
        <v>525419</v>
      </c>
      <c r="E42" s="187">
        <f ca="1">IFERROR(__xludf.DUMMYFUNCTION("IMPORTRANGE(""https://docs.google.com/spreadsheets/d/1BRgc8xKpxZ0PX-gauieMVkV_IOxKSotf0yW8MabGprQ/edit?usp=sharing"",""ร้อยเอ็ด!L557"")"),0)</f>
        <v>0</v>
      </c>
      <c r="F42" s="182">
        <f t="shared" ca="1" si="1"/>
        <v>166240.85</v>
      </c>
      <c r="G42" s="183">
        <f t="shared" ca="1" si="2"/>
        <v>31.639672337696201</v>
      </c>
      <c r="H42" s="184">
        <f t="shared" ca="1" si="61"/>
        <v>166240.85</v>
      </c>
      <c r="I42" s="187">
        <f ca="1">IFERROR(__xludf.DUMMYFUNCTION("IMPORTRANGE(""https://docs.google.com/spreadsheets/d/1BRgc8xKpxZ0PX-gauieMVkV_IOxKSotf0yW8MabGprQ/edit?usp=sharing"",""ร้อยเอ็ด!N550"")"),0)</f>
        <v>0</v>
      </c>
      <c r="J42" s="187">
        <f ca="1">IFERROR(__xludf.DUMMYFUNCTION("IMPORTRANGE(""https://docs.google.com/spreadsheets/d/1BRgc8xKpxZ0PX-gauieMVkV_IOxKSotf0yW8MabGprQ/edit?usp=sharing"",""ร้อยเอ็ด!N551"")"),0)</f>
        <v>0</v>
      </c>
      <c r="K42" s="187">
        <f ca="1">IFERROR(__xludf.DUMMYFUNCTION("IMPORTRANGE(""https://docs.google.com/spreadsheets/d/1BRgc8xKpxZ0PX-gauieMVkV_IOxKSotf0yW8MabGprQ/edit?usp=sharing"",""ร้อยเอ็ด!N552"")"),30612.85)</f>
        <v>30612.85</v>
      </c>
      <c r="L42" s="187">
        <f ca="1">IFERROR(__xludf.DUMMYFUNCTION("IMPORTRANGE(""https://docs.google.com/spreadsheets/d/1BRgc8xKpxZ0PX-gauieMVkV_IOxKSotf0yW8MabGprQ/edit?usp=sharing"",""ร้อยเอ็ด!N553"")"),135628)</f>
        <v>135628</v>
      </c>
      <c r="M42" s="187">
        <f ca="1">IFERROR(__xludf.DUMMYFUNCTION("IMPORTRANGE(""https://docs.google.com/spreadsheets/d/1BRgc8xKpxZ0PX-gauieMVkV_IOxKSotf0yW8MabGprQ/edit?usp=sharing"",""ร้อยเอ็ด!N554"")"),0)</f>
        <v>0</v>
      </c>
      <c r="N42" s="185">
        <f ca="1">IFERROR(__xludf.DUMMYFUNCTION("IMPORTRANGE(""https://docs.google.com/spreadsheets/d/1BRgc8xKpxZ0PX-gauieMVkV_IOxKSotf0yW8MabGprQ/edit?usp=sharing"",""ร้อยเอ็ด!N557"")"),0)</f>
        <v>0</v>
      </c>
      <c r="O42" s="185">
        <f t="shared" ca="1" si="41"/>
        <v>0</v>
      </c>
      <c r="P42" s="181">
        <f ca="1">IFERROR(__xludf.DUMMYFUNCTION("IMPORTRANGE(""https://docs.google.com/spreadsheets/d/1BRgc8xKpxZ0PX-gauieMVkV_IOxKSotf0yW8MabGprQ/edit?usp=sharing"",""ร้อยเอ็ด!I560"")"),63455)</f>
        <v>63455</v>
      </c>
      <c r="Q42" s="181">
        <f ca="1">IFERROR(__xludf.DUMMYFUNCTION("IMPORTRANGE(""https://docs.google.com/spreadsheets/d/1BRgc8xKpxZ0PX-gauieMVkV_IOxKSotf0yW8MabGprQ/edit?usp=sharing"",""ร้อยเอ็ด!I561"")"),7501)</f>
        <v>7501</v>
      </c>
      <c r="R42" s="186">
        <f ca="1">IFERROR(__xludf.DUMMYFUNCTION("IMPORTRANGE(""https://docs.google.com/spreadsheets/d/1BRgc8xKpxZ0PX-gauieMVkV_IOxKSotf0yW8MabGprQ/edit?usp=sharing"",""ร้อยเอ็ด!J560"")"),63455)</f>
        <v>63455</v>
      </c>
      <c r="S42" s="186">
        <f t="shared" ca="1" si="33"/>
        <v>100</v>
      </c>
      <c r="T42" s="181">
        <f ca="1">IFERROR(__xludf.DUMMYFUNCTION("IMPORTRANGE(""https://docs.google.com/spreadsheets/d/1BRgc8xKpxZ0PX-gauieMVkV_IOxKSotf0yW8MabGprQ/edit?usp=sharing"",""ร้อยเอ็ด!J561"")"),7501)</f>
        <v>7501</v>
      </c>
      <c r="U42" s="186">
        <f t="shared" ca="1" si="7"/>
        <v>100</v>
      </c>
      <c r="V42" s="186">
        <f ca="1">IFERROR(__xludf.DUMMYFUNCTION("IMPORTRANGE(""https://docs.google.com/spreadsheets/d/1BRgc8xKpxZ0PX-gauieMVkV_IOxKSotf0yW8MabGprQ/edit?usp=sharing"",""ร้อยเอ็ด!J562"")"),52695)</f>
        <v>52695</v>
      </c>
      <c r="W42" s="261">
        <f ca="1">IFERROR(__xludf.DUMMYFUNCTION("IMPORTRANGE(""https://docs.google.com/spreadsheets/d/1BRgc8xKpxZ0PX-gauieMVkV_IOxKSotf0yW8MabGprQ/edit?usp=sharing"",""ร้อยเอ็ด!J563"")"),6380)</f>
        <v>6380</v>
      </c>
      <c r="X42" s="186">
        <f ca="1">IFERROR(__xludf.DUMMYFUNCTION("IMPORTRANGE(""https://docs.google.com/spreadsheets/d/1BRgc8xKpxZ0PX-gauieMVkV_IOxKSotf0yW8MabGprQ/edit?usp=sharing"",""ร้อยเอ็ด!J564"")"),8669)</f>
        <v>8669</v>
      </c>
      <c r="Y42" s="261">
        <f ca="1">IFERROR(__xludf.DUMMYFUNCTION("IMPORTRANGE(""https://docs.google.com/spreadsheets/d/1BRgc8xKpxZ0PX-gauieMVkV_IOxKSotf0yW8MabGprQ/edit?usp=sharing"",""ร้อยเอ็ด!J565"")"),886)</f>
        <v>886</v>
      </c>
      <c r="Z42" s="186">
        <f ca="1">IFERROR(__xludf.DUMMYFUNCTION("IMPORTRANGE(""https://docs.google.com/spreadsheets/d/1BRgc8xKpxZ0PX-gauieMVkV_IOxKSotf0yW8MabGprQ/edit?usp=sharing"",""ร้อยเอ็ด!J566"")"),2091)</f>
        <v>2091</v>
      </c>
      <c r="AA42" s="261">
        <f ca="1">IFERROR(__xludf.DUMMYFUNCTION("IMPORTRANGE(""https://docs.google.com/spreadsheets/d/1BRgc8xKpxZ0PX-gauieMVkV_IOxKSotf0yW8MabGprQ/edit?usp=sharing"",""ร้อยเอ็ด!J567"")"),235)</f>
        <v>235</v>
      </c>
      <c r="AB42" s="181">
        <f ca="1">IFERROR(__xludf.DUMMYFUNCTION("IMPORTRANGE(""https://docs.google.com/spreadsheets/d/1BRgc8xKpxZ0PX-gauieMVkV_IOxKSotf0yW8MabGprQ/edit?usp=sharing"",""ร้อยเอ็ด!I568"")"),63455)</f>
        <v>63455</v>
      </c>
      <c r="AC42" s="181">
        <f ca="1">IFERROR(__xludf.DUMMYFUNCTION("IMPORTRANGE(""https://docs.google.com/spreadsheets/d/1BRgc8xKpxZ0PX-gauieMVkV_IOxKSotf0yW8MabGprQ/edit?usp=sharing"",""ร้อยเอ็ด!I569"")"),7501)</f>
        <v>7501</v>
      </c>
      <c r="AD42" s="186">
        <f ca="1">IFERROR(__xludf.DUMMYFUNCTION("IMPORTRANGE(""https://docs.google.com/spreadsheets/d/1BRgc8xKpxZ0PX-gauieMVkV_IOxKSotf0yW8MabGprQ/edit?usp=sharing"",""ร้อยเอ็ด!J568"")"),63455)</f>
        <v>63455</v>
      </c>
      <c r="AE42" s="186">
        <f t="shared" ca="1" si="34"/>
        <v>100</v>
      </c>
      <c r="AF42" s="181">
        <f ca="1">IFERROR(__xludf.DUMMYFUNCTION("IMPORTRANGE(""https://docs.google.com/spreadsheets/d/1BRgc8xKpxZ0PX-gauieMVkV_IOxKSotf0yW8MabGprQ/edit?usp=sharing"",""ร้อยเอ็ด!J569"")"),7501)</f>
        <v>7501</v>
      </c>
      <c r="AG42" s="186">
        <f t="shared" ca="1" si="10"/>
        <v>100</v>
      </c>
      <c r="AH42" s="186">
        <f ca="1">IFERROR(__xludf.DUMMYFUNCTION("IMPORTRANGE(""https://docs.google.com/spreadsheets/d/1BRgc8xKpxZ0PX-gauieMVkV_IOxKSotf0yW8MabGprQ/edit?usp=sharing"",""ร้อยเอ็ด!J570"")"),52990)</f>
        <v>52990</v>
      </c>
      <c r="AI42" s="261">
        <f ca="1">IFERROR(__xludf.DUMMYFUNCTION("IMPORTRANGE(""https://docs.google.com/spreadsheets/d/1BRgc8xKpxZ0PX-gauieMVkV_IOxKSotf0yW8MabGprQ/edit?usp=sharing"",""ร้อยเอ็ด!J571"")"),6418)</f>
        <v>6418</v>
      </c>
      <c r="AJ42" s="186">
        <f ca="1">IFERROR(__xludf.DUMMYFUNCTION("IMPORTRANGE(""https://docs.google.com/spreadsheets/d/1BRgc8xKpxZ0PX-gauieMVkV_IOxKSotf0yW8MabGprQ/edit?usp=sharing"",""ร้อยเอ็ด!J572"")"),8286)</f>
        <v>8286</v>
      </c>
      <c r="AK42" s="261">
        <f ca="1">IFERROR(__xludf.DUMMYFUNCTION("IMPORTRANGE(""https://docs.google.com/spreadsheets/d/1BRgc8xKpxZ0PX-gauieMVkV_IOxKSotf0yW8MabGprQ/edit?usp=sharing"",""ร้อยเอ็ด!J573"")"),843)</f>
        <v>843</v>
      </c>
      <c r="AL42" s="186">
        <f ca="1">IFERROR(__xludf.DUMMYFUNCTION("IMPORTRANGE(""https://docs.google.com/spreadsheets/d/1BRgc8xKpxZ0PX-gauieMVkV_IOxKSotf0yW8MabGprQ/edit?usp=sharing"",""ร้อยเอ็ด!J574"")"),2179)</f>
        <v>2179</v>
      </c>
      <c r="AM42" s="261">
        <f ca="1">IFERROR(__xludf.DUMMYFUNCTION("IMPORTRANGE(""https://docs.google.com/spreadsheets/d/1BRgc8xKpxZ0PX-gauieMVkV_IOxKSotf0yW8MabGprQ/edit?usp=sharing"",""ร้อยเอ็ด!J575"")"),240)</f>
        <v>240</v>
      </c>
      <c r="AN42" s="181">
        <f ca="1">IFERROR(__xludf.DUMMYFUNCTION("IMPORTRANGE(""https://docs.google.com/spreadsheets/d/1BRgc8xKpxZ0PX-gauieMVkV_IOxKSotf0yW8MabGprQ/edit?usp=sharing"",""ร้อยเอ็ด!I576"")"),63455)</f>
        <v>63455</v>
      </c>
      <c r="AO42" s="181">
        <f ca="1">IFERROR(__xludf.DUMMYFUNCTION("IMPORTRANGE(""https://docs.google.com/spreadsheets/d/1BRgc8xKpxZ0PX-gauieMVkV_IOxKSotf0yW8MabGprQ/edit?usp=sharing"",""ร้อยเอ็ด!I577"")"),7501)</f>
        <v>7501</v>
      </c>
      <c r="AP42" s="186">
        <f ca="1">IFERROR(__xludf.DUMMYFUNCTION("IMPORTRANGE(""https://docs.google.com/spreadsheets/d/1BRgc8xKpxZ0PX-gauieMVkV_IOxKSotf0yW8MabGprQ/edit?usp=sharing"",""ร้อยเอ็ด!J576"")"),0)</f>
        <v>0</v>
      </c>
      <c r="AQ42" s="186">
        <f t="shared" ca="1" si="35"/>
        <v>0</v>
      </c>
      <c r="AR42" s="181">
        <f ca="1">IFERROR(__xludf.DUMMYFUNCTION("IMPORTRANGE(""https://docs.google.com/spreadsheets/d/1BRgc8xKpxZ0PX-gauieMVkV_IOxKSotf0yW8MabGprQ/edit?usp=sharing"",""ร้อยเอ็ด!J577"")"),0)</f>
        <v>0</v>
      </c>
      <c r="AS42" s="186">
        <f t="shared" ca="1" si="13"/>
        <v>0</v>
      </c>
      <c r="AT42" s="186">
        <f ca="1">IFERROR(__xludf.DUMMYFUNCTION("IMPORTRANGE(""https://docs.google.com/spreadsheets/d/1BRgc8xKpxZ0PX-gauieMVkV_IOxKSotf0yW8MabGprQ/edit?usp=sharing"",""ร้อยเอ็ด!J578"")"),0)</f>
        <v>0</v>
      </c>
      <c r="AU42" s="261">
        <f ca="1">IFERROR(__xludf.DUMMYFUNCTION("IMPORTRANGE(""https://docs.google.com/spreadsheets/d/1BRgc8xKpxZ0PX-gauieMVkV_IOxKSotf0yW8MabGprQ/edit?usp=sharing"",""ร้อยเอ็ด!J579"")"),0)</f>
        <v>0</v>
      </c>
      <c r="AV42" s="186">
        <f ca="1">IFERROR(__xludf.DUMMYFUNCTION("IMPORTRANGE(""https://docs.google.com/spreadsheets/d/1BRgc8xKpxZ0PX-gauieMVkV_IOxKSotf0yW8MabGprQ/edit?usp=sharing"",""ร้อยเอ็ด!J580"")"),0)</f>
        <v>0</v>
      </c>
      <c r="AW42" s="261">
        <f ca="1">IFERROR(__xludf.DUMMYFUNCTION("IMPORTRANGE(""https://docs.google.com/spreadsheets/d/1BRgc8xKpxZ0PX-gauieMVkV_IOxKSotf0yW8MabGprQ/edit?usp=sharing"",""ร้อยเอ็ด!J581"")"),0)</f>
        <v>0</v>
      </c>
      <c r="AX42" s="186">
        <f ca="1">IFERROR(__xludf.DUMMYFUNCTION("IMPORTRANGE(""https://docs.google.com/spreadsheets/d/1BRgc8xKpxZ0PX-gauieMVkV_IOxKSotf0yW8MabGprQ/edit?usp=sharing"",""ร้อยเอ็ด!J582"")"),0)</f>
        <v>0</v>
      </c>
      <c r="AY42" s="261">
        <f ca="1">IFERROR(__xludf.DUMMYFUNCTION("IMPORTRANGE(""https://docs.google.com/spreadsheets/d/1BRgc8xKpxZ0PX-gauieMVkV_IOxKSotf0yW8MabGprQ/edit?usp=sharing"",""ร้อยเอ็ด!J583"")"),0)</f>
        <v>0</v>
      </c>
      <c r="AZ42" s="262">
        <f ca="1">IFERROR(__xludf.DUMMYFUNCTION("IMPORTRANGE(""https://docs.google.com/spreadsheets/d/1BRgc8xKpxZ0PX-gauieMVkV_IOxKSotf0yW8MabGprQ/edit?usp=sharing"",""ร้อยเอ็ด!J584"")"),0)</f>
        <v>0</v>
      </c>
      <c r="BA42" s="261">
        <f ca="1">IFERROR(__xludf.DUMMYFUNCTION("IMPORTRANGE(""https://docs.google.com/spreadsheets/d/1BRgc8xKpxZ0PX-gauieMVkV_IOxKSotf0yW8MabGprQ/edit?usp=sharing"",""ร้อยเอ็ด!J585"")"),0)</f>
        <v>0</v>
      </c>
      <c r="BB42" s="262">
        <f ca="1">IFERROR(__xludf.DUMMYFUNCTION("IMPORTRANGE(""https://docs.google.com/spreadsheets/d/1BRgc8xKpxZ0PX-gauieMVkV_IOxKSotf0yW8MabGprQ/edit?usp=sharing"",""ร้อยเอ็ด!J586"")"),0)</f>
        <v>0</v>
      </c>
      <c r="BC42" s="261">
        <f ca="1">IFERROR(__xludf.DUMMYFUNCTION("IMPORTRANGE(""https://docs.google.com/spreadsheets/d/1BRgc8xKpxZ0PX-gauieMVkV_IOxKSotf0yW8MabGprQ/edit?usp=sharing"",""ร้อยเอ็ด!J587"")"),0)</f>
        <v>0</v>
      </c>
      <c r="BD42" s="186">
        <f ca="1">IFERROR(__xludf.DUMMYFUNCTION("IMPORTRANGE(""https://docs.google.com/spreadsheets/d/1BRgc8xKpxZ0PX-gauieMVkV_IOxKSotf0yW8MabGprQ/edit?usp=sharing"",""ร้อยเอ็ด!J588"")"),0)</f>
        <v>0</v>
      </c>
      <c r="BE42" s="261">
        <f ca="1">IFERROR(__xludf.DUMMYFUNCTION("IMPORTRANGE(""https://docs.google.com/spreadsheets/d/1BRgc8xKpxZ0PX-gauieMVkV_IOxKSotf0yW8MabGprQ/edit?usp=sharing"",""ร้อยเอ็ด!J589"")"),0)</f>
        <v>0</v>
      </c>
      <c r="BF42" s="186">
        <f ca="1">IFERROR(__xludf.DUMMYFUNCTION("IMPORTRANGE(""https://docs.google.com/spreadsheets/d/1BRgc8xKpxZ0PX-gauieMVkV_IOxKSotf0yW8MabGprQ/edit?usp=sharing"",""ร้อยเอ็ด!J590"")"),0)</f>
        <v>0</v>
      </c>
      <c r="BG42" s="261">
        <f ca="1">IFERROR(__xludf.DUMMYFUNCTION("IMPORTRANGE(""https://docs.google.com/spreadsheets/d/1BRgc8xKpxZ0PX-gauieMVkV_IOxKSotf0yW8MabGprQ/edit?usp=sharing"",""ร้อยเอ็ด!J591"")"),0)</f>
        <v>0</v>
      </c>
      <c r="BH42" s="181">
        <f ca="1">IFERROR(__xludf.DUMMYFUNCTION("IMPORTRANGE(""https://docs.google.com/spreadsheets/d/1BRgc8xKpxZ0PX-gauieMVkV_IOxKSotf0yW8MabGprQ/edit?usp=sharing"",""ร้อยเอ็ด!I593"")"),6025.25)</f>
        <v>6025.25</v>
      </c>
      <c r="BI42" s="181">
        <f ca="1">IFERROR(__xludf.DUMMYFUNCTION("IMPORTRANGE(""https://docs.google.com/spreadsheets/d/1BRgc8xKpxZ0PX-gauieMVkV_IOxKSotf0yW8MabGprQ/edit?usp=sharing"",""ร้อยเอ็ด!I594"")"),553)</f>
        <v>553</v>
      </c>
      <c r="BJ42" s="186">
        <f ca="1">IFERROR(__xludf.DUMMYFUNCTION("IMPORTRANGE(""https://docs.google.com/spreadsheets/d/1BRgc8xKpxZ0PX-gauieMVkV_IOxKSotf0yW8MabGprQ/edit?usp=sharing"",""ร้อยเอ็ด!J593"")"),0)</f>
        <v>0</v>
      </c>
      <c r="BK42" s="186">
        <f t="shared" ca="1" si="36"/>
        <v>0</v>
      </c>
      <c r="BL42" s="181">
        <f ca="1">IFERROR(__xludf.DUMMYFUNCTION("IMPORTRANGE(""https://docs.google.com/spreadsheets/d/1BRgc8xKpxZ0PX-gauieMVkV_IOxKSotf0yW8MabGprQ/edit?usp=sharing"",""ร้อยเอ็ด!J594"")"),0)</f>
        <v>0</v>
      </c>
      <c r="BM42" s="186">
        <f t="shared" ca="1" si="16"/>
        <v>0</v>
      </c>
      <c r="BN42" s="186">
        <f ca="1">IFERROR(__xludf.DUMMYFUNCTION("IMPORTRANGE(""https://docs.google.com/spreadsheets/d/1BRgc8xKpxZ0PX-gauieMVkV_IOxKSotf0yW8MabGprQ/edit?usp=sharing"",""ร้อยเอ็ด!J595"")"),0)</f>
        <v>0</v>
      </c>
      <c r="BO42" s="261">
        <f ca="1">IFERROR(__xludf.DUMMYFUNCTION("IMPORTRANGE(""https://docs.google.com/spreadsheets/d/1BRgc8xKpxZ0PX-gauieMVkV_IOxKSotf0yW8MabGprQ/edit?usp=sharing"",""ร้อยเอ็ด!J596"")"),0)</f>
        <v>0</v>
      </c>
      <c r="BP42" s="186">
        <f ca="1">IFERROR(__xludf.DUMMYFUNCTION("IMPORTRANGE(""https://docs.google.com/spreadsheets/d/1BRgc8xKpxZ0PX-gauieMVkV_IOxKSotf0yW8MabGprQ/edit?usp=sharing"",""ร้อยเอ็ด!J597"")"),0)</f>
        <v>0</v>
      </c>
      <c r="BQ42" s="261">
        <f ca="1">IFERROR(__xludf.DUMMYFUNCTION("IMPORTRANGE(""https://docs.google.com/spreadsheets/d/1BRgc8xKpxZ0PX-gauieMVkV_IOxKSotf0yW8MabGprQ/edit?usp=sharing"",""ร้อยเอ็ด!J598"")"),0)</f>
        <v>0</v>
      </c>
      <c r="BR42" s="186">
        <f ca="1">IFERROR(__xludf.DUMMYFUNCTION("IMPORTRANGE(""https://docs.google.com/spreadsheets/d/1BRgc8xKpxZ0PX-gauieMVkV_IOxKSotf0yW8MabGprQ/edit?usp=sharing"",""ร้อยเอ็ด!J599"")"),0)</f>
        <v>0</v>
      </c>
      <c r="BS42" s="261">
        <f ca="1">IFERROR(__xludf.DUMMYFUNCTION("IMPORTRANGE(""https://docs.google.com/spreadsheets/d/1BRgc8xKpxZ0PX-gauieMVkV_IOxKSotf0yW8MabGprQ/edit?usp=sharing"",""ร้อยเอ็ด!J600"")"),0)</f>
        <v>0</v>
      </c>
      <c r="BT42" s="262">
        <f ca="1">IFERROR(__xludf.DUMMYFUNCTION("IMPORTRANGE(""https://docs.google.com/spreadsheets/d/1BRgc8xKpxZ0PX-gauieMVkV_IOxKSotf0yW8MabGprQ/edit?usp=sharing"",""ร้อยเอ็ด!J601"")"),0)</f>
        <v>0</v>
      </c>
      <c r="BU42" s="261">
        <f ca="1">IFERROR(__xludf.DUMMYFUNCTION("IMPORTRANGE(""https://docs.google.com/spreadsheets/d/1BRgc8xKpxZ0PX-gauieMVkV_IOxKSotf0yW8MabGprQ/edit?usp=sharing"",""ร้อยเอ็ด!J602"")"),0)</f>
        <v>0</v>
      </c>
      <c r="BV42" s="186">
        <f ca="1">IFERROR(__xludf.DUMMYFUNCTION("IMPORTRANGE(""https://docs.google.com/spreadsheets/d/1BRgc8xKpxZ0PX-gauieMVkV_IOxKSotf0yW8MabGprQ/edit?usp=sharing"",""ร้อยเอ็ด!J603"")"),0)</f>
        <v>0</v>
      </c>
      <c r="BW42" s="261">
        <f ca="1">IFERROR(__xludf.DUMMYFUNCTION("IMPORTRANGE(""https://docs.google.com/spreadsheets/d/1BRgc8xKpxZ0PX-gauieMVkV_IOxKSotf0yW8MabGprQ/edit?usp=sharing"",""ร้อยเอ็ด!J604"")"),0)</f>
        <v>0</v>
      </c>
      <c r="BX42" s="186">
        <f ca="1">IFERROR(__xludf.DUMMYFUNCTION("IMPORTRANGE(""https://docs.google.com/spreadsheets/d/1BRgc8xKpxZ0PX-gauieMVkV_IOxKSotf0yW8MabGprQ/edit?usp=sharing"",""ร้อยเอ็ด!J605"")"),0)</f>
        <v>0</v>
      </c>
      <c r="BY42" s="261">
        <f ca="1">IFERROR(__xludf.DUMMYFUNCTION("IMPORTRANGE(""https://docs.google.com/spreadsheets/d/1BRgc8xKpxZ0PX-gauieMVkV_IOxKSotf0yW8MabGprQ/edit?usp=sharing"",""ร้อยเอ็ด!J606"")"),0)</f>
        <v>0</v>
      </c>
      <c r="BZ42" s="186">
        <f ca="1">IFERROR(__xludf.DUMMYFUNCTION("IMPORTRANGE(""https://docs.google.com/spreadsheets/d/1BRgc8xKpxZ0PX-gauieMVkV_IOxKSotf0yW8MabGprQ/edit?usp=sharing"",""ร้อยเอ็ด!J607"")"),0)</f>
        <v>0</v>
      </c>
      <c r="CA42" s="261">
        <f ca="1">IFERROR(__xludf.DUMMYFUNCTION("IMPORTRANGE(""https://docs.google.com/spreadsheets/d/1BRgc8xKpxZ0PX-gauieMVkV_IOxKSotf0yW8MabGprQ/edit?usp=sharing"",""ร้อยเอ็ด!J608"")"),0)</f>
        <v>0</v>
      </c>
      <c r="CB42" s="186">
        <f ca="1">IFERROR(__xludf.DUMMYFUNCTION("IMPORTRANGE(""https://docs.google.com/spreadsheets/d/1BRgc8xKpxZ0PX-gauieMVkV_IOxKSotf0yW8MabGprQ/edit?usp=sharing"",""ร้อยเอ็ด!J609"")"),0)</f>
        <v>0</v>
      </c>
      <c r="CC42" s="261">
        <f ca="1">IFERROR(__xludf.DUMMYFUNCTION("IMPORTRANGE(""https://docs.google.com/spreadsheets/d/1BRgc8xKpxZ0PX-gauieMVkV_IOxKSotf0yW8MabGprQ/edit?usp=sharing"",""ร้อยเอ็ด!J610"")"),0)</f>
        <v>0</v>
      </c>
      <c r="CD42" s="261">
        <f ca="1">IFERROR(__xludf.DUMMYFUNCTION("IMPORTRANGE(""https://docs.google.com/spreadsheets/d/1BRgc8xKpxZ0PX-gauieMVkV_IOxKSotf0yW8MabGprQ/edit?usp=sharing"",""ร้อยเอ็ด!I612"")"),0)</f>
        <v>0</v>
      </c>
      <c r="CE42" s="261">
        <f ca="1">IFERROR(__xludf.DUMMYFUNCTION("IMPORTRANGE(""https://docs.google.com/spreadsheets/d/1BRgc8xKpxZ0PX-gauieMVkV_IOxKSotf0yW8MabGprQ/edit?usp=sharing"",""ร้อยเอ็ด!I594"")"),553)</f>
        <v>553</v>
      </c>
      <c r="CF42" s="262">
        <f ca="1">IFERROR(__xludf.DUMMYFUNCTION("IMPORTRANGE(""https://docs.google.com/spreadsheets/d/1BRgc8xKpxZ0PX-gauieMVkV_IOxKSotf0yW8MabGprQ/edit?usp=sharing"",""ร้อยเอ็ด!J612"")"),0)</f>
        <v>0</v>
      </c>
      <c r="CG42" s="262">
        <f t="shared" ca="1" si="37"/>
        <v>0</v>
      </c>
      <c r="CH42" s="261">
        <f ca="1">IFERROR(__xludf.DUMMYFUNCTION("IMPORTRANGE(""https://docs.google.com/spreadsheets/d/1BRgc8xKpxZ0PX-gauieMVkV_IOxKSotf0yW8MabGprQ/edit?usp=sharing"",""ร้อยเอ็ด!J613"")"),0)</f>
        <v>0</v>
      </c>
      <c r="CI42" s="262">
        <f t="shared" ca="1" si="19"/>
        <v>0</v>
      </c>
      <c r="CJ42" s="186">
        <f ca="1">IFERROR(__xludf.DUMMYFUNCTION("IMPORTRANGE(""https://docs.google.com/spreadsheets/d/1BRgc8xKpxZ0PX-gauieMVkV_IOxKSotf0yW8MabGprQ/edit?usp=sharing"",""ร้อยเอ็ด!J614"")"),0)</f>
        <v>0</v>
      </c>
      <c r="CK42" s="261">
        <f ca="1">IFERROR(__xludf.DUMMYFUNCTION("IMPORTRANGE(""https://docs.google.com/spreadsheets/d/1BRgc8xKpxZ0PX-gauieMVkV_IOxKSotf0yW8MabGprQ/edit?usp=sharing"",""ร้อยเอ็ด!J615"")"),0)</f>
        <v>0</v>
      </c>
      <c r="CL42" s="186">
        <f ca="1">IFERROR(__xludf.DUMMYFUNCTION("IMPORTRANGE(""https://docs.google.com/spreadsheets/d/1BRgc8xKpxZ0PX-gauieMVkV_IOxKSotf0yW8MabGprQ/edit?usp=sharing"",""ร้อยเอ็ด!J616"")"),0)</f>
        <v>0</v>
      </c>
      <c r="CM42" s="261">
        <f ca="1">IFERROR(__xludf.DUMMYFUNCTION("IMPORTRANGE(""https://docs.google.com/spreadsheets/d/1BRgc8xKpxZ0PX-gauieMVkV_IOxKSotf0yW8MabGprQ/edit?usp=sharing"",""ร้อยเอ็ด!J617"")"),0)</f>
        <v>0</v>
      </c>
      <c r="CN42" s="261">
        <f ca="1">IFERROR(__xludf.DUMMYFUNCTION("IMPORTRANGE(""https://docs.google.com/spreadsheets/d/1BRgc8xKpxZ0PX-gauieMVkV_IOxKSotf0yW8MabGprQ/edit?usp=sharing"",""ร้อยเอ็ด!I620"")"),144)</f>
        <v>144</v>
      </c>
      <c r="CO42" s="261">
        <f ca="1">IFERROR(__xludf.DUMMYFUNCTION("IMPORTRANGE(""https://docs.google.com/spreadsheets/d/1BRgc8xKpxZ0PX-gauieMVkV_IOxKSotf0yW8MabGprQ/edit?usp=sharing"",""ร้อยเอ็ด!I621"")"),9)</f>
        <v>9</v>
      </c>
      <c r="CP42" s="262">
        <f ca="1">IFERROR(__xludf.DUMMYFUNCTION("IMPORTRANGE(""https://docs.google.com/spreadsheets/d/1BRgc8xKpxZ0PX-gauieMVkV_IOxKSotf0yW8MabGprQ/edit?usp=sharing"",""ร้อยเอ็ด!J620"")"),0)</f>
        <v>0</v>
      </c>
      <c r="CQ42" s="262">
        <f t="shared" ca="1" si="38"/>
        <v>0</v>
      </c>
      <c r="CR42" s="261">
        <f ca="1">IFERROR(__xludf.DUMMYFUNCTION("IMPORTRANGE(""https://docs.google.com/spreadsheets/d/1BRgc8xKpxZ0PX-gauieMVkV_IOxKSotf0yW8MabGprQ/edit?usp=sharing"",""ร้อยเอ็ด!J621"")"),0)</f>
        <v>0</v>
      </c>
      <c r="CS42" s="262">
        <f t="shared" ca="1" si="22"/>
        <v>0</v>
      </c>
      <c r="CT42" s="186">
        <f ca="1">IFERROR(__xludf.DUMMYFUNCTION("IMPORTRANGE(""https://docs.google.com/spreadsheets/d/1BRgc8xKpxZ0PX-gauieMVkV_IOxKSotf0yW8MabGprQ/edit?usp=sharing"",""ร้อยเอ็ด!J622"")"),0)</f>
        <v>0</v>
      </c>
      <c r="CU42" s="261">
        <f ca="1">IFERROR(__xludf.DUMMYFUNCTION("IMPORTRANGE(""https://docs.google.com/spreadsheets/d/1BRgc8xKpxZ0PX-gauieMVkV_IOxKSotf0yW8MabGprQ/edit?usp=sharing"",""ร้อยเอ็ด!J623"")"),0)</f>
        <v>0</v>
      </c>
      <c r="CV42" s="186">
        <f ca="1">IFERROR(__xludf.DUMMYFUNCTION("IMPORTRANGE(""https://docs.google.com/spreadsheets/d/1BRgc8xKpxZ0PX-gauieMVkV_IOxKSotf0yW8MabGprQ/edit?usp=sharing"",""ร้อยเอ็ด!J624"")"),0)</f>
        <v>0</v>
      </c>
      <c r="CW42" s="261">
        <f ca="1">IFERROR(__xludf.DUMMYFUNCTION("IMPORTRANGE(""https://docs.google.com/spreadsheets/d/1BRgc8xKpxZ0PX-gauieMVkV_IOxKSotf0yW8MabGprQ/edit?usp=sharing"",""ร้อยเอ็ด!J625"")"),0)</f>
        <v>0</v>
      </c>
      <c r="CX42" s="186">
        <f ca="1">IFERROR(__xludf.DUMMYFUNCTION("IMPORTRANGE(""https://docs.google.com/spreadsheets/d/1BRgc8xKpxZ0PX-gauieMVkV_IOxKSotf0yW8MabGprQ/edit?usp=sharing"",""ร้อยเอ็ด!J626"")"),0)</f>
        <v>0</v>
      </c>
      <c r="CY42" s="261">
        <f ca="1">IFERROR(__xludf.DUMMYFUNCTION("IMPORTRANGE(""https://docs.google.com/spreadsheets/d/1BRgc8xKpxZ0PX-gauieMVkV_IOxKSotf0yW8MabGprQ/edit?usp=sharing"",""ร้อยเอ็ด!J627"")"),0)</f>
        <v>0</v>
      </c>
    </row>
    <row r="43" spans="1:103" ht="21" customHeight="1" x14ac:dyDescent="0.3">
      <c r="A43" s="178">
        <v>12</v>
      </c>
      <c r="B43" s="179" t="s">
        <v>60</v>
      </c>
      <c r="C43" s="180">
        <f t="shared" ca="1" si="60"/>
        <v>421879</v>
      </c>
      <c r="D43" s="181">
        <f ca="1">IFERROR(__xludf.DUMMYFUNCTION("IMPORTRANGE(""https://docs.google.com/spreadsheets/d/1IdolZc-dfdgMwAm_KZxYJl1sUOcIgnbGQzbWOlddedo/edit?usp=sharing"",""เลย!L549"")"),421879)</f>
        <v>421879</v>
      </c>
      <c r="E43" s="187">
        <f ca="1">IFERROR(__xludf.DUMMYFUNCTION("IMPORTRANGE(""https://docs.google.com/spreadsheets/d/1IdolZc-dfdgMwAm_KZxYJl1sUOcIgnbGQzbWOlddedo/edit?usp=sharing"",""เลย!L557"")"),0)</f>
        <v>0</v>
      </c>
      <c r="F43" s="182">
        <f t="shared" ca="1" si="1"/>
        <v>148967.6</v>
      </c>
      <c r="G43" s="183">
        <f t="shared" ca="1" si="2"/>
        <v>35.310503722631374</v>
      </c>
      <c r="H43" s="184">
        <f t="shared" ca="1" si="61"/>
        <v>148967.6</v>
      </c>
      <c r="I43" s="187">
        <f ca="1">IFERROR(__xludf.DUMMYFUNCTION("IMPORTRANGE(""https://docs.google.com/spreadsheets/d/1IdolZc-dfdgMwAm_KZxYJl1sUOcIgnbGQzbWOlddedo/edit?usp=sharing"",""เลย!N550"")"),0)</f>
        <v>0</v>
      </c>
      <c r="J43" s="187">
        <f ca="1">IFERROR(__xludf.DUMMYFUNCTION("IMPORTRANGE(""https://docs.google.com/spreadsheets/d/1IdolZc-dfdgMwAm_KZxYJl1sUOcIgnbGQzbWOlddedo/edit?usp=sharing"",""เลย!N551"")"),0)</f>
        <v>0</v>
      </c>
      <c r="K43" s="187">
        <f ca="1">IFERROR(__xludf.DUMMYFUNCTION("IMPORTRANGE(""https://docs.google.com/spreadsheets/d/1IdolZc-dfdgMwAm_KZxYJl1sUOcIgnbGQzbWOlddedo/edit?usp=sharing"",""เลย!N552"")"),0)</f>
        <v>0</v>
      </c>
      <c r="L43" s="187">
        <f ca="1">IFERROR(__xludf.DUMMYFUNCTION("IMPORTRANGE(""https://docs.google.com/spreadsheets/d/1IdolZc-dfdgMwAm_KZxYJl1sUOcIgnbGQzbWOlddedo/edit?usp=sharing"",""เลย!N553"")"),51567)</f>
        <v>51567</v>
      </c>
      <c r="M43" s="187">
        <f ca="1">IFERROR(__xludf.DUMMYFUNCTION("IMPORTRANGE(""https://docs.google.com/spreadsheets/d/1IdolZc-dfdgMwAm_KZxYJl1sUOcIgnbGQzbWOlddedo/edit?usp=sharing"",""เลย!N554"")"),97400.6)</f>
        <v>97400.6</v>
      </c>
      <c r="N43" s="185">
        <f ca="1">IFERROR(__xludf.DUMMYFUNCTION("IMPORTRANGE(""https://docs.google.com/spreadsheets/d/1IdolZc-dfdgMwAm_KZxYJl1sUOcIgnbGQzbWOlddedo/edit?usp=sharing"",""เลย!N557"")"),0)</f>
        <v>0</v>
      </c>
      <c r="O43" s="185">
        <f t="shared" ca="1" si="41"/>
        <v>0</v>
      </c>
      <c r="P43" s="181">
        <f ca="1">IFERROR(__xludf.DUMMYFUNCTION("IMPORTRANGE(""https://docs.google.com/spreadsheets/d/1IdolZc-dfdgMwAm_KZxYJl1sUOcIgnbGQzbWOlddedo/edit?usp=sharing"",""เลย!I560"")"),87155)</f>
        <v>87155</v>
      </c>
      <c r="Q43" s="181">
        <f ca="1">IFERROR(__xludf.DUMMYFUNCTION("IMPORTRANGE(""https://docs.google.com/spreadsheets/d/1IdolZc-dfdgMwAm_KZxYJl1sUOcIgnbGQzbWOlddedo/edit?usp=sharing"",""เลย!I561"")"),9250)</f>
        <v>9250</v>
      </c>
      <c r="R43" s="186">
        <f ca="1">IFERROR(__xludf.DUMMYFUNCTION("IMPORTRANGE(""https://docs.google.com/spreadsheets/d/1IdolZc-dfdgMwAm_KZxYJl1sUOcIgnbGQzbWOlddedo/edit?usp=sharing"",""เลย!J560"")"),87155.3075)</f>
        <v>87155.307499999995</v>
      </c>
      <c r="S43" s="186">
        <f t="shared" ca="1" si="33"/>
        <v>100.00035281968906</v>
      </c>
      <c r="T43" s="181">
        <f ca="1">IFERROR(__xludf.DUMMYFUNCTION("IMPORTRANGE(""https://docs.google.com/spreadsheets/d/1IdolZc-dfdgMwAm_KZxYJl1sUOcIgnbGQzbWOlddedo/edit?usp=sharing"",""เลย!J561"")"),9250)</f>
        <v>9250</v>
      </c>
      <c r="U43" s="186">
        <f t="shared" ca="1" si="7"/>
        <v>100</v>
      </c>
      <c r="V43" s="186">
        <f ca="1">IFERROR(__xludf.DUMMYFUNCTION("IMPORTRANGE(""https://docs.google.com/spreadsheets/d/1IdolZc-dfdgMwAm_KZxYJl1sUOcIgnbGQzbWOlddedo/edit?usp=sharing"",""เลย!J562"")"),77489.795)</f>
        <v>77489.794999999998</v>
      </c>
      <c r="W43" s="261">
        <f ca="1">IFERROR(__xludf.DUMMYFUNCTION("IMPORTRANGE(""https://docs.google.com/spreadsheets/d/1IdolZc-dfdgMwAm_KZxYJl1sUOcIgnbGQzbWOlddedo/edit?usp=sharing"",""เลย!J563"")"),8474)</f>
        <v>8474</v>
      </c>
      <c r="X43" s="186">
        <f ca="1">IFERROR(__xludf.DUMMYFUNCTION("IMPORTRANGE(""https://docs.google.com/spreadsheets/d/1IdolZc-dfdgMwAm_KZxYJl1sUOcIgnbGQzbWOlddedo/edit?usp=sharing"",""เลย!J564"")"),8915.3225)</f>
        <v>8915.3225000000002</v>
      </c>
      <c r="Y43" s="261">
        <f ca="1">IFERROR(__xludf.DUMMYFUNCTION("IMPORTRANGE(""https://docs.google.com/spreadsheets/d/1IdolZc-dfdgMwAm_KZxYJl1sUOcIgnbGQzbWOlddedo/edit?usp=sharing"",""เลย!J565"")"),692)</f>
        <v>692</v>
      </c>
      <c r="Z43" s="186">
        <f ca="1">IFERROR(__xludf.DUMMYFUNCTION("IMPORTRANGE(""https://docs.google.com/spreadsheets/d/1IdolZc-dfdgMwAm_KZxYJl1sUOcIgnbGQzbWOlddedo/edit?usp=sharing"",""เลย!J566"")"),750.19)</f>
        <v>750.19</v>
      </c>
      <c r="AA43" s="261">
        <f ca="1">IFERROR(__xludf.DUMMYFUNCTION("IMPORTRANGE(""https://docs.google.com/spreadsheets/d/1IdolZc-dfdgMwAm_KZxYJl1sUOcIgnbGQzbWOlddedo/edit?usp=sharing"",""เลย!J567"")"),84)</f>
        <v>84</v>
      </c>
      <c r="AB43" s="181">
        <f ca="1">IFERROR(__xludf.DUMMYFUNCTION("IMPORTRANGE(""https://docs.google.com/spreadsheets/d/1IdolZc-dfdgMwAm_KZxYJl1sUOcIgnbGQzbWOlddedo/edit?usp=sharing"",""เลย!I568"")"),87155)</f>
        <v>87155</v>
      </c>
      <c r="AC43" s="181">
        <f ca="1">IFERROR(__xludf.DUMMYFUNCTION("IMPORTRANGE(""https://docs.google.com/spreadsheets/d/1IdolZc-dfdgMwAm_KZxYJl1sUOcIgnbGQzbWOlddedo/edit?usp=sharing"",""เลย!I569"")"),9250)</f>
        <v>9250</v>
      </c>
      <c r="AD43" s="186">
        <f ca="1">IFERROR(__xludf.DUMMYFUNCTION("IMPORTRANGE(""https://docs.google.com/spreadsheets/d/1IdolZc-dfdgMwAm_KZxYJl1sUOcIgnbGQzbWOlddedo/edit?usp=sharing"",""เลย!J568"")"),85691.12)</f>
        <v>85691.12</v>
      </c>
      <c r="AE43" s="186">
        <f t="shared" ca="1" si="34"/>
        <v>98.320371751477253</v>
      </c>
      <c r="AF43" s="181">
        <f ca="1">IFERROR(__xludf.DUMMYFUNCTION("IMPORTRANGE(""https://docs.google.com/spreadsheets/d/1IdolZc-dfdgMwAm_KZxYJl1sUOcIgnbGQzbWOlddedo/edit?usp=sharing"",""เลย!J569"")"),9143)</f>
        <v>9143</v>
      </c>
      <c r="AG43" s="186">
        <f t="shared" ca="1" si="10"/>
        <v>98.843243243243236</v>
      </c>
      <c r="AH43" s="186">
        <f ca="1">IFERROR(__xludf.DUMMYFUNCTION("IMPORTRANGE(""https://docs.google.com/spreadsheets/d/1IdolZc-dfdgMwAm_KZxYJl1sUOcIgnbGQzbWOlddedo/edit?usp=sharing"",""เลย!J570"")"),77114.8925)</f>
        <v>77114.892500000002</v>
      </c>
      <c r="AI43" s="261">
        <f ca="1">IFERROR(__xludf.DUMMYFUNCTION("IMPORTRANGE(""https://docs.google.com/spreadsheets/d/1IdolZc-dfdgMwAm_KZxYJl1sUOcIgnbGQzbWOlddedo/edit?usp=sharing"",""เลย!J571"")"),8441)</f>
        <v>8441</v>
      </c>
      <c r="AJ43" s="186">
        <f ca="1">IFERROR(__xludf.DUMMYFUNCTION("IMPORTRANGE(""https://docs.google.com/spreadsheets/d/1IdolZc-dfdgMwAm_KZxYJl1sUOcIgnbGQzbWOlddedo/edit?usp=sharing"",""เลย!J572"")"),6754.805)</f>
        <v>6754.8050000000003</v>
      </c>
      <c r="AK43" s="261">
        <f ca="1">IFERROR(__xludf.DUMMYFUNCTION("IMPORTRANGE(""https://docs.google.com/spreadsheets/d/1IdolZc-dfdgMwAm_KZxYJl1sUOcIgnbGQzbWOlddedo/edit?usp=sharing"",""เลย!J573"")"),483)</f>
        <v>483</v>
      </c>
      <c r="AL43" s="186">
        <f ca="1">IFERROR(__xludf.DUMMYFUNCTION("IMPORTRANGE(""https://docs.google.com/spreadsheets/d/1IdolZc-dfdgMwAm_KZxYJl1sUOcIgnbGQzbWOlddedo/edit?usp=sharing"",""เลย!J574"")"),1821.4225)</f>
        <v>1821.4224999999999</v>
      </c>
      <c r="AM43" s="261">
        <f ca="1">IFERROR(__xludf.DUMMYFUNCTION("IMPORTRANGE(""https://docs.google.com/spreadsheets/d/1IdolZc-dfdgMwAm_KZxYJl1sUOcIgnbGQzbWOlddedo/edit?usp=sharing"",""เลย!J575"")"),219)</f>
        <v>219</v>
      </c>
      <c r="AN43" s="181">
        <f ca="1">IFERROR(__xludf.DUMMYFUNCTION("IMPORTRANGE(""https://docs.google.com/spreadsheets/d/1IdolZc-dfdgMwAm_KZxYJl1sUOcIgnbGQzbWOlddedo/edit?usp=sharing"",""เลย!I576"")"),87155)</f>
        <v>87155</v>
      </c>
      <c r="AO43" s="181">
        <f ca="1">IFERROR(__xludf.DUMMYFUNCTION("IMPORTRANGE(""https://docs.google.com/spreadsheets/d/1IdolZc-dfdgMwAm_KZxYJl1sUOcIgnbGQzbWOlddedo/edit?usp=sharing"",""เลย!I577"")"),9250)</f>
        <v>9250</v>
      </c>
      <c r="AP43" s="186">
        <f ca="1">IFERROR(__xludf.DUMMYFUNCTION("IMPORTRANGE(""https://docs.google.com/spreadsheets/d/1IdolZc-dfdgMwAm_KZxYJl1sUOcIgnbGQzbWOlddedo/edit?usp=sharing"",""เลย!J576"")"),85691.12)</f>
        <v>85691.12</v>
      </c>
      <c r="AQ43" s="186">
        <f t="shared" ca="1" si="35"/>
        <v>98.320371751477253</v>
      </c>
      <c r="AR43" s="181">
        <f ca="1">IFERROR(__xludf.DUMMYFUNCTION("IMPORTRANGE(""https://docs.google.com/spreadsheets/d/1IdolZc-dfdgMwAm_KZxYJl1sUOcIgnbGQzbWOlddedo/edit?usp=sharing"",""เลย!J577"")"),9143)</f>
        <v>9143</v>
      </c>
      <c r="AS43" s="186">
        <f t="shared" ca="1" si="13"/>
        <v>98.843243243243236</v>
      </c>
      <c r="AT43" s="186">
        <f ca="1">IFERROR(__xludf.DUMMYFUNCTION("IMPORTRANGE(""https://docs.google.com/spreadsheets/d/1IdolZc-dfdgMwAm_KZxYJl1sUOcIgnbGQzbWOlddedo/edit?usp=sharing"",""เลย!J578"")"),77114.8925)</f>
        <v>77114.892500000002</v>
      </c>
      <c r="AU43" s="261">
        <f ca="1">IFERROR(__xludf.DUMMYFUNCTION("IMPORTRANGE(""https://docs.google.com/spreadsheets/d/1IdolZc-dfdgMwAm_KZxYJl1sUOcIgnbGQzbWOlddedo/edit?usp=sharing"",""เลย!J579"")"),8441)</f>
        <v>8441</v>
      </c>
      <c r="AV43" s="186">
        <f ca="1">IFERROR(__xludf.DUMMYFUNCTION("IMPORTRANGE(""https://docs.google.com/spreadsheets/d/1IdolZc-dfdgMwAm_KZxYJl1sUOcIgnbGQzbWOlddedo/edit?usp=sharing"",""เลย!J580"")"),6754.805)</f>
        <v>6754.8050000000003</v>
      </c>
      <c r="AW43" s="261">
        <f ca="1">IFERROR(__xludf.DUMMYFUNCTION("IMPORTRANGE(""https://docs.google.com/spreadsheets/d/1IdolZc-dfdgMwAm_KZxYJl1sUOcIgnbGQzbWOlddedo/edit?usp=sharing"",""เลย!J581"")"),483)</f>
        <v>483</v>
      </c>
      <c r="AX43" s="186">
        <f ca="1">IFERROR(__xludf.DUMMYFUNCTION("IMPORTRANGE(""https://docs.google.com/spreadsheets/d/1IdolZc-dfdgMwAm_KZxYJl1sUOcIgnbGQzbWOlddedo/edit?usp=sharing"",""เลย!J582"")"),1821.4225)</f>
        <v>1821.4224999999999</v>
      </c>
      <c r="AY43" s="261">
        <f ca="1">IFERROR(__xludf.DUMMYFUNCTION("IMPORTRANGE(""https://docs.google.com/spreadsheets/d/1IdolZc-dfdgMwAm_KZxYJl1sUOcIgnbGQzbWOlddedo/edit?usp=sharing"",""เลย!J583"")"),219)</f>
        <v>219</v>
      </c>
      <c r="AZ43" s="262">
        <f ca="1">IFERROR(__xludf.DUMMYFUNCTION("IMPORTRANGE(""https://docs.google.com/spreadsheets/d/1IdolZc-dfdgMwAm_KZxYJl1sUOcIgnbGQzbWOlddedo/edit?usp=sharing"",""เลย!J584"")"),1798.905)</f>
        <v>1798.905</v>
      </c>
      <c r="BA43" s="261">
        <f ca="1">IFERROR(__xludf.DUMMYFUNCTION("IMPORTRANGE(""https://docs.google.com/spreadsheets/d/1IdolZc-dfdgMwAm_KZxYJl1sUOcIgnbGQzbWOlddedo/edit?usp=sharing"",""เลย!J585"")"),218)</f>
        <v>218</v>
      </c>
      <c r="BB43" s="262">
        <f ca="1">IFERROR(__xludf.DUMMYFUNCTION("IMPORTRANGE(""https://docs.google.com/spreadsheets/d/1IdolZc-dfdgMwAm_KZxYJl1sUOcIgnbGQzbWOlddedo/edit?usp=sharing"",""เลย!J586"")"),22.5175)</f>
        <v>22.517499999999998</v>
      </c>
      <c r="BC43" s="261">
        <f ca="1">IFERROR(__xludf.DUMMYFUNCTION("IMPORTRANGE(""https://docs.google.com/spreadsheets/d/1IdolZc-dfdgMwAm_KZxYJl1sUOcIgnbGQzbWOlddedo/edit?usp=sharing"",""เลย!J587"")"),1)</f>
        <v>1</v>
      </c>
      <c r="BD43" s="186">
        <f ca="1">IFERROR(__xludf.DUMMYFUNCTION("IMPORTRANGE(""https://docs.google.com/spreadsheets/d/1IdolZc-dfdgMwAm_KZxYJl1sUOcIgnbGQzbWOlddedo/edit?usp=sharing"",""เลย!J588"")"),0)</f>
        <v>0</v>
      </c>
      <c r="BE43" s="261">
        <f ca="1">IFERROR(__xludf.DUMMYFUNCTION("IMPORTRANGE(""https://docs.google.com/spreadsheets/d/1IdolZc-dfdgMwAm_KZxYJl1sUOcIgnbGQzbWOlddedo/edit?usp=sharing"",""เลย!J589"")"),0)</f>
        <v>0</v>
      </c>
      <c r="BF43" s="186">
        <f ca="1">IFERROR(__xludf.DUMMYFUNCTION("IMPORTRANGE(""https://docs.google.com/spreadsheets/d/1IdolZc-dfdgMwAm_KZxYJl1sUOcIgnbGQzbWOlddedo/edit?usp=sharing"",""เลย!J590"")"),0)</f>
        <v>0</v>
      </c>
      <c r="BG43" s="261">
        <f ca="1">IFERROR(__xludf.DUMMYFUNCTION("IMPORTRANGE(""https://docs.google.com/spreadsheets/d/1IdolZc-dfdgMwAm_KZxYJl1sUOcIgnbGQzbWOlddedo/edit?usp=sharing"",""เลย!J591"")"),0)</f>
        <v>0</v>
      </c>
      <c r="BH43" s="181">
        <f ca="1">IFERROR(__xludf.DUMMYFUNCTION("IMPORTRANGE(""https://docs.google.com/spreadsheets/d/1IdolZc-dfdgMwAm_KZxYJl1sUOcIgnbGQzbWOlddedo/edit?usp=sharing"",""เลย!I593"")"),705.7)</f>
        <v>705.7</v>
      </c>
      <c r="BI43" s="181">
        <f ca="1">IFERROR(__xludf.DUMMYFUNCTION("IMPORTRANGE(""https://docs.google.com/spreadsheets/d/1IdolZc-dfdgMwAm_KZxYJl1sUOcIgnbGQzbWOlddedo/edit?usp=sharing"",""เลย!I594"")"),32)</f>
        <v>32</v>
      </c>
      <c r="BJ43" s="186">
        <f ca="1">IFERROR(__xludf.DUMMYFUNCTION("IMPORTRANGE(""https://docs.google.com/spreadsheets/d/1IdolZc-dfdgMwAm_KZxYJl1sUOcIgnbGQzbWOlddedo/edit?usp=sharing"",""เลย!J593"")"),0)</f>
        <v>0</v>
      </c>
      <c r="BK43" s="186">
        <f t="shared" ca="1" si="36"/>
        <v>0</v>
      </c>
      <c r="BL43" s="181">
        <f ca="1">IFERROR(__xludf.DUMMYFUNCTION("IMPORTRANGE(""https://docs.google.com/spreadsheets/d/1IdolZc-dfdgMwAm_KZxYJl1sUOcIgnbGQzbWOlddedo/edit?usp=sharing"",""เลย!J594"")"),0)</f>
        <v>0</v>
      </c>
      <c r="BM43" s="186">
        <f t="shared" ca="1" si="16"/>
        <v>0</v>
      </c>
      <c r="BN43" s="186">
        <f ca="1">IFERROR(__xludf.DUMMYFUNCTION("IMPORTRANGE(""https://docs.google.com/spreadsheets/d/1IdolZc-dfdgMwAm_KZxYJl1sUOcIgnbGQzbWOlddedo/edit?usp=sharing"",""เลย!J595"")"),0)</f>
        <v>0</v>
      </c>
      <c r="BO43" s="261">
        <f ca="1">IFERROR(__xludf.DUMMYFUNCTION("IMPORTRANGE(""https://docs.google.com/spreadsheets/d/1IdolZc-dfdgMwAm_KZxYJl1sUOcIgnbGQzbWOlddedo/edit?usp=sharing"",""เลย!J596"")"),0)</f>
        <v>0</v>
      </c>
      <c r="BP43" s="186">
        <f ca="1">IFERROR(__xludf.DUMMYFUNCTION("IMPORTRANGE(""https://docs.google.com/spreadsheets/d/1IdolZc-dfdgMwAm_KZxYJl1sUOcIgnbGQzbWOlddedo/edit?usp=sharing"",""เลย!J597"")"),0)</f>
        <v>0</v>
      </c>
      <c r="BQ43" s="261">
        <f ca="1">IFERROR(__xludf.DUMMYFUNCTION("IMPORTRANGE(""https://docs.google.com/spreadsheets/d/1IdolZc-dfdgMwAm_KZxYJl1sUOcIgnbGQzbWOlddedo/edit?usp=sharing"",""เลย!J598"")"),0)</f>
        <v>0</v>
      </c>
      <c r="BR43" s="186">
        <f ca="1">IFERROR(__xludf.DUMMYFUNCTION("IMPORTRANGE(""https://docs.google.com/spreadsheets/d/1IdolZc-dfdgMwAm_KZxYJl1sUOcIgnbGQzbWOlddedo/edit?usp=sharing"",""เลย!J599"")"),0)</f>
        <v>0</v>
      </c>
      <c r="BS43" s="261">
        <f ca="1">IFERROR(__xludf.DUMMYFUNCTION("IMPORTRANGE(""https://docs.google.com/spreadsheets/d/1IdolZc-dfdgMwAm_KZxYJl1sUOcIgnbGQzbWOlddedo/edit?usp=sharing"",""เลย!J600"")"),0)</f>
        <v>0</v>
      </c>
      <c r="BT43" s="262">
        <f ca="1">IFERROR(__xludf.DUMMYFUNCTION("IMPORTRANGE(""https://docs.google.com/spreadsheets/d/1IdolZc-dfdgMwAm_KZxYJl1sUOcIgnbGQzbWOlddedo/edit?usp=sharing"",""เลย!J601"")"),0)</f>
        <v>0</v>
      </c>
      <c r="BU43" s="261">
        <f ca="1">IFERROR(__xludf.DUMMYFUNCTION("IMPORTRANGE(""https://docs.google.com/spreadsheets/d/1IdolZc-dfdgMwAm_KZxYJl1sUOcIgnbGQzbWOlddedo/edit?usp=sharing"",""เลย!J602"")"),0)</f>
        <v>0</v>
      </c>
      <c r="BV43" s="186">
        <f ca="1">IFERROR(__xludf.DUMMYFUNCTION("IMPORTRANGE(""https://docs.google.com/spreadsheets/d/1IdolZc-dfdgMwAm_KZxYJl1sUOcIgnbGQzbWOlddedo/edit?usp=sharing"",""เลย!J603"")"),0)</f>
        <v>0</v>
      </c>
      <c r="BW43" s="261">
        <f ca="1">IFERROR(__xludf.DUMMYFUNCTION("IMPORTRANGE(""https://docs.google.com/spreadsheets/d/1IdolZc-dfdgMwAm_KZxYJl1sUOcIgnbGQzbWOlddedo/edit?usp=sharing"",""เลย!J604"")"),0)</f>
        <v>0</v>
      </c>
      <c r="BX43" s="186">
        <f ca="1">IFERROR(__xludf.DUMMYFUNCTION("IMPORTRANGE(""https://docs.google.com/spreadsheets/d/1IdolZc-dfdgMwAm_KZxYJl1sUOcIgnbGQzbWOlddedo/edit?usp=sharing"",""เลย!J605"")"),0)</f>
        <v>0</v>
      </c>
      <c r="BY43" s="261">
        <f ca="1">IFERROR(__xludf.DUMMYFUNCTION("IMPORTRANGE(""https://docs.google.com/spreadsheets/d/1IdolZc-dfdgMwAm_KZxYJl1sUOcIgnbGQzbWOlddedo/edit?usp=sharing"",""เลย!J606"")"),0)</f>
        <v>0</v>
      </c>
      <c r="BZ43" s="186">
        <f ca="1">IFERROR(__xludf.DUMMYFUNCTION("IMPORTRANGE(""https://docs.google.com/spreadsheets/d/1IdolZc-dfdgMwAm_KZxYJl1sUOcIgnbGQzbWOlddedo/edit?usp=sharing"",""เลย!J607"")"),0)</f>
        <v>0</v>
      </c>
      <c r="CA43" s="261">
        <f ca="1">IFERROR(__xludf.DUMMYFUNCTION("IMPORTRANGE(""https://docs.google.com/spreadsheets/d/1IdolZc-dfdgMwAm_KZxYJl1sUOcIgnbGQzbWOlddedo/edit?usp=sharing"",""เลย!J608"")"),0)</f>
        <v>0</v>
      </c>
      <c r="CB43" s="186">
        <f ca="1">IFERROR(__xludf.DUMMYFUNCTION("IMPORTRANGE(""https://docs.google.com/spreadsheets/d/1IdolZc-dfdgMwAm_KZxYJl1sUOcIgnbGQzbWOlddedo/edit?usp=sharing"",""เลย!J609"")"),0)</f>
        <v>0</v>
      </c>
      <c r="CC43" s="261">
        <f ca="1">IFERROR(__xludf.DUMMYFUNCTION("IMPORTRANGE(""https://docs.google.com/spreadsheets/d/1IdolZc-dfdgMwAm_KZxYJl1sUOcIgnbGQzbWOlddedo/edit?usp=sharing"",""เลย!J610"")"),0)</f>
        <v>0</v>
      </c>
      <c r="CD43" s="261">
        <f ca="1">IFERROR(__xludf.DUMMYFUNCTION("IMPORTRANGE(""https://docs.google.com/spreadsheets/d/1IdolZc-dfdgMwAm_KZxYJl1sUOcIgnbGQzbWOlddedo/edit?usp=sharing"",""เลย!I612"")"),0)</f>
        <v>0</v>
      </c>
      <c r="CE43" s="261">
        <f ca="1">IFERROR(__xludf.DUMMYFUNCTION("IMPORTRANGE(""https://docs.google.com/spreadsheets/d/1IdolZc-dfdgMwAm_KZxYJl1sUOcIgnbGQzbWOlddedo/edit?usp=sharing"",""เลย!I594"")"),32)</f>
        <v>32</v>
      </c>
      <c r="CF43" s="262">
        <f ca="1">IFERROR(__xludf.DUMMYFUNCTION("IMPORTRANGE(""https://docs.google.com/spreadsheets/d/1IdolZc-dfdgMwAm_KZxYJl1sUOcIgnbGQzbWOlddedo/edit?usp=sharing"",""เลย!J612"")"),0)</f>
        <v>0</v>
      </c>
      <c r="CG43" s="262">
        <f t="shared" ca="1" si="37"/>
        <v>0</v>
      </c>
      <c r="CH43" s="261">
        <f ca="1">IFERROR(__xludf.DUMMYFUNCTION("IMPORTRANGE(""https://docs.google.com/spreadsheets/d/1IdolZc-dfdgMwAm_KZxYJl1sUOcIgnbGQzbWOlddedo/edit?usp=sharing"",""เลย!J613"")"),0)</f>
        <v>0</v>
      </c>
      <c r="CI43" s="262">
        <f t="shared" ca="1" si="19"/>
        <v>0</v>
      </c>
      <c r="CJ43" s="186">
        <f ca="1">IFERROR(__xludf.DUMMYFUNCTION("IMPORTRANGE(""https://docs.google.com/spreadsheets/d/1IdolZc-dfdgMwAm_KZxYJl1sUOcIgnbGQzbWOlddedo/edit?usp=sharing"",""เลย!J614"")"),0)</f>
        <v>0</v>
      </c>
      <c r="CK43" s="261">
        <f ca="1">IFERROR(__xludf.DUMMYFUNCTION("IMPORTRANGE(""https://docs.google.com/spreadsheets/d/1IdolZc-dfdgMwAm_KZxYJl1sUOcIgnbGQzbWOlddedo/edit?usp=sharing"",""เลย!J615"")"),0)</f>
        <v>0</v>
      </c>
      <c r="CL43" s="186">
        <f ca="1">IFERROR(__xludf.DUMMYFUNCTION("IMPORTRANGE(""https://docs.google.com/spreadsheets/d/1IdolZc-dfdgMwAm_KZxYJl1sUOcIgnbGQzbWOlddedo/edit?usp=sharing"",""เลย!J616"")"),0)</f>
        <v>0</v>
      </c>
      <c r="CM43" s="261">
        <f ca="1">IFERROR(__xludf.DUMMYFUNCTION("IMPORTRANGE(""https://docs.google.com/spreadsheets/d/1IdolZc-dfdgMwAm_KZxYJl1sUOcIgnbGQzbWOlddedo/edit?usp=sharing"",""เลย!J617"")"),0)</f>
        <v>0</v>
      </c>
      <c r="CN43" s="261">
        <f ca="1">IFERROR(__xludf.DUMMYFUNCTION("IMPORTRANGE(""https://docs.google.com/spreadsheets/d/1IdolZc-dfdgMwAm_KZxYJl1sUOcIgnbGQzbWOlddedo/edit?usp=sharing"",""เลย!I620"")"),465)</f>
        <v>465</v>
      </c>
      <c r="CO43" s="261">
        <f ca="1">IFERROR(__xludf.DUMMYFUNCTION("IMPORTRANGE(""https://docs.google.com/spreadsheets/d/1IdolZc-dfdgMwAm_KZxYJl1sUOcIgnbGQzbWOlddedo/edit?usp=sharing"",""เลย!I621"")"),37)</f>
        <v>37</v>
      </c>
      <c r="CP43" s="262">
        <f ca="1">IFERROR(__xludf.DUMMYFUNCTION("IMPORTRANGE(""https://docs.google.com/spreadsheets/d/1IdolZc-dfdgMwAm_KZxYJl1sUOcIgnbGQzbWOlddedo/edit?usp=sharing"",""เลย!J620"")"),0)</f>
        <v>0</v>
      </c>
      <c r="CQ43" s="262">
        <f t="shared" ca="1" si="38"/>
        <v>0</v>
      </c>
      <c r="CR43" s="261">
        <f ca="1">IFERROR(__xludf.DUMMYFUNCTION("IMPORTRANGE(""https://docs.google.com/spreadsheets/d/1IdolZc-dfdgMwAm_KZxYJl1sUOcIgnbGQzbWOlddedo/edit?usp=sharing"",""เลย!J621"")"),0)</f>
        <v>0</v>
      </c>
      <c r="CS43" s="262">
        <f t="shared" ca="1" si="22"/>
        <v>0</v>
      </c>
      <c r="CT43" s="186">
        <f ca="1">IFERROR(__xludf.DUMMYFUNCTION("IMPORTRANGE(""https://docs.google.com/spreadsheets/d/1IdolZc-dfdgMwAm_KZxYJl1sUOcIgnbGQzbWOlddedo/edit?usp=sharing"",""เลย!J622"")"),0)</f>
        <v>0</v>
      </c>
      <c r="CU43" s="261">
        <f ca="1">IFERROR(__xludf.DUMMYFUNCTION("IMPORTRANGE(""https://docs.google.com/spreadsheets/d/1IdolZc-dfdgMwAm_KZxYJl1sUOcIgnbGQzbWOlddedo/edit?usp=sharing"",""เลย!J623"")"),0)</f>
        <v>0</v>
      </c>
      <c r="CV43" s="186">
        <f ca="1">IFERROR(__xludf.DUMMYFUNCTION("IMPORTRANGE(""https://docs.google.com/spreadsheets/d/1IdolZc-dfdgMwAm_KZxYJl1sUOcIgnbGQzbWOlddedo/edit?usp=sharing"",""เลย!J624"")"),0)</f>
        <v>0</v>
      </c>
      <c r="CW43" s="261">
        <f ca="1">IFERROR(__xludf.DUMMYFUNCTION("IMPORTRANGE(""https://docs.google.com/spreadsheets/d/1IdolZc-dfdgMwAm_KZxYJl1sUOcIgnbGQzbWOlddedo/edit?usp=sharing"",""เลย!J625"")"),0)</f>
        <v>0</v>
      </c>
      <c r="CX43" s="186">
        <f ca="1">IFERROR(__xludf.DUMMYFUNCTION("IMPORTRANGE(""https://docs.google.com/spreadsheets/d/1IdolZc-dfdgMwAm_KZxYJl1sUOcIgnbGQzbWOlddedo/edit?usp=sharing"",""เลย!J626"")"),0)</f>
        <v>0</v>
      </c>
      <c r="CY43" s="261">
        <f ca="1">IFERROR(__xludf.DUMMYFUNCTION("IMPORTRANGE(""https://docs.google.com/spreadsheets/d/1IdolZc-dfdgMwAm_KZxYJl1sUOcIgnbGQzbWOlddedo/edit?usp=sharing"",""เลย!J627"")"),0)</f>
        <v>0</v>
      </c>
    </row>
    <row r="44" spans="1:103" ht="21" customHeight="1" x14ac:dyDescent="0.3">
      <c r="A44" s="178">
        <v>13</v>
      </c>
      <c r="B44" s="179" t="s">
        <v>61</v>
      </c>
      <c r="C44" s="180">
        <f t="shared" ca="1" si="60"/>
        <v>786183</v>
      </c>
      <c r="D44" s="181">
        <f ca="1">IFERROR(__xludf.DUMMYFUNCTION("IMPORTRANGE(""https://docs.google.com/spreadsheets/d/1tZ0nmtGuIRCaGAMXHlQU8EpR9LOAJvyKfc4f7EFmE34/edit?usp=sharing"",""ศรีสะเกษ!L549"")"),786183)</f>
        <v>786183</v>
      </c>
      <c r="E44" s="187">
        <f ca="1">IFERROR(__xludf.DUMMYFUNCTION("IMPORTRANGE(""https://docs.google.com/spreadsheets/d/1tZ0nmtGuIRCaGAMXHlQU8EpR9LOAJvyKfc4f7EFmE34/edit?usp=sharing"",""ศรีสะเกษ!L557"")"),0)</f>
        <v>0</v>
      </c>
      <c r="F44" s="182">
        <f t="shared" ca="1" si="1"/>
        <v>63590</v>
      </c>
      <c r="G44" s="183">
        <f t="shared" ca="1" si="2"/>
        <v>8.0884476006222474</v>
      </c>
      <c r="H44" s="184">
        <f t="shared" ca="1" si="61"/>
        <v>63590</v>
      </c>
      <c r="I44" s="187">
        <f ca="1">IFERROR(__xludf.DUMMYFUNCTION("IMPORTRANGE(""https://docs.google.com/spreadsheets/d/1tZ0nmtGuIRCaGAMXHlQU8EpR9LOAJvyKfc4f7EFmE34/edit?usp=sharing"",""ศรีสะเกษ!N550"")"),0)</f>
        <v>0</v>
      </c>
      <c r="J44" s="187">
        <f ca="1">IFERROR(__xludf.DUMMYFUNCTION("IMPORTRANGE(""https://docs.google.com/spreadsheets/d/1tZ0nmtGuIRCaGAMXHlQU8EpR9LOAJvyKfc4f7EFmE34/edit?usp=sharing"",""ศรีสะเกษ!N551"")"),0)</f>
        <v>0</v>
      </c>
      <c r="K44" s="187">
        <f ca="1">IFERROR(__xludf.DUMMYFUNCTION("IMPORTRANGE(""https://docs.google.com/spreadsheets/d/1tZ0nmtGuIRCaGAMXHlQU8EpR9LOAJvyKfc4f7EFmE34/edit?usp=sharing"",""ศรีสะเกษ!N552"")"),34250)</f>
        <v>34250</v>
      </c>
      <c r="L44" s="187">
        <f ca="1">IFERROR(__xludf.DUMMYFUNCTION("IMPORTRANGE(""https://docs.google.com/spreadsheets/d/1tZ0nmtGuIRCaGAMXHlQU8EpR9LOAJvyKfc4f7EFmE34/edit?usp=sharing"",""ศรีสะเกษ!N553"")"),29340)</f>
        <v>29340</v>
      </c>
      <c r="M44" s="187">
        <f ca="1">IFERROR(__xludf.DUMMYFUNCTION("IMPORTRANGE(""https://docs.google.com/spreadsheets/d/1tZ0nmtGuIRCaGAMXHlQU8EpR9LOAJvyKfc4f7EFmE34/edit?usp=sharing"",""ศรีสะเกษ!N554"")"),0)</f>
        <v>0</v>
      </c>
      <c r="N44" s="185">
        <f ca="1">IFERROR(__xludf.DUMMYFUNCTION("IMPORTRANGE(""https://docs.google.com/spreadsheets/d/1tZ0nmtGuIRCaGAMXHlQU8EpR9LOAJvyKfc4f7EFmE34/edit?usp=sharing"",""ศรีสะเกษ!N557"")"),0)</f>
        <v>0</v>
      </c>
      <c r="O44" s="185">
        <f t="shared" ca="1" si="41"/>
        <v>0</v>
      </c>
      <c r="P44" s="181">
        <f ca="1">IFERROR(__xludf.DUMMYFUNCTION("IMPORTRANGE(""https://docs.google.com/spreadsheets/d/1tZ0nmtGuIRCaGAMXHlQU8EpR9LOAJvyKfc4f7EFmE34/edit?usp=sharing"",""ศรีสะเกษ!I560"")"),11002)</f>
        <v>11002</v>
      </c>
      <c r="Q44" s="181">
        <f ca="1">IFERROR(__xludf.DUMMYFUNCTION("IMPORTRANGE(""https://docs.google.com/spreadsheets/d/1tZ0nmtGuIRCaGAMXHlQU8EpR9LOAJvyKfc4f7EFmE34/edit?usp=sharing"",""ศรีสะเกษ!I561"")"),4838)</f>
        <v>4838</v>
      </c>
      <c r="R44" s="186">
        <f ca="1">IFERROR(__xludf.DUMMYFUNCTION("IMPORTRANGE(""https://docs.google.com/spreadsheets/d/1tZ0nmtGuIRCaGAMXHlQU8EpR9LOAJvyKfc4f7EFmE34/edit?usp=sharing"",""ศรีสะเกษ!J560"")"),8348.4)</f>
        <v>8348.4</v>
      </c>
      <c r="S44" s="186">
        <f t="shared" ca="1" si="33"/>
        <v>75.880748954735509</v>
      </c>
      <c r="T44" s="181">
        <f ca="1">IFERROR(__xludf.DUMMYFUNCTION("IMPORTRANGE(""https://docs.google.com/spreadsheets/d/1tZ0nmtGuIRCaGAMXHlQU8EpR9LOAJvyKfc4f7EFmE34/edit?usp=sharing"",""ศรีสะเกษ!J561"")"),3852)</f>
        <v>3852</v>
      </c>
      <c r="U44" s="186">
        <f t="shared" ca="1" si="7"/>
        <v>79.619677552707728</v>
      </c>
      <c r="V44" s="186">
        <f ca="1">IFERROR(__xludf.DUMMYFUNCTION("IMPORTRANGE(""https://docs.google.com/spreadsheets/d/1tZ0nmtGuIRCaGAMXHlQU8EpR9LOAJvyKfc4f7EFmE34/edit?usp=sharing"",""ศรีสะเกษ!J562"")"),6781.8)</f>
        <v>6781.8</v>
      </c>
      <c r="W44" s="261">
        <f ca="1">IFERROR(__xludf.DUMMYFUNCTION("IMPORTRANGE(""https://docs.google.com/spreadsheets/d/1tZ0nmtGuIRCaGAMXHlQU8EpR9LOAJvyKfc4f7EFmE34/edit?usp=sharing"",""ศรีสะเกษ!J563"")"),3278)</f>
        <v>3278</v>
      </c>
      <c r="X44" s="186">
        <f ca="1">IFERROR(__xludf.DUMMYFUNCTION("IMPORTRANGE(""https://docs.google.com/spreadsheets/d/1tZ0nmtGuIRCaGAMXHlQU8EpR9LOAJvyKfc4f7EFmE34/edit?usp=sharing"",""ศรีสะเกษ!J564"")"),869.6)</f>
        <v>869.6</v>
      </c>
      <c r="Y44" s="261">
        <f ca="1">IFERROR(__xludf.DUMMYFUNCTION("IMPORTRANGE(""https://docs.google.com/spreadsheets/d/1tZ0nmtGuIRCaGAMXHlQU8EpR9LOAJvyKfc4f7EFmE34/edit?usp=sharing"",""ศรีสะเกษ!J565"")"),296)</f>
        <v>296</v>
      </c>
      <c r="Z44" s="186">
        <f ca="1">IFERROR(__xludf.DUMMYFUNCTION("IMPORTRANGE(""https://docs.google.com/spreadsheets/d/1tZ0nmtGuIRCaGAMXHlQU8EpR9LOAJvyKfc4f7EFmE34/edit?usp=sharing"",""ศรีสะเกษ!J566"")"),697)</f>
        <v>697</v>
      </c>
      <c r="AA44" s="261">
        <f ca="1">IFERROR(__xludf.DUMMYFUNCTION("IMPORTRANGE(""https://docs.google.com/spreadsheets/d/1tZ0nmtGuIRCaGAMXHlQU8EpR9LOAJvyKfc4f7EFmE34/edit?usp=sharing"",""ศรีสะเกษ!J567"")"),278)</f>
        <v>278</v>
      </c>
      <c r="AB44" s="181">
        <f ca="1">IFERROR(__xludf.DUMMYFUNCTION("IMPORTRANGE(""https://docs.google.com/spreadsheets/d/1tZ0nmtGuIRCaGAMXHlQU8EpR9LOAJvyKfc4f7EFmE34/edit?usp=sharing"",""ศรีสะเกษ!I568"")"),11002)</f>
        <v>11002</v>
      </c>
      <c r="AC44" s="181">
        <f ca="1">IFERROR(__xludf.DUMMYFUNCTION("IMPORTRANGE(""https://docs.google.com/spreadsheets/d/1tZ0nmtGuIRCaGAMXHlQU8EpR9LOAJvyKfc4f7EFmE34/edit?usp=sharing"",""ศรีสะเกษ!I569"")"),4838)</f>
        <v>4838</v>
      </c>
      <c r="AD44" s="186">
        <f ca="1">IFERROR(__xludf.DUMMYFUNCTION("IMPORTRANGE(""https://docs.google.com/spreadsheets/d/1tZ0nmtGuIRCaGAMXHlQU8EpR9LOAJvyKfc4f7EFmE34/edit?usp=sharing"",""ศรีสะเกษ!J568"")"),0)</f>
        <v>0</v>
      </c>
      <c r="AE44" s="186">
        <f t="shared" ca="1" si="34"/>
        <v>0</v>
      </c>
      <c r="AF44" s="181">
        <f ca="1">IFERROR(__xludf.DUMMYFUNCTION("IMPORTRANGE(""https://docs.google.com/spreadsheets/d/1tZ0nmtGuIRCaGAMXHlQU8EpR9LOAJvyKfc4f7EFmE34/edit?usp=sharing"",""ศรีสะเกษ!J569"")"),0)</f>
        <v>0</v>
      </c>
      <c r="AG44" s="186">
        <f t="shared" ca="1" si="10"/>
        <v>0</v>
      </c>
      <c r="AH44" s="186">
        <f ca="1">IFERROR(__xludf.DUMMYFUNCTION("IMPORTRANGE(""https://docs.google.com/spreadsheets/d/1tZ0nmtGuIRCaGAMXHlQU8EpR9LOAJvyKfc4f7EFmE34/edit?usp=sharing"",""ศรีสะเกษ!J570"")"),0)</f>
        <v>0</v>
      </c>
      <c r="AI44" s="261">
        <f ca="1">IFERROR(__xludf.DUMMYFUNCTION("IMPORTRANGE(""https://docs.google.com/spreadsheets/d/1tZ0nmtGuIRCaGAMXHlQU8EpR9LOAJvyKfc4f7EFmE34/edit?usp=sharing"",""ศรีสะเกษ!J571"")"),0)</f>
        <v>0</v>
      </c>
      <c r="AJ44" s="186">
        <f ca="1">IFERROR(__xludf.DUMMYFUNCTION("IMPORTRANGE(""https://docs.google.com/spreadsheets/d/1tZ0nmtGuIRCaGAMXHlQU8EpR9LOAJvyKfc4f7EFmE34/edit?usp=sharing"",""ศรีสะเกษ!J572"")"),0)</f>
        <v>0</v>
      </c>
      <c r="AK44" s="261">
        <f ca="1">IFERROR(__xludf.DUMMYFUNCTION("IMPORTRANGE(""https://docs.google.com/spreadsheets/d/1tZ0nmtGuIRCaGAMXHlQU8EpR9LOAJvyKfc4f7EFmE34/edit?usp=sharing"",""ศรีสะเกษ!J573"")"),0)</f>
        <v>0</v>
      </c>
      <c r="AL44" s="186">
        <f ca="1">IFERROR(__xludf.DUMMYFUNCTION("IMPORTRANGE(""https://docs.google.com/spreadsheets/d/1tZ0nmtGuIRCaGAMXHlQU8EpR9LOAJvyKfc4f7EFmE34/edit?usp=sharing"",""ศรีสะเกษ!J574"")"),0)</f>
        <v>0</v>
      </c>
      <c r="AM44" s="261">
        <f ca="1">IFERROR(__xludf.DUMMYFUNCTION("IMPORTRANGE(""https://docs.google.com/spreadsheets/d/1tZ0nmtGuIRCaGAMXHlQU8EpR9LOAJvyKfc4f7EFmE34/edit?usp=sharing"",""ศรีสะเกษ!J575"")"),0)</f>
        <v>0</v>
      </c>
      <c r="AN44" s="181">
        <f ca="1">IFERROR(__xludf.DUMMYFUNCTION("IMPORTRANGE(""https://docs.google.com/spreadsheets/d/1tZ0nmtGuIRCaGAMXHlQU8EpR9LOAJvyKfc4f7EFmE34/edit?usp=sharing"",""ศรีสะเกษ!I576"")"),11002)</f>
        <v>11002</v>
      </c>
      <c r="AO44" s="181">
        <f ca="1">IFERROR(__xludf.DUMMYFUNCTION("IMPORTRANGE(""https://docs.google.com/spreadsheets/d/1tZ0nmtGuIRCaGAMXHlQU8EpR9LOAJvyKfc4f7EFmE34/edit?usp=sharing"",""ศรีสะเกษ!I577"")"),4838)</f>
        <v>4838</v>
      </c>
      <c r="AP44" s="186">
        <f ca="1">IFERROR(__xludf.DUMMYFUNCTION("IMPORTRANGE(""https://docs.google.com/spreadsheets/d/1tZ0nmtGuIRCaGAMXHlQU8EpR9LOAJvyKfc4f7EFmE34/edit?usp=sharing"",""ศรีสะเกษ!J576"")"),0)</f>
        <v>0</v>
      </c>
      <c r="AQ44" s="186">
        <f t="shared" ca="1" si="35"/>
        <v>0</v>
      </c>
      <c r="AR44" s="181">
        <f ca="1">IFERROR(__xludf.DUMMYFUNCTION("IMPORTRANGE(""https://docs.google.com/spreadsheets/d/1tZ0nmtGuIRCaGAMXHlQU8EpR9LOAJvyKfc4f7EFmE34/edit?usp=sharing"",""ศรีสะเกษ!J577"")"),0)</f>
        <v>0</v>
      </c>
      <c r="AS44" s="186">
        <f t="shared" ca="1" si="13"/>
        <v>0</v>
      </c>
      <c r="AT44" s="186">
        <f ca="1">IFERROR(__xludf.DUMMYFUNCTION("IMPORTRANGE(""https://docs.google.com/spreadsheets/d/1tZ0nmtGuIRCaGAMXHlQU8EpR9LOAJvyKfc4f7EFmE34/edit?usp=sharing"",""ศรีสะเกษ!J578"")"),0)</f>
        <v>0</v>
      </c>
      <c r="AU44" s="261">
        <f ca="1">IFERROR(__xludf.DUMMYFUNCTION("IMPORTRANGE(""https://docs.google.com/spreadsheets/d/1tZ0nmtGuIRCaGAMXHlQU8EpR9LOAJvyKfc4f7EFmE34/edit?usp=sharing"",""ศรีสะเกษ!J579"")"),0)</f>
        <v>0</v>
      </c>
      <c r="AV44" s="186">
        <f ca="1">IFERROR(__xludf.DUMMYFUNCTION("IMPORTRANGE(""https://docs.google.com/spreadsheets/d/1tZ0nmtGuIRCaGAMXHlQU8EpR9LOAJvyKfc4f7EFmE34/edit?usp=sharing"",""ศรีสะเกษ!J580"")"),0)</f>
        <v>0</v>
      </c>
      <c r="AW44" s="261">
        <f ca="1">IFERROR(__xludf.DUMMYFUNCTION("IMPORTRANGE(""https://docs.google.com/spreadsheets/d/1tZ0nmtGuIRCaGAMXHlQU8EpR9LOAJvyKfc4f7EFmE34/edit?usp=sharing"",""ศรีสะเกษ!J581"")"),0)</f>
        <v>0</v>
      </c>
      <c r="AX44" s="186">
        <f ca="1">IFERROR(__xludf.DUMMYFUNCTION("IMPORTRANGE(""https://docs.google.com/spreadsheets/d/1tZ0nmtGuIRCaGAMXHlQU8EpR9LOAJvyKfc4f7EFmE34/edit?usp=sharing"",""ศรีสะเกษ!J582"")"),0)</f>
        <v>0</v>
      </c>
      <c r="AY44" s="261">
        <f ca="1">IFERROR(__xludf.DUMMYFUNCTION("IMPORTRANGE(""https://docs.google.com/spreadsheets/d/1tZ0nmtGuIRCaGAMXHlQU8EpR9LOAJvyKfc4f7EFmE34/edit?usp=sharing"",""ศรีสะเกษ!J583"")"),0)</f>
        <v>0</v>
      </c>
      <c r="AZ44" s="262">
        <f ca="1">IFERROR(__xludf.DUMMYFUNCTION("IMPORTRANGE(""https://docs.google.com/spreadsheets/d/1tZ0nmtGuIRCaGAMXHlQU8EpR9LOAJvyKfc4f7EFmE34/edit?usp=sharing"",""ศรีสะเกษ!J584"")"),0)</f>
        <v>0</v>
      </c>
      <c r="BA44" s="261">
        <f ca="1">IFERROR(__xludf.DUMMYFUNCTION("IMPORTRANGE(""https://docs.google.com/spreadsheets/d/1tZ0nmtGuIRCaGAMXHlQU8EpR9LOAJvyKfc4f7EFmE34/edit?usp=sharing"",""ศรีสะเกษ!J585"")"),0)</f>
        <v>0</v>
      </c>
      <c r="BB44" s="262">
        <f ca="1">IFERROR(__xludf.DUMMYFUNCTION("IMPORTRANGE(""https://docs.google.com/spreadsheets/d/1tZ0nmtGuIRCaGAMXHlQU8EpR9LOAJvyKfc4f7EFmE34/edit?usp=sharing"",""ศรีสะเกษ!J586"")"),0)</f>
        <v>0</v>
      </c>
      <c r="BC44" s="261">
        <f ca="1">IFERROR(__xludf.DUMMYFUNCTION("IMPORTRANGE(""https://docs.google.com/spreadsheets/d/1tZ0nmtGuIRCaGAMXHlQU8EpR9LOAJvyKfc4f7EFmE34/edit?usp=sharing"",""ศรีสะเกษ!J587"")"),0)</f>
        <v>0</v>
      </c>
      <c r="BD44" s="186">
        <f ca="1">IFERROR(__xludf.DUMMYFUNCTION("IMPORTRANGE(""https://docs.google.com/spreadsheets/d/1tZ0nmtGuIRCaGAMXHlQU8EpR9LOAJvyKfc4f7EFmE34/edit?usp=sharing"",""ศรีสะเกษ!J588"")"),0)</f>
        <v>0</v>
      </c>
      <c r="BE44" s="261">
        <f ca="1">IFERROR(__xludf.DUMMYFUNCTION("IMPORTRANGE(""https://docs.google.com/spreadsheets/d/1tZ0nmtGuIRCaGAMXHlQU8EpR9LOAJvyKfc4f7EFmE34/edit?usp=sharing"",""ศรีสะเกษ!J589"")"),0)</f>
        <v>0</v>
      </c>
      <c r="BF44" s="186">
        <f ca="1">IFERROR(__xludf.DUMMYFUNCTION("IMPORTRANGE(""https://docs.google.com/spreadsheets/d/1tZ0nmtGuIRCaGAMXHlQU8EpR9LOAJvyKfc4f7EFmE34/edit?usp=sharing"",""ศรีสะเกษ!J590"")"),0)</f>
        <v>0</v>
      </c>
      <c r="BG44" s="261">
        <f ca="1">IFERROR(__xludf.DUMMYFUNCTION("IMPORTRANGE(""https://docs.google.com/spreadsheets/d/1tZ0nmtGuIRCaGAMXHlQU8EpR9LOAJvyKfc4f7EFmE34/edit?usp=sharing"",""ศรีสะเกษ!J591"")"),0)</f>
        <v>0</v>
      </c>
      <c r="BH44" s="181">
        <f ca="1">IFERROR(__xludf.DUMMYFUNCTION("IMPORTRANGE(""https://docs.google.com/spreadsheets/d/1tZ0nmtGuIRCaGAMXHlQU8EpR9LOAJvyKfc4f7EFmE34/edit?usp=sharing"",""ศรีสะเกษ!I593"")"),5265.94)</f>
        <v>5265.94</v>
      </c>
      <c r="BI44" s="181">
        <f ca="1">IFERROR(__xludf.DUMMYFUNCTION("IMPORTRANGE(""https://docs.google.com/spreadsheets/d/1tZ0nmtGuIRCaGAMXHlQU8EpR9LOAJvyKfc4f7EFmE34/edit?usp=sharing"",""ศรีสะเกษ!I594"")"),1025)</f>
        <v>1025</v>
      </c>
      <c r="BJ44" s="186">
        <f ca="1">IFERROR(__xludf.DUMMYFUNCTION("IMPORTRANGE(""https://docs.google.com/spreadsheets/d/1tZ0nmtGuIRCaGAMXHlQU8EpR9LOAJvyKfc4f7EFmE34/edit?usp=sharing"",""ศรีสะเกษ!J593"")"),0)</f>
        <v>0</v>
      </c>
      <c r="BK44" s="186">
        <f t="shared" ca="1" si="36"/>
        <v>0</v>
      </c>
      <c r="BL44" s="181">
        <f ca="1">IFERROR(__xludf.DUMMYFUNCTION("IMPORTRANGE(""https://docs.google.com/spreadsheets/d/1tZ0nmtGuIRCaGAMXHlQU8EpR9LOAJvyKfc4f7EFmE34/edit?usp=sharing"",""ศรีสะเกษ!J594"")"),0)</f>
        <v>0</v>
      </c>
      <c r="BM44" s="186">
        <f t="shared" ca="1" si="16"/>
        <v>0</v>
      </c>
      <c r="BN44" s="186">
        <f ca="1">IFERROR(__xludf.DUMMYFUNCTION("IMPORTRANGE(""https://docs.google.com/spreadsheets/d/1tZ0nmtGuIRCaGAMXHlQU8EpR9LOAJvyKfc4f7EFmE34/edit?usp=sharing"",""ศรีสะเกษ!J595"")"),0)</f>
        <v>0</v>
      </c>
      <c r="BO44" s="261">
        <f ca="1">IFERROR(__xludf.DUMMYFUNCTION("IMPORTRANGE(""https://docs.google.com/spreadsheets/d/1tZ0nmtGuIRCaGAMXHlQU8EpR9LOAJvyKfc4f7EFmE34/edit?usp=sharing"",""ศรีสะเกษ!J596"")"),0)</f>
        <v>0</v>
      </c>
      <c r="BP44" s="186">
        <f ca="1">IFERROR(__xludf.DUMMYFUNCTION("IMPORTRANGE(""https://docs.google.com/spreadsheets/d/1tZ0nmtGuIRCaGAMXHlQU8EpR9LOAJvyKfc4f7EFmE34/edit?usp=sharing"",""ศรีสะเกษ!J597"")"),0)</f>
        <v>0</v>
      </c>
      <c r="BQ44" s="261">
        <f ca="1">IFERROR(__xludf.DUMMYFUNCTION("IMPORTRANGE(""https://docs.google.com/spreadsheets/d/1tZ0nmtGuIRCaGAMXHlQU8EpR9LOAJvyKfc4f7EFmE34/edit?usp=sharing"",""ศรีสะเกษ!J598"")"),0)</f>
        <v>0</v>
      </c>
      <c r="BR44" s="186">
        <f ca="1">IFERROR(__xludf.DUMMYFUNCTION("IMPORTRANGE(""https://docs.google.com/spreadsheets/d/1tZ0nmtGuIRCaGAMXHlQU8EpR9LOAJvyKfc4f7EFmE34/edit?usp=sharing"",""ศรีสะเกษ!J599"")"),0)</f>
        <v>0</v>
      </c>
      <c r="BS44" s="261">
        <f ca="1">IFERROR(__xludf.DUMMYFUNCTION("IMPORTRANGE(""https://docs.google.com/spreadsheets/d/1tZ0nmtGuIRCaGAMXHlQU8EpR9LOAJvyKfc4f7EFmE34/edit?usp=sharing"",""ศรีสะเกษ!J600"")"),0)</f>
        <v>0</v>
      </c>
      <c r="BT44" s="262">
        <f ca="1">IFERROR(__xludf.DUMMYFUNCTION("IMPORTRANGE(""https://docs.google.com/spreadsheets/d/1tZ0nmtGuIRCaGAMXHlQU8EpR9LOAJvyKfc4f7EFmE34/edit?usp=sharing"",""ศรีสะเกษ!J601"")"),0)</f>
        <v>0</v>
      </c>
      <c r="BU44" s="261">
        <f ca="1">IFERROR(__xludf.DUMMYFUNCTION("IMPORTRANGE(""https://docs.google.com/spreadsheets/d/1tZ0nmtGuIRCaGAMXHlQU8EpR9LOAJvyKfc4f7EFmE34/edit?usp=sharing"",""ศรีสะเกษ!J602"")"),0)</f>
        <v>0</v>
      </c>
      <c r="BV44" s="186">
        <f ca="1">IFERROR(__xludf.DUMMYFUNCTION("IMPORTRANGE(""https://docs.google.com/spreadsheets/d/1tZ0nmtGuIRCaGAMXHlQU8EpR9LOAJvyKfc4f7EFmE34/edit?usp=sharing"",""ศรีสะเกษ!J603"")"),0)</f>
        <v>0</v>
      </c>
      <c r="BW44" s="261">
        <f ca="1">IFERROR(__xludf.DUMMYFUNCTION("IMPORTRANGE(""https://docs.google.com/spreadsheets/d/1tZ0nmtGuIRCaGAMXHlQU8EpR9LOAJvyKfc4f7EFmE34/edit?usp=sharing"",""ศรีสะเกษ!J604"")"),0)</f>
        <v>0</v>
      </c>
      <c r="BX44" s="186">
        <f ca="1">IFERROR(__xludf.DUMMYFUNCTION("IMPORTRANGE(""https://docs.google.com/spreadsheets/d/1tZ0nmtGuIRCaGAMXHlQU8EpR9LOAJvyKfc4f7EFmE34/edit?usp=sharing"",""ศรีสะเกษ!J605"")"),0)</f>
        <v>0</v>
      </c>
      <c r="BY44" s="261">
        <f ca="1">IFERROR(__xludf.DUMMYFUNCTION("IMPORTRANGE(""https://docs.google.com/spreadsheets/d/1tZ0nmtGuIRCaGAMXHlQU8EpR9LOAJvyKfc4f7EFmE34/edit?usp=sharing"",""ศรีสะเกษ!J606"")"),0)</f>
        <v>0</v>
      </c>
      <c r="BZ44" s="186">
        <f ca="1">IFERROR(__xludf.DUMMYFUNCTION("IMPORTRANGE(""https://docs.google.com/spreadsheets/d/1tZ0nmtGuIRCaGAMXHlQU8EpR9LOAJvyKfc4f7EFmE34/edit?usp=sharing"",""ศรีสะเกษ!J607"")"),0)</f>
        <v>0</v>
      </c>
      <c r="CA44" s="261">
        <f ca="1">IFERROR(__xludf.DUMMYFUNCTION("IMPORTRANGE(""https://docs.google.com/spreadsheets/d/1tZ0nmtGuIRCaGAMXHlQU8EpR9LOAJvyKfc4f7EFmE34/edit?usp=sharing"",""ศรีสะเกษ!J608"")"),0)</f>
        <v>0</v>
      </c>
      <c r="CB44" s="186">
        <f ca="1">IFERROR(__xludf.DUMMYFUNCTION("IMPORTRANGE(""https://docs.google.com/spreadsheets/d/1tZ0nmtGuIRCaGAMXHlQU8EpR9LOAJvyKfc4f7EFmE34/edit?usp=sharing"",""ศรีสะเกษ!J609"")"),0)</f>
        <v>0</v>
      </c>
      <c r="CC44" s="261">
        <f ca="1">IFERROR(__xludf.DUMMYFUNCTION("IMPORTRANGE(""https://docs.google.com/spreadsheets/d/1tZ0nmtGuIRCaGAMXHlQU8EpR9LOAJvyKfc4f7EFmE34/edit?usp=sharing"",""ศรีสะเกษ!J610"")"),0)</f>
        <v>0</v>
      </c>
      <c r="CD44" s="261">
        <f ca="1">IFERROR(__xludf.DUMMYFUNCTION("IMPORTRANGE(""https://docs.google.com/spreadsheets/d/1tZ0nmtGuIRCaGAMXHlQU8EpR9LOAJvyKfc4f7EFmE34/edit?usp=sharing"",""ศรีสะเกษ!I612"")"),0)</f>
        <v>0</v>
      </c>
      <c r="CE44" s="261">
        <f ca="1">IFERROR(__xludf.DUMMYFUNCTION("IMPORTRANGE(""https://docs.google.com/spreadsheets/d/1tZ0nmtGuIRCaGAMXHlQU8EpR9LOAJvyKfc4f7EFmE34/edit?usp=sharing"",""ศรีสะเกษ!I594"")"),1025)</f>
        <v>1025</v>
      </c>
      <c r="CF44" s="262">
        <f ca="1">IFERROR(__xludf.DUMMYFUNCTION("IMPORTRANGE(""https://docs.google.com/spreadsheets/d/1tZ0nmtGuIRCaGAMXHlQU8EpR9LOAJvyKfc4f7EFmE34/edit?usp=sharing"",""ศรีสะเกษ!J612"")"),0)</f>
        <v>0</v>
      </c>
      <c r="CG44" s="262">
        <f t="shared" ca="1" si="37"/>
        <v>0</v>
      </c>
      <c r="CH44" s="261">
        <f ca="1">IFERROR(__xludf.DUMMYFUNCTION("IMPORTRANGE(""https://docs.google.com/spreadsheets/d/1tZ0nmtGuIRCaGAMXHlQU8EpR9LOAJvyKfc4f7EFmE34/edit?usp=sharing"",""ศรีสะเกษ!J613"")"),0)</f>
        <v>0</v>
      </c>
      <c r="CI44" s="262">
        <f t="shared" ca="1" si="19"/>
        <v>0</v>
      </c>
      <c r="CJ44" s="186">
        <f ca="1">IFERROR(__xludf.DUMMYFUNCTION("IMPORTRANGE(""https://docs.google.com/spreadsheets/d/1tZ0nmtGuIRCaGAMXHlQU8EpR9LOAJvyKfc4f7EFmE34/edit?usp=sharing"",""ศรีสะเกษ!J614"")"),0)</f>
        <v>0</v>
      </c>
      <c r="CK44" s="261">
        <f ca="1">IFERROR(__xludf.DUMMYFUNCTION("IMPORTRANGE(""https://docs.google.com/spreadsheets/d/1tZ0nmtGuIRCaGAMXHlQU8EpR9LOAJvyKfc4f7EFmE34/edit?usp=sharing"",""ศรีสะเกษ!J615"")"),0)</f>
        <v>0</v>
      </c>
      <c r="CL44" s="186">
        <f ca="1">IFERROR(__xludf.DUMMYFUNCTION("IMPORTRANGE(""https://docs.google.com/spreadsheets/d/1tZ0nmtGuIRCaGAMXHlQU8EpR9LOAJvyKfc4f7EFmE34/edit?usp=sharing"",""ศรีสะเกษ!J616"")"),0)</f>
        <v>0</v>
      </c>
      <c r="CM44" s="261">
        <f ca="1">IFERROR(__xludf.DUMMYFUNCTION("IMPORTRANGE(""https://docs.google.com/spreadsheets/d/1tZ0nmtGuIRCaGAMXHlQU8EpR9LOAJvyKfc4f7EFmE34/edit?usp=sharing"",""ศรีสะเกษ!J617"")"),0)</f>
        <v>0</v>
      </c>
      <c r="CN44" s="261">
        <f ca="1">IFERROR(__xludf.DUMMYFUNCTION("IMPORTRANGE(""https://docs.google.com/spreadsheets/d/1tZ0nmtGuIRCaGAMXHlQU8EpR9LOAJvyKfc4f7EFmE34/edit?usp=sharing"",""ศรีสะเกษ!I620"")"),52)</f>
        <v>52</v>
      </c>
      <c r="CO44" s="261">
        <f ca="1">IFERROR(__xludf.DUMMYFUNCTION("IMPORTRANGE(""https://docs.google.com/spreadsheets/d/1tZ0nmtGuIRCaGAMXHlQU8EpR9LOAJvyKfc4f7EFmE34/edit?usp=sharing"",""ศรีสะเกษ!I621"")"),18)</f>
        <v>18</v>
      </c>
      <c r="CP44" s="262">
        <f ca="1">IFERROR(__xludf.DUMMYFUNCTION("IMPORTRANGE(""https://docs.google.com/spreadsheets/d/1tZ0nmtGuIRCaGAMXHlQU8EpR9LOAJvyKfc4f7EFmE34/edit?usp=sharing"",""ศรีสะเกษ!J620"")"),0)</f>
        <v>0</v>
      </c>
      <c r="CQ44" s="262">
        <f t="shared" ca="1" si="38"/>
        <v>0</v>
      </c>
      <c r="CR44" s="261">
        <f ca="1">IFERROR(__xludf.DUMMYFUNCTION("IMPORTRANGE(""https://docs.google.com/spreadsheets/d/1tZ0nmtGuIRCaGAMXHlQU8EpR9LOAJvyKfc4f7EFmE34/edit?usp=sharing"",""ศรีสะเกษ!J621"")"),0)</f>
        <v>0</v>
      </c>
      <c r="CS44" s="262">
        <f t="shared" ca="1" si="22"/>
        <v>0</v>
      </c>
      <c r="CT44" s="186">
        <f ca="1">IFERROR(__xludf.DUMMYFUNCTION("IMPORTRANGE(""https://docs.google.com/spreadsheets/d/1tZ0nmtGuIRCaGAMXHlQU8EpR9LOAJvyKfc4f7EFmE34/edit?usp=sharing"",""ศรีสะเกษ!J622"")"),0)</f>
        <v>0</v>
      </c>
      <c r="CU44" s="261">
        <f ca="1">IFERROR(__xludf.DUMMYFUNCTION("IMPORTRANGE(""https://docs.google.com/spreadsheets/d/1tZ0nmtGuIRCaGAMXHlQU8EpR9LOAJvyKfc4f7EFmE34/edit?usp=sharing"",""ศรีสะเกษ!J623"")"),0)</f>
        <v>0</v>
      </c>
      <c r="CV44" s="186">
        <f ca="1">IFERROR(__xludf.DUMMYFUNCTION("IMPORTRANGE(""https://docs.google.com/spreadsheets/d/1tZ0nmtGuIRCaGAMXHlQU8EpR9LOAJvyKfc4f7EFmE34/edit?usp=sharing"",""ศรีสะเกษ!J624"")"),0)</f>
        <v>0</v>
      </c>
      <c r="CW44" s="261">
        <f ca="1">IFERROR(__xludf.DUMMYFUNCTION("IMPORTRANGE(""https://docs.google.com/spreadsheets/d/1tZ0nmtGuIRCaGAMXHlQU8EpR9LOAJvyKfc4f7EFmE34/edit?usp=sharing"",""ศรีสะเกษ!J625"")"),0)</f>
        <v>0</v>
      </c>
      <c r="CX44" s="186">
        <f ca="1">IFERROR(__xludf.DUMMYFUNCTION("IMPORTRANGE(""https://docs.google.com/spreadsheets/d/1tZ0nmtGuIRCaGAMXHlQU8EpR9LOAJvyKfc4f7EFmE34/edit?usp=sharing"",""ศรีสะเกษ!J626"")"),0)</f>
        <v>0</v>
      </c>
      <c r="CY44" s="261">
        <f ca="1">IFERROR(__xludf.DUMMYFUNCTION("IMPORTRANGE(""https://docs.google.com/spreadsheets/d/1tZ0nmtGuIRCaGAMXHlQU8EpR9LOAJvyKfc4f7EFmE34/edit?usp=sharing"",""ศรีสะเกษ!J627"")"),0)</f>
        <v>0</v>
      </c>
    </row>
    <row r="45" spans="1:103" ht="21" customHeight="1" x14ac:dyDescent="0.3">
      <c r="A45" s="178">
        <v>14</v>
      </c>
      <c r="B45" s="179" t="s">
        <v>62</v>
      </c>
      <c r="C45" s="180">
        <f t="shared" ca="1" si="60"/>
        <v>402462</v>
      </c>
      <c r="D45" s="181">
        <f ca="1">IFERROR(__xludf.DUMMYFUNCTION("IMPORTRANGE(""https://docs.google.com/spreadsheets/d/1QC8psz9w0f9IVE9Xuc2FT_btkaOzZbbUSgYObpBuetM/edit?usp=sharing"",""สกลนคร!L549"")"),402462)</f>
        <v>402462</v>
      </c>
      <c r="E45" s="187">
        <f ca="1">IFERROR(__xludf.DUMMYFUNCTION("IMPORTRANGE(""https://docs.google.com/spreadsheets/d/1QC8psz9w0f9IVE9Xuc2FT_btkaOzZbbUSgYObpBuetM/edit?usp=sharing"",""สกลนคร!L557"")"),0)</f>
        <v>0</v>
      </c>
      <c r="F45" s="182">
        <f t="shared" ca="1" si="1"/>
        <v>136192</v>
      </c>
      <c r="G45" s="183">
        <f t="shared" ca="1" si="2"/>
        <v>33.839716544667574</v>
      </c>
      <c r="H45" s="184">
        <f t="shared" ca="1" si="61"/>
        <v>136192</v>
      </c>
      <c r="I45" s="187">
        <f ca="1">IFERROR(__xludf.DUMMYFUNCTION("IMPORTRANGE(""https://docs.google.com/spreadsheets/d/1QC8psz9w0f9IVE9Xuc2FT_btkaOzZbbUSgYObpBuetM/edit?usp=sharing"",""สกลนคร!N550"")"),0)</f>
        <v>0</v>
      </c>
      <c r="J45" s="187">
        <f ca="1">IFERROR(__xludf.DUMMYFUNCTION("IMPORTRANGE(""https://docs.google.com/spreadsheets/d/1QC8psz9w0f9IVE9Xuc2FT_btkaOzZbbUSgYObpBuetM/edit?usp=sharing"",""สกลนคร!N551"")"),0)</f>
        <v>0</v>
      </c>
      <c r="K45" s="208">
        <f ca="1">IFERROR(__xludf.DUMMYFUNCTION("IMPORTRANGE(""https://docs.google.com/spreadsheets/d/1QC8psz9w0f9IVE9Xuc2FT_btkaOzZbbUSgYObpBuetM/edit?usp=sharing"",""สกลนคร!N552"")"),39000)</f>
        <v>39000</v>
      </c>
      <c r="L45" s="187">
        <f ca="1">IFERROR(__xludf.DUMMYFUNCTION("IMPORTRANGE(""https://docs.google.com/spreadsheets/d/1QC8psz9w0f9IVE9Xuc2FT_btkaOzZbbUSgYObpBuetM/edit?usp=sharing"",""สกลนคร!N553"")"),97192)</f>
        <v>97192</v>
      </c>
      <c r="M45" s="187">
        <f ca="1">IFERROR(__xludf.DUMMYFUNCTION("IMPORTRANGE(""https://docs.google.com/spreadsheets/d/1QC8psz9w0f9IVE9Xuc2FT_btkaOzZbbUSgYObpBuetM/edit?usp=sharing"",""สกลนคร!N554"")"),0)</f>
        <v>0</v>
      </c>
      <c r="N45" s="185">
        <f ca="1">IFERROR(__xludf.DUMMYFUNCTION("IMPORTRANGE(""https://docs.google.com/spreadsheets/d/1QC8psz9w0f9IVE9Xuc2FT_btkaOzZbbUSgYObpBuetM/edit?usp=sharing"",""สกลนคร!N557"")"),0)</f>
        <v>0</v>
      </c>
      <c r="O45" s="185">
        <f t="shared" ca="1" si="41"/>
        <v>0</v>
      </c>
      <c r="P45" s="181">
        <f ca="1">IFERROR(__xludf.DUMMYFUNCTION("IMPORTRANGE(""https://docs.google.com/spreadsheets/d/1QC8psz9w0f9IVE9Xuc2FT_btkaOzZbbUSgYObpBuetM/edit?usp=sharing"",""สกลนคร!I560"")"),59640)</f>
        <v>59640</v>
      </c>
      <c r="Q45" s="181">
        <f ca="1">IFERROR(__xludf.DUMMYFUNCTION("IMPORTRANGE(""https://docs.google.com/spreadsheets/d/1QC8psz9w0f9IVE9Xuc2FT_btkaOzZbbUSgYObpBuetM/edit?usp=sharing"",""สกลนคร!I561"")"),7355)</f>
        <v>7355</v>
      </c>
      <c r="R45" s="186">
        <f ca="1">IFERROR(__xludf.DUMMYFUNCTION("IMPORTRANGE(""https://docs.google.com/spreadsheets/d/1QC8psz9w0f9IVE9Xuc2FT_btkaOzZbbUSgYObpBuetM/edit?usp=sharing"",""สกลนคร!J560"")"),59504.29)</f>
        <v>59504.29</v>
      </c>
      <c r="S45" s="186">
        <f t="shared" ca="1" si="33"/>
        <v>99.772451374916159</v>
      </c>
      <c r="T45" s="181">
        <f ca="1">IFERROR(__xludf.DUMMYFUNCTION("IMPORTRANGE(""https://docs.google.com/spreadsheets/d/1QC8psz9w0f9IVE9Xuc2FT_btkaOzZbbUSgYObpBuetM/edit?usp=sharing"",""สกลนคร!J561"")"),7338)</f>
        <v>7338</v>
      </c>
      <c r="U45" s="186">
        <f t="shared" ca="1" si="7"/>
        <v>99.768864717878998</v>
      </c>
      <c r="V45" s="186">
        <f ca="1">IFERROR(__xludf.DUMMYFUNCTION("IMPORTRANGE(""https://docs.google.com/spreadsheets/d/1QC8psz9w0f9IVE9Xuc2FT_btkaOzZbbUSgYObpBuetM/edit?usp=sharing"",""สกลนคร!J562"")"),47179)</f>
        <v>47179</v>
      </c>
      <c r="W45" s="261">
        <f ca="1">IFERROR(__xludf.DUMMYFUNCTION("IMPORTRANGE(""https://docs.google.com/spreadsheets/d/1QC8psz9w0f9IVE9Xuc2FT_btkaOzZbbUSgYObpBuetM/edit?usp=sharing"",""สกลนคร!J563"")"),6298)</f>
        <v>6298</v>
      </c>
      <c r="X45" s="186">
        <f ca="1">IFERROR(__xludf.DUMMYFUNCTION("IMPORTRANGE(""https://docs.google.com/spreadsheets/d/1QC8psz9w0f9IVE9Xuc2FT_btkaOzZbbUSgYObpBuetM/edit?usp=sharing"",""สกลนคร!J564"")"),11083.93)</f>
        <v>11083.93</v>
      </c>
      <c r="Y45" s="261">
        <f ca="1">IFERROR(__xludf.DUMMYFUNCTION("IMPORTRANGE(""https://docs.google.com/spreadsheets/d/1QC8psz9w0f9IVE9Xuc2FT_btkaOzZbbUSgYObpBuetM/edit?usp=sharing"",""สกลนคร!J565"")"),885)</f>
        <v>885</v>
      </c>
      <c r="Z45" s="186">
        <f ca="1">IFERROR(__xludf.DUMMYFUNCTION("IMPORTRANGE(""https://docs.google.com/spreadsheets/d/1QC8psz9w0f9IVE9Xuc2FT_btkaOzZbbUSgYObpBuetM/edit?usp=sharing"",""สกลนคร!J566"")"),1241.36)</f>
        <v>1241.3599999999999</v>
      </c>
      <c r="AA45" s="261">
        <f ca="1">IFERROR(__xludf.DUMMYFUNCTION("IMPORTRANGE(""https://docs.google.com/spreadsheets/d/1QC8psz9w0f9IVE9Xuc2FT_btkaOzZbbUSgYObpBuetM/edit?usp=sharing"",""สกลนคร!J567"")"),155)</f>
        <v>155</v>
      </c>
      <c r="AB45" s="181">
        <f ca="1">IFERROR(__xludf.DUMMYFUNCTION("IMPORTRANGE(""https://docs.google.com/spreadsheets/d/1QC8psz9w0f9IVE9Xuc2FT_btkaOzZbbUSgYObpBuetM/edit?usp=sharing"",""สกลนคร!I568"")"),59640)</f>
        <v>59640</v>
      </c>
      <c r="AC45" s="181">
        <f ca="1">IFERROR(__xludf.DUMMYFUNCTION("IMPORTRANGE(""https://docs.google.com/spreadsheets/d/1QC8psz9w0f9IVE9Xuc2FT_btkaOzZbbUSgYObpBuetM/edit?usp=sharing"",""สกลนคร!I569"")"),7355)</f>
        <v>7355</v>
      </c>
      <c r="AD45" s="186">
        <f ca="1">IFERROR(__xludf.DUMMYFUNCTION("IMPORTRANGE(""https://docs.google.com/spreadsheets/d/1QC8psz9w0f9IVE9Xuc2FT_btkaOzZbbUSgYObpBuetM/edit?usp=sharing"",""สกลนคร!J568"")"),0)</f>
        <v>0</v>
      </c>
      <c r="AE45" s="186">
        <f t="shared" ca="1" si="34"/>
        <v>0</v>
      </c>
      <c r="AF45" s="181">
        <f ca="1">IFERROR(__xludf.DUMMYFUNCTION("IMPORTRANGE(""https://docs.google.com/spreadsheets/d/1QC8psz9w0f9IVE9Xuc2FT_btkaOzZbbUSgYObpBuetM/edit?usp=sharing"",""สกลนคร!J569"")"),0)</f>
        <v>0</v>
      </c>
      <c r="AG45" s="186">
        <f t="shared" ca="1" si="10"/>
        <v>0</v>
      </c>
      <c r="AH45" s="186" t="str">
        <f ca="1">IFERROR(__xludf.DUMMYFUNCTION("IMPORTRANGE(""https://docs.google.com/spreadsheets/d/1QC8psz9w0f9IVE9Xuc2FT_btkaOzZbbUSgYObpBuetM/edit?usp=sharing"",""สกลนคร!J570"")"),"")</f>
        <v/>
      </c>
      <c r="AI45" s="261" t="str">
        <f ca="1">IFERROR(__xludf.DUMMYFUNCTION("IMPORTRANGE(""https://docs.google.com/spreadsheets/d/1QC8psz9w0f9IVE9Xuc2FT_btkaOzZbbUSgYObpBuetM/edit?usp=sharing"",""สกลนคร!J571"")"),"")</f>
        <v/>
      </c>
      <c r="AJ45" s="186" t="str">
        <f ca="1">IFERROR(__xludf.DUMMYFUNCTION("IMPORTRANGE(""https://docs.google.com/spreadsheets/d/1QC8psz9w0f9IVE9Xuc2FT_btkaOzZbbUSgYObpBuetM/edit?usp=sharing"",""สกลนคร!J572"")"),"")</f>
        <v/>
      </c>
      <c r="AK45" s="261" t="str">
        <f ca="1">IFERROR(__xludf.DUMMYFUNCTION("IMPORTRANGE(""https://docs.google.com/spreadsheets/d/1QC8psz9w0f9IVE9Xuc2FT_btkaOzZbbUSgYObpBuetM/edit?usp=sharing"",""สกลนคร!J573"")"),"")</f>
        <v/>
      </c>
      <c r="AL45" s="186" t="str">
        <f ca="1">IFERROR(__xludf.DUMMYFUNCTION("IMPORTRANGE(""https://docs.google.com/spreadsheets/d/1QC8psz9w0f9IVE9Xuc2FT_btkaOzZbbUSgYObpBuetM/edit?usp=sharing"",""สกลนคร!J574"")"),"")</f>
        <v/>
      </c>
      <c r="AM45" s="261" t="str">
        <f ca="1">IFERROR(__xludf.DUMMYFUNCTION("IMPORTRANGE(""https://docs.google.com/spreadsheets/d/1QC8psz9w0f9IVE9Xuc2FT_btkaOzZbbUSgYObpBuetM/edit?usp=sharing"",""สกลนคร!J575"")"),"")</f>
        <v/>
      </c>
      <c r="AN45" s="181">
        <f ca="1">IFERROR(__xludf.DUMMYFUNCTION("IMPORTRANGE(""https://docs.google.com/spreadsheets/d/1QC8psz9w0f9IVE9Xuc2FT_btkaOzZbbUSgYObpBuetM/edit?usp=sharing"",""สกลนคร!I576"")"),59640)</f>
        <v>59640</v>
      </c>
      <c r="AO45" s="181">
        <f ca="1">IFERROR(__xludf.DUMMYFUNCTION("IMPORTRANGE(""https://docs.google.com/spreadsheets/d/1QC8psz9w0f9IVE9Xuc2FT_btkaOzZbbUSgYObpBuetM/edit?usp=sharing"",""สกลนคร!I577"")"),7355)</f>
        <v>7355</v>
      </c>
      <c r="AP45" s="186">
        <f ca="1">IFERROR(__xludf.DUMMYFUNCTION("IMPORTRANGE(""https://docs.google.com/spreadsheets/d/1QC8psz9w0f9IVE9Xuc2FT_btkaOzZbbUSgYObpBuetM/edit?usp=sharing"",""สกลนคร!J576"")"),0)</f>
        <v>0</v>
      </c>
      <c r="AQ45" s="186">
        <f t="shared" ca="1" si="35"/>
        <v>0</v>
      </c>
      <c r="AR45" s="181">
        <f ca="1">IFERROR(__xludf.DUMMYFUNCTION("IMPORTRANGE(""https://docs.google.com/spreadsheets/d/1QC8psz9w0f9IVE9Xuc2FT_btkaOzZbbUSgYObpBuetM/edit?usp=sharing"",""สกลนคร!J577"")"),0)</f>
        <v>0</v>
      </c>
      <c r="AS45" s="186">
        <f t="shared" ca="1" si="13"/>
        <v>0</v>
      </c>
      <c r="AT45" s="186" t="str">
        <f ca="1">IFERROR(__xludf.DUMMYFUNCTION("IMPORTRANGE(""https://docs.google.com/spreadsheets/d/1QC8psz9w0f9IVE9Xuc2FT_btkaOzZbbUSgYObpBuetM/edit?usp=sharing"",""สกลนคร!J578"")"),"")</f>
        <v/>
      </c>
      <c r="AU45" s="261" t="str">
        <f ca="1">IFERROR(__xludf.DUMMYFUNCTION("IMPORTRANGE(""https://docs.google.com/spreadsheets/d/1QC8psz9w0f9IVE9Xuc2FT_btkaOzZbbUSgYObpBuetM/edit?usp=sharing"",""สกลนคร!J579"")"),"")</f>
        <v/>
      </c>
      <c r="AV45" s="186" t="str">
        <f ca="1">IFERROR(__xludf.DUMMYFUNCTION("IMPORTRANGE(""https://docs.google.com/spreadsheets/d/1QC8psz9w0f9IVE9Xuc2FT_btkaOzZbbUSgYObpBuetM/edit?usp=sharing"",""สกลนคร!J580"")"),"")</f>
        <v/>
      </c>
      <c r="AW45" s="261" t="str">
        <f ca="1">IFERROR(__xludf.DUMMYFUNCTION("IMPORTRANGE(""https://docs.google.com/spreadsheets/d/1QC8psz9w0f9IVE9Xuc2FT_btkaOzZbbUSgYObpBuetM/edit?usp=sharing"",""สกลนคร!J581"")"),"")</f>
        <v/>
      </c>
      <c r="AX45" s="186">
        <f ca="1">IFERROR(__xludf.DUMMYFUNCTION("IMPORTRANGE(""https://docs.google.com/spreadsheets/d/1QC8psz9w0f9IVE9Xuc2FT_btkaOzZbbUSgYObpBuetM/edit?usp=sharing"",""สกลนคร!J582"")"),0)</f>
        <v>0</v>
      </c>
      <c r="AY45" s="261">
        <f ca="1">IFERROR(__xludf.DUMMYFUNCTION("IMPORTRANGE(""https://docs.google.com/spreadsheets/d/1QC8psz9w0f9IVE9Xuc2FT_btkaOzZbbUSgYObpBuetM/edit?usp=sharing"",""สกลนคร!J583"")"),0)</f>
        <v>0</v>
      </c>
      <c r="AZ45" s="262" t="str">
        <f ca="1">IFERROR(__xludf.DUMMYFUNCTION("IMPORTRANGE(""https://docs.google.com/spreadsheets/d/1QC8psz9w0f9IVE9Xuc2FT_btkaOzZbbUSgYObpBuetM/edit?usp=sharing"",""สกลนคร!J584"")"),"")</f>
        <v/>
      </c>
      <c r="BA45" s="261" t="str">
        <f ca="1">IFERROR(__xludf.DUMMYFUNCTION("IMPORTRANGE(""https://docs.google.com/spreadsheets/d/1QC8psz9w0f9IVE9Xuc2FT_btkaOzZbbUSgYObpBuetM/edit?usp=sharing"",""สกลนคร!J585"")"),"")</f>
        <v/>
      </c>
      <c r="BB45" s="262" t="str">
        <f ca="1">IFERROR(__xludf.DUMMYFUNCTION("IMPORTRANGE(""https://docs.google.com/spreadsheets/d/1QC8psz9w0f9IVE9Xuc2FT_btkaOzZbbUSgYObpBuetM/edit?usp=sharing"",""สกลนคร!J586"")"),"")</f>
        <v/>
      </c>
      <c r="BC45" s="261" t="str">
        <f ca="1">IFERROR(__xludf.DUMMYFUNCTION("IMPORTRANGE(""https://docs.google.com/spreadsheets/d/1QC8psz9w0f9IVE9Xuc2FT_btkaOzZbbUSgYObpBuetM/edit?usp=sharing"",""สกลนคร!J587"")"),"")</f>
        <v/>
      </c>
      <c r="BD45" s="186">
        <f ca="1">IFERROR(__xludf.DUMMYFUNCTION("IMPORTRANGE(""https://docs.google.com/spreadsheets/d/1QC8psz9w0f9IVE9Xuc2FT_btkaOzZbbUSgYObpBuetM/edit?usp=sharing"",""สกลนคร!J588"")"),0)</f>
        <v>0</v>
      </c>
      <c r="BE45" s="261">
        <f ca="1">IFERROR(__xludf.DUMMYFUNCTION("IMPORTRANGE(""https://docs.google.com/spreadsheets/d/1QC8psz9w0f9IVE9Xuc2FT_btkaOzZbbUSgYObpBuetM/edit?usp=sharing"",""สกลนคร!J589"")"),0)</f>
        <v>0</v>
      </c>
      <c r="BF45" s="186">
        <f ca="1">IFERROR(__xludf.DUMMYFUNCTION("IMPORTRANGE(""https://docs.google.com/spreadsheets/d/1QC8psz9w0f9IVE9Xuc2FT_btkaOzZbbUSgYObpBuetM/edit?usp=sharing"",""สกลนคร!J590"")"),0)</f>
        <v>0</v>
      </c>
      <c r="BG45" s="261">
        <f ca="1">IFERROR(__xludf.DUMMYFUNCTION("IMPORTRANGE(""https://docs.google.com/spreadsheets/d/1QC8psz9w0f9IVE9Xuc2FT_btkaOzZbbUSgYObpBuetM/edit?usp=sharing"",""สกลนคร!J591"")"),0)</f>
        <v>0</v>
      </c>
      <c r="BH45" s="181">
        <f ca="1">IFERROR(__xludf.DUMMYFUNCTION("IMPORTRANGE(""https://docs.google.com/spreadsheets/d/1QC8psz9w0f9IVE9Xuc2FT_btkaOzZbbUSgYObpBuetM/edit?usp=sharing"",""สกลนคร!I593"")"),1220.6)</f>
        <v>1220.5999999999999</v>
      </c>
      <c r="BI45" s="181">
        <f ca="1">IFERROR(__xludf.DUMMYFUNCTION("IMPORTRANGE(""https://docs.google.com/spreadsheets/d/1QC8psz9w0f9IVE9Xuc2FT_btkaOzZbbUSgYObpBuetM/edit?usp=sharing"",""สกลนคร!I594"")"),107)</f>
        <v>107</v>
      </c>
      <c r="BJ45" s="186">
        <f ca="1">IFERROR(__xludf.DUMMYFUNCTION("IMPORTRANGE(""https://docs.google.com/spreadsheets/d/1QC8psz9w0f9IVE9Xuc2FT_btkaOzZbbUSgYObpBuetM/edit?usp=sharing"",""สกลนคร!J593"")"),632)</f>
        <v>632</v>
      </c>
      <c r="BK45" s="186">
        <f t="shared" ca="1" si="36"/>
        <v>51.777814189742756</v>
      </c>
      <c r="BL45" s="181">
        <f ca="1">IFERROR(__xludf.DUMMYFUNCTION("IMPORTRANGE(""https://docs.google.com/spreadsheets/d/1QC8psz9w0f9IVE9Xuc2FT_btkaOzZbbUSgYObpBuetM/edit?usp=sharing"",""สกลนคร!J594"")"),59)</f>
        <v>59</v>
      </c>
      <c r="BM45" s="186">
        <f t="shared" ca="1" si="16"/>
        <v>55.140186915887853</v>
      </c>
      <c r="BN45" s="186">
        <f ca="1">IFERROR(__xludf.DUMMYFUNCTION("IMPORTRANGE(""https://docs.google.com/spreadsheets/d/1QC8psz9w0f9IVE9Xuc2FT_btkaOzZbbUSgYObpBuetM/edit?usp=sharing"",""สกลนคร!J595"")"),619)</f>
        <v>619</v>
      </c>
      <c r="BO45" s="261">
        <f ca="1">IFERROR(__xludf.DUMMYFUNCTION("IMPORTRANGE(""https://docs.google.com/spreadsheets/d/1QC8psz9w0f9IVE9Xuc2FT_btkaOzZbbUSgYObpBuetM/edit?usp=sharing"",""สกลนคร!J596"")"),58)</f>
        <v>58</v>
      </c>
      <c r="BP45" s="186">
        <f ca="1">IFERROR(__xludf.DUMMYFUNCTION("IMPORTRANGE(""https://docs.google.com/spreadsheets/d/1QC8psz9w0f9IVE9Xuc2FT_btkaOzZbbUSgYObpBuetM/edit?usp=sharing"",""สกลนคร!J597"")"),619)</f>
        <v>619</v>
      </c>
      <c r="BQ45" s="261">
        <f ca="1">IFERROR(__xludf.DUMMYFUNCTION("IMPORTRANGE(""https://docs.google.com/spreadsheets/d/1QC8psz9w0f9IVE9Xuc2FT_btkaOzZbbUSgYObpBuetM/edit?usp=sharing"",""สกลนคร!J598"")"),58)</f>
        <v>58</v>
      </c>
      <c r="BR45" s="186">
        <f ca="1">IFERROR(__xludf.DUMMYFUNCTION("IMPORTRANGE(""https://docs.google.com/spreadsheets/d/1QC8psz9w0f9IVE9Xuc2FT_btkaOzZbbUSgYObpBuetM/edit?usp=sharing"",""สกลนคร!J599"")"),0)</f>
        <v>0</v>
      </c>
      <c r="BS45" s="261">
        <f ca="1">IFERROR(__xludf.DUMMYFUNCTION("IMPORTRANGE(""https://docs.google.com/spreadsheets/d/1QC8psz9w0f9IVE9Xuc2FT_btkaOzZbbUSgYObpBuetM/edit?usp=sharing"",""สกลนคร!J600"")"),0)</f>
        <v>0</v>
      </c>
      <c r="BT45" s="262">
        <f ca="1">IFERROR(__xludf.DUMMYFUNCTION("IMPORTRANGE(""https://docs.google.com/spreadsheets/d/1QC8psz9w0f9IVE9Xuc2FT_btkaOzZbbUSgYObpBuetM/edit?usp=sharing"",""สกลนคร!J601"")"),0)</f>
        <v>0</v>
      </c>
      <c r="BU45" s="261">
        <f ca="1">IFERROR(__xludf.DUMMYFUNCTION("IMPORTRANGE(""https://docs.google.com/spreadsheets/d/1QC8psz9w0f9IVE9Xuc2FT_btkaOzZbbUSgYObpBuetM/edit?usp=sharing"",""สกลนคร!J602"")"),0)</f>
        <v>0</v>
      </c>
      <c r="BV45" s="186">
        <f ca="1">IFERROR(__xludf.DUMMYFUNCTION("IMPORTRANGE(""https://docs.google.com/spreadsheets/d/1QC8psz9w0f9IVE9Xuc2FT_btkaOzZbbUSgYObpBuetM/edit?usp=sharing"",""สกลนคร!J603"")"),13)</f>
        <v>13</v>
      </c>
      <c r="BW45" s="261">
        <f ca="1">IFERROR(__xludf.DUMMYFUNCTION("IMPORTRANGE(""https://docs.google.com/spreadsheets/d/1QC8psz9w0f9IVE9Xuc2FT_btkaOzZbbUSgYObpBuetM/edit?usp=sharing"",""สกลนคร!J604"")"),1)</f>
        <v>1</v>
      </c>
      <c r="BX45" s="186">
        <f ca="1">IFERROR(__xludf.DUMMYFUNCTION("IMPORTRANGE(""https://docs.google.com/spreadsheets/d/1QC8psz9w0f9IVE9Xuc2FT_btkaOzZbbUSgYObpBuetM/edit?usp=sharing"",""สกลนคร!J605"")"),13)</f>
        <v>13</v>
      </c>
      <c r="BY45" s="261">
        <f ca="1">IFERROR(__xludf.DUMMYFUNCTION("IMPORTRANGE(""https://docs.google.com/spreadsheets/d/1QC8psz9w0f9IVE9Xuc2FT_btkaOzZbbUSgYObpBuetM/edit?usp=sharing"",""สกลนคร!J606"")"),1)</f>
        <v>1</v>
      </c>
      <c r="BZ45" s="186">
        <f ca="1">IFERROR(__xludf.DUMMYFUNCTION("IMPORTRANGE(""https://docs.google.com/spreadsheets/d/1QC8psz9w0f9IVE9Xuc2FT_btkaOzZbbUSgYObpBuetM/edit?usp=sharing"",""สกลนคร!J607"")"),0)</f>
        <v>0</v>
      </c>
      <c r="CA45" s="261">
        <f ca="1">IFERROR(__xludf.DUMMYFUNCTION("IMPORTRANGE(""https://docs.google.com/spreadsheets/d/1QC8psz9w0f9IVE9Xuc2FT_btkaOzZbbUSgYObpBuetM/edit?usp=sharing"",""สกลนคร!J608"")"),0)</f>
        <v>0</v>
      </c>
      <c r="CB45" s="186">
        <f ca="1">IFERROR(__xludf.DUMMYFUNCTION("IMPORTRANGE(""https://docs.google.com/spreadsheets/d/1QC8psz9w0f9IVE9Xuc2FT_btkaOzZbbUSgYObpBuetM/edit?usp=sharing"",""สกลนคร!J609"")"),0)</f>
        <v>0</v>
      </c>
      <c r="CC45" s="261">
        <f ca="1">IFERROR(__xludf.DUMMYFUNCTION("IMPORTRANGE(""https://docs.google.com/spreadsheets/d/1QC8psz9w0f9IVE9Xuc2FT_btkaOzZbbUSgYObpBuetM/edit?usp=sharing"",""สกลนคร!J610"")"),0)</f>
        <v>0</v>
      </c>
      <c r="CD45" s="261">
        <f ca="1">IFERROR(__xludf.DUMMYFUNCTION("IMPORTRANGE(""https://docs.google.com/spreadsheets/d/1QC8psz9w0f9IVE9Xuc2FT_btkaOzZbbUSgYObpBuetM/edit?usp=sharing"",""สกลนคร!I612"")"),0)</f>
        <v>0</v>
      </c>
      <c r="CE45" s="261">
        <f ca="1">IFERROR(__xludf.DUMMYFUNCTION("IMPORTRANGE(""https://docs.google.com/spreadsheets/d/1QC8psz9w0f9IVE9Xuc2FT_btkaOzZbbUSgYObpBuetM/edit?usp=sharing"",""สกลนคร!I594"")"),107)</f>
        <v>107</v>
      </c>
      <c r="CF45" s="262">
        <f ca="1">IFERROR(__xludf.DUMMYFUNCTION("IMPORTRANGE(""https://docs.google.com/spreadsheets/d/1QC8psz9w0f9IVE9Xuc2FT_btkaOzZbbUSgYObpBuetM/edit?usp=sharing"",""สกลนคร!J612"")"),0)</f>
        <v>0</v>
      </c>
      <c r="CG45" s="262">
        <f t="shared" ca="1" si="37"/>
        <v>0</v>
      </c>
      <c r="CH45" s="261">
        <f ca="1">IFERROR(__xludf.DUMMYFUNCTION("IMPORTRANGE(""https://docs.google.com/spreadsheets/d/1QC8psz9w0f9IVE9Xuc2FT_btkaOzZbbUSgYObpBuetM/edit?usp=sharing"",""สกลนคร!J613"")"),0)</f>
        <v>0</v>
      </c>
      <c r="CI45" s="262">
        <f t="shared" ca="1" si="19"/>
        <v>0</v>
      </c>
      <c r="CJ45" s="186">
        <f ca="1">IFERROR(__xludf.DUMMYFUNCTION("IMPORTRANGE(""https://docs.google.com/spreadsheets/d/1QC8psz9w0f9IVE9Xuc2FT_btkaOzZbbUSgYObpBuetM/edit?usp=sharing"",""สกลนคร!J614"")"),0)</f>
        <v>0</v>
      </c>
      <c r="CK45" s="261">
        <f ca="1">IFERROR(__xludf.DUMMYFUNCTION("IMPORTRANGE(""https://docs.google.com/spreadsheets/d/1QC8psz9w0f9IVE9Xuc2FT_btkaOzZbbUSgYObpBuetM/edit?usp=sharing"",""สกลนคร!J615"")"),0)</f>
        <v>0</v>
      </c>
      <c r="CL45" s="186">
        <f ca="1">IFERROR(__xludf.DUMMYFUNCTION("IMPORTRANGE(""https://docs.google.com/spreadsheets/d/1QC8psz9w0f9IVE9Xuc2FT_btkaOzZbbUSgYObpBuetM/edit?usp=sharing"",""สกลนคร!J616"")"),0)</f>
        <v>0</v>
      </c>
      <c r="CM45" s="261">
        <f ca="1">IFERROR(__xludf.DUMMYFUNCTION("IMPORTRANGE(""https://docs.google.com/spreadsheets/d/1QC8psz9w0f9IVE9Xuc2FT_btkaOzZbbUSgYObpBuetM/edit?usp=sharing"",""สกลนคร!J617"")"),0)</f>
        <v>0</v>
      </c>
      <c r="CN45" s="261">
        <f ca="1">IFERROR(__xludf.DUMMYFUNCTION("IMPORTRANGE(""https://docs.google.com/spreadsheets/d/1QC8psz9w0f9IVE9Xuc2FT_btkaOzZbbUSgYObpBuetM/edit?usp=sharing"",""สกลนคร!I620"")"),24)</f>
        <v>24</v>
      </c>
      <c r="CO45" s="261">
        <f ca="1">IFERROR(__xludf.DUMMYFUNCTION("IMPORTRANGE(""https://docs.google.com/spreadsheets/d/1QC8psz9w0f9IVE9Xuc2FT_btkaOzZbbUSgYObpBuetM/edit?usp=sharing"",""สกลนคร!I621"")"),1)</f>
        <v>1</v>
      </c>
      <c r="CP45" s="262">
        <f ca="1">IFERROR(__xludf.DUMMYFUNCTION("IMPORTRANGE(""https://docs.google.com/spreadsheets/d/1QC8psz9w0f9IVE9Xuc2FT_btkaOzZbbUSgYObpBuetM/edit?usp=sharing"",""สกลนคร!J620"")"),0)</f>
        <v>0</v>
      </c>
      <c r="CQ45" s="262">
        <f t="shared" ca="1" si="38"/>
        <v>0</v>
      </c>
      <c r="CR45" s="261">
        <f ca="1">IFERROR(__xludf.DUMMYFUNCTION("IMPORTRANGE(""https://docs.google.com/spreadsheets/d/1QC8psz9w0f9IVE9Xuc2FT_btkaOzZbbUSgYObpBuetM/edit?usp=sharing"",""สกลนคร!J621"")"),0)</f>
        <v>0</v>
      </c>
      <c r="CS45" s="262">
        <f t="shared" ca="1" si="22"/>
        <v>0</v>
      </c>
      <c r="CT45" s="186" t="str">
        <f ca="1">IFERROR(__xludf.DUMMYFUNCTION("IMPORTRANGE(""https://docs.google.com/spreadsheets/d/1QC8psz9w0f9IVE9Xuc2FT_btkaOzZbbUSgYObpBuetM/edit?usp=sharing"",""สกลนคร!J622"")"),"")</f>
        <v/>
      </c>
      <c r="CU45" s="261" t="str">
        <f ca="1">IFERROR(__xludf.DUMMYFUNCTION("IMPORTRANGE(""https://docs.google.com/spreadsheets/d/1QC8psz9w0f9IVE9Xuc2FT_btkaOzZbbUSgYObpBuetM/edit?usp=sharing"",""สกลนคร!J623"")"),"")</f>
        <v/>
      </c>
      <c r="CV45" s="186" t="str">
        <f ca="1">IFERROR(__xludf.DUMMYFUNCTION("IMPORTRANGE(""https://docs.google.com/spreadsheets/d/1QC8psz9w0f9IVE9Xuc2FT_btkaOzZbbUSgYObpBuetM/edit?usp=sharing"",""สกลนคร!J624"")"),"")</f>
        <v/>
      </c>
      <c r="CW45" s="261" t="str">
        <f ca="1">IFERROR(__xludf.DUMMYFUNCTION("IMPORTRANGE(""https://docs.google.com/spreadsheets/d/1QC8psz9w0f9IVE9Xuc2FT_btkaOzZbbUSgYObpBuetM/edit?usp=sharing"",""สกลนคร!J625"")"),"")</f>
        <v/>
      </c>
      <c r="CX45" s="186" t="str">
        <f ca="1">IFERROR(__xludf.DUMMYFUNCTION("IMPORTRANGE(""https://docs.google.com/spreadsheets/d/1QC8psz9w0f9IVE9Xuc2FT_btkaOzZbbUSgYObpBuetM/edit?usp=sharing"",""สกลนคร!J626"")"),"")</f>
        <v/>
      </c>
      <c r="CY45" s="261" t="str">
        <f ca="1">IFERROR(__xludf.DUMMYFUNCTION("IMPORTRANGE(""https://docs.google.com/spreadsheets/d/1QC8psz9w0f9IVE9Xuc2FT_btkaOzZbbUSgYObpBuetM/edit?usp=sharing"",""สกลนคร!J627"")"),"")</f>
        <v/>
      </c>
    </row>
    <row r="46" spans="1:103" ht="21" customHeight="1" x14ac:dyDescent="0.3">
      <c r="A46" s="178">
        <v>15</v>
      </c>
      <c r="B46" s="179" t="s">
        <v>63</v>
      </c>
      <c r="C46" s="180">
        <f t="shared" ca="1" si="60"/>
        <v>594850</v>
      </c>
      <c r="D46" s="181">
        <f ca="1">IFERROR(__xludf.DUMMYFUNCTION("IMPORTRANGE(""https://docs.google.com/spreadsheets/d/1wPdvRbu02d33MYVlbsCnyTiZpefEBs9NNktAnT1HZvw/edit?usp=sharing"",""สุรินทร์!L549"")"),594850)</f>
        <v>594850</v>
      </c>
      <c r="E46" s="187">
        <f ca="1">IFERROR(__xludf.DUMMYFUNCTION("IMPORTRANGE(""https://docs.google.com/spreadsheets/d/1wPdvRbu02d33MYVlbsCnyTiZpefEBs9NNktAnT1HZvw/edit?usp=sharing"",""สุรินทร์!L557"")"),0)</f>
        <v>0</v>
      </c>
      <c r="F46" s="182">
        <f t="shared" ca="1" si="1"/>
        <v>175534.8</v>
      </c>
      <c r="G46" s="183">
        <f t="shared" ca="1" si="2"/>
        <v>29.509086324283434</v>
      </c>
      <c r="H46" s="184">
        <f t="shared" ca="1" si="61"/>
        <v>175534.8</v>
      </c>
      <c r="I46" s="187">
        <f ca="1">IFERROR(__xludf.DUMMYFUNCTION("IMPORTRANGE(""https://docs.google.com/spreadsheets/d/1wPdvRbu02d33MYVlbsCnyTiZpefEBs9NNktAnT1HZvw/edit?usp=sharing"",""สุรินทร์!N550"")"),0)</f>
        <v>0</v>
      </c>
      <c r="J46" s="187">
        <f ca="1">IFERROR(__xludf.DUMMYFUNCTION("IMPORTRANGE(""https://docs.google.com/spreadsheets/d/1wPdvRbu02d33MYVlbsCnyTiZpefEBs9NNktAnT1HZvw/edit?usp=sharing"",""สุรินทร์!N551"")"),0)</f>
        <v>0</v>
      </c>
      <c r="K46" s="187">
        <f ca="1">IFERROR(__xludf.DUMMYFUNCTION("IMPORTRANGE(""https://docs.google.com/spreadsheets/d/1wPdvRbu02d33MYVlbsCnyTiZpefEBs9NNktAnT1HZvw/edit?usp=sharing"",""สุรินทร์!N552"")"),37320)</f>
        <v>37320</v>
      </c>
      <c r="L46" s="187">
        <f ca="1">IFERROR(__xludf.DUMMYFUNCTION("IMPORTRANGE(""https://docs.google.com/spreadsheets/d/1wPdvRbu02d33MYVlbsCnyTiZpefEBs9NNktAnT1HZvw/edit?usp=sharing"",""สุรินทร์!N553"")"),138214.8)</f>
        <v>138214.79999999999</v>
      </c>
      <c r="M46" s="187">
        <f ca="1">IFERROR(__xludf.DUMMYFUNCTION("IMPORTRANGE(""https://docs.google.com/spreadsheets/d/1wPdvRbu02d33MYVlbsCnyTiZpefEBs9NNktAnT1HZvw/edit?usp=sharing"",""สุรินทร์!N554"")"),0)</f>
        <v>0</v>
      </c>
      <c r="N46" s="185">
        <f ca="1">IFERROR(__xludf.DUMMYFUNCTION("IMPORTRANGE(""https://docs.google.com/spreadsheets/d/1wPdvRbu02d33MYVlbsCnyTiZpefEBs9NNktAnT1HZvw/edit?usp=sharing"",""สุรินทร์!N557"")"),0)</f>
        <v>0</v>
      </c>
      <c r="O46" s="185">
        <f t="shared" ca="1" si="41"/>
        <v>0</v>
      </c>
      <c r="P46" s="181">
        <f ca="1">IFERROR(__xludf.DUMMYFUNCTION("IMPORTRANGE(""https://docs.google.com/spreadsheets/d/1wPdvRbu02d33MYVlbsCnyTiZpefEBs9NNktAnT1HZvw/edit?usp=sharing"",""สุรินทร์!I560"")"),73156)</f>
        <v>73156</v>
      </c>
      <c r="Q46" s="181">
        <f ca="1">IFERROR(__xludf.DUMMYFUNCTION("IMPORTRANGE(""https://docs.google.com/spreadsheets/d/1wPdvRbu02d33MYVlbsCnyTiZpefEBs9NNktAnT1HZvw/edit?usp=sharing"",""สุรินทร์!I561"")"),11185)</f>
        <v>11185</v>
      </c>
      <c r="R46" s="186">
        <f ca="1">IFERROR(__xludf.DUMMYFUNCTION("IMPORTRANGE(""https://docs.google.com/spreadsheets/d/1wPdvRbu02d33MYVlbsCnyTiZpefEBs9NNktAnT1HZvw/edit?usp=sharing"",""สุรินทร์!J560"")"),73151)</f>
        <v>73151</v>
      </c>
      <c r="S46" s="186">
        <f t="shared" ca="1" si="33"/>
        <v>99.993165290611842</v>
      </c>
      <c r="T46" s="181">
        <f ca="1">IFERROR(__xludf.DUMMYFUNCTION("IMPORTRANGE(""https://docs.google.com/spreadsheets/d/1wPdvRbu02d33MYVlbsCnyTiZpefEBs9NNktAnT1HZvw/edit?usp=sharing"",""สุรินทร์!J561"")"),11185)</f>
        <v>11185</v>
      </c>
      <c r="U46" s="186">
        <f t="shared" ca="1" si="7"/>
        <v>100</v>
      </c>
      <c r="V46" s="186">
        <f ca="1">IFERROR(__xludf.DUMMYFUNCTION("IMPORTRANGE(""https://docs.google.com/spreadsheets/d/1wPdvRbu02d33MYVlbsCnyTiZpefEBs9NNktAnT1HZvw/edit?usp=sharing"",""สุรินทร์!J562"")"),51046)</f>
        <v>51046</v>
      </c>
      <c r="W46" s="261">
        <f ca="1">IFERROR(__xludf.DUMMYFUNCTION("IMPORTRANGE(""https://docs.google.com/spreadsheets/d/1wPdvRbu02d33MYVlbsCnyTiZpefEBs9NNktAnT1HZvw/edit?usp=sharing"",""สุรินทร์!J563"")"),8852)</f>
        <v>8852</v>
      </c>
      <c r="X46" s="186">
        <f ca="1">IFERROR(__xludf.DUMMYFUNCTION("IMPORTRANGE(""https://docs.google.com/spreadsheets/d/1wPdvRbu02d33MYVlbsCnyTiZpefEBs9NNktAnT1HZvw/edit?usp=sharing"",""สุรินทร์!J564"")"),18662)</f>
        <v>18662</v>
      </c>
      <c r="Y46" s="261">
        <f ca="1">IFERROR(__xludf.DUMMYFUNCTION("IMPORTRANGE(""https://docs.google.com/spreadsheets/d/1wPdvRbu02d33MYVlbsCnyTiZpefEBs9NNktAnT1HZvw/edit?usp=sharing"",""สุรินทร์!J565"")"),1844)</f>
        <v>1844</v>
      </c>
      <c r="Z46" s="186">
        <f ca="1">IFERROR(__xludf.DUMMYFUNCTION("IMPORTRANGE(""https://docs.google.com/spreadsheets/d/1wPdvRbu02d33MYVlbsCnyTiZpefEBs9NNktAnT1HZvw/edit?usp=sharing"",""สุรินทร์!J566"")"),3443)</f>
        <v>3443</v>
      </c>
      <c r="AA46" s="261">
        <f ca="1">IFERROR(__xludf.DUMMYFUNCTION("IMPORTRANGE(""https://docs.google.com/spreadsheets/d/1wPdvRbu02d33MYVlbsCnyTiZpefEBs9NNktAnT1HZvw/edit?usp=sharing"",""สุรินทร์!J567"")"),489)</f>
        <v>489</v>
      </c>
      <c r="AB46" s="181">
        <f ca="1">IFERROR(__xludf.DUMMYFUNCTION("IMPORTRANGE(""https://docs.google.com/spreadsheets/d/1wPdvRbu02d33MYVlbsCnyTiZpefEBs9NNktAnT1HZvw/edit?usp=sharing"",""สุรินทร์!I568"")"),73156)</f>
        <v>73156</v>
      </c>
      <c r="AC46" s="181">
        <f ca="1">IFERROR(__xludf.DUMMYFUNCTION("IMPORTRANGE(""https://docs.google.com/spreadsheets/d/1wPdvRbu02d33MYVlbsCnyTiZpefEBs9NNktAnT1HZvw/edit?usp=sharing"",""สุรินทร์!I569"")"),11185)</f>
        <v>11185</v>
      </c>
      <c r="AD46" s="186">
        <f ca="1">IFERROR(__xludf.DUMMYFUNCTION("IMPORTRANGE(""https://docs.google.com/spreadsheets/d/1wPdvRbu02d33MYVlbsCnyTiZpefEBs9NNktAnT1HZvw/edit?usp=sharing"",""สุรินทร์!J568"")"),41718.6)</f>
        <v>41718.6</v>
      </c>
      <c r="AE46" s="186">
        <f t="shared" ca="1" si="34"/>
        <v>57.026901416151787</v>
      </c>
      <c r="AF46" s="181">
        <f ca="1">IFERROR(__xludf.DUMMYFUNCTION("IMPORTRANGE(""https://docs.google.com/spreadsheets/d/1wPdvRbu02d33MYVlbsCnyTiZpefEBs9NNktAnT1HZvw/edit?usp=sharing"",""สุรินทร์!J569"")"),6437)</f>
        <v>6437</v>
      </c>
      <c r="AG46" s="186">
        <f t="shared" ca="1" si="10"/>
        <v>57.55029056772463</v>
      </c>
      <c r="AH46" s="186">
        <f ca="1">IFERROR(__xludf.DUMMYFUNCTION("IMPORTRANGE(""https://docs.google.com/spreadsheets/d/1wPdvRbu02d33MYVlbsCnyTiZpefEBs9NNktAnT1HZvw/edit?usp=sharing"",""สุรินทร์!J570"")"),32001)</f>
        <v>32001</v>
      </c>
      <c r="AI46" s="261">
        <f ca="1">IFERROR(__xludf.DUMMYFUNCTION("IMPORTRANGE(""https://docs.google.com/spreadsheets/d/1wPdvRbu02d33MYVlbsCnyTiZpefEBs9NNktAnT1HZvw/edit?usp=sharing"",""สุรินทร์!J571"")"),5450)</f>
        <v>5450</v>
      </c>
      <c r="AJ46" s="186">
        <f ca="1">IFERROR(__xludf.DUMMYFUNCTION("IMPORTRANGE(""https://docs.google.com/spreadsheets/d/1wPdvRbu02d33MYVlbsCnyTiZpefEBs9NNktAnT1HZvw/edit?usp=sharing"",""สุรินทร์!J572"")"),8502)</f>
        <v>8502</v>
      </c>
      <c r="AK46" s="261">
        <f ca="1">IFERROR(__xludf.DUMMYFUNCTION("IMPORTRANGE(""https://docs.google.com/spreadsheets/d/1wPdvRbu02d33MYVlbsCnyTiZpefEBs9NNktAnT1HZvw/edit?usp=sharing"",""สุรินทร์!J573"")"),786)</f>
        <v>786</v>
      </c>
      <c r="AL46" s="186">
        <f ca="1">IFERROR(__xludf.DUMMYFUNCTION("IMPORTRANGE(""https://docs.google.com/spreadsheets/d/1wPdvRbu02d33MYVlbsCnyTiZpefEBs9NNktAnT1HZvw/edit?usp=sharing"",""สุรินทร์!J574"")"),1215.6)</f>
        <v>1215.5999999999999</v>
      </c>
      <c r="AM46" s="261">
        <f ca="1">IFERROR(__xludf.DUMMYFUNCTION("IMPORTRANGE(""https://docs.google.com/spreadsheets/d/1wPdvRbu02d33MYVlbsCnyTiZpefEBs9NNktAnT1HZvw/edit?usp=sharing"",""สุรินทร์!J575"")"),201)</f>
        <v>201</v>
      </c>
      <c r="AN46" s="181">
        <f ca="1">IFERROR(__xludf.DUMMYFUNCTION("IMPORTRANGE(""https://docs.google.com/spreadsheets/d/1wPdvRbu02d33MYVlbsCnyTiZpefEBs9NNktAnT1HZvw/edit?usp=sharing"",""สุรินทร์!I576"")"),73156)</f>
        <v>73156</v>
      </c>
      <c r="AO46" s="181">
        <f ca="1">IFERROR(__xludf.DUMMYFUNCTION("IMPORTRANGE(""https://docs.google.com/spreadsheets/d/1wPdvRbu02d33MYVlbsCnyTiZpefEBs9NNktAnT1HZvw/edit?usp=sharing"",""สุรินทร์!I577"")"),11185)</f>
        <v>11185</v>
      </c>
      <c r="AP46" s="186">
        <f ca="1">IFERROR(__xludf.DUMMYFUNCTION("IMPORTRANGE(""https://docs.google.com/spreadsheets/d/1wPdvRbu02d33MYVlbsCnyTiZpefEBs9NNktAnT1HZvw/edit?usp=sharing"",""สุรินทร์!J576"")"),0)</f>
        <v>0</v>
      </c>
      <c r="AQ46" s="186">
        <f t="shared" ca="1" si="35"/>
        <v>0</v>
      </c>
      <c r="AR46" s="181">
        <f ca="1">IFERROR(__xludf.DUMMYFUNCTION("IMPORTRANGE(""https://docs.google.com/spreadsheets/d/1wPdvRbu02d33MYVlbsCnyTiZpefEBs9NNktAnT1HZvw/edit?usp=sharing"",""สุรินทร์!J577"")"),0)</f>
        <v>0</v>
      </c>
      <c r="AS46" s="186">
        <f t="shared" ca="1" si="13"/>
        <v>0</v>
      </c>
      <c r="AT46" s="186">
        <f ca="1">IFERROR(__xludf.DUMMYFUNCTION("IMPORTRANGE(""https://docs.google.com/spreadsheets/d/1wPdvRbu02d33MYVlbsCnyTiZpefEBs9NNktAnT1HZvw/edit?usp=sharing"",""สุรินทร์!J578"")"),0)</f>
        <v>0</v>
      </c>
      <c r="AU46" s="261">
        <f ca="1">IFERROR(__xludf.DUMMYFUNCTION("IMPORTRANGE(""https://docs.google.com/spreadsheets/d/1wPdvRbu02d33MYVlbsCnyTiZpefEBs9NNktAnT1HZvw/edit?usp=sharing"",""สุรินทร์!J579"")"),0)</f>
        <v>0</v>
      </c>
      <c r="AV46" s="186">
        <f ca="1">IFERROR(__xludf.DUMMYFUNCTION("IMPORTRANGE(""https://docs.google.com/spreadsheets/d/1wPdvRbu02d33MYVlbsCnyTiZpefEBs9NNktAnT1HZvw/edit?usp=sharing"",""สุรินทร์!J580"")"),0)</f>
        <v>0</v>
      </c>
      <c r="AW46" s="261">
        <f ca="1">IFERROR(__xludf.DUMMYFUNCTION("IMPORTRANGE(""https://docs.google.com/spreadsheets/d/1wPdvRbu02d33MYVlbsCnyTiZpefEBs9NNktAnT1HZvw/edit?usp=sharing"",""สุรินทร์!J581"")"),0)</f>
        <v>0</v>
      </c>
      <c r="AX46" s="186">
        <f ca="1">IFERROR(__xludf.DUMMYFUNCTION("IMPORTRANGE(""https://docs.google.com/spreadsheets/d/1wPdvRbu02d33MYVlbsCnyTiZpefEBs9NNktAnT1HZvw/edit?usp=sharing"",""สุรินทร์!J582"")"),0)</f>
        <v>0</v>
      </c>
      <c r="AY46" s="261">
        <f ca="1">IFERROR(__xludf.DUMMYFUNCTION("IMPORTRANGE(""https://docs.google.com/spreadsheets/d/1wPdvRbu02d33MYVlbsCnyTiZpefEBs9NNktAnT1HZvw/edit?usp=sharing"",""สุรินทร์!J583"")"),0)</f>
        <v>0</v>
      </c>
      <c r="AZ46" s="262">
        <f ca="1">IFERROR(__xludf.DUMMYFUNCTION("IMPORTRANGE(""https://docs.google.com/spreadsheets/d/1wPdvRbu02d33MYVlbsCnyTiZpefEBs9NNktAnT1HZvw/edit?usp=sharing"",""สุรินทร์!J584"")"),0)</f>
        <v>0</v>
      </c>
      <c r="BA46" s="261">
        <f ca="1">IFERROR(__xludf.DUMMYFUNCTION("IMPORTRANGE(""https://docs.google.com/spreadsheets/d/1wPdvRbu02d33MYVlbsCnyTiZpefEBs9NNktAnT1HZvw/edit?usp=sharing"",""สุรินทร์!J585"")"),0)</f>
        <v>0</v>
      </c>
      <c r="BB46" s="262">
        <f ca="1">IFERROR(__xludf.DUMMYFUNCTION("IMPORTRANGE(""https://docs.google.com/spreadsheets/d/1wPdvRbu02d33MYVlbsCnyTiZpefEBs9NNktAnT1HZvw/edit?usp=sharing"",""สุรินทร์!J586"")"),0)</f>
        <v>0</v>
      </c>
      <c r="BC46" s="261">
        <f ca="1">IFERROR(__xludf.DUMMYFUNCTION("IMPORTRANGE(""https://docs.google.com/spreadsheets/d/1wPdvRbu02d33MYVlbsCnyTiZpefEBs9NNktAnT1HZvw/edit?usp=sharing"",""สุรินทร์!J587"")"),0)</f>
        <v>0</v>
      </c>
      <c r="BD46" s="186">
        <f ca="1">IFERROR(__xludf.DUMMYFUNCTION("IMPORTRANGE(""https://docs.google.com/spreadsheets/d/1wPdvRbu02d33MYVlbsCnyTiZpefEBs9NNktAnT1HZvw/edit?usp=sharing"",""สุรินทร์!J588"")"),0)</f>
        <v>0</v>
      </c>
      <c r="BE46" s="261">
        <f ca="1">IFERROR(__xludf.DUMMYFUNCTION("IMPORTRANGE(""https://docs.google.com/spreadsheets/d/1wPdvRbu02d33MYVlbsCnyTiZpefEBs9NNktAnT1HZvw/edit?usp=sharing"",""สุรินทร์!J589"")"),0)</f>
        <v>0</v>
      </c>
      <c r="BF46" s="186">
        <f ca="1">IFERROR(__xludf.DUMMYFUNCTION("IMPORTRANGE(""https://docs.google.com/spreadsheets/d/1wPdvRbu02d33MYVlbsCnyTiZpefEBs9NNktAnT1HZvw/edit?usp=sharing"",""สุรินทร์!J590"")"),0)</f>
        <v>0</v>
      </c>
      <c r="BG46" s="261">
        <f ca="1">IFERROR(__xludf.DUMMYFUNCTION("IMPORTRANGE(""https://docs.google.com/spreadsheets/d/1wPdvRbu02d33MYVlbsCnyTiZpefEBs9NNktAnT1HZvw/edit?usp=sharing"",""สุรินทร์!J591"")"),0)</f>
        <v>0</v>
      </c>
      <c r="BH46" s="181">
        <f ca="1">IFERROR(__xludf.DUMMYFUNCTION("IMPORTRANGE(""https://docs.google.com/spreadsheets/d/1wPdvRbu02d33MYVlbsCnyTiZpefEBs9NNktAnT1HZvw/edit?usp=sharing"",""สุรินทร์!I593"")"),4240.65)</f>
        <v>4240.6499999999996</v>
      </c>
      <c r="BI46" s="181">
        <f ca="1">IFERROR(__xludf.DUMMYFUNCTION("IMPORTRANGE(""https://docs.google.com/spreadsheets/d/1wPdvRbu02d33MYVlbsCnyTiZpefEBs9NNktAnT1HZvw/edit?usp=sharing"",""สุรินทร์!I594"")"),384)</f>
        <v>384</v>
      </c>
      <c r="BJ46" s="186">
        <f ca="1">IFERROR(__xludf.DUMMYFUNCTION("IMPORTRANGE(""https://docs.google.com/spreadsheets/d/1wPdvRbu02d33MYVlbsCnyTiZpefEBs9NNktAnT1HZvw/edit?usp=sharing"",""สุรินทร์!J593"")"),374)</f>
        <v>374</v>
      </c>
      <c r="BK46" s="186">
        <f t="shared" ca="1" si="36"/>
        <v>8.8194026859090009</v>
      </c>
      <c r="BL46" s="181">
        <f ca="1">IFERROR(__xludf.DUMMYFUNCTION("IMPORTRANGE(""https://docs.google.com/spreadsheets/d/1wPdvRbu02d33MYVlbsCnyTiZpefEBs9NNktAnT1HZvw/edit?usp=sharing"",""สุรินทร์!J594"")"),34)</f>
        <v>34</v>
      </c>
      <c r="BM46" s="186">
        <f t="shared" ca="1" si="16"/>
        <v>8.8541666666666661</v>
      </c>
      <c r="BN46" s="186">
        <f ca="1">IFERROR(__xludf.DUMMYFUNCTION("IMPORTRANGE(""https://docs.google.com/spreadsheets/d/1wPdvRbu02d33MYVlbsCnyTiZpefEBs9NNktAnT1HZvw/edit?usp=sharing"",""สุรินทร์!J595"")"),360)</f>
        <v>360</v>
      </c>
      <c r="BO46" s="261">
        <f ca="1">IFERROR(__xludf.DUMMYFUNCTION("IMPORTRANGE(""https://docs.google.com/spreadsheets/d/1wPdvRbu02d33MYVlbsCnyTiZpefEBs9NNktAnT1HZvw/edit?usp=sharing"",""สุรินทร์!J596"")"),32)</f>
        <v>32</v>
      </c>
      <c r="BP46" s="186">
        <f ca="1">IFERROR(__xludf.DUMMYFUNCTION("IMPORTRANGE(""https://docs.google.com/spreadsheets/d/1wPdvRbu02d33MYVlbsCnyTiZpefEBs9NNktAnT1HZvw/edit?usp=sharing"",""สุรินทร์!J597"")"),360)</f>
        <v>360</v>
      </c>
      <c r="BQ46" s="261">
        <f ca="1">IFERROR(__xludf.DUMMYFUNCTION("IMPORTRANGE(""https://docs.google.com/spreadsheets/d/1wPdvRbu02d33MYVlbsCnyTiZpefEBs9NNktAnT1HZvw/edit?usp=sharing"",""สุรินทร์!J598"")"),32)</f>
        <v>32</v>
      </c>
      <c r="BR46" s="186">
        <f ca="1">IFERROR(__xludf.DUMMYFUNCTION("IMPORTRANGE(""https://docs.google.com/spreadsheets/d/1wPdvRbu02d33MYVlbsCnyTiZpefEBs9NNktAnT1HZvw/edit?usp=sharing"",""สุรินทร์!J599"")"),0)</f>
        <v>0</v>
      </c>
      <c r="BS46" s="261">
        <f ca="1">IFERROR(__xludf.DUMMYFUNCTION("IMPORTRANGE(""https://docs.google.com/spreadsheets/d/1wPdvRbu02d33MYVlbsCnyTiZpefEBs9NNktAnT1HZvw/edit?usp=sharing"",""สุรินทร์!J600"")"),0)</f>
        <v>0</v>
      </c>
      <c r="BT46" s="262">
        <f ca="1">IFERROR(__xludf.DUMMYFUNCTION("IMPORTRANGE(""https://docs.google.com/spreadsheets/d/1wPdvRbu02d33MYVlbsCnyTiZpefEBs9NNktAnT1HZvw/edit?usp=sharing"",""สุรินทร์!J601"")"),0)</f>
        <v>0</v>
      </c>
      <c r="BU46" s="261">
        <f ca="1">IFERROR(__xludf.DUMMYFUNCTION("IMPORTRANGE(""https://docs.google.com/spreadsheets/d/1wPdvRbu02d33MYVlbsCnyTiZpefEBs9NNktAnT1HZvw/edit?usp=sharing"",""สุรินทร์!J602"")"),0)</f>
        <v>0</v>
      </c>
      <c r="BV46" s="186">
        <f ca="1">IFERROR(__xludf.DUMMYFUNCTION("IMPORTRANGE(""https://docs.google.com/spreadsheets/d/1wPdvRbu02d33MYVlbsCnyTiZpefEBs9NNktAnT1HZvw/edit?usp=sharing"",""สุรินทร์!J603"")"),14)</f>
        <v>14</v>
      </c>
      <c r="BW46" s="261">
        <f ca="1">IFERROR(__xludf.DUMMYFUNCTION("IMPORTRANGE(""https://docs.google.com/spreadsheets/d/1wPdvRbu02d33MYVlbsCnyTiZpefEBs9NNktAnT1HZvw/edit?usp=sharing"",""สุรินทร์!J604"")"),2)</f>
        <v>2</v>
      </c>
      <c r="BX46" s="186">
        <f ca="1">IFERROR(__xludf.DUMMYFUNCTION("IMPORTRANGE(""https://docs.google.com/spreadsheets/d/1wPdvRbu02d33MYVlbsCnyTiZpefEBs9NNktAnT1HZvw/edit?usp=sharing"",""สุรินทร์!J605"")"),0)</f>
        <v>0</v>
      </c>
      <c r="BY46" s="261">
        <f ca="1">IFERROR(__xludf.DUMMYFUNCTION("IMPORTRANGE(""https://docs.google.com/spreadsheets/d/1wPdvRbu02d33MYVlbsCnyTiZpefEBs9NNktAnT1HZvw/edit?usp=sharing"",""สุรินทร์!J606"")"),0)</f>
        <v>0</v>
      </c>
      <c r="BZ46" s="186">
        <f ca="1">IFERROR(__xludf.DUMMYFUNCTION("IMPORTRANGE(""https://docs.google.com/spreadsheets/d/1wPdvRbu02d33MYVlbsCnyTiZpefEBs9NNktAnT1HZvw/edit?usp=sharing"",""สุรินทร์!J607"")"),14)</f>
        <v>14</v>
      </c>
      <c r="CA46" s="261">
        <f ca="1">IFERROR(__xludf.DUMMYFUNCTION("IMPORTRANGE(""https://docs.google.com/spreadsheets/d/1wPdvRbu02d33MYVlbsCnyTiZpefEBs9NNktAnT1HZvw/edit?usp=sharing"",""สุรินทร์!J608"")"),2)</f>
        <v>2</v>
      </c>
      <c r="CB46" s="186">
        <f ca="1">IFERROR(__xludf.DUMMYFUNCTION("IMPORTRANGE(""https://docs.google.com/spreadsheets/d/1wPdvRbu02d33MYVlbsCnyTiZpefEBs9NNktAnT1HZvw/edit?usp=sharing"",""สุรินทร์!J609"")"),0)</f>
        <v>0</v>
      </c>
      <c r="CC46" s="261">
        <f ca="1">IFERROR(__xludf.DUMMYFUNCTION("IMPORTRANGE(""https://docs.google.com/spreadsheets/d/1wPdvRbu02d33MYVlbsCnyTiZpefEBs9NNktAnT1HZvw/edit?usp=sharing"",""สุรินทร์!J610"")"),0)</f>
        <v>0</v>
      </c>
      <c r="CD46" s="261">
        <f ca="1">IFERROR(__xludf.DUMMYFUNCTION("IMPORTRANGE(""https://docs.google.com/spreadsheets/d/1wPdvRbu02d33MYVlbsCnyTiZpefEBs9NNktAnT1HZvw/edit?usp=sharing"",""สุรินทร์!I612"")"),0)</f>
        <v>0</v>
      </c>
      <c r="CE46" s="261">
        <f ca="1">IFERROR(__xludf.DUMMYFUNCTION("IMPORTRANGE(""https://docs.google.com/spreadsheets/d/1wPdvRbu02d33MYVlbsCnyTiZpefEBs9NNktAnT1HZvw/edit?usp=sharing"",""สุรินทร์!I594"")"),384)</f>
        <v>384</v>
      </c>
      <c r="CF46" s="262">
        <f ca="1">IFERROR(__xludf.DUMMYFUNCTION("IMPORTRANGE(""https://docs.google.com/spreadsheets/d/1wPdvRbu02d33MYVlbsCnyTiZpefEBs9NNktAnT1HZvw/edit?usp=sharing"",""สุรินทร์!J612"")"),0)</f>
        <v>0</v>
      </c>
      <c r="CG46" s="262">
        <f t="shared" ca="1" si="37"/>
        <v>0</v>
      </c>
      <c r="CH46" s="261">
        <f ca="1">IFERROR(__xludf.DUMMYFUNCTION("IMPORTRANGE(""https://docs.google.com/spreadsheets/d/1wPdvRbu02d33MYVlbsCnyTiZpefEBs9NNktAnT1HZvw/edit?usp=sharing"",""สุรินทร์!J613"")"),0)</f>
        <v>0</v>
      </c>
      <c r="CI46" s="262">
        <f t="shared" ca="1" si="19"/>
        <v>0</v>
      </c>
      <c r="CJ46" s="186">
        <f ca="1">IFERROR(__xludf.DUMMYFUNCTION("IMPORTRANGE(""https://docs.google.com/spreadsheets/d/1wPdvRbu02d33MYVlbsCnyTiZpefEBs9NNktAnT1HZvw/edit?usp=sharing"",""สุรินทร์!J614"")"),0)</f>
        <v>0</v>
      </c>
      <c r="CK46" s="261">
        <f ca="1">IFERROR(__xludf.DUMMYFUNCTION("IMPORTRANGE(""https://docs.google.com/spreadsheets/d/1wPdvRbu02d33MYVlbsCnyTiZpefEBs9NNktAnT1HZvw/edit?usp=sharing"",""สุรินทร์!J615"")"),0)</f>
        <v>0</v>
      </c>
      <c r="CL46" s="186">
        <f ca="1">IFERROR(__xludf.DUMMYFUNCTION("IMPORTRANGE(""https://docs.google.com/spreadsheets/d/1wPdvRbu02d33MYVlbsCnyTiZpefEBs9NNktAnT1HZvw/edit?usp=sharing"",""สุรินทร์!J616"")"),0)</f>
        <v>0</v>
      </c>
      <c r="CM46" s="261">
        <f ca="1">IFERROR(__xludf.DUMMYFUNCTION("IMPORTRANGE(""https://docs.google.com/spreadsheets/d/1wPdvRbu02d33MYVlbsCnyTiZpefEBs9NNktAnT1HZvw/edit?usp=sharing"",""สุรินทร์!J617"")"),0)</f>
        <v>0</v>
      </c>
      <c r="CN46" s="261">
        <f ca="1">IFERROR(__xludf.DUMMYFUNCTION("IMPORTRANGE(""https://docs.google.com/spreadsheets/d/1wPdvRbu02d33MYVlbsCnyTiZpefEBs9NNktAnT1HZvw/edit?usp=sharing"",""สุรินทร์!I620"")"),73)</f>
        <v>73</v>
      </c>
      <c r="CO46" s="261">
        <f ca="1">IFERROR(__xludf.DUMMYFUNCTION("IMPORTRANGE(""https://docs.google.com/spreadsheets/d/1wPdvRbu02d33MYVlbsCnyTiZpefEBs9NNktAnT1HZvw/edit?usp=sharing"",""สุรินทร์!I621"")"),8)</f>
        <v>8</v>
      </c>
      <c r="CP46" s="262">
        <f ca="1">IFERROR(__xludf.DUMMYFUNCTION("IMPORTRANGE(""https://docs.google.com/spreadsheets/d/1wPdvRbu02d33MYVlbsCnyTiZpefEBs9NNktAnT1HZvw/edit?usp=sharing"",""สุรินทร์!J620"")"),0)</f>
        <v>0</v>
      </c>
      <c r="CQ46" s="262">
        <f t="shared" ca="1" si="38"/>
        <v>0</v>
      </c>
      <c r="CR46" s="261">
        <f ca="1">IFERROR(__xludf.DUMMYFUNCTION("IMPORTRANGE(""https://docs.google.com/spreadsheets/d/1wPdvRbu02d33MYVlbsCnyTiZpefEBs9NNktAnT1HZvw/edit?usp=sharing"",""สุรินทร์!J621"")"),0)</f>
        <v>0</v>
      </c>
      <c r="CS46" s="262">
        <f t="shared" ca="1" si="22"/>
        <v>0</v>
      </c>
      <c r="CT46" s="186">
        <f ca="1">IFERROR(__xludf.DUMMYFUNCTION("IMPORTRANGE(""https://docs.google.com/spreadsheets/d/1wPdvRbu02d33MYVlbsCnyTiZpefEBs9NNktAnT1HZvw/edit?usp=sharing"",""สุรินทร์!J622"")"),0)</f>
        <v>0</v>
      </c>
      <c r="CU46" s="261">
        <f ca="1">IFERROR(__xludf.DUMMYFUNCTION("IMPORTRANGE(""https://docs.google.com/spreadsheets/d/1wPdvRbu02d33MYVlbsCnyTiZpefEBs9NNktAnT1HZvw/edit?usp=sharing"",""สุรินทร์!J623"")"),0)</f>
        <v>0</v>
      </c>
      <c r="CV46" s="186">
        <f ca="1">IFERROR(__xludf.DUMMYFUNCTION("IMPORTRANGE(""https://docs.google.com/spreadsheets/d/1wPdvRbu02d33MYVlbsCnyTiZpefEBs9NNktAnT1HZvw/edit?usp=sharing"",""สุรินทร์!J624"")"),0)</f>
        <v>0</v>
      </c>
      <c r="CW46" s="261">
        <f ca="1">IFERROR(__xludf.DUMMYFUNCTION("IMPORTRANGE(""https://docs.google.com/spreadsheets/d/1wPdvRbu02d33MYVlbsCnyTiZpefEBs9NNktAnT1HZvw/edit?usp=sharing"",""สุรินทร์!J625"")"),0)</f>
        <v>0</v>
      </c>
      <c r="CX46" s="186">
        <f ca="1">IFERROR(__xludf.DUMMYFUNCTION("IMPORTRANGE(""https://docs.google.com/spreadsheets/d/1wPdvRbu02d33MYVlbsCnyTiZpefEBs9NNktAnT1HZvw/edit?usp=sharing"",""สุรินทร์!J626"")"),0)</f>
        <v>0</v>
      </c>
      <c r="CY46" s="261">
        <f ca="1">IFERROR(__xludf.DUMMYFUNCTION("IMPORTRANGE(""https://docs.google.com/spreadsheets/d/1wPdvRbu02d33MYVlbsCnyTiZpefEBs9NNktAnT1HZvw/edit?usp=sharing"",""สุรินทร์!J627"")"),0)</f>
        <v>0</v>
      </c>
    </row>
    <row r="47" spans="1:103" ht="21" customHeight="1" x14ac:dyDescent="0.3">
      <c r="A47" s="178">
        <v>16</v>
      </c>
      <c r="B47" s="179" t="s">
        <v>64</v>
      </c>
      <c r="C47" s="180">
        <f t="shared" ca="1" si="60"/>
        <v>361311</v>
      </c>
      <c r="D47" s="181">
        <f ca="1">IFERROR(__xludf.DUMMYFUNCTION("IMPORTRANGE(""https://docs.google.com/spreadsheets/d/1GVExpf-Exi_2gmuqTYH28fseTB9MoKPXWcXCbSt_YrM/edit?usp=sharing"",""หนองคาย!L549"")"),361311)</f>
        <v>361311</v>
      </c>
      <c r="E47" s="187">
        <f ca="1">IFERROR(__xludf.DUMMYFUNCTION("IMPORTRANGE(""https://docs.google.com/spreadsheets/d/1GVExpf-Exi_2gmuqTYH28fseTB9MoKPXWcXCbSt_YrM/edit?usp=sharing"",""หนองคาย!L557"")"),0)</f>
        <v>0</v>
      </c>
      <c r="F47" s="182">
        <f t="shared" ca="1" si="1"/>
        <v>219593</v>
      </c>
      <c r="G47" s="183">
        <f t="shared" ca="1" si="2"/>
        <v>60.776726974822246</v>
      </c>
      <c r="H47" s="184">
        <f t="shared" ca="1" si="61"/>
        <v>219593</v>
      </c>
      <c r="I47" s="187">
        <f ca="1">IFERROR(__xludf.DUMMYFUNCTION("IMPORTRANGE(""https://docs.google.com/spreadsheets/d/1GVExpf-Exi_2gmuqTYH28fseTB9MoKPXWcXCbSt_YrM/edit?usp=sharing"",""หนองคาย!N550"")"),0)</f>
        <v>0</v>
      </c>
      <c r="J47" s="187">
        <f ca="1">IFERROR(__xludf.DUMMYFUNCTION("IMPORTRANGE(""https://docs.google.com/spreadsheets/d/1GVExpf-Exi_2gmuqTYH28fseTB9MoKPXWcXCbSt_YrM/edit?usp=sharing"",""หนองคาย!N551"")"),0)</f>
        <v>0</v>
      </c>
      <c r="K47" s="187">
        <f ca="1">IFERROR(__xludf.DUMMYFUNCTION("IMPORTRANGE(""https://docs.google.com/spreadsheets/d/1GVExpf-Exi_2gmuqTYH28fseTB9MoKPXWcXCbSt_YrM/edit?usp=sharing"",""หนองคาย!N552"")"),52000)</f>
        <v>52000</v>
      </c>
      <c r="L47" s="187">
        <f ca="1">IFERROR(__xludf.DUMMYFUNCTION("IMPORTRANGE(""https://docs.google.com/spreadsheets/d/1GVExpf-Exi_2gmuqTYH28fseTB9MoKPXWcXCbSt_YrM/edit?usp=sharing"",""หนองคาย!N553"")"),167593)</f>
        <v>167593</v>
      </c>
      <c r="M47" s="187">
        <f ca="1">IFERROR(__xludf.DUMMYFUNCTION("IMPORTRANGE(""https://docs.google.com/spreadsheets/d/1GVExpf-Exi_2gmuqTYH28fseTB9MoKPXWcXCbSt_YrM/edit?usp=sharing"",""หนองคาย!N554"")"),0)</f>
        <v>0</v>
      </c>
      <c r="N47" s="185">
        <f ca="1">IFERROR(__xludf.DUMMYFUNCTION("IMPORTRANGE(""https://docs.google.com/spreadsheets/d/1GVExpf-Exi_2gmuqTYH28fseTB9MoKPXWcXCbSt_YrM/edit?usp=sharing"",""หนองคาย!N557"")"),0)</f>
        <v>0</v>
      </c>
      <c r="O47" s="185">
        <f t="shared" ca="1" si="41"/>
        <v>0</v>
      </c>
      <c r="P47" s="181">
        <f ca="1">IFERROR(__xludf.DUMMYFUNCTION("IMPORTRANGE(""https://docs.google.com/spreadsheets/d/1GVExpf-Exi_2gmuqTYH28fseTB9MoKPXWcXCbSt_YrM/edit?usp=sharing"",""หนองคาย!I560"")"),3345)</f>
        <v>3345</v>
      </c>
      <c r="Q47" s="181">
        <f ca="1">IFERROR(__xludf.DUMMYFUNCTION("IMPORTRANGE(""https://docs.google.com/spreadsheets/d/1GVExpf-Exi_2gmuqTYH28fseTB9MoKPXWcXCbSt_YrM/edit?usp=sharing"",""หนองคาย!I561"")"),1178)</f>
        <v>1178</v>
      </c>
      <c r="R47" s="186">
        <f ca="1">IFERROR(__xludf.DUMMYFUNCTION("IMPORTRANGE(""https://docs.google.com/spreadsheets/d/1GVExpf-Exi_2gmuqTYH28fseTB9MoKPXWcXCbSt_YrM/edit?usp=sharing"",""หนองคาย!J560"")"),3528.72)</f>
        <v>3528.72</v>
      </c>
      <c r="S47" s="186">
        <f t="shared" ca="1" si="33"/>
        <v>105.49237668161435</v>
      </c>
      <c r="T47" s="181">
        <f ca="1">IFERROR(__xludf.DUMMYFUNCTION("IMPORTRANGE(""https://docs.google.com/spreadsheets/d/1GVExpf-Exi_2gmuqTYH28fseTB9MoKPXWcXCbSt_YrM/edit?usp=sharing"",""หนองคาย!J561"")"),1220)</f>
        <v>1220</v>
      </c>
      <c r="U47" s="186">
        <f t="shared" ca="1" si="7"/>
        <v>103.56536502546689</v>
      </c>
      <c r="V47" s="186">
        <f ca="1">IFERROR(__xludf.DUMMYFUNCTION("IMPORTRANGE(""https://docs.google.com/spreadsheets/d/1GVExpf-Exi_2gmuqTYH28fseTB9MoKPXWcXCbSt_YrM/edit?usp=sharing"",""หนองคาย!J562"")"),3138.22)</f>
        <v>3138.22</v>
      </c>
      <c r="W47" s="261">
        <f ca="1">IFERROR(__xludf.DUMMYFUNCTION("IMPORTRANGE(""https://docs.google.com/spreadsheets/d/1GVExpf-Exi_2gmuqTYH28fseTB9MoKPXWcXCbSt_YrM/edit?usp=sharing"",""หนองคาย!J563"")"),1122)</f>
        <v>1122</v>
      </c>
      <c r="X47" s="186">
        <f ca="1">IFERROR(__xludf.DUMMYFUNCTION("IMPORTRANGE(""https://docs.google.com/spreadsheets/d/1GVExpf-Exi_2gmuqTYH28fseTB9MoKPXWcXCbSt_YrM/edit?usp=sharing"",""หนองคาย!J564"")"),304)</f>
        <v>304</v>
      </c>
      <c r="Y47" s="261">
        <f ca="1">IFERROR(__xludf.DUMMYFUNCTION("IMPORTRANGE(""https://docs.google.com/spreadsheets/d/1GVExpf-Exi_2gmuqTYH28fseTB9MoKPXWcXCbSt_YrM/edit?usp=sharing"",""หนองคาย!J565"")"),80)</f>
        <v>80</v>
      </c>
      <c r="Z47" s="186">
        <f ca="1">IFERROR(__xludf.DUMMYFUNCTION("IMPORTRANGE(""https://docs.google.com/spreadsheets/d/1GVExpf-Exi_2gmuqTYH28fseTB9MoKPXWcXCbSt_YrM/edit?usp=sharing"",""หนองคาย!J566"")"),86.5)</f>
        <v>86.5</v>
      </c>
      <c r="AA47" s="261">
        <f ca="1">IFERROR(__xludf.DUMMYFUNCTION("IMPORTRANGE(""https://docs.google.com/spreadsheets/d/1GVExpf-Exi_2gmuqTYH28fseTB9MoKPXWcXCbSt_YrM/edit?usp=sharing"",""หนองคาย!J567"")"),18)</f>
        <v>18</v>
      </c>
      <c r="AB47" s="181">
        <f ca="1">IFERROR(__xludf.DUMMYFUNCTION("IMPORTRANGE(""https://docs.google.com/spreadsheets/d/1GVExpf-Exi_2gmuqTYH28fseTB9MoKPXWcXCbSt_YrM/edit?usp=sharing"",""หนองคาย!I568"")"),3345)</f>
        <v>3345</v>
      </c>
      <c r="AC47" s="181">
        <f ca="1">IFERROR(__xludf.DUMMYFUNCTION("IMPORTRANGE(""https://docs.google.com/spreadsheets/d/1GVExpf-Exi_2gmuqTYH28fseTB9MoKPXWcXCbSt_YrM/edit?usp=sharing"",""หนองคาย!I569"")"),1178)</f>
        <v>1178</v>
      </c>
      <c r="AD47" s="186">
        <f ca="1">IFERROR(__xludf.DUMMYFUNCTION("IMPORTRANGE(""https://docs.google.com/spreadsheets/d/1GVExpf-Exi_2gmuqTYH28fseTB9MoKPXWcXCbSt_YrM/edit?usp=sharing"",""หนองคาย!J568"")"),3345.5)</f>
        <v>3345.5</v>
      </c>
      <c r="AE47" s="186">
        <f t="shared" ca="1" si="34"/>
        <v>100.01494768310911</v>
      </c>
      <c r="AF47" s="181">
        <f ca="1">IFERROR(__xludf.DUMMYFUNCTION("IMPORTRANGE(""https://docs.google.com/spreadsheets/d/1GVExpf-Exi_2gmuqTYH28fseTB9MoKPXWcXCbSt_YrM/edit?usp=sharing"",""หนองคาย!J569"")"),1178)</f>
        <v>1178</v>
      </c>
      <c r="AG47" s="186">
        <f t="shared" ca="1" si="10"/>
        <v>100</v>
      </c>
      <c r="AH47" s="186">
        <f ca="1">IFERROR(__xludf.DUMMYFUNCTION("IMPORTRANGE(""https://docs.google.com/spreadsheets/d/1GVExpf-Exi_2gmuqTYH28fseTB9MoKPXWcXCbSt_YrM/edit?usp=sharing"",""หนองคาย!J570"")"),3025.6)</f>
        <v>3025.6</v>
      </c>
      <c r="AI47" s="261">
        <f ca="1">IFERROR(__xludf.DUMMYFUNCTION("IMPORTRANGE(""https://docs.google.com/spreadsheets/d/1GVExpf-Exi_2gmuqTYH28fseTB9MoKPXWcXCbSt_YrM/edit?usp=sharing"",""หนองคาย!J571"")"),1088)</f>
        <v>1088</v>
      </c>
      <c r="AJ47" s="186">
        <f ca="1">IFERROR(__xludf.DUMMYFUNCTION("IMPORTRANGE(""https://docs.google.com/spreadsheets/d/1GVExpf-Exi_2gmuqTYH28fseTB9MoKPXWcXCbSt_YrM/edit?usp=sharing"",""หนองคาย!J572"")"),233.4)</f>
        <v>233.4</v>
      </c>
      <c r="AK47" s="261">
        <f ca="1">IFERROR(__xludf.DUMMYFUNCTION("IMPORTRANGE(""https://docs.google.com/spreadsheets/d/1GVExpf-Exi_2gmuqTYH28fseTB9MoKPXWcXCbSt_YrM/edit?usp=sharing"",""หนองคาย!J573"")"),72)</f>
        <v>72</v>
      </c>
      <c r="AL47" s="186">
        <f ca="1">IFERROR(__xludf.DUMMYFUNCTION("IMPORTRANGE(""https://docs.google.com/spreadsheets/d/1GVExpf-Exi_2gmuqTYH28fseTB9MoKPXWcXCbSt_YrM/edit?usp=sharing"",""หนองคาย!J574"")"),86.5)</f>
        <v>86.5</v>
      </c>
      <c r="AM47" s="261">
        <f ca="1">IFERROR(__xludf.DUMMYFUNCTION("IMPORTRANGE(""https://docs.google.com/spreadsheets/d/1GVExpf-Exi_2gmuqTYH28fseTB9MoKPXWcXCbSt_YrM/edit?usp=sharing"",""หนองคาย!J575"")"),18)</f>
        <v>18</v>
      </c>
      <c r="AN47" s="181">
        <f ca="1">IFERROR(__xludf.DUMMYFUNCTION("IMPORTRANGE(""https://docs.google.com/spreadsheets/d/1GVExpf-Exi_2gmuqTYH28fseTB9MoKPXWcXCbSt_YrM/edit?usp=sharing"",""หนองคาย!I576"")"),3345)</f>
        <v>3345</v>
      </c>
      <c r="AO47" s="181">
        <f ca="1">IFERROR(__xludf.DUMMYFUNCTION("IMPORTRANGE(""https://docs.google.com/spreadsheets/d/1GVExpf-Exi_2gmuqTYH28fseTB9MoKPXWcXCbSt_YrM/edit?usp=sharing"",""หนองคาย!I577"")"),1178)</f>
        <v>1178</v>
      </c>
      <c r="AP47" s="186">
        <f ca="1">IFERROR(__xludf.DUMMYFUNCTION("IMPORTRANGE(""https://docs.google.com/spreadsheets/d/1GVExpf-Exi_2gmuqTYH28fseTB9MoKPXWcXCbSt_YrM/edit?usp=sharing"",""หนองคาย!J576"")"),3345.5)</f>
        <v>3345.5</v>
      </c>
      <c r="AQ47" s="186">
        <f t="shared" ca="1" si="35"/>
        <v>100.01494768310911</v>
      </c>
      <c r="AR47" s="181">
        <f ca="1">IFERROR(__xludf.DUMMYFUNCTION("IMPORTRANGE(""https://docs.google.com/spreadsheets/d/1GVExpf-Exi_2gmuqTYH28fseTB9MoKPXWcXCbSt_YrM/edit?usp=sharing"",""หนองคาย!J577"")"),1178)</f>
        <v>1178</v>
      </c>
      <c r="AS47" s="186">
        <f t="shared" ca="1" si="13"/>
        <v>100</v>
      </c>
      <c r="AT47" s="186">
        <f ca="1">IFERROR(__xludf.DUMMYFUNCTION("IMPORTRANGE(""https://docs.google.com/spreadsheets/d/1GVExpf-Exi_2gmuqTYH28fseTB9MoKPXWcXCbSt_YrM/edit?usp=sharing"",""หนองคาย!J578"")"),3025.6)</f>
        <v>3025.6</v>
      </c>
      <c r="AU47" s="261">
        <f ca="1">IFERROR(__xludf.DUMMYFUNCTION("IMPORTRANGE(""https://docs.google.com/spreadsheets/d/1GVExpf-Exi_2gmuqTYH28fseTB9MoKPXWcXCbSt_YrM/edit?usp=sharing"",""หนองคาย!J579"")"),1088)</f>
        <v>1088</v>
      </c>
      <c r="AV47" s="186">
        <f ca="1">IFERROR(__xludf.DUMMYFUNCTION("IMPORTRANGE(""https://docs.google.com/spreadsheets/d/1GVExpf-Exi_2gmuqTYH28fseTB9MoKPXWcXCbSt_YrM/edit?usp=sharing"",""หนองคาย!J580"")"),233.4)</f>
        <v>233.4</v>
      </c>
      <c r="AW47" s="261">
        <f ca="1">IFERROR(__xludf.DUMMYFUNCTION("IMPORTRANGE(""https://docs.google.com/spreadsheets/d/1GVExpf-Exi_2gmuqTYH28fseTB9MoKPXWcXCbSt_YrM/edit?usp=sharing"",""หนองคาย!J581"")"),72)</f>
        <v>72</v>
      </c>
      <c r="AX47" s="186">
        <f ca="1">IFERROR(__xludf.DUMMYFUNCTION("IMPORTRANGE(""https://docs.google.com/spreadsheets/d/1GVExpf-Exi_2gmuqTYH28fseTB9MoKPXWcXCbSt_YrM/edit?usp=sharing"",""หนองคาย!J582"")"),86.5)</f>
        <v>86.5</v>
      </c>
      <c r="AY47" s="261">
        <f ca="1">IFERROR(__xludf.DUMMYFUNCTION("IMPORTRANGE(""https://docs.google.com/spreadsheets/d/1GVExpf-Exi_2gmuqTYH28fseTB9MoKPXWcXCbSt_YrM/edit?usp=sharing"",""หนองคาย!J583"")"),18)</f>
        <v>18</v>
      </c>
      <c r="AZ47" s="262">
        <f ca="1">IFERROR(__xludf.DUMMYFUNCTION("IMPORTRANGE(""https://docs.google.com/spreadsheets/d/1GVExpf-Exi_2gmuqTYH28fseTB9MoKPXWcXCbSt_YrM/edit?usp=sharing"",""หนองคาย!J584"")"),70.3)</f>
        <v>70.3</v>
      </c>
      <c r="BA47" s="261">
        <f ca="1">IFERROR(__xludf.DUMMYFUNCTION("IMPORTRANGE(""https://docs.google.com/spreadsheets/d/1GVExpf-Exi_2gmuqTYH28fseTB9MoKPXWcXCbSt_YrM/edit?usp=sharing"",""หนองคาย!J585"")"),16)</f>
        <v>16</v>
      </c>
      <c r="BB47" s="262">
        <f ca="1">IFERROR(__xludf.DUMMYFUNCTION("IMPORTRANGE(""https://docs.google.com/spreadsheets/d/1GVExpf-Exi_2gmuqTYH28fseTB9MoKPXWcXCbSt_YrM/edit?usp=sharing"",""หนองคาย!J586"")"),16.2)</f>
        <v>16.2</v>
      </c>
      <c r="BC47" s="261">
        <f ca="1">IFERROR(__xludf.DUMMYFUNCTION("IMPORTRANGE(""https://docs.google.com/spreadsheets/d/1GVExpf-Exi_2gmuqTYH28fseTB9MoKPXWcXCbSt_YrM/edit?usp=sharing"",""หนองคาย!J587"")"),2)</f>
        <v>2</v>
      </c>
      <c r="BD47" s="186">
        <f ca="1">IFERROR(__xludf.DUMMYFUNCTION("IMPORTRANGE(""https://docs.google.com/spreadsheets/d/1GVExpf-Exi_2gmuqTYH28fseTB9MoKPXWcXCbSt_YrM/edit?usp=sharing"",""หนองคาย!J588"")"),0)</f>
        <v>0</v>
      </c>
      <c r="BE47" s="261">
        <f ca="1">IFERROR(__xludf.DUMMYFUNCTION("IMPORTRANGE(""https://docs.google.com/spreadsheets/d/1GVExpf-Exi_2gmuqTYH28fseTB9MoKPXWcXCbSt_YrM/edit?usp=sharing"",""หนองคาย!J589"")"),0)</f>
        <v>0</v>
      </c>
      <c r="BF47" s="186">
        <f ca="1">IFERROR(__xludf.DUMMYFUNCTION("IMPORTRANGE(""https://docs.google.com/spreadsheets/d/1GVExpf-Exi_2gmuqTYH28fseTB9MoKPXWcXCbSt_YrM/edit?usp=sharing"",""หนองคาย!J590"")"),0)</f>
        <v>0</v>
      </c>
      <c r="BG47" s="261">
        <f ca="1">IFERROR(__xludf.DUMMYFUNCTION("IMPORTRANGE(""https://docs.google.com/spreadsheets/d/1GVExpf-Exi_2gmuqTYH28fseTB9MoKPXWcXCbSt_YrM/edit?usp=sharing"",""หนองคาย!J591"")"),0)</f>
        <v>0</v>
      </c>
      <c r="BH47" s="181">
        <f ca="1">IFERROR(__xludf.DUMMYFUNCTION("IMPORTRANGE(""https://docs.google.com/spreadsheets/d/1GVExpf-Exi_2gmuqTYH28fseTB9MoKPXWcXCbSt_YrM/edit?usp=sharing"",""หนองคาย!I593"")"),5126.55)</f>
        <v>5126.55</v>
      </c>
      <c r="BI47" s="181">
        <f ca="1">IFERROR(__xludf.DUMMYFUNCTION("IMPORTRANGE(""https://docs.google.com/spreadsheets/d/1GVExpf-Exi_2gmuqTYH28fseTB9MoKPXWcXCbSt_YrM/edit?usp=sharing"",""หนองคาย!I594"")"),350)</f>
        <v>350</v>
      </c>
      <c r="BJ47" s="186">
        <f ca="1">IFERROR(__xludf.DUMMYFUNCTION("IMPORTRANGE(""https://docs.google.com/spreadsheets/d/1GVExpf-Exi_2gmuqTYH28fseTB9MoKPXWcXCbSt_YrM/edit?usp=sharing"",""หนองคาย!J593"")"),1416)</f>
        <v>1416</v>
      </c>
      <c r="BK47" s="186">
        <f t="shared" ca="1" si="36"/>
        <v>27.620914650203353</v>
      </c>
      <c r="BL47" s="181">
        <f ca="1">IFERROR(__xludf.DUMMYFUNCTION("IMPORTRANGE(""https://docs.google.com/spreadsheets/d/1GVExpf-Exi_2gmuqTYH28fseTB9MoKPXWcXCbSt_YrM/edit?usp=sharing"",""หนองคาย!J594"")"),102)</f>
        <v>102</v>
      </c>
      <c r="BM47" s="186">
        <f t="shared" ca="1" si="16"/>
        <v>29.142857142857142</v>
      </c>
      <c r="BN47" s="186">
        <f ca="1">IFERROR(__xludf.DUMMYFUNCTION("IMPORTRANGE(""https://docs.google.com/spreadsheets/d/1GVExpf-Exi_2gmuqTYH28fseTB9MoKPXWcXCbSt_YrM/edit?usp=sharing"",""หนองคาย!J595"")"),1024)</f>
        <v>1024</v>
      </c>
      <c r="BO47" s="261">
        <f ca="1">IFERROR(__xludf.DUMMYFUNCTION("IMPORTRANGE(""https://docs.google.com/spreadsheets/d/1GVExpf-Exi_2gmuqTYH28fseTB9MoKPXWcXCbSt_YrM/edit?usp=sharing"",""หนองคาย!J596"")"),76)</f>
        <v>76</v>
      </c>
      <c r="BP47" s="186">
        <f ca="1">IFERROR(__xludf.DUMMYFUNCTION("IMPORTRANGE(""https://docs.google.com/spreadsheets/d/1GVExpf-Exi_2gmuqTYH28fseTB9MoKPXWcXCbSt_YrM/edit?usp=sharing"",""หนองคาย!J597"")"),774)</f>
        <v>774</v>
      </c>
      <c r="BQ47" s="261">
        <f ca="1">IFERROR(__xludf.DUMMYFUNCTION("IMPORTRANGE(""https://docs.google.com/spreadsheets/d/1GVExpf-Exi_2gmuqTYH28fseTB9MoKPXWcXCbSt_YrM/edit?usp=sharing"",""หนองคาย!J598"")"),62)</f>
        <v>62</v>
      </c>
      <c r="BR47" s="186">
        <f ca="1">IFERROR(__xludf.DUMMYFUNCTION("IMPORTRANGE(""https://docs.google.com/spreadsheets/d/1GVExpf-Exi_2gmuqTYH28fseTB9MoKPXWcXCbSt_YrM/edit?usp=sharing"",""หนองคาย!J599"")"),250)</f>
        <v>250</v>
      </c>
      <c r="BS47" s="261">
        <f ca="1">IFERROR(__xludf.DUMMYFUNCTION("IMPORTRANGE(""https://docs.google.com/spreadsheets/d/1GVExpf-Exi_2gmuqTYH28fseTB9MoKPXWcXCbSt_YrM/edit?usp=sharing"",""หนองคาย!J600"")"),14)</f>
        <v>14</v>
      </c>
      <c r="BT47" s="262">
        <f ca="1">IFERROR(__xludf.DUMMYFUNCTION("IMPORTRANGE(""https://docs.google.com/spreadsheets/d/1GVExpf-Exi_2gmuqTYH28fseTB9MoKPXWcXCbSt_YrM/edit?usp=sharing"",""หนองคาย!J601"")"),11)</f>
        <v>11</v>
      </c>
      <c r="BU47" s="261">
        <f ca="1">IFERROR(__xludf.DUMMYFUNCTION("IMPORTRANGE(""https://docs.google.com/spreadsheets/d/1GVExpf-Exi_2gmuqTYH28fseTB9MoKPXWcXCbSt_YrM/edit?usp=sharing"",""หนองคาย!J602"")"),1)</f>
        <v>1</v>
      </c>
      <c r="BV47" s="186">
        <f ca="1">IFERROR(__xludf.DUMMYFUNCTION("IMPORTRANGE(""https://docs.google.com/spreadsheets/d/1GVExpf-Exi_2gmuqTYH28fseTB9MoKPXWcXCbSt_YrM/edit?usp=sharing"",""หนองคาย!J603"")"),306)</f>
        <v>306</v>
      </c>
      <c r="BW47" s="261">
        <f ca="1">IFERROR(__xludf.DUMMYFUNCTION("IMPORTRANGE(""https://docs.google.com/spreadsheets/d/1GVExpf-Exi_2gmuqTYH28fseTB9MoKPXWcXCbSt_YrM/edit?usp=sharing"",""หนองคาย!J604"")"),17)</f>
        <v>17</v>
      </c>
      <c r="BX47" s="186">
        <f ca="1">IFERROR(__xludf.DUMMYFUNCTION("IMPORTRANGE(""https://docs.google.com/spreadsheets/d/1GVExpf-Exi_2gmuqTYH28fseTB9MoKPXWcXCbSt_YrM/edit?usp=sharing"",""หนองคาย!J605"")"),4)</f>
        <v>4</v>
      </c>
      <c r="BY47" s="261">
        <f ca="1">IFERROR(__xludf.DUMMYFUNCTION("IMPORTRANGE(""https://docs.google.com/spreadsheets/d/1GVExpf-Exi_2gmuqTYH28fseTB9MoKPXWcXCbSt_YrM/edit?usp=sharing"",""หนองคาย!J606"")"),1)</f>
        <v>1</v>
      </c>
      <c r="BZ47" s="186">
        <f ca="1">IFERROR(__xludf.DUMMYFUNCTION("IMPORTRANGE(""https://docs.google.com/spreadsheets/d/1GVExpf-Exi_2gmuqTYH28fseTB9MoKPXWcXCbSt_YrM/edit?usp=sharing"",""หนองคาย!J607"")"),302)</f>
        <v>302</v>
      </c>
      <c r="CA47" s="261">
        <f ca="1">IFERROR(__xludf.DUMMYFUNCTION("IMPORTRANGE(""https://docs.google.com/spreadsheets/d/1GVExpf-Exi_2gmuqTYH28fseTB9MoKPXWcXCbSt_YrM/edit?usp=sharing"",""หนองคาย!J608"")"),16)</f>
        <v>16</v>
      </c>
      <c r="CB47" s="186">
        <f ca="1">IFERROR(__xludf.DUMMYFUNCTION("IMPORTRANGE(""https://docs.google.com/spreadsheets/d/1GVExpf-Exi_2gmuqTYH28fseTB9MoKPXWcXCbSt_YrM/edit?usp=sharing"",""หนองคาย!J609"")"),86)</f>
        <v>86</v>
      </c>
      <c r="CC47" s="261">
        <f ca="1">IFERROR(__xludf.DUMMYFUNCTION("IMPORTRANGE(""https://docs.google.com/spreadsheets/d/1GVExpf-Exi_2gmuqTYH28fseTB9MoKPXWcXCbSt_YrM/edit?usp=sharing"",""หนองคาย!J610"")"),9)</f>
        <v>9</v>
      </c>
      <c r="CD47" s="261">
        <f ca="1">IFERROR(__xludf.DUMMYFUNCTION("IMPORTRANGE(""https://docs.google.com/spreadsheets/d/1GVExpf-Exi_2gmuqTYH28fseTB9MoKPXWcXCbSt_YrM/edit?usp=sharing"",""หนองคาย!I612"")"),0)</f>
        <v>0</v>
      </c>
      <c r="CE47" s="261">
        <f ca="1">IFERROR(__xludf.DUMMYFUNCTION("IMPORTRANGE(""https://docs.google.com/spreadsheets/d/1GVExpf-Exi_2gmuqTYH28fseTB9MoKPXWcXCbSt_YrM/edit?usp=sharing"",""หนองคาย!I594"")"),350)</f>
        <v>350</v>
      </c>
      <c r="CF47" s="262">
        <f ca="1">IFERROR(__xludf.DUMMYFUNCTION("IMPORTRANGE(""https://docs.google.com/spreadsheets/d/1GVExpf-Exi_2gmuqTYH28fseTB9MoKPXWcXCbSt_YrM/edit?usp=sharing"",""หนองคาย!J612"")"),0)</f>
        <v>0</v>
      </c>
      <c r="CG47" s="262">
        <f t="shared" ca="1" si="37"/>
        <v>0</v>
      </c>
      <c r="CH47" s="261">
        <f ca="1">IFERROR(__xludf.DUMMYFUNCTION("IMPORTRANGE(""https://docs.google.com/spreadsheets/d/1GVExpf-Exi_2gmuqTYH28fseTB9MoKPXWcXCbSt_YrM/edit?usp=sharing"",""หนองคาย!J613"")"),0)</f>
        <v>0</v>
      </c>
      <c r="CI47" s="262">
        <f t="shared" ca="1" si="19"/>
        <v>0</v>
      </c>
      <c r="CJ47" s="186">
        <f ca="1">IFERROR(__xludf.DUMMYFUNCTION("IMPORTRANGE(""https://docs.google.com/spreadsheets/d/1GVExpf-Exi_2gmuqTYH28fseTB9MoKPXWcXCbSt_YrM/edit?usp=sharing"",""หนองคาย!J614"")"),0)</f>
        <v>0</v>
      </c>
      <c r="CK47" s="261">
        <f ca="1">IFERROR(__xludf.DUMMYFUNCTION("IMPORTRANGE(""https://docs.google.com/spreadsheets/d/1GVExpf-Exi_2gmuqTYH28fseTB9MoKPXWcXCbSt_YrM/edit?usp=sharing"",""หนองคาย!J615"")"),0)</f>
        <v>0</v>
      </c>
      <c r="CL47" s="186">
        <f ca="1">IFERROR(__xludf.DUMMYFUNCTION("IMPORTRANGE(""https://docs.google.com/spreadsheets/d/1GVExpf-Exi_2gmuqTYH28fseTB9MoKPXWcXCbSt_YrM/edit?usp=sharing"",""หนองคาย!J616"")"),0)</f>
        <v>0</v>
      </c>
      <c r="CM47" s="261">
        <f ca="1">IFERROR(__xludf.DUMMYFUNCTION("IMPORTRANGE(""https://docs.google.com/spreadsheets/d/1GVExpf-Exi_2gmuqTYH28fseTB9MoKPXWcXCbSt_YrM/edit?usp=sharing"",""หนองคาย!J617"")"),0)</f>
        <v>0</v>
      </c>
      <c r="CN47" s="261">
        <f ca="1">IFERROR(__xludf.DUMMYFUNCTION("IMPORTRANGE(""https://docs.google.com/spreadsheets/d/1GVExpf-Exi_2gmuqTYH28fseTB9MoKPXWcXCbSt_YrM/edit?usp=sharing"",""หนองคาย!I620"")"),1)</f>
        <v>1</v>
      </c>
      <c r="CO47" s="261">
        <f ca="1">IFERROR(__xludf.DUMMYFUNCTION("IMPORTRANGE(""https://docs.google.com/spreadsheets/d/1GVExpf-Exi_2gmuqTYH28fseTB9MoKPXWcXCbSt_YrM/edit?usp=sharing"",""หนองคาย!I621"")"),1)</f>
        <v>1</v>
      </c>
      <c r="CP47" s="262">
        <f ca="1">IFERROR(__xludf.DUMMYFUNCTION("IMPORTRANGE(""https://docs.google.com/spreadsheets/d/1GVExpf-Exi_2gmuqTYH28fseTB9MoKPXWcXCbSt_YrM/edit?usp=sharing"",""หนองคาย!J620"")"),0)</f>
        <v>0</v>
      </c>
      <c r="CQ47" s="262">
        <f t="shared" ca="1" si="38"/>
        <v>0</v>
      </c>
      <c r="CR47" s="261">
        <f ca="1">IFERROR(__xludf.DUMMYFUNCTION("IMPORTRANGE(""https://docs.google.com/spreadsheets/d/1GVExpf-Exi_2gmuqTYH28fseTB9MoKPXWcXCbSt_YrM/edit?usp=sharing"",""หนองคาย!J621"")"),0)</f>
        <v>0</v>
      </c>
      <c r="CS47" s="262">
        <f t="shared" ca="1" si="22"/>
        <v>0</v>
      </c>
      <c r="CT47" s="186">
        <f ca="1">IFERROR(__xludf.DUMMYFUNCTION("IMPORTRANGE(""https://docs.google.com/spreadsheets/d/1GVExpf-Exi_2gmuqTYH28fseTB9MoKPXWcXCbSt_YrM/edit?usp=sharing"",""หนองคาย!J622"")"),0)</f>
        <v>0</v>
      </c>
      <c r="CU47" s="261">
        <f ca="1">IFERROR(__xludf.DUMMYFUNCTION("IMPORTRANGE(""https://docs.google.com/spreadsheets/d/1GVExpf-Exi_2gmuqTYH28fseTB9MoKPXWcXCbSt_YrM/edit?usp=sharing"",""หนองคาย!J623"")"),0)</f>
        <v>0</v>
      </c>
      <c r="CV47" s="186">
        <f ca="1">IFERROR(__xludf.DUMMYFUNCTION("IMPORTRANGE(""https://docs.google.com/spreadsheets/d/1GVExpf-Exi_2gmuqTYH28fseTB9MoKPXWcXCbSt_YrM/edit?usp=sharing"",""หนองคาย!J624"")"),0)</f>
        <v>0</v>
      </c>
      <c r="CW47" s="261">
        <f ca="1">IFERROR(__xludf.DUMMYFUNCTION("IMPORTRANGE(""https://docs.google.com/spreadsheets/d/1GVExpf-Exi_2gmuqTYH28fseTB9MoKPXWcXCbSt_YrM/edit?usp=sharing"",""หนองคาย!J625"")"),0)</f>
        <v>0</v>
      </c>
      <c r="CX47" s="186">
        <f ca="1">IFERROR(__xludf.DUMMYFUNCTION("IMPORTRANGE(""https://docs.google.com/spreadsheets/d/1GVExpf-Exi_2gmuqTYH28fseTB9MoKPXWcXCbSt_YrM/edit?usp=sharing"",""หนองคาย!J626"")"),0)</f>
        <v>0</v>
      </c>
      <c r="CY47" s="261">
        <f ca="1">IFERROR(__xludf.DUMMYFUNCTION("IMPORTRANGE(""https://docs.google.com/spreadsheets/d/1GVExpf-Exi_2gmuqTYH28fseTB9MoKPXWcXCbSt_YrM/edit?usp=sharing"",""หนองคาย!J627"")"),0)</f>
        <v>0</v>
      </c>
    </row>
    <row r="48" spans="1:103" ht="21" customHeight="1" x14ac:dyDescent="0.3">
      <c r="A48" s="178">
        <v>17</v>
      </c>
      <c r="B48" s="179" t="s">
        <v>65</v>
      </c>
      <c r="C48" s="180">
        <f t="shared" ca="1" si="60"/>
        <v>514752</v>
      </c>
      <c r="D48" s="181">
        <f ca="1">IFERROR(__xludf.DUMMYFUNCTION("IMPORTRANGE(""https://docs.google.com/spreadsheets/d/16UeMz0UgOB5BZcoxP75eYGcLFtGYRn9GoesD4OX9m5U/edit?usp=sharing"",""หนองบัวลำภู!L549"")"),514752)</f>
        <v>514752</v>
      </c>
      <c r="E48" s="187">
        <f ca="1">IFERROR(__xludf.DUMMYFUNCTION("IMPORTRANGE(""https://docs.google.com/spreadsheets/d/16UeMz0UgOB5BZcoxP75eYGcLFtGYRn9GoesD4OX9m5U/edit?usp=sharing"",""หนองบัวลำภู!L557"")"),0)</f>
        <v>0</v>
      </c>
      <c r="F48" s="182">
        <f t="shared" ca="1" si="1"/>
        <v>108584</v>
      </c>
      <c r="G48" s="183">
        <f t="shared" ca="1" si="2"/>
        <v>21.094429939077457</v>
      </c>
      <c r="H48" s="184">
        <f t="shared" ca="1" si="61"/>
        <v>108584</v>
      </c>
      <c r="I48" s="187">
        <f ca="1">IFERROR(__xludf.DUMMYFUNCTION("IMPORTRANGE(""https://docs.google.com/spreadsheets/d/16UeMz0UgOB5BZcoxP75eYGcLFtGYRn9GoesD4OX9m5U/edit?usp=sharing"",""หนองบัวลำภู!N550"")"),0)</f>
        <v>0</v>
      </c>
      <c r="J48" s="187">
        <f ca="1">IFERROR(__xludf.DUMMYFUNCTION("IMPORTRANGE(""https://docs.google.com/spreadsheets/d/16UeMz0UgOB5BZcoxP75eYGcLFtGYRn9GoesD4OX9m5U/edit?usp=sharing"",""หนองบัวลำภู!N551"")"),0)</f>
        <v>0</v>
      </c>
      <c r="K48" s="187">
        <f ca="1">IFERROR(__xludf.DUMMYFUNCTION("IMPORTRANGE(""https://docs.google.com/spreadsheets/d/16UeMz0UgOB5BZcoxP75eYGcLFtGYRn9GoesD4OX9m5U/edit?usp=sharing"",""หนองบัวลำภู!N552"")"),52000)</f>
        <v>52000</v>
      </c>
      <c r="L48" s="187">
        <f ca="1">IFERROR(__xludf.DUMMYFUNCTION("IMPORTRANGE(""https://docs.google.com/spreadsheets/d/16UeMz0UgOB5BZcoxP75eYGcLFtGYRn9GoesD4OX9m5U/edit?usp=sharing"",""หนองบัวลำภู!N553"")"),56584)</f>
        <v>56584</v>
      </c>
      <c r="M48" s="187">
        <f ca="1">IFERROR(__xludf.DUMMYFUNCTION("IMPORTRANGE(""https://docs.google.com/spreadsheets/d/16UeMz0UgOB5BZcoxP75eYGcLFtGYRn9GoesD4OX9m5U/edit?usp=sharing"",""หนองบัวลำภู!N554"")"),0)</f>
        <v>0</v>
      </c>
      <c r="N48" s="185">
        <f ca="1">IFERROR(__xludf.DUMMYFUNCTION("IMPORTRANGE(""https://docs.google.com/spreadsheets/d/16UeMz0UgOB5BZcoxP75eYGcLFtGYRn9GoesD4OX9m5U/edit?usp=sharing"",""หนองบัวลำภู!N557"")"),0)</f>
        <v>0</v>
      </c>
      <c r="O48" s="185">
        <f t="shared" ca="1" si="41"/>
        <v>0</v>
      </c>
      <c r="P48" s="181">
        <f ca="1">IFERROR(__xludf.DUMMYFUNCTION("IMPORTRANGE(""https://docs.google.com/spreadsheets/d/16UeMz0UgOB5BZcoxP75eYGcLFtGYRn9GoesD4OX9m5U/edit?usp=sharing"",""หนองบัวลำภู!I560"")"),41140)</f>
        <v>41140</v>
      </c>
      <c r="Q48" s="181">
        <f ca="1">IFERROR(__xludf.DUMMYFUNCTION("IMPORTRANGE(""https://docs.google.com/spreadsheets/d/16UeMz0UgOB5BZcoxP75eYGcLFtGYRn9GoesD4OX9m5U/edit?usp=sharing"",""หนองบัวลำภู!I561"")"),4331)</f>
        <v>4331</v>
      </c>
      <c r="R48" s="186">
        <f ca="1">IFERROR(__xludf.DUMMYFUNCTION("IMPORTRANGE(""https://docs.google.com/spreadsheets/d/16UeMz0UgOB5BZcoxP75eYGcLFtGYRn9GoesD4OX9m5U/edit?usp=sharing"",""หนองบัวลำภู!J560"")"),41143)</f>
        <v>41143</v>
      </c>
      <c r="S48" s="186">
        <f t="shared" ca="1" si="33"/>
        <v>100.00729217306757</v>
      </c>
      <c r="T48" s="181">
        <f ca="1">IFERROR(__xludf.DUMMYFUNCTION("IMPORTRANGE(""https://docs.google.com/spreadsheets/d/16UeMz0UgOB5BZcoxP75eYGcLFtGYRn9GoesD4OX9m5U/edit?usp=sharing"",""หนองบัวลำภู!J561"")"),4331)</f>
        <v>4331</v>
      </c>
      <c r="U48" s="186">
        <f t="shared" ca="1" si="7"/>
        <v>100</v>
      </c>
      <c r="V48" s="186">
        <f ca="1">IFERROR(__xludf.DUMMYFUNCTION("IMPORTRANGE(""https://docs.google.com/spreadsheets/d/16UeMz0UgOB5BZcoxP75eYGcLFtGYRn9GoesD4OX9m5U/edit?usp=sharing"",""หนองบัวลำภู!J562"")"),37135)</f>
        <v>37135</v>
      </c>
      <c r="W48" s="261">
        <f ca="1">IFERROR(__xludf.DUMMYFUNCTION("IMPORTRANGE(""https://docs.google.com/spreadsheets/d/16UeMz0UgOB5BZcoxP75eYGcLFtGYRn9GoesD4OX9m5U/edit?usp=sharing"",""หนองบัวลำภู!J563"")"),4014)</f>
        <v>4014</v>
      </c>
      <c r="X48" s="186">
        <f ca="1">IFERROR(__xludf.DUMMYFUNCTION("IMPORTRANGE(""https://docs.google.com/spreadsheets/d/16UeMz0UgOB5BZcoxP75eYGcLFtGYRn9GoesD4OX9m5U/edit?usp=sharing"",""หนองบัวลำภู!J564"")"),3124)</f>
        <v>3124</v>
      </c>
      <c r="Y48" s="261">
        <f ca="1">IFERROR(__xludf.DUMMYFUNCTION("IMPORTRANGE(""https://docs.google.com/spreadsheets/d/16UeMz0UgOB5BZcoxP75eYGcLFtGYRn9GoesD4OX9m5U/edit?usp=sharing"",""หนองบัวลำภู!J565"")"),234)</f>
        <v>234</v>
      </c>
      <c r="Z48" s="186">
        <f ca="1">IFERROR(__xludf.DUMMYFUNCTION("IMPORTRANGE(""https://docs.google.com/spreadsheets/d/16UeMz0UgOB5BZcoxP75eYGcLFtGYRn9GoesD4OX9m5U/edit?usp=sharing"",""หนองบัวลำภู!J566"")"),884)</f>
        <v>884</v>
      </c>
      <c r="AA48" s="261">
        <f ca="1">IFERROR(__xludf.DUMMYFUNCTION("IMPORTRANGE(""https://docs.google.com/spreadsheets/d/16UeMz0UgOB5BZcoxP75eYGcLFtGYRn9GoesD4OX9m5U/edit?usp=sharing"",""หนองบัวลำภู!J567"")"),83)</f>
        <v>83</v>
      </c>
      <c r="AB48" s="181">
        <f ca="1">IFERROR(__xludf.DUMMYFUNCTION("IMPORTRANGE(""https://docs.google.com/spreadsheets/d/16UeMz0UgOB5BZcoxP75eYGcLFtGYRn9GoesD4OX9m5U/edit?usp=sharing"",""หนองบัวลำภู!I568"")"),41140)</f>
        <v>41140</v>
      </c>
      <c r="AC48" s="181">
        <f ca="1">IFERROR(__xludf.DUMMYFUNCTION("IMPORTRANGE(""https://docs.google.com/spreadsheets/d/16UeMz0UgOB5BZcoxP75eYGcLFtGYRn9GoesD4OX9m5U/edit?usp=sharing"",""หนองบัวลำภู!I569"")"),4331)</f>
        <v>4331</v>
      </c>
      <c r="AD48" s="186">
        <f ca="1">IFERROR(__xludf.DUMMYFUNCTION("IMPORTRANGE(""https://docs.google.com/spreadsheets/d/16UeMz0UgOB5BZcoxP75eYGcLFtGYRn9GoesD4OX9m5U/edit?usp=sharing"",""หนองบัวลำภู!J568"")"),0)</f>
        <v>0</v>
      </c>
      <c r="AE48" s="186">
        <f t="shared" ca="1" si="34"/>
        <v>0</v>
      </c>
      <c r="AF48" s="181">
        <f ca="1">IFERROR(__xludf.DUMMYFUNCTION("IMPORTRANGE(""https://docs.google.com/spreadsheets/d/16UeMz0UgOB5BZcoxP75eYGcLFtGYRn9GoesD4OX9m5U/edit?usp=sharing"",""หนองบัวลำภู!J569"")"),0)</f>
        <v>0</v>
      </c>
      <c r="AG48" s="186">
        <f t="shared" ca="1" si="10"/>
        <v>0</v>
      </c>
      <c r="AH48" s="186">
        <f ca="1">IFERROR(__xludf.DUMMYFUNCTION("IMPORTRANGE(""https://docs.google.com/spreadsheets/d/16UeMz0UgOB5BZcoxP75eYGcLFtGYRn9GoesD4OX9m5U/edit?usp=sharing"",""หนองบัวลำภู!J570"")"),0)</f>
        <v>0</v>
      </c>
      <c r="AI48" s="261">
        <f ca="1">IFERROR(__xludf.DUMMYFUNCTION("IMPORTRANGE(""https://docs.google.com/spreadsheets/d/16UeMz0UgOB5BZcoxP75eYGcLFtGYRn9GoesD4OX9m5U/edit?usp=sharing"",""หนองบัวลำภู!J571"")"),0)</f>
        <v>0</v>
      </c>
      <c r="AJ48" s="186">
        <f ca="1">IFERROR(__xludf.DUMMYFUNCTION("IMPORTRANGE(""https://docs.google.com/spreadsheets/d/16UeMz0UgOB5BZcoxP75eYGcLFtGYRn9GoesD4OX9m5U/edit?usp=sharing"",""หนองบัวลำภู!J572"")"),0)</f>
        <v>0</v>
      </c>
      <c r="AK48" s="261">
        <f ca="1">IFERROR(__xludf.DUMMYFUNCTION("IMPORTRANGE(""https://docs.google.com/spreadsheets/d/16UeMz0UgOB5BZcoxP75eYGcLFtGYRn9GoesD4OX9m5U/edit?usp=sharing"",""หนองบัวลำภู!J573"")"),0)</f>
        <v>0</v>
      </c>
      <c r="AL48" s="186">
        <f ca="1">IFERROR(__xludf.DUMMYFUNCTION("IMPORTRANGE(""https://docs.google.com/spreadsheets/d/16UeMz0UgOB5BZcoxP75eYGcLFtGYRn9GoesD4OX9m5U/edit?usp=sharing"",""หนองบัวลำภู!J574"")"),0)</f>
        <v>0</v>
      </c>
      <c r="AM48" s="261">
        <f ca="1">IFERROR(__xludf.DUMMYFUNCTION("IMPORTRANGE(""https://docs.google.com/spreadsheets/d/16UeMz0UgOB5BZcoxP75eYGcLFtGYRn9GoesD4OX9m5U/edit?usp=sharing"",""หนองบัวลำภู!J575"")"),0)</f>
        <v>0</v>
      </c>
      <c r="AN48" s="181">
        <f ca="1">IFERROR(__xludf.DUMMYFUNCTION("IMPORTRANGE(""https://docs.google.com/spreadsheets/d/16UeMz0UgOB5BZcoxP75eYGcLFtGYRn9GoesD4OX9m5U/edit?usp=sharing"",""หนองบัวลำภู!I576"")"),41140)</f>
        <v>41140</v>
      </c>
      <c r="AO48" s="181">
        <f ca="1">IFERROR(__xludf.DUMMYFUNCTION("IMPORTRANGE(""https://docs.google.com/spreadsheets/d/16UeMz0UgOB5BZcoxP75eYGcLFtGYRn9GoesD4OX9m5U/edit?usp=sharing"",""หนองบัวลำภู!I577"")"),4331)</f>
        <v>4331</v>
      </c>
      <c r="AP48" s="186">
        <f ca="1">IFERROR(__xludf.DUMMYFUNCTION("IMPORTRANGE(""https://docs.google.com/spreadsheets/d/16UeMz0UgOB5BZcoxP75eYGcLFtGYRn9GoesD4OX9m5U/edit?usp=sharing"",""หนองบัวลำภู!J576"")"),0)</f>
        <v>0</v>
      </c>
      <c r="AQ48" s="186">
        <f t="shared" ca="1" si="35"/>
        <v>0</v>
      </c>
      <c r="AR48" s="181">
        <f ca="1">IFERROR(__xludf.DUMMYFUNCTION("IMPORTRANGE(""https://docs.google.com/spreadsheets/d/16UeMz0UgOB5BZcoxP75eYGcLFtGYRn9GoesD4OX9m5U/edit?usp=sharing"",""หนองบัวลำภู!J577"")"),0)</f>
        <v>0</v>
      </c>
      <c r="AS48" s="186">
        <f t="shared" ca="1" si="13"/>
        <v>0</v>
      </c>
      <c r="AT48" s="186">
        <f ca="1">IFERROR(__xludf.DUMMYFUNCTION("IMPORTRANGE(""https://docs.google.com/spreadsheets/d/16UeMz0UgOB5BZcoxP75eYGcLFtGYRn9GoesD4OX9m5U/edit?usp=sharing"",""หนองบัวลำภู!J578"")"),0)</f>
        <v>0</v>
      </c>
      <c r="AU48" s="261">
        <f ca="1">IFERROR(__xludf.DUMMYFUNCTION("IMPORTRANGE(""https://docs.google.com/spreadsheets/d/16UeMz0UgOB5BZcoxP75eYGcLFtGYRn9GoesD4OX9m5U/edit?usp=sharing"",""หนองบัวลำภู!J579"")"),0)</f>
        <v>0</v>
      </c>
      <c r="AV48" s="186">
        <f ca="1">IFERROR(__xludf.DUMMYFUNCTION("IMPORTRANGE(""https://docs.google.com/spreadsheets/d/16UeMz0UgOB5BZcoxP75eYGcLFtGYRn9GoesD4OX9m5U/edit?usp=sharing"",""หนองบัวลำภู!J580"")"),0)</f>
        <v>0</v>
      </c>
      <c r="AW48" s="261">
        <f ca="1">IFERROR(__xludf.DUMMYFUNCTION("IMPORTRANGE(""https://docs.google.com/spreadsheets/d/16UeMz0UgOB5BZcoxP75eYGcLFtGYRn9GoesD4OX9m5U/edit?usp=sharing"",""หนองบัวลำภู!J581"")"),0)</f>
        <v>0</v>
      </c>
      <c r="AX48" s="186">
        <f ca="1">IFERROR(__xludf.DUMMYFUNCTION("IMPORTRANGE(""https://docs.google.com/spreadsheets/d/16UeMz0UgOB5BZcoxP75eYGcLFtGYRn9GoesD4OX9m5U/edit?usp=sharing"",""หนองบัวลำภู!J582"")"),0)</f>
        <v>0</v>
      </c>
      <c r="AY48" s="261">
        <f ca="1">IFERROR(__xludf.DUMMYFUNCTION("IMPORTRANGE(""https://docs.google.com/spreadsheets/d/16UeMz0UgOB5BZcoxP75eYGcLFtGYRn9GoesD4OX9m5U/edit?usp=sharing"",""หนองบัวลำภู!J583"")"),0)</f>
        <v>0</v>
      </c>
      <c r="AZ48" s="262">
        <f ca="1">IFERROR(__xludf.DUMMYFUNCTION("IMPORTRANGE(""https://docs.google.com/spreadsheets/d/16UeMz0UgOB5BZcoxP75eYGcLFtGYRn9GoesD4OX9m5U/edit?usp=sharing"",""หนองบัวลำภู!J584"")"),0)</f>
        <v>0</v>
      </c>
      <c r="BA48" s="261">
        <f ca="1">IFERROR(__xludf.DUMMYFUNCTION("IMPORTRANGE(""https://docs.google.com/spreadsheets/d/16UeMz0UgOB5BZcoxP75eYGcLFtGYRn9GoesD4OX9m5U/edit?usp=sharing"",""หนองบัวลำภู!J585"")"),0)</f>
        <v>0</v>
      </c>
      <c r="BB48" s="262">
        <f ca="1">IFERROR(__xludf.DUMMYFUNCTION("IMPORTRANGE(""https://docs.google.com/spreadsheets/d/16UeMz0UgOB5BZcoxP75eYGcLFtGYRn9GoesD4OX9m5U/edit?usp=sharing"",""หนองบัวลำภู!J586"")"),0)</f>
        <v>0</v>
      </c>
      <c r="BC48" s="261">
        <f ca="1">IFERROR(__xludf.DUMMYFUNCTION("IMPORTRANGE(""https://docs.google.com/spreadsheets/d/16UeMz0UgOB5BZcoxP75eYGcLFtGYRn9GoesD4OX9m5U/edit?usp=sharing"",""หนองบัวลำภู!J587"")"),0)</f>
        <v>0</v>
      </c>
      <c r="BD48" s="186">
        <f ca="1">IFERROR(__xludf.DUMMYFUNCTION("IMPORTRANGE(""https://docs.google.com/spreadsheets/d/16UeMz0UgOB5BZcoxP75eYGcLFtGYRn9GoesD4OX9m5U/edit?usp=sharing"",""หนองบัวลำภู!J588"")"),0)</f>
        <v>0</v>
      </c>
      <c r="BE48" s="261">
        <f ca="1">IFERROR(__xludf.DUMMYFUNCTION("IMPORTRANGE(""https://docs.google.com/spreadsheets/d/16UeMz0UgOB5BZcoxP75eYGcLFtGYRn9GoesD4OX9m5U/edit?usp=sharing"",""หนองบัวลำภู!J589"")"),0)</f>
        <v>0</v>
      </c>
      <c r="BF48" s="186">
        <f ca="1">IFERROR(__xludf.DUMMYFUNCTION("IMPORTRANGE(""https://docs.google.com/spreadsheets/d/16UeMz0UgOB5BZcoxP75eYGcLFtGYRn9GoesD4OX9m5U/edit?usp=sharing"",""หนองบัวลำภู!J590"")"),0)</f>
        <v>0</v>
      </c>
      <c r="BG48" s="261">
        <f ca="1">IFERROR(__xludf.DUMMYFUNCTION("IMPORTRANGE(""https://docs.google.com/spreadsheets/d/16UeMz0UgOB5BZcoxP75eYGcLFtGYRn9GoesD4OX9m5U/edit?usp=sharing"",""หนองบัวลำภู!J591"")"),0)</f>
        <v>0</v>
      </c>
      <c r="BH48" s="181">
        <f ca="1">IFERROR(__xludf.DUMMYFUNCTION("IMPORTRANGE(""https://docs.google.com/spreadsheets/d/16UeMz0UgOB5BZcoxP75eYGcLFtGYRn9GoesD4OX9m5U/edit?usp=sharing"",""หนองบัวลำภู!I593"")"),11282.62)</f>
        <v>11282.62</v>
      </c>
      <c r="BI48" s="181">
        <f ca="1">IFERROR(__xludf.DUMMYFUNCTION("IMPORTRANGE(""https://docs.google.com/spreadsheets/d/16UeMz0UgOB5BZcoxP75eYGcLFtGYRn9GoesD4OX9m5U/edit?usp=sharing"",""หนองบัวลำภู!I594"")"),633)</f>
        <v>633</v>
      </c>
      <c r="BJ48" s="186">
        <f ca="1">IFERROR(__xludf.DUMMYFUNCTION("IMPORTRANGE(""https://docs.google.com/spreadsheets/d/16UeMz0UgOB5BZcoxP75eYGcLFtGYRn9GoesD4OX9m5U/edit?usp=sharing"",""หนองบัวลำภู!J593"")"),0)</f>
        <v>0</v>
      </c>
      <c r="BK48" s="186">
        <f t="shared" ca="1" si="36"/>
        <v>0</v>
      </c>
      <c r="BL48" s="181">
        <f ca="1">IFERROR(__xludf.DUMMYFUNCTION("IMPORTRANGE(""https://docs.google.com/spreadsheets/d/16UeMz0UgOB5BZcoxP75eYGcLFtGYRn9GoesD4OX9m5U/edit?usp=sharing"",""หนองบัวลำภู!J594"")"),0)</f>
        <v>0</v>
      </c>
      <c r="BM48" s="186">
        <f t="shared" ca="1" si="16"/>
        <v>0</v>
      </c>
      <c r="BN48" s="186">
        <f ca="1">IFERROR(__xludf.DUMMYFUNCTION("IMPORTRANGE(""https://docs.google.com/spreadsheets/d/16UeMz0UgOB5BZcoxP75eYGcLFtGYRn9GoesD4OX9m5U/edit?usp=sharing"",""หนองบัวลำภู!J595"")"),0)</f>
        <v>0</v>
      </c>
      <c r="BO48" s="261">
        <f ca="1">IFERROR(__xludf.DUMMYFUNCTION("IMPORTRANGE(""https://docs.google.com/spreadsheets/d/16UeMz0UgOB5BZcoxP75eYGcLFtGYRn9GoesD4OX9m5U/edit?usp=sharing"",""หนองบัวลำภู!J596"")"),0)</f>
        <v>0</v>
      </c>
      <c r="BP48" s="186">
        <f ca="1">IFERROR(__xludf.DUMMYFUNCTION("IMPORTRANGE(""https://docs.google.com/spreadsheets/d/16UeMz0UgOB5BZcoxP75eYGcLFtGYRn9GoesD4OX9m5U/edit?usp=sharing"",""หนองบัวลำภู!J597"")"),0)</f>
        <v>0</v>
      </c>
      <c r="BQ48" s="261">
        <f ca="1">IFERROR(__xludf.DUMMYFUNCTION("IMPORTRANGE(""https://docs.google.com/spreadsheets/d/16UeMz0UgOB5BZcoxP75eYGcLFtGYRn9GoesD4OX9m5U/edit?usp=sharing"",""หนองบัวลำภู!J598"")"),0)</f>
        <v>0</v>
      </c>
      <c r="BR48" s="186">
        <f ca="1">IFERROR(__xludf.DUMMYFUNCTION("IMPORTRANGE(""https://docs.google.com/spreadsheets/d/16UeMz0UgOB5BZcoxP75eYGcLFtGYRn9GoesD4OX9m5U/edit?usp=sharing"",""หนองบัวลำภู!J599"")"),0)</f>
        <v>0</v>
      </c>
      <c r="BS48" s="261">
        <f ca="1">IFERROR(__xludf.DUMMYFUNCTION("IMPORTRANGE(""https://docs.google.com/spreadsheets/d/16UeMz0UgOB5BZcoxP75eYGcLFtGYRn9GoesD4OX9m5U/edit?usp=sharing"",""หนองบัวลำภู!J600"")"),0)</f>
        <v>0</v>
      </c>
      <c r="BT48" s="262">
        <f ca="1">IFERROR(__xludf.DUMMYFUNCTION("IMPORTRANGE(""https://docs.google.com/spreadsheets/d/16UeMz0UgOB5BZcoxP75eYGcLFtGYRn9GoesD4OX9m5U/edit?usp=sharing"",""หนองบัวลำภู!J601"")"),0)</f>
        <v>0</v>
      </c>
      <c r="BU48" s="261">
        <f ca="1">IFERROR(__xludf.DUMMYFUNCTION("IMPORTRANGE(""https://docs.google.com/spreadsheets/d/16UeMz0UgOB5BZcoxP75eYGcLFtGYRn9GoesD4OX9m5U/edit?usp=sharing"",""หนองบัวลำภู!J602"")"),0)</f>
        <v>0</v>
      </c>
      <c r="BV48" s="186">
        <f ca="1">IFERROR(__xludf.DUMMYFUNCTION("IMPORTRANGE(""https://docs.google.com/spreadsheets/d/16UeMz0UgOB5BZcoxP75eYGcLFtGYRn9GoesD4OX9m5U/edit?usp=sharing"",""หนองบัวลำภู!J603"")"),0)</f>
        <v>0</v>
      </c>
      <c r="BW48" s="261">
        <f ca="1">IFERROR(__xludf.DUMMYFUNCTION("IMPORTRANGE(""https://docs.google.com/spreadsheets/d/16UeMz0UgOB5BZcoxP75eYGcLFtGYRn9GoesD4OX9m5U/edit?usp=sharing"",""หนองบัวลำภู!J604"")"),0)</f>
        <v>0</v>
      </c>
      <c r="BX48" s="186">
        <f ca="1">IFERROR(__xludf.DUMMYFUNCTION("IMPORTRANGE(""https://docs.google.com/spreadsheets/d/16UeMz0UgOB5BZcoxP75eYGcLFtGYRn9GoesD4OX9m5U/edit?usp=sharing"",""หนองบัวลำภู!J605"")"),0)</f>
        <v>0</v>
      </c>
      <c r="BY48" s="261">
        <f ca="1">IFERROR(__xludf.DUMMYFUNCTION("IMPORTRANGE(""https://docs.google.com/spreadsheets/d/16UeMz0UgOB5BZcoxP75eYGcLFtGYRn9GoesD4OX9m5U/edit?usp=sharing"",""หนองบัวลำภู!J606"")"),0)</f>
        <v>0</v>
      </c>
      <c r="BZ48" s="186">
        <f ca="1">IFERROR(__xludf.DUMMYFUNCTION("IMPORTRANGE(""https://docs.google.com/spreadsheets/d/16UeMz0UgOB5BZcoxP75eYGcLFtGYRn9GoesD4OX9m5U/edit?usp=sharing"",""หนองบัวลำภู!J607"")"),0)</f>
        <v>0</v>
      </c>
      <c r="CA48" s="261">
        <f ca="1">IFERROR(__xludf.DUMMYFUNCTION("IMPORTRANGE(""https://docs.google.com/spreadsheets/d/16UeMz0UgOB5BZcoxP75eYGcLFtGYRn9GoesD4OX9m5U/edit?usp=sharing"",""หนองบัวลำภู!J608"")"),0)</f>
        <v>0</v>
      </c>
      <c r="CB48" s="186">
        <f ca="1">IFERROR(__xludf.DUMMYFUNCTION("IMPORTRANGE(""https://docs.google.com/spreadsheets/d/16UeMz0UgOB5BZcoxP75eYGcLFtGYRn9GoesD4OX9m5U/edit?usp=sharing"",""หนองบัวลำภู!J609"")"),0)</f>
        <v>0</v>
      </c>
      <c r="CC48" s="261">
        <f ca="1">IFERROR(__xludf.DUMMYFUNCTION("IMPORTRANGE(""https://docs.google.com/spreadsheets/d/16UeMz0UgOB5BZcoxP75eYGcLFtGYRn9GoesD4OX9m5U/edit?usp=sharing"",""หนองบัวลำภู!J610"")"),0)</f>
        <v>0</v>
      </c>
      <c r="CD48" s="261">
        <f ca="1">IFERROR(__xludf.DUMMYFUNCTION("IMPORTRANGE(""https://docs.google.com/spreadsheets/d/16UeMz0UgOB5BZcoxP75eYGcLFtGYRn9GoesD4OX9m5U/edit?usp=sharing"",""หนองบัวลำภู!I612"")"),0)</f>
        <v>0</v>
      </c>
      <c r="CE48" s="261">
        <f ca="1">IFERROR(__xludf.DUMMYFUNCTION("IMPORTRANGE(""https://docs.google.com/spreadsheets/d/16UeMz0UgOB5BZcoxP75eYGcLFtGYRn9GoesD4OX9m5U/edit?usp=sharing"",""หนองบัวลำภู!I594"")"),633)</f>
        <v>633</v>
      </c>
      <c r="CF48" s="262">
        <f ca="1">IFERROR(__xludf.DUMMYFUNCTION("IMPORTRANGE(""https://docs.google.com/spreadsheets/d/16UeMz0UgOB5BZcoxP75eYGcLFtGYRn9GoesD4OX9m5U/edit?usp=sharing"",""หนองบัวลำภู!J612"")"),0)</f>
        <v>0</v>
      </c>
      <c r="CG48" s="262">
        <f t="shared" ca="1" si="37"/>
        <v>0</v>
      </c>
      <c r="CH48" s="261">
        <f ca="1">IFERROR(__xludf.DUMMYFUNCTION("IMPORTRANGE(""https://docs.google.com/spreadsheets/d/16UeMz0UgOB5BZcoxP75eYGcLFtGYRn9GoesD4OX9m5U/edit?usp=sharing"",""หนองบัวลำภู!J613"")"),0)</f>
        <v>0</v>
      </c>
      <c r="CI48" s="262">
        <f t="shared" ca="1" si="19"/>
        <v>0</v>
      </c>
      <c r="CJ48" s="186">
        <f ca="1">IFERROR(__xludf.DUMMYFUNCTION("IMPORTRANGE(""https://docs.google.com/spreadsheets/d/16UeMz0UgOB5BZcoxP75eYGcLFtGYRn9GoesD4OX9m5U/edit?usp=sharing"",""หนองบัวลำภู!J614"")"),0)</f>
        <v>0</v>
      </c>
      <c r="CK48" s="261">
        <f ca="1">IFERROR(__xludf.DUMMYFUNCTION("IMPORTRANGE(""https://docs.google.com/spreadsheets/d/16UeMz0UgOB5BZcoxP75eYGcLFtGYRn9GoesD4OX9m5U/edit?usp=sharing"",""หนองบัวลำภู!J615"")"),0)</f>
        <v>0</v>
      </c>
      <c r="CL48" s="186">
        <f ca="1">IFERROR(__xludf.DUMMYFUNCTION("IMPORTRANGE(""https://docs.google.com/spreadsheets/d/16UeMz0UgOB5BZcoxP75eYGcLFtGYRn9GoesD4OX9m5U/edit?usp=sharing"",""หนองบัวลำภู!J616"")"),0)</f>
        <v>0</v>
      </c>
      <c r="CM48" s="261">
        <f ca="1">IFERROR(__xludf.DUMMYFUNCTION("IMPORTRANGE(""https://docs.google.com/spreadsheets/d/16UeMz0UgOB5BZcoxP75eYGcLFtGYRn9GoesD4OX9m5U/edit?usp=sharing"",""หนองบัวลำภู!J617"")"),0)</f>
        <v>0</v>
      </c>
      <c r="CN48" s="261">
        <f ca="1">IFERROR(__xludf.DUMMYFUNCTION("IMPORTRANGE(""https://docs.google.com/spreadsheets/d/16UeMz0UgOB5BZcoxP75eYGcLFtGYRn9GoesD4OX9m5U/edit?usp=sharing"",""หนองบัวลำภู!I620"")"),44)</f>
        <v>44</v>
      </c>
      <c r="CO48" s="261">
        <f ca="1">IFERROR(__xludf.DUMMYFUNCTION("IMPORTRANGE(""https://docs.google.com/spreadsheets/d/16UeMz0UgOB5BZcoxP75eYGcLFtGYRn9GoesD4OX9m5U/edit?usp=sharing"",""หนองบัวลำภู!I621"")"),3)</f>
        <v>3</v>
      </c>
      <c r="CP48" s="262">
        <f ca="1">IFERROR(__xludf.DUMMYFUNCTION("IMPORTRANGE(""https://docs.google.com/spreadsheets/d/16UeMz0UgOB5BZcoxP75eYGcLFtGYRn9GoesD4OX9m5U/edit?usp=sharing"",""หนองบัวลำภู!J620"")"),0)</f>
        <v>0</v>
      </c>
      <c r="CQ48" s="262">
        <f t="shared" ca="1" si="38"/>
        <v>0</v>
      </c>
      <c r="CR48" s="261">
        <f ca="1">IFERROR(__xludf.DUMMYFUNCTION("IMPORTRANGE(""https://docs.google.com/spreadsheets/d/16UeMz0UgOB5BZcoxP75eYGcLFtGYRn9GoesD4OX9m5U/edit?usp=sharing"",""หนองบัวลำภู!J621"")"),0)</f>
        <v>0</v>
      </c>
      <c r="CS48" s="262">
        <f t="shared" ca="1" si="22"/>
        <v>0</v>
      </c>
      <c r="CT48" s="186">
        <f ca="1">IFERROR(__xludf.DUMMYFUNCTION("IMPORTRANGE(""https://docs.google.com/spreadsheets/d/16UeMz0UgOB5BZcoxP75eYGcLFtGYRn9GoesD4OX9m5U/edit?usp=sharing"",""หนองบัวลำภู!J622"")"),0)</f>
        <v>0</v>
      </c>
      <c r="CU48" s="261">
        <f ca="1">IFERROR(__xludf.DUMMYFUNCTION("IMPORTRANGE(""https://docs.google.com/spreadsheets/d/16UeMz0UgOB5BZcoxP75eYGcLFtGYRn9GoesD4OX9m5U/edit?usp=sharing"",""หนองบัวลำภู!J623"")"),0)</f>
        <v>0</v>
      </c>
      <c r="CV48" s="186">
        <f ca="1">IFERROR(__xludf.DUMMYFUNCTION("IMPORTRANGE(""https://docs.google.com/spreadsheets/d/16UeMz0UgOB5BZcoxP75eYGcLFtGYRn9GoesD4OX9m5U/edit?usp=sharing"",""หนองบัวลำภู!J624"")"),0)</f>
        <v>0</v>
      </c>
      <c r="CW48" s="261">
        <f ca="1">IFERROR(__xludf.DUMMYFUNCTION("IMPORTRANGE(""https://docs.google.com/spreadsheets/d/16UeMz0UgOB5BZcoxP75eYGcLFtGYRn9GoesD4OX9m5U/edit?usp=sharing"",""หนองบัวลำภู!J625"")"),0)</f>
        <v>0</v>
      </c>
      <c r="CX48" s="186">
        <f ca="1">IFERROR(__xludf.DUMMYFUNCTION("IMPORTRANGE(""https://docs.google.com/spreadsheets/d/16UeMz0UgOB5BZcoxP75eYGcLFtGYRn9GoesD4OX9m5U/edit?usp=sharing"",""หนองบัวลำภู!J626"")"),0)</f>
        <v>0</v>
      </c>
      <c r="CY48" s="261">
        <f ca="1">IFERROR(__xludf.DUMMYFUNCTION("IMPORTRANGE(""https://docs.google.com/spreadsheets/d/16UeMz0UgOB5BZcoxP75eYGcLFtGYRn9GoesD4OX9m5U/edit?usp=sharing"",""หนองบัวลำภู!J627"")"),0)</f>
        <v>0</v>
      </c>
    </row>
    <row r="49" spans="1:103" ht="21" customHeight="1" x14ac:dyDescent="0.3">
      <c r="A49" s="178">
        <v>18</v>
      </c>
      <c r="B49" s="179" t="s">
        <v>66</v>
      </c>
      <c r="C49" s="180">
        <f t="shared" ca="1" si="60"/>
        <v>397413</v>
      </c>
      <c r="D49" s="181">
        <f ca="1">IFERROR(__xludf.DUMMYFUNCTION("IMPORTRANGE(""https://docs.google.com/spreadsheets/d/1uUP8Zo1-qaJLuIkRU0qlwLSE3DHkbdrrj2JGJiWBQZE/edit?usp=sharing"",""อำนาจเจริญ!L549"")"),397413)</f>
        <v>397413</v>
      </c>
      <c r="E49" s="187">
        <f ca="1">IFERROR(__xludf.DUMMYFUNCTION("IMPORTRANGE(""https://docs.google.com/spreadsheets/d/1uUP8Zo1-qaJLuIkRU0qlwLSE3DHkbdrrj2JGJiWBQZE/edit?usp=sharing"",""อำนาจเจริญ!L557"")"),0)</f>
        <v>0</v>
      </c>
      <c r="F49" s="182">
        <f t="shared" ca="1" si="1"/>
        <v>78675</v>
      </c>
      <c r="G49" s="183">
        <f t="shared" ca="1" si="2"/>
        <v>19.796785711589706</v>
      </c>
      <c r="H49" s="184">
        <f t="shared" ca="1" si="61"/>
        <v>78675</v>
      </c>
      <c r="I49" s="187">
        <f ca="1">IFERROR(__xludf.DUMMYFUNCTION("IMPORTRANGE(""https://docs.google.com/spreadsheets/d/1uUP8Zo1-qaJLuIkRU0qlwLSE3DHkbdrrj2JGJiWBQZE/edit?usp=sharing"",""อำนาจเจริญ!N550"")"),0)</f>
        <v>0</v>
      </c>
      <c r="J49" s="187">
        <f ca="1">IFERROR(__xludf.DUMMYFUNCTION("IMPORTRANGE(""https://docs.google.com/spreadsheets/d/1uUP8Zo1-qaJLuIkRU0qlwLSE3DHkbdrrj2JGJiWBQZE/edit?usp=sharing"",""อำนาจเจริญ!N551"")"),0)</f>
        <v>0</v>
      </c>
      <c r="K49" s="187">
        <f ca="1">IFERROR(__xludf.DUMMYFUNCTION("IMPORTRANGE(""https://docs.google.com/spreadsheets/d/1uUP8Zo1-qaJLuIkRU0qlwLSE3DHkbdrrj2JGJiWBQZE/edit?usp=sharing"",""อำนาจเจริญ!N552"")"),52000)</f>
        <v>52000</v>
      </c>
      <c r="L49" s="187">
        <f ca="1">IFERROR(__xludf.DUMMYFUNCTION("IMPORTRANGE(""https://docs.google.com/spreadsheets/d/1uUP8Zo1-qaJLuIkRU0qlwLSE3DHkbdrrj2JGJiWBQZE/edit?usp=sharing"",""อำนาจเจริญ!N553"")"),26675)</f>
        <v>26675</v>
      </c>
      <c r="M49" s="187">
        <f ca="1">IFERROR(__xludf.DUMMYFUNCTION("IMPORTRANGE(""https://docs.google.com/spreadsheets/d/1uUP8Zo1-qaJLuIkRU0qlwLSE3DHkbdrrj2JGJiWBQZE/edit?usp=sharing"",""อำนาจเจริญ!N554"")"),0)</f>
        <v>0</v>
      </c>
      <c r="N49" s="185">
        <f ca="1">IFERROR(__xludf.DUMMYFUNCTION("IMPORTRANGE(""https://docs.google.com/spreadsheets/d/1uUP8Zo1-qaJLuIkRU0qlwLSE3DHkbdrrj2JGJiWBQZE/edit?usp=sharing"",""อำนาจเจริญ!N557"")"),0)</f>
        <v>0</v>
      </c>
      <c r="O49" s="185">
        <f t="shared" ca="1" si="41"/>
        <v>0</v>
      </c>
      <c r="P49" s="181">
        <f ca="1">IFERROR(__xludf.DUMMYFUNCTION("IMPORTRANGE(""https://docs.google.com/spreadsheets/d/1uUP8Zo1-qaJLuIkRU0qlwLSE3DHkbdrrj2JGJiWBQZE/edit?usp=sharing"",""อำนาจเจริญ!I560"")"),22152)</f>
        <v>22152</v>
      </c>
      <c r="Q49" s="181">
        <f ca="1">IFERROR(__xludf.DUMMYFUNCTION("IMPORTRANGE(""https://docs.google.com/spreadsheets/d/1uUP8Zo1-qaJLuIkRU0qlwLSE3DHkbdrrj2JGJiWBQZE/edit?usp=sharing"",""อำนาจเจริญ!I561"")"),1801)</f>
        <v>1801</v>
      </c>
      <c r="R49" s="186">
        <f ca="1">IFERROR(__xludf.DUMMYFUNCTION("IMPORTRANGE(""https://docs.google.com/spreadsheets/d/1uUP8Zo1-qaJLuIkRU0qlwLSE3DHkbdrrj2JGJiWBQZE/edit?usp=sharing"",""อำนาจเจริญ!J560"")"),22152)</f>
        <v>22152</v>
      </c>
      <c r="S49" s="186">
        <f t="shared" ca="1" si="33"/>
        <v>100</v>
      </c>
      <c r="T49" s="181">
        <f ca="1">IFERROR(__xludf.DUMMYFUNCTION("IMPORTRANGE(""https://docs.google.com/spreadsheets/d/1uUP8Zo1-qaJLuIkRU0qlwLSE3DHkbdrrj2JGJiWBQZE/edit?usp=sharing"",""อำนาจเจริญ!J561"")"),1801)</f>
        <v>1801</v>
      </c>
      <c r="U49" s="186">
        <f t="shared" ca="1" si="7"/>
        <v>100</v>
      </c>
      <c r="V49" s="186">
        <f ca="1">IFERROR(__xludf.DUMMYFUNCTION("IMPORTRANGE(""https://docs.google.com/spreadsheets/d/1uUP8Zo1-qaJLuIkRU0qlwLSE3DHkbdrrj2JGJiWBQZE/edit?usp=sharing"",""อำนาจเจริญ!J562"")"),19211)</f>
        <v>19211</v>
      </c>
      <c r="W49" s="261">
        <f ca="1">IFERROR(__xludf.DUMMYFUNCTION("IMPORTRANGE(""https://docs.google.com/spreadsheets/d/1uUP8Zo1-qaJLuIkRU0qlwLSE3DHkbdrrj2JGJiWBQZE/edit?usp=sharing"",""อำนาจเจริญ!J563"")"),1574)</f>
        <v>1574</v>
      </c>
      <c r="X49" s="186">
        <f ca="1">IFERROR(__xludf.DUMMYFUNCTION("IMPORTRANGE(""https://docs.google.com/spreadsheets/d/1uUP8Zo1-qaJLuIkRU0qlwLSE3DHkbdrrj2JGJiWBQZE/edit?usp=sharing"",""อำนาจเจริญ!J564"")"),2002)</f>
        <v>2002</v>
      </c>
      <c r="Y49" s="261">
        <f ca="1">IFERROR(__xludf.DUMMYFUNCTION("IMPORTRANGE(""https://docs.google.com/spreadsheets/d/1uUP8Zo1-qaJLuIkRU0qlwLSE3DHkbdrrj2JGJiWBQZE/edit?usp=sharing"",""อำนาจเจริญ!J565"")"),156)</f>
        <v>156</v>
      </c>
      <c r="Z49" s="186">
        <f ca="1">IFERROR(__xludf.DUMMYFUNCTION("IMPORTRANGE(""https://docs.google.com/spreadsheets/d/1uUP8Zo1-qaJLuIkRU0qlwLSE3DHkbdrrj2JGJiWBQZE/edit?usp=sharing"",""อำนาจเจริญ!J566"")"),939)</f>
        <v>939</v>
      </c>
      <c r="AA49" s="261">
        <f ca="1">IFERROR(__xludf.DUMMYFUNCTION("IMPORTRANGE(""https://docs.google.com/spreadsheets/d/1uUP8Zo1-qaJLuIkRU0qlwLSE3DHkbdrrj2JGJiWBQZE/edit?usp=sharing"",""อำนาจเจริญ!J567"")"),71)</f>
        <v>71</v>
      </c>
      <c r="AB49" s="181">
        <f ca="1">IFERROR(__xludf.DUMMYFUNCTION("IMPORTRANGE(""https://docs.google.com/spreadsheets/d/1uUP8Zo1-qaJLuIkRU0qlwLSE3DHkbdrrj2JGJiWBQZE/edit?usp=sharing"",""อำนาจเจริญ!I568"")"),22152)</f>
        <v>22152</v>
      </c>
      <c r="AC49" s="181">
        <f ca="1">IFERROR(__xludf.DUMMYFUNCTION("IMPORTRANGE(""https://docs.google.com/spreadsheets/d/1uUP8Zo1-qaJLuIkRU0qlwLSE3DHkbdrrj2JGJiWBQZE/edit?usp=sharing"",""อำนาจเจริญ!I569"")"),1801)</f>
        <v>1801</v>
      </c>
      <c r="AD49" s="186">
        <f ca="1">IFERROR(__xludf.DUMMYFUNCTION("IMPORTRANGE(""https://docs.google.com/spreadsheets/d/1uUP8Zo1-qaJLuIkRU0qlwLSE3DHkbdrrj2JGJiWBQZE/edit?usp=sharing"",""อำนาจเจริญ!J568"")"),0)</f>
        <v>0</v>
      </c>
      <c r="AE49" s="186">
        <f t="shared" ca="1" si="34"/>
        <v>0</v>
      </c>
      <c r="AF49" s="181">
        <f ca="1">IFERROR(__xludf.DUMMYFUNCTION("IMPORTRANGE(""https://docs.google.com/spreadsheets/d/1uUP8Zo1-qaJLuIkRU0qlwLSE3DHkbdrrj2JGJiWBQZE/edit?usp=sharing"",""อำนาจเจริญ!J569"")"),0)</f>
        <v>0</v>
      </c>
      <c r="AG49" s="186">
        <f t="shared" ca="1" si="10"/>
        <v>0</v>
      </c>
      <c r="AH49" s="186">
        <f ca="1">IFERROR(__xludf.DUMMYFUNCTION("IMPORTRANGE(""https://docs.google.com/spreadsheets/d/1uUP8Zo1-qaJLuIkRU0qlwLSE3DHkbdrrj2JGJiWBQZE/edit?usp=sharing"",""อำนาจเจริญ!J570"")"),0)</f>
        <v>0</v>
      </c>
      <c r="AI49" s="261">
        <f ca="1">IFERROR(__xludf.DUMMYFUNCTION("IMPORTRANGE(""https://docs.google.com/spreadsheets/d/1uUP8Zo1-qaJLuIkRU0qlwLSE3DHkbdrrj2JGJiWBQZE/edit?usp=sharing"",""อำนาจเจริญ!J571"")"),0)</f>
        <v>0</v>
      </c>
      <c r="AJ49" s="186">
        <f ca="1">IFERROR(__xludf.DUMMYFUNCTION("IMPORTRANGE(""https://docs.google.com/spreadsheets/d/1uUP8Zo1-qaJLuIkRU0qlwLSE3DHkbdrrj2JGJiWBQZE/edit?usp=sharing"",""อำนาจเจริญ!J572"")"),0)</f>
        <v>0</v>
      </c>
      <c r="AK49" s="261">
        <f ca="1">IFERROR(__xludf.DUMMYFUNCTION("IMPORTRANGE(""https://docs.google.com/spreadsheets/d/1uUP8Zo1-qaJLuIkRU0qlwLSE3DHkbdrrj2JGJiWBQZE/edit?usp=sharing"",""อำนาจเจริญ!J573"")"),0)</f>
        <v>0</v>
      </c>
      <c r="AL49" s="186">
        <f ca="1">IFERROR(__xludf.DUMMYFUNCTION("IMPORTRANGE(""https://docs.google.com/spreadsheets/d/1uUP8Zo1-qaJLuIkRU0qlwLSE3DHkbdrrj2JGJiWBQZE/edit?usp=sharing"",""อำนาจเจริญ!J574"")"),0)</f>
        <v>0</v>
      </c>
      <c r="AM49" s="261">
        <f ca="1">IFERROR(__xludf.DUMMYFUNCTION("IMPORTRANGE(""https://docs.google.com/spreadsheets/d/1uUP8Zo1-qaJLuIkRU0qlwLSE3DHkbdrrj2JGJiWBQZE/edit?usp=sharing"",""อำนาจเจริญ!J575"")"),0)</f>
        <v>0</v>
      </c>
      <c r="AN49" s="181">
        <f ca="1">IFERROR(__xludf.DUMMYFUNCTION("IMPORTRANGE(""https://docs.google.com/spreadsheets/d/1uUP8Zo1-qaJLuIkRU0qlwLSE3DHkbdrrj2JGJiWBQZE/edit?usp=sharing"",""อำนาจเจริญ!I576"")"),22152)</f>
        <v>22152</v>
      </c>
      <c r="AO49" s="181">
        <f ca="1">IFERROR(__xludf.DUMMYFUNCTION("IMPORTRANGE(""https://docs.google.com/spreadsheets/d/1uUP8Zo1-qaJLuIkRU0qlwLSE3DHkbdrrj2JGJiWBQZE/edit?usp=sharing"",""อำนาจเจริญ!I577"")"),1801)</f>
        <v>1801</v>
      </c>
      <c r="AP49" s="186">
        <f ca="1">IFERROR(__xludf.DUMMYFUNCTION("IMPORTRANGE(""https://docs.google.com/spreadsheets/d/1uUP8Zo1-qaJLuIkRU0qlwLSE3DHkbdrrj2JGJiWBQZE/edit?usp=sharing"",""อำนาจเจริญ!J576"")"),0)</f>
        <v>0</v>
      </c>
      <c r="AQ49" s="186">
        <f t="shared" ca="1" si="35"/>
        <v>0</v>
      </c>
      <c r="AR49" s="181">
        <f ca="1">IFERROR(__xludf.DUMMYFUNCTION("IMPORTRANGE(""https://docs.google.com/spreadsheets/d/1uUP8Zo1-qaJLuIkRU0qlwLSE3DHkbdrrj2JGJiWBQZE/edit?usp=sharing"",""อำนาจเจริญ!J577"")"),0)</f>
        <v>0</v>
      </c>
      <c r="AS49" s="186">
        <f t="shared" ca="1" si="13"/>
        <v>0</v>
      </c>
      <c r="AT49" s="186">
        <f ca="1">IFERROR(__xludf.DUMMYFUNCTION("IMPORTRANGE(""https://docs.google.com/spreadsheets/d/1uUP8Zo1-qaJLuIkRU0qlwLSE3DHkbdrrj2JGJiWBQZE/edit?usp=sharing"",""อำนาจเจริญ!J578"")"),0)</f>
        <v>0</v>
      </c>
      <c r="AU49" s="261">
        <f ca="1">IFERROR(__xludf.DUMMYFUNCTION("IMPORTRANGE(""https://docs.google.com/spreadsheets/d/1uUP8Zo1-qaJLuIkRU0qlwLSE3DHkbdrrj2JGJiWBQZE/edit?usp=sharing"",""อำนาจเจริญ!J579"")"),0)</f>
        <v>0</v>
      </c>
      <c r="AV49" s="186">
        <f ca="1">IFERROR(__xludf.DUMMYFUNCTION("IMPORTRANGE(""https://docs.google.com/spreadsheets/d/1uUP8Zo1-qaJLuIkRU0qlwLSE3DHkbdrrj2JGJiWBQZE/edit?usp=sharing"",""อำนาจเจริญ!J580"")"),0)</f>
        <v>0</v>
      </c>
      <c r="AW49" s="261">
        <f ca="1">IFERROR(__xludf.DUMMYFUNCTION("IMPORTRANGE(""https://docs.google.com/spreadsheets/d/1uUP8Zo1-qaJLuIkRU0qlwLSE3DHkbdrrj2JGJiWBQZE/edit?usp=sharing"",""อำนาจเจริญ!J581"")"),0)</f>
        <v>0</v>
      </c>
      <c r="AX49" s="186">
        <f ca="1">IFERROR(__xludf.DUMMYFUNCTION("IMPORTRANGE(""https://docs.google.com/spreadsheets/d/1uUP8Zo1-qaJLuIkRU0qlwLSE3DHkbdrrj2JGJiWBQZE/edit?usp=sharing"",""อำนาจเจริญ!J582"")"),0)</f>
        <v>0</v>
      </c>
      <c r="AY49" s="261">
        <f ca="1">IFERROR(__xludf.DUMMYFUNCTION("IMPORTRANGE(""https://docs.google.com/spreadsheets/d/1uUP8Zo1-qaJLuIkRU0qlwLSE3DHkbdrrj2JGJiWBQZE/edit?usp=sharing"",""อำนาจเจริญ!J583"")"),0)</f>
        <v>0</v>
      </c>
      <c r="AZ49" s="262">
        <f ca="1">IFERROR(__xludf.DUMMYFUNCTION("IMPORTRANGE(""https://docs.google.com/spreadsheets/d/1uUP8Zo1-qaJLuIkRU0qlwLSE3DHkbdrrj2JGJiWBQZE/edit?usp=sharing"",""อำนาจเจริญ!J584"")"),0)</f>
        <v>0</v>
      </c>
      <c r="BA49" s="261">
        <f ca="1">IFERROR(__xludf.DUMMYFUNCTION("IMPORTRANGE(""https://docs.google.com/spreadsheets/d/1uUP8Zo1-qaJLuIkRU0qlwLSE3DHkbdrrj2JGJiWBQZE/edit?usp=sharing"",""อำนาจเจริญ!J585"")"),0)</f>
        <v>0</v>
      </c>
      <c r="BB49" s="262">
        <f ca="1">IFERROR(__xludf.DUMMYFUNCTION("IMPORTRANGE(""https://docs.google.com/spreadsheets/d/1uUP8Zo1-qaJLuIkRU0qlwLSE3DHkbdrrj2JGJiWBQZE/edit?usp=sharing"",""อำนาจเจริญ!J586"")"),0)</f>
        <v>0</v>
      </c>
      <c r="BC49" s="261">
        <f ca="1">IFERROR(__xludf.DUMMYFUNCTION("IMPORTRANGE(""https://docs.google.com/spreadsheets/d/1uUP8Zo1-qaJLuIkRU0qlwLSE3DHkbdrrj2JGJiWBQZE/edit?usp=sharing"",""อำนาจเจริญ!J587"")"),0)</f>
        <v>0</v>
      </c>
      <c r="BD49" s="186">
        <f ca="1">IFERROR(__xludf.DUMMYFUNCTION("IMPORTRANGE(""https://docs.google.com/spreadsheets/d/1uUP8Zo1-qaJLuIkRU0qlwLSE3DHkbdrrj2JGJiWBQZE/edit?usp=sharing"",""อำนาจเจริญ!J588"")"),0)</f>
        <v>0</v>
      </c>
      <c r="BE49" s="261">
        <f ca="1">IFERROR(__xludf.DUMMYFUNCTION("IMPORTRANGE(""https://docs.google.com/spreadsheets/d/1uUP8Zo1-qaJLuIkRU0qlwLSE3DHkbdrrj2JGJiWBQZE/edit?usp=sharing"",""อำนาจเจริญ!J589"")"),0)</f>
        <v>0</v>
      </c>
      <c r="BF49" s="186">
        <f ca="1">IFERROR(__xludf.DUMMYFUNCTION("IMPORTRANGE(""https://docs.google.com/spreadsheets/d/1uUP8Zo1-qaJLuIkRU0qlwLSE3DHkbdrrj2JGJiWBQZE/edit?usp=sharing"",""อำนาจเจริญ!J590"")"),0)</f>
        <v>0</v>
      </c>
      <c r="BG49" s="261">
        <f ca="1">IFERROR(__xludf.DUMMYFUNCTION("IMPORTRANGE(""https://docs.google.com/spreadsheets/d/1uUP8Zo1-qaJLuIkRU0qlwLSE3DHkbdrrj2JGJiWBQZE/edit?usp=sharing"",""อำนาจเจริญ!J591"")"),0)</f>
        <v>0</v>
      </c>
      <c r="BH49" s="181">
        <f ca="1">IFERROR(__xludf.DUMMYFUNCTION("IMPORTRANGE(""https://docs.google.com/spreadsheets/d/1uUP8Zo1-qaJLuIkRU0qlwLSE3DHkbdrrj2JGJiWBQZE/edit?usp=sharing"",""อำนาจเจริญ!I593"")"),1063.6)</f>
        <v>1063.5999999999999</v>
      </c>
      <c r="BI49" s="181">
        <f ca="1">IFERROR(__xludf.DUMMYFUNCTION("IMPORTRANGE(""https://docs.google.com/spreadsheets/d/1uUP8Zo1-qaJLuIkRU0qlwLSE3DHkbdrrj2JGJiWBQZE/edit?usp=sharing"",""อำนาจเจริญ!I594"")"),385)</f>
        <v>385</v>
      </c>
      <c r="BJ49" s="186">
        <f ca="1">IFERROR(__xludf.DUMMYFUNCTION("IMPORTRANGE(""https://docs.google.com/spreadsheets/d/1uUP8Zo1-qaJLuIkRU0qlwLSE3DHkbdrrj2JGJiWBQZE/edit?usp=sharing"",""อำนาจเจริญ!J593"")"),1063.85)</f>
        <v>1063.8499999999999</v>
      </c>
      <c r="BK49" s="186">
        <f t="shared" ca="1" si="36"/>
        <v>100.02350507709664</v>
      </c>
      <c r="BL49" s="181">
        <f ca="1">IFERROR(__xludf.DUMMYFUNCTION("IMPORTRANGE(""https://docs.google.com/spreadsheets/d/1uUP8Zo1-qaJLuIkRU0qlwLSE3DHkbdrrj2JGJiWBQZE/edit?usp=sharing"",""อำนาจเจริญ!J594"")"),385)</f>
        <v>385</v>
      </c>
      <c r="BM49" s="186">
        <f t="shared" ca="1" si="16"/>
        <v>100</v>
      </c>
      <c r="BN49" s="186">
        <f ca="1">IFERROR(__xludf.DUMMYFUNCTION("IMPORTRANGE(""https://docs.google.com/spreadsheets/d/1uUP8Zo1-qaJLuIkRU0qlwLSE3DHkbdrrj2JGJiWBQZE/edit?usp=sharing"",""อำนาจเจริญ!J595"")"),1033.28)</f>
        <v>1033.28</v>
      </c>
      <c r="BO49" s="261">
        <f ca="1">IFERROR(__xludf.DUMMYFUNCTION("IMPORTRANGE(""https://docs.google.com/spreadsheets/d/1uUP8Zo1-qaJLuIkRU0qlwLSE3DHkbdrrj2JGJiWBQZE/edit?usp=sharing"",""อำนาจเจริญ!J596"")"),376)</f>
        <v>376</v>
      </c>
      <c r="BP49" s="186">
        <f ca="1">IFERROR(__xludf.DUMMYFUNCTION("IMPORTRANGE(""https://docs.google.com/spreadsheets/d/1uUP8Zo1-qaJLuIkRU0qlwLSE3DHkbdrrj2JGJiWBQZE/edit?usp=sharing"",""อำนาจเจริญ!J597"")"),1033.28)</f>
        <v>1033.28</v>
      </c>
      <c r="BQ49" s="261">
        <f ca="1">IFERROR(__xludf.DUMMYFUNCTION("IMPORTRANGE(""https://docs.google.com/spreadsheets/d/1uUP8Zo1-qaJLuIkRU0qlwLSE3DHkbdrrj2JGJiWBQZE/edit?usp=sharing"",""อำนาจเจริญ!J598"")"),376)</f>
        <v>376</v>
      </c>
      <c r="BR49" s="186">
        <f ca="1">IFERROR(__xludf.DUMMYFUNCTION("IMPORTRANGE(""https://docs.google.com/spreadsheets/d/1uUP8Zo1-qaJLuIkRU0qlwLSE3DHkbdrrj2JGJiWBQZE/edit?usp=sharing"",""อำนาจเจริญ!J599"")"),0)</f>
        <v>0</v>
      </c>
      <c r="BS49" s="261">
        <f ca="1">IFERROR(__xludf.DUMMYFUNCTION("IMPORTRANGE(""https://docs.google.com/spreadsheets/d/1uUP8Zo1-qaJLuIkRU0qlwLSE3DHkbdrrj2JGJiWBQZE/edit?usp=sharing"",""อำนาจเจริญ!J600"")"),0)</f>
        <v>0</v>
      </c>
      <c r="BT49" s="262">
        <f ca="1">IFERROR(__xludf.DUMMYFUNCTION("IMPORTRANGE(""https://docs.google.com/spreadsheets/d/1uUP8Zo1-qaJLuIkRU0qlwLSE3DHkbdrrj2JGJiWBQZE/edit?usp=sharing"",""อำนาจเจริญ!J601"")"),0)</f>
        <v>0</v>
      </c>
      <c r="BU49" s="261">
        <f ca="1">IFERROR(__xludf.DUMMYFUNCTION("IMPORTRANGE(""https://docs.google.com/spreadsheets/d/1uUP8Zo1-qaJLuIkRU0qlwLSE3DHkbdrrj2JGJiWBQZE/edit?usp=sharing"",""อำนาจเจริญ!J602"")"),0)</f>
        <v>0</v>
      </c>
      <c r="BV49" s="186">
        <f ca="1">IFERROR(__xludf.DUMMYFUNCTION("IMPORTRANGE(""https://docs.google.com/spreadsheets/d/1uUP8Zo1-qaJLuIkRU0qlwLSE3DHkbdrrj2JGJiWBQZE/edit?usp=sharing"",""อำนาจเจริญ!J603"")"),30.32)</f>
        <v>30.32</v>
      </c>
      <c r="BW49" s="261">
        <f ca="1">IFERROR(__xludf.DUMMYFUNCTION("IMPORTRANGE(""https://docs.google.com/spreadsheets/d/1uUP8Zo1-qaJLuIkRU0qlwLSE3DHkbdrrj2JGJiWBQZE/edit?usp=sharing"",""อำนาจเจริญ!J604"")"),8)</f>
        <v>8</v>
      </c>
      <c r="BX49" s="186">
        <f ca="1">IFERROR(__xludf.DUMMYFUNCTION("IMPORTRANGE(""https://docs.google.com/spreadsheets/d/1uUP8Zo1-qaJLuIkRU0qlwLSE3DHkbdrrj2JGJiWBQZE/edit?usp=sharing"",""อำนาจเจริญ!J605"")"),30.32)</f>
        <v>30.32</v>
      </c>
      <c r="BY49" s="261">
        <f ca="1">IFERROR(__xludf.DUMMYFUNCTION("IMPORTRANGE(""https://docs.google.com/spreadsheets/d/1uUP8Zo1-qaJLuIkRU0qlwLSE3DHkbdrrj2JGJiWBQZE/edit?usp=sharing"",""อำนาจเจริญ!J606"")"),8)</f>
        <v>8</v>
      </c>
      <c r="BZ49" s="186">
        <f ca="1">IFERROR(__xludf.DUMMYFUNCTION("IMPORTRANGE(""https://docs.google.com/spreadsheets/d/1uUP8Zo1-qaJLuIkRU0qlwLSE3DHkbdrrj2JGJiWBQZE/edit?usp=sharing"",""อำนาจเจริญ!J607"")"),0)</f>
        <v>0</v>
      </c>
      <c r="CA49" s="261">
        <f ca="1">IFERROR(__xludf.DUMMYFUNCTION("IMPORTRANGE(""https://docs.google.com/spreadsheets/d/1uUP8Zo1-qaJLuIkRU0qlwLSE3DHkbdrrj2JGJiWBQZE/edit?usp=sharing"",""อำนาจเจริญ!J608"")"),0)</f>
        <v>0</v>
      </c>
      <c r="CB49" s="186">
        <f ca="1">IFERROR(__xludf.DUMMYFUNCTION("IMPORTRANGE(""https://docs.google.com/spreadsheets/d/1uUP8Zo1-qaJLuIkRU0qlwLSE3DHkbdrrj2JGJiWBQZE/edit?usp=sharing"",""อำนาจเจริญ!J609"")"),0.25)</f>
        <v>0.25</v>
      </c>
      <c r="CC49" s="261">
        <f ca="1">IFERROR(__xludf.DUMMYFUNCTION("IMPORTRANGE(""https://docs.google.com/spreadsheets/d/1uUP8Zo1-qaJLuIkRU0qlwLSE3DHkbdrrj2JGJiWBQZE/edit?usp=sharing"",""อำนาจเจริญ!J610"")"),1)</f>
        <v>1</v>
      </c>
      <c r="CD49" s="261">
        <f ca="1">IFERROR(__xludf.DUMMYFUNCTION("IMPORTRANGE(""https://docs.google.com/spreadsheets/d/1uUP8Zo1-qaJLuIkRU0qlwLSE3DHkbdrrj2JGJiWBQZE/edit?usp=sharing"",""อำนาจเจริญ!I612"")"),0)</f>
        <v>0</v>
      </c>
      <c r="CE49" s="261">
        <f ca="1">IFERROR(__xludf.DUMMYFUNCTION("IMPORTRANGE(""https://docs.google.com/spreadsheets/d/1uUP8Zo1-qaJLuIkRU0qlwLSE3DHkbdrrj2JGJiWBQZE/edit?usp=sharing"",""อำนาจเจริญ!I594"")"),385)</f>
        <v>385</v>
      </c>
      <c r="CF49" s="262">
        <f ca="1">IFERROR(__xludf.DUMMYFUNCTION("IMPORTRANGE(""https://docs.google.com/spreadsheets/d/1uUP8Zo1-qaJLuIkRU0qlwLSE3DHkbdrrj2JGJiWBQZE/edit?usp=sharing"",""อำนาจเจริญ!J612"")"),0)</f>
        <v>0</v>
      </c>
      <c r="CG49" s="262">
        <f t="shared" ca="1" si="37"/>
        <v>0</v>
      </c>
      <c r="CH49" s="261">
        <f ca="1">IFERROR(__xludf.DUMMYFUNCTION("IMPORTRANGE(""https://docs.google.com/spreadsheets/d/1uUP8Zo1-qaJLuIkRU0qlwLSE3DHkbdrrj2JGJiWBQZE/edit?usp=sharing"",""อำนาจเจริญ!J613"")"),0)</f>
        <v>0</v>
      </c>
      <c r="CI49" s="262">
        <f t="shared" ca="1" si="19"/>
        <v>0</v>
      </c>
      <c r="CJ49" s="186">
        <f ca="1">IFERROR(__xludf.DUMMYFUNCTION("IMPORTRANGE(""https://docs.google.com/spreadsheets/d/1uUP8Zo1-qaJLuIkRU0qlwLSE3DHkbdrrj2JGJiWBQZE/edit?usp=sharing"",""อำนาจเจริญ!J614"")"),0)</f>
        <v>0</v>
      </c>
      <c r="CK49" s="261">
        <f ca="1">IFERROR(__xludf.DUMMYFUNCTION("IMPORTRANGE(""https://docs.google.com/spreadsheets/d/1uUP8Zo1-qaJLuIkRU0qlwLSE3DHkbdrrj2JGJiWBQZE/edit?usp=sharing"",""อำนาจเจริญ!J615"")"),0)</f>
        <v>0</v>
      </c>
      <c r="CL49" s="186">
        <f ca="1">IFERROR(__xludf.DUMMYFUNCTION("IMPORTRANGE(""https://docs.google.com/spreadsheets/d/1uUP8Zo1-qaJLuIkRU0qlwLSE3DHkbdrrj2JGJiWBQZE/edit?usp=sharing"",""อำนาจเจริญ!J616"")"),0)</f>
        <v>0</v>
      </c>
      <c r="CM49" s="261">
        <f ca="1">IFERROR(__xludf.DUMMYFUNCTION("IMPORTRANGE(""https://docs.google.com/spreadsheets/d/1uUP8Zo1-qaJLuIkRU0qlwLSE3DHkbdrrj2JGJiWBQZE/edit?usp=sharing"",""อำนาจเจริญ!J617"")"),0)</f>
        <v>0</v>
      </c>
      <c r="CN49" s="261">
        <f ca="1">IFERROR(__xludf.DUMMYFUNCTION("IMPORTRANGE(""https://docs.google.com/spreadsheets/d/1uUP8Zo1-qaJLuIkRU0qlwLSE3DHkbdrrj2JGJiWBQZE/edit?usp=sharing"",""อำนาจเจริญ!I620"")"),0)</f>
        <v>0</v>
      </c>
      <c r="CO49" s="261">
        <f ca="1">IFERROR(__xludf.DUMMYFUNCTION("IMPORTRANGE(""https://docs.google.com/spreadsheets/d/1uUP8Zo1-qaJLuIkRU0qlwLSE3DHkbdrrj2JGJiWBQZE/edit?usp=sharing"",""อำนาจเจริญ!I621"")"),0)</f>
        <v>0</v>
      </c>
      <c r="CP49" s="262">
        <f ca="1">IFERROR(__xludf.DUMMYFUNCTION("IMPORTRANGE(""https://docs.google.com/spreadsheets/d/1uUP8Zo1-qaJLuIkRU0qlwLSE3DHkbdrrj2JGJiWBQZE/edit?usp=sharing"",""อำนาจเจริญ!J620"")"),0)</f>
        <v>0</v>
      </c>
      <c r="CQ49" s="262">
        <f t="shared" ca="1" si="38"/>
        <v>0</v>
      </c>
      <c r="CR49" s="261">
        <f ca="1">IFERROR(__xludf.DUMMYFUNCTION("IMPORTRANGE(""https://docs.google.com/spreadsheets/d/1uUP8Zo1-qaJLuIkRU0qlwLSE3DHkbdrrj2JGJiWBQZE/edit?usp=sharing"",""อำนาจเจริญ!J621"")"),0)</f>
        <v>0</v>
      </c>
      <c r="CS49" s="262">
        <f t="shared" ca="1" si="22"/>
        <v>0</v>
      </c>
      <c r="CT49" s="186">
        <f ca="1">IFERROR(__xludf.DUMMYFUNCTION("IMPORTRANGE(""https://docs.google.com/spreadsheets/d/1uUP8Zo1-qaJLuIkRU0qlwLSE3DHkbdrrj2JGJiWBQZE/edit?usp=sharing"",""อำนาจเจริญ!J622"")"),0)</f>
        <v>0</v>
      </c>
      <c r="CU49" s="261">
        <f ca="1">IFERROR(__xludf.DUMMYFUNCTION("IMPORTRANGE(""https://docs.google.com/spreadsheets/d/1uUP8Zo1-qaJLuIkRU0qlwLSE3DHkbdrrj2JGJiWBQZE/edit?usp=sharing"",""อำนาจเจริญ!J623"")"),0)</f>
        <v>0</v>
      </c>
      <c r="CV49" s="186">
        <f ca="1">IFERROR(__xludf.DUMMYFUNCTION("IMPORTRANGE(""https://docs.google.com/spreadsheets/d/1uUP8Zo1-qaJLuIkRU0qlwLSE3DHkbdrrj2JGJiWBQZE/edit?usp=sharing"",""อำนาจเจริญ!J624"")"),0)</f>
        <v>0</v>
      </c>
      <c r="CW49" s="261">
        <f ca="1">IFERROR(__xludf.DUMMYFUNCTION("IMPORTRANGE(""https://docs.google.com/spreadsheets/d/1uUP8Zo1-qaJLuIkRU0qlwLSE3DHkbdrrj2JGJiWBQZE/edit?usp=sharing"",""อำนาจเจริญ!J625"")"),0)</f>
        <v>0</v>
      </c>
      <c r="CX49" s="186">
        <f ca="1">IFERROR(__xludf.DUMMYFUNCTION("IMPORTRANGE(""https://docs.google.com/spreadsheets/d/1uUP8Zo1-qaJLuIkRU0qlwLSE3DHkbdrrj2JGJiWBQZE/edit?usp=sharing"",""อำนาจเจริญ!J626"")"),0)</f>
        <v>0</v>
      </c>
      <c r="CY49" s="261">
        <f ca="1">IFERROR(__xludf.DUMMYFUNCTION("IMPORTRANGE(""https://docs.google.com/spreadsheets/d/1uUP8Zo1-qaJLuIkRU0qlwLSE3DHkbdrrj2JGJiWBQZE/edit?usp=sharing"",""อำนาจเจริญ!J627"")"),0)</f>
        <v>0</v>
      </c>
    </row>
    <row r="50" spans="1:103" ht="21" customHeight="1" x14ac:dyDescent="0.3">
      <c r="A50" s="178">
        <v>19</v>
      </c>
      <c r="B50" s="179" t="s">
        <v>67</v>
      </c>
      <c r="C50" s="180">
        <f t="shared" ca="1" si="60"/>
        <v>493687</v>
      </c>
      <c r="D50" s="181">
        <f ca="1">IFERROR(__xludf.DUMMYFUNCTION("IMPORTRANGE(""https://docs.google.com/spreadsheets/d/1hb_taSOHanzRjqfzWPiFo8yiT83VV1L7vvUCLhOiHKc/edit?usp=sharing"",""อุดรธานี!L549"")"),493687)</f>
        <v>493687</v>
      </c>
      <c r="E50" s="187">
        <f ca="1">IFERROR(__xludf.DUMMYFUNCTION("IMPORTRANGE(""https://docs.google.com/spreadsheets/d/1hb_taSOHanzRjqfzWPiFo8yiT83VV1L7vvUCLhOiHKc/edit?usp=sharing"",""อุดรธานี!L557"")"),0)</f>
        <v>0</v>
      </c>
      <c r="F50" s="182">
        <f t="shared" ca="1" si="1"/>
        <v>103903.29000000001</v>
      </c>
      <c r="G50" s="183">
        <f t="shared" ca="1" si="2"/>
        <v>21.046389716561304</v>
      </c>
      <c r="H50" s="184">
        <f t="shared" ca="1" si="61"/>
        <v>103903.29000000001</v>
      </c>
      <c r="I50" s="187">
        <f ca="1">IFERROR(__xludf.DUMMYFUNCTION("IMPORTRANGE(""https://docs.google.com/spreadsheets/d/1hb_taSOHanzRjqfzWPiFo8yiT83VV1L7vvUCLhOiHKc/edit?usp=sharing"",""อุดรธานี!N550"")"),0)</f>
        <v>0</v>
      </c>
      <c r="J50" s="187">
        <f ca="1">IFERROR(__xludf.DUMMYFUNCTION("IMPORTRANGE(""https://docs.google.com/spreadsheets/d/1hb_taSOHanzRjqfzWPiFo8yiT83VV1L7vvUCLhOiHKc/edit?usp=sharing"",""อุดรธานี!N551"")"),0)</f>
        <v>0</v>
      </c>
      <c r="K50" s="187">
        <f ca="1">IFERROR(__xludf.DUMMYFUNCTION("IMPORTRANGE(""https://docs.google.com/spreadsheets/d/1hb_taSOHanzRjqfzWPiFo8yiT83VV1L7vvUCLhOiHKc/edit?usp=sharing"",""อุดรธานี!N552"")"),52000)</f>
        <v>52000</v>
      </c>
      <c r="L50" s="187">
        <f ca="1">IFERROR(__xludf.DUMMYFUNCTION("IMPORTRANGE(""https://docs.google.com/spreadsheets/d/1hb_taSOHanzRjqfzWPiFo8yiT83VV1L7vvUCLhOiHKc/edit?usp=sharing"",""อุดรธานี!N553"")"),51903.29)</f>
        <v>51903.29</v>
      </c>
      <c r="M50" s="187">
        <f ca="1">IFERROR(__xludf.DUMMYFUNCTION("IMPORTRANGE(""https://docs.google.com/spreadsheets/d/1hb_taSOHanzRjqfzWPiFo8yiT83VV1L7vvUCLhOiHKc/edit?usp=sharing"",""อุดรธานี!N554"")"),0)</f>
        <v>0</v>
      </c>
      <c r="N50" s="185">
        <f ca="1">IFERROR(__xludf.DUMMYFUNCTION("IMPORTRANGE(""https://docs.google.com/spreadsheets/d/1hb_taSOHanzRjqfzWPiFo8yiT83VV1L7vvUCLhOiHKc/edit?usp=sharing"",""อุดรธานี!N557"")"),0)</f>
        <v>0</v>
      </c>
      <c r="O50" s="185">
        <f t="shared" ca="1" si="41"/>
        <v>0</v>
      </c>
      <c r="P50" s="181">
        <f ca="1">IFERROR(__xludf.DUMMYFUNCTION("IMPORTRANGE(""https://docs.google.com/spreadsheets/d/1hb_taSOHanzRjqfzWPiFo8yiT83VV1L7vvUCLhOiHKc/edit?usp=sharing"",""อุดรธานี!I560"")"),80104)</f>
        <v>80104</v>
      </c>
      <c r="Q50" s="181">
        <f ca="1">IFERROR(__xludf.DUMMYFUNCTION("IMPORTRANGE(""https://docs.google.com/spreadsheets/d/1hb_taSOHanzRjqfzWPiFo8yiT83VV1L7vvUCLhOiHKc/edit?usp=sharing"",""อุดรธานี!I561"")"),6736)</f>
        <v>6736</v>
      </c>
      <c r="R50" s="186">
        <f ca="1">IFERROR(__xludf.DUMMYFUNCTION("IMPORTRANGE(""https://docs.google.com/spreadsheets/d/1hb_taSOHanzRjqfzWPiFo8yiT83VV1L7vvUCLhOiHKc/edit?usp=sharing"",""อุดรธานี!J560"")"),73838.88)</f>
        <v>73838.880000000005</v>
      </c>
      <c r="S50" s="186">
        <f t="shared" ca="1" si="33"/>
        <v>92.178767602117247</v>
      </c>
      <c r="T50" s="181">
        <f ca="1">IFERROR(__xludf.DUMMYFUNCTION("IMPORTRANGE(""https://docs.google.com/spreadsheets/d/1hb_taSOHanzRjqfzWPiFo8yiT83VV1L7vvUCLhOiHKc/edit?usp=sharing"",""อุดรธานี!J561"")"),6263)</f>
        <v>6263</v>
      </c>
      <c r="U50" s="186">
        <f t="shared" ca="1" si="7"/>
        <v>92.978028503562939</v>
      </c>
      <c r="V50" s="186">
        <f ca="1">IFERROR(__xludf.DUMMYFUNCTION("IMPORTRANGE(""https://docs.google.com/spreadsheets/d/1hb_taSOHanzRjqfzWPiFo8yiT83VV1L7vvUCLhOiHKc/edit?usp=sharing"",""อุดรธานี!J562"")"),56985.39)</f>
        <v>56985.39</v>
      </c>
      <c r="W50" s="261">
        <f ca="1">IFERROR(__xludf.DUMMYFUNCTION("IMPORTRANGE(""https://docs.google.com/spreadsheets/d/1hb_taSOHanzRjqfzWPiFo8yiT83VV1L7vvUCLhOiHKc/edit?usp=sharing"",""อุดรธานี!J563"")"),4999)</f>
        <v>4999</v>
      </c>
      <c r="X50" s="186">
        <f ca="1">IFERROR(__xludf.DUMMYFUNCTION("IMPORTRANGE(""https://docs.google.com/spreadsheets/d/1hb_taSOHanzRjqfzWPiFo8yiT83VV1L7vvUCLhOiHKc/edit?usp=sharing"",""อุดรธานี!J564"")"),13586.99)</f>
        <v>13586.99</v>
      </c>
      <c r="Y50" s="261">
        <f ca="1">IFERROR(__xludf.DUMMYFUNCTION("IMPORTRANGE(""https://docs.google.com/spreadsheets/d/1hb_taSOHanzRjqfzWPiFo8yiT83VV1L7vvUCLhOiHKc/edit?usp=sharing"",""อุดรธานี!J565"")"),1004)</f>
        <v>1004</v>
      </c>
      <c r="Z50" s="186">
        <f ca="1">IFERROR(__xludf.DUMMYFUNCTION("IMPORTRANGE(""https://docs.google.com/spreadsheets/d/1hb_taSOHanzRjqfzWPiFo8yiT83VV1L7vvUCLhOiHKc/edit?usp=sharing"",""อุดรธานี!J566"")"),3266.5)</f>
        <v>3266.5</v>
      </c>
      <c r="AA50" s="261">
        <f ca="1">IFERROR(__xludf.DUMMYFUNCTION("IMPORTRANGE(""https://docs.google.com/spreadsheets/d/1hb_taSOHanzRjqfzWPiFo8yiT83VV1L7vvUCLhOiHKc/edit?usp=sharing"",""อุดรธานี!J567"")"),260)</f>
        <v>260</v>
      </c>
      <c r="AB50" s="181">
        <f ca="1">IFERROR(__xludf.DUMMYFUNCTION("IMPORTRANGE(""https://docs.google.com/spreadsheets/d/1hb_taSOHanzRjqfzWPiFo8yiT83VV1L7vvUCLhOiHKc/edit?usp=sharing"",""อุดรธานี!I568"")"),80104)</f>
        <v>80104</v>
      </c>
      <c r="AC50" s="181">
        <f ca="1">IFERROR(__xludf.DUMMYFUNCTION("IMPORTRANGE(""https://docs.google.com/spreadsheets/d/1hb_taSOHanzRjqfzWPiFo8yiT83VV1L7vvUCLhOiHKc/edit?usp=sharing"",""อุดรธานี!I569"")"),6736)</f>
        <v>6736</v>
      </c>
      <c r="AD50" s="186">
        <f ca="1">IFERROR(__xludf.DUMMYFUNCTION("IMPORTRANGE(""https://docs.google.com/spreadsheets/d/1hb_taSOHanzRjqfzWPiFo8yiT83VV1L7vvUCLhOiHKc/edit?usp=sharing"",""อุดรธานี!J568"")"),0)</f>
        <v>0</v>
      </c>
      <c r="AE50" s="186">
        <f t="shared" ca="1" si="34"/>
        <v>0</v>
      </c>
      <c r="AF50" s="181">
        <f ca="1">IFERROR(__xludf.DUMMYFUNCTION("IMPORTRANGE(""https://docs.google.com/spreadsheets/d/1hb_taSOHanzRjqfzWPiFo8yiT83VV1L7vvUCLhOiHKc/edit?usp=sharing"",""อุดรธานี!J569"")"),0)</f>
        <v>0</v>
      </c>
      <c r="AG50" s="186">
        <f t="shared" ca="1" si="10"/>
        <v>0</v>
      </c>
      <c r="AH50" s="186">
        <f ca="1">IFERROR(__xludf.DUMMYFUNCTION("IMPORTRANGE(""https://docs.google.com/spreadsheets/d/1hb_taSOHanzRjqfzWPiFo8yiT83VV1L7vvUCLhOiHKc/edit?usp=sharing"",""อุดรธานี!J570"")"),0)</f>
        <v>0</v>
      </c>
      <c r="AI50" s="261">
        <f ca="1">IFERROR(__xludf.DUMMYFUNCTION("IMPORTRANGE(""https://docs.google.com/spreadsheets/d/1hb_taSOHanzRjqfzWPiFo8yiT83VV1L7vvUCLhOiHKc/edit?usp=sharing"",""อุดรธานี!J571"")"),0)</f>
        <v>0</v>
      </c>
      <c r="AJ50" s="186">
        <f ca="1">IFERROR(__xludf.DUMMYFUNCTION("IMPORTRANGE(""https://docs.google.com/spreadsheets/d/1hb_taSOHanzRjqfzWPiFo8yiT83VV1L7vvUCLhOiHKc/edit?usp=sharing"",""อุดรธานี!J572"")"),0)</f>
        <v>0</v>
      </c>
      <c r="AK50" s="261">
        <f ca="1">IFERROR(__xludf.DUMMYFUNCTION("IMPORTRANGE(""https://docs.google.com/spreadsheets/d/1hb_taSOHanzRjqfzWPiFo8yiT83VV1L7vvUCLhOiHKc/edit?usp=sharing"",""อุดรธานี!J573"")"),0)</f>
        <v>0</v>
      </c>
      <c r="AL50" s="186">
        <f ca="1">IFERROR(__xludf.DUMMYFUNCTION("IMPORTRANGE(""https://docs.google.com/spreadsheets/d/1hb_taSOHanzRjqfzWPiFo8yiT83VV1L7vvUCLhOiHKc/edit?usp=sharing"",""อุดรธานี!J574"")"),0)</f>
        <v>0</v>
      </c>
      <c r="AM50" s="261">
        <f ca="1">IFERROR(__xludf.DUMMYFUNCTION("IMPORTRANGE(""https://docs.google.com/spreadsheets/d/1hb_taSOHanzRjqfzWPiFo8yiT83VV1L7vvUCLhOiHKc/edit?usp=sharing"",""อุดรธานี!J575"")"),0)</f>
        <v>0</v>
      </c>
      <c r="AN50" s="181">
        <f ca="1">IFERROR(__xludf.DUMMYFUNCTION("IMPORTRANGE(""https://docs.google.com/spreadsheets/d/1hb_taSOHanzRjqfzWPiFo8yiT83VV1L7vvUCLhOiHKc/edit?usp=sharing"",""อุดรธานี!I576"")"),80104)</f>
        <v>80104</v>
      </c>
      <c r="AO50" s="181">
        <f ca="1">IFERROR(__xludf.DUMMYFUNCTION("IMPORTRANGE(""https://docs.google.com/spreadsheets/d/1hb_taSOHanzRjqfzWPiFo8yiT83VV1L7vvUCLhOiHKc/edit?usp=sharing"",""อุดรธานี!I577"")"),6736)</f>
        <v>6736</v>
      </c>
      <c r="AP50" s="186">
        <f ca="1">IFERROR(__xludf.DUMMYFUNCTION("IMPORTRANGE(""https://docs.google.com/spreadsheets/d/1hb_taSOHanzRjqfzWPiFo8yiT83VV1L7vvUCLhOiHKc/edit?usp=sharing"",""อุดรธานี!J576"")"),73839.88)</f>
        <v>73839.88</v>
      </c>
      <c r="AQ50" s="186">
        <f t="shared" ca="1" si="35"/>
        <v>92.180015979227008</v>
      </c>
      <c r="AR50" s="181">
        <f ca="1">IFERROR(__xludf.DUMMYFUNCTION("IMPORTRANGE(""https://docs.google.com/spreadsheets/d/1hb_taSOHanzRjqfzWPiFo8yiT83VV1L7vvUCLhOiHKc/edit?usp=sharing"",""อุดรธานี!J577"")"),6263)</f>
        <v>6263</v>
      </c>
      <c r="AS50" s="186">
        <f t="shared" ca="1" si="13"/>
        <v>92.978028503562939</v>
      </c>
      <c r="AT50" s="186">
        <f ca="1">IFERROR(__xludf.DUMMYFUNCTION("IMPORTRANGE(""https://docs.google.com/spreadsheets/d/1hb_taSOHanzRjqfzWPiFo8yiT83VV1L7vvUCLhOiHKc/edit?usp=sharing"",""อุดรธานี!J578"")"),56985.39)</f>
        <v>56985.39</v>
      </c>
      <c r="AU50" s="261">
        <f ca="1">IFERROR(__xludf.DUMMYFUNCTION("IMPORTRANGE(""https://docs.google.com/spreadsheets/d/1hb_taSOHanzRjqfzWPiFo8yiT83VV1L7vvUCLhOiHKc/edit?usp=sharing"",""อุดรธานี!J579"")"),4999)</f>
        <v>4999</v>
      </c>
      <c r="AV50" s="186">
        <f ca="1">IFERROR(__xludf.DUMMYFUNCTION("IMPORTRANGE(""https://docs.google.com/spreadsheets/d/1hb_taSOHanzRjqfzWPiFo8yiT83VV1L7vvUCLhOiHKc/edit?usp=sharing"",""อุดรธานี!J580"")"),13586.99)</f>
        <v>13586.99</v>
      </c>
      <c r="AW50" s="261">
        <f ca="1">IFERROR(__xludf.DUMMYFUNCTION("IMPORTRANGE(""https://docs.google.com/spreadsheets/d/1hb_taSOHanzRjqfzWPiFo8yiT83VV1L7vvUCLhOiHKc/edit?usp=sharing"",""อุดรธานี!J581"")"),1004)</f>
        <v>1004</v>
      </c>
      <c r="AX50" s="186">
        <f ca="1">IFERROR(__xludf.DUMMYFUNCTION("IMPORTRANGE(""https://docs.google.com/spreadsheets/d/1hb_taSOHanzRjqfzWPiFo8yiT83VV1L7vvUCLhOiHKc/edit?usp=sharing"",""อุดรธานี!J582"")"),3267.5)</f>
        <v>3267.5</v>
      </c>
      <c r="AY50" s="261">
        <f ca="1">IFERROR(__xludf.DUMMYFUNCTION("IMPORTRANGE(""https://docs.google.com/spreadsheets/d/1hb_taSOHanzRjqfzWPiFo8yiT83VV1L7vvUCLhOiHKc/edit?usp=sharing"",""อุดรธานี!J583"")"),260)</f>
        <v>260</v>
      </c>
      <c r="AZ50" s="262">
        <f ca="1">IFERROR(__xludf.DUMMYFUNCTION("IMPORTRANGE(""https://docs.google.com/spreadsheets/d/1hb_taSOHanzRjqfzWPiFo8yiT83VV1L7vvUCLhOiHKc/edit?usp=sharing"",""อุดรธานี!J584"")"),3266.5)</f>
        <v>3266.5</v>
      </c>
      <c r="BA50" s="261">
        <f ca="1">IFERROR(__xludf.DUMMYFUNCTION("IMPORTRANGE(""https://docs.google.com/spreadsheets/d/1hb_taSOHanzRjqfzWPiFo8yiT83VV1L7vvUCLhOiHKc/edit?usp=sharing"",""อุดรธานี!J585"")"),259)</f>
        <v>259</v>
      </c>
      <c r="BB50" s="262">
        <f ca="1">IFERROR(__xludf.DUMMYFUNCTION("IMPORTRANGE(""https://docs.google.com/spreadsheets/d/1hb_taSOHanzRjqfzWPiFo8yiT83VV1L7vvUCLhOiHKc/edit?usp=sharing"",""อุดรธานี!J586"")"),1)</f>
        <v>1</v>
      </c>
      <c r="BC50" s="261">
        <f ca="1">IFERROR(__xludf.DUMMYFUNCTION("IMPORTRANGE(""https://docs.google.com/spreadsheets/d/1hb_taSOHanzRjqfzWPiFo8yiT83VV1L7vvUCLhOiHKc/edit?usp=sharing"",""อุดรธานี!J587"")"),1)</f>
        <v>1</v>
      </c>
      <c r="BD50" s="186">
        <f ca="1">IFERROR(__xludf.DUMMYFUNCTION("IMPORTRANGE(""https://docs.google.com/spreadsheets/d/1hb_taSOHanzRjqfzWPiFo8yiT83VV1L7vvUCLhOiHKc/edit?usp=sharing"",""อุดรธานี!J588"")"),0)</f>
        <v>0</v>
      </c>
      <c r="BE50" s="261">
        <f ca="1">IFERROR(__xludf.DUMMYFUNCTION("IMPORTRANGE(""https://docs.google.com/spreadsheets/d/1hb_taSOHanzRjqfzWPiFo8yiT83VV1L7vvUCLhOiHKc/edit?usp=sharing"",""อุดรธานี!J589"")"),0)</f>
        <v>0</v>
      </c>
      <c r="BF50" s="186">
        <f ca="1">IFERROR(__xludf.DUMMYFUNCTION("IMPORTRANGE(""https://docs.google.com/spreadsheets/d/1hb_taSOHanzRjqfzWPiFo8yiT83VV1L7vvUCLhOiHKc/edit?usp=sharing"",""อุดรธานี!J590"")"),0)</f>
        <v>0</v>
      </c>
      <c r="BG50" s="261">
        <f ca="1">IFERROR(__xludf.DUMMYFUNCTION("IMPORTRANGE(""https://docs.google.com/spreadsheets/d/1hb_taSOHanzRjqfzWPiFo8yiT83VV1L7vvUCLhOiHKc/edit?usp=sharing"",""อุดรธานี!J591"")"),0)</f>
        <v>0</v>
      </c>
      <c r="BH50" s="181">
        <f ca="1">IFERROR(__xludf.DUMMYFUNCTION("IMPORTRANGE(""https://docs.google.com/spreadsheets/d/1hb_taSOHanzRjqfzWPiFo8yiT83VV1L7vvUCLhOiHKc/edit?usp=sharing"",""อุดรธานี!I593"")"),1116.18)</f>
        <v>1116.18</v>
      </c>
      <c r="BI50" s="181">
        <f ca="1">IFERROR(__xludf.DUMMYFUNCTION("IMPORTRANGE(""https://docs.google.com/spreadsheets/d/1hb_taSOHanzRjqfzWPiFo8yiT83VV1L7vvUCLhOiHKc/edit?usp=sharing"",""อุดรธานี!I594"")"),66)</f>
        <v>66</v>
      </c>
      <c r="BJ50" s="186">
        <f ca="1">IFERROR(__xludf.DUMMYFUNCTION("IMPORTRANGE(""https://docs.google.com/spreadsheets/d/1hb_taSOHanzRjqfzWPiFo8yiT83VV1L7vvUCLhOiHKc/edit?usp=sharing"",""อุดรธานี!J593"")"),0)</f>
        <v>0</v>
      </c>
      <c r="BK50" s="186">
        <f t="shared" ca="1" si="36"/>
        <v>0</v>
      </c>
      <c r="BL50" s="181">
        <f ca="1">IFERROR(__xludf.DUMMYFUNCTION("IMPORTRANGE(""https://docs.google.com/spreadsheets/d/1hb_taSOHanzRjqfzWPiFo8yiT83VV1L7vvUCLhOiHKc/edit?usp=sharing"",""อุดรธานี!J594"")"),0)</f>
        <v>0</v>
      </c>
      <c r="BM50" s="186">
        <f t="shared" ca="1" si="16"/>
        <v>0</v>
      </c>
      <c r="BN50" s="186">
        <f ca="1">IFERROR(__xludf.DUMMYFUNCTION("IMPORTRANGE(""https://docs.google.com/spreadsheets/d/1hb_taSOHanzRjqfzWPiFo8yiT83VV1L7vvUCLhOiHKc/edit?usp=sharing"",""อุดรธานี!J595"")"),0)</f>
        <v>0</v>
      </c>
      <c r="BO50" s="261">
        <f ca="1">IFERROR(__xludf.DUMMYFUNCTION("IMPORTRANGE(""https://docs.google.com/spreadsheets/d/1hb_taSOHanzRjqfzWPiFo8yiT83VV1L7vvUCLhOiHKc/edit?usp=sharing"",""อุดรธานี!J596"")"),0)</f>
        <v>0</v>
      </c>
      <c r="BP50" s="186">
        <f ca="1">IFERROR(__xludf.DUMMYFUNCTION("IMPORTRANGE(""https://docs.google.com/spreadsheets/d/1hb_taSOHanzRjqfzWPiFo8yiT83VV1L7vvUCLhOiHKc/edit?usp=sharing"",""อุดรธานี!J597"")"),0)</f>
        <v>0</v>
      </c>
      <c r="BQ50" s="261">
        <f ca="1">IFERROR(__xludf.DUMMYFUNCTION("IMPORTRANGE(""https://docs.google.com/spreadsheets/d/1hb_taSOHanzRjqfzWPiFo8yiT83VV1L7vvUCLhOiHKc/edit?usp=sharing"",""อุดรธานี!J598"")"),0)</f>
        <v>0</v>
      </c>
      <c r="BR50" s="186">
        <f ca="1">IFERROR(__xludf.DUMMYFUNCTION("IMPORTRANGE(""https://docs.google.com/spreadsheets/d/1hb_taSOHanzRjqfzWPiFo8yiT83VV1L7vvUCLhOiHKc/edit?usp=sharing"",""อุดรธานี!J599"")"),0)</f>
        <v>0</v>
      </c>
      <c r="BS50" s="261">
        <f ca="1">IFERROR(__xludf.DUMMYFUNCTION("IMPORTRANGE(""https://docs.google.com/spreadsheets/d/1hb_taSOHanzRjqfzWPiFo8yiT83VV1L7vvUCLhOiHKc/edit?usp=sharing"",""อุดรธานี!J600"")"),0)</f>
        <v>0</v>
      </c>
      <c r="BT50" s="262">
        <f ca="1">IFERROR(__xludf.DUMMYFUNCTION("IMPORTRANGE(""https://docs.google.com/spreadsheets/d/1hb_taSOHanzRjqfzWPiFo8yiT83VV1L7vvUCLhOiHKc/edit?usp=sharing"",""อุดรธานี!J601"")"),0)</f>
        <v>0</v>
      </c>
      <c r="BU50" s="261">
        <f ca="1">IFERROR(__xludf.DUMMYFUNCTION("IMPORTRANGE(""https://docs.google.com/spreadsheets/d/1hb_taSOHanzRjqfzWPiFo8yiT83VV1L7vvUCLhOiHKc/edit?usp=sharing"",""อุดรธานี!J602"")"),0)</f>
        <v>0</v>
      </c>
      <c r="BV50" s="186">
        <f ca="1">IFERROR(__xludf.DUMMYFUNCTION("IMPORTRANGE(""https://docs.google.com/spreadsheets/d/1hb_taSOHanzRjqfzWPiFo8yiT83VV1L7vvUCLhOiHKc/edit?usp=sharing"",""อุดรธานี!J603"")"),0)</f>
        <v>0</v>
      </c>
      <c r="BW50" s="261">
        <f ca="1">IFERROR(__xludf.DUMMYFUNCTION("IMPORTRANGE(""https://docs.google.com/spreadsheets/d/1hb_taSOHanzRjqfzWPiFo8yiT83VV1L7vvUCLhOiHKc/edit?usp=sharing"",""อุดรธานี!J604"")"),0)</f>
        <v>0</v>
      </c>
      <c r="BX50" s="186">
        <f ca="1">IFERROR(__xludf.DUMMYFUNCTION("IMPORTRANGE(""https://docs.google.com/spreadsheets/d/1hb_taSOHanzRjqfzWPiFo8yiT83VV1L7vvUCLhOiHKc/edit?usp=sharing"",""อุดรธานี!J605"")"),0)</f>
        <v>0</v>
      </c>
      <c r="BY50" s="261">
        <f ca="1">IFERROR(__xludf.DUMMYFUNCTION("IMPORTRANGE(""https://docs.google.com/spreadsheets/d/1hb_taSOHanzRjqfzWPiFo8yiT83VV1L7vvUCLhOiHKc/edit?usp=sharing"",""อุดรธานี!J606"")"),0)</f>
        <v>0</v>
      </c>
      <c r="BZ50" s="186">
        <f ca="1">IFERROR(__xludf.DUMMYFUNCTION("IMPORTRANGE(""https://docs.google.com/spreadsheets/d/1hb_taSOHanzRjqfzWPiFo8yiT83VV1L7vvUCLhOiHKc/edit?usp=sharing"",""อุดรธานี!J607"")"),0)</f>
        <v>0</v>
      </c>
      <c r="CA50" s="261">
        <f ca="1">IFERROR(__xludf.DUMMYFUNCTION("IMPORTRANGE(""https://docs.google.com/spreadsheets/d/1hb_taSOHanzRjqfzWPiFo8yiT83VV1L7vvUCLhOiHKc/edit?usp=sharing"",""อุดรธานี!J608"")"),0)</f>
        <v>0</v>
      </c>
      <c r="CB50" s="186">
        <f ca="1">IFERROR(__xludf.DUMMYFUNCTION("IMPORTRANGE(""https://docs.google.com/spreadsheets/d/1hb_taSOHanzRjqfzWPiFo8yiT83VV1L7vvUCLhOiHKc/edit?usp=sharing"",""อุดรธานี!J609"")"),0)</f>
        <v>0</v>
      </c>
      <c r="CC50" s="261">
        <f ca="1">IFERROR(__xludf.DUMMYFUNCTION("IMPORTRANGE(""https://docs.google.com/spreadsheets/d/1hb_taSOHanzRjqfzWPiFo8yiT83VV1L7vvUCLhOiHKc/edit?usp=sharing"",""อุดรธานี!J610"")"),0)</f>
        <v>0</v>
      </c>
      <c r="CD50" s="261">
        <f ca="1">IFERROR(__xludf.DUMMYFUNCTION("IMPORTRANGE(""https://docs.google.com/spreadsheets/d/1hb_taSOHanzRjqfzWPiFo8yiT83VV1L7vvUCLhOiHKc/edit?usp=sharing"",""อุดรธานี!I612"")"),0)</f>
        <v>0</v>
      </c>
      <c r="CE50" s="261">
        <f ca="1">IFERROR(__xludf.DUMMYFUNCTION("IMPORTRANGE(""https://docs.google.com/spreadsheets/d/1hb_taSOHanzRjqfzWPiFo8yiT83VV1L7vvUCLhOiHKc/edit?usp=sharing"",""อุดรธานี!I594"")"),66)</f>
        <v>66</v>
      </c>
      <c r="CF50" s="262">
        <f ca="1">IFERROR(__xludf.DUMMYFUNCTION("IMPORTRANGE(""https://docs.google.com/spreadsheets/d/1hb_taSOHanzRjqfzWPiFo8yiT83VV1L7vvUCLhOiHKc/edit?usp=sharing"",""อุดรธานี!J612"")"),0)</f>
        <v>0</v>
      </c>
      <c r="CG50" s="262">
        <f t="shared" ca="1" si="37"/>
        <v>0</v>
      </c>
      <c r="CH50" s="261">
        <f ca="1">IFERROR(__xludf.DUMMYFUNCTION("IMPORTRANGE(""https://docs.google.com/spreadsheets/d/1hb_taSOHanzRjqfzWPiFo8yiT83VV1L7vvUCLhOiHKc/edit?usp=sharing"",""อุดรธานี!J613"")"),0)</f>
        <v>0</v>
      </c>
      <c r="CI50" s="262">
        <f t="shared" ca="1" si="19"/>
        <v>0</v>
      </c>
      <c r="CJ50" s="186">
        <f ca="1">IFERROR(__xludf.DUMMYFUNCTION("IMPORTRANGE(""https://docs.google.com/spreadsheets/d/1hb_taSOHanzRjqfzWPiFo8yiT83VV1L7vvUCLhOiHKc/edit?usp=sharing"",""อุดรธานี!J614"")"),0)</f>
        <v>0</v>
      </c>
      <c r="CK50" s="261">
        <f ca="1">IFERROR(__xludf.DUMMYFUNCTION("IMPORTRANGE(""https://docs.google.com/spreadsheets/d/1hb_taSOHanzRjqfzWPiFo8yiT83VV1L7vvUCLhOiHKc/edit?usp=sharing"",""อุดรธานี!J615"")"),0)</f>
        <v>0</v>
      </c>
      <c r="CL50" s="186">
        <f ca="1">IFERROR(__xludf.DUMMYFUNCTION("IMPORTRANGE(""https://docs.google.com/spreadsheets/d/1hb_taSOHanzRjqfzWPiFo8yiT83VV1L7vvUCLhOiHKc/edit?usp=sharing"",""อุดรธานี!J616"")"),0)</f>
        <v>0</v>
      </c>
      <c r="CM50" s="261">
        <f ca="1">IFERROR(__xludf.DUMMYFUNCTION("IMPORTRANGE(""https://docs.google.com/spreadsheets/d/1hb_taSOHanzRjqfzWPiFo8yiT83VV1L7vvUCLhOiHKc/edit?usp=sharing"",""อุดรธานี!J617"")"),0)</f>
        <v>0</v>
      </c>
      <c r="CN50" s="261">
        <f ca="1">IFERROR(__xludf.DUMMYFUNCTION("IMPORTRANGE(""https://docs.google.com/spreadsheets/d/1hb_taSOHanzRjqfzWPiFo8yiT83VV1L7vvUCLhOiHKc/edit?usp=sharing"",""อุดรธานี!I620"")"),22)</f>
        <v>22</v>
      </c>
      <c r="CO50" s="261">
        <f ca="1">IFERROR(__xludf.DUMMYFUNCTION("IMPORTRANGE(""https://docs.google.com/spreadsheets/d/1hb_taSOHanzRjqfzWPiFo8yiT83VV1L7vvUCLhOiHKc/edit?usp=sharing"",""อุดรธานี!I621"")"),1)</f>
        <v>1</v>
      </c>
      <c r="CP50" s="262">
        <f ca="1">IFERROR(__xludf.DUMMYFUNCTION("IMPORTRANGE(""https://docs.google.com/spreadsheets/d/1hb_taSOHanzRjqfzWPiFo8yiT83VV1L7vvUCLhOiHKc/edit?usp=sharing"",""อุดรธานี!J620"")"),22)</f>
        <v>22</v>
      </c>
      <c r="CQ50" s="262">
        <f t="shared" ca="1" si="38"/>
        <v>100</v>
      </c>
      <c r="CR50" s="261">
        <f ca="1">IFERROR(__xludf.DUMMYFUNCTION("IMPORTRANGE(""https://docs.google.com/spreadsheets/d/1hb_taSOHanzRjqfzWPiFo8yiT83VV1L7vvUCLhOiHKc/edit?usp=sharing"",""อุดรธานี!J621"")"),1)</f>
        <v>1</v>
      </c>
      <c r="CS50" s="262">
        <f t="shared" ca="1" si="22"/>
        <v>100</v>
      </c>
      <c r="CT50" s="186">
        <f ca="1">IFERROR(__xludf.DUMMYFUNCTION("IMPORTRANGE(""https://docs.google.com/spreadsheets/d/1hb_taSOHanzRjqfzWPiFo8yiT83VV1L7vvUCLhOiHKc/edit?usp=sharing"",""อุดรธานี!J622"")"),0)</f>
        <v>0</v>
      </c>
      <c r="CU50" s="261">
        <f ca="1">IFERROR(__xludf.DUMMYFUNCTION("IMPORTRANGE(""https://docs.google.com/spreadsheets/d/1hb_taSOHanzRjqfzWPiFo8yiT83VV1L7vvUCLhOiHKc/edit?usp=sharing"",""อุดรธานี!J623"")"),0)</f>
        <v>0</v>
      </c>
      <c r="CV50" s="186">
        <f ca="1">IFERROR(__xludf.DUMMYFUNCTION("IMPORTRANGE(""https://docs.google.com/spreadsheets/d/1hb_taSOHanzRjqfzWPiFo8yiT83VV1L7vvUCLhOiHKc/edit?usp=sharing"",""อุดรธานี!J624"")"),22)</f>
        <v>22</v>
      </c>
      <c r="CW50" s="261">
        <f ca="1">IFERROR(__xludf.DUMMYFUNCTION("IMPORTRANGE(""https://docs.google.com/spreadsheets/d/1hb_taSOHanzRjqfzWPiFo8yiT83VV1L7vvUCLhOiHKc/edit?usp=sharing"",""อุดรธานี!J625"")"),1)</f>
        <v>1</v>
      </c>
      <c r="CX50" s="186">
        <f ca="1">IFERROR(__xludf.DUMMYFUNCTION("IMPORTRANGE(""https://docs.google.com/spreadsheets/d/1hb_taSOHanzRjqfzWPiFo8yiT83VV1L7vvUCLhOiHKc/edit?usp=sharing"",""อุดรธานี!J626"")"),0)</f>
        <v>0</v>
      </c>
      <c r="CY50" s="261">
        <f ca="1">IFERROR(__xludf.DUMMYFUNCTION("IMPORTRANGE(""https://docs.google.com/spreadsheets/d/1hb_taSOHanzRjqfzWPiFo8yiT83VV1L7vvUCLhOiHKc/edit?usp=sharing"",""อุดรธานี!J627"")"),0)</f>
        <v>0</v>
      </c>
    </row>
    <row r="51" spans="1:103" ht="21" customHeight="1" x14ac:dyDescent="0.3">
      <c r="A51" s="192">
        <v>20</v>
      </c>
      <c r="B51" s="193" t="s">
        <v>68</v>
      </c>
      <c r="C51" s="204">
        <f t="shared" ca="1" si="60"/>
        <v>517164</v>
      </c>
      <c r="D51" s="202">
        <f ca="1">IFERROR(__xludf.DUMMYFUNCTION("IMPORTRANGE(""https://docs.google.com/spreadsheets/d/17IOkEwkUd63EGNfyNDnM5de9YlZ7rwzTiW6-dokVjKI/edit?usp=sharing"",""อุบลราชธานี!L549"")"),517164)</f>
        <v>517164</v>
      </c>
      <c r="E51" s="200">
        <f ca="1">IFERROR(__xludf.DUMMYFUNCTION("IMPORTRANGE(""https://docs.google.com/spreadsheets/d/17IOkEwkUd63EGNfyNDnM5de9YlZ7rwzTiW6-dokVjKI/edit?usp=sharing"",""อุบลราชธานี!L557"")"),0)</f>
        <v>0</v>
      </c>
      <c r="F51" s="197">
        <f t="shared" ca="1" si="1"/>
        <v>228214.35</v>
      </c>
      <c r="G51" s="205">
        <f t="shared" ca="1" si="2"/>
        <v>44.128042555166253</v>
      </c>
      <c r="H51" s="199">
        <f t="shared" ca="1" si="61"/>
        <v>228214.35</v>
      </c>
      <c r="I51" s="200">
        <f ca="1">IFERROR(__xludf.DUMMYFUNCTION("IMPORTRANGE(""https://docs.google.com/spreadsheets/d/17IOkEwkUd63EGNfyNDnM5de9YlZ7rwzTiW6-dokVjKI/edit?usp=sharing"",""อุบลราชธานี!N550"")"),0)</f>
        <v>0</v>
      </c>
      <c r="J51" s="200">
        <f ca="1">IFERROR(__xludf.DUMMYFUNCTION("IMPORTRANGE(""https://docs.google.com/spreadsheets/d/17IOkEwkUd63EGNfyNDnM5de9YlZ7rwzTiW6-dokVjKI/edit?usp=sharing"",""อุบลราชธานี!N551"")"),0)</f>
        <v>0</v>
      </c>
      <c r="K51" s="200">
        <f ca="1">IFERROR(__xludf.DUMMYFUNCTION("IMPORTRANGE(""https://docs.google.com/spreadsheets/d/17IOkEwkUd63EGNfyNDnM5de9YlZ7rwzTiW6-dokVjKI/edit?usp=sharing"",""อุบลราชธานี!N552"")"),52000)</f>
        <v>52000</v>
      </c>
      <c r="L51" s="200">
        <f ca="1">IFERROR(__xludf.DUMMYFUNCTION("IMPORTRANGE(""https://docs.google.com/spreadsheets/d/17IOkEwkUd63EGNfyNDnM5de9YlZ7rwzTiW6-dokVjKI/edit?usp=sharing"",""อุบลราชธานี!N553"")"),176214.35)</f>
        <v>176214.35</v>
      </c>
      <c r="M51" s="200">
        <f ca="1">IFERROR(__xludf.DUMMYFUNCTION("IMPORTRANGE(""https://docs.google.com/spreadsheets/d/17IOkEwkUd63EGNfyNDnM5de9YlZ7rwzTiW6-dokVjKI/edit?usp=sharing"",""อุบลราชธานี!N554"")"),0)</f>
        <v>0</v>
      </c>
      <c r="N51" s="201">
        <f ca="1">IFERROR(__xludf.DUMMYFUNCTION("IMPORTRANGE(""https://docs.google.com/spreadsheets/d/17IOkEwkUd63EGNfyNDnM5de9YlZ7rwzTiW6-dokVjKI/edit?usp=sharing"",""อุบลราชธานี!N557"")"),0)</f>
        <v>0</v>
      </c>
      <c r="O51" s="201">
        <f t="shared" ca="1" si="41"/>
        <v>0</v>
      </c>
      <c r="P51" s="202">
        <f ca="1">IFERROR(__xludf.DUMMYFUNCTION("IMPORTRANGE(""https://docs.google.com/spreadsheets/d/17IOkEwkUd63EGNfyNDnM5de9YlZ7rwzTiW6-dokVjKI/edit?usp=sharing"",""อุบลราชธานี!I560"")"),88522)</f>
        <v>88522</v>
      </c>
      <c r="Q51" s="202">
        <f ca="1">IFERROR(__xludf.DUMMYFUNCTION("IMPORTRANGE(""https://docs.google.com/spreadsheets/d/17IOkEwkUd63EGNfyNDnM5de9YlZ7rwzTiW6-dokVjKI/edit?usp=sharing"",""อุบลราชธานี!I561"")"),8669)</f>
        <v>8669</v>
      </c>
      <c r="R51" s="203">
        <f ca="1">IFERROR(__xludf.DUMMYFUNCTION("IMPORTRANGE(""https://docs.google.com/spreadsheets/d/17IOkEwkUd63EGNfyNDnM5de9YlZ7rwzTiW6-dokVjKI/edit?usp=sharing"",""อุบลราชธานี!J560"")"),88522.55)</f>
        <v>88522.55</v>
      </c>
      <c r="S51" s="203">
        <f t="shared" ca="1" si="33"/>
        <v>100.0006213144755</v>
      </c>
      <c r="T51" s="202">
        <f ca="1">IFERROR(__xludf.DUMMYFUNCTION("IMPORTRANGE(""https://docs.google.com/spreadsheets/d/17IOkEwkUd63EGNfyNDnM5de9YlZ7rwzTiW6-dokVjKI/edit?usp=sharing"",""อุบลราชธานี!J561"")"),8669)</f>
        <v>8669</v>
      </c>
      <c r="U51" s="203">
        <f t="shared" ca="1" si="7"/>
        <v>100</v>
      </c>
      <c r="V51" s="203">
        <f ca="1">IFERROR(__xludf.DUMMYFUNCTION("IMPORTRANGE(""https://docs.google.com/spreadsheets/d/17IOkEwkUd63EGNfyNDnM5de9YlZ7rwzTiW6-dokVjKI/edit?usp=sharing"",""อุบลราชธานี!J562"")"),63806.0575)</f>
        <v>63806.057500000003</v>
      </c>
      <c r="W51" s="263">
        <f ca="1">IFERROR(__xludf.DUMMYFUNCTION("IMPORTRANGE(""https://docs.google.com/spreadsheets/d/17IOkEwkUd63EGNfyNDnM5de9YlZ7rwzTiW6-dokVjKI/edit?usp=sharing"",""อุบลราชธานี!J563"")"),6638)</f>
        <v>6638</v>
      </c>
      <c r="X51" s="203">
        <f ca="1">IFERROR(__xludf.DUMMYFUNCTION("IMPORTRANGE(""https://docs.google.com/spreadsheets/d/17IOkEwkUd63EGNfyNDnM5de9YlZ7rwzTiW6-dokVjKI/edit?usp=sharing"",""อุบลราชธานี!J564"")"),20079.0975)</f>
        <v>20079.0975</v>
      </c>
      <c r="Y51" s="263">
        <f ca="1">IFERROR(__xludf.DUMMYFUNCTION("IMPORTRANGE(""https://docs.google.com/spreadsheets/d/17IOkEwkUd63EGNfyNDnM5de9YlZ7rwzTiW6-dokVjKI/edit?usp=sharing"",""อุบลราชธานี!J565"")"),1654)</f>
        <v>1654</v>
      </c>
      <c r="Z51" s="203">
        <f ca="1">IFERROR(__xludf.DUMMYFUNCTION("IMPORTRANGE(""https://docs.google.com/spreadsheets/d/17IOkEwkUd63EGNfyNDnM5de9YlZ7rwzTiW6-dokVjKI/edit?usp=sharing"",""อุบลราชธานี!J566"")"),4637.395)</f>
        <v>4637.3950000000004</v>
      </c>
      <c r="AA51" s="263">
        <f ca="1">IFERROR(__xludf.DUMMYFUNCTION("IMPORTRANGE(""https://docs.google.com/spreadsheets/d/17IOkEwkUd63EGNfyNDnM5de9YlZ7rwzTiW6-dokVjKI/edit?usp=sharing"",""อุบลราชธานี!J567"")"),377)</f>
        <v>377</v>
      </c>
      <c r="AB51" s="202">
        <f ca="1">IFERROR(__xludf.DUMMYFUNCTION("IMPORTRANGE(""https://docs.google.com/spreadsheets/d/17IOkEwkUd63EGNfyNDnM5de9YlZ7rwzTiW6-dokVjKI/edit?usp=sharing"",""อุบลราชธานี!I568"")"),88522)</f>
        <v>88522</v>
      </c>
      <c r="AC51" s="202">
        <f ca="1">IFERROR(__xludf.DUMMYFUNCTION("IMPORTRANGE(""https://docs.google.com/spreadsheets/d/17IOkEwkUd63EGNfyNDnM5de9YlZ7rwzTiW6-dokVjKI/edit?usp=sharing"",""อุบลราชธานี!I569"")"),8669)</f>
        <v>8669</v>
      </c>
      <c r="AD51" s="203">
        <f ca="1">IFERROR(__xludf.DUMMYFUNCTION("IMPORTRANGE(""https://docs.google.com/spreadsheets/d/17IOkEwkUd63EGNfyNDnM5de9YlZ7rwzTiW6-dokVjKI/edit?usp=sharing"",""อุบลราชธานี!J568"")"),0)</f>
        <v>0</v>
      </c>
      <c r="AE51" s="203">
        <f t="shared" ca="1" si="34"/>
        <v>0</v>
      </c>
      <c r="AF51" s="202">
        <f ca="1">IFERROR(__xludf.DUMMYFUNCTION("IMPORTRANGE(""https://docs.google.com/spreadsheets/d/17IOkEwkUd63EGNfyNDnM5de9YlZ7rwzTiW6-dokVjKI/edit?usp=sharing"",""อุบลราชธานี!J569"")"),0)</f>
        <v>0</v>
      </c>
      <c r="AG51" s="203">
        <f t="shared" ca="1" si="10"/>
        <v>0</v>
      </c>
      <c r="AH51" s="203">
        <f ca="1">IFERROR(__xludf.DUMMYFUNCTION("IMPORTRANGE(""https://docs.google.com/spreadsheets/d/17IOkEwkUd63EGNfyNDnM5de9YlZ7rwzTiW6-dokVjKI/edit?usp=sharing"",""อุบลราชธานี!J570"")"),0)</f>
        <v>0</v>
      </c>
      <c r="AI51" s="263">
        <f ca="1">IFERROR(__xludf.DUMMYFUNCTION("IMPORTRANGE(""https://docs.google.com/spreadsheets/d/17IOkEwkUd63EGNfyNDnM5de9YlZ7rwzTiW6-dokVjKI/edit?usp=sharing"",""อุบลราชธานี!J571"")"),0)</f>
        <v>0</v>
      </c>
      <c r="AJ51" s="203">
        <f ca="1">IFERROR(__xludf.DUMMYFUNCTION("IMPORTRANGE(""https://docs.google.com/spreadsheets/d/17IOkEwkUd63EGNfyNDnM5de9YlZ7rwzTiW6-dokVjKI/edit?usp=sharing"",""อุบลราชธานี!J572"")"),0)</f>
        <v>0</v>
      </c>
      <c r="AK51" s="263">
        <f ca="1">IFERROR(__xludf.DUMMYFUNCTION("IMPORTRANGE(""https://docs.google.com/spreadsheets/d/17IOkEwkUd63EGNfyNDnM5de9YlZ7rwzTiW6-dokVjKI/edit?usp=sharing"",""อุบลราชธานี!J573"")"),0)</f>
        <v>0</v>
      </c>
      <c r="AL51" s="203">
        <f ca="1">IFERROR(__xludf.DUMMYFUNCTION("IMPORTRANGE(""https://docs.google.com/spreadsheets/d/17IOkEwkUd63EGNfyNDnM5de9YlZ7rwzTiW6-dokVjKI/edit?usp=sharing"",""อุบลราชธานี!J574"")"),0)</f>
        <v>0</v>
      </c>
      <c r="AM51" s="263">
        <f ca="1">IFERROR(__xludf.DUMMYFUNCTION("IMPORTRANGE(""https://docs.google.com/spreadsheets/d/17IOkEwkUd63EGNfyNDnM5de9YlZ7rwzTiW6-dokVjKI/edit?usp=sharing"",""อุบลราชธานี!J575"")"),0)</f>
        <v>0</v>
      </c>
      <c r="AN51" s="202">
        <f ca="1">IFERROR(__xludf.DUMMYFUNCTION("IMPORTRANGE(""https://docs.google.com/spreadsheets/d/17IOkEwkUd63EGNfyNDnM5de9YlZ7rwzTiW6-dokVjKI/edit?usp=sharing"",""อุบลราชธานี!I576"")"),88522)</f>
        <v>88522</v>
      </c>
      <c r="AO51" s="202">
        <f ca="1">IFERROR(__xludf.DUMMYFUNCTION("IMPORTRANGE(""https://docs.google.com/spreadsheets/d/17IOkEwkUd63EGNfyNDnM5de9YlZ7rwzTiW6-dokVjKI/edit?usp=sharing"",""อุบลราชธานี!I577"")"),8669)</f>
        <v>8669</v>
      </c>
      <c r="AP51" s="203">
        <f ca="1">IFERROR(__xludf.DUMMYFUNCTION("IMPORTRANGE(""https://docs.google.com/spreadsheets/d/17IOkEwkUd63EGNfyNDnM5de9YlZ7rwzTiW6-dokVjKI/edit?usp=sharing"",""อุบลราชธานี!J576"")"),0)</f>
        <v>0</v>
      </c>
      <c r="AQ51" s="203">
        <f t="shared" ca="1" si="35"/>
        <v>0</v>
      </c>
      <c r="AR51" s="202">
        <f ca="1">IFERROR(__xludf.DUMMYFUNCTION("IMPORTRANGE(""https://docs.google.com/spreadsheets/d/17IOkEwkUd63EGNfyNDnM5de9YlZ7rwzTiW6-dokVjKI/edit?usp=sharing"",""อุบลราชธานี!J577"")"),0)</f>
        <v>0</v>
      </c>
      <c r="AS51" s="203">
        <f t="shared" ca="1" si="13"/>
        <v>0</v>
      </c>
      <c r="AT51" s="203">
        <f ca="1">IFERROR(__xludf.DUMMYFUNCTION("IMPORTRANGE(""https://docs.google.com/spreadsheets/d/17IOkEwkUd63EGNfyNDnM5de9YlZ7rwzTiW6-dokVjKI/edit?usp=sharing"",""อุบลราชธานี!J578"")"),0)</f>
        <v>0</v>
      </c>
      <c r="AU51" s="263">
        <f ca="1">IFERROR(__xludf.DUMMYFUNCTION("IMPORTRANGE(""https://docs.google.com/spreadsheets/d/17IOkEwkUd63EGNfyNDnM5de9YlZ7rwzTiW6-dokVjKI/edit?usp=sharing"",""อุบลราชธานี!J579"")"),0)</f>
        <v>0</v>
      </c>
      <c r="AV51" s="203">
        <f ca="1">IFERROR(__xludf.DUMMYFUNCTION("IMPORTRANGE(""https://docs.google.com/spreadsheets/d/17IOkEwkUd63EGNfyNDnM5de9YlZ7rwzTiW6-dokVjKI/edit?usp=sharing"",""อุบลราชธานี!J580"")"),0)</f>
        <v>0</v>
      </c>
      <c r="AW51" s="263">
        <f ca="1">IFERROR(__xludf.DUMMYFUNCTION("IMPORTRANGE(""https://docs.google.com/spreadsheets/d/17IOkEwkUd63EGNfyNDnM5de9YlZ7rwzTiW6-dokVjKI/edit?usp=sharing"",""อุบลราชธานี!J581"")"),0)</f>
        <v>0</v>
      </c>
      <c r="AX51" s="203">
        <f ca="1">IFERROR(__xludf.DUMMYFUNCTION("IMPORTRANGE(""https://docs.google.com/spreadsheets/d/17IOkEwkUd63EGNfyNDnM5de9YlZ7rwzTiW6-dokVjKI/edit?usp=sharing"",""อุบลราชธานี!J582"")"),0)</f>
        <v>0</v>
      </c>
      <c r="AY51" s="263">
        <f ca="1">IFERROR(__xludf.DUMMYFUNCTION("IMPORTRANGE(""https://docs.google.com/spreadsheets/d/17IOkEwkUd63EGNfyNDnM5de9YlZ7rwzTiW6-dokVjKI/edit?usp=sharing"",""อุบลราชธานี!J583"")"),0)</f>
        <v>0</v>
      </c>
      <c r="AZ51" s="264">
        <f ca="1">IFERROR(__xludf.DUMMYFUNCTION("IMPORTRANGE(""https://docs.google.com/spreadsheets/d/17IOkEwkUd63EGNfyNDnM5de9YlZ7rwzTiW6-dokVjKI/edit?usp=sharing"",""อุบลราชธานี!J584"")"),0)</f>
        <v>0</v>
      </c>
      <c r="BA51" s="263">
        <f ca="1">IFERROR(__xludf.DUMMYFUNCTION("IMPORTRANGE(""https://docs.google.com/spreadsheets/d/17IOkEwkUd63EGNfyNDnM5de9YlZ7rwzTiW6-dokVjKI/edit?usp=sharing"",""อุบลราชธานี!J585"")"),0)</f>
        <v>0</v>
      </c>
      <c r="BB51" s="264">
        <f ca="1">IFERROR(__xludf.DUMMYFUNCTION("IMPORTRANGE(""https://docs.google.com/spreadsheets/d/17IOkEwkUd63EGNfyNDnM5de9YlZ7rwzTiW6-dokVjKI/edit?usp=sharing"",""อุบลราชธานี!J586"")"),0)</f>
        <v>0</v>
      </c>
      <c r="BC51" s="263">
        <f ca="1">IFERROR(__xludf.DUMMYFUNCTION("IMPORTRANGE(""https://docs.google.com/spreadsheets/d/17IOkEwkUd63EGNfyNDnM5de9YlZ7rwzTiW6-dokVjKI/edit?usp=sharing"",""อุบลราชธานี!J587"")"),0)</f>
        <v>0</v>
      </c>
      <c r="BD51" s="203">
        <f ca="1">IFERROR(__xludf.DUMMYFUNCTION("IMPORTRANGE(""https://docs.google.com/spreadsheets/d/17IOkEwkUd63EGNfyNDnM5de9YlZ7rwzTiW6-dokVjKI/edit?usp=sharing"",""อุบลราชธานี!J588"")"),0)</f>
        <v>0</v>
      </c>
      <c r="BE51" s="263">
        <f ca="1">IFERROR(__xludf.DUMMYFUNCTION("IMPORTRANGE(""https://docs.google.com/spreadsheets/d/17IOkEwkUd63EGNfyNDnM5de9YlZ7rwzTiW6-dokVjKI/edit?usp=sharing"",""อุบลราชธานี!J589"")"),0)</f>
        <v>0</v>
      </c>
      <c r="BF51" s="203">
        <f ca="1">IFERROR(__xludf.DUMMYFUNCTION("IMPORTRANGE(""https://docs.google.com/spreadsheets/d/17IOkEwkUd63EGNfyNDnM5de9YlZ7rwzTiW6-dokVjKI/edit?usp=sharing"",""อุบลราชธานี!J590"")"),0)</f>
        <v>0</v>
      </c>
      <c r="BG51" s="263">
        <f ca="1">IFERROR(__xludf.DUMMYFUNCTION("IMPORTRANGE(""https://docs.google.com/spreadsheets/d/17IOkEwkUd63EGNfyNDnM5de9YlZ7rwzTiW6-dokVjKI/edit?usp=sharing"",""อุบลราชธานี!J591"")"),0)</f>
        <v>0</v>
      </c>
      <c r="BH51" s="202">
        <f ca="1">IFERROR(__xludf.DUMMYFUNCTION("IMPORTRANGE(""https://docs.google.com/spreadsheets/d/17IOkEwkUd63EGNfyNDnM5de9YlZ7rwzTiW6-dokVjKI/edit?usp=sharing"",""อุบลราชธานี!I593"")"),1760.88)</f>
        <v>1760.88</v>
      </c>
      <c r="BI51" s="202">
        <f ca="1">IFERROR(__xludf.DUMMYFUNCTION("IMPORTRANGE(""https://docs.google.com/spreadsheets/d/17IOkEwkUd63EGNfyNDnM5de9YlZ7rwzTiW6-dokVjKI/edit?usp=sharing"",""อุบลราชธานี!I594"")"),128)</f>
        <v>128</v>
      </c>
      <c r="BJ51" s="203">
        <f ca="1">IFERROR(__xludf.DUMMYFUNCTION("IMPORTRANGE(""https://docs.google.com/spreadsheets/d/17IOkEwkUd63EGNfyNDnM5de9YlZ7rwzTiW6-dokVjKI/edit?usp=sharing"",""อุบลราชธานี!J593"")"),1.58)</f>
        <v>1.58</v>
      </c>
      <c r="BK51" s="203">
        <f t="shared" ca="1" si="36"/>
        <v>8.9727863341056743E-2</v>
      </c>
      <c r="BL51" s="202">
        <f ca="1">IFERROR(__xludf.DUMMYFUNCTION("IMPORTRANGE(""https://docs.google.com/spreadsheets/d/17IOkEwkUd63EGNfyNDnM5de9YlZ7rwzTiW6-dokVjKI/edit?usp=sharing"",""อุบลราชธานี!J594"")"),5)</f>
        <v>5</v>
      </c>
      <c r="BM51" s="203">
        <f t="shared" ca="1" si="16"/>
        <v>3.90625</v>
      </c>
      <c r="BN51" s="203">
        <f ca="1">IFERROR(__xludf.DUMMYFUNCTION("IMPORTRANGE(""https://docs.google.com/spreadsheets/d/17IOkEwkUd63EGNfyNDnM5de9YlZ7rwzTiW6-dokVjKI/edit?usp=sharing"",""อุบลราชธานี!J595"")"),1.58)</f>
        <v>1.58</v>
      </c>
      <c r="BO51" s="263">
        <f ca="1">IFERROR(__xludf.DUMMYFUNCTION("IMPORTRANGE(""https://docs.google.com/spreadsheets/d/17IOkEwkUd63EGNfyNDnM5de9YlZ7rwzTiW6-dokVjKI/edit?usp=sharing"",""อุบลราชธานี!J596"")"),5)</f>
        <v>5</v>
      </c>
      <c r="BP51" s="203">
        <f ca="1">IFERROR(__xludf.DUMMYFUNCTION("IMPORTRANGE(""https://docs.google.com/spreadsheets/d/17IOkEwkUd63EGNfyNDnM5de9YlZ7rwzTiW6-dokVjKI/edit?usp=sharing"",""อุบลราชธานี!J597"")"),1.58)</f>
        <v>1.58</v>
      </c>
      <c r="BQ51" s="263">
        <f ca="1">IFERROR(__xludf.DUMMYFUNCTION("IMPORTRANGE(""https://docs.google.com/spreadsheets/d/17IOkEwkUd63EGNfyNDnM5de9YlZ7rwzTiW6-dokVjKI/edit?usp=sharing"",""อุบลราชธานี!J598"")"),5)</f>
        <v>5</v>
      </c>
      <c r="BR51" s="203">
        <f ca="1">IFERROR(__xludf.DUMMYFUNCTION("IMPORTRANGE(""https://docs.google.com/spreadsheets/d/17IOkEwkUd63EGNfyNDnM5de9YlZ7rwzTiW6-dokVjKI/edit?usp=sharing"",""อุบลราชธานี!J599"")"),0)</f>
        <v>0</v>
      </c>
      <c r="BS51" s="263">
        <f ca="1">IFERROR(__xludf.DUMMYFUNCTION("IMPORTRANGE(""https://docs.google.com/spreadsheets/d/17IOkEwkUd63EGNfyNDnM5de9YlZ7rwzTiW6-dokVjKI/edit?usp=sharing"",""อุบลราชธานี!J600"")"),0)</f>
        <v>0</v>
      </c>
      <c r="BT51" s="264">
        <f ca="1">IFERROR(__xludf.DUMMYFUNCTION("IMPORTRANGE(""https://docs.google.com/spreadsheets/d/17IOkEwkUd63EGNfyNDnM5de9YlZ7rwzTiW6-dokVjKI/edit?usp=sharing"",""อุบลราชธานี!J601"")"),0)</f>
        <v>0</v>
      </c>
      <c r="BU51" s="263">
        <f ca="1">IFERROR(__xludf.DUMMYFUNCTION("IMPORTRANGE(""https://docs.google.com/spreadsheets/d/17IOkEwkUd63EGNfyNDnM5de9YlZ7rwzTiW6-dokVjKI/edit?usp=sharing"",""อุบลราชธานี!J602"")"),0)</f>
        <v>0</v>
      </c>
      <c r="BV51" s="203">
        <f ca="1">IFERROR(__xludf.DUMMYFUNCTION("IMPORTRANGE(""https://docs.google.com/spreadsheets/d/17IOkEwkUd63EGNfyNDnM5de9YlZ7rwzTiW6-dokVjKI/edit?usp=sharing"",""อุบลราชธานี!J603"")"),0)</f>
        <v>0</v>
      </c>
      <c r="BW51" s="263">
        <f ca="1">IFERROR(__xludf.DUMMYFUNCTION("IMPORTRANGE(""https://docs.google.com/spreadsheets/d/17IOkEwkUd63EGNfyNDnM5de9YlZ7rwzTiW6-dokVjKI/edit?usp=sharing"",""อุบลราชธานี!J604"")"),0)</f>
        <v>0</v>
      </c>
      <c r="BX51" s="203">
        <f ca="1">IFERROR(__xludf.DUMMYFUNCTION("IMPORTRANGE(""https://docs.google.com/spreadsheets/d/17IOkEwkUd63EGNfyNDnM5de9YlZ7rwzTiW6-dokVjKI/edit?usp=sharing"",""อุบลราชธานี!J605"")"),0)</f>
        <v>0</v>
      </c>
      <c r="BY51" s="263">
        <f ca="1">IFERROR(__xludf.DUMMYFUNCTION("IMPORTRANGE(""https://docs.google.com/spreadsheets/d/17IOkEwkUd63EGNfyNDnM5de9YlZ7rwzTiW6-dokVjKI/edit?usp=sharing"",""อุบลราชธานี!J606"")"),0)</f>
        <v>0</v>
      </c>
      <c r="BZ51" s="203">
        <f ca="1">IFERROR(__xludf.DUMMYFUNCTION("IMPORTRANGE(""https://docs.google.com/spreadsheets/d/17IOkEwkUd63EGNfyNDnM5de9YlZ7rwzTiW6-dokVjKI/edit?usp=sharing"",""อุบลราชธานี!J607"")"),0)</f>
        <v>0</v>
      </c>
      <c r="CA51" s="263">
        <f ca="1">IFERROR(__xludf.DUMMYFUNCTION("IMPORTRANGE(""https://docs.google.com/spreadsheets/d/17IOkEwkUd63EGNfyNDnM5de9YlZ7rwzTiW6-dokVjKI/edit?usp=sharing"",""อุบลราชธานี!J608"")"),0)</f>
        <v>0</v>
      </c>
      <c r="CB51" s="203">
        <f ca="1">IFERROR(__xludf.DUMMYFUNCTION("IMPORTRANGE(""https://docs.google.com/spreadsheets/d/17IOkEwkUd63EGNfyNDnM5de9YlZ7rwzTiW6-dokVjKI/edit?usp=sharing"",""อุบลราชธานี!J609"")"),0)</f>
        <v>0</v>
      </c>
      <c r="CC51" s="263">
        <f ca="1">IFERROR(__xludf.DUMMYFUNCTION("IMPORTRANGE(""https://docs.google.com/spreadsheets/d/17IOkEwkUd63EGNfyNDnM5de9YlZ7rwzTiW6-dokVjKI/edit?usp=sharing"",""อุบลราชธานี!J610"")"),0)</f>
        <v>0</v>
      </c>
      <c r="CD51" s="263">
        <f ca="1">IFERROR(__xludf.DUMMYFUNCTION("IMPORTRANGE(""https://docs.google.com/spreadsheets/d/17IOkEwkUd63EGNfyNDnM5de9YlZ7rwzTiW6-dokVjKI/edit?usp=sharing"",""อุบลราชธานี!I612"")"),0)</f>
        <v>0</v>
      </c>
      <c r="CE51" s="263">
        <f ca="1">IFERROR(__xludf.DUMMYFUNCTION("IMPORTRANGE(""https://docs.google.com/spreadsheets/d/17IOkEwkUd63EGNfyNDnM5de9YlZ7rwzTiW6-dokVjKI/edit?usp=sharing"",""อุบลราชธานี!I594"")"),128)</f>
        <v>128</v>
      </c>
      <c r="CF51" s="264">
        <f ca="1">IFERROR(__xludf.DUMMYFUNCTION("IMPORTRANGE(""https://docs.google.com/spreadsheets/d/17IOkEwkUd63EGNfyNDnM5de9YlZ7rwzTiW6-dokVjKI/edit?usp=sharing"",""อุบลราชธานี!J612"")"),0)</f>
        <v>0</v>
      </c>
      <c r="CG51" s="264">
        <f t="shared" ca="1" si="37"/>
        <v>0</v>
      </c>
      <c r="CH51" s="263">
        <f ca="1">IFERROR(__xludf.DUMMYFUNCTION("IMPORTRANGE(""https://docs.google.com/spreadsheets/d/17IOkEwkUd63EGNfyNDnM5de9YlZ7rwzTiW6-dokVjKI/edit?usp=sharing"",""อุบลราชธานี!J613"")"),0)</f>
        <v>0</v>
      </c>
      <c r="CI51" s="264">
        <f t="shared" ca="1" si="19"/>
        <v>0</v>
      </c>
      <c r="CJ51" s="203">
        <f ca="1">IFERROR(__xludf.DUMMYFUNCTION("IMPORTRANGE(""https://docs.google.com/spreadsheets/d/17IOkEwkUd63EGNfyNDnM5de9YlZ7rwzTiW6-dokVjKI/edit?usp=sharing"",""อุบลราชธานี!J614"")"),0)</f>
        <v>0</v>
      </c>
      <c r="CK51" s="263">
        <f ca="1">IFERROR(__xludf.DUMMYFUNCTION("IMPORTRANGE(""https://docs.google.com/spreadsheets/d/17IOkEwkUd63EGNfyNDnM5de9YlZ7rwzTiW6-dokVjKI/edit?usp=sharing"",""อุบลราชธานี!J615"")"),0)</f>
        <v>0</v>
      </c>
      <c r="CL51" s="203">
        <f ca="1">IFERROR(__xludf.DUMMYFUNCTION("IMPORTRANGE(""https://docs.google.com/spreadsheets/d/17IOkEwkUd63EGNfyNDnM5de9YlZ7rwzTiW6-dokVjKI/edit?usp=sharing"",""อุบลราชธานี!J616"")"),0)</f>
        <v>0</v>
      </c>
      <c r="CM51" s="263">
        <f ca="1">IFERROR(__xludf.DUMMYFUNCTION("IMPORTRANGE(""https://docs.google.com/spreadsheets/d/17IOkEwkUd63EGNfyNDnM5de9YlZ7rwzTiW6-dokVjKI/edit?usp=sharing"",""อุบลราชธานี!J617"")"),0)</f>
        <v>0</v>
      </c>
      <c r="CN51" s="263">
        <f ca="1">IFERROR(__xludf.DUMMYFUNCTION("IMPORTRANGE(""https://docs.google.com/spreadsheets/d/17IOkEwkUd63EGNfyNDnM5de9YlZ7rwzTiW6-dokVjKI/edit?usp=sharing"",""อุบลราชธานี!I620"")"),70)</f>
        <v>70</v>
      </c>
      <c r="CO51" s="263">
        <f ca="1">IFERROR(__xludf.DUMMYFUNCTION("IMPORTRANGE(""https://docs.google.com/spreadsheets/d/17IOkEwkUd63EGNfyNDnM5de9YlZ7rwzTiW6-dokVjKI/edit?usp=sharing"",""อุบลราชธานี!I621"")"),3)</f>
        <v>3</v>
      </c>
      <c r="CP51" s="264">
        <f ca="1">IFERROR(__xludf.DUMMYFUNCTION("IMPORTRANGE(""https://docs.google.com/spreadsheets/d/17IOkEwkUd63EGNfyNDnM5de9YlZ7rwzTiW6-dokVjKI/edit?usp=sharing"",""อุบลราชธานี!J620"")"),0)</f>
        <v>0</v>
      </c>
      <c r="CQ51" s="264">
        <f t="shared" ca="1" si="38"/>
        <v>0</v>
      </c>
      <c r="CR51" s="263">
        <f ca="1">IFERROR(__xludf.DUMMYFUNCTION("IMPORTRANGE(""https://docs.google.com/spreadsheets/d/17IOkEwkUd63EGNfyNDnM5de9YlZ7rwzTiW6-dokVjKI/edit?usp=sharing"",""อุบลราชธานี!J621"")"),0)</f>
        <v>0</v>
      </c>
      <c r="CS51" s="264">
        <f t="shared" ca="1" si="22"/>
        <v>0</v>
      </c>
      <c r="CT51" s="203">
        <f ca="1">IFERROR(__xludf.DUMMYFUNCTION("IMPORTRANGE(""https://docs.google.com/spreadsheets/d/17IOkEwkUd63EGNfyNDnM5de9YlZ7rwzTiW6-dokVjKI/edit?usp=sharing"",""อุบลราชธานี!J622"")"),0)</f>
        <v>0</v>
      </c>
      <c r="CU51" s="263">
        <f ca="1">IFERROR(__xludf.DUMMYFUNCTION("IMPORTRANGE(""https://docs.google.com/spreadsheets/d/17IOkEwkUd63EGNfyNDnM5de9YlZ7rwzTiW6-dokVjKI/edit?usp=sharing"",""อุบลราชธานี!J623"")"),0)</f>
        <v>0</v>
      </c>
      <c r="CV51" s="203">
        <f ca="1">IFERROR(__xludf.DUMMYFUNCTION("IMPORTRANGE(""https://docs.google.com/spreadsheets/d/17IOkEwkUd63EGNfyNDnM5de9YlZ7rwzTiW6-dokVjKI/edit?usp=sharing"",""อุบลราชธานี!J624"")"),0)</f>
        <v>0</v>
      </c>
      <c r="CW51" s="263">
        <f ca="1">IFERROR(__xludf.DUMMYFUNCTION("IMPORTRANGE(""https://docs.google.com/spreadsheets/d/17IOkEwkUd63EGNfyNDnM5de9YlZ7rwzTiW6-dokVjKI/edit?usp=sharing"",""อุบลราชธานี!J625"")"),0)</f>
        <v>0</v>
      </c>
      <c r="CX51" s="203">
        <f ca="1">IFERROR(__xludf.DUMMYFUNCTION("IMPORTRANGE(""https://docs.google.com/spreadsheets/d/17IOkEwkUd63EGNfyNDnM5de9YlZ7rwzTiW6-dokVjKI/edit?usp=sharing"",""อุบลราชธานี!J626"")"),0)</f>
        <v>0</v>
      </c>
      <c r="CY51" s="263">
        <f ca="1">IFERROR(__xludf.DUMMYFUNCTION("IMPORTRANGE(""https://docs.google.com/spreadsheets/d/17IOkEwkUd63EGNfyNDnM5de9YlZ7rwzTiW6-dokVjKI/edit?usp=sharing"",""อุบลราชธานี!J627"")"),0)</f>
        <v>0</v>
      </c>
    </row>
    <row r="52" spans="1:103" ht="21" customHeight="1" x14ac:dyDescent="0.3">
      <c r="A52" s="340" t="s">
        <v>69</v>
      </c>
      <c r="B52" s="339"/>
      <c r="C52" s="265">
        <f t="shared" ref="C52:E52" ca="1" si="62">SUM(C53:C73)</f>
        <v>6053541</v>
      </c>
      <c r="D52" s="159">
        <f t="shared" ca="1" si="62"/>
        <v>6053541</v>
      </c>
      <c r="E52" s="159">
        <f t="shared" ca="1" si="62"/>
        <v>0</v>
      </c>
      <c r="F52" s="159">
        <f t="shared" ca="1" si="1"/>
        <v>1320748.03</v>
      </c>
      <c r="G52" s="253">
        <f t="shared" ca="1" si="2"/>
        <v>21.817776240385587</v>
      </c>
      <c r="H52" s="159">
        <f t="shared" ref="H52:N52" ca="1" si="63">SUM(H53:H73)</f>
        <v>1320748.03</v>
      </c>
      <c r="I52" s="159">
        <f t="shared" ca="1" si="63"/>
        <v>0</v>
      </c>
      <c r="J52" s="159">
        <f t="shared" ca="1" si="63"/>
        <v>26965</v>
      </c>
      <c r="K52" s="159">
        <f t="shared" ca="1" si="63"/>
        <v>653465.24</v>
      </c>
      <c r="L52" s="159">
        <f t="shared" ca="1" si="63"/>
        <v>640317.79</v>
      </c>
      <c r="M52" s="159">
        <f t="shared" ca="1" si="63"/>
        <v>0</v>
      </c>
      <c r="N52" s="161">
        <f t="shared" ca="1" si="63"/>
        <v>0</v>
      </c>
      <c r="O52" s="161">
        <f t="shared" ca="1" si="41"/>
        <v>0</v>
      </c>
      <c r="P52" s="159">
        <f t="shared" ref="P52:R52" ca="1" si="64">SUM(P53:P73)</f>
        <v>264163</v>
      </c>
      <c r="Q52" s="159">
        <f t="shared" ca="1" si="64"/>
        <v>21507</v>
      </c>
      <c r="R52" s="162">
        <f t="shared" ca="1" si="64"/>
        <v>219031.28</v>
      </c>
      <c r="S52" s="162">
        <f t="shared" ca="1" si="33"/>
        <v>82.915200084796126</v>
      </c>
      <c r="T52" s="159">
        <f ca="1">SUM(T53:T73)</f>
        <v>18444</v>
      </c>
      <c r="U52" s="162">
        <f t="shared" ca="1" si="7"/>
        <v>85.758125261542759</v>
      </c>
      <c r="V52" s="162">
        <f t="shared" ref="V52:AD52" ca="1" si="65">SUM(V53:V73)</f>
        <v>169491.88</v>
      </c>
      <c r="W52" s="254">
        <f t="shared" ca="1" si="65"/>
        <v>15032</v>
      </c>
      <c r="X52" s="162">
        <f t="shared" ca="1" si="65"/>
        <v>43465.5</v>
      </c>
      <c r="Y52" s="254">
        <f t="shared" ca="1" si="65"/>
        <v>2925</v>
      </c>
      <c r="Z52" s="162">
        <f t="shared" ca="1" si="65"/>
        <v>6073.9</v>
      </c>
      <c r="AA52" s="254">
        <f t="shared" ca="1" si="65"/>
        <v>487</v>
      </c>
      <c r="AB52" s="159">
        <f t="shared" ca="1" si="65"/>
        <v>264163</v>
      </c>
      <c r="AC52" s="159">
        <f t="shared" ca="1" si="65"/>
        <v>21507</v>
      </c>
      <c r="AD52" s="162">
        <f t="shared" ca="1" si="65"/>
        <v>18120</v>
      </c>
      <c r="AE52" s="162">
        <f t="shared" ca="1" si="34"/>
        <v>6.8594012030450893</v>
      </c>
      <c r="AF52" s="159">
        <f ca="1">SUM(AF53:AF73)</f>
        <v>1162</v>
      </c>
      <c r="AG52" s="162">
        <f t="shared" ca="1" si="10"/>
        <v>5.4028920816478356</v>
      </c>
      <c r="AH52" s="162">
        <f t="shared" ref="AH52:AP52" ca="1" si="66">SUM(AH53:AH73)</f>
        <v>12717</v>
      </c>
      <c r="AI52" s="254">
        <f t="shared" ca="1" si="66"/>
        <v>897</v>
      </c>
      <c r="AJ52" s="162">
        <f t="shared" ca="1" si="66"/>
        <v>4955</v>
      </c>
      <c r="AK52" s="254">
        <f t="shared" ca="1" si="66"/>
        <v>226</v>
      </c>
      <c r="AL52" s="162">
        <f t="shared" ca="1" si="66"/>
        <v>448</v>
      </c>
      <c r="AM52" s="254">
        <f t="shared" ca="1" si="66"/>
        <v>39</v>
      </c>
      <c r="AN52" s="159">
        <f t="shared" ca="1" si="66"/>
        <v>264163</v>
      </c>
      <c r="AO52" s="159">
        <f t="shared" ca="1" si="66"/>
        <v>21507</v>
      </c>
      <c r="AP52" s="162">
        <f t="shared" ca="1" si="66"/>
        <v>13165</v>
      </c>
      <c r="AQ52" s="162">
        <f t="shared" ca="1" si="35"/>
        <v>4.9836653884154858</v>
      </c>
      <c r="AR52" s="159">
        <f ca="1">SUM(AR53:AR73)</f>
        <v>936</v>
      </c>
      <c r="AS52" s="162">
        <f t="shared" ca="1" si="13"/>
        <v>4.3520714186078955</v>
      </c>
      <c r="AT52" s="162">
        <f t="shared" ref="AT52:BJ52" ca="1" si="67">SUM(AT53:AT73)</f>
        <v>12717</v>
      </c>
      <c r="AU52" s="254">
        <f t="shared" ca="1" si="67"/>
        <v>897</v>
      </c>
      <c r="AV52" s="162">
        <f t="shared" ca="1" si="67"/>
        <v>0</v>
      </c>
      <c r="AW52" s="254">
        <f t="shared" ca="1" si="67"/>
        <v>0</v>
      </c>
      <c r="AX52" s="162">
        <f t="shared" ca="1" si="67"/>
        <v>448</v>
      </c>
      <c r="AY52" s="254">
        <f t="shared" ca="1" si="67"/>
        <v>39</v>
      </c>
      <c r="AZ52" s="255">
        <f t="shared" ca="1" si="67"/>
        <v>448</v>
      </c>
      <c r="BA52" s="254">
        <f t="shared" ca="1" si="67"/>
        <v>39</v>
      </c>
      <c r="BB52" s="255">
        <f t="shared" ca="1" si="67"/>
        <v>0</v>
      </c>
      <c r="BC52" s="254">
        <f t="shared" ca="1" si="67"/>
        <v>0</v>
      </c>
      <c r="BD52" s="162">
        <f t="shared" ca="1" si="67"/>
        <v>0</v>
      </c>
      <c r="BE52" s="254">
        <f t="shared" ca="1" si="67"/>
        <v>0</v>
      </c>
      <c r="BF52" s="162">
        <f t="shared" ca="1" si="67"/>
        <v>0</v>
      </c>
      <c r="BG52" s="254">
        <f t="shared" ca="1" si="67"/>
        <v>0</v>
      </c>
      <c r="BH52" s="159">
        <f t="shared" ca="1" si="67"/>
        <v>81061</v>
      </c>
      <c r="BI52" s="159">
        <f t="shared" ca="1" si="67"/>
        <v>5357</v>
      </c>
      <c r="BJ52" s="162">
        <f t="shared" ca="1" si="67"/>
        <v>18383</v>
      </c>
      <c r="BK52" s="162">
        <f t="shared" ca="1" si="36"/>
        <v>22.677983247184219</v>
      </c>
      <c r="BL52" s="159">
        <f ca="1">SUM(BL53:BL73)</f>
        <v>1054</v>
      </c>
      <c r="BM52" s="162">
        <f t="shared" ca="1" si="16"/>
        <v>19.675191338435692</v>
      </c>
      <c r="BN52" s="162">
        <f t="shared" ref="BN52:CF52" ca="1" si="68">SUM(BN53:BN73)</f>
        <v>17838</v>
      </c>
      <c r="BO52" s="254">
        <f t="shared" ca="1" si="68"/>
        <v>1025</v>
      </c>
      <c r="BP52" s="162">
        <f t="shared" ca="1" si="68"/>
        <v>11443</v>
      </c>
      <c r="BQ52" s="254">
        <f t="shared" ca="1" si="68"/>
        <v>738</v>
      </c>
      <c r="BR52" s="162">
        <f t="shared" ca="1" si="68"/>
        <v>6395</v>
      </c>
      <c r="BS52" s="254">
        <f t="shared" ca="1" si="68"/>
        <v>287</v>
      </c>
      <c r="BT52" s="255">
        <f t="shared" ca="1" si="68"/>
        <v>85</v>
      </c>
      <c r="BU52" s="254">
        <f t="shared" ca="1" si="68"/>
        <v>6</v>
      </c>
      <c r="BV52" s="162">
        <f t="shared" ca="1" si="68"/>
        <v>545</v>
      </c>
      <c r="BW52" s="254">
        <f t="shared" ca="1" si="68"/>
        <v>29</v>
      </c>
      <c r="BX52" s="162">
        <f t="shared" ca="1" si="68"/>
        <v>545</v>
      </c>
      <c r="BY52" s="254">
        <f t="shared" ca="1" si="68"/>
        <v>29</v>
      </c>
      <c r="BZ52" s="162">
        <f t="shared" ca="1" si="68"/>
        <v>0</v>
      </c>
      <c r="CA52" s="254">
        <f t="shared" ca="1" si="68"/>
        <v>0</v>
      </c>
      <c r="CB52" s="162">
        <f t="shared" ca="1" si="68"/>
        <v>0</v>
      </c>
      <c r="CC52" s="254">
        <f t="shared" ca="1" si="68"/>
        <v>0</v>
      </c>
      <c r="CD52" s="254">
        <f t="shared" ca="1" si="68"/>
        <v>0</v>
      </c>
      <c r="CE52" s="254">
        <f t="shared" ca="1" si="68"/>
        <v>5357</v>
      </c>
      <c r="CF52" s="255">
        <f t="shared" ca="1" si="68"/>
        <v>0</v>
      </c>
      <c r="CG52" s="255">
        <f t="shared" ca="1" si="37"/>
        <v>0</v>
      </c>
      <c r="CH52" s="254">
        <f ca="1">SUM(CH53:CH73)</f>
        <v>0</v>
      </c>
      <c r="CI52" s="255">
        <f t="shared" ca="1" si="19"/>
        <v>0</v>
      </c>
      <c r="CJ52" s="162">
        <f t="shared" ref="CJ52:CP52" ca="1" si="69">SUM(CJ53:CJ73)</f>
        <v>0</v>
      </c>
      <c r="CK52" s="254">
        <f t="shared" ca="1" si="69"/>
        <v>0</v>
      </c>
      <c r="CL52" s="162">
        <f t="shared" ca="1" si="69"/>
        <v>0</v>
      </c>
      <c r="CM52" s="254">
        <f t="shared" ca="1" si="69"/>
        <v>0</v>
      </c>
      <c r="CN52" s="254">
        <f t="shared" ca="1" si="69"/>
        <v>671</v>
      </c>
      <c r="CO52" s="254">
        <f t="shared" ca="1" si="69"/>
        <v>34</v>
      </c>
      <c r="CP52" s="255">
        <f t="shared" ca="1" si="69"/>
        <v>5</v>
      </c>
      <c r="CQ52" s="255">
        <f t="shared" ca="1" si="38"/>
        <v>0.7451564828614009</v>
      </c>
      <c r="CR52" s="254">
        <f ca="1">SUM(CR53:CR73)</f>
        <v>8</v>
      </c>
      <c r="CS52" s="255">
        <f t="shared" ca="1" si="22"/>
        <v>23.529411764705884</v>
      </c>
      <c r="CT52" s="162">
        <f t="shared" ref="CT52:CY52" ca="1" si="70">SUM(CT53:CT73)</f>
        <v>1</v>
      </c>
      <c r="CU52" s="254">
        <f t="shared" ca="1" si="70"/>
        <v>1</v>
      </c>
      <c r="CV52" s="162">
        <f t="shared" ca="1" si="70"/>
        <v>0</v>
      </c>
      <c r="CW52" s="254">
        <f t="shared" ca="1" si="70"/>
        <v>0</v>
      </c>
      <c r="CX52" s="162">
        <f t="shared" ca="1" si="70"/>
        <v>4</v>
      </c>
      <c r="CY52" s="254">
        <f t="shared" ca="1" si="70"/>
        <v>7</v>
      </c>
    </row>
    <row r="53" spans="1:103" ht="21" customHeight="1" x14ac:dyDescent="0.3">
      <c r="A53" s="178">
        <v>1</v>
      </c>
      <c r="B53" s="179" t="s">
        <v>70</v>
      </c>
      <c r="C53" s="180">
        <f t="shared" ref="C53:C73" ca="1" si="71">D53+E53</f>
        <v>989703</v>
      </c>
      <c r="D53" s="181">
        <f ca="1">IFERROR(__xludf.DUMMYFUNCTION("IMPORTRANGE(""https://docs.google.com/spreadsheets/d/1hKO5uv94SSRZWOvrh72HRcpyoEQF9TsE_Cvxl77XNU4/edit?usp=sharing"",""กาญจนบุรี!L549"")"),989703)</f>
        <v>989703</v>
      </c>
      <c r="E53" s="181">
        <f ca="1">IFERROR(__xludf.DUMMYFUNCTION("IMPORTRANGE(""https://docs.google.com/spreadsheets/d/1hKO5uv94SSRZWOvrh72HRcpyoEQF9TsE_Cvxl77XNU4/edit?usp=sharing"",""กาญจนบุรี!L557"")"),0)</f>
        <v>0</v>
      </c>
      <c r="F53" s="182">
        <f t="shared" ca="1" si="1"/>
        <v>89367.459999999992</v>
      </c>
      <c r="G53" s="183">
        <f t="shared" ca="1" si="2"/>
        <v>9.0297250791399044</v>
      </c>
      <c r="H53" s="184">
        <f t="shared" ref="H53:H73" ca="1" si="72">I53+J53+K53+L53+M53</f>
        <v>89367.459999999992</v>
      </c>
      <c r="I53" s="181">
        <f ca="1">IFERROR(__xludf.DUMMYFUNCTION("IMPORTRANGE(""https://docs.google.com/spreadsheets/d/1hKO5uv94SSRZWOvrh72HRcpyoEQF9TsE_Cvxl77XNU4/edit?usp=sharing"",""กาญจนบุรี!N550"")"),0)</f>
        <v>0</v>
      </c>
      <c r="J53" s="181">
        <f ca="1">IFERROR(__xludf.DUMMYFUNCTION("IMPORTRANGE(""https://docs.google.com/spreadsheets/d/1hKO5uv94SSRZWOvrh72HRcpyoEQF9TsE_Cvxl77XNU4/edit?usp=sharing"",""กาญจนบุรี!N551"")"),0)</f>
        <v>0</v>
      </c>
      <c r="K53" s="181">
        <f ca="1">IFERROR(__xludf.DUMMYFUNCTION("IMPORTRANGE(""https://docs.google.com/spreadsheets/d/1hKO5uv94SSRZWOvrh72HRcpyoEQF9TsE_Cvxl77XNU4/edit?usp=sharing"",""กาญจนบุรี!N552"")"),52000)</f>
        <v>52000</v>
      </c>
      <c r="L53" s="181">
        <f ca="1">IFERROR(__xludf.DUMMYFUNCTION("IMPORTRANGE(""https://docs.google.com/spreadsheets/d/1hKO5uv94SSRZWOvrh72HRcpyoEQF9TsE_Cvxl77XNU4/edit?usp=sharing"",""กาญจนบุรี!N553"")"),37367.46)</f>
        <v>37367.46</v>
      </c>
      <c r="M53" s="181">
        <f ca="1">IFERROR(__xludf.DUMMYFUNCTION("IMPORTRANGE(""https://docs.google.com/spreadsheets/d/1hKO5uv94SSRZWOvrh72HRcpyoEQF9TsE_Cvxl77XNU4/edit?usp=sharing"",""กาญจนบุรี!N554"")"),0)</f>
        <v>0</v>
      </c>
      <c r="N53" s="185">
        <f ca="1">IFERROR(__xludf.DUMMYFUNCTION("IMPORTRANGE(""https://docs.google.com/spreadsheets/d/1hKO5uv94SSRZWOvrh72HRcpyoEQF9TsE_Cvxl77XNU4/edit?usp=sharing"",""กาญจนบุรี!N557"")"),0)</f>
        <v>0</v>
      </c>
      <c r="O53" s="185">
        <f t="shared" ca="1" si="41"/>
        <v>0</v>
      </c>
      <c r="P53" s="181">
        <f ca="1">IFERROR(__xludf.DUMMYFUNCTION("IMPORTRANGE(""https://docs.google.com/spreadsheets/d/1hKO5uv94SSRZWOvrh72HRcpyoEQF9TsE_Cvxl77XNU4/edit?usp=sharing"",""กาญจนบุรี!I560"")"),62938)</f>
        <v>62938</v>
      </c>
      <c r="Q53" s="181">
        <f ca="1">IFERROR(__xludf.DUMMYFUNCTION("IMPORTRANGE(""https://docs.google.com/spreadsheets/d/1hKO5uv94SSRZWOvrh72HRcpyoEQF9TsE_Cvxl77XNU4/edit?usp=sharing"",""กาญจนบุรี!I561"")"),4165)</f>
        <v>4165</v>
      </c>
      <c r="R53" s="186">
        <f ca="1">IFERROR(__xludf.DUMMYFUNCTION("IMPORTRANGE(""https://docs.google.com/spreadsheets/d/1hKO5uv94SSRZWOvrh72HRcpyoEQF9TsE_Cvxl77XNU4/edit?usp=sharing"",""กาญจนบุรี!J560"")"),17807.96)</f>
        <v>17807.96</v>
      </c>
      <c r="S53" s="186">
        <f t="shared" ca="1" si="33"/>
        <v>28.294448504877817</v>
      </c>
      <c r="T53" s="181">
        <f ca="1">IFERROR(__xludf.DUMMYFUNCTION("IMPORTRANGE(""https://docs.google.com/spreadsheets/d/1hKO5uv94SSRZWOvrh72HRcpyoEQF9TsE_Cvxl77XNU4/edit?usp=sharing"",""กาญจนบุรี!J561"")"),1102)</f>
        <v>1102</v>
      </c>
      <c r="U53" s="186">
        <f t="shared" ca="1" si="7"/>
        <v>26.458583433373349</v>
      </c>
      <c r="V53" s="186">
        <f ca="1">IFERROR(__xludf.DUMMYFUNCTION("IMPORTRANGE(""https://docs.google.com/spreadsheets/d/1hKO5uv94SSRZWOvrh72HRcpyoEQF9TsE_Cvxl77XNU4/edit?usp=sharing"",""กาญจนบุรี!J562"")"),13572.48)</f>
        <v>13572.48</v>
      </c>
      <c r="W53" s="261">
        <f ca="1">IFERROR(__xludf.DUMMYFUNCTION("IMPORTRANGE(""https://docs.google.com/spreadsheets/d/1hKO5uv94SSRZWOvrh72HRcpyoEQF9TsE_Cvxl77XNU4/edit?usp=sharing"",""กาญจนบุรี!J563"")"),880)</f>
        <v>880</v>
      </c>
      <c r="X53" s="186">
        <f ca="1">IFERROR(__xludf.DUMMYFUNCTION("IMPORTRANGE(""https://docs.google.com/spreadsheets/d/1hKO5uv94SSRZWOvrh72HRcpyoEQF9TsE_Cvxl77XNU4/edit?usp=sharing"",""กาญจนบุรี!J564"")"),3904.08)</f>
        <v>3904.08</v>
      </c>
      <c r="Y53" s="261">
        <f ca="1">IFERROR(__xludf.DUMMYFUNCTION("IMPORTRANGE(""https://docs.google.com/spreadsheets/d/1hKO5uv94SSRZWOvrh72HRcpyoEQF9TsE_Cvxl77XNU4/edit?usp=sharing"",""กาญจนบุรี!J565"")"),196)</f>
        <v>196</v>
      </c>
      <c r="Z53" s="186">
        <f ca="1">IFERROR(__xludf.DUMMYFUNCTION("IMPORTRANGE(""https://docs.google.com/spreadsheets/d/1hKO5uv94SSRZWOvrh72HRcpyoEQF9TsE_Cvxl77XNU4/edit?usp=sharing"",""กาญจนบุรี!J566"")"),331.4)</f>
        <v>331.4</v>
      </c>
      <c r="AA53" s="261">
        <f ca="1">IFERROR(__xludf.DUMMYFUNCTION("IMPORTRANGE(""https://docs.google.com/spreadsheets/d/1hKO5uv94SSRZWOvrh72HRcpyoEQF9TsE_Cvxl77XNU4/edit?usp=sharing"",""กาญจนบุรี!J567"")"),26)</f>
        <v>26</v>
      </c>
      <c r="AB53" s="181">
        <f ca="1">IFERROR(__xludf.DUMMYFUNCTION("IMPORTRANGE(""https://docs.google.com/spreadsheets/d/1hKO5uv94SSRZWOvrh72HRcpyoEQF9TsE_Cvxl77XNU4/edit?usp=sharing"",""กาญจนบุรี!I568"")"),62938)</f>
        <v>62938</v>
      </c>
      <c r="AC53" s="181">
        <f ca="1">IFERROR(__xludf.DUMMYFUNCTION("IMPORTRANGE(""https://docs.google.com/spreadsheets/d/1hKO5uv94SSRZWOvrh72HRcpyoEQF9TsE_Cvxl77XNU4/edit?usp=sharing"",""กาญจนบุรี!I569"")"),4165)</f>
        <v>4165</v>
      </c>
      <c r="AD53" s="186">
        <f ca="1">IFERROR(__xludf.DUMMYFUNCTION("IMPORTRANGE(""https://docs.google.com/spreadsheets/d/1hKO5uv94SSRZWOvrh72HRcpyoEQF9TsE_Cvxl77XNU4/edit?usp=sharing"",""กาญจนบุรี!J568"")"),0)</f>
        <v>0</v>
      </c>
      <c r="AE53" s="186">
        <f t="shared" ca="1" si="34"/>
        <v>0</v>
      </c>
      <c r="AF53" s="181">
        <f ca="1">IFERROR(__xludf.DUMMYFUNCTION("IMPORTRANGE(""https://docs.google.com/spreadsheets/d/1hKO5uv94SSRZWOvrh72HRcpyoEQF9TsE_Cvxl77XNU4/edit?usp=sharing"",""กาญจนบุรี!J569"")"),0)</f>
        <v>0</v>
      </c>
      <c r="AG53" s="186">
        <f t="shared" ca="1" si="10"/>
        <v>0</v>
      </c>
      <c r="AH53" s="186">
        <f ca="1">IFERROR(__xludf.DUMMYFUNCTION("IMPORTRANGE(""https://docs.google.com/spreadsheets/d/1hKO5uv94SSRZWOvrh72HRcpyoEQF9TsE_Cvxl77XNU4/edit?usp=sharing"",""กาญจนบุรี!J570"")"),0)</f>
        <v>0</v>
      </c>
      <c r="AI53" s="261">
        <f ca="1">IFERROR(__xludf.DUMMYFUNCTION("IMPORTRANGE(""https://docs.google.com/spreadsheets/d/1hKO5uv94SSRZWOvrh72HRcpyoEQF9TsE_Cvxl77XNU4/edit?usp=sharing"",""กาญจนบุรี!J571"")"),0)</f>
        <v>0</v>
      </c>
      <c r="AJ53" s="186">
        <f ca="1">IFERROR(__xludf.DUMMYFUNCTION("IMPORTRANGE(""https://docs.google.com/spreadsheets/d/1hKO5uv94SSRZWOvrh72HRcpyoEQF9TsE_Cvxl77XNU4/edit?usp=sharing"",""กาญจนบุรี!J572"")"),0)</f>
        <v>0</v>
      </c>
      <c r="AK53" s="261">
        <f ca="1">IFERROR(__xludf.DUMMYFUNCTION("IMPORTRANGE(""https://docs.google.com/spreadsheets/d/1hKO5uv94SSRZWOvrh72HRcpyoEQF9TsE_Cvxl77XNU4/edit?usp=sharing"",""กาญจนบุรี!J573"")"),0)</f>
        <v>0</v>
      </c>
      <c r="AL53" s="186">
        <f ca="1">IFERROR(__xludf.DUMMYFUNCTION("IMPORTRANGE(""https://docs.google.com/spreadsheets/d/1hKO5uv94SSRZWOvrh72HRcpyoEQF9TsE_Cvxl77XNU4/edit?usp=sharing"",""กาญจนบุรี!J574"")"),0)</f>
        <v>0</v>
      </c>
      <c r="AM53" s="261">
        <f ca="1">IFERROR(__xludf.DUMMYFUNCTION("IMPORTRANGE(""https://docs.google.com/spreadsheets/d/1hKO5uv94SSRZWOvrh72HRcpyoEQF9TsE_Cvxl77XNU4/edit?usp=sharing"",""กาญจนบุรี!J575"")"),0)</f>
        <v>0</v>
      </c>
      <c r="AN53" s="181">
        <f ca="1">IFERROR(__xludf.DUMMYFUNCTION("IMPORTRANGE(""https://docs.google.com/spreadsheets/d/1hKO5uv94SSRZWOvrh72HRcpyoEQF9TsE_Cvxl77XNU4/edit?usp=sharing"",""กาญจนบุรี!I576"")"),62938)</f>
        <v>62938</v>
      </c>
      <c r="AO53" s="181">
        <f ca="1">IFERROR(__xludf.DUMMYFUNCTION("IMPORTRANGE(""https://docs.google.com/spreadsheets/d/1hKO5uv94SSRZWOvrh72HRcpyoEQF9TsE_Cvxl77XNU4/edit?usp=sharing"",""กาญจนบุรี!I577"")"),4165)</f>
        <v>4165</v>
      </c>
      <c r="AP53" s="186">
        <f ca="1">IFERROR(__xludf.DUMMYFUNCTION("IMPORTRANGE(""https://docs.google.com/spreadsheets/d/1hKO5uv94SSRZWOvrh72HRcpyoEQF9TsE_Cvxl77XNU4/edit?usp=sharing"",""กาญจนบุรี!J576"")"),0)</f>
        <v>0</v>
      </c>
      <c r="AQ53" s="186">
        <f t="shared" ca="1" si="35"/>
        <v>0</v>
      </c>
      <c r="AR53" s="181">
        <f ca="1">IFERROR(__xludf.DUMMYFUNCTION("IMPORTRANGE(""https://docs.google.com/spreadsheets/d/1hKO5uv94SSRZWOvrh72HRcpyoEQF9TsE_Cvxl77XNU4/edit?usp=sharing"",""กาญจนบุรี!J577"")"),0)</f>
        <v>0</v>
      </c>
      <c r="AS53" s="186">
        <f t="shared" ca="1" si="13"/>
        <v>0</v>
      </c>
      <c r="AT53" s="186">
        <f ca="1">IFERROR(__xludf.DUMMYFUNCTION("IMPORTRANGE(""https://docs.google.com/spreadsheets/d/1hKO5uv94SSRZWOvrh72HRcpyoEQF9TsE_Cvxl77XNU4/edit?usp=sharing"",""กาญจนบุรี!J578"")"),0)</f>
        <v>0</v>
      </c>
      <c r="AU53" s="261">
        <f ca="1">IFERROR(__xludf.DUMMYFUNCTION("IMPORTRANGE(""https://docs.google.com/spreadsheets/d/1hKO5uv94SSRZWOvrh72HRcpyoEQF9TsE_Cvxl77XNU4/edit?usp=sharing"",""กาญจนบุรี!J579"")"),0)</f>
        <v>0</v>
      </c>
      <c r="AV53" s="186">
        <f ca="1">IFERROR(__xludf.DUMMYFUNCTION("IMPORTRANGE(""https://docs.google.com/spreadsheets/d/1hKO5uv94SSRZWOvrh72HRcpyoEQF9TsE_Cvxl77XNU4/edit?usp=sharing"",""กาญจนบุรี!J580"")"),0)</f>
        <v>0</v>
      </c>
      <c r="AW53" s="261">
        <f ca="1">IFERROR(__xludf.DUMMYFUNCTION("IMPORTRANGE(""https://docs.google.com/spreadsheets/d/1hKO5uv94SSRZWOvrh72HRcpyoEQF9TsE_Cvxl77XNU4/edit?usp=sharing"",""กาญจนบุรี!J581"")"),0)</f>
        <v>0</v>
      </c>
      <c r="AX53" s="186">
        <f ca="1">IFERROR(__xludf.DUMMYFUNCTION("IMPORTRANGE(""https://docs.google.com/spreadsheets/d/1hKO5uv94SSRZWOvrh72HRcpyoEQF9TsE_Cvxl77XNU4/edit?usp=sharing"",""กาญจนบุรี!J582"")"),0)</f>
        <v>0</v>
      </c>
      <c r="AY53" s="261">
        <f ca="1">IFERROR(__xludf.DUMMYFUNCTION("IMPORTRANGE(""https://docs.google.com/spreadsheets/d/1hKO5uv94SSRZWOvrh72HRcpyoEQF9TsE_Cvxl77XNU4/edit?usp=sharing"",""กาญจนบุรี!J583"")"),0)</f>
        <v>0</v>
      </c>
      <c r="AZ53" s="262">
        <f ca="1">IFERROR(__xludf.DUMMYFUNCTION("IMPORTRANGE(""https://docs.google.com/spreadsheets/d/1hKO5uv94SSRZWOvrh72HRcpyoEQF9TsE_Cvxl77XNU4/edit?usp=sharing"",""กาญจนบุรี!J584"")"),0)</f>
        <v>0</v>
      </c>
      <c r="BA53" s="261">
        <f ca="1">IFERROR(__xludf.DUMMYFUNCTION("IMPORTRANGE(""https://docs.google.com/spreadsheets/d/1hKO5uv94SSRZWOvrh72HRcpyoEQF9TsE_Cvxl77XNU4/edit?usp=sharing"",""กาญจนบุรี!J585"")"),0)</f>
        <v>0</v>
      </c>
      <c r="BB53" s="262">
        <f ca="1">IFERROR(__xludf.DUMMYFUNCTION("IMPORTRANGE(""https://docs.google.com/spreadsheets/d/1hKO5uv94SSRZWOvrh72HRcpyoEQF9TsE_Cvxl77XNU4/edit?usp=sharing"",""กาญจนบุรี!J586"")"),0)</f>
        <v>0</v>
      </c>
      <c r="BC53" s="261">
        <f ca="1">IFERROR(__xludf.DUMMYFUNCTION("IMPORTRANGE(""https://docs.google.com/spreadsheets/d/1hKO5uv94SSRZWOvrh72HRcpyoEQF9TsE_Cvxl77XNU4/edit?usp=sharing"",""กาญจนบุรี!J587"")"),0)</f>
        <v>0</v>
      </c>
      <c r="BD53" s="186">
        <f ca="1">IFERROR(__xludf.DUMMYFUNCTION("IMPORTRANGE(""https://docs.google.com/spreadsheets/d/1hKO5uv94SSRZWOvrh72HRcpyoEQF9TsE_Cvxl77XNU4/edit?usp=sharing"",""กาญจนบุรี!J588"")"),0)</f>
        <v>0</v>
      </c>
      <c r="BE53" s="261">
        <f ca="1">IFERROR(__xludf.DUMMYFUNCTION("IMPORTRANGE(""https://docs.google.com/spreadsheets/d/1hKO5uv94SSRZWOvrh72HRcpyoEQF9TsE_Cvxl77XNU4/edit?usp=sharing"",""กาญจนบุรี!J589"")"),0)</f>
        <v>0</v>
      </c>
      <c r="BF53" s="186">
        <f ca="1">IFERROR(__xludf.DUMMYFUNCTION("IMPORTRANGE(""https://docs.google.com/spreadsheets/d/1hKO5uv94SSRZWOvrh72HRcpyoEQF9TsE_Cvxl77XNU4/edit?usp=sharing"",""กาญจนบุรี!J590"")"),0)</f>
        <v>0</v>
      </c>
      <c r="BG53" s="261">
        <f ca="1">IFERROR(__xludf.DUMMYFUNCTION("IMPORTRANGE(""https://docs.google.com/spreadsheets/d/1hKO5uv94SSRZWOvrh72HRcpyoEQF9TsE_Cvxl77XNU4/edit?usp=sharing"",""กาญจนบุรี!J591"")"),0)</f>
        <v>0</v>
      </c>
      <c r="BH53" s="181">
        <f ca="1">IFERROR(__xludf.DUMMYFUNCTION("IMPORTRANGE(""https://docs.google.com/spreadsheets/d/1hKO5uv94SSRZWOvrh72HRcpyoEQF9TsE_Cvxl77XNU4/edit?usp=sharing"",""กาญจนบุรี!I593"")"),36174.33)</f>
        <v>36174.33</v>
      </c>
      <c r="BI53" s="181">
        <f ca="1">IFERROR(__xludf.DUMMYFUNCTION("IMPORTRANGE(""https://docs.google.com/spreadsheets/d/1hKO5uv94SSRZWOvrh72HRcpyoEQF9TsE_Cvxl77XNU4/edit?usp=sharing"",""กาญจนบุรี!I594"")"),2161)</f>
        <v>2161</v>
      </c>
      <c r="BJ53" s="186">
        <f ca="1">IFERROR(__xludf.DUMMYFUNCTION("IMPORTRANGE(""https://docs.google.com/spreadsheets/d/1hKO5uv94SSRZWOvrh72HRcpyoEQF9TsE_Cvxl77XNU4/edit?usp=sharing"",""กาญจนบุรี!J593"")"),8253)</f>
        <v>8253</v>
      </c>
      <c r="BK53" s="186">
        <f t="shared" ca="1" si="36"/>
        <v>22.814520683589716</v>
      </c>
      <c r="BL53" s="181">
        <f ca="1">IFERROR(__xludf.DUMMYFUNCTION("IMPORTRANGE(""https://docs.google.com/spreadsheets/d/1hKO5uv94SSRZWOvrh72HRcpyoEQF9TsE_Cvxl77XNU4/edit?usp=sharing"",""กาญจนบุรี!J594"")"),416)</f>
        <v>416</v>
      </c>
      <c r="BM53" s="186">
        <f t="shared" ca="1" si="16"/>
        <v>19.250347061545583</v>
      </c>
      <c r="BN53" s="186">
        <f ca="1">IFERROR(__xludf.DUMMYFUNCTION("IMPORTRANGE(""https://docs.google.com/spreadsheets/d/1hKO5uv94SSRZWOvrh72HRcpyoEQF9TsE_Cvxl77XNU4/edit?usp=sharing"",""กาญจนบุรี!J595"")"),7832)</f>
        <v>7832</v>
      </c>
      <c r="BO53" s="261">
        <f ca="1">IFERROR(__xludf.DUMMYFUNCTION("IMPORTRANGE(""https://docs.google.com/spreadsheets/d/1hKO5uv94SSRZWOvrh72HRcpyoEQF9TsE_Cvxl77XNU4/edit?usp=sharing"",""กาญจนบุรี!J596"")"),398)</f>
        <v>398</v>
      </c>
      <c r="BP53" s="186">
        <f ca="1">IFERROR(__xludf.DUMMYFUNCTION("IMPORTRANGE(""https://docs.google.com/spreadsheets/d/1hKO5uv94SSRZWOvrh72HRcpyoEQF9TsE_Cvxl77XNU4/edit?usp=sharing"",""กาญจนบุรี!J597"")"),7832)</f>
        <v>7832</v>
      </c>
      <c r="BQ53" s="261">
        <f ca="1">IFERROR(__xludf.DUMMYFUNCTION("IMPORTRANGE(""https://docs.google.com/spreadsheets/d/1hKO5uv94SSRZWOvrh72HRcpyoEQF9TsE_Cvxl77XNU4/edit?usp=sharing"",""กาญจนบุรี!J598"")"),398)</f>
        <v>398</v>
      </c>
      <c r="BR53" s="186">
        <f ca="1">IFERROR(__xludf.DUMMYFUNCTION("IMPORTRANGE(""https://docs.google.com/spreadsheets/d/1hKO5uv94SSRZWOvrh72HRcpyoEQF9TsE_Cvxl77XNU4/edit?usp=sharing"",""กาญจนบุรี!J599"")"),0)</f>
        <v>0</v>
      </c>
      <c r="BS53" s="261">
        <f ca="1">IFERROR(__xludf.DUMMYFUNCTION("IMPORTRANGE(""https://docs.google.com/spreadsheets/d/1hKO5uv94SSRZWOvrh72HRcpyoEQF9TsE_Cvxl77XNU4/edit?usp=sharing"",""กาญจนบุรี!J600"")"),0)</f>
        <v>0</v>
      </c>
      <c r="BT53" s="262">
        <f ca="1">IFERROR(__xludf.DUMMYFUNCTION("IMPORTRANGE(""https://docs.google.com/spreadsheets/d/1hKO5uv94SSRZWOvrh72HRcpyoEQF9TsE_Cvxl77XNU4/edit?usp=sharing"",""กาญจนบุรี!J601"")"),0)</f>
        <v>0</v>
      </c>
      <c r="BU53" s="261">
        <f ca="1">IFERROR(__xludf.DUMMYFUNCTION("IMPORTRANGE(""https://docs.google.com/spreadsheets/d/1hKO5uv94SSRZWOvrh72HRcpyoEQF9TsE_Cvxl77XNU4/edit?usp=sharing"",""กาญจนบุรี!J602"")"),0)</f>
        <v>0</v>
      </c>
      <c r="BV53" s="186">
        <f ca="1">IFERROR(__xludf.DUMMYFUNCTION("IMPORTRANGE(""https://docs.google.com/spreadsheets/d/1hKO5uv94SSRZWOvrh72HRcpyoEQF9TsE_Cvxl77XNU4/edit?usp=sharing"",""กาญจนบุรี!J603"")"),421)</f>
        <v>421</v>
      </c>
      <c r="BW53" s="261">
        <f ca="1">IFERROR(__xludf.DUMMYFUNCTION("IMPORTRANGE(""https://docs.google.com/spreadsheets/d/1hKO5uv94SSRZWOvrh72HRcpyoEQF9TsE_Cvxl77XNU4/edit?usp=sharing"",""กาญจนบุรี!J604"")"),18)</f>
        <v>18</v>
      </c>
      <c r="BX53" s="186">
        <f ca="1">IFERROR(__xludf.DUMMYFUNCTION("IMPORTRANGE(""https://docs.google.com/spreadsheets/d/1hKO5uv94SSRZWOvrh72HRcpyoEQF9TsE_Cvxl77XNU4/edit?usp=sharing"",""กาญจนบุรี!J605"")"),421)</f>
        <v>421</v>
      </c>
      <c r="BY53" s="261">
        <f ca="1">IFERROR(__xludf.DUMMYFUNCTION("IMPORTRANGE(""https://docs.google.com/spreadsheets/d/1hKO5uv94SSRZWOvrh72HRcpyoEQF9TsE_Cvxl77XNU4/edit?usp=sharing"",""กาญจนบุรี!J606"")"),18)</f>
        <v>18</v>
      </c>
      <c r="BZ53" s="186">
        <f ca="1">IFERROR(__xludf.DUMMYFUNCTION("IMPORTRANGE(""https://docs.google.com/spreadsheets/d/1hKO5uv94SSRZWOvrh72HRcpyoEQF9TsE_Cvxl77XNU4/edit?usp=sharing"",""กาญจนบุรี!J607"")"),0)</f>
        <v>0</v>
      </c>
      <c r="CA53" s="261">
        <f ca="1">IFERROR(__xludf.DUMMYFUNCTION("IMPORTRANGE(""https://docs.google.com/spreadsheets/d/1hKO5uv94SSRZWOvrh72HRcpyoEQF9TsE_Cvxl77XNU4/edit?usp=sharing"",""กาญจนบุรี!J608"")"),0)</f>
        <v>0</v>
      </c>
      <c r="CB53" s="186">
        <f ca="1">IFERROR(__xludf.DUMMYFUNCTION("IMPORTRANGE(""https://docs.google.com/spreadsheets/d/1hKO5uv94SSRZWOvrh72HRcpyoEQF9TsE_Cvxl77XNU4/edit?usp=sharing"",""กาญจนบุรี!J609"")"),0)</f>
        <v>0</v>
      </c>
      <c r="CC53" s="261">
        <f ca="1">IFERROR(__xludf.DUMMYFUNCTION("IMPORTRANGE(""https://docs.google.com/spreadsheets/d/1hKO5uv94SSRZWOvrh72HRcpyoEQF9TsE_Cvxl77XNU4/edit?usp=sharing"",""กาญจนบุรี!J610"")"),0)</f>
        <v>0</v>
      </c>
      <c r="CD53" s="261">
        <f ca="1">IFERROR(__xludf.DUMMYFUNCTION("IMPORTRANGE(""https://docs.google.com/spreadsheets/d/1hKO5uv94SSRZWOvrh72HRcpyoEQF9TsE_Cvxl77XNU4/edit?usp=sharing"",""กาญจนบุรี!I612"")"),0)</f>
        <v>0</v>
      </c>
      <c r="CE53" s="261">
        <f ca="1">IFERROR(__xludf.DUMMYFUNCTION("IMPORTRANGE(""https://docs.google.com/spreadsheets/d/1hKO5uv94SSRZWOvrh72HRcpyoEQF9TsE_Cvxl77XNU4/edit?usp=sharing"",""กาญจนบุรี!I594"")"),2161)</f>
        <v>2161</v>
      </c>
      <c r="CF53" s="262">
        <f ca="1">IFERROR(__xludf.DUMMYFUNCTION("IMPORTRANGE(""https://docs.google.com/spreadsheets/d/1hKO5uv94SSRZWOvrh72HRcpyoEQF9TsE_Cvxl77XNU4/edit?usp=sharing"",""กาญจนบุรี!J612"")"),0)</f>
        <v>0</v>
      </c>
      <c r="CG53" s="262">
        <f t="shared" ca="1" si="37"/>
        <v>0</v>
      </c>
      <c r="CH53" s="261">
        <f ca="1">IFERROR(__xludf.DUMMYFUNCTION("IMPORTRANGE(""https://docs.google.com/spreadsheets/d/1hKO5uv94SSRZWOvrh72HRcpyoEQF9TsE_Cvxl77XNU4/edit?usp=sharing"",""กาญจนบุรี!J613"")"),0)</f>
        <v>0</v>
      </c>
      <c r="CI53" s="262">
        <f t="shared" ca="1" si="19"/>
        <v>0</v>
      </c>
      <c r="CJ53" s="186">
        <f ca="1">IFERROR(__xludf.DUMMYFUNCTION("IMPORTRANGE(""https://docs.google.com/spreadsheets/d/1hKO5uv94SSRZWOvrh72HRcpyoEQF9TsE_Cvxl77XNU4/edit?usp=sharing"",""กาญจนบุรี!J614"")"),0)</f>
        <v>0</v>
      </c>
      <c r="CK53" s="261">
        <f ca="1">IFERROR(__xludf.DUMMYFUNCTION("IMPORTRANGE(""https://docs.google.com/spreadsheets/d/1hKO5uv94SSRZWOvrh72HRcpyoEQF9TsE_Cvxl77XNU4/edit?usp=sharing"",""กาญจนบุรี!J615"")"),0)</f>
        <v>0</v>
      </c>
      <c r="CL53" s="186">
        <f ca="1">IFERROR(__xludf.DUMMYFUNCTION("IMPORTRANGE(""https://docs.google.com/spreadsheets/d/1hKO5uv94SSRZWOvrh72HRcpyoEQF9TsE_Cvxl77XNU4/edit?usp=sharing"",""กาญจนบุรี!J616"")"),0)</f>
        <v>0</v>
      </c>
      <c r="CM53" s="261">
        <f ca="1">IFERROR(__xludf.DUMMYFUNCTION("IMPORTRANGE(""https://docs.google.com/spreadsheets/d/1hKO5uv94SSRZWOvrh72HRcpyoEQF9TsE_Cvxl77XNU4/edit?usp=sharing"",""กาญจนบุรี!J617"")"),0)</f>
        <v>0</v>
      </c>
      <c r="CN53" s="261">
        <f ca="1">IFERROR(__xludf.DUMMYFUNCTION("IMPORTRANGE(""https://docs.google.com/spreadsheets/d/1hKO5uv94SSRZWOvrh72HRcpyoEQF9TsE_Cvxl77XNU4/edit?usp=sharing"",""กาญจนบุรี!I620"")"),666)</f>
        <v>666</v>
      </c>
      <c r="CO53" s="261">
        <f ca="1">IFERROR(__xludf.DUMMYFUNCTION("IMPORTRANGE(""https://docs.google.com/spreadsheets/d/1hKO5uv94SSRZWOvrh72HRcpyoEQF9TsE_Cvxl77XNU4/edit?usp=sharing"",""กาญจนบุรี!I621"")"),26)</f>
        <v>26</v>
      </c>
      <c r="CP53" s="262">
        <f ca="1">IFERROR(__xludf.DUMMYFUNCTION("IMPORTRANGE(""https://docs.google.com/spreadsheets/d/1hKO5uv94SSRZWOvrh72HRcpyoEQF9TsE_Cvxl77XNU4/edit?usp=sharing"",""กาญจนบุรี!J620"")"),0)</f>
        <v>0</v>
      </c>
      <c r="CQ53" s="262">
        <f t="shared" ca="1" si="38"/>
        <v>0</v>
      </c>
      <c r="CR53" s="261">
        <f ca="1">IFERROR(__xludf.DUMMYFUNCTION("IMPORTRANGE(""https://docs.google.com/spreadsheets/d/1hKO5uv94SSRZWOvrh72HRcpyoEQF9TsE_Cvxl77XNU4/edit?usp=sharing"",""กาญจนบุรี!J621"")"),0)</f>
        <v>0</v>
      </c>
      <c r="CS53" s="262">
        <f t="shared" ca="1" si="22"/>
        <v>0</v>
      </c>
      <c r="CT53" s="186">
        <f ca="1">IFERROR(__xludf.DUMMYFUNCTION("IMPORTRANGE(""https://docs.google.com/spreadsheets/d/1hKO5uv94SSRZWOvrh72HRcpyoEQF9TsE_Cvxl77XNU4/edit?usp=sharing"",""กาญจนบุรี!J622"")"),0)</f>
        <v>0</v>
      </c>
      <c r="CU53" s="261">
        <f ca="1">IFERROR(__xludf.DUMMYFUNCTION("IMPORTRANGE(""https://docs.google.com/spreadsheets/d/1hKO5uv94SSRZWOvrh72HRcpyoEQF9TsE_Cvxl77XNU4/edit?usp=sharing"",""กาญจนบุรี!J623"")"),0)</f>
        <v>0</v>
      </c>
      <c r="CV53" s="186">
        <f ca="1">IFERROR(__xludf.DUMMYFUNCTION("IMPORTRANGE(""https://docs.google.com/spreadsheets/d/1hKO5uv94SSRZWOvrh72HRcpyoEQF9TsE_Cvxl77XNU4/edit?usp=sharing"",""กาญจนบุรี!J624"")"),0)</f>
        <v>0</v>
      </c>
      <c r="CW53" s="261">
        <f ca="1">IFERROR(__xludf.DUMMYFUNCTION("IMPORTRANGE(""https://docs.google.com/spreadsheets/d/1hKO5uv94SSRZWOvrh72HRcpyoEQF9TsE_Cvxl77XNU4/edit?usp=sharing"",""กาญจนบุรี!J625"")"),0)</f>
        <v>0</v>
      </c>
      <c r="CX53" s="186">
        <f ca="1">IFERROR(__xludf.DUMMYFUNCTION("IMPORTRANGE(""https://docs.google.com/spreadsheets/d/1hKO5uv94SSRZWOvrh72HRcpyoEQF9TsE_Cvxl77XNU4/edit?usp=sharing"",""กาญจนบุรี!J626"")"),0)</f>
        <v>0</v>
      </c>
      <c r="CY53" s="261">
        <f ca="1">IFERROR(__xludf.DUMMYFUNCTION("IMPORTRANGE(""https://docs.google.com/spreadsheets/d/1hKO5uv94SSRZWOvrh72HRcpyoEQF9TsE_Cvxl77XNU4/edit?usp=sharing"",""กาญจนบุรี!J627"")"),0)</f>
        <v>0</v>
      </c>
    </row>
    <row r="54" spans="1:103" ht="21" customHeight="1" x14ac:dyDescent="0.3">
      <c r="A54" s="178">
        <v>2</v>
      </c>
      <c r="B54" s="179" t="s">
        <v>71</v>
      </c>
      <c r="C54" s="180">
        <f t="shared" ca="1" si="71"/>
        <v>284300</v>
      </c>
      <c r="D54" s="181">
        <f ca="1">IFERROR(__xludf.DUMMYFUNCTION("IMPORTRANGE(""https://docs.google.com/spreadsheets/d/1njBaP_xXd-Uotvo2D9zb01TTCFkLJLDK97Tk1l9Qux0/edit?usp=sharing"",""จันทบุรี!L549"")"),284300)</f>
        <v>284300</v>
      </c>
      <c r="E54" s="187">
        <f ca="1">IFERROR(__xludf.DUMMYFUNCTION("IMPORTRANGE(""https://docs.google.com/spreadsheets/d/1njBaP_xXd-Uotvo2D9zb01TTCFkLJLDK97Tk1l9Qux0/edit?usp=sharing"",""จันทบุรี!L557"")"),0)</f>
        <v>0</v>
      </c>
      <c r="F54" s="182">
        <f t="shared" ca="1" si="1"/>
        <v>64250</v>
      </c>
      <c r="G54" s="183">
        <f t="shared" ca="1" si="2"/>
        <v>22.599366865986635</v>
      </c>
      <c r="H54" s="184">
        <f t="shared" ca="1" si="72"/>
        <v>64250</v>
      </c>
      <c r="I54" s="187">
        <f ca="1">IFERROR(__xludf.DUMMYFUNCTION("IMPORTRANGE(""https://docs.google.com/spreadsheets/d/1njBaP_xXd-Uotvo2D9zb01TTCFkLJLDK97Tk1l9Qux0/edit?usp=sharing"",""จันทบุรี!N550"")"),0)</f>
        <v>0</v>
      </c>
      <c r="J54" s="187">
        <f ca="1">IFERROR(__xludf.DUMMYFUNCTION("IMPORTRANGE(""https://docs.google.com/spreadsheets/d/1njBaP_xXd-Uotvo2D9zb01TTCFkLJLDK97Tk1l9Qux0/edit?usp=sharing"",""จันทบุรี!N551"")"),0)</f>
        <v>0</v>
      </c>
      <c r="K54" s="187">
        <f ca="1">IFERROR(__xludf.DUMMYFUNCTION("IMPORTRANGE(""https://docs.google.com/spreadsheets/d/1njBaP_xXd-Uotvo2D9zb01TTCFkLJLDK97Tk1l9Qux0/edit?usp=sharing"",""จันทบุรี!N552"")"),36830)</f>
        <v>36830</v>
      </c>
      <c r="L54" s="187">
        <f ca="1">IFERROR(__xludf.DUMMYFUNCTION("IMPORTRANGE(""https://docs.google.com/spreadsheets/d/1njBaP_xXd-Uotvo2D9zb01TTCFkLJLDK97Tk1l9Qux0/edit?usp=sharing"",""จันทบุรี!N553"")"),27420)</f>
        <v>27420</v>
      </c>
      <c r="M54" s="187">
        <f ca="1">IFERROR(__xludf.DUMMYFUNCTION("IMPORTRANGE(""https://docs.google.com/spreadsheets/d/1njBaP_xXd-Uotvo2D9zb01TTCFkLJLDK97Tk1l9Qux0/edit?usp=sharing"",""จันทบุรี!N554"")"),0)</f>
        <v>0</v>
      </c>
      <c r="N54" s="185">
        <f ca="1">IFERROR(__xludf.DUMMYFUNCTION("IMPORTRANGE(""https://docs.google.com/spreadsheets/d/1njBaP_xXd-Uotvo2D9zb01TTCFkLJLDK97Tk1l9Qux0/edit?usp=sharing"",""จันทบุรี!N557"")"),0)</f>
        <v>0</v>
      </c>
      <c r="O54" s="185">
        <f t="shared" ca="1" si="41"/>
        <v>0</v>
      </c>
      <c r="P54" s="181">
        <f ca="1">IFERROR(__xludf.DUMMYFUNCTION("IMPORTRANGE(""https://docs.google.com/spreadsheets/d/1njBaP_xXd-Uotvo2D9zb01TTCFkLJLDK97Tk1l9Qux0/edit?usp=sharing"",""จันทบุรี!I560"")"),0)</f>
        <v>0</v>
      </c>
      <c r="Q54" s="181">
        <f ca="1">IFERROR(__xludf.DUMMYFUNCTION("IMPORTRANGE(""https://docs.google.com/spreadsheets/d/1njBaP_xXd-Uotvo2D9zb01TTCFkLJLDK97Tk1l9Qux0/edit?usp=sharing"",""จันทบุรี!I561"")"),0)</f>
        <v>0</v>
      </c>
      <c r="R54" s="186">
        <f ca="1">IFERROR(__xludf.DUMMYFUNCTION("IMPORTRANGE(""https://docs.google.com/spreadsheets/d/1njBaP_xXd-Uotvo2D9zb01TTCFkLJLDK97Tk1l9Qux0/edit?usp=sharing"",""จันทบุรี!J560"")"),0)</f>
        <v>0</v>
      </c>
      <c r="S54" s="186">
        <f t="shared" ca="1" si="33"/>
        <v>0</v>
      </c>
      <c r="T54" s="181">
        <f ca="1">IFERROR(__xludf.DUMMYFUNCTION("IMPORTRANGE(""https://docs.google.com/spreadsheets/d/1njBaP_xXd-Uotvo2D9zb01TTCFkLJLDK97Tk1l9Qux0/edit?usp=sharing"",""จันทบุรี!J561"")"),0)</f>
        <v>0</v>
      </c>
      <c r="U54" s="186">
        <f t="shared" ca="1" si="7"/>
        <v>0</v>
      </c>
      <c r="V54" s="186">
        <f ca="1">IFERROR(__xludf.DUMMYFUNCTION("IMPORTRANGE(""https://docs.google.com/spreadsheets/d/1njBaP_xXd-Uotvo2D9zb01TTCFkLJLDK97Tk1l9Qux0/edit?usp=sharing"",""จันทบุรี!J562"")"),0)</f>
        <v>0</v>
      </c>
      <c r="W54" s="261">
        <f ca="1">IFERROR(__xludf.DUMMYFUNCTION("IMPORTRANGE(""https://docs.google.com/spreadsheets/d/1njBaP_xXd-Uotvo2D9zb01TTCFkLJLDK97Tk1l9Qux0/edit?usp=sharing"",""จันทบุรี!J563"")"),0)</f>
        <v>0</v>
      </c>
      <c r="X54" s="186">
        <f ca="1">IFERROR(__xludf.DUMMYFUNCTION("IMPORTRANGE(""https://docs.google.com/spreadsheets/d/1njBaP_xXd-Uotvo2D9zb01TTCFkLJLDK97Tk1l9Qux0/edit?usp=sharing"",""จันทบุรี!J564"")"),0)</f>
        <v>0</v>
      </c>
      <c r="Y54" s="261">
        <f ca="1">IFERROR(__xludf.DUMMYFUNCTION("IMPORTRANGE(""https://docs.google.com/spreadsheets/d/1njBaP_xXd-Uotvo2D9zb01TTCFkLJLDK97Tk1l9Qux0/edit?usp=sharing"",""จันทบุรี!J565"")"),0)</f>
        <v>0</v>
      </c>
      <c r="Z54" s="186">
        <f ca="1">IFERROR(__xludf.DUMMYFUNCTION("IMPORTRANGE(""https://docs.google.com/spreadsheets/d/1njBaP_xXd-Uotvo2D9zb01TTCFkLJLDK97Tk1l9Qux0/edit?usp=sharing"",""จันทบุรี!J566"")"),0)</f>
        <v>0</v>
      </c>
      <c r="AA54" s="261">
        <f ca="1">IFERROR(__xludf.DUMMYFUNCTION("IMPORTRANGE(""https://docs.google.com/spreadsheets/d/1njBaP_xXd-Uotvo2D9zb01TTCFkLJLDK97Tk1l9Qux0/edit?usp=sharing"",""จันทบุรี!J567"")"),0)</f>
        <v>0</v>
      </c>
      <c r="AB54" s="181">
        <f ca="1">IFERROR(__xludf.DUMMYFUNCTION("IMPORTRANGE(""https://docs.google.com/spreadsheets/d/1njBaP_xXd-Uotvo2D9zb01TTCFkLJLDK97Tk1l9Qux0/edit?usp=sharing"",""จันทบุรี!I568"")"),0)</f>
        <v>0</v>
      </c>
      <c r="AC54" s="181">
        <f ca="1">IFERROR(__xludf.DUMMYFUNCTION("IMPORTRANGE(""https://docs.google.com/spreadsheets/d/1njBaP_xXd-Uotvo2D9zb01TTCFkLJLDK97Tk1l9Qux0/edit?usp=sharing"",""จันทบุรี!I569"")"),0)</f>
        <v>0</v>
      </c>
      <c r="AD54" s="186">
        <f ca="1">IFERROR(__xludf.DUMMYFUNCTION("IMPORTRANGE(""https://docs.google.com/spreadsheets/d/1njBaP_xXd-Uotvo2D9zb01TTCFkLJLDK97Tk1l9Qux0/edit?usp=sharing"",""จันทบุรี!J568"")"),0)</f>
        <v>0</v>
      </c>
      <c r="AE54" s="186">
        <f t="shared" ca="1" si="34"/>
        <v>0</v>
      </c>
      <c r="AF54" s="181">
        <f ca="1">IFERROR(__xludf.DUMMYFUNCTION("IMPORTRANGE(""https://docs.google.com/spreadsheets/d/1njBaP_xXd-Uotvo2D9zb01TTCFkLJLDK97Tk1l9Qux0/edit?usp=sharing"",""จันทบุรี!J569"")"),0)</f>
        <v>0</v>
      </c>
      <c r="AG54" s="186">
        <f t="shared" ca="1" si="10"/>
        <v>0</v>
      </c>
      <c r="AH54" s="186">
        <f ca="1">IFERROR(__xludf.DUMMYFUNCTION("IMPORTRANGE(""https://docs.google.com/spreadsheets/d/1njBaP_xXd-Uotvo2D9zb01TTCFkLJLDK97Tk1l9Qux0/edit?usp=sharing"",""จันทบุรี!J570"")"),0)</f>
        <v>0</v>
      </c>
      <c r="AI54" s="261">
        <f ca="1">IFERROR(__xludf.DUMMYFUNCTION("IMPORTRANGE(""https://docs.google.com/spreadsheets/d/1njBaP_xXd-Uotvo2D9zb01TTCFkLJLDK97Tk1l9Qux0/edit?usp=sharing"",""จันทบุรี!J571"")"),0)</f>
        <v>0</v>
      </c>
      <c r="AJ54" s="186">
        <f ca="1">IFERROR(__xludf.DUMMYFUNCTION("IMPORTRANGE(""https://docs.google.com/spreadsheets/d/1njBaP_xXd-Uotvo2D9zb01TTCFkLJLDK97Tk1l9Qux0/edit?usp=sharing"",""จันทบุรี!J572"")"),0)</f>
        <v>0</v>
      </c>
      <c r="AK54" s="261">
        <f ca="1">IFERROR(__xludf.DUMMYFUNCTION("IMPORTRANGE(""https://docs.google.com/spreadsheets/d/1njBaP_xXd-Uotvo2D9zb01TTCFkLJLDK97Tk1l9Qux0/edit?usp=sharing"",""จันทบุรี!J573"")"),0)</f>
        <v>0</v>
      </c>
      <c r="AL54" s="186">
        <f ca="1">IFERROR(__xludf.DUMMYFUNCTION("IMPORTRANGE(""https://docs.google.com/spreadsheets/d/1njBaP_xXd-Uotvo2D9zb01TTCFkLJLDK97Tk1l9Qux0/edit?usp=sharing"",""จันทบุรี!J574"")"),0)</f>
        <v>0</v>
      </c>
      <c r="AM54" s="261">
        <f ca="1">IFERROR(__xludf.DUMMYFUNCTION("IMPORTRANGE(""https://docs.google.com/spreadsheets/d/1njBaP_xXd-Uotvo2D9zb01TTCFkLJLDK97Tk1l9Qux0/edit?usp=sharing"",""จันทบุรี!J575"")"),0)</f>
        <v>0</v>
      </c>
      <c r="AN54" s="181">
        <f ca="1">IFERROR(__xludf.DUMMYFUNCTION("IMPORTRANGE(""https://docs.google.com/spreadsheets/d/1njBaP_xXd-Uotvo2D9zb01TTCFkLJLDK97Tk1l9Qux0/edit?usp=sharing"",""จันทบุรี!I576"")"),0)</f>
        <v>0</v>
      </c>
      <c r="AO54" s="181">
        <f ca="1">IFERROR(__xludf.DUMMYFUNCTION("IMPORTRANGE(""https://docs.google.com/spreadsheets/d/1njBaP_xXd-Uotvo2D9zb01TTCFkLJLDK97Tk1l9Qux0/edit?usp=sharing"",""จันทบุรี!I577"")"),0)</f>
        <v>0</v>
      </c>
      <c r="AP54" s="186">
        <f ca="1">IFERROR(__xludf.DUMMYFUNCTION("IMPORTRANGE(""https://docs.google.com/spreadsheets/d/1njBaP_xXd-Uotvo2D9zb01TTCFkLJLDK97Tk1l9Qux0/edit?usp=sharing"",""จันทบุรี!J576"")"),0)</f>
        <v>0</v>
      </c>
      <c r="AQ54" s="186">
        <f t="shared" ca="1" si="35"/>
        <v>0</v>
      </c>
      <c r="AR54" s="181">
        <f ca="1">IFERROR(__xludf.DUMMYFUNCTION("IMPORTRANGE(""https://docs.google.com/spreadsheets/d/1njBaP_xXd-Uotvo2D9zb01TTCFkLJLDK97Tk1l9Qux0/edit?usp=sharing"",""จันทบุรี!J577"")"),0)</f>
        <v>0</v>
      </c>
      <c r="AS54" s="186">
        <f t="shared" ca="1" si="13"/>
        <v>0</v>
      </c>
      <c r="AT54" s="186">
        <f ca="1">IFERROR(__xludf.DUMMYFUNCTION("IMPORTRANGE(""https://docs.google.com/spreadsheets/d/1njBaP_xXd-Uotvo2D9zb01TTCFkLJLDK97Tk1l9Qux0/edit?usp=sharing"",""จันทบุรี!J578"")"),0)</f>
        <v>0</v>
      </c>
      <c r="AU54" s="261">
        <f ca="1">IFERROR(__xludf.DUMMYFUNCTION("IMPORTRANGE(""https://docs.google.com/spreadsheets/d/1njBaP_xXd-Uotvo2D9zb01TTCFkLJLDK97Tk1l9Qux0/edit?usp=sharing"",""จันทบุรี!J579"")"),0)</f>
        <v>0</v>
      </c>
      <c r="AV54" s="186">
        <f ca="1">IFERROR(__xludf.DUMMYFUNCTION("IMPORTRANGE(""https://docs.google.com/spreadsheets/d/1njBaP_xXd-Uotvo2D9zb01TTCFkLJLDK97Tk1l9Qux0/edit?usp=sharing"",""จันทบุรี!J580"")"),0)</f>
        <v>0</v>
      </c>
      <c r="AW54" s="261">
        <f ca="1">IFERROR(__xludf.DUMMYFUNCTION("IMPORTRANGE(""https://docs.google.com/spreadsheets/d/1njBaP_xXd-Uotvo2D9zb01TTCFkLJLDK97Tk1l9Qux0/edit?usp=sharing"",""จันทบุรี!J581"")"),0)</f>
        <v>0</v>
      </c>
      <c r="AX54" s="186">
        <f ca="1">IFERROR(__xludf.DUMMYFUNCTION("IMPORTRANGE(""https://docs.google.com/spreadsheets/d/1njBaP_xXd-Uotvo2D9zb01TTCFkLJLDK97Tk1l9Qux0/edit?usp=sharing"",""จันทบุรี!J582"")"),0)</f>
        <v>0</v>
      </c>
      <c r="AY54" s="261">
        <f ca="1">IFERROR(__xludf.DUMMYFUNCTION("IMPORTRANGE(""https://docs.google.com/spreadsheets/d/1njBaP_xXd-Uotvo2D9zb01TTCFkLJLDK97Tk1l9Qux0/edit?usp=sharing"",""จันทบุรี!J583"")"),0)</f>
        <v>0</v>
      </c>
      <c r="AZ54" s="262">
        <f ca="1">IFERROR(__xludf.DUMMYFUNCTION("IMPORTRANGE(""https://docs.google.com/spreadsheets/d/1njBaP_xXd-Uotvo2D9zb01TTCFkLJLDK97Tk1l9Qux0/edit?usp=sharing"",""จันทบุรี!J584"")"),0)</f>
        <v>0</v>
      </c>
      <c r="BA54" s="261">
        <f ca="1">IFERROR(__xludf.DUMMYFUNCTION("IMPORTRANGE(""https://docs.google.com/spreadsheets/d/1njBaP_xXd-Uotvo2D9zb01TTCFkLJLDK97Tk1l9Qux0/edit?usp=sharing"",""จันทบุรี!J585"")"),0)</f>
        <v>0</v>
      </c>
      <c r="BB54" s="262">
        <f ca="1">IFERROR(__xludf.DUMMYFUNCTION("IMPORTRANGE(""https://docs.google.com/spreadsheets/d/1njBaP_xXd-Uotvo2D9zb01TTCFkLJLDK97Tk1l9Qux0/edit?usp=sharing"",""จันทบุรี!J586"")"),0)</f>
        <v>0</v>
      </c>
      <c r="BC54" s="261">
        <f ca="1">IFERROR(__xludf.DUMMYFUNCTION("IMPORTRANGE(""https://docs.google.com/spreadsheets/d/1njBaP_xXd-Uotvo2D9zb01TTCFkLJLDK97Tk1l9Qux0/edit?usp=sharing"",""จันทบุรี!J587"")"),0)</f>
        <v>0</v>
      </c>
      <c r="BD54" s="186">
        <f ca="1">IFERROR(__xludf.DUMMYFUNCTION("IMPORTRANGE(""https://docs.google.com/spreadsheets/d/1njBaP_xXd-Uotvo2D9zb01TTCFkLJLDK97Tk1l9Qux0/edit?usp=sharing"",""จันทบุรี!J588"")"),0)</f>
        <v>0</v>
      </c>
      <c r="BE54" s="261">
        <f ca="1">IFERROR(__xludf.DUMMYFUNCTION("IMPORTRANGE(""https://docs.google.com/spreadsheets/d/1njBaP_xXd-Uotvo2D9zb01TTCFkLJLDK97Tk1l9Qux0/edit?usp=sharing"",""จันทบุรี!J589"")"),0)</f>
        <v>0</v>
      </c>
      <c r="BF54" s="186">
        <f ca="1">IFERROR(__xludf.DUMMYFUNCTION("IMPORTRANGE(""https://docs.google.com/spreadsheets/d/1njBaP_xXd-Uotvo2D9zb01TTCFkLJLDK97Tk1l9Qux0/edit?usp=sharing"",""จันทบุรี!J590"")"),0)</f>
        <v>0</v>
      </c>
      <c r="BG54" s="261">
        <f ca="1">IFERROR(__xludf.DUMMYFUNCTION("IMPORTRANGE(""https://docs.google.com/spreadsheets/d/1njBaP_xXd-Uotvo2D9zb01TTCFkLJLDK97Tk1l9Qux0/edit?usp=sharing"",""จันทบุรี!J591"")"),0)</f>
        <v>0</v>
      </c>
      <c r="BH54" s="181">
        <f ca="1">IFERROR(__xludf.DUMMYFUNCTION("IMPORTRANGE(""https://docs.google.com/spreadsheets/d/1njBaP_xXd-Uotvo2D9zb01TTCFkLJLDK97Tk1l9Qux0/edit?usp=sharing"",""จันทบุรี!I593"")"),3092.89)</f>
        <v>3092.89</v>
      </c>
      <c r="BI54" s="181">
        <f ca="1">IFERROR(__xludf.DUMMYFUNCTION("IMPORTRANGE(""https://docs.google.com/spreadsheets/d/1njBaP_xXd-Uotvo2D9zb01TTCFkLJLDK97Tk1l9Qux0/edit?usp=sharing"",""จันทบุรี!I594"")"),241)</f>
        <v>241</v>
      </c>
      <c r="BJ54" s="186">
        <f ca="1">IFERROR(__xludf.DUMMYFUNCTION("IMPORTRANGE(""https://docs.google.com/spreadsheets/d/1njBaP_xXd-Uotvo2D9zb01TTCFkLJLDK97Tk1l9Qux0/edit?usp=sharing"",""จันทบุรี!J593"")"),617)</f>
        <v>617</v>
      </c>
      <c r="BK54" s="186">
        <f t="shared" ca="1" si="36"/>
        <v>19.948979756797041</v>
      </c>
      <c r="BL54" s="181">
        <f ca="1">IFERROR(__xludf.DUMMYFUNCTION("IMPORTRANGE(""https://docs.google.com/spreadsheets/d/1njBaP_xXd-Uotvo2D9zb01TTCFkLJLDK97Tk1l9Qux0/edit?usp=sharing"",""จันทบุรี!J594"")"),49)</f>
        <v>49</v>
      </c>
      <c r="BM54" s="186">
        <f t="shared" ca="1" si="16"/>
        <v>20.331950207468878</v>
      </c>
      <c r="BN54" s="186">
        <f ca="1">IFERROR(__xludf.DUMMYFUNCTION("IMPORTRANGE(""https://docs.google.com/spreadsheets/d/1njBaP_xXd-Uotvo2D9zb01TTCFkLJLDK97Tk1l9Qux0/edit?usp=sharing"",""จันทบุรี!J595"")"),617)</f>
        <v>617</v>
      </c>
      <c r="BO54" s="261">
        <f ca="1">IFERROR(__xludf.DUMMYFUNCTION("IMPORTRANGE(""https://docs.google.com/spreadsheets/d/1njBaP_xXd-Uotvo2D9zb01TTCFkLJLDK97Tk1l9Qux0/edit?usp=sharing"",""จันทบุรี!J596"")"),49)</f>
        <v>49</v>
      </c>
      <c r="BP54" s="186">
        <f ca="1">IFERROR(__xludf.DUMMYFUNCTION("IMPORTRANGE(""https://docs.google.com/spreadsheets/d/1njBaP_xXd-Uotvo2D9zb01TTCFkLJLDK97Tk1l9Qux0/edit?usp=sharing"",""จันทบุรี!J597"")"),617)</f>
        <v>617</v>
      </c>
      <c r="BQ54" s="261">
        <f ca="1">IFERROR(__xludf.DUMMYFUNCTION("IMPORTRANGE(""https://docs.google.com/spreadsheets/d/1njBaP_xXd-Uotvo2D9zb01TTCFkLJLDK97Tk1l9Qux0/edit?usp=sharing"",""จันทบุรี!J598"")"),49)</f>
        <v>49</v>
      </c>
      <c r="BR54" s="186">
        <f ca="1">IFERROR(__xludf.DUMMYFUNCTION("IMPORTRANGE(""https://docs.google.com/spreadsheets/d/1njBaP_xXd-Uotvo2D9zb01TTCFkLJLDK97Tk1l9Qux0/edit?usp=sharing"",""จันทบุรี!J599"")"),0)</f>
        <v>0</v>
      </c>
      <c r="BS54" s="261">
        <f ca="1">IFERROR(__xludf.DUMMYFUNCTION("IMPORTRANGE(""https://docs.google.com/spreadsheets/d/1njBaP_xXd-Uotvo2D9zb01TTCFkLJLDK97Tk1l9Qux0/edit?usp=sharing"",""จันทบุรี!J600"")"),0)</f>
        <v>0</v>
      </c>
      <c r="BT54" s="262">
        <f ca="1">IFERROR(__xludf.DUMMYFUNCTION("IMPORTRANGE(""https://docs.google.com/spreadsheets/d/1njBaP_xXd-Uotvo2D9zb01TTCFkLJLDK97Tk1l9Qux0/edit?usp=sharing"",""จันทบุรี!J601"")"),0)</f>
        <v>0</v>
      </c>
      <c r="BU54" s="261">
        <f ca="1">IFERROR(__xludf.DUMMYFUNCTION("IMPORTRANGE(""https://docs.google.com/spreadsheets/d/1njBaP_xXd-Uotvo2D9zb01TTCFkLJLDK97Tk1l9Qux0/edit?usp=sharing"",""จันทบุรี!J602"")"),0)</f>
        <v>0</v>
      </c>
      <c r="BV54" s="186">
        <f ca="1">IFERROR(__xludf.DUMMYFUNCTION("IMPORTRANGE(""https://docs.google.com/spreadsheets/d/1njBaP_xXd-Uotvo2D9zb01TTCFkLJLDK97Tk1l9Qux0/edit?usp=sharing"",""จันทบุรี!J603"")"),0)</f>
        <v>0</v>
      </c>
      <c r="BW54" s="261">
        <f ca="1">IFERROR(__xludf.DUMMYFUNCTION("IMPORTRANGE(""https://docs.google.com/spreadsheets/d/1njBaP_xXd-Uotvo2D9zb01TTCFkLJLDK97Tk1l9Qux0/edit?usp=sharing"",""จันทบุรี!J604"")"),0)</f>
        <v>0</v>
      </c>
      <c r="BX54" s="186">
        <f ca="1">IFERROR(__xludf.DUMMYFUNCTION("IMPORTRANGE(""https://docs.google.com/spreadsheets/d/1njBaP_xXd-Uotvo2D9zb01TTCFkLJLDK97Tk1l9Qux0/edit?usp=sharing"",""จันทบุรี!J605"")"),0)</f>
        <v>0</v>
      </c>
      <c r="BY54" s="261">
        <f ca="1">IFERROR(__xludf.DUMMYFUNCTION("IMPORTRANGE(""https://docs.google.com/spreadsheets/d/1njBaP_xXd-Uotvo2D9zb01TTCFkLJLDK97Tk1l9Qux0/edit?usp=sharing"",""จันทบุรี!J606"")"),0)</f>
        <v>0</v>
      </c>
      <c r="BZ54" s="186">
        <f ca="1">IFERROR(__xludf.DUMMYFUNCTION("IMPORTRANGE(""https://docs.google.com/spreadsheets/d/1njBaP_xXd-Uotvo2D9zb01TTCFkLJLDK97Tk1l9Qux0/edit?usp=sharing"",""จันทบุรี!J607"")"),0)</f>
        <v>0</v>
      </c>
      <c r="CA54" s="261">
        <f ca="1">IFERROR(__xludf.DUMMYFUNCTION("IMPORTRANGE(""https://docs.google.com/spreadsheets/d/1njBaP_xXd-Uotvo2D9zb01TTCFkLJLDK97Tk1l9Qux0/edit?usp=sharing"",""จันทบุรี!J608"")"),0)</f>
        <v>0</v>
      </c>
      <c r="CB54" s="186">
        <f ca="1">IFERROR(__xludf.DUMMYFUNCTION("IMPORTRANGE(""https://docs.google.com/spreadsheets/d/1njBaP_xXd-Uotvo2D9zb01TTCFkLJLDK97Tk1l9Qux0/edit?usp=sharing"",""จันทบุรี!J609"")"),0)</f>
        <v>0</v>
      </c>
      <c r="CC54" s="261">
        <f ca="1">IFERROR(__xludf.DUMMYFUNCTION("IMPORTRANGE(""https://docs.google.com/spreadsheets/d/1njBaP_xXd-Uotvo2D9zb01TTCFkLJLDK97Tk1l9Qux0/edit?usp=sharing"",""จันทบุรี!J610"")"),0)</f>
        <v>0</v>
      </c>
      <c r="CD54" s="261">
        <f ca="1">IFERROR(__xludf.DUMMYFUNCTION("IMPORTRANGE(""https://docs.google.com/spreadsheets/d/1njBaP_xXd-Uotvo2D9zb01TTCFkLJLDK97Tk1l9Qux0/edit?usp=sharing"",""จันทบุรี!I612"")"),0)</f>
        <v>0</v>
      </c>
      <c r="CE54" s="261">
        <f ca="1">IFERROR(__xludf.DUMMYFUNCTION("IMPORTRANGE(""https://docs.google.com/spreadsheets/d/1njBaP_xXd-Uotvo2D9zb01TTCFkLJLDK97Tk1l9Qux0/edit?usp=sharing"",""จันทบุรี!I594"")"),241)</f>
        <v>241</v>
      </c>
      <c r="CF54" s="262">
        <f ca="1">IFERROR(__xludf.DUMMYFUNCTION("IMPORTRANGE(""https://docs.google.com/spreadsheets/d/1njBaP_xXd-Uotvo2D9zb01TTCFkLJLDK97Tk1l9Qux0/edit?usp=sharing"",""จันทบุรี!J612"")"),0)</f>
        <v>0</v>
      </c>
      <c r="CG54" s="262">
        <f t="shared" ca="1" si="37"/>
        <v>0</v>
      </c>
      <c r="CH54" s="261">
        <f ca="1">IFERROR(__xludf.DUMMYFUNCTION("IMPORTRANGE(""https://docs.google.com/spreadsheets/d/1njBaP_xXd-Uotvo2D9zb01TTCFkLJLDK97Tk1l9Qux0/edit?usp=sharing"",""จันทบุรี!J613"")"),0)</f>
        <v>0</v>
      </c>
      <c r="CI54" s="262">
        <f t="shared" ca="1" si="19"/>
        <v>0</v>
      </c>
      <c r="CJ54" s="186">
        <f ca="1">IFERROR(__xludf.DUMMYFUNCTION("IMPORTRANGE(""https://docs.google.com/spreadsheets/d/1njBaP_xXd-Uotvo2D9zb01TTCFkLJLDK97Tk1l9Qux0/edit?usp=sharing"",""จันทบุรี!J614"")"),0)</f>
        <v>0</v>
      </c>
      <c r="CK54" s="261">
        <f ca="1">IFERROR(__xludf.DUMMYFUNCTION("IMPORTRANGE(""https://docs.google.com/spreadsheets/d/1njBaP_xXd-Uotvo2D9zb01TTCFkLJLDK97Tk1l9Qux0/edit?usp=sharing"",""จันทบุรี!J615"")"),0)</f>
        <v>0</v>
      </c>
      <c r="CL54" s="186">
        <f ca="1">IFERROR(__xludf.DUMMYFUNCTION("IMPORTRANGE(""https://docs.google.com/spreadsheets/d/1njBaP_xXd-Uotvo2D9zb01TTCFkLJLDK97Tk1l9Qux0/edit?usp=sharing"",""จันทบุรี!J616"")"),0)</f>
        <v>0</v>
      </c>
      <c r="CM54" s="261">
        <f ca="1">IFERROR(__xludf.DUMMYFUNCTION("IMPORTRANGE(""https://docs.google.com/spreadsheets/d/1njBaP_xXd-Uotvo2D9zb01TTCFkLJLDK97Tk1l9Qux0/edit?usp=sharing"",""จันทบุรี!J617"")"),0)</f>
        <v>0</v>
      </c>
      <c r="CN54" s="261">
        <f ca="1">IFERROR(__xludf.DUMMYFUNCTION("IMPORTRANGE(""https://docs.google.com/spreadsheets/d/1njBaP_xXd-Uotvo2D9zb01TTCFkLJLDK97Tk1l9Qux0/edit?usp=sharing"",""จันทบุรี!I620"")"),0)</f>
        <v>0</v>
      </c>
      <c r="CO54" s="261">
        <f ca="1">IFERROR(__xludf.DUMMYFUNCTION("IMPORTRANGE(""https://docs.google.com/spreadsheets/d/1njBaP_xXd-Uotvo2D9zb01TTCFkLJLDK97Tk1l9Qux0/edit?usp=sharing"",""จันทบุรี!I621"")"),0)</f>
        <v>0</v>
      </c>
      <c r="CP54" s="262">
        <f ca="1">IFERROR(__xludf.DUMMYFUNCTION("IMPORTRANGE(""https://docs.google.com/spreadsheets/d/1njBaP_xXd-Uotvo2D9zb01TTCFkLJLDK97Tk1l9Qux0/edit?usp=sharing"",""จันทบุรี!J620"")"),0)</f>
        <v>0</v>
      </c>
      <c r="CQ54" s="262">
        <f t="shared" ca="1" si="38"/>
        <v>0</v>
      </c>
      <c r="CR54" s="261">
        <f ca="1">IFERROR(__xludf.DUMMYFUNCTION("IMPORTRANGE(""https://docs.google.com/spreadsheets/d/1njBaP_xXd-Uotvo2D9zb01TTCFkLJLDK97Tk1l9Qux0/edit?usp=sharing"",""จันทบุรี!J621"")"),0)</f>
        <v>0</v>
      </c>
      <c r="CS54" s="262">
        <f t="shared" ca="1" si="22"/>
        <v>0</v>
      </c>
      <c r="CT54" s="186">
        <f ca="1">IFERROR(__xludf.DUMMYFUNCTION("IMPORTRANGE(""https://docs.google.com/spreadsheets/d/1njBaP_xXd-Uotvo2D9zb01TTCFkLJLDK97Tk1l9Qux0/edit?usp=sharing"",""จันทบุรี!J622"")"),0)</f>
        <v>0</v>
      </c>
      <c r="CU54" s="261">
        <f ca="1">IFERROR(__xludf.DUMMYFUNCTION("IMPORTRANGE(""https://docs.google.com/spreadsheets/d/1njBaP_xXd-Uotvo2D9zb01TTCFkLJLDK97Tk1l9Qux0/edit?usp=sharing"",""จันทบุรี!J623"")"),0)</f>
        <v>0</v>
      </c>
      <c r="CV54" s="186">
        <f ca="1">IFERROR(__xludf.DUMMYFUNCTION("IMPORTRANGE(""https://docs.google.com/spreadsheets/d/1njBaP_xXd-Uotvo2D9zb01TTCFkLJLDK97Tk1l9Qux0/edit?usp=sharing"",""จันทบุรี!J624"")"),0)</f>
        <v>0</v>
      </c>
      <c r="CW54" s="261">
        <f ca="1">IFERROR(__xludf.DUMMYFUNCTION("IMPORTRANGE(""https://docs.google.com/spreadsheets/d/1njBaP_xXd-Uotvo2D9zb01TTCFkLJLDK97Tk1l9Qux0/edit?usp=sharing"",""จันทบุรี!J625"")"),0)</f>
        <v>0</v>
      </c>
      <c r="CX54" s="186">
        <f ca="1">IFERROR(__xludf.DUMMYFUNCTION("IMPORTRANGE(""https://docs.google.com/spreadsheets/d/1njBaP_xXd-Uotvo2D9zb01TTCFkLJLDK97Tk1l9Qux0/edit?usp=sharing"",""จันทบุรี!J626"")"),0)</f>
        <v>0</v>
      </c>
      <c r="CY54" s="261">
        <f ca="1">IFERROR(__xludf.DUMMYFUNCTION("IMPORTRANGE(""https://docs.google.com/spreadsheets/d/1njBaP_xXd-Uotvo2D9zb01TTCFkLJLDK97Tk1l9Qux0/edit?usp=sharing"",""จันทบุรี!J627"")"),0)</f>
        <v>0</v>
      </c>
    </row>
    <row r="55" spans="1:103" ht="21" customHeight="1" x14ac:dyDescent="0.3">
      <c r="A55" s="178">
        <v>3</v>
      </c>
      <c r="B55" s="179" t="s">
        <v>72</v>
      </c>
      <c r="C55" s="180">
        <f t="shared" ca="1" si="71"/>
        <v>261500</v>
      </c>
      <c r="D55" s="181">
        <f ca="1">IFERROR(__xludf.DUMMYFUNCTION("IMPORTRANGE(""https://docs.google.com/spreadsheets/d/14xp6qUzrGFnUk_qnc1eEmfiaNRd4_grkhpfQH_46fa8/edit?usp=sharing"",""ฉะเชิงเทรา!L549"")"),261500)</f>
        <v>261500</v>
      </c>
      <c r="E55" s="187">
        <f ca="1">IFERROR(__xludf.DUMMYFUNCTION("IMPORTRANGE(""https://docs.google.com/spreadsheets/d/14xp6qUzrGFnUk_qnc1eEmfiaNRd4_grkhpfQH_46fa8/edit?usp=sharing"",""ฉะเชิงเทรา!L557"")"),0)</f>
        <v>0</v>
      </c>
      <c r="F55" s="182">
        <f t="shared" ca="1" si="1"/>
        <v>84637.3</v>
      </c>
      <c r="G55" s="183">
        <f t="shared" ca="1" si="2"/>
        <v>32.366080305927341</v>
      </c>
      <c r="H55" s="184">
        <f t="shared" ca="1" si="72"/>
        <v>84637.3</v>
      </c>
      <c r="I55" s="187">
        <f ca="1">IFERROR(__xludf.DUMMYFUNCTION("IMPORTRANGE(""https://docs.google.com/spreadsheets/d/14xp6qUzrGFnUk_qnc1eEmfiaNRd4_grkhpfQH_46fa8/edit?usp=sharing"",""ฉะเชิงเทรา!N550"")"),0)</f>
        <v>0</v>
      </c>
      <c r="J55" s="187">
        <f ca="1">IFERROR(__xludf.DUMMYFUNCTION("IMPORTRANGE(""https://docs.google.com/spreadsheets/d/14xp6qUzrGFnUk_qnc1eEmfiaNRd4_grkhpfQH_46fa8/edit?usp=sharing"",""ฉะเชิงเทรา!N551"")"),0)</f>
        <v>0</v>
      </c>
      <c r="K55" s="187">
        <f ca="1">IFERROR(__xludf.DUMMYFUNCTION("IMPORTRANGE(""https://docs.google.com/spreadsheets/d/14xp6qUzrGFnUk_qnc1eEmfiaNRd4_grkhpfQH_46fa8/edit?usp=sharing"",""ฉะเชิงเทรา!N552"")"),52000)</f>
        <v>52000</v>
      </c>
      <c r="L55" s="187">
        <f ca="1">IFERROR(__xludf.DUMMYFUNCTION("IMPORTRANGE(""https://docs.google.com/spreadsheets/d/14xp6qUzrGFnUk_qnc1eEmfiaNRd4_grkhpfQH_46fa8/edit?usp=sharing"",""ฉะเชิงเทรา!N553"")"),32637.3)</f>
        <v>32637.3</v>
      </c>
      <c r="M55" s="187">
        <f ca="1">IFERROR(__xludf.DUMMYFUNCTION("IMPORTRANGE(""https://docs.google.com/spreadsheets/d/14xp6qUzrGFnUk_qnc1eEmfiaNRd4_grkhpfQH_46fa8/edit?usp=sharing"",""ฉะเชิงเทรา!N554"")"),0)</f>
        <v>0</v>
      </c>
      <c r="N55" s="185">
        <f ca="1">IFERROR(__xludf.DUMMYFUNCTION("IMPORTRANGE(""https://docs.google.com/spreadsheets/d/14xp6qUzrGFnUk_qnc1eEmfiaNRd4_grkhpfQH_46fa8/edit?usp=sharing"",""ฉะเชิงเทรา!N557"")"),0)</f>
        <v>0</v>
      </c>
      <c r="O55" s="185">
        <f t="shared" ca="1" si="41"/>
        <v>0</v>
      </c>
      <c r="P55" s="181">
        <f ca="1">IFERROR(__xludf.DUMMYFUNCTION("IMPORTRANGE(""https://docs.google.com/spreadsheets/d/14xp6qUzrGFnUk_qnc1eEmfiaNRd4_grkhpfQH_46fa8/edit?usp=sharing"",""ฉะเชิงเทรา!I560"")"),0)</f>
        <v>0</v>
      </c>
      <c r="Q55" s="181">
        <f ca="1">IFERROR(__xludf.DUMMYFUNCTION("IMPORTRANGE(""https://docs.google.com/spreadsheets/d/14xp6qUzrGFnUk_qnc1eEmfiaNRd4_grkhpfQH_46fa8/edit?usp=sharing"",""ฉะเชิงเทรา!I561"")"),0)</f>
        <v>0</v>
      </c>
      <c r="R55" s="186">
        <f ca="1">IFERROR(__xludf.DUMMYFUNCTION("IMPORTRANGE(""https://docs.google.com/spreadsheets/d/14xp6qUzrGFnUk_qnc1eEmfiaNRd4_grkhpfQH_46fa8/edit?usp=sharing"",""ฉะเชิงเทรา!J560"")"),0)</f>
        <v>0</v>
      </c>
      <c r="S55" s="186">
        <f t="shared" ca="1" si="33"/>
        <v>0</v>
      </c>
      <c r="T55" s="181">
        <f ca="1">IFERROR(__xludf.DUMMYFUNCTION("IMPORTRANGE(""https://docs.google.com/spreadsheets/d/14xp6qUzrGFnUk_qnc1eEmfiaNRd4_grkhpfQH_46fa8/edit?usp=sharing"",""ฉะเชิงเทรา!J561"")"),0)</f>
        <v>0</v>
      </c>
      <c r="U55" s="186">
        <f t="shared" ca="1" si="7"/>
        <v>0</v>
      </c>
      <c r="V55" s="186">
        <f ca="1">IFERROR(__xludf.DUMMYFUNCTION("IMPORTRANGE(""https://docs.google.com/spreadsheets/d/14xp6qUzrGFnUk_qnc1eEmfiaNRd4_grkhpfQH_46fa8/edit?usp=sharing"",""ฉะเชิงเทรา!J562"")"),0)</f>
        <v>0</v>
      </c>
      <c r="W55" s="261">
        <f ca="1">IFERROR(__xludf.DUMMYFUNCTION("IMPORTRANGE(""https://docs.google.com/spreadsheets/d/14xp6qUzrGFnUk_qnc1eEmfiaNRd4_grkhpfQH_46fa8/edit?usp=sharing"",""ฉะเชิงเทรา!J563"")"),0)</f>
        <v>0</v>
      </c>
      <c r="X55" s="186">
        <f ca="1">IFERROR(__xludf.DUMMYFUNCTION("IMPORTRANGE(""https://docs.google.com/spreadsheets/d/14xp6qUzrGFnUk_qnc1eEmfiaNRd4_grkhpfQH_46fa8/edit?usp=sharing"",""ฉะเชิงเทรา!J564"")"),0)</f>
        <v>0</v>
      </c>
      <c r="Y55" s="261">
        <f ca="1">IFERROR(__xludf.DUMMYFUNCTION("IMPORTRANGE(""https://docs.google.com/spreadsheets/d/14xp6qUzrGFnUk_qnc1eEmfiaNRd4_grkhpfQH_46fa8/edit?usp=sharing"",""ฉะเชิงเทรา!J565"")"),0)</f>
        <v>0</v>
      </c>
      <c r="Z55" s="186">
        <f ca="1">IFERROR(__xludf.DUMMYFUNCTION("IMPORTRANGE(""https://docs.google.com/spreadsheets/d/14xp6qUzrGFnUk_qnc1eEmfiaNRd4_grkhpfQH_46fa8/edit?usp=sharing"",""ฉะเชิงเทรา!J566"")"),0)</f>
        <v>0</v>
      </c>
      <c r="AA55" s="261">
        <f ca="1">IFERROR(__xludf.DUMMYFUNCTION("IMPORTRANGE(""https://docs.google.com/spreadsheets/d/14xp6qUzrGFnUk_qnc1eEmfiaNRd4_grkhpfQH_46fa8/edit?usp=sharing"",""ฉะเชิงเทรา!J567"")"),0)</f>
        <v>0</v>
      </c>
      <c r="AB55" s="181">
        <f ca="1">IFERROR(__xludf.DUMMYFUNCTION("IMPORTRANGE(""https://docs.google.com/spreadsheets/d/14xp6qUzrGFnUk_qnc1eEmfiaNRd4_grkhpfQH_46fa8/edit?usp=sharing"",""ฉะเชิงเทรา!I568"")"),0)</f>
        <v>0</v>
      </c>
      <c r="AC55" s="181">
        <f ca="1">IFERROR(__xludf.DUMMYFUNCTION("IMPORTRANGE(""https://docs.google.com/spreadsheets/d/14xp6qUzrGFnUk_qnc1eEmfiaNRd4_grkhpfQH_46fa8/edit?usp=sharing"",""ฉะเชิงเทรา!I569"")"),0)</f>
        <v>0</v>
      </c>
      <c r="AD55" s="186">
        <f ca="1">IFERROR(__xludf.DUMMYFUNCTION("IMPORTRANGE(""https://docs.google.com/spreadsheets/d/14xp6qUzrGFnUk_qnc1eEmfiaNRd4_grkhpfQH_46fa8/edit?usp=sharing"",""ฉะเชิงเทรา!J568"")"),0)</f>
        <v>0</v>
      </c>
      <c r="AE55" s="186">
        <f t="shared" ca="1" si="34"/>
        <v>0</v>
      </c>
      <c r="AF55" s="181">
        <f ca="1">IFERROR(__xludf.DUMMYFUNCTION("IMPORTRANGE(""https://docs.google.com/spreadsheets/d/14xp6qUzrGFnUk_qnc1eEmfiaNRd4_grkhpfQH_46fa8/edit?usp=sharing"",""ฉะเชิงเทรา!J569"")"),0)</f>
        <v>0</v>
      </c>
      <c r="AG55" s="186">
        <f t="shared" ca="1" si="10"/>
        <v>0</v>
      </c>
      <c r="AH55" s="186">
        <f ca="1">IFERROR(__xludf.DUMMYFUNCTION("IMPORTRANGE(""https://docs.google.com/spreadsheets/d/14xp6qUzrGFnUk_qnc1eEmfiaNRd4_grkhpfQH_46fa8/edit?usp=sharing"",""ฉะเชิงเทรา!J570"")"),0)</f>
        <v>0</v>
      </c>
      <c r="AI55" s="261">
        <f ca="1">IFERROR(__xludf.DUMMYFUNCTION("IMPORTRANGE(""https://docs.google.com/spreadsheets/d/14xp6qUzrGFnUk_qnc1eEmfiaNRd4_grkhpfQH_46fa8/edit?usp=sharing"",""ฉะเชิงเทรา!J571"")"),0)</f>
        <v>0</v>
      </c>
      <c r="AJ55" s="186">
        <f ca="1">IFERROR(__xludf.DUMMYFUNCTION("IMPORTRANGE(""https://docs.google.com/spreadsheets/d/14xp6qUzrGFnUk_qnc1eEmfiaNRd4_grkhpfQH_46fa8/edit?usp=sharing"",""ฉะเชิงเทรา!J572"")"),0)</f>
        <v>0</v>
      </c>
      <c r="AK55" s="261">
        <f ca="1">IFERROR(__xludf.DUMMYFUNCTION("IMPORTRANGE(""https://docs.google.com/spreadsheets/d/14xp6qUzrGFnUk_qnc1eEmfiaNRd4_grkhpfQH_46fa8/edit?usp=sharing"",""ฉะเชิงเทรา!J573"")"),0)</f>
        <v>0</v>
      </c>
      <c r="AL55" s="186">
        <f ca="1">IFERROR(__xludf.DUMMYFUNCTION("IMPORTRANGE(""https://docs.google.com/spreadsheets/d/14xp6qUzrGFnUk_qnc1eEmfiaNRd4_grkhpfQH_46fa8/edit?usp=sharing"",""ฉะเชิงเทรา!J574"")"),0)</f>
        <v>0</v>
      </c>
      <c r="AM55" s="261">
        <f ca="1">IFERROR(__xludf.DUMMYFUNCTION("IMPORTRANGE(""https://docs.google.com/spreadsheets/d/14xp6qUzrGFnUk_qnc1eEmfiaNRd4_grkhpfQH_46fa8/edit?usp=sharing"",""ฉะเชิงเทรา!J575"")"),0)</f>
        <v>0</v>
      </c>
      <c r="AN55" s="181">
        <f ca="1">IFERROR(__xludf.DUMMYFUNCTION("IMPORTRANGE(""https://docs.google.com/spreadsheets/d/14xp6qUzrGFnUk_qnc1eEmfiaNRd4_grkhpfQH_46fa8/edit?usp=sharing"",""ฉะเชิงเทรา!I576"")"),0)</f>
        <v>0</v>
      </c>
      <c r="AO55" s="181">
        <f ca="1">IFERROR(__xludf.DUMMYFUNCTION("IMPORTRANGE(""https://docs.google.com/spreadsheets/d/14xp6qUzrGFnUk_qnc1eEmfiaNRd4_grkhpfQH_46fa8/edit?usp=sharing"",""ฉะเชิงเทรา!I577"")"),0)</f>
        <v>0</v>
      </c>
      <c r="AP55" s="186">
        <f ca="1">IFERROR(__xludf.DUMMYFUNCTION("IMPORTRANGE(""https://docs.google.com/spreadsheets/d/14xp6qUzrGFnUk_qnc1eEmfiaNRd4_grkhpfQH_46fa8/edit?usp=sharing"",""ฉะเชิงเทรา!J576"")"),0)</f>
        <v>0</v>
      </c>
      <c r="AQ55" s="186">
        <f t="shared" ca="1" si="35"/>
        <v>0</v>
      </c>
      <c r="AR55" s="181">
        <f ca="1">IFERROR(__xludf.DUMMYFUNCTION("IMPORTRANGE(""https://docs.google.com/spreadsheets/d/14xp6qUzrGFnUk_qnc1eEmfiaNRd4_grkhpfQH_46fa8/edit?usp=sharing"",""ฉะเชิงเทรา!J577"")"),0)</f>
        <v>0</v>
      </c>
      <c r="AS55" s="186">
        <f t="shared" ca="1" si="13"/>
        <v>0</v>
      </c>
      <c r="AT55" s="186">
        <f ca="1">IFERROR(__xludf.DUMMYFUNCTION("IMPORTRANGE(""https://docs.google.com/spreadsheets/d/14xp6qUzrGFnUk_qnc1eEmfiaNRd4_grkhpfQH_46fa8/edit?usp=sharing"",""ฉะเชิงเทรา!J578"")"),0)</f>
        <v>0</v>
      </c>
      <c r="AU55" s="261">
        <f ca="1">IFERROR(__xludf.DUMMYFUNCTION("IMPORTRANGE(""https://docs.google.com/spreadsheets/d/14xp6qUzrGFnUk_qnc1eEmfiaNRd4_grkhpfQH_46fa8/edit?usp=sharing"",""ฉะเชิงเทรา!J579"")"),0)</f>
        <v>0</v>
      </c>
      <c r="AV55" s="186">
        <f ca="1">IFERROR(__xludf.DUMMYFUNCTION("IMPORTRANGE(""https://docs.google.com/spreadsheets/d/14xp6qUzrGFnUk_qnc1eEmfiaNRd4_grkhpfQH_46fa8/edit?usp=sharing"",""ฉะเชิงเทรา!J580"")"),0)</f>
        <v>0</v>
      </c>
      <c r="AW55" s="261">
        <f ca="1">IFERROR(__xludf.DUMMYFUNCTION("IMPORTRANGE(""https://docs.google.com/spreadsheets/d/14xp6qUzrGFnUk_qnc1eEmfiaNRd4_grkhpfQH_46fa8/edit?usp=sharing"",""ฉะเชิงเทรา!J581"")"),0)</f>
        <v>0</v>
      </c>
      <c r="AX55" s="186">
        <f ca="1">IFERROR(__xludf.DUMMYFUNCTION("IMPORTRANGE(""https://docs.google.com/spreadsheets/d/14xp6qUzrGFnUk_qnc1eEmfiaNRd4_grkhpfQH_46fa8/edit?usp=sharing"",""ฉะเชิงเทรา!J582"")"),0)</f>
        <v>0</v>
      </c>
      <c r="AY55" s="261">
        <f ca="1">IFERROR(__xludf.DUMMYFUNCTION("IMPORTRANGE(""https://docs.google.com/spreadsheets/d/14xp6qUzrGFnUk_qnc1eEmfiaNRd4_grkhpfQH_46fa8/edit?usp=sharing"",""ฉะเชิงเทรา!J583"")"),0)</f>
        <v>0</v>
      </c>
      <c r="AZ55" s="262">
        <f ca="1">IFERROR(__xludf.DUMMYFUNCTION("IMPORTRANGE(""https://docs.google.com/spreadsheets/d/14xp6qUzrGFnUk_qnc1eEmfiaNRd4_grkhpfQH_46fa8/edit?usp=sharing"",""ฉะเชิงเทรา!J584"")"),0)</f>
        <v>0</v>
      </c>
      <c r="BA55" s="261">
        <f ca="1">IFERROR(__xludf.DUMMYFUNCTION("IMPORTRANGE(""https://docs.google.com/spreadsheets/d/14xp6qUzrGFnUk_qnc1eEmfiaNRd4_grkhpfQH_46fa8/edit?usp=sharing"",""ฉะเชิงเทรา!J585"")"),0)</f>
        <v>0</v>
      </c>
      <c r="BB55" s="262">
        <f ca="1">IFERROR(__xludf.DUMMYFUNCTION("IMPORTRANGE(""https://docs.google.com/spreadsheets/d/14xp6qUzrGFnUk_qnc1eEmfiaNRd4_grkhpfQH_46fa8/edit?usp=sharing"",""ฉะเชิงเทรา!J586"")"),0)</f>
        <v>0</v>
      </c>
      <c r="BC55" s="261">
        <f ca="1">IFERROR(__xludf.DUMMYFUNCTION("IMPORTRANGE(""https://docs.google.com/spreadsheets/d/14xp6qUzrGFnUk_qnc1eEmfiaNRd4_grkhpfQH_46fa8/edit?usp=sharing"",""ฉะเชิงเทรา!J587"")"),0)</f>
        <v>0</v>
      </c>
      <c r="BD55" s="186">
        <f ca="1">IFERROR(__xludf.DUMMYFUNCTION("IMPORTRANGE(""https://docs.google.com/spreadsheets/d/14xp6qUzrGFnUk_qnc1eEmfiaNRd4_grkhpfQH_46fa8/edit?usp=sharing"",""ฉะเชิงเทรา!J588"")"),0)</f>
        <v>0</v>
      </c>
      <c r="BE55" s="261">
        <f ca="1">IFERROR(__xludf.DUMMYFUNCTION("IMPORTRANGE(""https://docs.google.com/spreadsheets/d/14xp6qUzrGFnUk_qnc1eEmfiaNRd4_grkhpfQH_46fa8/edit?usp=sharing"",""ฉะเชิงเทรา!J589"")"),0)</f>
        <v>0</v>
      </c>
      <c r="BF55" s="186">
        <f ca="1">IFERROR(__xludf.DUMMYFUNCTION("IMPORTRANGE(""https://docs.google.com/spreadsheets/d/14xp6qUzrGFnUk_qnc1eEmfiaNRd4_grkhpfQH_46fa8/edit?usp=sharing"",""ฉะเชิงเทรา!J590"")"),0)</f>
        <v>0</v>
      </c>
      <c r="BG55" s="261">
        <f ca="1">IFERROR(__xludf.DUMMYFUNCTION("IMPORTRANGE(""https://docs.google.com/spreadsheets/d/14xp6qUzrGFnUk_qnc1eEmfiaNRd4_grkhpfQH_46fa8/edit?usp=sharing"",""ฉะเชิงเทรา!J591"")"),0)</f>
        <v>0</v>
      </c>
      <c r="BH55" s="181">
        <f ca="1">IFERROR(__xludf.DUMMYFUNCTION("IMPORTRANGE(""https://docs.google.com/spreadsheets/d/14xp6qUzrGFnUk_qnc1eEmfiaNRd4_grkhpfQH_46fa8/edit?usp=sharing"",""ฉะเชิงเทรา!I593"")"),1072.86)</f>
        <v>1072.8599999999999</v>
      </c>
      <c r="BI55" s="181">
        <f ca="1">IFERROR(__xludf.DUMMYFUNCTION("IMPORTRANGE(""https://docs.google.com/spreadsheets/d/14xp6qUzrGFnUk_qnc1eEmfiaNRd4_grkhpfQH_46fa8/edit?usp=sharing"",""ฉะเชิงเทรา!I594"")"),165)</f>
        <v>165</v>
      </c>
      <c r="BJ55" s="186">
        <f ca="1">IFERROR(__xludf.DUMMYFUNCTION("IMPORTRANGE(""https://docs.google.com/spreadsheets/d/14xp6qUzrGFnUk_qnc1eEmfiaNRd4_grkhpfQH_46fa8/edit?usp=sharing"",""ฉะเชิงเทรา!J593"")"),611)</f>
        <v>611</v>
      </c>
      <c r="BK55" s="186">
        <f t="shared" ca="1" si="36"/>
        <v>56.950580690863681</v>
      </c>
      <c r="BL55" s="181">
        <f ca="1">IFERROR(__xludf.DUMMYFUNCTION("IMPORTRANGE(""https://docs.google.com/spreadsheets/d/14xp6qUzrGFnUk_qnc1eEmfiaNRd4_grkhpfQH_46fa8/edit?usp=sharing"",""ฉะเชิงเทรา!J594"")"),69)</f>
        <v>69</v>
      </c>
      <c r="BM55" s="186">
        <f t="shared" ca="1" si="16"/>
        <v>41.81818181818182</v>
      </c>
      <c r="BN55" s="186">
        <f ca="1">IFERROR(__xludf.DUMMYFUNCTION("IMPORTRANGE(""https://docs.google.com/spreadsheets/d/14xp6qUzrGFnUk_qnc1eEmfiaNRd4_grkhpfQH_46fa8/edit?usp=sharing"",""ฉะเชิงเทรา!J595"")"),548)</f>
        <v>548</v>
      </c>
      <c r="BO55" s="261">
        <f ca="1">IFERROR(__xludf.DUMMYFUNCTION("IMPORTRANGE(""https://docs.google.com/spreadsheets/d/14xp6qUzrGFnUk_qnc1eEmfiaNRd4_grkhpfQH_46fa8/edit?usp=sharing"",""ฉะเชิงเทรา!J596"")"),61)</f>
        <v>61</v>
      </c>
      <c r="BP55" s="186">
        <f ca="1">IFERROR(__xludf.DUMMYFUNCTION("IMPORTRANGE(""https://docs.google.com/spreadsheets/d/14xp6qUzrGFnUk_qnc1eEmfiaNRd4_grkhpfQH_46fa8/edit?usp=sharing"",""ฉะเชิงเทรา!J597"")"),548)</f>
        <v>548</v>
      </c>
      <c r="BQ55" s="261">
        <f ca="1">IFERROR(__xludf.DUMMYFUNCTION("IMPORTRANGE(""https://docs.google.com/spreadsheets/d/14xp6qUzrGFnUk_qnc1eEmfiaNRd4_grkhpfQH_46fa8/edit?usp=sharing"",""ฉะเชิงเทรา!J598"")"),61)</f>
        <v>61</v>
      </c>
      <c r="BR55" s="186">
        <f ca="1">IFERROR(__xludf.DUMMYFUNCTION("IMPORTRANGE(""https://docs.google.com/spreadsheets/d/14xp6qUzrGFnUk_qnc1eEmfiaNRd4_grkhpfQH_46fa8/edit?usp=sharing"",""ฉะเชิงเทรา!J599"")"),0)</f>
        <v>0</v>
      </c>
      <c r="BS55" s="261">
        <f ca="1">IFERROR(__xludf.DUMMYFUNCTION("IMPORTRANGE(""https://docs.google.com/spreadsheets/d/14xp6qUzrGFnUk_qnc1eEmfiaNRd4_grkhpfQH_46fa8/edit?usp=sharing"",""ฉะเชิงเทรา!J600"")"),0)</f>
        <v>0</v>
      </c>
      <c r="BT55" s="262">
        <f ca="1">IFERROR(__xludf.DUMMYFUNCTION("IMPORTRANGE(""https://docs.google.com/spreadsheets/d/14xp6qUzrGFnUk_qnc1eEmfiaNRd4_grkhpfQH_46fa8/edit?usp=sharing"",""ฉะเชิงเทรา!J601"")"),22)</f>
        <v>22</v>
      </c>
      <c r="BU55" s="261">
        <f ca="1">IFERROR(__xludf.DUMMYFUNCTION("IMPORTRANGE(""https://docs.google.com/spreadsheets/d/14xp6qUzrGFnUk_qnc1eEmfiaNRd4_grkhpfQH_46fa8/edit?usp=sharing"",""ฉะเชิงเทรา!J602"")"),4)</f>
        <v>4</v>
      </c>
      <c r="BV55" s="186">
        <f ca="1">IFERROR(__xludf.DUMMYFUNCTION("IMPORTRANGE(""https://docs.google.com/spreadsheets/d/14xp6qUzrGFnUk_qnc1eEmfiaNRd4_grkhpfQH_46fa8/edit?usp=sharing"",""ฉะเชิงเทรา!J603"")"),63)</f>
        <v>63</v>
      </c>
      <c r="BW55" s="261">
        <f ca="1">IFERROR(__xludf.DUMMYFUNCTION("IMPORTRANGE(""https://docs.google.com/spreadsheets/d/14xp6qUzrGFnUk_qnc1eEmfiaNRd4_grkhpfQH_46fa8/edit?usp=sharing"",""ฉะเชิงเทรา!J604"")"),8)</f>
        <v>8</v>
      </c>
      <c r="BX55" s="186">
        <f ca="1">IFERROR(__xludf.DUMMYFUNCTION("IMPORTRANGE(""https://docs.google.com/spreadsheets/d/14xp6qUzrGFnUk_qnc1eEmfiaNRd4_grkhpfQH_46fa8/edit?usp=sharing"",""ฉะเชิงเทรา!J605"")"),63)</f>
        <v>63</v>
      </c>
      <c r="BY55" s="261">
        <f ca="1">IFERROR(__xludf.DUMMYFUNCTION("IMPORTRANGE(""https://docs.google.com/spreadsheets/d/14xp6qUzrGFnUk_qnc1eEmfiaNRd4_grkhpfQH_46fa8/edit?usp=sharing"",""ฉะเชิงเทรา!J606"")"),8)</f>
        <v>8</v>
      </c>
      <c r="BZ55" s="186">
        <f ca="1">IFERROR(__xludf.DUMMYFUNCTION("IMPORTRANGE(""https://docs.google.com/spreadsheets/d/14xp6qUzrGFnUk_qnc1eEmfiaNRd4_grkhpfQH_46fa8/edit?usp=sharing"",""ฉะเชิงเทรา!J607"")"),0)</f>
        <v>0</v>
      </c>
      <c r="CA55" s="261">
        <f ca="1">IFERROR(__xludf.DUMMYFUNCTION("IMPORTRANGE(""https://docs.google.com/spreadsheets/d/14xp6qUzrGFnUk_qnc1eEmfiaNRd4_grkhpfQH_46fa8/edit?usp=sharing"",""ฉะเชิงเทรา!J608"")"),0)</f>
        <v>0</v>
      </c>
      <c r="CB55" s="186">
        <f ca="1">IFERROR(__xludf.DUMMYFUNCTION("IMPORTRANGE(""https://docs.google.com/spreadsheets/d/14xp6qUzrGFnUk_qnc1eEmfiaNRd4_grkhpfQH_46fa8/edit?usp=sharing"",""ฉะเชิงเทรา!J609"")"),0)</f>
        <v>0</v>
      </c>
      <c r="CC55" s="261">
        <f ca="1">IFERROR(__xludf.DUMMYFUNCTION("IMPORTRANGE(""https://docs.google.com/spreadsheets/d/14xp6qUzrGFnUk_qnc1eEmfiaNRd4_grkhpfQH_46fa8/edit?usp=sharing"",""ฉะเชิงเทรา!J610"")"),0)</f>
        <v>0</v>
      </c>
      <c r="CD55" s="261">
        <f ca="1">IFERROR(__xludf.DUMMYFUNCTION("IMPORTRANGE(""https://docs.google.com/spreadsheets/d/14xp6qUzrGFnUk_qnc1eEmfiaNRd4_grkhpfQH_46fa8/edit?usp=sharing"",""ฉะเชิงเทรา!I612"")"),0)</f>
        <v>0</v>
      </c>
      <c r="CE55" s="261">
        <f ca="1">IFERROR(__xludf.DUMMYFUNCTION("IMPORTRANGE(""https://docs.google.com/spreadsheets/d/14xp6qUzrGFnUk_qnc1eEmfiaNRd4_grkhpfQH_46fa8/edit?usp=sharing"",""ฉะเชิงเทรา!I594"")"),165)</f>
        <v>165</v>
      </c>
      <c r="CF55" s="262">
        <f ca="1">IFERROR(__xludf.DUMMYFUNCTION("IMPORTRANGE(""https://docs.google.com/spreadsheets/d/14xp6qUzrGFnUk_qnc1eEmfiaNRd4_grkhpfQH_46fa8/edit?usp=sharing"",""ฉะเชิงเทรา!J612"")"),0)</f>
        <v>0</v>
      </c>
      <c r="CG55" s="262">
        <f t="shared" ca="1" si="37"/>
        <v>0</v>
      </c>
      <c r="CH55" s="261">
        <f ca="1">IFERROR(__xludf.DUMMYFUNCTION("IMPORTRANGE(""https://docs.google.com/spreadsheets/d/14xp6qUzrGFnUk_qnc1eEmfiaNRd4_grkhpfQH_46fa8/edit?usp=sharing"",""ฉะเชิงเทรา!J613"")"),0)</f>
        <v>0</v>
      </c>
      <c r="CI55" s="262">
        <f t="shared" ca="1" si="19"/>
        <v>0</v>
      </c>
      <c r="CJ55" s="186">
        <f ca="1">IFERROR(__xludf.DUMMYFUNCTION("IMPORTRANGE(""https://docs.google.com/spreadsheets/d/14xp6qUzrGFnUk_qnc1eEmfiaNRd4_grkhpfQH_46fa8/edit?usp=sharing"",""ฉะเชิงเทรา!J614"")"),0)</f>
        <v>0</v>
      </c>
      <c r="CK55" s="261">
        <f ca="1">IFERROR(__xludf.DUMMYFUNCTION("IMPORTRANGE(""https://docs.google.com/spreadsheets/d/14xp6qUzrGFnUk_qnc1eEmfiaNRd4_grkhpfQH_46fa8/edit?usp=sharing"",""ฉะเชิงเทรา!J615"")"),0)</f>
        <v>0</v>
      </c>
      <c r="CL55" s="186">
        <f ca="1">IFERROR(__xludf.DUMMYFUNCTION("IMPORTRANGE(""https://docs.google.com/spreadsheets/d/14xp6qUzrGFnUk_qnc1eEmfiaNRd4_grkhpfQH_46fa8/edit?usp=sharing"",""ฉะเชิงเทรา!J616"")"),0)</f>
        <v>0</v>
      </c>
      <c r="CM55" s="261">
        <f ca="1">IFERROR(__xludf.DUMMYFUNCTION("IMPORTRANGE(""https://docs.google.com/spreadsheets/d/14xp6qUzrGFnUk_qnc1eEmfiaNRd4_grkhpfQH_46fa8/edit?usp=sharing"",""ฉะเชิงเทรา!J617"")"),0)</f>
        <v>0</v>
      </c>
      <c r="CN55" s="261">
        <f ca="1">IFERROR(__xludf.DUMMYFUNCTION("IMPORTRANGE(""https://docs.google.com/spreadsheets/d/14xp6qUzrGFnUk_qnc1eEmfiaNRd4_grkhpfQH_46fa8/edit?usp=sharing"",""ฉะเชิงเทรา!I620"")"),0)</f>
        <v>0</v>
      </c>
      <c r="CO55" s="261">
        <f ca="1">IFERROR(__xludf.DUMMYFUNCTION("IMPORTRANGE(""https://docs.google.com/spreadsheets/d/14xp6qUzrGFnUk_qnc1eEmfiaNRd4_grkhpfQH_46fa8/edit?usp=sharing"",""ฉะเชิงเทรา!I621"")"),0)</f>
        <v>0</v>
      </c>
      <c r="CP55" s="262">
        <f ca="1">IFERROR(__xludf.DUMMYFUNCTION("IMPORTRANGE(""https://docs.google.com/spreadsheets/d/14xp6qUzrGFnUk_qnc1eEmfiaNRd4_grkhpfQH_46fa8/edit?usp=sharing"",""ฉะเชิงเทรา!J620"")"),0)</f>
        <v>0</v>
      </c>
      <c r="CQ55" s="262">
        <f t="shared" ca="1" si="38"/>
        <v>0</v>
      </c>
      <c r="CR55" s="261">
        <f ca="1">IFERROR(__xludf.DUMMYFUNCTION("IMPORTRANGE(""https://docs.google.com/spreadsheets/d/14xp6qUzrGFnUk_qnc1eEmfiaNRd4_grkhpfQH_46fa8/edit?usp=sharing"",""ฉะเชิงเทรา!J621"")"),0)</f>
        <v>0</v>
      </c>
      <c r="CS55" s="262">
        <f t="shared" ca="1" si="22"/>
        <v>0</v>
      </c>
      <c r="CT55" s="186">
        <f ca="1">IFERROR(__xludf.DUMMYFUNCTION("IMPORTRANGE(""https://docs.google.com/spreadsheets/d/14xp6qUzrGFnUk_qnc1eEmfiaNRd4_grkhpfQH_46fa8/edit?usp=sharing"",""ฉะเชิงเทรา!J622"")"),0)</f>
        <v>0</v>
      </c>
      <c r="CU55" s="261">
        <f ca="1">IFERROR(__xludf.DUMMYFUNCTION("IMPORTRANGE(""https://docs.google.com/spreadsheets/d/14xp6qUzrGFnUk_qnc1eEmfiaNRd4_grkhpfQH_46fa8/edit?usp=sharing"",""ฉะเชิงเทรา!J623"")"),0)</f>
        <v>0</v>
      </c>
      <c r="CV55" s="186">
        <f ca="1">IFERROR(__xludf.DUMMYFUNCTION("IMPORTRANGE(""https://docs.google.com/spreadsheets/d/14xp6qUzrGFnUk_qnc1eEmfiaNRd4_grkhpfQH_46fa8/edit?usp=sharing"",""ฉะเชิงเทรา!J624"")"),0)</f>
        <v>0</v>
      </c>
      <c r="CW55" s="261">
        <f ca="1">IFERROR(__xludf.DUMMYFUNCTION("IMPORTRANGE(""https://docs.google.com/spreadsheets/d/14xp6qUzrGFnUk_qnc1eEmfiaNRd4_grkhpfQH_46fa8/edit?usp=sharing"",""ฉะเชิงเทรา!J625"")"),0)</f>
        <v>0</v>
      </c>
      <c r="CX55" s="186">
        <f ca="1">IFERROR(__xludf.DUMMYFUNCTION("IMPORTRANGE(""https://docs.google.com/spreadsheets/d/14xp6qUzrGFnUk_qnc1eEmfiaNRd4_grkhpfQH_46fa8/edit?usp=sharing"",""ฉะเชิงเทรา!J626"")"),0)</f>
        <v>0</v>
      </c>
      <c r="CY55" s="261">
        <f ca="1">IFERROR(__xludf.DUMMYFUNCTION("IMPORTRANGE(""https://docs.google.com/spreadsheets/d/14xp6qUzrGFnUk_qnc1eEmfiaNRd4_grkhpfQH_46fa8/edit?usp=sharing"",""ฉะเชิงเทรา!J627"")"),0)</f>
        <v>0</v>
      </c>
    </row>
    <row r="56" spans="1:103" ht="21" customHeight="1" x14ac:dyDescent="0.3">
      <c r="A56" s="178">
        <v>4</v>
      </c>
      <c r="B56" s="179" t="s">
        <v>73</v>
      </c>
      <c r="C56" s="180">
        <f t="shared" ca="1" si="71"/>
        <v>289100</v>
      </c>
      <c r="D56" s="181">
        <f ca="1">IFERROR(__xludf.DUMMYFUNCTION("IMPORTRANGE(""https://docs.google.com/spreadsheets/d/1_Zwps30dlVa-pZFsorjVf1Pil6WXwzCsJU0U2whO3NI/edit?usp=sharing"",""ชลบุรี!L549"")"),289100)</f>
        <v>289100</v>
      </c>
      <c r="E56" s="187">
        <f ca="1">IFERROR(__xludf.DUMMYFUNCTION("IMPORTRANGE(""https://docs.google.com/spreadsheets/d/1_Zwps30dlVa-pZFsorjVf1Pil6WXwzCsJU0U2whO3NI/edit?usp=sharing"",""ชลบุรี!L557"")"),0)</f>
        <v>0</v>
      </c>
      <c r="F56" s="182">
        <f t="shared" ca="1" si="1"/>
        <v>118072</v>
      </c>
      <c r="G56" s="183">
        <f t="shared" ca="1" si="2"/>
        <v>40.841231407817361</v>
      </c>
      <c r="H56" s="184">
        <f t="shared" ca="1" si="72"/>
        <v>118072</v>
      </c>
      <c r="I56" s="187">
        <f ca="1">IFERROR(__xludf.DUMMYFUNCTION("IMPORTRANGE(""https://docs.google.com/spreadsheets/d/1_Zwps30dlVa-pZFsorjVf1Pil6WXwzCsJU0U2whO3NI/edit?usp=sharing"",""ชลบุรี!N550"")"),0)</f>
        <v>0</v>
      </c>
      <c r="J56" s="187">
        <f ca="1">IFERROR(__xludf.DUMMYFUNCTION("IMPORTRANGE(""https://docs.google.com/spreadsheets/d/1_Zwps30dlVa-pZFsorjVf1Pil6WXwzCsJU0U2whO3NI/edit?usp=sharing"",""ชลบุรี!N551"")"),0)</f>
        <v>0</v>
      </c>
      <c r="K56" s="187">
        <f ca="1">IFERROR(__xludf.DUMMYFUNCTION("IMPORTRANGE(""https://docs.google.com/spreadsheets/d/1_Zwps30dlVa-pZFsorjVf1Pil6WXwzCsJU0U2whO3NI/edit?usp=sharing"",""ชลบุรี!N552"")"),49402)</f>
        <v>49402</v>
      </c>
      <c r="L56" s="187">
        <f ca="1">IFERROR(__xludf.DUMMYFUNCTION("IMPORTRANGE(""https://docs.google.com/spreadsheets/d/1_Zwps30dlVa-pZFsorjVf1Pil6WXwzCsJU0U2whO3NI/edit?usp=sharing"",""ชลบุรี!N553"")"),68670)</f>
        <v>68670</v>
      </c>
      <c r="M56" s="187">
        <f ca="1">IFERROR(__xludf.DUMMYFUNCTION("IMPORTRANGE(""https://docs.google.com/spreadsheets/d/1_Zwps30dlVa-pZFsorjVf1Pil6WXwzCsJU0U2whO3NI/edit?usp=sharing"",""ชลบุรี!N554"")"),0)</f>
        <v>0</v>
      </c>
      <c r="N56" s="185">
        <f ca="1">IFERROR(__xludf.DUMMYFUNCTION("IMPORTRANGE(""https://docs.google.com/spreadsheets/d/1_Zwps30dlVa-pZFsorjVf1Pil6WXwzCsJU0U2whO3NI/edit?usp=sharing"",""ชลบุรี!N557"")"),0)</f>
        <v>0</v>
      </c>
      <c r="O56" s="185">
        <f t="shared" ca="1" si="41"/>
        <v>0</v>
      </c>
      <c r="P56" s="181">
        <f ca="1">IFERROR(__xludf.DUMMYFUNCTION("IMPORTRANGE(""https://docs.google.com/spreadsheets/d/1_Zwps30dlVa-pZFsorjVf1Pil6WXwzCsJU0U2whO3NI/edit?usp=sharing"",""ชลบุรี!I560"")"),0)</f>
        <v>0</v>
      </c>
      <c r="Q56" s="181">
        <f ca="1">IFERROR(__xludf.DUMMYFUNCTION("IMPORTRANGE(""https://docs.google.com/spreadsheets/d/1_Zwps30dlVa-pZFsorjVf1Pil6WXwzCsJU0U2whO3NI/edit?usp=sharing"",""ชลบุรี!I561"")"),0)</f>
        <v>0</v>
      </c>
      <c r="R56" s="186">
        <f ca="1">IFERROR(__xludf.DUMMYFUNCTION("IMPORTRANGE(""https://docs.google.com/spreadsheets/d/1_Zwps30dlVa-pZFsorjVf1Pil6WXwzCsJU0U2whO3NI/edit?usp=sharing"",""ชลบุรี!J560"")"),0)</f>
        <v>0</v>
      </c>
      <c r="S56" s="186">
        <f t="shared" ca="1" si="33"/>
        <v>0</v>
      </c>
      <c r="T56" s="181">
        <f ca="1">IFERROR(__xludf.DUMMYFUNCTION("IMPORTRANGE(""https://docs.google.com/spreadsheets/d/1_Zwps30dlVa-pZFsorjVf1Pil6WXwzCsJU0U2whO3NI/edit?usp=sharing"",""ชลบุรี!J561"")"),0)</f>
        <v>0</v>
      </c>
      <c r="U56" s="186">
        <f t="shared" ca="1" si="7"/>
        <v>0</v>
      </c>
      <c r="V56" s="186">
        <f ca="1">IFERROR(__xludf.DUMMYFUNCTION("IMPORTRANGE(""https://docs.google.com/spreadsheets/d/1_Zwps30dlVa-pZFsorjVf1Pil6WXwzCsJU0U2whO3NI/edit?usp=sharing"",""ชลบุรี!J562"")"),0)</f>
        <v>0</v>
      </c>
      <c r="W56" s="261">
        <f ca="1">IFERROR(__xludf.DUMMYFUNCTION("IMPORTRANGE(""https://docs.google.com/spreadsheets/d/1_Zwps30dlVa-pZFsorjVf1Pil6WXwzCsJU0U2whO3NI/edit?usp=sharing"",""ชลบุรี!J563"")"),0)</f>
        <v>0</v>
      </c>
      <c r="X56" s="186">
        <f ca="1">IFERROR(__xludf.DUMMYFUNCTION("IMPORTRANGE(""https://docs.google.com/spreadsheets/d/1_Zwps30dlVa-pZFsorjVf1Pil6WXwzCsJU0U2whO3NI/edit?usp=sharing"",""ชลบุรี!J564"")"),0)</f>
        <v>0</v>
      </c>
      <c r="Y56" s="261">
        <f ca="1">IFERROR(__xludf.DUMMYFUNCTION("IMPORTRANGE(""https://docs.google.com/spreadsheets/d/1_Zwps30dlVa-pZFsorjVf1Pil6WXwzCsJU0U2whO3NI/edit?usp=sharing"",""ชลบุรี!J565"")"),0)</f>
        <v>0</v>
      </c>
      <c r="Z56" s="186">
        <f ca="1">IFERROR(__xludf.DUMMYFUNCTION("IMPORTRANGE(""https://docs.google.com/spreadsheets/d/1_Zwps30dlVa-pZFsorjVf1Pil6WXwzCsJU0U2whO3NI/edit?usp=sharing"",""ชลบุรี!J566"")"),0)</f>
        <v>0</v>
      </c>
      <c r="AA56" s="261">
        <f ca="1">IFERROR(__xludf.DUMMYFUNCTION("IMPORTRANGE(""https://docs.google.com/spreadsheets/d/1_Zwps30dlVa-pZFsorjVf1Pil6WXwzCsJU0U2whO3NI/edit?usp=sharing"",""ชลบุรี!J567"")"),0)</f>
        <v>0</v>
      </c>
      <c r="AB56" s="181">
        <f ca="1">IFERROR(__xludf.DUMMYFUNCTION("IMPORTRANGE(""https://docs.google.com/spreadsheets/d/1_Zwps30dlVa-pZFsorjVf1Pil6WXwzCsJU0U2whO3NI/edit?usp=sharing"",""ชลบุรี!I568"")"),0)</f>
        <v>0</v>
      </c>
      <c r="AC56" s="181">
        <f ca="1">IFERROR(__xludf.DUMMYFUNCTION("IMPORTRANGE(""https://docs.google.com/spreadsheets/d/1_Zwps30dlVa-pZFsorjVf1Pil6WXwzCsJU0U2whO3NI/edit?usp=sharing"",""ชลบุรี!I569"")"),0)</f>
        <v>0</v>
      </c>
      <c r="AD56" s="186">
        <f ca="1">IFERROR(__xludf.DUMMYFUNCTION("IMPORTRANGE(""https://docs.google.com/spreadsheets/d/1_Zwps30dlVa-pZFsorjVf1Pil6WXwzCsJU0U2whO3NI/edit?usp=sharing"",""ชลบุรี!J568"")"),0)</f>
        <v>0</v>
      </c>
      <c r="AE56" s="186">
        <f t="shared" ca="1" si="34"/>
        <v>0</v>
      </c>
      <c r="AF56" s="181">
        <f ca="1">IFERROR(__xludf.DUMMYFUNCTION("IMPORTRANGE(""https://docs.google.com/spreadsheets/d/1_Zwps30dlVa-pZFsorjVf1Pil6WXwzCsJU0U2whO3NI/edit?usp=sharing"",""ชลบุรี!J569"")"),0)</f>
        <v>0</v>
      </c>
      <c r="AG56" s="186">
        <f t="shared" ca="1" si="10"/>
        <v>0</v>
      </c>
      <c r="AH56" s="186">
        <f ca="1">IFERROR(__xludf.DUMMYFUNCTION("IMPORTRANGE(""https://docs.google.com/spreadsheets/d/1_Zwps30dlVa-pZFsorjVf1Pil6WXwzCsJU0U2whO3NI/edit?usp=sharing"",""ชลบุรี!J570"")"),0)</f>
        <v>0</v>
      </c>
      <c r="AI56" s="261">
        <f ca="1">IFERROR(__xludf.DUMMYFUNCTION("IMPORTRANGE(""https://docs.google.com/spreadsheets/d/1_Zwps30dlVa-pZFsorjVf1Pil6WXwzCsJU0U2whO3NI/edit?usp=sharing"",""ชลบุรี!J571"")"),0)</f>
        <v>0</v>
      </c>
      <c r="AJ56" s="186">
        <f ca="1">IFERROR(__xludf.DUMMYFUNCTION("IMPORTRANGE(""https://docs.google.com/spreadsheets/d/1_Zwps30dlVa-pZFsorjVf1Pil6WXwzCsJU0U2whO3NI/edit?usp=sharing"",""ชลบุรี!J572"")"),0)</f>
        <v>0</v>
      </c>
      <c r="AK56" s="261">
        <f ca="1">IFERROR(__xludf.DUMMYFUNCTION("IMPORTRANGE(""https://docs.google.com/spreadsheets/d/1_Zwps30dlVa-pZFsorjVf1Pil6WXwzCsJU0U2whO3NI/edit?usp=sharing"",""ชลบุรี!J573"")"),0)</f>
        <v>0</v>
      </c>
      <c r="AL56" s="186">
        <f ca="1">IFERROR(__xludf.DUMMYFUNCTION("IMPORTRANGE(""https://docs.google.com/spreadsheets/d/1_Zwps30dlVa-pZFsorjVf1Pil6WXwzCsJU0U2whO3NI/edit?usp=sharing"",""ชลบุรี!J574"")"),0)</f>
        <v>0</v>
      </c>
      <c r="AM56" s="261">
        <f ca="1">IFERROR(__xludf.DUMMYFUNCTION("IMPORTRANGE(""https://docs.google.com/spreadsheets/d/1_Zwps30dlVa-pZFsorjVf1Pil6WXwzCsJU0U2whO3NI/edit?usp=sharing"",""ชลบุรี!J575"")"),0)</f>
        <v>0</v>
      </c>
      <c r="AN56" s="181">
        <f ca="1">IFERROR(__xludf.DUMMYFUNCTION("IMPORTRANGE(""https://docs.google.com/spreadsheets/d/1_Zwps30dlVa-pZFsorjVf1Pil6WXwzCsJU0U2whO3NI/edit?usp=sharing"",""ชลบุรี!I576"")"),0)</f>
        <v>0</v>
      </c>
      <c r="AO56" s="181">
        <f ca="1">IFERROR(__xludf.DUMMYFUNCTION("IMPORTRANGE(""https://docs.google.com/spreadsheets/d/1_Zwps30dlVa-pZFsorjVf1Pil6WXwzCsJU0U2whO3NI/edit?usp=sharing"",""ชลบุรี!I577"")"),0)</f>
        <v>0</v>
      </c>
      <c r="AP56" s="186">
        <f ca="1">IFERROR(__xludf.DUMMYFUNCTION("IMPORTRANGE(""https://docs.google.com/spreadsheets/d/1_Zwps30dlVa-pZFsorjVf1Pil6WXwzCsJU0U2whO3NI/edit?usp=sharing"",""ชลบุรี!J576"")"),0)</f>
        <v>0</v>
      </c>
      <c r="AQ56" s="186">
        <f t="shared" ca="1" si="35"/>
        <v>0</v>
      </c>
      <c r="AR56" s="181">
        <f ca="1">IFERROR(__xludf.DUMMYFUNCTION("IMPORTRANGE(""https://docs.google.com/spreadsheets/d/1_Zwps30dlVa-pZFsorjVf1Pil6WXwzCsJU0U2whO3NI/edit?usp=sharing"",""ชลบุรี!J577"")"),0)</f>
        <v>0</v>
      </c>
      <c r="AS56" s="186">
        <f t="shared" ca="1" si="13"/>
        <v>0</v>
      </c>
      <c r="AT56" s="186">
        <f ca="1">IFERROR(__xludf.DUMMYFUNCTION("IMPORTRANGE(""https://docs.google.com/spreadsheets/d/1_Zwps30dlVa-pZFsorjVf1Pil6WXwzCsJU0U2whO3NI/edit?usp=sharing"",""ชลบุรี!J578"")"),0)</f>
        <v>0</v>
      </c>
      <c r="AU56" s="261">
        <f ca="1">IFERROR(__xludf.DUMMYFUNCTION("IMPORTRANGE(""https://docs.google.com/spreadsheets/d/1_Zwps30dlVa-pZFsorjVf1Pil6WXwzCsJU0U2whO3NI/edit?usp=sharing"",""ชลบุรี!J579"")"),0)</f>
        <v>0</v>
      </c>
      <c r="AV56" s="186">
        <f ca="1">IFERROR(__xludf.DUMMYFUNCTION("IMPORTRANGE(""https://docs.google.com/spreadsheets/d/1_Zwps30dlVa-pZFsorjVf1Pil6WXwzCsJU0U2whO3NI/edit?usp=sharing"",""ชลบุรี!J580"")"),0)</f>
        <v>0</v>
      </c>
      <c r="AW56" s="261">
        <f ca="1">IFERROR(__xludf.DUMMYFUNCTION("IMPORTRANGE(""https://docs.google.com/spreadsheets/d/1_Zwps30dlVa-pZFsorjVf1Pil6WXwzCsJU0U2whO3NI/edit?usp=sharing"",""ชลบุรี!J581"")"),0)</f>
        <v>0</v>
      </c>
      <c r="AX56" s="186">
        <f ca="1">IFERROR(__xludf.DUMMYFUNCTION("IMPORTRANGE(""https://docs.google.com/spreadsheets/d/1_Zwps30dlVa-pZFsorjVf1Pil6WXwzCsJU0U2whO3NI/edit?usp=sharing"",""ชลบุรี!J582"")"),0)</f>
        <v>0</v>
      </c>
      <c r="AY56" s="261">
        <f ca="1">IFERROR(__xludf.DUMMYFUNCTION("IMPORTRANGE(""https://docs.google.com/spreadsheets/d/1_Zwps30dlVa-pZFsorjVf1Pil6WXwzCsJU0U2whO3NI/edit?usp=sharing"",""ชลบุรี!J583"")"),0)</f>
        <v>0</v>
      </c>
      <c r="AZ56" s="262">
        <f ca="1">IFERROR(__xludf.DUMMYFUNCTION("IMPORTRANGE(""https://docs.google.com/spreadsheets/d/1_Zwps30dlVa-pZFsorjVf1Pil6WXwzCsJU0U2whO3NI/edit?usp=sharing"",""ชลบุรี!J584"")"),0)</f>
        <v>0</v>
      </c>
      <c r="BA56" s="261">
        <f ca="1">IFERROR(__xludf.DUMMYFUNCTION("IMPORTRANGE(""https://docs.google.com/spreadsheets/d/1_Zwps30dlVa-pZFsorjVf1Pil6WXwzCsJU0U2whO3NI/edit?usp=sharing"",""ชลบุรี!J585"")"),0)</f>
        <v>0</v>
      </c>
      <c r="BB56" s="262">
        <f ca="1">IFERROR(__xludf.DUMMYFUNCTION("IMPORTRANGE(""https://docs.google.com/spreadsheets/d/1_Zwps30dlVa-pZFsorjVf1Pil6WXwzCsJU0U2whO3NI/edit?usp=sharing"",""ชลบุรี!J586"")"),0)</f>
        <v>0</v>
      </c>
      <c r="BC56" s="261">
        <f ca="1">IFERROR(__xludf.DUMMYFUNCTION("IMPORTRANGE(""https://docs.google.com/spreadsheets/d/1_Zwps30dlVa-pZFsorjVf1Pil6WXwzCsJU0U2whO3NI/edit?usp=sharing"",""ชลบุรี!J587"")"),0)</f>
        <v>0</v>
      </c>
      <c r="BD56" s="186">
        <f ca="1">IFERROR(__xludf.DUMMYFUNCTION("IMPORTRANGE(""https://docs.google.com/spreadsheets/d/1_Zwps30dlVa-pZFsorjVf1Pil6WXwzCsJU0U2whO3NI/edit?usp=sharing"",""ชลบุรี!J588"")"),0)</f>
        <v>0</v>
      </c>
      <c r="BE56" s="261">
        <f ca="1">IFERROR(__xludf.DUMMYFUNCTION("IMPORTRANGE(""https://docs.google.com/spreadsheets/d/1_Zwps30dlVa-pZFsorjVf1Pil6WXwzCsJU0U2whO3NI/edit?usp=sharing"",""ชลบุรี!J589"")"),0)</f>
        <v>0</v>
      </c>
      <c r="BF56" s="186">
        <f ca="1">IFERROR(__xludf.DUMMYFUNCTION("IMPORTRANGE(""https://docs.google.com/spreadsheets/d/1_Zwps30dlVa-pZFsorjVf1Pil6WXwzCsJU0U2whO3NI/edit?usp=sharing"",""ชลบุรี!J590"")"),0)</f>
        <v>0</v>
      </c>
      <c r="BG56" s="261">
        <f ca="1">IFERROR(__xludf.DUMMYFUNCTION("IMPORTRANGE(""https://docs.google.com/spreadsheets/d/1_Zwps30dlVa-pZFsorjVf1Pil6WXwzCsJU0U2whO3NI/edit?usp=sharing"",""ชลบุรี!J591"")"),0)</f>
        <v>0</v>
      </c>
      <c r="BH56" s="181">
        <f ca="1">IFERROR(__xludf.DUMMYFUNCTION("IMPORTRANGE(""https://docs.google.com/spreadsheets/d/1_Zwps30dlVa-pZFsorjVf1Pil6WXwzCsJU0U2whO3NI/edit?usp=sharing"",""ชลบุรี!I593"")"),4079.62)</f>
        <v>4079.62</v>
      </c>
      <c r="BI56" s="181">
        <f ca="1">IFERROR(__xludf.DUMMYFUNCTION("IMPORTRANGE(""https://docs.google.com/spreadsheets/d/1_Zwps30dlVa-pZFsorjVf1Pil6WXwzCsJU0U2whO3NI/edit?usp=sharing"",""ชลบุรี!I594"")"),257)</f>
        <v>257</v>
      </c>
      <c r="BJ56" s="186">
        <f ca="1">IFERROR(__xludf.DUMMYFUNCTION("IMPORTRANGE(""https://docs.google.com/spreadsheets/d/1_Zwps30dlVa-pZFsorjVf1Pil6WXwzCsJU0U2whO3NI/edit?usp=sharing"",""ชลบุรี!J593"")"),253)</f>
        <v>253</v>
      </c>
      <c r="BK56" s="186">
        <f t="shared" ca="1" si="36"/>
        <v>6.2015579882440033</v>
      </c>
      <c r="BL56" s="181">
        <f ca="1">IFERROR(__xludf.DUMMYFUNCTION("IMPORTRANGE(""https://docs.google.com/spreadsheets/d/1_Zwps30dlVa-pZFsorjVf1Pil6WXwzCsJU0U2whO3NI/edit?usp=sharing"",""ชลบุรี!J594"")"),20)</f>
        <v>20</v>
      </c>
      <c r="BM56" s="186">
        <f t="shared" ca="1" si="16"/>
        <v>7.782101167315175</v>
      </c>
      <c r="BN56" s="186">
        <f ca="1">IFERROR(__xludf.DUMMYFUNCTION("IMPORTRANGE(""https://docs.google.com/spreadsheets/d/1_Zwps30dlVa-pZFsorjVf1Pil6WXwzCsJU0U2whO3NI/edit?usp=sharing"",""ชลบุรี!J595"")"),253)</f>
        <v>253</v>
      </c>
      <c r="BO56" s="261">
        <f ca="1">IFERROR(__xludf.DUMMYFUNCTION("IMPORTRANGE(""https://docs.google.com/spreadsheets/d/1_Zwps30dlVa-pZFsorjVf1Pil6WXwzCsJU0U2whO3NI/edit?usp=sharing"",""ชลบุรี!J596"")"),20)</f>
        <v>20</v>
      </c>
      <c r="BP56" s="186">
        <f ca="1">IFERROR(__xludf.DUMMYFUNCTION("IMPORTRANGE(""https://docs.google.com/spreadsheets/d/1_Zwps30dlVa-pZFsorjVf1Pil6WXwzCsJU0U2whO3NI/edit?usp=sharing"",""ชลบุรี!J597"")"),253)</f>
        <v>253</v>
      </c>
      <c r="BQ56" s="261">
        <f ca="1">IFERROR(__xludf.DUMMYFUNCTION("IMPORTRANGE(""https://docs.google.com/spreadsheets/d/1_Zwps30dlVa-pZFsorjVf1Pil6WXwzCsJU0U2whO3NI/edit?usp=sharing"",""ชลบุรี!J598"")"),20)</f>
        <v>20</v>
      </c>
      <c r="BR56" s="186">
        <f ca="1">IFERROR(__xludf.DUMMYFUNCTION("IMPORTRANGE(""https://docs.google.com/spreadsheets/d/1_Zwps30dlVa-pZFsorjVf1Pil6WXwzCsJU0U2whO3NI/edit?usp=sharing"",""ชลบุรี!J599"")"),0)</f>
        <v>0</v>
      </c>
      <c r="BS56" s="261">
        <f ca="1">IFERROR(__xludf.DUMMYFUNCTION("IMPORTRANGE(""https://docs.google.com/spreadsheets/d/1_Zwps30dlVa-pZFsorjVf1Pil6WXwzCsJU0U2whO3NI/edit?usp=sharing"",""ชลบุรี!J600"")"),0)</f>
        <v>0</v>
      </c>
      <c r="BT56" s="262">
        <f ca="1">IFERROR(__xludf.DUMMYFUNCTION("IMPORTRANGE(""https://docs.google.com/spreadsheets/d/1_Zwps30dlVa-pZFsorjVf1Pil6WXwzCsJU0U2whO3NI/edit?usp=sharing"",""ชลบุรี!J601"")"),0)</f>
        <v>0</v>
      </c>
      <c r="BU56" s="261">
        <f ca="1">IFERROR(__xludf.DUMMYFUNCTION("IMPORTRANGE(""https://docs.google.com/spreadsheets/d/1_Zwps30dlVa-pZFsorjVf1Pil6WXwzCsJU0U2whO3NI/edit?usp=sharing"",""ชลบุรี!J602"")"),0)</f>
        <v>0</v>
      </c>
      <c r="BV56" s="186">
        <f ca="1">IFERROR(__xludf.DUMMYFUNCTION("IMPORTRANGE(""https://docs.google.com/spreadsheets/d/1_Zwps30dlVa-pZFsorjVf1Pil6WXwzCsJU0U2whO3NI/edit?usp=sharing"",""ชลบุรี!J603"")"),0)</f>
        <v>0</v>
      </c>
      <c r="BW56" s="261">
        <f ca="1">IFERROR(__xludf.DUMMYFUNCTION("IMPORTRANGE(""https://docs.google.com/spreadsheets/d/1_Zwps30dlVa-pZFsorjVf1Pil6WXwzCsJU0U2whO3NI/edit?usp=sharing"",""ชลบุรี!J604"")"),0)</f>
        <v>0</v>
      </c>
      <c r="BX56" s="186">
        <f ca="1">IFERROR(__xludf.DUMMYFUNCTION("IMPORTRANGE(""https://docs.google.com/spreadsheets/d/1_Zwps30dlVa-pZFsorjVf1Pil6WXwzCsJU0U2whO3NI/edit?usp=sharing"",""ชลบุรี!J605"")"),0)</f>
        <v>0</v>
      </c>
      <c r="BY56" s="261">
        <f ca="1">IFERROR(__xludf.DUMMYFUNCTION("IMPORTRANGE(""https://docs.google.com/spreadsheets/d/1_Zwps30dlVa-pZFsorjVf1Pil6WXwzCsJU0U2whO3NI/edit?usp=sharing"",""ชลบุรี!J606"")"),0)</f>
        <v>0</v>
      </c>
      <c r="BZ56" s="186">
        <f ca="1">IFERROR(__xludf.DUMMYFUNCTION("IMPORTRANGE(""https://docs.google.com/spreadsheets/d/1_Zwps30dlVa-pZFsorjVf1Pil6WXwzCsJU0U2whO3NI/edit?usp=sharing"",""ชลบุรี!J607"")"),0)</f>
        <v>0</v>
      </c>
      <c r="CA56" s="261">
        <f ca="1">IFERROR(__xludf.DUMMYFUNCTION("IMPORTRANGE(""https://docs.google.com/spreadsheets/d/1_Zwps30dlVa-pZFsorjVf1Pil6WXwzCsJU0U2whO3NI/edit?usp=sharing"",""ชลบุรี!J608"")"),0)</f>
        <v>0</v>
      </c>
      <c r="CB56" s="186">
        <f ca="1">IFERROR(__xludf.DUMMYFUNCTION("IMPORTRANGE(""https://docs.google.com/spreadsheets/d/1_Zwps30dlVa-pZFsorjVf1Pil6WXwzCsJU0U2whO3NI/edit?usp=sharing"",""ชลบุรี!J609"")"),0)</f>
        <v>0</v>
      </c>
      <c r="CC56" s="261">
        <f ca="1">IFERROR(__xludf.DUMMYFUNCTION("IMPORTRANGE(""https://docs.google.com/spreadsheets/d/1_Zwps30dlVa-pZFsorjVf1Pil6WXwzCsJU0U2whO3NI/edit?usp=sharing"",""ชลบุรี!J610"")"),0)</f>
        <v>0</v>
      </c>
      <c r="CD56" s="261">
        <f ca="1">IFERROR(__xludf.DUMMYFUNCTION("IMPORTRANGE(""https://docs.google.com/spreadsheets/d/1_Zwps30dlVa-pZFsorjVf1Pil6WXwzCsJU0U2whO3NI/edit?usp=sharing"",""ชลบุรี!I612"")"),0)</f>
        <v>0</v>
      </c>
      <c r="CE56" s="261">
        <f ca="1">IFERROR(__xludf.DUMMYFUNCTION("IMPORTRANGE(""https://docs.google.com/spreadsheets/d/1_Zwps30dlVa-pZFsorjVf1Pil6WXwzCsJU0U2whO3NI/edit?usp=sharing"",""ชลบุรี!I594"")"),257)</f>
        <v>257</v>
      </c>
      <c r="CF56" s="262">
        <f ca="1">IFERROR(__xludf.DUMMYFUNCTION("IMPORTRANGE(""https://docs.google.com/spreadsheets/d/1_Zwps30dlVa-pZFsorjVf1Pil6WXwzCsJU0U2whO3NI/edit?usp=sharing"",""ชลบุรี!J612"")"),0)</f>
        <v>0</v>
      </c>
      <c r="CG56" s="262">
        <f t="shared" ca="1" si="37"/>
        <v>0</v>
      </c>
      <c r="CH56" s="261">
        <f ca="1">IFERROR(__xludf.DUMMYFUNCTION("IMPORTRANGE(""https://docs.google.com/spreadsheets/d/1_Zwps30dlVa-pZFsorjVf1Pil6WXwzCsJU0U2whO3NI/edit?usp=sharing"",""ชลบุรี!J613"")"),0)</f>
        <v>0</v>
      </c>
      <c r="CI56" s="262">
        <f t="shared" ca="1" si="19"/>
        <v>0</v>
      </c>
      <c r="CJ56" s="186">
        <f ca="1">IFERROR(__xludf.DUMMYFUNCTION("IMPORTRANGE(""https://docs.google.com/spreadsheets/d/1_Zwps30dlVa-pZFsorjVf1Pil6WXwzCsJU0U2whO3NI/edit?usp=sharing"",""ชลบุรี!J614"")"),0)</f>
        <v>0</v>
      </c>
      <c r="CK56" s="261">
        <f ca="1">IFERROR(__xludf.DUMMYFUNCTION("IMPORTRANGE(""https://docs.google.com/spreadsheets/d/1_Zwps30dlVa-pZFsorjVf1Pil6WXwzCsJU0U2whO3NI/edit?usp=sharing"",""ชลบุรี!J615"")"),0)</f>
        <v>0</v>
      </c>
      <c r="CL56" s="186">
        <f ca="1">IFERROR(__xludf.DUMMYFUNCTION("IMPORTRANGE(""https://docs.google.com/spreadsheets/d/1_Zwps30dlVa-pZFsorjVf1Pil6WXwzCsJU0U2whO3NI/edit?usp=sharing"",""ชลบุรี!J616"")"),0)</f>
        <v>0</v>
      </c>
      <c r="CM56" s="261">
        <f ca="1">IFERROR(__xludf.DUMMYFUNCTION("IMPORTRANGE(""https://docs.google.com/spreadsheets/d/1_Zwps30dlVa-pZFsorjVf1Pil6WXwzCsJU0U2whO3NI/edit?usp=sharing"",""ชลบุรี!J617"")"),0)</f>
        <v>0</v>
      </c>
      <c r="CN56" s="261">
        <f ca="1">IFERROR(__xludf.DUMMYFUNCTION("IMPORTRANGE(""https://docs.google.com/spreadsheets/d/1_Zwps30dlVa-pZFsorjVf1Pil6WXwzCsJU0U2whO3NI/edit?usp=sharing"",""ชลบุรี!I620"")"),0)</f>
        <v>0</v>
      </c>
      <c r="CO56" s="261">
        <f ca="1">IFERROR(__xludf.DUMMYFUNCTION("IMPORTRANGE(""https://docs.google.com/spreadsheets/d/1_Zwps30dlVa-pZFsorjVf1Pil6WXwzCsJU0U2whO3NI/edit?usp=sharing"",""ชลบุรี!I621"")"),0)</f>
        <v>0</v>
      </c>
      <c r="CP56" s="262">
        <f ca="1">IFERROR(__xludf.DUMMYFUNCTION("IMPORTRANGE(""https://docs.google.com/spreadsheets/d/1_Zwps30dlVa-pZFsorjVf1Pil6WXwzCsJU0U2whO3NI/edit?usp=sharing"",""ชลบุรี!J620"")"),0)</f>
        <v>0</v>
      </c>
      <c r="CQ56" s="262">
        <f t="shared" ca="1" si="38"/>
        <v>0</v>
      </c>
      <c r="CR56" s="261">
        <f ca="1">IFERROR(__xludf.DUMMYFUNCTION("IMPORTRANGE(""https://docs.google.com/spreadsheets/d/1_Zwps30dlVa-pZFsorjVf1Pil6WXwzCsJU0U2whO3NI/edit?usp=sharing"",""ชลบุรี!J621"")"),0)</f>
        <v>0</v>
      </c>
      <c r="CS56" s="262">
        <f t="shared" ca="1" si="22"/>
        <v>0</v>
      </c>
      <c r="CT56" s="186">
        <f ca="1">IFERROR(__xludf.DUMMYFUNCTION("IMPORTRANGE(""https://docs.google.com/spreadsheets/d/1_Zwps30dlVa-pZFsorjVf1Pil6WXwzCsJU0U2whO3NI/edit?usp=sharing"",""ชลบุรี!J622"")"),0)</f>
        <v>0</v>
      </c>
      <c r="CU56" s="261">
        <f ca="1">IFERROR(__xludf.DUMMYFUNCTION("IMPORTRANGE(""https://docs.google.com/spreadsheets/d/1_Zwps30dlVa-pZFsorjVf1Pil6WXwzCsJU0U2whO3NI/edit?usp=sharing"",""ชลบุรี!J623"")"),0)</f>
        <v>0</v>
      </c>
      <c r="CV56" s="186">
        <f ca="1">IFERROR(__xludf.DUMMYFUNCTION("IMPORTRANGE(""https://docs.google.com/spreadsheets/d/1_Zwps30dlVa-pZFsorjVf1Pil6WXwzCsJU0U2whO3NI/edit?usp=sharing"",""ชลบุรี!J624"")"),0)</f>
        <v>0</v>
      </c>
      <c r="CW56" s="261">
        <f ca="1">IFERROR(__xludf.DUMMYFUNCTION("IMPORTRANGE(""https://docs.google.com/spreadsheets/d/1_Zwps30dlVa-pZFsorjVf1Pil6WXwzCsJU0U2whO3NI/edit?usp=sharing"",""ชลบุรี!J625"")"),0)</f>
        <v>0</v>
      </c>
      <c r="CX56" s="186">
        <f ca="1">IFERROR(__xludf.DUMMYFUNCTION("IMPORTRANGE(""https://docs.google.com/spreadsheets/d/1_Zwps30dlVa-pZFsorjVf1Pil6WXwzCsJU0U2whO3NI/edit?usp=sharing"",""ชลบุรี!J626"")"),0)</f>
        <v>0</v>
      </c>
      <c r="CY56" s="261">
        <f ca="1">IFERROR(__xludf.DUMMYFUNCTION("IMPORTRANGE(""https://docs.google.com/spreadsheets/d/1_Zwps30dlVa-pZFsorjVf1Pil6WXwzCsJU0U2whO3NI/edit?usp=sharing"",""ชลบุรี!J627"")"),0)</f>
        <v>0</v>
      </c>
    </row>
    <row r="57" spans="1:103" ht="21" customHeight="1" x14ac:dyDescent="0.3">
      <c r="A57" s="178">
        <v>5</v>
      </c>
      <c r="B57" s="179" t="s">
        <v>74</v>
      </c>
      <c r="C57" s="180">
        <f t="shared" ca="1" si="71"/>
        <v>217100</v>
      </c>
      <c r="D57" s="181">
        <f ca="1">IFERROR(__xludf.DUMMYFUNCTION("IMPORTRANGE(""https://docs.google.com/spreadsheets/d/1xAsT4sUbBlom7l0acStESh_15nvjZcXjZM7fK5uZSq8/edit?usp=sharing"",""ชัยนาท!L549"")"),217100)</f>
        <v>217100</v>
      </c>
      <c r="E57" s="187">
        <f ca="1">IFERROR(__xludf.DUMMYFUNCTION("IMPORTRANGE(""https://docs.google.com/spreadsheets/d/1xAsT4sUbBlom7l0acStESh_15nvjZcXjZM7fK5uZSq8/edit?usp=sharing"",""ชัยนาท!L557"")"),0)</f>
        <v>0</v>
      </c>
      <c r="F57" s="182">
        <f t="shared" ca="1" si="1"/>
        <v>74725</v>
      </c>
      <c r="G57" s="183">
        <f t="shared" ca="1" si="2"/>
        <v>34.419622293873793</v>
      </c>
      <c r="H57" s="184">
        <f t="shared" ca="1" si="72"/>
        <v>74725</v>
      </c>
      <c r="I57" s="187">
        <f ca="1">IFERROR(__xludf.DUMMYFUNCTION("IMPORTRANGE(""https://docs.google.com/spreadsheets/d/1xAsT4sUbBlom7l0acStESh_15nvjZcXjZM7fK5uZSq8/edit?usp=sharing"",""ชัยนาท!N550"")"),0)</f>
        <v>0</v>
      </c>
      <c r="J57" s="187">
        <f ca="1">IFERROR(__xludf.DUMMYFUNCTION("IMPORTRANGE(""https://docs.google.com/spreadsheets/d/1xAsT4sUbBlom7l0acStESh_15nvjZcXjZM7fK5uZSq8/edit?usp=sharing"",""ชัยนาท!N551"")"),7725)</f>
        <v>7725</v>
      </c>
      <c r="K57" s="187">
        <f ca="1">IFERROR(__xludf.DUMMYFUNCTION("IMPORTRANGE(""https://docs.google.com/spreadsheets/d/1xAsT4sUbBlom7l0acStESh_15nvjZcXjZM7fK5uZSq8/edit?usp=sharing"",""ชัยนาท!N552"")"),52000)</f>
        <v>52000</v>
      </c>
      <c r="L57" s="187">
        <f ca="1">IFERROR(__xludf.DUMMYFUNCTION("IMPORTRANGE(""https://docs.google.com/spreadsheets/d/1xAsT4sUbBlom7l0acStESh_15nvjZcXjZM7fK5uZSq8/edit?usp=sharing"",""ชัยนาท!N553"")"),15000)</f>
        <v>15000</v>
      </c>
      <c r="M57" s="187">
        <f ca="1">IFERROR(__xludf.DUMMYFUNCTION("IMPORTRANGE(""https://docs.google.com/spreadsheets/d/1xAsT4sUbBlom7l0acStESh_15nvjZcXjZM7fK5uZSq8/edit?usp=sharing"",""ชัยนาท!N554"")"),0)</f>
        <v>0</v>
      </c>
      <c r="N57" s="185">
        <f ca="1">IFERROR(__xludf.DUMMYFUNCTION("IMPORTRANGE(""https://docs.google.com/spreadsheets/d/1xAsT4sUbBlom7l0acStESh_15nvjZcXjZM7fK5uZSq8/edit?usp=sharing"",""ชัยนาท!N557"")"),0)</f>
        <v>0</v>
      </c>
      <c r="O57" s="185">
        <f t="shared" ca="1" si="41"/>
        <v>0</v>
      </c>
      <c r="P57" s="181">
        <f ca="1">IFERROR(__xludf.DUMMYFUNCTION("IMPORTRANGE(""https://docs.google.com/spreadsheets/d/1xAsT4sUbBlom7l0acStESh_15nvjZcXjZM7fK5uZSq8/edit?usp=sharing"",""ชัยนาท!I560"")"),0)</f>
        <v>0</v>
      </c>
      <c r="Q57" s="181">
        <f ca="1">IFERROR(__xludf.DUMMYFUNCTION("IMPORTRANGE(""https://docs.google.com/spreadsheets/d/1xAsT4sUbBlom7l0acStESh_15nvjZcXjZM7fK5uZSq8/edit?usp=sharing"",""ชัยนาท!I561"")"),0)</f>
        <v>0</v>
      </c>
      <c r="R57" s="186">
        <f ca="1">IFERROR(__xludf.DUMMYFUNCTION("IMPORTRANGE(""https://docs.google.com/spreadsheets/d/1xAsT4sUbBlom7l0acStESh_15nvjZcXjZM7fK5uZSq8/edit?usp=sharing"",""ชัยนาท!J560"")"),0)</f>
        <v>0</v>
      </c>
      <c r="S57" s="186">
        <f t="shared" ca="1" si="33"/>
        <v>0</v>
      </c>
      <c r="T57" s="181">
        <f ca="1">IFERROR(__xludf.DUMMYFUNCTION("IMPORTRANGE(""https://docs.google.com/spreadsheets/d/1xAsT4sUbBlom7l0acStESh_15nvjZcXjZM7fK5uZSq8/edit?usp=sharing"",""ชัยนาท!J561"")"),0)</f>
        <v>0</v>
      </c>
      <c r="U57" s="186">
        <f t="shared" ca="1" si="7"/>
        <v>0</v>
      </c>
      <c r="V57" s="186">
        <f ca="1">IFERROR(__xludf.DUMMYFUNCTION("IMPORTRANGE(""https://docs.google.com/spreadsheets/d/1xAsT4sUbBlom7l0acStESh_15nvjZcXjZM7fK5uZSq8/edit?usp=sharing"",""ชัยนาท!J562"")"),0)</f>
        <v>0</v>
      </c>
      <c r="W57" s="261">
        <f ca="1">IFERROR(__xludf.DUMMYFUNCTION("IMPORTRANGE(""https://docs.google.com/spreadsheets/d/1xAsT4sUbBlom7l0acStESh_15nvjZcXjZM7fK5uZSq8/edit?usp=sharing"",""ชัยนาท!J563"")"),0)</f>
        <v>0</v>
      </c>
      <c r="X57" s="186">
        <f ca="1">IFERROR(__xludf.DUMMYFUNCTION("IMPORTRANGE(""https://docs.google.com/spreadsheets/d/1xAsT4sUbBlom7l0acStESh_15nvjZcXjZM7fK5uZSq8/edit?usp=sharing"",""ชัยนาท!J564"")"),0)</f>
        <v>0</v>
      </c>
      <c r="Y57" s="261">
        <f ca="1">IFERROR(__xludf.DUMMYFUNCTION("IMPORTRANGE(""https://docs.google.com/spreadsheets/d/1xAsT4sUbBlom7l0acStESh_15nvjZcXjZM7fK5uZSq8/edit?usp=sharing"",""ชัยนาท!J565"")"),0)</f>
        <v>0</v>
      </c>
      <c r="Z57" s="186">
        <f ca="1">IFERROR(__xludf.DUMMYFUNCTION("IMPORTRANGE(""https://docs.google.com/spreadsheets/d/1xAsT4sUbBlom7l0acStESh_15nvjZcXjZM7fK5uZSq8/edit?usp=sharing"",""ชัยนาท!J566"")"),0)</f>
        <v>0</v>
      </c>
      <c r="AA57" s="261">
        <f ca="1">IFERROR(__xludf.DUMMYFUNCTION("IMPORTRANGE(""https://docs.google.com/spreadsheets/d/1xAsT4sUbBlom7l0acStESh_15nvjZcXjZM7fK5uZSq8/edit?usp=sharing"",""ชัยนาท!J567"")"),0)</f>
        <v>0</v>
      </c>
      <c r="AB57" s="181">
        <f ca="1">IFERROR(__xludf.DUMMYFUNCTION("IMPORTRANGE(""https://docs.google.com/spreadsheets/d/1xAsT4sUbBlom7l0acStESh_15nvjZcXjZM7fK5uZSq8/edit?usp=sharing"",""ชัยนาท!I568"")"),0)</f>
        <v>0</v>
      </c>
      <c r="AC57" s="181">
        <f ca="1">IFERROR(__xludf.DUMMYFUNCTION("IMPORTRANGE(""https://docs.google.com/spreadsheets/d/1xAsT4sUbBlom7l0acStESh_15nvjZcXjZM7fK5uZSq8/edit?usp=sharing"",""ชัยนาท!I569"")"),0)</f>
        <v>0</v>
      </c>
      <c r="AD57" s="186">
        <f ca="1">IFERROR(__xludf.DUMMYFUNCTION("IMPORTRANGE(""https://docs.google.com/spreadsheets/d/1xAsT4sUbBlom7l0acStESh_15nvjZcXjZM7fK5uZSq8/edit?usp=sharing"",""ชัยนาท!J568"")"),0)</f>
        <v>0</v>
      </c>
      <c r="AE57" s="186">
        <f t="shared" ca="1" si="34"/>
        <v>0</v>
      </c>
      <c r="AF57" s="181">
        <f ca="1">IFERROR(__xludf.DUMMYFUNCTION("IMPORTRANGE(""https://docs.google.com/spreadsheets/d/1xAsT4sUbBlom7l0acStESh_15nvjZcXjZM7fK5uZSq8/edit?usp=sharing"",""ชัยนาท!J569"")"),0)</f>
        <v>0</v>
      </c>
      <c r="AG57" s="186">
        <f t="shared" ca="1" si="10"/>
        <v>0</v>
      </c>
      <c r="AH57" s="186">
        <f ca="1">IFERROR(__xludf.DUMMYFUNCTION("IMPORTRANGE(""https://docs.google.com/spreadsheets/d/1xAsT4sUbBlom7l0acStESh_15nvjZcXjZM7fK5uZSq8/edit?usp=sharing"",""ชัยนาท!J570"")"),0)</f>
        <v>0</v>
      </c>
      <c r="AI57" s="261">
        <f ca="1">IFERROR(__xludf.DUMMYFUNCTION("IMPORTRANGE(""https://docs.google.com/spreadsheets/d/1xAsT4sUbBlom7l0acStESh_15nvjZcXjZM7fK5uZSq8/edit?usp=sharing"",""ชัยนาท!J571"")"),0)</f>
        <v>0</v>
      </c>
      <c r="AJ57" s="186">
        <f ca="1">IFERROR(__xludf.DUMMYFUNCTION("IMPORTRANGE(""https://docs.google.com/spreadsheets/d/1xAsT4sUbBlom7l0acStESh_15nvjZcXjZM7fK5uZSq8/edit?usp=sharing"",""ชัยนาท!J572"")"),0)</f>
        <v>0</v>
      </c>
      <c r="AK57" s="261">
        <f ca="1">IFERROR(__xludf.DUMMYFUNCTION("IMPORTRANGE(""https://docs.google.com/spreadsheets/d/1xAsT4sUbBlom7l0acStESh_15nvjZcXjZM7fK5uZSq8/edit?usp=sharing"",""ชัยนาท!J573"")"),0)</f>
        <v>0</v>
      </c>
      <c r="AL57" s="186">
        <f ca="1">IFERROR(__xludf.DUMMYFUNCTION("IMPORTRANGE(""https://docs.google.com/spreadsheets/d/1xAsT4sUbBlom7l0acStESh_15nvjZcXjZM7fK5uZSq8/edit?usp=sharing"",""ชัยนาท!J574"")"),0)</f>
        <v>0</v>
      </c>
      <c r="AM57" s="261">
        <f ca="1">IFERROR(__xludf.DUMMYFUNCTION("IMPORTRANGE(""https://docs.google.com/spreadsheets/d/1xAsT4sUbBlom7l0acStESh_15nvjZcXjZM7fK5uZSq8/edit?usp=sharing"",""ชัยนาท!J575"")"),0)</f>
        <v>0</v>
      </c>
      <c r="AN57" s="181">
        <f ca="1">IFERROR(__xludf.DUMMYFUNCTION("IMPORTRANGE(""https://docs.google.com/spreadsheets/d/1xAsT4sUbBlom7l0acStESh_15nvjZcXjZM7fK5uZSq8/edit?usp=sharing"",""ชัยนาท!I576"")"),0)</f>
        <v>0</v>
      </c>
      <c r="AO57" s="181">
        <f ca="1">IFERROR(__xludf.DUMMYFUNCTION("IMPORTRANGE(""https://docs.google.com/spreadsheets/d/1xAsT4sUbBlom7l0acStESh_15nvjZcXjZM7fK5uZSq8/edit?usp=sharing"",""ชัยนาท!I577"")"),0)</f>
        <v>0</v>
      </c>
      <c r="AP57" s="186">
        <f ca="1">IFERROR(__xludf.DUMMYFUNCTION("IMPORTRANGE(""https://docs.google.com/spreadsheets/d/1xAsT4sUbBlom7l0acStESh_15nvjZcXjZM7fK5uZSq8/edit?usp=sharing"",""ชัยนาท!J576"")"),0)</f>
        <v>0</v>
      </c>
      <c r="AQ57" s="186">
        <f t="shared" ca="1" si="35"/>
        <v>0</v>
      </c>
      <c r="AR57" s="181">
        <f ca="1">IFERROR(__xludf.DUMMYFUNCTION("IMPORTRANGE(""https://docs.google.com/spreadsheets/d/1xAsT4sUbBlom7l0acStESh_15nvjZcXjZM7fK5uZSq8/edit?usp=sharing"",""ชัยนาท!J577"")"),0)</f>
        <v>0</v>
      </c>
      <c r="AS57" s="186">
        <f t="shared" ca="1" si="13"/>
        <v>0</v>
      </c>
      <c r="AT57" s="186">
        <f ca="1">IFERROR(__xludf.DUMMYFUNCTION("IMPORTRANGE(""https://docs.google.com/spreadsheets/d/1xAsT4sUbBlom7l0acStESh_15nvjZcXjZM7fK5uZSq8/edit?usp=sharing"",""ชัยนาท!J578"")"),0)</f>
        <v>0</v>
      </c>
      <c r="AU57" s="261">
        <f ca="1">IFERROR(__xludf.DUMMYFUNCTION("IMPORTRANGE(""https://docs.google.com/spreadsheets/d/1xAsT4sUbBlom7l0acStESh_15nvjZcXjZM7fK5uZSq8/edit?usp=sharing"",""ชัยนาท!J579"")"),0)</f>
        <v>0</v>
      </c>
      <c r="AV57" s="186">
        <f ca="1">IFERROR(__xludf.DUMMYFUNCTION("IMPORTRANGE(""https://docs.google.com/spreadsheets/d/1xAsT4sUbBlom7l0acStESh_15nvjZcXjZM7fK5uZSq8/edit?usp=sharing"",""ชัยนาท!J580"")"),0)</f>
        <v>0</v>
      </c>
      <c r="AW57" s="261">
        <f ca="1">IFERROR(__xludf.DUMMYFUNCTION("IMPORTRANGE(""https://docs.google.com/spreadsheets/d/1xAsT4sUbBlom7l0acStESh_15nvjZcXjZM7fK5uZSq8/edit?usp=sharing"",""ชัยนาท!J581"")"),0)</f>
        <v>0</v>
      </c>
      <c r="AX57" s="186">
        <f ca="1">IFERROR(__xludf.DUMMYFUNCTION("IMPORTRANGE(""https://docs.google.com/spreadsheets/d/1xAsT4sUbBlom7l0acStESh_15nvjZcXjZM7fK5uZSq8/edit?usp=sharing"",""ชัยนาท!J582"")"),0)</f>
        <v>0</v>
      </c>
      <c r="AY57" s="261">
        <f ca="1">IFERROR(__xludf.DUMMYFUNCTION("IMPORTRANGE(""https://docs.google.com/spreadsheets/d/1xAsT4sUbBlom7l0acStESh_15nvjZcXjZM7fK5uZSq8/edit?usp=sharing"",""ชัยนาท!J583"")"),0)</f>
        <v>0</v>
      </c>
      <c r="AZ57" s="262">
        <f ca="1">IFERROR(__xludf.DUMMYFUNCTION("IMPORTRANGE(""https://docs.google.com/spreadsheets/d/1xAsT4sUbBlom7l0acStESh_15nvjZcXjZM7fK5uZSq8/edit?usp=sharing"",""ชัยนาท!J584"")"),0)</f>
        <v>0</v>
      </c>
      <c r="BA57" s="261">
        <f ca="1">IFERROR(__xludf.DUMMYFUNCTION("IMPORTRANGE(""https://docs.google.com/spreadsheets/d/1xAsT4sUbBlom7l0acStESh_15nvjZcXjZM7fK5uZSq8/edit?usp=sharing"",""ชัยนาท!J585"")"),0)</f>
        <v>0</v>
      </c>
      <c r="BB57" s="262">
        <f ca="1">IFERROR(__xludf.DUMMYFUNCTION("IMPORTRANGE(""https://docs.google.com/spreadsheets/d/1xAsT4sUbBlom7l0acStESh_15nvjZcXjZM7fK5uZSq8/edit?usp=sharing"",""ชัยนาท!J586"")"),0)</f>
        <v>0</v>
      </c>
      <c r="BC57" s="261">
        <f ca="1">IFERROR(__xludf.DUMMYFUNCTION("IMPORTRANGE(""https://docs.google.com/spreadsheets/d/1xAsT4sUbBlom7l0acStESh_15nvjZcXjZM7fK5uZSq8/edit?usp=sharing"",""ชัยนาท!J587"")"),0)</f>
        <v>0</v>
      </c>
      <c r="BD57" s="186">
        <f ca="1">IFERROR(__xludf.DUMMYFUNCTION("IMPORTRANGE(""https://docs.google.com/spreadsheets/d/1xAsT4sUbBlom7l0acStESh_15nvjZcXjZM7fK5uZSq8/edit?usp=sharing"",""ชัยนาท!J588"")"),0)</f>
        <v>0</v>
      </c>
      <c r="BE57" s="261">
        <f ca="1">IFERROR(__xludf.DUMMYFUNCTION("IMPORTRANGE(""https://docs.google.com/spreadsheets/d/1xAsT4sUbBlom7l0acStESh_15nvjZcXjZM7fK5uZSq8/edit?usp=sharing"",""ชัยนาท!J589"")"),0)</f>
        <v>0</v>
      </c>
      <c r="BF57" s="186">
        <f ca="1">IFERROR(__xludf.DUMMYFUNCTION("IMPORTRANGE(""https://docs.google.com/spreadsheets/d/1xAsT4sUbBlom7l0acStESh_15nvjZcXjZM7fK5uZSq8/edit?usp=sharing"",""ชัยนาท!J590"")"),0)</f>
        <v>0</v>
      </c>
      <c r="BG57" s="261">
        <f ca="1">IFERROR(__xludf.DUMMYFUNCTION("IMPORTRANGE(""https://docs.google.com/spreadsheets/d/1xAsT4sUbBlom7l0acStESh_15nvjZcXjZM7fK5uZSq8/edit?usp=sharing"",""ชัยนาท!J591"")"),0)</f>
        <v>0</v>
      </c>
      <c r="BH57" s="181">
        <f ca="1">IFERROR(__xludf.DUMMYFUNCTION("IMPORTRANGE(""https://docs.google.com/spreadsheets/d/1xAsT4sUbBlom7l0acStESh_15nvjZcXjZM7fK5uZSq8/edit?usp=sharing"",""ชัยนาท!I593"")"),274.72)</f>
        <v>274.72000000000003</v>
      </c>
      <c r="BI57" s="181">
        <f ca="1">IFERROR(__xludf.DUMMYFUNCTION("IMPORTRANGE(""https://docs.google.com/spreadsheets/d/1xAsT4sUbBlom7l0acStESh_15nvjZcXjZM7fK5uZSq8/edit?usp=sharing"",""ชัยนาท!I594"")"),17)</f>
        <v>17</v>
      </c>
      <c r="BJ57" s="186">
        <f ca="1">IFERROR(__xludf.DUMMYFUNCTION("IMPORTRANGE(""https://docs.google.com/spreadsheets/d/1xAsT4sUbBlom7l0acStESh_15nvjZcXjZM7fK5uZSq8/edit?usp=sharing"",""ชัยนาท!J593"")"),0)</f>
        <v>0</v>
      </c>
      <c r="BK57" s="186">
        <f t="shared" ca="1" si="36"/>
        <v>0</v>
      </c>
      <c r="BL57" s="181">
        <f ca="1">IFERROR(__xludf.DUMMYFUNCTION("IMPORTRANGE(""https://docs.google.com/spreadsheets/d/1xAsT4sUbBlom7l0acStESh_15nvjZcXjZM7fK5uZSq8/edit?usp=sharing"",""ชัยนาท!J594"")"),0)</f>
        <v>0</v>
      </c>
      <c r="BM57" s="186">
        <f t="shared" ca="1" si="16"/>
        <v>0</v>
      </c>
      <c r="BN57" s="186">
        <f ca="1">IFERROR(__xludf.DUMMYFUNCTION("IMPORTRANGE(""https://docs.google.com/spreadsheets/d/1xAsT4sUbBlom7l0acStESh_15nvjZcXjZM7fK5uZSq8/edit?usp=sharing"",""ชัยนาท!J595"")"),0)</f>
        <v>0</v>
      </c>
      <c r="BO57" s="261">
        <f ca="1">IFERROR(__xludf.DUMMYFUNCTION("IMPORTRANGE(""https://docs.google.com/spreadsheets/d/1xAsT4sUbBlom7l0acStESh_15nvjZcXjZM7fK5uZSq8/edit?usp=sharing"",""ชัยนาท!J596"")"),0)</f>
        <v>0</v>
      </c>
      <c r="BP57" s="186">
        <f ca="1">IFERROR(__xludf.DUMMYFUNCTION("IMPORTRANGE(""https://docs.google.com/spreadsheets/d/1xAsT4sUbBlom7l0acStESh_15nvjZcXjZM7fK5uZSq8/edit?usp=sharing"",""ชัยนาท!J597"")"),0)</f>
        <v>0</v>
      </c>
      <c r="BQ57" s="261">
        <f ca="1">IFERROR(__xludf.DUMMYFUNCTION("IMPORTRANGE(""https://docs.google.com/spreadsheets/d/1xAsT4sUbBlom7l0acStESh_15nvjZcXjZM7fK5uZSq8/edit?usp=sharing"",""ชัยนาท!J598"")"),0)</f>
        <v>0</v>
      </c>
      <c r="BR57" s="186">
        <f ca="1">IFERROR(__xludf.DUMMYFUNCTION("IMPORTRANGE(""https://docs.google.com/spreadsheets/d/1xAsT4sUbBlom7l0acStESh_15nvjZcXjZM7fK5uZSq8/edit?usp=sharing"",""ชัยนาท!J599"")"),0)</f>
        <v>0</v>
      </c>
      <c r="BS57" s="261">
        <f ca="1">IFERROR(__xludf.DUMMYFUNCTION("IMPORTRANGE(""https://docs.google.com/spreadsheets/d/1xAsT4sUbBlom7l0acStESh_15nvjZcXjZM7fK5uZSq8/edit?usp=sharing"",""ชัยนาท!J600"")"),0)</f>
        <v>0</v>
      </c>
      <c r="BT57" s="262">
        <f ca="1">IFERROR(__xludf.DUMMYFUNCTION("IMPORTRANGE(""https://docs.google.com/spreadsheets/d/1xAsT4sUbBlom7l0acStESh_15nvjZcXjZM7fK5uZSq8/edit?usp=sharing"",""ชัยนาท!J601"")"),0)</f>
        <v>0</v>
      </c>
      <c r="BU57" s="261">
        <f ca="1">IFERROR(__xludf.DUMMYFUNCTION("IMPORTRANGE(""https://docs.google.com/spreadsheets/d/1xAsT4sUbBlom7l0acStESh_15nvjZcXjZM7fK5uZSq8/edit?usp=sharing"",""ชัยนาท!J602"")"),0)</f>
        <v>0</v>
      </c>
      <c r="BV57" s="186">
        <f ca="1">IFERROR(__xludf.DUMMYFUNCTION("IMPORTRANGE(""https://docs.google.com/spreadsheets/d/1xAsT4sUbBlom7l0acStESh_15nvjZcXjZM7fK5uZSq8/edit?usp=sharing"",""ชัยนาท!J603"")"),0)</f>
        <v>0</v>
      </c>
      <c r="BW57" s="261">
        <f ca="1">IFERROR(__xludf.DUMMYFUNCTION("IMPORTRANGE(""https://docs.google.com/spreadsheets/d/1xAsT4sUbBlom7l0acStESh_15nvjZcXjZM7fK5uZSq8/edit?usp=sharing"",""ชัยนาท!J604"")"),0)</f>
        <v>0</v>
      </c>
      <c r="BX57" s="186">
        <f ca="1">IFERROR(__xludf.DUMMYFUNCTION("IMPORTRANGE(""https://docs.google.com/spreadsheets/d/1xAsT4sUbBlom7l0acStESh_15nvjZcXjZM7fK5uZSq8/edit?usp=sharing"",""ชัยนาท!J605"")"),0)</f>
        <v>0</v>
      </c>
      <c r="BY57" s="261">
        <f ca="1">IFERROR(__xludf.DUMMYFUNCTION("IMPORTRANGE(""https://docs.google.com/spreadsheets/d/1xAsT4sUbBlom7l0acStESh_15nvjZcXjZM7fK5uZSq8/edit?usp=sharing"",""ชัยนาท!J606"")"),0)</f>
        <v>0</v>
      </c>
      <c r="BZ57" s="186">
        <f ca="1">IFERROR(__xludf.DUMMYFUNCTION("IMPORTRANGE(""https://docs.google.com/spreadsheets/d/1xAsT4sUbBlom7l0acStESh_15nvjZcXjZM7fK5uZSq8/edit?usp=sharing"",""ชัยนาท!J607"")"),0)</f>
        <v>0</v>
      </c>
      <c r="CA57" s="261">
        <f ca="1">IFERROR(__xludf.DUMMYFUNCTION("IMPORTRANGE(""https://docs.google.com/spreadsheets/d/1xAsT4sUbBlom7l0acStESh_15nvjZcXjZM7fK5uZSq8/edit?usp=sharing"",""ชัยนาท!J608"")"),0)</f>
        <v>0</v>
      </c>
      <c r="CB57" s="186">
        <f ca="1">IFERROR(__xludf.DUMMYFUNCTION("IMPORTRANGE(""https://docs.google.com/spreadsheets/d/1xAsT4sUbBlom7l0acStESh_15nvjZcXjZM7fK5uZSq8/edit?usp=sharing"",""ชัยนาท!J609"")"),0)</f>
        <v>0</v>
      </c>
      <c r="CC57" s="261">
        <f ca="1">IFERROR(__xludf.DUMMYFUNCTION("IMPORTRANGE(""https://docs.google.com/spreadsheets/d/1xAsT4sUbBlom7l0acStESh_15nvjZcXjZM7fK5uZSq8/edit?usp=sharing"",""ชัยนาท!J610"")"),0)</f>
        <v>0</v>
      </c>
      <c r="CD57" s="261">
        <f ca="1">IFERROR(__xludf.DUMMYFUNCTION("IMPORTRANGE(""https://docs.google.com/spreadsheets/d/1xAsT4sUbBlom7l0acStESh_15nvjZcXjZM7fK5uZSq8/edit?usp=sharing"",""ชัยนาท!I612"")"),0)</f>
        <v>0</v>
      </c>
      <c r="CE57" s="261">
        <f ca="1">IFERROR(__xludf.DUMMYFUNCTION("IMPORTRANGE(""https://docs.google.com/spreadsheets/d/1xAsT4sUbBlom7l0acStESh_15nvjZcXjZM7fK5uZSq8/edit?usp=sharing"",""ชัยนาท!I594"")"),17)</f>
        <v>17</v>
      </c>
      <c r="CF57" s="262">
        <f ca="1">IFERROR(__xludf.DUMMYFUNCTION("IMPORTRANGE(""https://docs.google.com/spreadsheets/d/1xAsT4sUbBlom7l0acStESh_15nvjZcXjZM7fK5uZSq8/edit?usp=sharing"",""ชัยนาท!J612"")"),0)</f>
        <v>0</v>
      </c>
      <c r="CG57" s="262">
        <f t="shared" ca="1" si="37"/>
        <v>0</v>
      </c>
      <c r="CH57" s="261">
        <f ca="1">IFERROR(__xludf.DUMMYFUNCTION("IMPORTRANGE(""https://docs.google.com/spreadsheets/d/1xAsT4sUbBlom7l0acStESh_15nvjZcXjZM7fK5uZSq8/edit?usp=sharing"",""ชัยนาท!J613"")"),0)</f>
        <v>0</v>
      </c>
      <c r="CI57" s="262">
        <f t="shared" ca="1" si="19"/>
        <v>0</v>
      </c>
      <c r="CJ57" s="186">
        <f ca="1">IFERROR(__xludf.DUMMYFUNCTION("IMPORTRANGE(""https://docs.google.com/spreadsheets/d/1xAsT4sUbBlom7l0acStESh_15nvjZcXjZM7fK5uZSq8/edit?usp=sharing"",""ชัยนาท!J614"")"),0)</f>
        <v>0</v>
      </c>
      <c r="CK57" s="261">
        <f ca="1">IFERROR(__xludf.DUMMYFUNCTION("IMPORTRANGE(""https://docs.google.com/spreadsheets/d/1xAsT4sUbBlom7l0acStESh_15nvjZcXjZM7fK5uZSq8/edit?usp=sharing"",""ชัยนาท!J615"")"),0)</f>
        <v>0</v>
      </c>
      <c r="CL57" s="186">
        <f ca="1">IFERROR(__xludf.DUMMYFUNCTION("IMPORTRANGE(""https://docs.google.com/spreadsheets/d/1xAsT4sUbBlom7l0acStESh_15nvjZcXjZM7fK5uZSq8/edit?usp=sharing"",""ชัยนาท!J616"")"),0)</f>
        <v>0</v>
      </c>
      <c r="CM57" s="261">
        <f ca="1">IFERROR(__xludf.DUMMYFUNCTION("IMPORTRANGE(""https://docs.google.com/spreadsheets/d/1xAsT4sUbBlom7l0acStESh_15nvjZcXjZM7fK5uZSq8/edit?usp=sharing"",""ชัยนาท!J617"")"),0)</f>
        <v>0</v>
      </c>
      <c r="CN57" s="261">
        <f ca="1">IFERROR(__xludf.DUMMYFUNCTION("IMPORTRANGE(""https://docs.google.com/spreadsheets/d/1xAsT4sUbBlom7l0acStESh_15nvjZcXjZM7fK5uZSq8/edit?usp=sharing"",""ชัยนาท!I620"")"),0)</f>
        <v>0</v>
      </c>
      <c r="CO57" s="261">
        <f ca="1">IFERROR(__xludf.DUMMYFUNCTION("IMPORTRANGE(""https://docs.google.com/spreadsheets/d/1xAsT4sUbBlom7l0acStESh_15nvjZcXjZM7fK5uZSq8/edit?usp=sharing"",""ชัยนาท!I621"")"),0)</f>
        <v>0</v>
      </c>
      <c r="CP57" s="262">
        <f ca="1">IFERROR(__xludf.DUMMYFUNCTION("IMPORTRANGE(""https://docs.google.com/spreadsheets/d/1xAsT4sUbBlom7l0acStESh_15nvjZcXjZM7fK5uZSq8/edit?usp=sharing"",""ชัยนาท!J620"")"),0)</f>
        <v>0</v>
      </c>
      <c r="CQ57" s="262">
        <f t="shared" ca="1" si="38"/>
        <v>0</v>
      </c>
      <c r="CR57" s="261">
        <f ca="1">IFERROR(__xludf.DUMMYFUNCTION("IMPORTRANGE(""https://docs.google.com/spreadsheets/d/1xAsT4sUbBlom7l0acStESh_15nvjZcXjZM7fK5uZSq8/edit?usp=sharing"",""ชัยนาท!J621"")"),0)</f>
        <v>0</v>
      </c>
      <c r="CS57" s="262">
        <f t="shared" ca="1" si="22"/>
        <v>0</v>
      </c>
      <c r="CT57" s="186">
        <f ca="1">IFERROR(__xludf.DUMMYFUNCTION("IMPORTRANGE(""https://docs.google.com/spreadsheets/d/1xAsT4sUbBlom7l0acStESh_15nvjZcXjZM7fK5uZSq8/edit?usp=sharing"",""ชัยนาท!J622"")"),0)</f>
        <v>0</v>
      </c>
      <c r="CU57" s="261">
        <f ca="1">IFERROR(__xludf.DUMMYFUNCTION("IMPORTRANGE(""https://docs.google.com/spreadsheets/d/1xAsT4sUbBlom7l0acStESh_15nvjZcXjZM7fK5uZSq8/edit?usp=sharing"",""ชัยนาท!J623"")"),0)</f>
        <v>0</v>
      </c>
      <c r="CV57" s="186">
        <f ca="1">IFERROR(__xludf.DUMMYFUNCTION("IMPORTRANGE(""https://docs.google.com/spreadsheets/d/1xAsT4sUbBlom7l0acStESh_15nvjZcXjZM7fK5uZSq8/edit?usp=sharing"",""ชัยนาท!J624"")"),0)</f>
        <v>0</v>
      </c>
      <c r="CW57" s="261">
        <f ca="1">IFERROR(__xludf.DUMMYFUNCTION("IMPORTRANGE(""https://docs.google.com/spreadsheets/d/1xAsT4sUbBlom7l0acStESh_15nvjZcXjZM7fK5uZSq8/edit?usp=sharing"",""ชัยนาท!J625"")"),0)</f>
        <v>0</v>
      </c>
      <c r="CX57" s="186">
        <f ca="1">IFERROR(__xludf.DUMMYFUNCTION("IMPORTRANGE(""https://docs.google.com/spreadsheets/d/1xAsT4sUbBlom7l0acStESh_15nvjZcXjZM7fK5uZSq8/edit?usp=sharing"",""ชัยนาท!J626"")"),0)</f>
        <v>0</v>
      </c>
      <c r="CY57" s="261">
        <f ca="1">IFERROR(__xludf.DUMMYFUNCTION("IMPORTRANGE(""https://docs.google.com/spreadsheets/d/1xAsT4sUbBlom7l0acStESh_15nvjZcXjZM7fK5uZSq8/edit?usp=sharing"",""ชัยนาท!J627"")"),0)</f>
        <v>0</v>
      </c>
    </row>
    <row r="58" spans="1:103" ht="21" customHeight="1" x14ac:dyDescent="0.3">
      <c r="A58" s="178">
        <v>6</v>
      </c>
      <c r="B58" s="179" t="s">
        <v>75</v>
      </c>
      <c r="C58" s="180">
        <f t="shared" ca="1" si="71"/>
        <v>265400</v>
      </c>
      <c r="D58" s="181">
        <f ca="1">IFERROR(__xludf.DUMMYFUNCTION("IMPORTRANGE(""https://docs.google.com/spreadsheets/d/1vWPVBOAaZ6mHSI8yf95DNqHwTJ1cpeFsvqt6cxV34QA/edit?usp=sharing"",""ตราด!L549"")"),265400)</f>
        <v>265400</v>
      </c>
      <c r="E58" s="187">
        <f ca="1">IFERROR(__xludf.DUMMYFUNCTION("IMPORTRANGE(""https://docs.google.com/spreadsheets/d/1vWPVBOAaZ6mHSI8yf95DNqHwTJ1cpeFsvqt6cxV34QA/edit?usp=sharing"",""ตราด!L557"")"),0)</f>
        <v>0</v>
      </c>
      <c r="F58" s="182">
        <f t="shared" ca="1" si="1"/>
        <v>40138</v>
      </c>
      <c r="G58" s="183">
        <f t="shared" ca="1" si="2"/>
        <v>15.123587038432555</v>
      </c>
      <c r="H58" s="184">
        <f t="shared" ca="1" si="72"/>
        <v>40138</v>
      </c>
      <c r="I58" s="187">
        <f ca="1">IFERROR(__xludf.DUMMYFUNCTION("IMPORTRANGE(""https://docs.google.com/spreadsheets/d/1vWPVBOAaZ6mHSI8yf95DNqHwTJ1cpeFsvqt6cxV34QA/edit?usp=sharing"",""ตราด!N550"")"),0)</f>
        <v>0</v>
      </c>
      <c r="J58" s="187">
        <f ca="1">IFERROR(__xludf.DUMMYFUNCTION("IMPORTRANGE(""https://docs.google.com/spreadsheets/d/1vWPVBOAaZ6mHSI8yf95DNqHwTJ1cpeFsvqt6cxV34QA/edit?usp=sharing"",""ตราด!N551"")"),0)</f>
        <v>0</v>
      </c>
      <c r="K58" s="187">
        <f ca="1">IFERROR(__xludf.DUMMYFUNCTION("IMPORTRANGE(""https://docs.google.com/spreadsheets/d/1vWPVBOAaZ6mHSI8yf95DNqHwTJ1cpeFsvqt6cxV34QA/edit?usp=sharing"",""ตราด!N552"")"),39000)</f>
        <v>39000</v>
      </c>
      <c r="L58" s="187">
        <f ca="1">IFERROR(__xludf.DUMMYFUNCTION("IMPORTRANGE(""https://docs.google.com/spreadsheets/d/1vWPVBOAaZ6mHSI8yf95DNqHwTJ1cpeFsvqt6cxV34QA/edit?usp=sharing"",""ตราด!N553"")"),1138)</f>
        <v>1138</v>
      </c>
      <c r="M58" s="187">
        <f ca="1">IFERROR(__xludf.DUMMYFUNCTION("IMPORTRANGE(""https://docs.google.com/spreadsheets/d/1vWPVBOAaZ6mHSI8yf95DNqHwTJ1cpeFsvqt6cxV34QA/edit?usp=sharing"",""ตราด!N554"")"),0)</f>
        <v>0</v>
      </c>
      <c r="N58" s="185">
        <f ca="1">IFERROR(__xludf.DUMMYFUNCTION("IMPORTRANGE(""https://docs.google.com/spreadsheets/d/1vWPVBOAaZ6mHSI8yf95DNqHwTJ1cpeFsvqt6cxV34QA/edit?usp=sharing"",""ตราด!N557"")"),0)</f>
        <v>0</v>
      </c>
      <c r="O58" s="185">
        <f t="shared" ca="1" si="41"/>
        <v>0</v>
      </c>
      <c r="P58" s="181">
        <f ca="1">IFERROR(__xludf.DUMMYFUNCTION("IMPORTRANGE(""https://docs.google.com/spreadsheets/d/1vWPVBOAaZ6mHSI8yf95DNqHwTJ1cpeFsvqt6cxV34QA/edit?usp=sharing"",""ตราด!I560"")"),0)</f>
        <v>0</v>
      </c>
      <c r="Q58" s="181">
        <f ca="1">IFERROR(__xludf.DUMMYFUNCTION("IMPORTRANGE(""https://docs.google.com/spreadsheets/d/1vWPVBOAaZ6mHSI8yf95DNqHwTJ1cpeFsvqt6cxV34QA/edit?usp=sharing"",""ตราด!I561"")"),0)</f>
        <v>0</v>
      </c>
      <c r="R58" s="186">
        <f ca="1">IFERROR(__xludf.DUMMYFUNCTION("IMPORTRANGE(""https://docs.google.com/spreadsheets/d/1vWPVBOAaZ6mHSI8yf95DNqHwTJ1cpeFsvqt6cxV34QA/edit?usp=sharing"",""ตราด!J560"")"),0)</f>
        <v>0</v>
      </c>
      <c r="S58" s="186">
        <f t="shared" ca="1" si="33"/>
        <v>0</v>
      </c>
      <c r="T58" s="181">
        <f ca="1">IFERROR(__xludf.DUMMYFUNCTION("IMPORTRANGE(""https://docs.google.com/spreadsheets/d/1vWPVBOAaZ6mHSI8yf95DNqHwTJ1cpeFsvqt6cxV34QA/edit?usp=sharing"",""ตราด!J561"")"),0)</f>
        <v>0</v>
      </c>
      <c r="U58" s="186">
        <f t="shared" ca="1" si="7"/>
        <v>0</v>
      </c>
      <c r="V58" s="186">
        <f ca="1">IFERROR(__xludf.DUMMYFUNCTION("IMPORTRANGE(""https://docs.google.com/spreadsheets/d/1vWPVBOAaZ6mHSI8yf95DNqHwTJ1cpeFsvqt6cxV34QA/edit?usp=sharing"",""ตราด!J562"")"),0)</f>
        <v>0</v>
      </c>
      <c r="W58" s="261">
        <f ca="1">IFERROR(__xludf.DUMMYFUNCTION("IMPORTRANGE(""https://docs.google.com/spreadsheets/d/1vWPVBOAaZ6mHSI8yf95DNqHwTJ1cpeFsvqt6cxV34QA/edit?usp=sharing"",""ตราด!J563"")"),0)</f>
        <v>0</v>
      </c>
      <c r="X58" s="186">
        <f ca="1">IFERROR(__xludf.DUMMYFUNCTION("IMPORTRANGE(""https://docs.google.com/spreadsheets/d/1vWPVBOAaZ6mHSI8yf95DNqHwTJ1cpeFsvqt6cxV34QA/edit?usp=sharing"",""ตราด!J564"")"),0)</f>
        <v>0</v>
      </c>
      <c r="Y58" s="261">
        <f ca="1">IFERROR(__xludf.DUMMYFUNCTION("IMPORTRANGE(""https://docs.google.com/spreadsheets/d/1vWPVBOAaZ6mHSI8yf95DNqHwTJ1cpeFsvqt6cxV34QA/edit?usp=sharing"",""ตราด!J565"")"),0)</f>
        <v>0</v>
      </c>
      <c r="Z58" s="186">
        <f ca="1">IFERROR(__xludf.DUMMYFUNCTION("IMPORTRANGE(""https://docs.google.com/spreadsheets/d/1vWPVBOAaZ6mHSI8yf95DNqHwTJ1cpeFsvqt6cxV34QA/edit?usp=sharing"",""ตราด!J566"")"),0)</f>
        <v>0</v>
      </c>
      <c r="AA58" s="261">
        <f ca="1">IFERROR(__xludf.DUMMYFUNCTION("IMPORTRANGE(""https://docs.google.com/spreadsheets/d/1vWPVBOAaZ6mHSI8yf95DNqHwTJ1cpeFsvqt6cxV34QA/edit?usp=sharing"",""ตราด!J567"")"),0)</f>
        <v>0</v>
      </c>
      <c r="AB58" s="181">
        <f ca="1">IFERROR(__xludf.DUMMYFUNCTION("IMPORTRANGE(""https://docs.google.com/spreadsheets/d/1vWPVBOAaZ6mHSI8yf95DNqHwTJ1cpeFsvqt6cxV34QA/edit?usp=sharing"",""ตราด!I568"")"),0)</f>
        <v>0</v>
      </c>
      <c r="AC58" s="181">
        <f ca="1">IFERROR(__xludf.DUMMYFUNCTION("IMPORTRANGE(""https://docs.google.com/spreadsheets/d/1vWPVBOAaZ6mHSI8yf95DNqHwTJ1cpeFsvqt6cxV34QA/edit?usp=sharing"",""ตราด!I569"")"),0)</f>
        <v>0</v>
      </c>
      <c r="AD58" s="186">
        <f ca="1">IFERROR(__xludf.DUMMYFUNCTION("IMPORTRANGE(""https://docs.google.com/spreadsheets/d/1vWPVBOAaZ6mHSI8yf95DNqHwTJ1cpeFsvqt6cxV34QA/edit?usp=sharing"",""ตราด!J568"")"),0)</f>
        <v>0</v>
      </c>
      <c r="AE58" s="186">
        <f t="shared" ca="1" si="34"/>
        <v>0</v>
      </c>
      <c r="AF58" s="181">
        <f ca="1">IFERROR(__xludf.DUMMYFUNCTION("IMPORTRANGE(""https://docs.google.com/spreadsheets/d/1vWPVBOAaZ6mHSI8yf95DNqHwTJ1cpeFsvqt6cxV34QA/edit?usp=sharing"",""ตราด!J569"")"),0)</f>
        <v>0</v>
      </c>
      <c r="AG58" s="186">
        <f t="shared" ca="1" si="10"/>
        <v>0</v>
      </c>
      <c r="AH58" s="186">
        <f ca="1">IFERROR(__xludf.DUMMYFUNCTION("IMPORTRANGE(""https://docs.google.com/spreadsheets/d/1vWPVBOAaZ6mHSI8yf95DNqHwTJ1cpeFsvqt6cxV34QA/edit?usp=sharing"",""ตราด!J570"")"),0)</f>
        <v>0</v>
      </c>
      <c r="AI58" s="261">
        <f ca="1">IFERROR(__xludf.DUMMYFUNCTION("IMPORTRANGE(""https://docs.google.com/spreadsheets/d/1vWPVBOAaZ6mHSI8yf95DNqHwTJ1cpeFsvqt6cxV34QA/edit?usp=sharing"",""ตราด!J571"")"),0)</f>
        <v>0</v>
      </c>
      <c r="AJ58" s="186">
        <f ca="1">IFERROR(__xludf.DUMMYFUNCTION("IMPORTRANGE(""https://docs.google.com/spreadsheets/d/1vWPVBOAaZ6mHSI8yf95DNqHwTJ1cpeFsvqt6cxV34QA/edit?usp=sharing"",""ตราด!J572"")"),0)</f>
        <v>0</v>
      </c>
      <c r="AK58" s="261">
        <f ca="1">IFERROR(__xludf.DUMMYFUNCTION("IMPORTRANGE(""https://docs.google.com/spreadsheets/d/1vWPVBOAaZ6mHSI8yf95DNqHwTJ1cpeFsvqt6cxV34QA/edit?usp=sharing"",""ตราด!J573"")"),0)</f>
        <v>0</v>
      </c>
      <c r="AL58" s="186">
        <f ca="1">IFERROR(__xludf.DUMMYFUNCTION("IMPORTRANGE(""https://docs.google.com/spreadsheets/d/1vWPVBOAaZ6mHSI8yf95DNqHwTJ1cpeFsvqt6cxV34QA/edit?usp=sharing"",""ตราด!J574"")"),0)</f>
        <v>0</v>
      </c>
      <c r="AM58" s="261">
        <f ca="1">IFERROR(__xludf.DUMMYFUNCTION("IMPORTRANGE(""https://docs.google.com/spreadsheets/d/1vWPVBOAaZ6mHSI8yf95DNqHwTJ1cpeFsvqt6cxV34QA/edit?usp=sharing"",""ตราด!J575"")"),0)</f>
        <v>0</v>
      </c>
      <c r="AN58" s="181">
        <f ca="1">IFERROR(__xludf.DUMMYFUNCTION("IMPORTRANGE(""https://docs.google.com/spreadsheets/d/1vWPVBOAaZ6mHSI8yf95DNqHwTJ1cpeFsvqt6cxV34QA/edit?usp=sharing"",""ตราด!I576"")"),0)</f>
        <v>0</v>
      </c>
      <c r="AO58" s="181">
        <f ca="1">IFERROR(__xludf.DUMMYFUNCTION("IMPORTRANGE(""https://docs.google.com/spreadsheets/d/1vWPVBOAaZ6mHSI8yf95DNqHwTJ1cpeFsvqt6cxV34QA/edit?usp=sharing"",""ตราด!I577"")"),0)</f>
        <v>0</v>
      </c>
      <c r="AP58" s="186">
        <f ca="1">IFERROR(__xludf.DUMMYFUNCTION("IMPORTRANGE(""https://docs.google.com/spreadsheets/d/1vWPVBOAaZ6mHSI8yf95DNqHwTJ1cpeFsvqt6cxV34QA/edit?usp=sharing"",""ตราด!J576"")"),0)</f>
        <v>0</v>
      </c>
      <c r="AQ58" s="186">
        <f t="shared" ca="1" si="35"/>
        <v>0</v>
      </c>
      <c r="AR58" s="181">
        <f ca="1">IFERROR(__xludf.DUMMYFUNCTION("IMPORTRANGE(""https://docs.google.com/spreadsheets/d/1vWPVBOAaZ6mHSI8yf95DNqHwTJ1cpeFsvqt6cxV34QA/edit?usp=sharing"",""ตราด!J577"")"),0)</f>
        <v>0</v>
      </c>
      <c r="AS58" s="186">
        <f t="shared" ca="1" si="13"/>
        <v>0</v>
      </c>
      <c r="AT58" s="186">
        <f ca="1">IFERROR(__xludf.DUMMYFUNCTION("IMPORTRANGE(""https://docs.google.com/spreadsheets/d/1vWPVBOAaZ6mHSI8yf95DNqHwTJ1cpeFsvqt6cxV34QA/edit?usp=sharing"",""ตราด!J578"")"),0)</f>
        <v>0</v>
      </c>
      <c r="AU58" s="261">
        <f ca="1">IFERROR(__xludf.DUMMYFUNCTION("IMPORTRANGE(""https://docs.google.com/spreadsheets/d/1vWPVBOAaZ6mHSI8yf95DNqHwTJ1cpeFsvqt6cxV34QA/edit?usp=sharing"",""ตราด!J579"")"),0)</f>
        <v>0</v>
      </c>
      <c r="AV58" s="186">
        <f ca="1">IFERROR(__xludf.DUMMYFUNCTION("IMPORTRANGE(""https://docs.google.com/spreadsheets/d/1vWPVBOAaZ6mHSI8yf95DNqHwTJ1cpeFsvqt6cxV34QA/edit?usp=sharing"",""ตราด!J580"")"),0)</f>
        <v>0</v>
      </c>
      <c r="AW58" s="261">
        <f ca="1">IFERROR(__xludf.DUMMYFUNCTION("IMPORTRANGE(""https://docs.google.com/spreadsheets/d/1vWPVBOAaZ6mHSI8yf95DNqHwTJ1cpeFsvqt6cxV34QA/edit?usp=sharing"",""ตราด!J581"")"),0)</f>
        <v>0</v>
      </c>
      <c r="AX58" s="186">
        <f ca="1">IFERROR(__xludf.DUMMYFUNCTION("IMPORTRANGE(""https://docs.google.com/spreadsheets/d/1vWPVBOAaZ6mHSI8yf95DNqHwTJ1cpeFsvqt6cxV34QA/edit?usp=sharing"",""ตราด!J582"")"),0)</f>
        <v>0</v>
      </c>
      <c r="AY58" s="261">
        <f ca="1">IFERROR(__xludf.DUMMYFUNCTION("IMPORTRANGE(""https://docs.google.com/spreadsheets/d/1vWPVBOAaZ6mHSI8yf95DNqHwTJ1cpeFsvqt6cxV34QA/edit?usp=sharing"",""ตราด!J583"")"),0)</f>
        <v>0</v>
      </c>
      <c r="AZ58" s="262">
        <f ca="1">IFERROR(__xludf.DUMMYFUNCTION("IMPORTRANGE(""https://docs.google.com/spreadsheets/d/1vWPVBOAaZ6mHSI8yf95DNqHwTJ1cpeFsvqt6cxV34QA/edit?usp=sharing"",""ตราด!J584"")"),0)</f>
        <v>0</v>
      </c>
      <c r="BA58" s="261">
        <f ca="1">IFERROR(__xludf.DUMMYFUNCTION("IMPORTRANGE(""https://docs.google.com/spreadsheets/d/1vWPVBOAaZ6mHSI8yf95DNqHwTJ1cpeFsvqt6cxV34QA/edit?usp=sharing"",""ตราด!J585"")"),0)</f>
        <v>0</v>
      </c>
      <c r="BB58" s="262">
        <f ca="1">IFERROR(__xludf.DUMMYFUNCTION("IMPORTRANGE(""https://docs.google.com/spreadsheets/d/1vWPVBOAaZ6mHSI8yf95DNqHwTJ1cpeFsvqt6cxV34QA/edit?usp=sharing"",""ตราด!J586"")"),0)</f>
        <v>0</v>
      </c>
      <c r="BC58" s="261">
        <f ca="1">IFERROR(__xludf.DUMMYFUNCTION("IMPORTRANGE(""https://docs.google.com/spreadsheets/d/1vWPVBOAaZ6mHSI8yf95DNqHwTJ1cpeFsvqt6cxV34QA/edit?usp=sharing"",""ตราด!J587"")"),0)</f>
        <v>0</v>
      </c>
      <c r="BD58" s="186">
        <f ca="1">IFERROR(__xludf.DUMMYFUNCTION("IMPORTRANGE(""https://docs.google.com/spreadsheets/d/1vWPVBOAaZ6mHSI8yf95DNqHwTJ1cpeFsvqt6cxV34QA/edit?usp=sharing"",""ตราด!J588"")"),0)</f>
        <v>0</v>
      </c>
      <c r="BE58" s="261">
        <f ca="1">IFERROR(__xludf.DUMMYFUNCTION("IMPORTRANGE(""https://docs.google.com/spreadsheets/d/1vWPVBOAaZ6mHSI8yf95DNqHwTJ1cpeFsvqt6cxV34QA/edit?usp=sharing"",""ตราด!J589"")"),0)</f>
        <v>0</v>
      </c>
      <c r="BF58" s="186">
        <f ca="1">IFERROR(__xludf.DUMMYFUNCTION("IMPORTRANGE(""https://docs.google.com/spreadsheets/d/1vWPVBOAaZ6mHSI8yf95DNqHwTJ1cpeFsvqt6cxV34QA/edit?usp=sharing"",""ตราด!J590"")"),0)</f>
        <v>0</v>
      </c>
      <c r="BG58" s="261">
        <f ca="1">IFERROR(__xludf.DUMMYFUNCTION("IMPORTRANGE(""https://docs.google.com/spreadsheets/d/1vWPVBOAaZ6mHSI8yf95DNqHwTJ1cpeFsvqt6cxV34QA/edit?usp=sharing"",""ตราด!J591"")"),0)</f>
        <v>0</v>
      </c>
      <c r="BH58" s="181">
        <f ca="1">IFERROR(__xludf.DUMMYFUNCTION("IMPORTRANGE(""https://docs.google.com/spreadsheets/d/1vWPVBOAaZ6mHSI8yf95DNqHwTJ1cpeFsvqt6cxV34QA/edit?usp=sharing"",""ตราด!I593"")"),3209.04)</f>
        <v>3209.04</v>
      </c>
      <c r="BI58" s="181">
        <f ca="1">IFERROR(__xludf.DUMMYFUNCTION("IMPORTRANGE(""https://docs.google.com/spreadsheets/d/1vWPVBOAaZ6mHSI8yf95DNqHwTJ1cpeFsvqt6cxV34QA/edit?usp=sharing"",""ตราด!I594"")"),178)</f>
        <v>178</v>
      </c>
      <c r="BJ58" s="186">
        <f ca="1">IFERROR(__xludf.DUMMYFUNCTION("IMPORTRANGE(""https://docs.google.com/spreadsheets/d/1vWPVBOAaZ6mHSI8yf95DNqHwTJ1cpeFsvqt6cxV34QA/edit?usp=sharing"",""ตราด!J593"")"),0)</f>
        <v>0</v>
      </c>
      <c r="BK58" s="186">
        <f t="shared" ca="1" si="36"/>
        <v>0</v>
      </c>
      <c r="BL58" s="181">
        <f ca="1">IFERROR(__xludf.DUMMYFUNCTION("IMPORTRANGE(""https://docs.google.com/spreadsheets/d/1vWPVBOAaZ6mHSI8yf95DNqHwTJ1cpeFsvqt6cxV34QA/edit?usp=sharing"",""ตราด!J594"")"),0)</f>
        <v>0</v>
      </c>
      <c r="BM58" s="186">
        <f t="shared" ca="1" si="16"/>
        <v>0</v>
      </c>
      <c r="BN58" s="186">
        <f ca="1">IFERROR(__xludf.DUMMYFUNCTION("IMPORTRANGE(""https://docs.google.com/spreadsheets/d/1vWPVBOAaZ6mHSI8yf95DNqHwTJ1cpeFsvqt6cxV34QA/edit?usp=sharing"",""ตราด!J595"")"),0)</f>
        <v>0</v>
      </c>
      <c r="BO58" s="261">
        <f ca="1">IFERROR(__xludf.DUMMYFUNCTION("IMPORTRANGE(""https://docs.google.com/spreadsheets/d/1vWPVBOAaZ6mHSI8yf95DNqHwTJ1cpeFsvqt6cxV34QA/edit?usp=sharing"",""ตราด!J596"")"),0)</f>
        <v>0</v>
      </c>
      <c r="BP58" s="186">
        <f ca="1">IFERROR(__xludf.DUMMYFUNCTION("IMPORTRANGE(""https://docs.google.com/spreadsheets/d/1vWPVBOAaZ6mHSI8yf95DNqHwTJ1cpeFsvqt6cxV34QA/edit?usp=sharing"",""ตราด!J597"")"),0)</f>
        <v>0</v>
      </c>
      <c r="BQ58" s="261">
        <f ca="1">IFERROR(__xludf.DUMMYFUNCTION("IMPORTRANGE(""https://docs.google.com/spreadsheets/d/1vWPVBOAaZ6mHSI8yf95DNqHwTJ1cpeFsvqt6cxV34QA/edit?usp=sharing"",""ตราด!J598"")"),0)</f>
        <v>0</v>
      </c>
      <c r="BR58" s="186">
        <f ca="1">IFERROR(__xludf.DUMMYFUNCTION("IMPORTRANGE(""https://docs.google.com/spreadsheets/d/1vWPVBOAaZ6mHSI8yf95DNqHwTJ1cpeFsvqt6cxV34QA/edit?usp=sharing"",""ตราด!J599"")"),0)</f>
        <v>0</v>
      </c>
      <c r="BS58" s="261">
        <f ca="1">IFERROR(__xludf.DUMMYFUNCTION("IMPORTRANGE(""https://docs.google.com/spreadsheets/d/1vWPVBOAaZ6mHSI8yf95DNqHwTJ1cpeFsvqt6cxV34QA/edit?usp=sharing"",""ตราด!J600"")"),0)</f>
        <v>0</v>
      </c>
      <c r="BT58" s="262">
        <f ca="1">IFERROR(__xludf.DUMMYFUNCTION("IMPORTRANGE(""https://docs.google.com/spreadsheets/d/1vWPVBOAaZ6mHSI8yf95DNqHwTJ1cpeFsvqt6cxV34QA/edit?usp=sharing"",""ตราด!J601"")"),0)</f>
        <v>0</v>
      </c>
      <c r="BU58" s="261">
        <f ca="1">IFERROR(__xludf.DUMMYFUNCTION("IMPORTRANGE(""https://docs.google.com/spreadsheets/d/1vWPVBOAaZ6mHSI8yf95DNqHwTJ1cpeFsvqt6cxV34QA/edit?usp=sharing"",""ตราด!J602"")"),0)</f>
        <v>0</v>
      </c>
      <c r="BV58" s="186">
        <f ca="1">IFERROR(__xludf.DUMMYFUNCTION("IMPORTRANGE(""https://docs.google.com/spreadsheets/d/1vWPVBOAaZ6mHSI8yf95DNqHwTJ1cpeFsvqt6cxV34QA/edit?usp=sharing"",""ตราด!J603"")"),0)</f>
        <v>0</v>
      </c>
      <c r="BW58" s="261">
        <f ca="1">IFERROR(__xludf.DUMMYFUNCTION("IMPORTRANGE(""https://docs.google.com/spreadsheets/d/1vWPVBOAaZ6mHSI8yf95DNqHwTJ1cpeFsvqt6cxV34QA/edit?usp=sharing"",""ตราด!J604"")"),0)</f>
        <v>0</v>
      </c>
      <c r="BX58" s="186">
        <f ca="1">IFERROR(__xludf.DUMMYFUNCTION("IMPORTRANGE(""https://docs.google.com/spreadsheets/d/1vWPVBOAaZ6mHSI8yf95DNqHwTJ1cpeFsvqt6cxV34QA/edit?usp=sharing"",""ตราด!J605"")"),0)</f>
        <v>0</v>
      </c>
      <c r="BY58" s="261">
        <f ca="1">IFERROR(__xludf.DUMMYFUNCTION("IMPORTRANGE(""https://docs.google.com/spreadsheets/d/1vWPVBOAaZ6mHSI8yf95DNqHwTJ1cpeFsvqt6cxV34QA/edit?usp=sharing"",""ตราด!J606"")"),0)</f>
        <v>0</v>
      </c>
      <c r="BZ58" s="186">
        <f ca="1">IFERROR(__xludf.DUMMYFUNCTION("IMPORTRANGE(""https://docs.google.com/spreadsheets/d/1vWPVBOAaZ6mHSI8yf95DNqHwTJ1cpeFsvqt6cxV34QA/edit?usp=sharing"",""ตราด!J607"")"),0)</f>
        <v>0</v>
      </c>
      <c r="CA58" s="261">
        <f ca="1">IFERROR(__xludf.DUMMYFUNCTION("IMPORTRANGE(""https://docs.google.com/spreadsheets/d/1vWPVBOAaZ6mHSI8yf95DNqHwTJ1cpeFsvqt6cxV34QA/edit?usp=sharing"",""ตราด!J608"")"),0)</f>
        <v>0</v>
      </c>
      <c r="CB58" s="186">
        <f ca="1">IFERROR(__xludf.DUMMYFUNCTION("IMPORTRANGE(""https://docs.google.com/spreadsheets/d/1vWPVBOAaZ6mHSI8yf95DNqHwTJ1cpeFsvqt6cxV34QA/edit?usp=sharing"",""ตราด!J609"")"),0)</f>
        <v>0</v>
      </c>
      <c r="CC58" s="261">
        <f ca="1">IFERROR(__xludf.DUMMYFUNCTION("IMPORTRANGE(""https://docs.google.com/spreadsheets/d/1vWPVBOAaZ6mHSI8yf95DNqHwTJ1cpeFsvqt6cxV34QA/edit?usp=sharing"",""ตราด!J610"")"),0)</f>
        <v>0</v>
      </c>
      <c r="CD58" s="261">
        <f ca="1">IFERROR(__xludf.DUMMYFUNCTION("IMPORTRANGE(""https://docs.google.com/spreadsheets/d/1vWPVBOAaZ6mHSI8yf95DNqHwTJ1cpeFsvqt6cxV34QA/edit?usp=sharing"",""ตราด!I612"")"),0)</f>
        <v>0</v>
      </c>
      <c r="CE58" s="261">
        <f ca="1">IFERROR(__xludf.DUMMYFUNCTION("IMPORTRANGE(""https://docs.google.com/spreadsheets/d/1vWPVBOAaZ6mHSI8yf95DNqHwTJ1cpeFsvqt6cxV34QA/edit?usp=sharing"",""ตราด!I594"")"),178)</f>
        <v>178</v>
      </c>
      <c r="CF58" s="262">
        <f ca="1">IFERROR(__xludf.DUMMYFUNCTION("IMPORTRANGE(""https://docs.google.com/spreadsheets/d/1vWPVBOAaZ6mHSI8yf95DNqHwTJ1cpeFsvqt6cxV34QA/edit?usp=sharing"",""ตราด!J612"")"),0)</f>
        <v>0</v>
      </c>
      <c r="CG58" s="262">
        <f t="shared" ca="1" si="37"/>
        <v>0</v>
      </c>
      <c r="CH58" s="261">
        <f ca="1">IFERROR(__xludf.DUMMYFUNCTION("IMPORTRANGE(""https://docs.google.com/spreadsheets/d/1vWPVBOAaZ6mHSI8yf95DNqHwTJ1cpeFsvqt6cxV34QA/edit?usp=sharing"",""ตราด!J613"")"),0)</f>
        <v>0</v>
      </c>
      <c r="CI58" s="262">
        <f t="shared" ca="1" si="19"/>
        <v>0</v>
      </c>
      <c r="CJ58" s="186">
        <f ca="1">IFERROR(__xludf.DUMMYFUNCTION("IMPORTRANGE(""https://docs.google.com/spreadsheets/d/1vWPVBOAaZ6mHSI8yf95DNqHwTJ1cpeFsvqt6cxV34QA/edit?usp=sharing"",""ตราด!J614"")"),0)</f>
        <v>0</v>
      </c>
      <c r="CK58" s="261">
        <f ca="1">IFERROR(__xludf.DUMMYFUNCTION("IMPORTRANGE(""https://docs.google.com/spreadsheets/d/1vWPVBOAaZ6mHSI8yf95DNqHwTJ1cpeFsvqt6cxV34QA/edit?usp=sharing"",""ตราด!J615"")"),0)</f>
        <v>0</v>
      </c>
      <c r="CL58" s="186">
        <f ca="1">IFERROR(__xludf.DUMMYFUNCTION("IMPORTRANGE(""https://docs.google.com/spreadsheets/d/1vWPVBOAaZ6mHSI8yf95DNqHwTJ1cpeFsvqt6cxV34QA/edit?usp=sharing"",""ตราด!J616"")"),0)</f>
        <v>0</v>
      </c>
      <c r="CM58" s="261">
        <f ca="1">IFERROR(__xludf.DUMMYFUNCTION("IMPORTRANGE(""https://docs.google.com/spreadsheets/d/1vWPVBOAaZ6mHSI8yf95DNqHwTJ1cpeFsvqt6cxV34QA/edit?usp=sharing"",""ตราด!J617"")"),0)</f>
        <v>0</v>
      </c>
      <c r="CN58" s="261">
        <f ca="1">IFERROR(__xludf.DUMMYFUNCTION("IMPORTRANGE(""https://docs.google.com/spreadsheets/d/1vWPVBOAaZ6mHSI8yf95DNqHwTJ1cpeFsvqt6cxV34QA/edit?usp=sharing"",""ตราด!I620"")"),0)</f>
        <v>0</v>
      </c>
      <c r="CO58" s="261">
        <f ca="1">IFERROR(__xludf.DUMMYFUNCTION("IMPORTRANGE(""https://docs.google.com/spreadsheets/d/1vWPVBOAaZ6mHSI8yf95DNqHwTJ1cpeFsvqt6cxV34QA/edit?usp=sharing"",""ตราด!I621"")"),0)</f>
        <v>0</v>
      </c>
      <c r="CP58" s="262">
        <f ca="1">IFERROR(__xludf.DUMMYFUNCTION("IMPORTRANGE(""https://docs.google.com/spreadsheets/d/1vWPVBOAaZ6mHSI8yf95DNqHwTJ1cpeFsvqt6cxV34QA/edit?usp=sharing"",""ตราด!J620"")"),0)</f>
        <v>0</v>
      </c>
      <c r="CQ58" s="262">
        <f t="shared" ca="1" si="38"/>
        <v>0</v>
      </c>
      <c r="CR58" s="261">
        <f ca="1">IFERROR(__xludf.DUMMYFUNCTION("IMPORTRANGE(""https://docs.google.com/spreadsheets/d/1vWPVBOAaZ6mHSI8yf95DNqHwTJ1cpeFsvqt6cxV34QA/edit?usp=sharing"",""ตราด!J621"")"),0)</f>
        <v>0</v>
      </c>
      <c r="CS58" s="262">
        <f t="shared" ca="1" si="22"/>
        <v>0</v>
      </c>
      <c r="CT58" s="186">
        <f ca="1">IFERROR(__xludf.DUMMYFUNCTION("IMPORTRANGE(""https://docs.google.com/spreadsheets/d/1vWPVBOAaZ6mHSI8yf95DNqHwTJ1cpeFsvqt6cxV34QA/edit?usp=sharing"",""ตราด!J622"")"),0)</f>
        <v>0</v>
      </c>
      <c r="CU58" s="261">
        <f ca="1">IFERROR(__xludf.DUMMYFUNCTION("IMPORTRANGE(""https://docs.google.com/spreadsheets/d/1vWPVBOAaZ6mHSI8yf95DNqHwTJ1cpeFsvqt6cxV34QA/edit?usp=sharing"",""ตราด!J623"")"),0)</f>
        <v>0</v>
      </c>
      <c r="CV58" s="186">
        <f ca="1">IFERROR(__xludf.DUMMYFUNCTION("IMPORTRANGE(""https://docs.google.com/spreadsheets/d/1vWPVBOAaZ6mHSI8yf95DNqHwTJ1cpeFsvqt6cxV34QA/edit?usp=sharing"",""ตราด!J624"")"),0)</f>
        <v>0</v>
      </c>
      <c r="CW58" s="261">
        <f ca="1">IFERROR(__xludf.DUMMYFUNCTION("IMPORTRANGE(""https://docs.google.com/spreadsheets/d/1vWPVBOAaZ6mHSI8yf95DNqHwTJ1cpeFsvqt6cxV34QA/edit?usp=sharing"",""ตราด!J625"")"),0)</f>
        <v>0</v>
      </c>
      <c r="CX58" s="186">
        <f ca="1">IFERROR(__xludf.DUMMYFUNCTION("IMPORTRANGE(""https://docs.google.com/spreadsheets/d/1vWPVBOAaZ6mHSI8yf95DNqHwTJ1cpeFsvqt6cxV34QA/edit?usp=sharing"",""ตราด!J626"")"),0)</f>
        <v>0</v>
      </c>
      <c r="CY58" s="261">
        <f ca="1">IFERROR(__xludf.DUMMYFUNCTION("IMPORTRANGE(""https://docs.google.com/spreadsheets/d/1vWPVBOAaZ6mHSI8yf95DNqHwTJ1cpeFsvqt6cxV34QA/edit?usp=sharing"",""ตราด!J627"")"),0)</f>
        <v>0</v>
      </c>
    </row>
    <row r="59" spans="1:103" ht="21" customHeight="1" x14ac:dyDescent="0.3">
      <c r="A59" s="178">
        <v>7</v>
      </c>
      <c r="B59" s="179" t="s">
        <v>76</v>
      </c>
      <c r="C59" s="180">
        <f t="shared" ca="1" si="71"/>
        <v>120300</v>
      </c>
      <c r="D59" s="181">
        <f ca="1">IFERROR(__xludf.DUMMYFUNCTION("IMPORTRANGE(""https://docs.google.com/spreadsheets/d/1phaeSb9lTGgzDpbvVqI9hfmOQQzUom07-HEvpbARzEg/edit?usp=sharing"",""นครนายก!L549"")"),120300)</f>
        <v>120300</v>
      </c>
      <c r="E59" s="187">
        <f ca="1">IFERROR(__xludf.DUMMYFUNCTION("IMPORTRANGE(""https://docs.google.com/spreadsheets/d/1phaeSb9lTGgzDpbvVqI9hfmOQQzUom07-HEvpbARzEg/edit?usp=sharing"",""นครนายก!L557"")"),0)</f>
        <v>0</v>
      </c>
      <c r="F59" s="182">
        <f t="shared" ca="1" si="1"/>
        <v>0</v>
      </c>
      <c r="G59" s="183">
        <f t="shared" ca="1" si="2"/>
        <v>0</v>
      </c>
      <c r="H59" s="184">
        <f t="shared" ca="1" si="72"/>
        <v>0</v>
      </c>
      <c r="I59" s="187">
        <f ca="1">IFERROR(__xludf.DUMMYFUNCTION("IMPORTRANGE(""https://docs.google.com/spreadsheets/d/1phaeSb9lTGgzDpbvVqI9hfmOQQzUom07-HEvpbARzEg/edit?usp=sharing"",""นครนายก!N550"")"),0)</f>
        <v>0</v>
      </c>
      <c r="J59" s="187">
        <f ca="1">IFERROR(__xludf.DUMMYFUNCTION("IMPORTRANGE(""https://docs.google.com/spreadsheets/d/1phaeSb9lTGgzDpbvVqI9hfmOQQzUom07-HEvpbARzEg/edit?usp=sharing"",""นครนายก!N551"")"),0)</f>
        <v>0</v>
      </c>
      <c r="K59" s="187">
        <f ca="1">IFERROR(__xludf.DUMMYFUNCTION("IMPORTRANGE(""https://docs.google.com/spreadsheets/d/1phaeSb9lTGgzDpbvVqI9hfmOQQzUom07-HEvpbARzEg/edit?usp=sharing"",""นครนายก!N552"")"),0)</f>
        <v>0</v>
      </c>
      <c r="L59" s="187">
        <f ca="1">IFERROR(__xludf.DUMMYFUNCTION("IMPORTRANGE(""https://docs.google.com/spreadsheets/d/1phaeSb9lTGgzDpbvVqI9hfmOQQzUom07-HEvpbARzEg/edit?usp=sharing"",""นครนายก!N553"")"),0)</f>
        <v>0</v>
      </c>
      <c r="M59" s="187">
        <f ca="1">IFERROR(__xludf.DUMMYFUNCTION("IMPORTRANGE(""https://docs.google.com/spreadsheets/d/1phaeSb9lTGgzDpbvVqI9hfmOQQzUom07-HEvpbARzEg/edit?usp=sharing"",""นครนายก!N554"")"),0)</f>
        <v>0</v>
      </c>
      <c r="N59" s="185">
        <f ca="1">IFERROR(__xludf.DUMMYFUNCTION("IMPORTRANGE(""https://docs.google.com/spreadsheets/d/1phaeSb9lTGgzDpbvVqI9hfmOQQzUom07-HEvpbARzEg/edit?usp=sharing"",""นครนายก!N557"")"),0)</f>
        <v>0</v>
      </c>
      <c r="O59" s="185">
        <f t="shared" ca="1" si="41"/>
        <v>0</v>
      </c>
      <c r="P59" s="181">
        <f ca="1">IFERROR(__xludf.DUMMYFUNCTION("IMPORTRANGE(""https://docs.google.com/spreadsheets/d/1phaeSb9lTGgzDpbvVqI9hfmOQQzUom07-HEvpbARzEg/edit?usp=sharing"",""นครนายก!I560"")"),0)</f>
        <v>0</v>
      </c>
      <c r="Q59" s="181">
        <f ca="1">IFERROR(__xludf.DUMMYFUNCTION("IMPORTRANGE(""https://docs.google.com/spreadsheets/d/1phaeSb9lTGgzDpbvVqI9hfmOQQzUom07-HEvpbARzEg/edit?usp=sharing"",""นครนายก!I561"")"),0)</f>
        <v>0</v>
      </c>
      <c r="R59" s="186">
        <f ca="1">IFERROR(__xludf.DUMMYFUNCTION("IMPORTRANGE(""https://docs.google.com/spreadsheets/d/1phaeSb9lTGgzDpbvVqI9hfmOQQzUom07-HEvpbARzEg/edit?usp=sharing"",""นครนายก!J560"")"),0)</f>
        <v>0</v>
      </c>
      <c r="S59" s="186">
        <f t="shared" ca="1" si="33"/>
        <v>0</v>
      </c>
      <c r="T59" s="181">
        <f ca="1">IFERROR(__xludf.DUMMYFUNCTION("IMPORTRANGE(""https://docs.google.com/spreadsheets/d/1phaeSb9lTGgzDpbvVqI9hfmOQQzUom07-HEvpbARzEg/edit?usp=sharing"",""นครนายก!J561"")"),0)</f>
        <v>0</v>
      </c>
      <c r="U59" s="186">
        <f t="shared" ca="1" si="7"/>
        <v>0</v>
      </c>
      <c r="V59" s="186">
        <f ca="1">IFERROR(__xludf.DUMMYFUNCTION("IMPORTRANGE(""https://docs.google.com/spreadsheets/d/1phaeSb9lTGgzDpbvVqI9hfmOQQzUom07-HEvpbARzEg/edit?usp=sharing"",""นครนายก!J562"")"),0)</f>
        <v>0</v>
      </c>
      <c r="W59" s="261">
        <f ca="1">IFERROR(__xludf.DUMMYFUNCTION("IMPORTRANGE(""https://docs.google.com/spreadsheets/d/1phaeSb9lTGgzDpbvVqI9hfmOQQzUom07-HEvpbARzEg/edit?usp=sharing"",""นครนายก!J563"")"),0)</f>
        <v>0</v>
      </c>
      <c r="X59" s="186">
        <f ca="1">IFERROR(__xludf.DUMMYFUNCTION("IMPORTRANGE(""https://docs.google.com/spreadsheets/d/1phaeSb9lTGgzDpbvVqI9hfmOQQzUom07-HEvpbARzEg/edit?usp=sharing"",""นครนายก!J564"")"),0)</f>
        <v>0</v>
      </c>
      <c r="Y59" s="261">
        <f ca="1">IFERROR(__xludf.DUMMYFUNCTION("IMPORTRANGE(""https://docs.google.com/spreadsheets/d/1phaeSb9lTGgzDpbvVqI9hfmOQQzUom07-HEvpbARzEg/edit?usp=sharing"",""นครนายก!J565"")"),0)</f>
        <v>0</v>
      </c>
      <c r="Z59" s="186">
        <f ca="1">IFERROR(__xludf.DUMMYFUNCTION("IMPORTRANGE(""https://docs.google.com/spreadsheets/d/1phaeSb9lTGgzDpbvVqI9hfmOQQzUom07-HEvpbARzEg/edit?usp=sharing"",""นครนายก!J566"")"),0)</f>
        <v>0</v>
      </c>
      <c r="AA59" s="261">
        <f ca="1">IFERROR(__xludf.DUMMYFUNCTION("IMPORTRANGE(""https://docs.google.com/spreadsheets/d/1phaeSb9lTGgzDpbvVqI9hfmOQQzUom07-HEvpbARzEg/edit?usp=sharing"",""นครนายก!J567"")"),0)</f>
        <v>0</v>
      </c>
      <c r="AB59" s="181">
        <f ca="1">IFERROR(__xludf.DUMMYFUNCTION("IMPORTRANGE(""https://docs.google.com/spreadsheets/d/1phaeSb9lTGgzDpbvVqI9hfmOQQzUom07-HEvpbARzEg/edit?usp=sharing"",""นครนายก!I568"")"),0)</f>
        <v>0</v>
      </c>
      <c r="AC59" s="181">
        <f ca="1">IFERROR(__xludf.DUMMYFUNCTION("IMPORTRANGE(""https://docs.google.com/spreadsheets/d/1phaeSb9lTGgzDpbvVqI9hfmOQQzUom07-HEvpbARzEg/edit?usp=sharing"",""นครนายก!I569"")"),0)</f>
        <v>0</v>
      </c>
      <c r="AD59" s="186">
        <f ca="1">IFERROR(__xludf.DUMMYFUNCTION("IMPORTRANGE(""https://docs.google.com/spreadsheets/d/1phaeSb9lTGgzDpbvVqI9hfmOQQzUom07-HEvpbARzEg/edit?usp=sharing"",""นครนายก!J568"")"),0)</f>
        <v>0</v>
      </c>
      <c r="AE59" s="186">
        <f t="shared" ca="1" si="34"/>
        <v>0</v>
      </c>
      <c r="AF59" s="181">
        <f ca="1">IFERROR(__xludf.DUMMYFUNCTION("IMPORTRANGE(""https://docs.google.com/spreadsheets/d/1phaeSb9lTGgzDpbvVqI9hfmOQQzUom07-HEvpbARzEg/edit?usp=sharing"",""นครนายก!J569"")"),0)</f>
        <v>0</v>
      </c>
      <c r="AG59" s="186">
        <f t="shared" ca="1" si="10"/>
        <v>0</v>
      </c>
      <c r="AH59" s="186">
        <f ca="1">IFERROR(__xludf.DUMMYFUNCTION("IMPORTRANGE(""https://docs.google.com/spreadsheets/d/1phaeSb9lTGgzDpbvVqI9hfmOQQzUom07-HEvpbARzEg/edit?usp=sharing"",""นครนายก!J570"")"),0)</f>
        <v>0</v>
      </c>
      <c r="AI59" s="261">
        <f ca="1">IFERROR(__xludf.DUMMYFUNCTION("IMPORTRANGE(""https://docs.google.com/spreadsheets/d/1phaeSb9lTGgzDpbvVqI9hfmOQQzUom07-HEvpbARzEg/edit?usp=sharing"",""นครนายก!J571"")"),0)</f>
        <v>0</v>
      </c>
      <c r="AJ59" s="186">
        <f ca="1">IFERROR(__xludf.DUMMYFUNCTION("IMPORTRANGE(""https://docs.google.com/spreadsheets/d/1phaeSb9lTGgzDpbvVqI9hfmOQQzUom07-HEvpbARzEg/edit?usp=sharing"",""นครนายก!J572"")"),0)</f>
        <v>0</v>
      </c>
      <c r="AK59" s="261">
        <f ca="1">IFERROR(__xludf.DUMMYFUNCTION("IMPORTRANGE(""https://docs.google.com/spreadsheets/d/1phaeSb9lTGgzDpbvVqI9hfmOQQzUom07-HEvpbARzEg/edit?usp=sharing"",""นครนายก!J573"")"),0)</f>
        <v>0</v>
      </c>
      <c r="AL59" s="186">
        <f ca="1">IFERROR(__xludf.DUMMYFUNCTION("IMPORTRANGE(""https://docs.google.com/spreadsheets/d/1phaeSb9lTGgzDpbvVqI9hfmOQQzUom07-HEvpbARzEg/edit?usp=sharing"",""นครนายก!J574"")"),0)</f>
        <v>0</v>
      </c>
      <c r="AM59" s="261">
        <f ca="1">IFERROR(__xludf.DUMMYFUNCTION("IMPORTRANGE(""https://docs.google.com/spreadsheets/d/1phaeSb9lTGgzDpbvVqI9hfmOQQzUom07-HEvpbARzEg/edit?usp=sharing"",""นครนายก!J575"")"),0)</f>
        <v>0</v>
      </c>
      <c r="AN59" s="181">
        <f ca="1">IFERROR(__xludf.DUMMYFUNCTION("IMPORTRANGE(""https://docs.google.com/spreadsheets/d/1phaeSb9lTGgzDpbvVqI9hfmOQQzUom07-HEvpbARzEg/edit?usp=sharing"",""นครนายก!I576"")"),0)</f>
        <v>0</v>
      </c>
      <c r="AO59" s="181">
        <f ca="1">IFERROR(__xludf.DUMMYFUNCTION("IMPORTRANGE(""https://docs.google.com/spreadsheets/d/1phaeSb9lTGgzDpbvVqI9hfmOQQzUom07-HEvpbARzEg/edit?usp=sharing"",""นครนายก!I577"")"),0)</f>
        <v>0</v>
      </c>
      <c r="AP59" s="186">
        <f ca="1">IFERROR(__xludf.DUMMYFUNCTION("IMPORTRANGE(""https://docs.google.com/spreadsheets/d/1phaeSb9lTGgzDpbvVqI9hfmOQQzUom07-HEvpbARzEg/edit?usp=sharing"",""นครนายก!J576"")"),0)</f>
        <v>0</v>
      </c>
      <c r="AQ59" s="186">
        <f t="shared" ca="1" si="35"/>
        <v>0</v>
      </c>
      <c r="AR59" s="181">
        <f ca="1">IFERROR(__xludf.DUMMYFUNCTION("IMPORTRANGE(""https://docs.google.com/spreadsheets/d/1phaeSb9lTGgzDpbvVqI9hfmOQQzUom07-HEvpbARzEg/edit?usp=sharing"",""นครนายก!J577"")"),0)</f>
        <v>0</v>
      </c>
      <c r="AS59" s="186">
        <f t="shared" ca="1" si="13"/>
        <v>0</v>
      </c>
      <c r="AT59" s="186">
        <f ca="1">IFERROR(__xludf.DUMMYFUNCTION("IMPORTRANGE(""https://docs.google.com/spreadsheets/d/1phaeSb9lTGgzDpbvVqI9hfmOQQzUom07-HEvpbARzEg/edit?usp=sharing"",""นครนายก!J578"")"),0)</f>
        <v>0</v>
      </c>
      <c r="AU59" s="261">
        <f ca="1">IFERROR(__xludf.DUMMYFUNCTION("IMPORTRANGE(""https://docs.google.com/spreadsheets/d/1phaeSb9lTGgzDpbvVqI9hfmOQQzUom07-HEvpbARzEg/edit?usp=sharing"",""นครนายก!J579"")"),0)</f>
        <v>0</v>
      </c>
      <c r="AV59" s="186">
        <f ca="1">IFERROR(__xludf.DUMMYFUNCTION("IMPORTRANGE(""https://docs.google.com/spreadsheets/d/1phaeSb9lTGgzDpbvVqI9hfmOQQzUom07-HEvpbARzEg/edit?usp=sharing"",""นครนายก!J580"")"),0)</f>
        <v>0</v>
      </c>
      <c r="AW59" s="261">
        <f ca="1">IFERROR(__xludf.DUMMYFUNCTION("IMPORTRANGE(""https://docs.google.com/spreadsheets/d/1phaeSb9lTGgzDpbvVqI9hfmOQQzUom07-HEvpbARzEg/edit?usp=sharing"",""นครนายก!J581"")"),0)</f>
        <v>0</v>
      </c>
      <c r="AX59" s="186">
        <f ca="1">IFERROR(__xludf.DUMMYFUNCTION("IMPORTRANGE(""https://docs.google.com/spreadsheets/d/1phaeSb9lTGgzDpbvVqI9hfmOQQzUom07-HEvpbARzEg/edit?usp=sharing"",""นครนายก!J582"")"),0)</f>
        <v>0</v>
      </c>
      <c r="AY59" s="261">
        <f ca="1">IFERROR(__xludf.DUMMYFUNCTION("IMPORTRANGE(""https://docs.google.com/spreadsheets/d/1phaeSb9lTGgzDpbvVqI9hfmOQQzUom07-HEvpbARzEg/edit?usp=sharing"",""นครนายก!J583"")"),0)</f>
        <v>0</v>
      </c>
      <c r="AZ59" s="262">
        <f ca="1">IFERROR(__xludf.DUMMYFUNCTION("IMPORTRANGE(""https://docs.google.com/spreadsheets/d/1phaeSb9lTGgzDpbvVqI9hfmOQQzUom07-HEvpbARzEg/edit?usp=sharing"",""นครนายก!J584"")"),0)</f>
        <v>0</v>
      </c>
      <c r="BA59" s="261">
        <f ca="1">IFERROR(__xludf.DUMMYFUNCTION("IMPORTRANGE(""https://docs.google.com/spreadsheets/d/1phaeSb9lTGgzDpbvVqI9hfmOQQzUom07-HEvpbARzEg/edit?usp=sharing"",""นครนายก!J585"")"),0)</f>
        <v>0</v>
      </c>
      <c r="BB59" s="262">
        <f ca="1">IFERROR(__xludf.DUMMYFUNCTION("IMPORTRANGE(""https://docs.google.com/spreadsheets/d/1phaeSb9lTGgzDpbvVqI9hfmOQQzUom07-HEvpbARzEg/edit?usp=sharing"",""นครนายก!J586"")"),0)</f>
        <v>0</v>
      </c>
      <c r="BC59" s="261">
        <f ca="1">IFERROR(__xludf.DUMMYFUNCTION("IMPORTRANGE(""https://docs.google.com/spreadsheets/d/1phaeSb9lTGgzDpbvVqI9hfmOQQzUom07-HEvpbARzEg/edit?usp=sharing"",""นครนายก!J587"")"),0)</f>
        <v>0</v>
      </c>
      <c r="BD59" s="186">
        <f ca="1">IFERROR(__xludf.DUMMYFUNCTION("IMPORTRANGE(""https://docs.google.com/spreadsheets/d/1phaeSb9lTGgzDpbvVqI9hfmOQQzUom07-HEvpbARzEg/edit?usp=sharing"",""นครนายก!J588"")"),0)</f>
        <v>0</v>
      </c>
      <c r="BE59" s="261">
        <f ca="1">IFERROR(__xludf.DUMMYFUNCTION("IMPORTRANGE(""https://docs.google.com/spreadsheets/d/1phaeSb9lTGgzDpbvVqI9hfmOQQzUom07-HEvpbARzEg/edit?usp=sharing"",""นครนายก!J589"")"),0)</f>
        <v>0</v>
      </c>
      <c r="BF59" s="186">
        <f ca="1">IFERROR(__xludf.DUMMYFUNCTION("IMPORTRANGE(""https://docs.google.com/spreadsheets/d/1phaeSb9lTGgzDpbvVqI9hfmOQQzUom07-HEvpbARzEg/edit?usp=sharing"",""นครนายก!J590"")"),0)</f>
        <v>0</v>
      </c>
      <c r="BG59" s="261">
        <f ca="1">IFERROR(__xludf.DUMMYFUNCTION("IMPORTRANGE(""https://docs.google.com/spreadsheets/d/1phaeSb9lTGgzDpbvVqI9hfmOQQzUom07-HEvpbARzEg/edit?usp=sharing"",""นครนายก!J591"")"),0)</f>
        <v>0</v>
      </c>
      <c r="BH59" s="181">
        <f ca="1">IFERROR(__xludf.DUMMYFUNCTION("IMPORTRANGE(""https://docs.google.com/spreadsheets/d/1phaeSb9lTGgzDpbvVqI9hfmOQQzUom07-HEvpbARzEg/edit?usp=sharing"",""นครนายก!I593"")"),3540.25)</f>
        <v>3540.25</v>
      </c>
      <c r="BI59" s="181">
        <f ca="1">IFERROR(__xludf.DUMMYFUNCTION("IMPORTRANGE(""https://docs.google.com/spreadsheets/d/1phaeSb9lTGgzDpbvVqI9hfmOQQzUom07-HEvpbARzEg/edit?usp=sharing"",""นครนายก!I594"")"),181)</f>
        <v>181</v>
      </c>
      <c r="BJ59" s="186">
        <f ca="1">IFERROR(__xludf.DUMMYFUNCTION("IMPORTRANGE(""https://docs.google.com/spreadsheets/d/1phaeSb9lTGgzDpbvVqI9hfmOQQzUom07-HEvpbARzEg/edit?usp=sharing"",""นครนายก!J593"")"),0)</f>
        <v>0</v>
      </c>
      <c r="BK59" s="186">
        <f t="shared" ca="1" si="36"/>
        <v>0</v>
      </c>
      <c r="BL59" s="181">
        <f ca="1">IFERROR(__xludf.DUMMYFUNCTION("IMPORTRANGE(""https://docs.google.com/spreadsheets/d/1phaeSb9lTGgzDpbvVqI9hfmOQQzUom07-HEvpbARzEg/edit?usp=sharing"",""นครนายก!J594"")"),0)</f>
        <v>0</v>
      </c>
      <c r="BM59" s="186">
        <f t="shared" ca="1" si="16"/>
        <v>0</v>
      </c>
      <c r="BN59" s="186">
        <f ca="1">IFERROR(__xludf.DUMMYFUNCTION("IMPORTRANGE(""https://docs.google.com/spreadsheets/d/1phaeSb9lTGgzDpbvVqI9hfmOQQzUom07-HEvpbARzEg/edit?usp=sharing"",""นครนายก!J595"")"),0)</f>
        <v>0</v>
      </c>
      <c r="BO59" s="261">
        <f ca="1">IFERROR(__xludf.DUMMYFUNCTION("IMPORTRANGE(""https://docs.google.com/spreadsheets/d/1phaeSb9lTGgzDpbvVqI9hfmOQQzUom07-HEvpbARzEg/edit?usp=sharing"",""นครนายก!J596"")"),0)</f>
        <v>0</v>
      </c>
      <c r="BP59" s="186">
        <f ca="1">IFERROR(__xludf.DUMMYFUNCTION("IMPORTRANGE(""https://docs.google.com/spreadsheets/d/1phaeSb9lTGgzDpbvVqI9hfmOQQzUom07-HEvpbARzEg/edit?usp=sharing"",""นครนายก!J597"")"),0)</f>
        <v>0</v>
      </c>
      <c r="BQ59" s="261">
        <f ca="1">IFERROR(__xludf.DUMMYFUNCTION("IMPORTRANGE(""https://docs.google.com/spreadsheets/d/1phaeSb9lTGgzDpbvVqI9hfmOQQzUom07-HEvpbARzEg/edit?usp=sharing"",""นครนายก!J598"")"),0)</f>
        <v>0</v>
      </c>
      <c r="BR59" s="186">
        <f ca="1">IFERROR(__xludf.DUMMYFUNCTION("IMPORTRANGE(""https://docs.google.com/spreadsheets/d/1phaeSb9lTGgzDpbvVqI9hfmOQQzUom07-HEvpbARzEg/edit?usp=sharing"",""นครนายก!J599"")"),0)</f>
        <v>0</v>
      </c>
      <c r="BS59" s="261">
        <f ca="1">IFERROR(__xludf.DUMMYFUNCTION("IMPORTRANGE(""https://docs.google.com/spreadsheets/d/1phaeSb9lTGgzDpbvVqI9hfmOQQzUom07-HEvpbARzEg/edit?usp=sharing"",""นครนายก!J600"")"),0)</f>
        <v>0</v>
      </c>
      <c r="BT59" s="262">
        <f ca="1">IFERROR(__xludf.DUMMYFUNCTION("IMPORTRANGE(""https://docs.google.com/spreadsheets/d/1phaeSb9lTGgzDpbvVqI9hfmOQQzUom07-HEvpbARzEg/edit?usp=sharing"",""นครนายก!J601"")"),0)</f>
        <v>0</v>
      </c>
      <c r="BU59" s="261">
        <f ca="1">IFERROR(__xludf.DUMMYFUNCTION("IMPORTRANGE(""https://docs.google.com/spreadsheets/d/1phaeSb9lTGgzDpbvVqI9hfmOQQzUom07-HEvpbARzEg/edit?usp=sharing"",""นครนายก!J602"")"),0)</f>
        <v>0</v>
      </c>
      <c r="BV59" s="186">
        <f ca="1">IFERROR(__xludf.DUMMYFUNCTION("IMPORTRANGE(""https://docs.google.com/spreadsheets/d/1phaeSb9lTGgzDpbvVqI9hfmOQQzUom07-HEvpbARzEg/edit?usp=sharing"",""นครนายก!J603"")"),0)</f>
        <v>0</v>
      </c>
      <c r="BW59" s="261">
        <f ca="1">IFERROR(__xludf.DUMMYFUNCTION("IMPORTRANGE(""https://docs.google.com/spreadsheets/d/1phaeSb9lTGgzDpbvVqI9hfmOQQzUom07-HEvpbARzEg/edit?usp=sharing"",""นครนายก!J604"")"),0)</f>
        <v>0</v>
      </c>
      <c r="BX59" s="186">
        <f ca="1">IFERROR(__xludf.DUMMYFUNCTION("IMPORTRANGE(""https://docs.google.com/spreadsheets/d/1phaeSb9lTGgzDpbvVqI9hfmOQQzUom07-HEvpbARzEg/edit?usp=sharing"",""นครนายก!J605"")"),0)</f>
        <v>0</v>
      </c>
      <c r="BY59" s="261">
        <f ca="1">IFERROR(__xludf.DUMMYFUNCTION("IMPORTRANGE(""https://docs.google.com/spreadsheets/d/1phaeSb9lTGgzDpbvVqI9hfmOQQzUom07-HEvpbARzEg/edit?usp=sharing"",""นครนายก!J606"")"),0)</f>
        <v>0</v>
      </c>
      <c r="BZ59" s="186">
        <f ca="1">IFERROR(__xludf.DUMMYFUNCTION("IMPORTRANGE(""https://docs.google.com/spreadsheets/d/1phaeSb9lTGgzDpbvVqI9hfmOQQzUom07-HEvpbARzEg/edit?usp=sharing"",""นครนายก!J607"")"),0)</f>
        <v>0</v>
      </c>
      <c r="CA59" s="261">
        <f ca="1">IFERROR(__xludf.DUMMYFUNCTION("IMPORTRANGE(""https://docs.google.com/spreadsheets/d/1phaeSb9lTGgzDpbvVqI9hfmOQQzUom07-HEvpbARzEg/edit?usp=sharing"",""นครนายก!J608"")"),0)</f>
        <v>0</v>
      </c>
      <c r="CB59" s="186">
        <f ca="1">IFERROR(__xludf.DUMMYFUNCTION("IMPORTRANGE(""https://docs.google.com/spreadsheets/d/1phaeSb9lTGgzDpbvVqI9hfmOQQzUom07-HEvpbARzEg/edit?usp=sharing"",""นครนายก!J609"")"),0)</f>
        <v>0</v>
      </c>
      <c r="CC59" s="261">
        <f ca="1">IFERROR(__xludf.DUMMYFUNCTION("IMPORTRANGE(""https://docs.google.com/spreadsheets/d/1phaeSb9lTGgzDpbvVqI9hfmOQQzUom07-HEvpbARzEg/edit?usp=sharing"",""นครนายก!J610"")"),0)</f>
        <v>0</v>
      </c>
      <c r="CD59" s="261">
        <f ca="1">IFERROR(__xludf.DUMMYFUNCTION("IMPORTRANGE(""https://docs.google.com/spreadsheets/d/1phaeSb9lTGgzDpbvVqI9hfmOQQzUom07-HEvpbARzEg/edit?usp=sharing"",""นครนายก!I612"")"),0)</f>
        <v>0</v>
      </c>
      <c r="CE59" s="261">
        <f ca="1">IFERROR(__xludf.DUMMYFUNCTION("IMPORTRANGE(""https://docs.google.com/spreadsheets/d/1phaeSb9lTGgzDpbvVqI9hfmOQQzUom07-HEvpbARzEg/edit?usp=sharing"",""นครนายก!I594"")"),181)</f>
        <v>181</v>
      </c>
      <c r="CF59" s="262">
        <f ca="1">IFERROR(__xludf.DUMMYFUNCTION("IMPORTRANGE(""https://docs.google.com/spreadsheets/d/1phaeSb9lTGgzDpbvVqI9hfmOQQzUom07-HEvpbARzEg/edit?usp=sharing"",""นครนายก!J612"")"),0)</f>
        <v>0</v>
      </c>
      <c r="CG59" s="262">
        <f t="shared" ca="1" si="37"/>
        <v>0</v>
      </c>
      <c r="CH59" s="261">
        <f ca="1">IFERROR(__xludf.DUMMYFUNCTION("IMPORTRANGE(""https://docs.google.com/spreadsheets/d/1phaeSb9lTGgzDpbvVqI9hfmOQQzUom07-HEvpbARzEg/edit?usp=sharing"",""นครนายก!J613"")"),0)</f>
        <v>0</v>
      </c>
      <c r="CI59" s="262">
        <f t="shared" ca="1" si="19"/>
        <v>0</v>
      </c>
      <c r="CJ59" s="186">
        <f ca="1">IFERROR(__xludf.DUMMYFUNCTION("IMPORTRANGE(""https://docs.google.com/spreadsheets/d/1phaeSb9lTGgzDpbvVqI9hfmOQQzUom07-HEvpbARzEg/edit?usp=sharing"",""นครนายก!J614"")"),0)</f>
        <v>0</v>
      </c>
      <c r="CK59" s="261">
        <f ca="1">IFERROR(__xludf.DUMMYFUNCTION("IMPORTRANGE(""https://docs.google.com/spreadsheets/d/1phaeSb9lTGgzDpbvVqI9hfmOQQzUom07-HEvpbARzEg/edit?usp=sharing"",""นครนายก!J615"")"),0)</f>
        <v>0</v>
      </c>
      <c r="CL59" s="186">
        <f ca="1">IFERROR(__xludf.DUMMYFUNCTION("IMPORTRANGE(""https://docs.google.com/spreadsheets/d/1phaeSb9lTGgzDpbvVqI9hfmOQQzUom07-HEvpbARzEg/edit?usp=sharing"",""นครนายก!J616"")"),0)</f>
        <v>0</v>
      </c>
      <c r="CM59" s="261">
        <f ca="1">IFERROR(__xludf.DUMMYFUNCTION("IMPORTRANGE(""https://docs.google.com/spreadsheets/d/1phaeSb9lTGgzDpbvVqI9hfmOQQzUom07-HEvpbARzEg/edit?usp=sharing"",""นครนายก!J617"")"),0)</f>
        <v>0</v>
      </c>
      <c r="CN59" s="261">
        <f ca="1">IFERROR(__xludf.DUMMYFUNCTION("IMPORTRANGE(""https://docs.google.com/spreadsheets/d/1phaeSb9lTGgzDpbvVqI9hfmOQQzUom07-HEvpbARzEg/edit?usp=sharing"",""นครนายก!I620"")"),0)</f>
        <v>0</v>
      </c>
      <c r="CO59" s="261">
        <f ca="1">IFERROR(__xludf.DUMMYFUNCTION("IMPORTRANGE(""https://docs.google.com/spreadsheets/d/1phaeSb9lTGgzDpbvVqI9hfmOQQzUom07-HEvpbARzEg/edit?usp=sharing"",""นครนายก!I621"")"),0)</f>
        <v>0</v>
      </c>
      <c r="CP59" s="262">
        <f ca="1">IFERROR(__xludf.DUMMYFUNCTION("IMPORTRANGE(""https://docs.google.com/spreadsheets/d/1phaeSb9lTGgzDpbvVqI9hfmOQQzUom07-HEvpbARzEg/edit?usp=sharing"",""นครนายก!J620"")"),0)</f>
        <v>0</v>
      </c>
      <c r="CQ59" s="262">
        <f t="shared" ca="1" si="38"/>
        <v>0</v>
      </c>
      <c r="CR59" s="261">
        <f ca="1">IFERROR(__xludf.DUMMYFUNCTION("IMPORTRANGE(""https://docs.google.com/spreadsheets/d/1phaeSb9lTGgzDpbvVqI9hfmOQQzUom07-HEvpbARzEg/edit?usp=sharing"",""นครนายก!J621"")"),0)</f>
        <v>0</v>
      </c>
      <c r="CS59" s="262">
        <f t="shared" ca="1" si="22"/>
        <v>0</v>
      </c>
      <c r="CT59" s="186">
        <f ca="1">IFERROR(__xludf.DUMMYFUNCTION("IMPORTRANGE(""https://docs.google.com/spreadsheets/d/1phaeSb9lTGgzDpbvVqI9hfmOQQzUom07-HEvpbARzEg/edit?usp=sharing"",""นครนายก!J622"")"),0)</f>
        <v>0</v>
      </c>
      <c r="CU59" s="261">
        <f ca="1">IFERROR(__xludf.DUMMYFUNCTION("IMPORTRANGE(""https://docs.google.com/spreadsheets/d/1phaeSb9lTGgzDpbvVqI9hfmOQQzUom07-HEvpbARzEg/edit?usp=sharing"",""นครนายก!J623"")"),0)</f>
        <v>0</v>
      </c>
      <c r="CV59" s="186">
        <f ca="1">IFERROR(__xludf.DUMMYFUNCTION("IMPORTRANGE(""https://docs.google.com/spreadsheets/d/1phaeSb9lTGgzDpbvVqI9hfmOQQzUom07-HEvpbARzEg/edit?usp=sharing"",""นครนายก!J624"")"),0)</f>
        <v>0</v>
      </c>
      <c r="CW59" s="261">
        <f ca="1">IFERROR(__xludf.DUMMYFUNCTION("IMPORTRANGE(""https://docs.google.com/spreadsheets/d/1phaeSb9lTGgzDpbvVqI9hfmOQQzUom07-HEvpbARzEg/edit?usp=sharing"",""นครนายก!J625"")"),0)</f>
        <v>0</v>
      </c>
      <c r="CX59" s="186">
        <f ca="1">IFERROR(__xludf.DUMMYFUNCTION("IMPORTRANGE(""https://docs.google.com/spreadsheets/d/1phaeSb9lTGgzDpbvVqI9hfmOQQzUom07-HEvpbARzEg/edit?usp=sharing"",""นครนายก!J626"")"),0)</f>
        <v>0</v>
      </c>
      <c r="CY59" s="261">
        <f ca="1">IFERROR(__xludf.DUMMYFUNCTION("IMPORTRANGE(""https://docs.google.com/spreadsheets/d/1phaeSb9lTGgzDpbvVqI9hfmOQQzUom07-HEvpbARzEg/edit?usp=sharing"",""นครนายก!J627"")"),0)</f>
        <v>0</v>
      </c>
    </row>
    <row r="60" spans="1:103" ht="21" customHeight="1" x14ac:dyDescent="0.3">
      <c r="A60" s="178">
        <v>8</v>
      </c>
      <c r="B60" s="179" t="s">
        <v>77</v>
      </c>
      <c r="C60" s="180">
        <f t="shared" ca="1" si="71"/>
        <v>120300</v>
      </c>
      <c r="D60" s="181">
        <f ca="1">IFERROR(__xludf.DUMMYFUNCTION("IMPORTRANGE(""https://docs.google.com/spreadsheets/d/1tpwhWwkqkBeiSWCcfB5f2fbwPRbM9hHOEDSDHpl2MIc/edit?usp=sharing"",""นครปฐม!L549"")"),120300)</f>
        <v>120300</v>
      </c>
      <c r="E60" s="187">
        <f ca="1">IFERROR(__xludf.DUMMYFUNCTION("IMPORTRANGE(""https://docs.google.com/spreadsheets/d/1tpwhWwkqkBeiSWCcfB5f2fbwPRbM9hHOEDSDHpl2MIc/edit?usp=sharing"",""นครปฐม!L557"")"),0)</f>
        <v>0</v>
      </c>
      <c r="F60" s="182">
        <f t="shared" ca="1" si="1"/>
        <v>17480</v>
      </c>
      <c r="G60" s="183">
        <f t="shared" ca="1" si="2"/>
        <v>14.530340814630092</v>
      </c>
      <c r="H60" s="184">
        <f t="shared" ca="1" si="72"/>
        <v>17480</v>
      </c>
      <c r="I60" s="187">
        <f ca="1">IFERROR(__xludf.DUMMYFUNCTION("IMPORTRANGE(""https://docs.google.com/spreadsheets/d/1tpwhWwkqkBeiSWCcfB5f2fbwPRbM9hHOEDSDHpl2MIc/edit?usp=sharing"",""นครปฐม!N550"")"),0)</f>
        <v>0</v>
      </c>
      <c r="J60" s="187">
        <f ca="1">IFERROR(__xludf.DUMMYFUNCTION("IMPORTRANGE(""https://docs.google.com/spreadsheets/d/1tpwhWwkqkBeiSWCcfB5f2fbwPRbM9hHOEDSDHpl2MIc/edit?usp=sharing"",""นครปฐม!N551"")"),0)</f>
        <v>0</v>
      </c>
      <c r="K60" s="187">
        <f ca="1">IFERROR(__xludf.DUMMYFUNCTION("IMPORTRANGE(""https://docs.google.com/spreadsheets/d/1tpwhWwkqkBeiSWCcfB5f2fbwPRbM9hHOEDSDHpl2MIc/edit?usp=sharing"",""นครปฐม!N552"")"),0)</f>
        <v>0</v>
      </c>
      <c r="L60" s="187">
        <f ca="1">IFERROR(__xludf.DUMMYFUNCTION("IMPORTRANGE(""https://docs.google.com/spreadsheets/d/1tpwhWwkqkBeiSWCcfB5f2fbwPRbM9hHOEDSDHpl2MIc/edit?usp=sharing"",""นครปฐม!N553"")"),17480)</f>
        <v>17480</v>
      </c>
      <c r="M60" s="187">
        <f ca="1">IFERROR(__xludf.DUMMYFUNCTION("IMPORTRANGE(""https://docs.google.com/spreadsheets/d/1tpwhWwkqkBeiSWCcfB5f2fbwPRbM9hHOEDSDHpl2MIc/edit?usp=sharing"",""นครปฐม!N554"")"),0)</f>
        <v>0</v>
      </c>
      <c r="N60" s="185">
        <f ca="1">IFERROR(__xludf.DUMMYFUNCTION("IMPORTRANGE(""https://docs.google.com/spreadsheets/d/1tpwhWwkqkBeiSWCcfB5f2fbwPRbM9hHOEDSDHpl2MIc/edit?usp=sharing"",""นครปฐม!N557"")"),0)</f>
        <v>0</v>
      </c>
      <c r="O60" s="185">
        <f t="shared" ca="1" si="41"/>
        <v>0</v>
      </c>
      <c r="P60" s="181">
        <f ca="1">IFERROR(__xludf.DUMMYFUNCTION("IMPORTRANGE(""https://docs.google.com/spreadsheets/d/1tpwhWwkqkBeiSWCcfB5f2fbwPRbM9hHOEDSDHpl2MIc/edit?usp=sharing"",""นครปฐม!I560"")"),0)</f>
        <v>0</v>
      </c>
      <c r="Q60" s="181">
        <f ca="1">IFERROR(__xludf.DUMMYFUNCTION("IMPORTRANGE(""https://docs.google.com/spreadsheets/d/1tpwhWwkqkBeiSWCcfB5f2fbwPRbM9hHOEDSDHpl2MIc/edit?usp=sharing"",""นครปฐม!I561"")"),0)</f>
        <v>0</v>
      </c>
      <c r="R60" s="186">
        <f ca="1">IFERROR(__xludf.DUMMYFUNCTION("IMPORTRANGE(""https://docs.google.com/spreadsheets/d/1tpwhWwkqkBeiSWCcfB5f2fbwPRbM9hHOEDSDHpl2MIc/edit?usp=sharing"",""นครปฐม!J560"")"),0)</f>
        <v>0</v>
      </c>
      <c r="S60" s="186">
        <f t="shared" ca="1" si="33"/>
        <v>0</v>
      </c>
      <c r="T60" s="181">
        <f ca="1">IFERROR(__xludf.DUMMYFUNCTION("IMPORTRANGE(""https://docs.google.com/spreadsheets/d/1tpwhWwkqkBeiSWCcfB5f2fbwPRbM9hHOEDSDHpl2MIc/edit?usp=sharing"",""นครปฐม!J561"")"),0)</f>
        <v>0</v>
      </c>
      <c r="U60" s="186">
        <f t="shared" ca="1" si="7"/>
        <v>0</v>
      </c>
      <c r="V60" s="186">
        <f ca="1">IFERROR(__xludf.DUMMYFUNCTION("IMPORTRANGE(""https://docs.google.com/spreadsheets/d/1tpwhWwkqkBeiSWCcfB5f2fbwPRbM9hHOEDSDHpl2MIc/edit?usp=sharing"",""นครปฐม!J562"")"),0)</f>
        <v>0</v>
      </c>
      <c r="W60" s="261">
        <f ca="1">IFERROR(__xludf.DUMMYFUNCTION("IMPORTRANGE(""https://docs.google.com/spreadsheets/d/1tpwhWwkqkBeiSWCcfB5f2fbwPRbM9hHOEDSDHpl2MIc/edit?usp=sharing"",""นครปฐม!J563"")"),0)</f>
        <v>0</v>
      </c>
      <c r="X60" s="186">
        <f ca="1">IFERROR(__xludf.DUMMYFUNCTION("IMPORTRANGE(""https://docs.google.com/spreadsheets/d/1tpwhWwkqkBeiSWCcfB5f2fbwPRbM9hHOEDSDHpl2MIc/edit?usp=sharing"",""นครปฐม!J564"")"),0)</f>
        <v>0</v>
      </c>
      <c r="Y60" s="261">
        <f ca="1">IFERROR(__xludf.DUMMYFUNCTION("IMPORTRANGE(""https://docs.google.com/spreadsheets/d/1tpwhWwkqkBeiSWCcfB5f2fbwPRbM9hHOEDSDHpl2MIc/edit?usp=sharing"",""นครปฐม!J565"")"),0)</f>
        <v>0</v>
      </c>
      <c r="Z60" s="186">
        <f ca="1">IFERROR(__xludf.DUMMYFUNCTION("IMPORTRANGE(""https://docs.google.com/spreadsheets/d/1tpwhWwkqkBeiSWCcfB5f2fbwPRbM9hHOEDSDHpl2MIc/edit?usp=sharing"",""นครปฐม!J566"")"),0)</f>
        <v>0</v>
      </c>
      <c r="AA60" s="261">
        <f ca="1">IFERROR(__xludf.DUMMYFUNCTION("IMPORTRANGE(""https://docs.google.com/spreadsheets/d/1tpwhWwkqkBeiSWCcfB5f2fbwPRbM9hHOEDSDHpl2MIc/edit?usp=sharing"",""นครปฐม!J567"")"),0)</f>
        <v>0</v>
      </c>
      <c r="AB60" s="181">
        <f ca="1">IFERROR(__xludf.DUMMYFUNCTION("IMPORTRANGE(""https://docs.google.com/spreadsheets/d/1tpwhWwkqkBeiSWCcfB5f2fbwPRbM9hHOEDSDHpl2MIc/edit?usp=sharing"",""นครปฐม!I568"")"),0)</f>
        <v>0</v>
      </c>
      <c r="AC60" s="181">
        <f ca="1">IFERROR(__xludf.DUMMYFUNCTION("IMPORTRANGE(""https://docs.google.com/spreadsheets/d/1tpwhWwkqkBeiSWCcfB5f2fbwPRbM9hHOEDSDHpl2MIc/edit?usp=sharing"",""นครปฐม!I569"")"),0)</f>
        <v>0</v>
      </c>
      <c r="AD60" s="186">
        <f ca="1">IFERROR(__xludf.DUMMYFUNCTION("IMPORTRANGE(""https://docs.google.com/spreadsheets/d/1tpwhWwkqkBeiSWCcfB5f2fbwPRbM9hHOEDSDHpl2MIc/edit?usp=sharing"",""นครปฐม!J568"")"),0)</f>
        <v>0</v>
      </c>
      <c r="AE60" s="186">
        <f t="shared" ca="1" si="34"/>
        <v>0</v>
      </c>
      <c r="AF60" s="181">
        <f ca="1">IFERROR(__xludf.DUMMYFUNCTION("IMPORTRANGE(""https://docs.google.com/spreadsheets/d/1tpwhWwkqkBeiSWCcfB5f2fbwPRbM9hHOEDSDHpl2MIc/edit?usp=sharing"",""นครปฐม!J569"")"),0)</f>
        <v>0</v>
      </c>
      <c r="AG60" s="186">
        <f t="shared" ca="1" si="10"/>
        <v>0</v>
      </c>
      <c r="AH60" s="186">
        <f ca="1">IFERROR(__xludf.DUMMYFUNCTION("IMPORTRANGE(""https://docs.google.com/spreadsheets/d/1tpwhWwkqkBeiSWCcfB5f2fbwPRbM9hHOEDSDHpl2MIc/edit?usp=sharing"",""นครปฐม!J570"")"),0)</f>
        <v>0</v>
      </c>
      <c r="AI60" s="261">
        <f ca="1">IFERROR(__xludf.DUMMYFUNCTION("IMPORTRANGE(""https://docs.google.com/spreadsheets/d/1tpwhWwkqkBeiSWCcfB5f2fbwPRbM9hHOEDSDHpl2MIc/edit?usp=sharing"",""นครปฐม!J571"")"),0)</f>
        <v>0</v>
      </c>
      <c r="AJ60" s="186">
        <f ca="1">IFERROR(__xludf.DUMMYFUNCTION("IMPORTRANGE(""https://docs.google.com/spreadsheets/d/1tpwhWwkqkBeiSWCcfB5f2fbwPRbM9hHOEDSDHpl2MIc/edit?usp=sharing"",""นครปฐม!J572"")"),0)</f>
        <v>0</v>
      </c>
      <c r="AK60" s="261">
        <f ca="1">IFERROR(__xludf.DUMMYFUNCTION("IMPORTRANGE(""https://docs.google.com/spreadsheets/d/1tpwhWwkqkBeiSWCcfB5f2fbwPRbM9hHOEDSDHpl2MIc/edit?usp=sharing"",""นครปฐม!J573"")"),0)</f>
        <v>0</v>
      </c>
      <c r="AL60" s="186">
        <f ca="1">IFERROR(__xludf.DUMMYFUNCTION("IMPORTRANGE(""https://docs.google.com/spreadsheets/d/1tpwhWwkqkBeiSWCcfB5f2fbwPRbM9hHOEDSDHpl2MIc/edit?usp=sharing"",""นครปฐม!J574"")"),0)</f>
        <v>0</v>
      </c>
      <c r="AM60" s="261">
        <f ca="1">IFERROR(__xludf.DUMMYFUNCTION("IMPORTRANGE(""https://docs.google.com/spreadsheets/d/1tpwhWwkqkBeiSWCcfB5f2fbwPRbM9hHOEDSDHpl2MIc/edit?usp=sharing"",""นครปฐม!J575"")"),0)</f>
        <v>0</v>
      </c>
      <c r="AN60" s="181">
        <f ca="1">IFERROR(__xludf.DUMMYFUNCTION("IMPORTRANGE(""https://docs.google.com/spreadsheets/d/1tpwhWwkqkBeiSWCcfB5f2fbwPRbM9hHOEDSDHpl2MIc/edit?usp=sharing"",""นครปฐม!I576"")"),0)</f>
        <v>0</v>
      </c>
      <c r="AO60" s="181">
        <f ca="1">IFERROR(__xludf.DUMMYFUNCTION("IMPORTRANGE(""https://docs.google.com/spreadsheets/d/1tpwhWwkqkBeiSWCcfB5f2fbwPRbM9hHOEDSDHpl2MIc/edit?usp=sharing"",""นครปฐม!I577"")"),0)</f>
        <v>0</v>
      </c>
      <c r="AP60" s="186">
        <f ca="1">IFERROR(__xludf.DUMMYFUNCTION("IMPORTRANGE(""https://docs.google.com/spreadsheets/d/1tpwhWwkqkBeiSWCcfB5f2fbwPRbM9hHOEDSDHpl2MIc/edit?usp=sharing"",""นครปฐม!J576"")"),0)</f>
        <v>0</v>
      </c>
      <c r="AQ60" s="186">
        <f t="shared" ca="1" si="35"/>
        <v>0</v>
      </c>
      <c r="AR60" s="181">
        <f ca="1">IFERROR(__xludf.DUMMYFUNCTION("IMPORTRANGE(""https://docs.google.com/spreadsheets/d/1tpwhWwkqkBeiSWCcfB5f2fbwPRbM9hHOEDSDHpl2MIc/edit?usp=sharing"",""นครปฐม!J577"")"),0)</f>
        <v>0</v>
      </c>
      <c r="AS60" s="186">
        <f t="shared" ca="1" si="13"/>
        <v>0</v>
      </c>
      <c r="AT60" s="186">
        <f ca="1">IFERROR(__xludf.DUMMYFUNCTION("IMPORTRANGE(""https://docs.google.com/spreadsheets/d/1tpwhWwkqkBeiSWCcfB5f2fbwPRbM9hHOEDSDHpl2MIc/edit?usp=sharing"",""นครปฐม!J578"")"),0)</f>
        <v>0</v>
      </c>
      <c r="AU60" s="261">
        <f ca="1">IFERROR(__xludf.DUMMYFUNCTION("IMPORTRANGE(""https://docs.google.com/spreadsheets/d/1tpwhWwkqkBeiSWCcfB5f2fbwPRbM9hHOEDSDHpl2MIc/edit?usp=sharing"",""นครปฐม!J579"")"),0)</f>
        <v>0</v>
      </c>
      <c r="AV60" s="186">
        <f ca="1">IFERROR(__xludf.DUMMYFUNCTION("IMPORTRANGE(""https://docs.google.com/spreadsheets/d/1tpwhWwkqkBeiSWCcfB5f2fbwPRbM9hHOEDSDHpl2MIc/edit?usp=sharing"",""นครปฐม!J580"")"),0)</f>
        <v>0</v>
      </c>
      <c r="AW60" s="261">
        <f ca="1">IFERROR(__xludf.DUMMYFUNCTION("IMPORTRANGE(""https://docs.google.com/spreadsheets/d/1tpwhWwkqkBeiSWCcfB5f2fbwPRbM9hHOEDSDHpl2MIc/edit?usp=sharing"",""นครปฐม!J581"")"),0)</f>
        <v>0</v>
      </c>
      <c r="AX60" s="186">
        <f ca="1">IFERROR(__xludf.DUMMYFUNCTION("IMPORTRANGE(""https://docs.google.com/spreadsheets/d/1tpwhWwkqkBeiSWCcfB5f2fbwPRbM9hHOEDSDHpl2MIc/edit?usp=sharing"",""นครปฐม!J582"")"),0)</f>
        <v>0</v>
      </c>
      <c r="AY60" s="261">
        <f ca="1">IFERROR(__xludf.DUMMYFUNCTION("IMPORTRANGE(""https://docs.google.com/spreadsheets/d/1tpwhWwkqkBeiSWCcfB5f2fbwPRbM9hHOEDSDHpl2MIc/edit?usp=sharing"",""นครปฐม!J583"")"),0)</f>
        <v>0</v>
      </c>
      <c r="AZ60" s="262">
        <f ca="1">IFERROR(__xludf.DUMMYFUNCTION("IMPORTRANGE(""https://docs.google.com/spreadsheets/d/1tpwhWwkqkBeiSWCcfB5f2fbwPRbM9hHOEDSDHpl2MIc/edit?usp=sharing"",""นครปฐม!J584"")"),0)</f>
        <v>0</v>
      </c>
      <c r="BA60" s="261">
        <f ca="1">IFERROR(__xludf.DUMMYFUNCTION("IMPORTRANGE(""https://docs.google.com/spreadsheets/d/1tpwhWwkqkBeiSWCcfB5f2fbwPRbM9hHOEDSDHpl2MIc/edit?usp=sharing"",""นครปฐม!J585"")"),0)</f>
        <v>0</v>
      </c>
      <c r="BB60" s="262">
        <f ca="1">IFERROR(__xludf.DUMMYFUNCTION("IMPORTRANGE(""https://docs.google.com/spreadsheets/d/1tpwhWwkqkBeiSWCcfB5f2fbwPRbM9hHOEDSDHpl2MIc/edit?usp=sharing"",""นครปฐม!J586"")"),0)</f>
        <v>0</v>
      </c>
      <c r="BC60" s="261">
        <f ca="1">IFERROR(__xludf.DUMMYFUNCTION("IMPORTRANGE(""https://docs.google.com/spreadsheets/d/1tpwhWwkqkBeiSWCcfB5f2fbwPRbM9hHOEDSDHpl2MIc/edit?usp=sharing"",""นครปฐม!J587"")"),0)</f>
        <v>0</v>
      </c>
      <c r="BD60" s="186">
        <f ca="1">IFERROR(__xludf.DUMMYFUNCTION("IMPORTRANGE(""https://docs.google.com/spreadsheets/d/1tpwhWwkqkBeiSWCcfB5f2fbwPRbM9hHOEDSDHpl2MIc/edit?usp=sharing"",""นครปฐม!J588"")"),0)</f>
        <v>0</v>
      </c>
      <c r="BE60" s="261">
        <f ca="1">IFERROR(__xludf.DUMMYFUNCTION("IMPORTRANGE(""https://docs.google.com/spreadsheets/d/1tpwhWwkqkBeiSWCcfB5f2fbwPRbM9hHOEDSDHpl2MIc/edit?usp=sharing"",""นครปฐม!J589"")"),0)</f>
        <v>0</v>
      </c>
      <c r="BF60" s="186">
        <f ca="1">IFERROR(__xludf.DUMMYFUNCTION("IMPORTRANGE(""https://docs.google.com/spreadsheets/d/1tpwhWwkqkBeiSWCcfB5f2fbwPRbM9hHOEDSDHpl2MIc/edit?usp=sharing"",""นครปฐม!J590"")"),0)</f>
        <v>0</v>
      </c>
      <c r="BG60" s="261">
        <f ca="1">IFERROR(__xludf.DUMMYFUNCTION("IMPORTRANGE(""https://docs.google.com/spreadsheets/d/1tpwhWwkqkBeiSWCcfB5f2fbwPRbM9hHOEDSDHpl2MIc/edit?usp=sharing"",""นครปฐม!J591"")"),0)</f>
        <v>0</v>
      </c>
      <c r="BH60" s="181">
        <f ca="1">IFERROR(__xludf.DUMMYFUNCTION("IMPORTRANGE(""https://docs.google.com/spreadsheets/d/1tpwhWwkqkBeiSWCcfB5f2fbwPRbM9hHOEDSDHpl2MIc/edit?usp=sharing"",""นครปฐม!I593"")"),1202.79)</f>
        <v>1202.79</v>
      </c>
      <c r="BI60" s="181">
        <f ca="1">IFERROR(__xludf.DUMMYFUNCTION("IMPORTRANGE(""https://docs.google.com/spreadsheets/d/1tpwhWwkqkBeiSWCcfB5f2fbwPRbM9hHOEDSDHpl2MIc/edit?usp=sharing"",""นครปฐม!I594"")"),181)</f>
        <v>181</v>
      </c>
      <c r="BJ60" s="186">
        <f ca="1">IFERROR(__xludf.DUMMYFUNCTION("IMPORTRANGE(""https://docs.google.com/spreadsheets/d/1tpwhWwkqkBeiSWCcfB5f2fbwPRbM9hHOEDSDHpl2MIc/edit?usp=sharing"",""นครปฐม!J593"")"),0)</f>
        <v>0</v>
      </c>
      <c r="BK60" s="186">
        <f t="shared" ca="1" si="36"/>
        <v>0</v>
      </c>
      <c r="BL60" s="181">
        <f ca="1">IFERROR(__xludf.DUMMYFUNCTION("IMPORTRANGE(""https://docs.google.com/spreadsheets/d/1tpwhWwkqkBeiSWCcfB5f2fbwPRbM9hHOEDSDHpl2MIc/edit?usp=sharing"",""นครปฐม!J594"")"),0)</f>
        <v>0</v>
      </c>
      <c r="BM60" s="186">
        <f t="shared" ca="1" si="16"/>
        <v>0</v>
      </c>
      <c r="BN60" s="186">
        <f ca="1">IFERROR(__xludf.DUMMYFUNCTION("IMPORTRANGE(""https://docs.google.com/spreadsheets/d/1tpwhWwkqkBeiSWCcfB5f2fbwPRbM9hHOEDSDHpl2MIc/edit?usp=sharing"",""นครปฐม!J595"")"),0)</f>
        <v>0</v>
      </c>
      <c r="BO60" s="261">
        <f ca="1">IFERROR(__xludf.DUMMYFUNCTION("IMPORTRANGE(""https://docs.google.com/spreadsheets/d/1tpwhWwkqkBeiSWCcfB5f2fbwPRbM9hHOEDSDHpl2MIc/edit?usp=sharing"",""นครปฐม!J596"")"),0)</f>
        <v>0</v>
      </c>
      <c r="BP60" s="186">
        <f ca="1">IFERROR(__xludf.DUMMYFUNCTION("IMPORTRANGE(""https://docs.google.com/spreadsheets/d/1tpwhWwkqkBeiSWCcfB5f2fbwPRbM9hHOEDSDHpl2MIc/edit?usp=sharing"",""นครปฐม!J597"")"),0)</f>
        <v>0</v>
      </c>
      <c r="BQ60" s="261">
        <f ca="1">IFERROR(__xludf.DUMMYFUNCTION("IMPORTRANGE(""https://docs.google.com/spreadsheets/d/1tpwhWwkqkBeiSWCcfB5f2fbwPRbM9hHOEDSDHpl2MIc/edit?usp=sharing"",""นครปฐม!J598"")"),0)</f>
        <v>0</v>
      </c>
      <c r="BR60" s="186">
        <f ca="1">IFERROR(__xludf.DUMMYFUNCTION("IMPORTRANGE(""https://docs.google.com/spreadsheets/d/1tpwhWwkqkBeiSWCcfB5f2fbwPRbM9hHOEDSDHpl2MIc/edit?usp=sharing"",""นครปฐม!J599"")"),0)</f>
        <v>0</v>
      </c>
      <c r="BS60" s="261">
        <f ca="1">IFERROR(__xludf.DUMMYFUNCTION("IMPORTRANGE(""https://docs.google.com/spreadsheets/d/1tpwhWwkqkBeiSWCcfB5f2fbwPRbM9hHOEDSDHpl2MIc/edit?usp=sharing"",""นครปฐม!J600"")"),0)</f>
        <v>0</v>
      </c>
      <c r="BT60" s="262">
        <f ca="1">IFERROR(__xludf.DUMMYFUNCTION("IMPORTRANGE(""https://docs.google.com/spreadsheets/d/1tpwhWwkqkBeiSWCcfB5f2fbwPRbM9hHOEDSDHpl2MIc/edit?usp=sharing"",""นครปฐม!J601"")"),0)</f>
        <v>0</v>
      </c>
      <c r="BU60" s="261">
        <f ca="1">IFERROR(__xludf.DUMMYFUNCTION("IMPORTRANGE(""https://docs.google.com/spreadsheets/d/1tpwhWwkqkBeiSWCcfB5f2fbwPRbM9hHOEDSDHpl2MIc/edit?usp=sharing"",""นครปฐม!J602"")"),0)</f>
        <v>0</v>
      </c>
      <c r="BV60" s="186">
        <f ca="1">IFERROR(__xludf.DUMMYFUNCTION("IMPORTRANGE(""https://docs.google.com/spreadsheets/d/1tpwhWwkqkBeiSWCcfB5f2fbwPRbM9hHOEDSDHpl2MIc/edit?usp=sharing"",""นครปฐม!J603"")"),0)</f>
        <v>0</v>
      </c>
      <c r="BW60" s="261">
        <f ca="1">IFERROR(__xludf.DUMMYFUNCTION("IMPORTRANGE(""https://docs.google.com/spreadsheets/d/1tpwhWwkqkBeiSWCcfB5f2fbwPRbM9hHOEDSDHpl2MIc/edit?usp=sharing"",""นครปฐม!J604"")"),0)</f>
        <v>0</v>
      </c>
      <c r="BX60" s="186">
        <f ca="1">IFERROR(__xludf.DUMMYFUNCTION("IMPORTRANGE(""https://docs.google.com/spreadsheets/d/1tpwhWwkqkBeiSWCcfB5f2fbwPRbM9hHOEDSDHpl2MIc/edit?usp=sharing"",""นครปฐม!J605"")"),0)</f>
        <v>0</v>
      </c>
      <c r="BY60" s="261">
        <f ca="1">IFERROR(__xludf.DUMMYFUNCTION("IMPORTRANGE(""https://docs.google.com/spreadsheets/d/1tpwhWwkqkBeiSWCcfB5f2fbwPRbM9hHOEDSDHpl2MIc/edit?usp=sharing"",""นครปฐม!J606"")"),0)</f>
        <v>0</v>
      </c>
      <c r="BZ60" s="186">
        <f ca="1">IFERROR(__xludf.DUMMYFUNCTION("IMPORTRANGE(""https://docs.google.com/spreadsheets/d/1tpwhWwkqkBeiSWCcfB5f2fbwPRbM9hHOEDSDHpl2MIc/edit?usp=sharing"",""นครปฐม!J607"")"),0)</f>
        <v>0</v>
      </c>
      <c r="CA60" s="261">
        <f ca="1">IFERROR(__xludf.DUMMYFUNCTION("IMPORTRANGE(""https://docs.google.com/spreadsheets/d/1tpwhWwkqkBeiSWCcfB5f2fbwPRbM9hHOEDSDHpl2MIc/edit?usp=sharing"",""นครปฐม!J608"")"),0)</f>
        <v>0</v>
      </c>
      <c r="CB60" s="186">
        <f ca="1">IFERROR(__xludf.DUMMYFUNCTION("IMPORTRANGE(""https://docs.google.com/spreadsheets/d/1tpwhWwkqkBeiSWCcfB5f2fbwPRbM9hHOEDSDHpl2MIc/edit?usp=sharing"",""นครปฐม!J609"")"),0)</f>
        <v>0</v>
      </c>
      <c r="CC60" s="261">
        <f ca="1">IFERROR(__xludf.DUMMYFUNCTION("IMPORTRANGE(""https://docs.google.com/spreadsheets/d/1tpwhWwkqkBeiSWCcfB5f2fbwPRbM9hHOEDSDHpl2MIc/edit?usp=sharing"",""นครปฐม!J610"")"),0)</f>
        <v>0</v>
      </c>
      <c r="CD60" s="261">
        <f ca="1">IFERROR(__xludf.DUMMYFUNCTION("IMPORTRANGE(""https://docs.google.com/spreadsheets/d/1tpwhWwkqkBeiSWCcfB5f2fbwPRbM9hHOEDSDHpl2MIc/edit?usp=sharing"",""นครปฐม!I612"")"),0)</f>
        <v>0</v>
      </c>
      <c r="CE60" s="261">
        <f ca="1">IFERROR(__xludf.DUMMYFUNCTION("IMPORTRANGE(""https://docs.google.com/spreadsheets/d/1tpwhWwkqkBeiSWCcfB5f2fbwPRbM9hHOEDSDHpl2MIc/edit?usp=sharing"",""นครปฐม!I594"")"),181)</f>
        <v>181</v>
      </c>
      <c r="CF60" s="262">
        <f ca="1">IFERROR(__xludf.DUMMYFUNCTION("IMPORTRANGE(""https://docs.google.com/spreadsheets/d/1tpwhWwkqkBeiSWCcfB5f2fbwPRbM9hHOEDSDHpl2MIc/edit?usp=sharing"",""นครปฐม!J612"")"),0)</f>
        <v>0</v>
      </c>
      <c r="CG60" s="262">
        <f t="shared" ca="1" si="37"/>
        <v>0</v>
      </c>
      <c r="CH60" s="261">
        <f ca="1">IFERROR(__xludf.DUMMYFUNCTION("IMPORTRANGE(""https://docs.google.com/spreadsheets/d/1tpwhWwkqkBeiSWCcfB5f2fbwPRbM9hHOEDSDHpl2MIc/edit?usp=sharing"",""นครปฐม!J613"")"),0)</f>
        <v>0</v>
      </c>
      <c r="CI60" s="262">
        <f t="shared" ca="1" si="19"/>
        <v>0</v>
      </c>
      <c r="CJ60" s="186">
        <f ca="1">IFERROR(__xludf.DUMMYFUNCTION("IMPORTRANGE(""https://docs.google.com/spreadsheets/d/1tpwhWwkqkBeiSWCcfB5f2fbwPRbM9hHOEDSDHpl2MIc/edit?usp=sharing"",""นครปฐม!J614"")"),0)</f>
        <v>0</v>
      </c>
      <c r="CK60" s="261">
        <f ca="1">IFERROR(__xludf.DUMMYFUNCTION("IMPORTRANGE(""https://docs.google.com/spreadsheets/d/1tpwhWwkqkBeiSWCcfB5f2fbwPRbM9hHOEDSDHpl2MIc/edit?usp=sharing"",""นครปฐม!J615"")"),0)</f>
        <v>0</v>
      </c>
      <c r="CL60" s="186">
        <f ca="1">IFERROR(__xludf.DUMMYFUNCTION("IMPORTRANGE(""https://docs.google.com/spreadsheets/d/1tpwhWwkqkBeiSWCcfB5f2fbwPRbM9hHOEDSDHpl2MIc/edit?usp=sharing"",""นครปฐม!J616"")"),0)</f>
        <v>0</v>
      </c>
      <c r="CM60" s="261">
        <f ca="1">IFERROR(__xludf.DUMMYFUNCTION("IMPORTRANGE(""https://docs.google.com/spreadsheets/d/1tpwhWwkqkBeiSWCcfB5f2fbwPRbM9hHOEDSDHpl2MIc/edit?usp=sharing"",""นครปฐม!J617"")"),0)</f>
        <v>0</v>
      </c>
      <c r="CN60" s="261">
        <f ca="1">IFERROR(__xludf.DUMMYFUNCTION("IMPORTRANGE(""https://docs.google.com/spreadsheets/d/1tpwhWwkqkBeiSWCcfB5f2fbwPRbM9hHOEDSDHpl2MIc/edit?usp=sharing"",""นครปฐม!I620"")"),0)</f>
        <v>0</v>
      </c>
      <c r="CO60" s="261">
        <f ca="1">IFERROR(__xludf.DUMMYFUNCTION("IMPORTRANGE(""https://docs.google.com/spreadsheets/d/1tpwhWwkqkBeiSWCcfB5f2fbwPRbM9hHOEDSDHpl2MIc/edit?usp=sharing"",""นครปฐม!I621"")"),0)</f>
        <v>0</v>
      </c>
      <c r="CP60" s="262">
        <f ca="1">IFERROR(__xludf.DUMMYFUNCTION("IMPORTRANGE(""https://docs.google.com/spreadsheets/d/1tpwhWwkqkBeiSWCcfB5f2fbwPRbM9hHOEDSDHpl2MIc/edit?usp=sharing"",""นครปฐม!J620"")"),0)</f>
        <v>0</v>
      </c>
      <c r="CQ60" s="262">
        <f t="shared" ca="1" si="38"/>
        <v>0</v>
      </c>
      <c r="CR60" s="261">
        <f ca="1">IFERROR(__xludf.DUMMYFUNCTION("IMPORTRANGE(""https://docs.google.com/spreadsheets/d/1tpwhWwkqkBeiSWCcfB5f2fbwPRbM9hHOEDSDHpl2MIc/edit?usp=sharing"",""นครปฐม!J621"")"),0)</f>
        <v>0</v>
      </c>
      <c r="CS60" s="262">
        <f t="shared" ca="1" si="22"/>
        <v>0</v>
      </c>
      <c r="CT60" s="186">
        <f ca="1">IFERROR(__xludf.DUMMYFUNCTION("IMPORTRANGE(""https://docs.google.com/spreadsheets/d/1tpwhWwkqkBeiSWCcfB5f2fbwPRbM9hHOEDSDHpl2MIc/edit?usp=sharing"",""นครปฐม!J622"")"),0)</f>
        <v>0</v>
      </c>
      <c r="CU60" s="261">
        <f ca="1">IFERROR(__xludf.DUMMYFUNCTION("IMPORTRANGE(""https://docs.google.com/spreadsheets/d/1tpwhWwkqkBeiSWCcfB5f2fbwPRbM9hHOEDSDHpl2MIc/edit?usp=sharing"",""นครปฐม!J623"")"),0)</f>
        <v>0</v>
      </c>
      <c r="CV60" s="186">
        <f ca="1">IFERROR(__xludf.DUMMYFUNCTION("IMPORTRANGE(""https://docs.google.com/spreadsheets/d/1tpwhWwkqkBeiSWCcfB5f2fbwPRbM9hHOEDSDHpl2MIc/edit?usp=sharing"",""นครปฐม!J624"")"),0)</f>
        <v>0</v>
      </c>
      <c r="CW60" s="261">
        <f ca="1">IFERROR(__xludf.DUMMYFUNCTION("IMPORTRANGE(""https://docs.google.com/spreadsheets/d/1tpwhWwkqkBeiSWCcfB5f2fbwPRbM9hHOEDSDHpl2MIc/edit?usp=sharing"",""นครปฐม!J625"")"),0)</f>
        <v>0</v>
      </c>
      <c r="CX60" s="186">
        <f ca="1">IFERROR(__xludf.DUMMYFUNCTION("IMPORTRANGE(""https://docs.google.com/spreadsheets/d/1tpwhWwkqkBeiSWCcfB5f2fbwPRbM9hHOEDSDHpl2MIc/edit?usp=sharing"",""นครปฐม!J626"")"),0)</f>
        <v>0</v>
      </c>
      <c r="CY60" s="261">
        <f ca="1">IFERROR(__xludf.DUMMYFUNCTION("IMPORTRANGE(""https://docs.google.com/spreadsheets/d/1tpwhWwkqkBeiSWCcfB5f2fbwPRbM9hHOEDSDHpl2MIc/edit?usp=sharing"",""นครปฐม!J627"")"),0)</f>
        <v>0</v>
      </c>
    </row>
    <row r="61" spans="1:103" ht="21" customHeight="1" x14ac:dyDescent="0.3">
      <c r="A61" s="178">
        <v>9</v>
      </c>
      <c r="B61" s="179" t="s">
        <v>78</v>
      </c>
      <c r="C61" s="180">
        <f t="shared" ca="1" si="71"/>
        <v>73200</v>
      </c>
      <c r="D61" s="181">
        <f ca="1">IFERROR(__xludf.DUMMYFUNCTION("IMPORTRANGE(""https://docs.google.com/spreadsheets/d/1fJJCVBkBnhriyv0Cp5ZFMr0I_yrfdEITNpb4zILJgUQ/edit?usp=sharing"",""ปทุมธานี!L549"")"),73200)</f>
        <v>73200</v>
      </c>
      <c r="E61" s="187">
        <f ca="1">IFERROR(__xludf.DUMMYFUNCTION("IMPORTRANGE(""https://docs.google.com/spreadsheets/d/1fJJCVBkBnhriyv0Cp5ZFMr0I_yrfdEITNpb4zILJgUQ/edit?usp=sharing"",""ปทุมธานี!L557"")"),0)</f>
        <v>0</v>
      </c>
      <c r="F61" s="182">
        <f t="shared" ca="1" si="1"/>
        <v>0</v>
      </c>
      <c r="G61" s="183">
        <f t="shared" ca="1" si="2"/>
        <v>0</v>
      </c>
      <c r="H61" s="184">
        <f t="shared" ca="1" si="72"/>
        <v>0</v>
      </c>
      <c r="I61" s="187">
        <f ca="1">IFERROR(__xludf.DUMMYFUNCTION("IMPORTRANGE(""https://docs.google.com/spreadsheets/d/1fJJCVBkBnhriyv0Cp5ZFMr0I_yrfdEITNpb4zILJgUQ/edit?usp=sharing"",""ปทุมธานี!N550"")"),0)</f>
        <v>0</v>
      </c>
      <c r="J61" s="187">
        <f ca="1">IFERROR(__xludf.DUMMYFUNCTION("IMPORTRANGE(""https://docs.google.com/spreadsheets/d/1fJJCVBkBnhriyv0Cp5ZFMr0I_yrfdEITNpb4zILJgUQ/edit?usp=sharing"",""ปทุมธานี!N551"")"),0)</f>
        <v>0</v>
      </c>
      <c r="K61" s="187">
        <f ca="1">IFERROR(__xludf.DUMMYFUNCTION("IMPORTRANGE(""https://docs.google.com/spreadsheets/d/1fJJCVBkBnhriyv0Cp5ZFMr0I_yrfdEITNpb4zILJgUQ/edit?usp=sharing"",""ปทุมธานี!N552"")"),0)</f>
        <v>0</v>
      </c>
      <c r="L61" s="187">
        <f ca="1">IFERROR(__xludf.DUMMYFUNCTION("IMPORTRANGE(""https://docs.google.com/spreadsheets/d/1fJJCVBkBnhriyv0Cp5ZFMr0I_yrfdEITNpb4zILJgUQ/edit?usp=sharing"",""ปทุมธานี!N553"")"),0)</f>
        <v>0</v>
      </c>
      <c r="M61" s="187">
        <f ca="1">IFERROR(__xludf.DUMMYFUNCTION("IMPORTRANGE(""https://docs.google.com/spreadsheets/d/1fJJCVBkBnhriyv0Cp5ZFMr0I_yrfdEITNpb4zILJgUQ/edit?usp=sharing"",""ปทุมธานี!N554"")"),0)</f>
        <v>0</v>
      </c>
      <c r="N61" s="185">
        <f ca="1">IFERROR(__xludf.DUMMYFUNCTION("IMPORTRANGE(""https://docs.google.com/spreadsheets/d/1fJJCVBkBnhriyv0Cp5ZFMr0I_yrfdEITNpb4zILJgUQ/edit?usp=sharing"",""ปทุมธานี!N557"")"),0)</f>
        <v>0</v>
      </c>
      <c r="O61" s="185">
        <f t="shared" ca="1" si="41"/>
        <v>0</v>
      </c>
      <c r="P61" s="181">
        <f ca="1">IFERROR(__xludf.DUMMYFUNCTION("IMPORTRANGE(""https://docs.google.com/spreadsheets/d/1fJJCVBkBnhriyv0Cp5ZFMr0I_yrfdEITNpb4zILJgUQ/edit?usp=sharing"",""ปทุมธานี!I560"")"),0)</f>
        <v>0</v>
      </c>
      <c r="Q61" s="181">
        <f ca="1">IFERROR(__xludf.DUMMYFUNCTION("IMPORTRANGE(""https://docs.google.com/spreadsheets/d/1fJJCVBkBnhriyv0Cp5ZFMr0I_yrfdEITNpb4zILJgUQ/edit?usp=sharing"",""ปทุมธานี!I561"")"),0)</f>
        <v>0</v>
      </c>
      <c r="R61" s="186">
        <f ca="1">IFERROR(__xludf.DUMMYFUNCTION("IMPORTRANGE(""https://docs.google.com/spreadsheets/d/1fJJCVBkBnhriyv0Cp5ZFMr0I_yrfdEITNpb4zILJgUQ/edit?usp=sharing"",""ปทุมธานี!J560"")"),0)</f>
        <v>0</v>
      </c>
      <c r="S61" s="186">
        <f t="shared" ca="1" si="33"/>
        <v>0</v>
      </c>
      <c r="T61" s="181">
        <f ca="1">IFERROR(__xludf.DUMMYFUNCTION("IMPORTRANGE(""https://docs.google.com/spreadsheets/d/1fJJCVBkBnhriyv0Cp5ZFMr0I_yrfdEITNpb4zILJgUQ/edit?usp=sharing"",""ปทุมธานี!J561"")"),0)</f>
        <v>0</v>
      </c>
      <c r="U61" s="186">
        <f t="shared" ca="1" si="7"/>
        <v>0</v>
      </c>
      <c r="V61" s="186">
        <f ca="1">IFERROR(__xludf.DUMMYFUNCTION("IMPORTRANGE(""https://docs.google.com/spreadsheets/d/1fJJCVBkBnhriyv0Cp5ZFMr0I_yrfdEITNpb4zILJgUQ/edit?usp=sharing"",""ปทุมธานี!J562"")"),0)</f>
        <v>0</v>
      </c>
      <c r="W61" s="261">
        <f ca="1">IFERROR(__xludf.DUMMYFUNCTION("IMPORTRANGE(""https://docs.google.com/spreadsheets/d/1fJJCVBkBnhriyv0Cp5ZFMr0I_yrfdEITNpb4zILJgUQ/edit?usp=sharing"",""ปทุมธานี!J563"")"),0)</f>
        <v>0</v>
      </c>
      <c r="X61" s="186">
        <f ca="1">IFERROR(__xludf.DUMMYFUNCTION("IMPORTRANGE(""https://docs.google.com/spreadsheets/d/1fJJCVBkBnhriyv0Cp5ZFMr0I_yrfdEITNpb4zILJgUQ/edit?usp=sharing"",""ปทุมธานี!J564"")"),0)</f>
        <v>0</v>
      </c>
      <c r="Y61" s="261">
        <f ca="1">IFERROR(__xludf.DUMMYFUNCTION("IMPORTRANGE(""https://docs.google.com/spreadsheets/d/1fJJCVBkBnhriyv0Cp5ZFMr0I_yrfdEITNpb4zILJgUQ/edit?usp=sharing"",""ปทุมธานี!J565"")"),0)</f>
        <v>0</v>
      </c>
      <c r="Z61" s="186">
        <f ca="1">IFERROR(__xludf.DUMMYFUNCTION("IMPORTRANGE(""https://docs.google.com/spreadsheets/d/1fJJCVBkBnhriyv0Cp5ZFMr0I_yrfdEITNpb4zILJgUQ/edit?usp=sharing"",""ปทุมธานี!J566"")"),0)</f>
        <v>0</v>
      </c>
      <c r="AA61" s="261">
        <f ca="1">IFERROR(__xludf.DUMMYFUNCTION("IMPORTRANGE(""https://docs.google.com/spreadsheets/d/1fJJCVBkBnhriyv0Cp5ZFMr0I_yrfdEITNpb4zILJgUQ/edit?usp=sharing"",""ปทุมธานี!J567"")"),0)</f>
        <v>0</v>
      </c>
      <c r="AB61" s="181">
        <f ca="1">IFERROR(__xludf.DUMMYFUNCTION("IMPORTRANGE(""https://docs.google.com/spreadsheets/d/1fJJCVBkBnhriyv0Cp5ZFMr0I_yrfdEITNpb4zILJgUQ/edit?usp=sharing"",""ปทุมธานี!I568"")"),0)</f>
        <v>0</v>
      </c>
      <c r="AC61" s="181">
        <f ca="1">IFERROR(__xludf.DUMMYFUNCTION("IMPORTRANGE(""https://docs.google.com/spreadsheets/d/1fJJCVBkBnhriyv0Cp5ZFMr0I_yrfdEITNpb4zILJgUQ/edit?usp=sharing"",""ปทุมธานี!I569"")"),0)</f>
        <v>0</v>
      </c>
      <c r="AD61" s="186">
        <f ca="1">IFERROR(__xludf.DUMMYFUNCTION("IMPORTRANGE(""https://docs.google.com/spreadsheets/d/1fJJCVBkBnhriyv0Cp5ZFMr0I_yrfdEITNpb4zILJgUQ/edit?usp=sharing"",""ปทุมธานี!J568"")"),0)</f>
        <v>0</v>
      </c>
      <c r="AE61" s="186">
        <f t="shared" ca="1" si="34"/>
        <v>0</v>
      </c>
      <c r="AF61" s="181">
        <f ca="1">IFERROR(__xludf.DUMMYFUNCTION("IMPORTRANGE(""https://docs.google.com/spreadsheets/d/1fJJCVBkBnhriyv0Cp5ZFMr0I_yrfdEITNpb4zILJgUQ/edit?usp=sharing"",""ปทุมธานี!J569"")"),0)</f>
        <v>0</v>
      </c>
      <c r="AG61" s="186">
        <f t="shared" ca="1" si="10"/>
        <v>0</v>
      </c>
      <c r="AH61" s="186">
        <f ca="1">IFERROR(__xludf.DUMMYFUNCTION("IMPORTRANGE(""https://docs.google.com/spreadsheets/d/1fJJCVBkBnhriyv0Cp5ZFMr0I_yrfdEITNpb4zILJgUQ/edit?usp=sharing"",""ปทุมธานี!J570"")"),0)</f>
        <v>0</v>
      </c>
      <c r="AI61" s="261">
        <f ca="1">IFERROR(__xludf.DUMMYFUNCTION("IMPORTRANGE(""https://docs.google.com/spreadsheets/d/1fJJCVBkBnhriyv0Cp5ZFMr0I_yrfdEITNpb4zILJgUQ/edit?usp=sharing"",""ปทุมธานี!J571"")"),0)</f>
        <v>0</v>
      </c>
      <c r="AJ61" s="186">
        <f ca="1">IFERROR(__xludf.DUMMYFUNCTION("IMPORTRANGE(""https://docs.google.com/spreadsheets/d/1fJJCVBkBnhriyv0Cp5ZFMr0I_yrfdEITNpb4zILJgUQ/edit?usp=sharing"",""ปทุมธานี!J572"")"),0)</f>
        <v>0</v>
      </c>
      <c r="AK61" s="261">
        <f ca="1">IFERROR(__xludf.DUMMYFUNCTION("IMPORTRANGE(""https://docs.google.com/spreadsheets/d/1fJJCVBkBnhriyv0Cp5ZFMr0I_yrfdEITNpb4zILJgUQ/edit?usp=sharing"",""ปทุมธานี!J573"")"),0)</f>
        <v>0</v>
      </c>
      <c r="AL61" s="186">
        <f ca="1">IFERROR(__xludf.DUMMYFUNCTION("IMPORTRANGE(""https://docs.google.com/spreadsheets/d/1fJJCVBkBnhriyv0Cp5ZFMr0I_yrfdEITNpb4zILJgUQ/edit?usp=sharing"",""ปทุมธานี!J574"")"),0)</f>
        <v>0</v>
      </c>
      <c r="AM61" s="261">
        <f ca="1">IFERROR(__xludf.DUMMYFUNCTION("IMPORTRANGE(""https://docs.google.com/spreadsheets/d/1fJJCVBkBnhriyv0Cp5ZFMr0I_yrfdEITNpb4zILJgUQ/edit?usp=sharing"",""ปทุมธานี!J575"")"),0)</f>
        <v>0</v>
      </c>
      <c r="AN61" s="181">
        <f ca="1">IFERROR(__xludf.DUMMYFUNCTION("IMPORTRANGE(""https://docs.google.com/spreadsheets/d/1fJJCVBkBnhriyv0Cp5ZFMr0I_yrfdEITNpb4zILJgUQ/edit?usp=sharing"",""ปทุมธานี!I576"")"),0)</f>
        <v>0</v>
      </c>
      <c r="AO61" s="181">
        <f ca="1">IFERROR(__xludf.DUMMYFUNCTION("IMPORTRANGE(""https://docs.google.com/spreadsheets/d/1fJJCVBkBnhriyv0Cp5ZFMr0I_yrfdEITNpb4zILJgUQ/edit?usp=sharing"",""ปทุมธานี!I577"")"),0)</f>
        <v>0</v>
      </c>
      <c r="AP61" s="186">
        <f ca="1">IFERROR(__xludf.DUMMYFUNCTION("IMPORTRANGE(""https://docs.google.com/spreadsheets/d/1fJJCVBkBnhriyv0Cp5ZFMr0I_yrfdEITNpb4zILJgUQ/edit?usp=sharing"",""ปทุมธานี!J576"")"),0)</f>
        <v>0</v>
      </c>
      <c r="AQ61" s="186">
        <f t="shared" ca="1" si="35"/>
        <v>0</v>
      </c>
      <c r="AR61" s="181">
        <f ca="1">IFERROR(__xludf.DUMMYFUNCTION("IMPORTRANGE(""https://docs.google.com/spreadsheets/d/1fJJCVBkBnhriyv0Cp5ZFMr0I_yrfdEITNpb4zILJgUQ/edit?usp=sharing"",""ปทุมธานี!J577"")"),0)</f>
        <v>0</v>
      </c>
      <c r="AS61" s="186">
        <f t="shared" ca="1" si="13"/>
        <v>0</v>
      </c>
      <c r="AT61" s="186">
        <f ca="1">IFERROR(__xludf.DUMMYFUNCTION("IMPORTRANGE(""https://docs.google.com/spreadsheets/d/1fJJCVBkBnhriyv0Cp5ZFMr0I_yrfdEITNpb4zILJgUQ/edit?usp=sharing"",""ปทุมธานี!J578"")"),0)</f>
        <v>0</v>
      </c>
      <c r="AU61" s="261">
        <f ca="1">IFERROR(__xludf.DUMMYFUNCTION("IMPORTRANGE(""https://docs.google.com/spreadsheets/d/1fJJCVBkBnhriyv0Cp5ZFMr0I_yrfdEITNpb4zILJgUQ/edit?usp=sharing"",""ปทุมธานี!J579"")"),0)</f>
        <v>0</v>
      </c>
      <c r="AV61" s="186">
        <f ca="1">IFERROR(__xludf.DUMMYFUNCTION("IMPORTRANGE(""https://docs.google.com/spreadsheets/d/1fJJCVBkBnhriyv0Cp5ZFMr0I_yrfdEITNpb4zILJgUQ/edit?usp=sharing"",""ปทุมธานี!J580"")"),0)</f>
        <v>0</v>
      </c>
      <c r="AW61" s="261">
        <f ca="1">IFERROR(__xludf.DUMMYFUNCTION("IMPORTRANGE(""https://docs.google.com/spreadsheets/d/1fJJCVBkBnhriyv0Cp5ZFMr0I_yrfdEITNpb4zILJgUQ/edit?usp=sharing"",""ปทุมธานี!J581"")"),0)</f>
        <v>0</v>
      </c>
      <c r="AX61" s="186">
        <f ca="1">IFERROR(__xludf.DUMMYFUNCTION("IMPORTRANGE(""https://docs.google.com/spreadsheets/d/1fJJCVBkBnhriyv0Cp5ZFMr0I_yrfdEITNpb4zILJgUQ/edit?usp=sharing"",""ปทุมธานี!J582"")"),0)</f>
        <v>0</v>
      </c>
      <c r="AY61" s="261">
        <f ca="1">IFERROR(__xludf.DUMMYFUNCTION("IMPORTRANGE(""https://docs.google.com/spreadsheets/d/1fJJCVBkBnhriyv0Cp5ZFMr0I_yrfdEITNpb4zILJgUQ/edit?usp=sharing"",""ปทุมธานี!J583"")"),0)</f>
        <v>0</v>
      </c>
      <c r="AZ61" s="262">
        <f ca="1">IFERROR(__xludf.DUMMYFUNCTION("IMPORTRANGE(""https://docs.google.com/spreadsheets/d/1fJJCVBkBnhriyv0Cp5ZFMr0I_yrfdEITNpb4zILJgUQ/edit?usp=sharing"",""ปทุมธานี!J584"")"),0)</f>
        <v>0</v>
      </c>
      <c r="BA61" s="261">
        <f ca="1">IFERROR(__xludf.DUMMYFUNCTION("IMPORTRANGE(""https://docs.google.com/spreadsheets/d/1fJJCVBkBnhriyv0Cp5ZFMr0I_yrfdEITNpb4zILJgUQ/edit?usp=sharing"",""ปทุมธานี!J585"")"),0)</f>
        <v>0</v>
      </c>
      <c r="BB61" s="262">
        <f ca="1">IFERROR(__xludf.DUMMYFUNCTION("IMPORTRANGE(""https://docs.google.com/spreadsheets/d/1fJJCVBkBnhriyv0Cp5ZFMr0I_yrfdEITNpb4zILJgUQ/edit?usp=sharing"",""ปทุมธานี!J586"")"),0)</f>
        <v>0</v>
      </c>
      <c r="BC61" s="261">
        <f ca="1">IFERROR(__xludf.DUMMYFUNCTION("IMPORTRANGE(""https://docs.google.com/spreadsheets/d/1fJJCVBkBnhriyv0Cp5ZFMr0I_yrfdEITNpb4zILJgUQ/edit?usp=sharing"",""ปทุมธานี!J587"")"),0)</f>
        <v>0</v>
      </c>
      <c r="BD61" s="186">
        <f ca="1">IFERROR(__xludf.DUMMYFUNCTION("IMPORTRANGE(""https://docs.google.com/spreadsheets/d/1fJJCVBkBnhriyv0Cp5ZFMr0I_yrfdEITNpb4zILJgUQ/edit?usp=sharing"",""ปทุมธานี!J588"")"),0)</f>
        <v>0</v>
      </c>
      <c r="BE61" s="261">
        <f ca="1">IFERROR(__xludf.DUMMYFUNCTION("IMPORTRANGE(""https://docs.google.com/spreadsheets/d/1fJJCVBkBnhriyv0Cp5ZFMr0I_yrfdEITNpb4zILJgUQ/edit?usp=sharing"",""ปทุมธานี!J589"")"),0)</f>
        <v>0</v>
      </c>
      <c r="BF61" s="186">
        <f ca="1">IFERROR(__xludf.DUMMYFUNCTION("IMPORTRANGE(""https://docs.google.com/spreadsheets/d/1fJJCVBkBnhriyv0Cp5ZFMr0I_yrfdEITNpb4zILJgUQ/edit?usp=sharing"",""ปทุมธานี!J590"")"),0)</f>
        <v>0</v>
      </c>
      <c r="BG61" s="261">
        <f ca="1">IFERROR(__xludf.DUMMYFUNCTION("IMPORTRANGE(""https://docs.google.com/spreadsheets/d/1fJJCVBkBnhriyv0Cp5ZFMr0I_yrfdEITNpb4zILJgUQ/edit?usp=sharing"",""ปทุมธานี!J591"")"),0)</f>
        <v>0</v>
      </c>
      <c r="BH61" s="181">
        <f ca="1">IFERROR(__xludf.DUMMYFUNCTION("IMPORTRANGE(""https://docs.google.com/spreadsheets/d/1fJJCVBkBnhriyv0Cp5ZFMr0I_yrfdEITNpb4zILJgUQ/edit?usp=sharing"",""ปทุมธานี!I593"")"),148.14)</f>
        <v>148.13999999999999</v>
      </c>
      <c r="BI61" s="181">
        <f ca="1">IFERROR(__xludf.DUMMYFUNCTION("IMPORTRANGE(""https://docs.google.com/spreadsheets/d/1fJJCVBkBnhriyv0Cp5ZFMr0I_yrfdEITNpb4zILJgUQ/edit?usp=sharing"",""ปทุมธานี!I594"")"),24)</f>
        <v>24</v>
      </c>
      <c r="BJ61" s="186">
        <f ca="1">IFERROR(__xludf.DUMMYFUNCTION("IMPORTRANGE(""https://docs.google.com/spreadsheets/d/1fJJCVBkBnhriyv0Cp5ZFMr0I_yrfdEITNpb4zILJgUQ/edit?usp=sharing"",""ปทุมธานี!J593"")"),0)</f>
        <v>0</v>
      </c>
      <c r="BK61" s="186">
        <f t="shared" ca="1" si="36"/>
        <v>0</v>
      </c>
      <c r="BL61" s="181">
        <f ca="1">IFERROR(__xludf.DUMMYFUNCTION("IMPORTRANGE(""https://docs.google.com/spreadsheets/d/1fJJCVBkBnhriyv0Cp5ZFMr0I_yrfdEITNpb4zILJgUQ/edit?usp=sharing"",""ปทุมธานี!J594"")"),0)</f>
        <v>0</v>
      </c>
      <c r="BM61" s="186">
        <f t="shared" ca="1" si="16"/>
        <v>0</v>
      </c>
      <c r="BN61" s="186">
        <f ca="1">IFERROR(__xludf.DUMMYFUNCTION("IMPORTRANGE(""https://docs.google.com/spreadsheets/d/1fJJCVBkBnhriyv0Cp5ZFMr0I_yrfdEITNpb4zILJgUQ/edit?usp=sharing"",""ปทุมธานี!J595"")"),0)</f>
        <v>0</v>
      </c>
      <c r="BO61" s="261">
        <f ca="1">IFERROR(__xludf.DUMMYFUNCTION("IMPORTRANGE(""https://docs.google.com/spreadsheets/d/1fJJCVBkBnhriyv0Cp5ZFMr0I_yrfdEITNpb4zILJgUQ/edit?usp=sharing"",""ปทุมธานี!J596"")"),0)</f>
        <v>0</v>
      </c>
      <c r="BP61" s="186">
        <f ca="1">IFERROR(__xludf.DUMMYFUNCTION("IMPORTRANGE(""https://docs.google.com/spreadsheets/d/1fJJCVBkBnhriyv0Cp5ZFMr0I_yrfdEITNpb4zILJgUQ/edit?usp=sharing"",""ปทุมธานี!J597"")"),0)</f>
        <v>0</v>
      </c>
      <c r="BQ61" s="261">
        <f ca="1">IFERROR(__xludf.DUMMYFUNCTION("IMPORTRANGE(""https://docs.google.com/spreadsheets/d/1fJJCVBkBnhriyv0Cp5ZFMr0I_yrfdEITNpb4zILJgUQ/edit?usp=sharing"",""ปทุมธานี!J598"")"),0)</f>
        <v>0</v>
      </c>
      <c r="BR61" s="186">
        <f ca="1">IFERROR(__xludf.DUMMYFUNCTION("IMPORTRANGE(""https://docs.google.com/spreadsheets/d/1fJJCVBkBnhriyv0Cp5ZFMr0I_yrfdEITNpb4zILJgUQ/edit?usp=sharing"",""ปทุมธานี!J599"")"),0)</f>
        <v>0</v>
      </c>
      <c r="BS61" s="261">
        <f ca="1">IFERROR(__xludf.DUMMYFUNCTION("IMPORTRANGE(""https://docs.google.com/spreadsheets/d/1fJJCVBkBnhriyv0Cp5ZFMr0I_yrfdEITNpb4zILJgUQ/edit?usp=sharing"",""ปทุมธานี!J600"")"),0)</f>
        <v>0</v>
      </c>
      <c r="BT61" s="262">
        <f ca="1">IFERROR(__xludf.DUMMYFUNCTION("IMPORTRANGE(""https://docs.google.com/spreadsheets/d/1fJJCVBkBnhriyv0Cp5ZFMr0I_yrfdEITNpb4zILJgUQ/edit?usp=sharing"",""ปทุมธานี!J601"")"),0)</f>
        <v>0</v>
      </c>
      <c r="BU61" s="261">
        <f ca="1">IFERROR(__xludf.DUMMYFUNCTION("IMPORTRANGE(""https://docs.google.com/spreadsheets/d/1fJJCVBkBnhriyv0Cp5ZFMr0I_yrfdEITNpb4zILJgUQ/edit?usp=sharing"",""ปทุมธานี!J602"")"),0)</f>
        <v>0</v>
      </c>
      <c r="BV61" s="186">
        <f ca="1">IFERROR(__xludf.DUMMYFUNCTION("IMPORTRANGE(""https://docs.google.com/spreadsheets/d/1fJJCVBkBnhriyv0Cp5ZFMr0I_yrfdEITNpb4zILJgUQ/edit?usp=sharing"",""ปทุมธานี!J603"")"),0)</f>
        <v>0</v>
      </c>
      <c r="BW61" s="261">
        <f ca="1">IFERROR(__xludf.DUMMYFUNCTION("IMPORTRANGE(""https://docs.google.com/spreadsheets/d/1fJJCVBkBnhriyv0Cp5ZFMr0I_yrfdEITNpb4zILJgUQ/edit?usp=sharing"",""ปทุมธานี!J604"")"),0)</f>
        <v>0</v>
      </c>
      <c r="BX61" s="186">
        <f ca="1">IFERROR(__xludf.DUMMYFUNCTION("IMPORTRANGE(""https://docs.google.com/spreadsheets/d/1fJJCVBkBnhriyv0Cp5ZFMr0I_yrfdEITNpb4zILJgUQ/edit?usp=sharing"",""ปทุมธานี!J605"")"),0)</f>
        <v>0</v>
      </c>
      <c r="BY61" s="261">
        <f ca="1">IFERROR(__xludf.DUMMYFUNCTION("IMPORTRANGE(""https://docs.google.com/spreadsheets/d/1fJJCVBkBnhriyv0Cp5ZFMr0I_yrfdEITNpb4zILJgUQ/edit?usp=sharing"",""ปทุมธานี!J606"")"),0)</f>
        <v>0</v>
      </c>
      <c r="BZ61" s="186">
        <f ca="1">IFERROR(__xludf.DUMMYFUNCTION("IMPORTRANGE(""https://docs.google.com/spreadsheets/d/1fJJCVBkBnhriyv0Cp5ZFMr0I_yrfdEITNpb4zILJgUQ/edit?usp=sharing"",""ปทุมธานี!J607"")"),0)</f>
        <v>0</v>
      </c>
      <c r="CA61" s="261">
        <f ca="1">IFERROR(__xludf.DUMMYFUNCTION("IMPORTRANGE(""https://docs.google.com/spreadsheets/d/1fJJCVBkBnhriyv0Cp5ZFMr0I_yrfdEITNpb4zILJgUQ/edit?usp=sharing"",""ปทุมธานี!J608"")"),0)</f>
        <v>0</v>
      </c>
      <c r="CB61" s="186">
        <f ca="1">IFERROR(__xludf.DUMMYFUNCTION("IMPORTRANGE(""https://docs.google.com/spreadsheets/d/1fJJCVBkBnhriyv0Cp5ZFMr0I_yrfdEITNpb4zILJgUQ/edit?usp=sharing"",""ปทุมธานี!J609"")"),0)</f>
        <v>0</v>
      </c>
      <c r="CC61" s="261">
        <f ca="1">IFERROR(__xludf.DUMMYFUNCTION("IMPORTRANGE(""https://docs.google.com/spreadsheets/d/1fJJCVBkBnhriyv0Cp5ZFMr0I_yrfdEITNpb4zILJgUQ/edit?usp=sharing"",""ปทุมธานี!J610"")"),0)</f>
        <v>0</v>
      </c>
      <c r="CD61" s="261">
        <f ca="1">IFERROR(__xludf.DUMMYFUNCTION("IMPORTRANGE(""https://docs.google.com/spreadsheets/d/1fJJCVBkBnhriyv0Cp5ZFMr0I_yrfdEITNpb4zILJgUQ/edit?usp=sharing"",""ปทุมธานี!I612"")"),0)</f>
        <v>0</v>
      </c>
      <c r="CE61" s="261">
        <f ca="1">IFERROR(__xludf.DUMMYFUNCTION("IMPORTRANGE(""https://docs.google.com/spreadsheets/d/1fJJCVBkBnhriyv0Cp5ZFMr0I_yrfdEITNpb4zILJgUQ/edit?usp=sharing"",""ปทุมธานี!I594"")"),24)</f>
        <v>24</v>
      </c>
      <c r="CF61" s="262">
        <f ca="1">IFERROR(__xludf.DUMMYFUNCTION("IMPORTRANGE(""https://docs.google.com/spreadsheets/d/1fJJCVBkBnhriyv0Cp5ZFMr0I_yrfdEITNpb4zILJgUQ/edit?usp=sharing"",""ปทุมธานี!J612"")"),0)</f>
        <v>0</v>
      </c>
      <c r="CG61" s="262">
        <f t="shared" ca="1" si="37"/>
        <v>0</v>
      </c>
      <c r="CH61" s="261">
        <f ca="1">IFERROR(__xludf.DUMMYFUNCTION("IMPORTRANGE(""https://docs.google.com/spreadsheets/d/1fJJCVBkBnhriyv0Cp5ZFMr0I_yrfdEITNpb4zILJgUQ/edit?usp=sharing"",""ปทุมธานี!J613"")"),0)</f>
        <v>0</v>
      </c>
      <c r="CI61" s="262">
        <f t="shared" ca="1" si="19"/>
        <v>0</v>
      </c>
      <c r="CJ61" s="186">
        <f ca="1">IFERROR(__xludf.DUMMYFUNCTION("IMPORTRANGE(""https://docs.google.com/spreadsheets/d/1fJJCVBkBnhriyv0Cp5ZFMr0I_yrfdEITNpb4zILJgUQ/edit?usp=sharing"",""ปทุมธานี!J614"")"),0)</f>
        <v>0</v>
      </c>
      <c r="CK61" s="261">
        <f ca="1">IFERROR(__xludf.DUMMYFUNCTION("IMPORTRANGE(""https://docs.google.com/spreadsheets/d/1fJJCVBkBnhriyv0Cp5ZFMr0I_yrfdEITNpb4zILJgUQ/edit?usp=sharing"",""ปทุมธานี!J615"")"),0)</f>
        <v>0</v>
      </c>
      <c r="CL61" s="186">
        <f ca="1">IFERROR(__xludf.DUMMYFUNCTION("IMPORTRANGE(""https://docs.google.com/spreadsheets/d/1fJJCVBkBnhriyv0Cp5ZFMr0I_yrfdEITNpb4zILJgUQ/edit?usp=sharing"",""ปทุมธานี!J616"")"),0)</f>
        <v>0</v>
      </c>
      <c r="CM61" s="261">
        <f ca="1">IFERROR(__xludf.DUMMYFUNCTION("IMPORTRANGE(""https://docs.google.com/spreadsheets/d/1fJJCVBkBnhriyv0Cp5ZFMr0I_yrfdEITNpb4zILJgUQ/edit?usp=sharing"",""ปทุมธานี!J617"")"),0)</f>
        <v>0</v>
      </c>
      <c r="CN61" s="261">
        <f ca="1">IFERROR(__xludf.DUMMYFUNCTION("IMPORTRANGE(""https://docs.google.com/spreadsheets/d/1fJJCVBkBnhriyv0Cp5ZFMr0I_yrfdEITNpb4zILJgUQ/edit?usp=sharing"",""ปทุมธานี!I620"")"),0)</f>
        <v>0</v>
      </c>
      <c r="CO61" s="261">
        <f ca="1">IFERROR(__xludf.DUMMYFUNCTION("IMPORTRANGE(""https://docs.google.com/spreadsheets/d/1fJJCVBkBnhriyv0Cp5ZFMr0I_yrfdEITNpb4zILJgUQ/edit?usp=sharing"",""ปทุมธานี!I621"")"),0)</f>
        <v>0</v>
      </c>
      <c r="CP61" s="262">
        <f ca="1">IFERROR(__xludf.DUMMYFUNCTION("IMPORTRANGE(""https://docs.google.com/spreadsheets/d/1fJJCVBkBnhriyv0Cp5ZFMr0I_yrfdEITNpb4zILJgUQ/edit?usp=sharing"",""ปทุมธานี!J620"")"),0)</f>
        <v>0</v>
      </c>
      <c r="CQ61" s="262">
        <f t="shared" ca="1" si="38"/>
        <v>0</v>
      </c>
      <c r="CR61" s="261">
        <f ca="1">IFERROR(__xludf.DUMMYFUNCTION("IMPORTRANGE(""https://docs.google.com/spreadsheets/d/1fJJCVBkBnhriyv0Cp5ZFMr0I_yrfdEITNpb4zILJgUQ/edit?usp=sharing"",""ปทุมธานี!J621"")"),0)</f>
        <v>0</v>
      </c>
      <c r="CS61" s="262">
        <f t="shared" ca="1" si="22"/>
        <v>0</v>
      </c>
      <c r="CT61" s="186">
        <f ca="1">IFERROR(__xludf.DUMMYFUNCTION("IMPORTRANGE(""https://docs.google.com/spreadsheets/d/1fJJCVBkBnhriyv0Cp5ZFMr0I_yrfdEITNpb4zILJgUQ/edit?usp=sharing"",""ปทุมธานี!J622"")"),0)</f>
        <v>0</v>
      </c>
      <c r="CU61" s="261">
        <f ca="1">IFERROR(__xludf.DUMMYFUNCTION("IMPORTRANGE(""https://docs.google.com/spreadsheets/d/1fJJCVBkBnhriyv0Cp5ZFMr0I_yrfdEITNpb4zILJgUQ/edit?usp=sharing"",""ปทุมธานี!J623"")"),0)</f>
        <v>0</v>
      </c>
      <c r="CV61" s="186">
        <f ca="1">IFERROR(__xludf.DUMMYFUNCTION("IMPORTRANGE(""https://docs.google.com/spreadsheets/d/1fJJCVBkBnhriyv0Cp5ZFMr0I_yrfdEITNpb4zILJgUQ/edit?usp=sharing"",""ปทุมธานี!J624"")"),0)</f>
        <v>0</v>
      </c>
      <c r="CW61" s="261">
        <f ca="1">IFERROR(__xludf.DUMMYFUNCTION("IMPORTRANGE(""https://docs.google.com/spreadsheets/d/1fJJCVBkBnhriyv0Cp5ZFMr0I_yrfdEITNpb4zILJgUQ/edit?usp=sharing"",""ปทุมธานี!J625"")"),0)</f>
        <v>0</v>
      </c>
      <c r="CX61" s="186">
        <f ca="1">IFERROR(__xludf.DUMMYFUNCTION("IMPORTRANGE(""https://docs.google.com/spreadsheets/d/1fJJCVBkBnhriyv0Cp5ZFMr0I_yrfdEITNpb4zILJgUQ/edit?usp=sharing"",""ปทุมธานี!J626"")"),0)</f>
        <v>0</v>
      </c>
      <c r="CY61" s="261">
        <f ca="1">IFERROR(__xludf.DUMMYFUNCTION("IMPORTRANGE(""https://docs.google.com/spreadsheets/d/1fJJCVBkBnhriyv0Cp5ZFMr0I_yrfdEITNpb4zILJgUQ/edit?usp=sharing"",""ปทุมธานี!J627"")"),0)</f>
        <v>0</v>
      </c>
    </row>
    <row r="62" spans="1:103" ht="21" customHeight="1" x14ac:dyDescent="0.3">
      <c r="A62" s="178">
        <v>10</v>
      </c>
      <c r="B62" s="179" t="s">
        <v>79</v>
      </c>
      <c r="C62" s="180">
        <f t="shared" ca="1" si="71"/>
        <v>315742</v>
      </c>
      <c r="D62" s="181">
        <f ca="1">IFERROR(__xludf.DUMMYFUNCTION("IMPORTRANGE(""https://docs.google.com/spreadsheets/d/1W5Jj_S0gYw6wSO7QcMI02YgyOBDKYgmm0NSUk-AQEac/edit?usp=sharing"",""ประจวบคีรีขันธ์!L549"")"),315742)</f>
        <v>315742</v>
      </c>
      <c r="E62" s="187">
        <f ca="1">IFERROR(__xludf.DUMMYFUNCTION("IMPORTRANGE(""https://docs.google.com/spreadsheets/d/1W5Jj_S0gYw6wSO7QcMI02YgyOBDKYgmm0NSUk-AQEac/edit?usp=sharing"",""ประจวบคีรีขันธ์!L557"")"),0)</f>
        <v>0</v>
      </c>
      <c r="F62" s="182">
        <f t="shared" ca="1" si="1"/>
        <v>110820</v>
      </c>
      <c r="G62" s="183">
        <f t="shared" ca="1" si="2"/>
        <v>35.098276440891617</v>
      </c>
      <c r="H62" s="184">
        <f t="shared" ca="1" si="72"/>
        <v>110820</v>
      </c>
      <c r="I62" s="187">
        <f ca="1">IFERROR(__xludf.DUMMYFUNCTION("IMPORTRANGE(""https://docs.google.com/spreadsheets/d/1W5Jj_S0gYw6wSO7QcMI02YgyOBDKYgmm0NSUk-AQEac/edit?usp=sharing"",""ประจวบคีรีขันธ์!N550"")"),0)</f>
        <v>0</v>
      </c>
      <c r="J62" s="187">
        <f ca="1">IFERROR(__xludf.DUMMYFUNCTION("IMPORTRANGE(""https://docs.google.com/spreadsheets/d/1W5Jj_S0gYw6wSO7QcMI02YgyOBDKYgmm0NSUk-AQEac/edit?usp=sharing"",""ประจวบคีรีขันธ์!N551"")"),0)</f>
        <v>0</v>
      </c>
      <c r="K62" s="187">
        <f ca="1">IFERROR(__xludf.DUMMYFUNCTION("IMPORTRANGE(""https://docs.google.com/spreadsheets/d/1W5Jj_S0gYw6wSO7QcMI02YgyOBDKYgmm0NSUk-AQEac/edit?usp=sharing"",""ประจวบคีรีขันธ์!N552"")"),39000)</f>
        <v>39000</v>
      </c>
      <c r="L62" s="187">
        <f ca="1">IFERROR(__xludf.DUMMYFUNCTION("IMPORTRANGE(""https://docs.google.com/spreadsheets/d/1W5Jj_S0gYw6wSO7QcMI02YgyOBDKYgmm0NSUk-AQEac/edit?usp=sharing"",""ประจวบคีรีขันธ์!N553"")"),71820)</f>
        <v>71820</v>
      </c>
      <c r="M62" s="187">
        <f ca="1">IFERROR(__xludf.DUMMYFUNCTION("IMPORTRANGE(""https://docs.google.com/spreadsheets/d/1W5Jj_S0gYw6wSO7QcMI02YgyOBDKYgmm0NSUk-AQEac/edit?usp=sharing"",""ประจวบคีรีขันธ์!N554"")"),0)</f>
        <v>0</v>
      </c>
      <c r="N62" s="185">
        <f ca="1">IFERROR(__xludf.DUMMYFUNCTION("IMPORTRANGE(""https://docs.google.com/spreadsheets/d/1W5Jj_S0gYw6wSO7QcMI02YgyOBDKYgmm0NSUk-AQEac/edit?usp=sharing"",""ประจวบคีรีขันธ์!N557"")"),0)</f>
        <v>0</v>
      </c>
      <c r="O62" s="185">
        <f t="shared" ca="1" si="41"/>
        <v>0</v>
      </c>
      <c r="P62" s="181">
        <f ca="1">IFERROR(__xludf.DUMMYFUNCTION("IMPORTRANGE(""https://docs.google.com/spreadsheets/d/1W5Jj_S0gYw6wSO7QcMI02YgyOBDKYgmm0NSUk-AQEac/edit?usp=sharing"",""ประจวบคีรีขันธ์!I560"")"),18118)</f>
        <v>18118</v>
      </c>
      <c r="Q62" s="181">
        <f ca="1">IFERROR(__xludf.DUMMYFUNCTION("IMPORTRANGE(""https://docs.google.com/spreadsheets/d/1W5Jj_S0gYw6wSO7QcMI02YgyOBDKYgmm0NSUk-AQEac/edit?usp=sharing"",""ประจวบคีรีขันธ์!I561"")"),1162)</f>
        <v>1162</v>
      </c>
      <c r="R62" s="186">
        <f ca="1">IFERROR(__xludf.DUMMYFUNCTION("IMPORTRANGE(""https://docs.google.com/spreadsheets/d/1W5Jj_S0gYw6wSO7QcMI02YgyOBDKYgmm0NSUk-AQEac/edit?usp=sharing"",""ประจวบคีรีขันธ์!J560"")"),18118)</f>
        <v>18118</v>
      </c>
      <c r="S62" s="186">
        <f t="shared" ca="1" si="33"/>
        <v>100</v>
      </c>
      <c r="T62" s="181">
        <f ca="1">IFERROR(__xludf.DUMMYFUNCTION("IMPORTRANGE(""https://docs.google.com/spreadsheets/d/1W5Jj_S0gYw6wSO7QcMI02YgyOBDKYgmm0NSUk-AQEac/edit?usp=sharing"",""ประจวบคีรีขันธ์!J561"")"),1162)</f>
        <v>1162</v>
      </c>
      <c r="U62" s="186">
        <f t="shared" ca="1" si="7"/>
        <v>100</v>
      </c>
      <c r="V62" s="186">
        <f ca="1">IFERROR(__xludf.DUMMYFUNCTION("IMPORTRANGE(""https://docs.google.com/spreadsheets/d/1W5Jj_S0gYw6wSO7QcMI02YgyOBDKYgmm0NSUk-AQEac/edit?usp=sharing"",""ประจวบคีรีขันธ์!J562"")"),12704)</f>
        <v>12704</v>
      </c>
      <c r="W62" s="261">
        <f ca="1">IFERROR(__xludf.DUMMYFUNCTION("IMPORTRANGE(""https://docs.google.com/spreadsheets/d/1W5Jj_S0gYw6wSO7QcMI02YgyOBDKYgmm0NSUk-AQEac/edit?usp=sharing"",""ประจวบคีรีขันธ์!J563"")"),895)</f>
        <v>895</v>
      </c>
      <c r="X62" s="186">
        <f ca="1">IFERROR(__xludf.DUMMYFUNCTION("IMPORTRANGE(""https://docs.google.com/spreadsheets/d/1W5Jj_S0gYw6wSO7QcMI02YgyOBDKYgmm0NSUk-AQEac/edit?usp=sharing"",""ประจวบคีรีขันธ์!J564"")"),4966)</f>
        <v>4966</v>
      </c>
      <c r="Y62" s="261">
        <f ca="1">IFERROR(__xludf.DUMMYFUNCTION("IMPORTRANGE(""https://docs.google.com/spreadsheets/d/1W5Jj_S0gYw6wSO7QcMI02YgyOBDKYgmm0NSUk-AQEac/edit?usp=sharing"",""ประจวบคีรีขันธ์!J565"")"),228)</f>
        <v>228</v>
      </c>
      <c r="Z62" s="186">
        <f ca="1">IFERROR(__xludf.DUMMYFUNCTION("IMPORTRANGE(""https://docs.google.com/spreadsheets/d/1W5Jj_S0gYw6wSO7QcMI02YgyOBDKYgmm0NSUk-AQEac/edit?usp=sharing"",""ประจวบคีรีขันธ์!J566"")"),448)</f>
        <v>448</v>
      </c>
      <c r="AA62" s="261">
        <f ca="1">IFERROR(__xludf.DUMMYFUNCTION("IMPORTRANGE(""https://docs.google.com/spreadsheets/d/1W5Jj_S0gYw6wSO7QcMI02YgyOBDKYgmm0NSUk-AQEac/edit?usp=sharing"",""ประจวบคีรีขันธ์!J567"")"),39)</f>
        <v>39</v>
      </c>
      <c r="AB62" s="181">
        <f ca="1">IFERROR(__xludf.DUMMYFUNCTION("IMPORTRANGE(""https://docs.google.com/spreadsheets/d/1W5Jj_S0gYw6wSO7QcMI02YgyOBDKYgmm0NSUk-AQEac/edit?usp=sharing"",""ประจวบคีรีขันธ์!I568"")"),18118)</f>
        <v>18118</v>
      </c>
      <c r="AC62" s="181">
        <f ca="1">IFERROR(__xludf.DUMMYFUNCTION("IMPORTRANGE(""https://docs.google.com/spreadsheets/d/1W5Jj_S0gYw6wSO7QcMI02YgyOBDKYgmm0NSUk-AQEac/edit?usp=sharing"",""ประจวบคีรีขันธ์!I569"")"),1162)</f>
        <v>1162</v>
      </c>
      <c r="AD62" s="186">
        <f ca="1">IFERROR(__xludf.DUMMYFUNCTION("IMPORTRANGE(""https://docs.google.com/spreadsheets/d/1W5Jj_S0gYw6wSO7QcMI02YgyOBDKYgmm0NSUk-AQEac/edit?usp=sharing"",""ประจวบคีรีขันธ์!J568"")"),18120)</f>
        <v>18120</v>
      </c>
      <c r="AE62" s="186">
        <f t="shared" ca="1" si="34"/>
        <v>100.01103874599845</v>
      </c>
      <c r="AF62" s="181">
        <f ca="1">IFERROR(__xludf.DUMMYFUNCTION("IMPORTRANGE(""https://docs.google.com/spreadsheets/d/1W5Jj_S0gYw6wSO7QcMI02YgyOBDKYgmm0NSUk-AQEac/edit?usp=sharing"",""ประจวบคีรีขันธ์!J569"")"),1162)</f>
        <v>1162</v>
      </c>
      <c r="AG62" s="186">
        <f t="shared" ca="1" si="10"/>
        <v>100</v>
      </c>
      <c r="AH62" s="186">
        <f ca="1">IFERROR(__xludf.DUMMYFUNCTION("IMPORTRANGE(""https://docs.google.com/spreadsheets/d/1W5Jj_S0gYw6wSO7QcMI02YgyOBDKYgmm0NSUk-AQEac/edit?usp=sharing"",""ประจวบคีรีขันธ์!J570"")"),12717)</f>
        <v>12717</v>
      </c>
      <c r="AI62" s="261">
        <f ca="1">IFERROR(__xludf.DUMMYFUNCTION("IMPORTRANGE(""https://docs.google.com/spreadsheets/d/1W5Jj_S0gYw6wSO7QcMI02YgyOBDKYgmm0NSUk-AQEac/edit?usp=sharing"",""ประจวบคีรีขันธ์!J571"")"),897)</f>
        <v>897</v>
      </c>
      <c r="AJ62" s="186">
        <f ca="1">IFERROR(__xludf.DUMMYFUNCTION("IMPORTRANGE(""https://docs.google.com/spreadsheets/d/1W5Jj_S0gYw6wSO7QcMI02YgyOBDKYgmm0NSUk-AQEac/edit?usp=sharing"",""ประจวบคีรีขันธ์!J572"")"),4955)</f>
        <v>4955</v>
      </c>
      <c r="AK62" s="261">
        <f ca="1">IFERROR(__xludf.DUMMYFUNCTION("IMPORTRANGE(""https://docs.google.com/spreadsheets/d/1W5Jj_S0gYw6wSO7QcMI02YgyOBDKYgmm0NSUk-AQEac/edit?usp=sharing"",""ประจวบคีรีขันธ์!J573"")"),226)</f>
        <v>226</v>
      </c>
      <c r="AL62" s="186">
        <f ca="1">IFERROR(__xludf.DUMMYFUNCTION("IMPORTRANGE(""https://docs.google.com/spreadsheets/d/1W5Jj_S0gYw6wSO7QcMI02YgyOBDKYgmm0NSUk-AQEac/edit?usp=sharing"",""ประจวบคีรีขันธ์!J574"")"),448)</f>
        <v>448</v>
      </c>
      <c r="AM62" s="261">
        <f ca="1">IFERROR(__xludf.DUMMYFUNCTION("IMPORTRANGE(""https://docs.google.com/spreadsheets/d/1W5Jj_S0gYw6wSO7QcMI02YgyOBDKYgmm0NSUk-AQEac/edit?usp=sharing"",""ประจวบคีรีขันธ์!J575"")"),39)</f>
        <v>39</v>
      </c>
      <c r="AN62" s="181">
        <f ca="1">IFERROR(__xludf.DUMMYFUNCTION("IMPORTRANGE(""https://docs.google.com/spreadsheets/d/1W5Jj_S0gYw6wSO7QcMI02YgyOBDKYgmm0NSUk-AQEac/edit?usp=sharing"",""ประจวบคีรีขันธ์!I576"")"),18118)</f>
        <v>18118</v>
      </c>
      <c r="AO62" s="181">
        <f ca="1">IFERROR(__xludf.DUMMYFUNCTION("IMPORTRANGE(""https://docs.google.com/spreadsheets/d/1W5Jj_S0gYw6wSO7QcMI02YgyOBDKYgmm0NSUk-AQEac/edit?usp=sharing"",""ประจวบคีรีขันธ์!I577"")"),1162)</f>
        <v>1162</v>
      </c>
      <c r="AP62" s="186">
        <f ca="1">IFERROR(__xludf.DUMMYFUNCTION("IMPORTRANGE(""https://docs.google.com/spreadsheets/d/1W5Jj_S0gYw6wSO7QcMI02YgyOBDKYgmm0NSUk-AQEac/edit?usp=sharing"",""ประจวบคีรีขันธ์!J576"")"),13165)</f>
        <v>13165</v>
      </c>
      <c r="AQ62" s="186">
        <f t="shared" ca="1" si="35"/>
        <v>72.662545534827245</v>
      </c>
      <c r="AR62" s="181">
        <f ca="1">IFERROR(__xludf.DUMMYFUNCTION("IMPORTRANGE(""https://docs.google.com/spreadsheets/d/1W5Jj_S0gYw6wSO7QcMI02YgyOBDKYgmm0NSUk-AQEac/edit?usp=sharing"",""ประจวบคีรีขันธ์!J577"")"),936)</f>
        <v>936</v>
      </c>
      <c r="AS62" s="186">
        <f t="shared" ca="1" si="13"/>
        <v>80.55077452667814</v>
      </c>
      <c r="AT62" s="186">
        <f ca="1">IFERROR(__xludf.DUMMYFUNCTION("IMPORTRANGE(""https://docs.google.com/spreadsheets/d/1W5Jj_S0gYw6wSO7QcMI02YgyOBDKYgmm0NSUk-AQEac/edit?usp=sharing"",""ประจวบคีรีขันธ์!J578"")"),12717)</f>
        <v>12717</v>
      </c>
      <c r="AU62" s="261">
        <f ca="1">IFERROR(__xludf.DUMMYFUNCTION("IMPORTRANGE(""https://docs.google.com/spreadsheets/d/1W5Jj_S0gYw6wSO7QcMI02YgyOBDKYgmm0NSUk-AQEac/edit?usp=sharing"",""ประจวบคีรีขันธ์!J579"")"),897)</f>
        <v>897</v>
      </c>
      <c r="AV62" s="186">
        <f ca="1">IFERROR(__xludf.DUMMYFUNCTION("IMPORTRANGE(""https://docs.google.com/spreadsheets/d/1W5Jj_S0gYw6wSO7QcMI02YgyOBDKYgmm0NSUk-AQEac/edit?usp=sharing"",""ประจวบคีรีขันธ์!J580"")"),0)</f>
        <v>0</v>
      </c>
      <c r="AW62" s="261">
        <f ca="1">IFERROR(__xludf.DUMMYFUNCTION("IMPORTRANGE(""https://docs.google.com/spreadsheets/d/1W5Jj_S0gYw6wSO7QcMI02YgyOBDKYgmm0NSUk-AQEac/edit?usp=sharing"",""ประจวบคีรีขันธ์!J581"")"),0)</f>
        <v>0</v>
      </c>
      <c r="AX62" s="186">
        <f ca="1">IFERROR(__xludf.DUMMYFUNCTION("IMPORTRANGE(""https://docs.google.com/spreadsheets/d/1W5Jj_S0gYw6wSO7QcMI02YgyOBDKYgmm0NSUk-AQEac/edit?usp=sharing"",""ประจวบคีรีขันธ์!J582"")"),448)</f>
        <v>448</v>
      </c>
      <c r="AY62" s="261">
        <f ca="1">IFERROR(__xludf.DUMMYFUNCTION("IMPORTRANGE(""https://docs.google.com/spreadsheets/d/1W5Jj_S0gYw6wSO7QcMI02YgyOBDKYgmm0NSUk-AQEac/edit?usp=sharing"",""ประจวบคีรีขันธ์!J583"")"),39)</f>
        <v>39</v>
      </c>
      <c r="AZ62" s="262">
        <f ca="1">IFERROR(__xludf.DUMMYFUNCTION("IMPORTRANGE(""https://docs.google.com/spreadsheets/d/1W5Jj_S0gYw6wSO7QcMI02YgyOBDKYgmm0NSUk-AQEac/edit?usp=sharing"",""ประจวบคีรีขันธ์!J584"")"),448)</f>
        <v>448</v>
      </c>
      <c r="BA62" s="261">
        <f ca="1">IFERROR(__xludf.DUMMYFUNCTION("IMPORTRANGE(""https://docs.google.com/spreadsheets/d/1W5Jj_S0gYw6wSO7QcMI02YgyOBDKYgmm0NSUk-AQEac/edit?usp=sharing"",""ประจวบคีรีขันธ์!J585"")"),39)</f>
        <v>39</v>
      </c>
      <c r="BB62" s="262">
        <f ca="1">IFERROR(__xludf.DUMMYFUNCTION("IMPORTRANGE(""https://docs.google.com/spreadsheets/d/1W5Jj_S0gYw6wSO7QcMI02YgyOBDKYgmm0NSUk-AQEac/edit?usp=sharing"",""ประจวบคีรีขันธ์!J586"")"),0)</f>
        <v>0</v>
      </c>
      <c r="BC62" s="261">
        <f ca="1">IFERROR(__xludf.DUMMYFUNCTION("IMPORTRANGE(""https://docs.google.com/spreadsheets/d/1W5Jj_S0gYw6wSO7QcMI02YgyOBDKYgmm0NSUk-AQEac/edit?usp=sharing"",""ประจวบคีรีขันธ์!J587"")"),0)</f>
        <v>0</v>
      </c>
      <c r="BD62" s="186">
        <f ca="1">IFERROR(__xludf.DUMMYFUNCTION("IMPORTRANGE(""https://docs.google.com/spreadsheets/d/1W5Jj_S0gYw6wSO7QcMI02YgyOBDKYgmm0NSUk-AQEac/edit?usp=sharing"",""ประจวบคีรีขันธ์!J588"")"),0)</f>
        <v>0</v>
      </c>
      <c r="BE62" s="261">
        <f ca="1">IFERROR(__xludf.DUMMYFUNCTION("IMPORTRANGE(""https://docs.google.com/spreadsheets/d/1W5Jj_S0gYw6wSO7QcMI02YgyOBDKYgmm0NSUk-AQEac/edit?usp=sharing"",""ประจวบคีรีขันธ์!J589"")"),0)</f>
        <v>0</v>
      </c>
      <c r="BF62" s="186">
        <f ca="1">IFERROR(__xludf.DUMMYFUNCTION("IMPORTRANGE(""https://docs.google.com/spreadsheets/d/1W5Jj_S0gYw6wSO7QcMI02YgyOBDKYgmm0NSUk-AQEac/edit?usp=sharing"",""ประจวบคีรีขันธ์!J590"")"),0)</f>
        <v>0</v>
      </c>
      <c r="BG62" s="261">
        <f ca="1">IFERROR(__xludf.DUMMYFUNCTION("IMPORTRANGE(""https://docs.google.com/spreadsheets/d/1W5Jj_S0gYw6wSO7QcMI02YgyOBDKYgmm0NSUk-AQEac/edit?usp=sharing"",""ประจวบคีรีขันธ์!J591"")"),0)</f>
        <v>0</v>
      </c>
      <c r="BH62" s="181">
        <f ca="1">IFERROR(__xludf.DUMMYFUNCTION("IMPORTRANGE(""https://docs.google.com/spreadsheets/d/1W5Jj_S0gYw6wSO7QcMI02YgyOBDKYgmm0NSUk-AQEac/edit?usp=sharing"",""ประจวบคีรีขันธ์!I593"")"),2254.82)</f>
        <v>2254.8200000000002</v>
      </c>
      <c r="BI62" s="181">
        <f ca="1">IFERROR(__xludf.DUMMYFUNCTION("IMPORTRANGE(""https://docs.google.com/spreadsheets/d/1W5Jj_S0gYw6wSO7QcMI02YgyOBDKYgmm0NSUk-AQEac/edit?usp=sharing"",""ประจวบคีรีขันธ์!I594"")"),208)</f>
        <v>208</v>
      </c>
      <c r="BJ62" s="186">
        <f ca="1">IFERROR(__xludf.DUMMYFUNCTION("IMPORTRANGE(""https://docs.google.com/spreadsheets/d/1W5Jj_S0gYw6wSO7QcMI02YgyOBDKYgmm0NSUk-AQEac/edit?usp=sharing"",""ประจวบคีรีขันธ์!J593"")"),0)</f>
        <v>0</v>
      </c>
      <c r="BK62" s="186">
        <f t="shared" ca="1" si="36"/>
        <v>0</v>
      </c>
      <c r="BL62" s="181">
        <f ca="1">IFERROR(__xludf.DUMMYFUNCTION("IMPORTRANGE(""https://docs.google.com/spreadsheets/d/1W5Jj_S0gYw6wSO7QcMI02YgyOBDKYgmm0NSUk-AQEac/edit?usp=sharing"",""ประจวบคีรีขันธ์!J594"")"),0)</f>
        <v>0</v>
      </c>
      <c r="BM62" s="186">
        <f t="shared" ca="1" si="16"/>
        <v>0</v>
      </c>
      <c r="BN62" s="186">
        <f ca="1">IFERROR(__xludf.DUMMYFUNCTION("IMPORTRANGE(""https://docs.google.com/spreadsheets/d/1W5Jj_S0gYw6wSO7QcMI02YgyOBDKYgmm0NSUk-AQEac/edit?usp=sharing"",""ประจวบคีรีขันธ์!J595"")"),0)</f>
        <v>0</v>
      </c>
      <c r="BO62" s="261">
        <f ca="1">IFERROR(__xludf.DUMMYFUNCTION("IMPORTRANGE(""https://docs.google.com/spreadsheets/d/1W5Jj_S0gYw6wSO7QcMI02YgyOBDKYgmm0NSUk-AQEac/edit?usp=sharing"",""ประจวบคีรีขันธ์!J596"")"),0)</f>
        <v>0</v>
      </c>
      <c r="BP62" s="186">
        <f ca="1">IFERROR(__xludf.DUMMYFUNCTION("IMPORTRANGE(""https://docs.google.com/spreadsheets/d/1W5Jj_S0gYw6wSO7QcMI02YgyOBDKYgmm0NSUk-AQEac/edit?usp=sharing"",""ประจวบคีรีขันธ์!J597"")"),0)</f>
        <v>0</v>
      </c>
      <c r="BQ62" s="261">
        <f ca="1">IFERROR(__xludf.DUMMYFUNCTION("IMPORTRANGE(""https://docs.google.com/spreadsheets/d/1W5Jj_S0gYw6wSO7QcMI02YgyOBDKYgmm0NSUk-AQEac/edit?usp=sharing"",""ประจวบคีรีขันธ์!J598"")"),0)</f>
        <v>0</v>
      </c>
      <c r="BR62" s="186">
        <f ca="1">IFERROR(__xludf.DUMMYFUNCTION("IMPORTRANGE(""https://docs.google.com/spreadsheets/d/1W5Jj_S0gYw6wSO7QcMI02YgyOBDKYgmm0NSUk-AQEac/edit?usp=sharing"",""ประจวบคีรีขันธ์!J599"")"),0)</f>
        <v>0</v>
      </c>
      <c r="BS62" s="261">
        <f ca="1">IFERROR(__xludf.DUMMYFUNCTION("IMPORTRANGE(""https://docs.google.com/spreadsheets/d/1W5Jj_S0gYw6wSO7QcMI02YgyOBDKYgmm0NSUk-AQEac/edit?usp=sharing"",""ประจวบคีรีขันธ์!J600"")"),0)</f>
        <v>0</v>
      </c>
      <c r="BT62" s="262">
        <f ca="1">IFERROR(__xludf.DUMMYFUNCTION("IMPORTRANGE(""https://docs.google.com/spreadsheets/d/1W5Jj_S0gYw6wSO7QcMI02YgyOBDKYgmm0NSUk-AQEac/edit?usp=sharing"",""ประจวบคีรีขันธ์!J601"")"),0)</f>
        <v>0</v>
      </c>
      <c r="BU62" s="261">
        <f ca="1">IFERROR(__xludf.DUMMYFUNCTION("IMPORTRANGE(""https://docs.google.com/spreadsheets/d/1W5Jj_S0gYw6wSO7QcMI02YgyOBDKYgmm0NSUk-AQEac/edit?usp=sharing"",""ประจวบคีรีขันธ์!J602"")"),0)</f>
        <v>0</v>
      </c>
      <c r="BV62" s="186">
        <f ca="1">IFERROR(__xludf.DUMMYFUNCTION("IMPORTRANGE(""https://docs.google.com/spreadsheets/d/1W5Jj_S0gYw6wSO7QcMI02YgyOBDKYgmm0NSUk-AQEac/edit?usp=sharing"",""ประจวบคีรีขันธ์!J603"")"),0)</f>
        <v>0</v>
      </c>
      <c r="BW62" s="261">
        <f ca="1">IFERROR(__xludf.DUMMYFUNCTION("IMPORTRANGE(""https://docs.google.com/spreadsheets/d/1W5Jj_S0gYw6wSO7QcMI02YgyOBDKYgmm0NSUk-AQEac/edit?usp=sharing"",""ประจวบคีรีขันธ์!J604"")"),0)</f>
        <v>0</v>
      </c>
      <c r="BX62" s="186">
        <f ca="1">IFERROR(__xludf.DUMMYFUNCTION("IMPORTRANGE(""https://docs.google.com/spreadsheets/d/1W5Jj_S0gYw6wSO7QcMI02YgyOBDKYgmm0NSUk-AQEac/edit?usp=sharing"",""ประจวบคีรีขันธ์!J605"")"),0)</f>
        <v>0</v>
      </c>
      <c r="BY62" s="261">
        <f ca="1">IFERROR(__xludf.DUMMYFUNCTION("IMPORTRANGE(""https://docs.google.com/spreadsheets/d/1W5Jj_S0gYw6wSO7QcMI02YgyOBDKYgmm0NSUk-AQEac/edit?usp=sharing"",""ประจวบคีรีขันธ์!J606"")"),0)</f>
        <v>0</v>
      </c>
      <c r="BZ62" s="186">
        <f ca="1">IFERROR(__xludf.DUMMYFUNCTION("IMPORTRANGE(""https://docs.google.com/spreadsheets/d/1W5Jj_S0gYw6wSO7QcMI02YgyOBDKYgmm0NSUk-AQEac/edit?usp=sharing"",""ประจวบคีรีขันธ์!J607"")"),0)</f>
        <v>0</v>
      </c>
      <c r="CA62" s="261">
        <f ca="1">IFERROR(__xludf.DUMMYFUNCTION("IMPORTRANGE(""https://docs.google.com/spreadsheets/d/1W5Jj_S0gYw6wSO7QcMI02YgyOBDKYgmm0NSUk-AQEac/edit?usp=sharing"",""ประจวบคีรีขันธ์!J608"")"),0)</f>
        <v>0</v>
      </c>
      <c r="CB62" s="186">
        <f ca="1">IFERROR(__xludf.DUMMYFUNCTION("IMPORTRANGE(""https://docs.google.com/spreadsheets/d/1W5Jj_S0gYw6wSO7QcMI02YgyOBDKYgmm0NSUk-AQEac/edit?usp=sharing"",""ประจวบคีรีขันธ์!J609"")"),0)</f>
        <v>0</v>
      </c>
      <c r="CC62" s="261">
        <f ca="1">IFERROR(__xludf.DUMMYFUNCTION("IMPORTRANGE(""https://docs.google.com/spreadsheets/d/1W5Jj_S0gYw6wSO7QcMI02YgyOBDKYgmm0NSUk-AQEac/edit?usp=sharing"",""ประจวบคีรีขันธ์!J610"")"),0)</f>
        <v>0</v>
      </c>
      <c r="CD62" s="261">
        <f ca="1">IFERROR(__xludf.DUMMYFUNCTION("IMPORTRANGE(""https://docs.google.com/spreadsheets/d/1W5Jj_S0gYw6wSO7QcMI02YgyOBDKYgmm0NSUk-AQEac/edit?usp=sharing"",""ประจวบคีรีขันธ์!I612"")"),0)</f>
        <v>0</v>
      </c>
      <c r="CE62" s="261">
        <f ca="1">IFERROR(__xludf.DUMMYFUNCTION("IMPORTRANGE(""https://docs.google.com/spreadsheets/d/1W5Jj_S0gYw6wSO7QcMI02YgyOBDKYgmm0NSUk-AQEac/edit?usp=sharing"",""ประจวบคีรีขันธ์!I594"")"),208)</f>
        <v>208</v>
      </c>
      <c r="CF62" s="262">
        <f ca="1">IFERROR(__xludf.DUMMYFUNCTION("IMPORTRANGE(""https://docs.google.com/spreadsheets/d/1W5Jj_S0gYw6wSO7QcMI02YgyOBDKYgmm0NSUk-AQEac/edit?usp=sharing"",""ประจวบคีรีขันธ์!J612"")"),0)</f>
        <v>0</v>
      </c>
      <c r="CG62" s="262">
        <f t="shared" ca="1" si="37"/>
        <v>0</v>
      </c>
      <c r="CH62" s="261">
        <f ca="1">IFERROR(__xludf.DUMMYFUNCTION("IMPORTRANGE(""https://docs.google.com/spreadsheets/d/1W5Jj_S0gYw6wSO7QcMI02YgyOBDKYgmm0NSUk-AQEac/edit?usp=sharing"",""ประจวบคีรีขันธ์!J613"")"),0)</f>
        <v>0</v>
      </c>
      <c r="CI62" s="262">
        <f t="shared" ca="1" si="19"/>
        <v>0</v>
      </c>
      <c r="CJ62" s="186">
        <f ca="1">IFERROR(__xludf.DUMMYFUNCTION("IMPORTRANGE(""https://docs.google.com/spreadsheets/d/1W5Jj_S0gYw6wSO7QcMI02YgyOBDKYgmm0NSUk-AQEac/edit?usp=sharing"",""ประจวบคีรีขันธ์!J614"")"),0)</f>
        <v>0</v>
      </c>
      <c r="CK62" s="261">
        <f ca="1">IFERROR(__xludf.DUMMYFUNCTION("IMPORTRANGE(""https://docs.google.com/spreadsheets/d/1W5Jj_S0gYw6wSO7QcMI02YgyOBDKYgmm0NSUk-AQEac/edit?usp=sharing"",""ประจวบคีรีขันธ์!J615"")"),0)</f>
        <v>0</v>
      </c>
      <c r="CL62" s="186">
        <f ca="1">IFERROR(__xludf.DUMMYFUNCTION("IMPORTRANGE(""https://docs.google.com/spreadsheets/d/1W5Jj_S0gYw6wSO7QcMI02YgyOBDKYgmm0NSUk-AQEac/edit?usp=sharing"",""ประจวบคีรีขันธ์!J616"")"),0)</f>
        <v>0</v>
      </c>
      <c r="CM62" s="261">
        <f ca="1">IFERROR(__xludf.DUMMYFUNCTION("IMPORTRANGE(""https://docs.google.com/spreadsheets/d/1W5Jj_S0gYw6wSO7QcMI02YgyOBDKYgmm0NSUk-AQEac/edit?usp=sharing"",""ประจวบคีรีขันธ์!J617"")"),0)</f>
        <v>0</v>
      </c>
      <c r="CN62" s="261">
        <f ca="1">IFERROR(__xludf.DUMMYFUNCTION("IMPORTRANGE(""https://docs.google.com/spreadsheets/d/1W5Jj_S0gYw6wSO7QcMI02YgyOBDKYgmm0NSUk-AQEac/edit?usp=sharing"",""ประจวบคีรีขันธ์!I620"")"),0)</f>
        <v>0</v>
      </c>
      <c r="CO62" s="261">
        <f ca="1">IFERROR(__xludf.DUMMYFUNCTION("IMPORTRANGE(""https://docs.google.com/spreadsheets/d/1W5Jj_S0gYw6wSO7QcMI02YgyOBDKYgmm0NSUk-AQEac/edit?usp=sharing"",""ประจวบคีรีขันธ์!I621"")"),0)</f>
        <v>0</v>
      </c>
      <c r="CP62" s="262">
        <f ca="1">IFERROR(__xludf.DUMMYFUNCTION("IMPORTRANGE(""https://docs.google.com/spreadsheets/d/1W5Jj_S0gYw6wSO7QcMI02YgyOBDKYgmm0NSUk-AQEac/edit?usp=sharing"",""ประจวบคีรีขันธ์!J620"")"),0)</f>
        <v>0</v>
      </c>
      <c r="CQ62" s="262">
        <f t="shared" ca="1" si="38"/>
        <v>0</v>
      </c>
      <c r="CR62" s="261">
        <f ca="1">IFERROR(__xludf.DUMMYFUNCTION("IMPORTRANGE(""https://docs.google.com/spreadsheets/d/1W5Jj_S0gYw6wSO7QcMI02YgyOBDKYgmm0NSUk-AQEac/edit?usp=sharing"",""ประจวบคีรีขันธ์!J621"")"),0)</f>
        <v>0</v>
      </c>
      <c r="CS62" s="262">
        <f t="shared" ca="1" si="22"/>
        <v>0</v>
      </c>
      <c r="CT62" s="186">
        <f ca="1">IFERROR(__xludf.DUMMYFUNCTION("IMPORTRANGE(""https://docs.google.com/spreadsheets/d/1W5Jj_S0gYw6wSO7QcMI02YgyOBDKYgmm0NSUk-AQEac/edit?usp=sharing"",""ประจวบคีรีขันธ์!J622"")"),0)</f>
        <v>0</v>
      </c>
      <c r="CU62" s="261">
        <f ca="1">IFERROR(__xludf.DUMMYFUNCTION("IMPORTRANGE(""https://docs.google.com/spreadsheets/d/1W5Jj_S0gYw6wSO7QcMI02YgyOBDKYgmm0NSUk-AQEac/edit?usp=sharing"",""ประจวบคีรีขันธ์!J623"")"),0)</f>
        <v>0</v>
      </c>
      <c r="CV62" s="186">
        <f ca="1">IFERROR(__xludf.DUMMYFUNCTION("IMPORTRANGE(""https://docs.google.com/spreadsheets/d/1W5Jj_S0gYw6wSO7QcMI02YgyOBDKYgmm0NSUk-AQEac/edit?usp=sharing"",""ประจวบคีรีขันธ์!J624"")"),0)</f>
        <v>0</v>
      </c>
      <c r="CW62" s="261">
        <f ca="1">IFERROR(__xludf.DUMMYFUNCTION("IMPORTRANGE(""https://docs.google.com/spreadsheets/d/1W5Jj_S0gYw6wSO7QcMI02YgyOBDKYgmm0NSUk-AQEac/edit?usp=sharing"",""ประจวบคีรีขันธ์!J625"")"),0)</f>
        <v>0</v>
      </c>
      <c r="CX62" s="186">
        <f ca="1">IFERROR(__xludf.DUMMYFUNCTION("IMPORTRANGE(""https://docs.google.com/spreadsheets/d/1W5Jj_S0gYw6wSO7QcMI02YgyOBDKYgmm0NSUk-AQEac/edit?usp=sharing"",""ประจวบคีรีขันธ์!J626"")"),0)</f>
        <v>0</v>
      </c>
      <c r="CY62" s="261">
        <f ca="1">IFERROR(__xludf.DUMMYFUNCTION("IMPORTRANGE(""https://docs.google.com/spreadsheets/d/1W5Jj_S0gYw6wSO7QcMI02YgyOBDKYgmm0NSUk-AQEac/edit?usp=sharing"",""ประจวบคีรีขันธ์!J627"")"),0)</f>
        <v>0</v>
      </c>
    </row>
    <row r="63" spans="1:103" ht="21" customHeight="1" x14ac:dyDescent="0.3">
      <c r="A63" s="178">
        <v>11</v>
      </c>
      <c r="B63" s="179" t="s">
        <v>80</v>
      </c>
      <c r="C63" s="180">
        <f t="shared" ca="1" si="71"/>
        <v>218300</v>
      </c>
      <c r="D63" s="181">
        <f ca="1">IFERROR(__xludf.DUMMYFUNCTION("IMPORTRANGE(""https://docs.google.com/spreadsheets/d/1nYxRXgnCfTXtqUY1otYuTlnrzE0Tn-Y0YRsW5pkRVqo/edit?usp=sharing"",""ปราจีนบุรี!L549"")"),218300)</f>
        <v>218300</v>
      </c>
      <c r="E63" s="187">
        <f ca="1">IFERROR(__xludf.DUMMYFUNCTION("IMPORTRANGE(""https://docs.google.com/spreadsheets/d/1nYxRXgnCfTXtqUY1otYuTlnrzE0Tn-Y0YRsW5pkRVqo/edit?usp=sharing"",""ปราจีนบุรี!L557"")"),0)</f>
        <v>0</v>
      </c>
      <c r="F63" s="182">
        <f t="shared" ca="1" si="1"/>
        <v>0</v>
      </c>
      <c r="G63" s="183">
        <f t="shared" ca="1" si="2"/>
        <v>0</v>
      </c>
      <c r="H63" s="184">
        <f t="shared" ca="1" si="72"/>
        <v>0</v>
      </c>
      <c r="I63" s="187">
        <f ca="1">IFERROR(__xludf.DUMMYFUNCTION("IMPORTRANGE(""https://docs.google.com/spreadsheets/d/1nYxRXgnCfTXtqUY1otYuTlnrzE0Tn-Y0YRsW5pkRVqo/edit?usp=sharing"",""ปราจีนบุรี!N550"")"),0)</f>
        <v>0</v>
      </c>
      <c r="J63" s="187">
        <f ca="1">IFERROR(__xludf.DUMMYFUNCTION("IMPORTRANGE(""https://docs.google.com/spreadsheets/d/1nYxRXgnCfTXtqUY1otYuTlnrzE0Tn-Y0YRsW5pkRVqo/edit?usp=sharing"",""ปราจีนบุรี!N551"")"),0)</f>
        <v>0</v>
      </c>
      <c r="K63" s="187">
        <f ca="1">IFERROR(__xludf.DUMMYFUNCTION("IMPORTRANGE(""https://docs.google.com/spreadsheets/d/1nYxRXgnCfTXtqUY1otYuTlnrzE0Tn-Y0YRsW5pkRVqo/edit?usp=sharing"",""ปราจีนบุรี!N552"")"),0)</f>
        <v>0</v>
      </c>
      <c r="L63" s="187">
        <f ca="1">IFERROR(__xludf.DUMMYFUNCTION("IMPORTRANGE(""https://docs.google.com/spreadsheets/d/1nYxRXgnCfTXtqUY1otYuTlnrzE0Tn-Y0YRsW5pkRVqo/edit?usp=sharing"",""ปราจีนบุรี!N553"")"),0)</f>
        <v>0</v>
      </c>
      <c r="M63" s="187">
        <f ca="1">IFERROR(__xludf.DUMMYFUNCTION("IMPORTRANGE(""https://docs.google.com/spreadsheets/d/1nYxRXgnCfTXtqUY1otYuTlnrzE0Tn-Y0YRsW5pkRVqo/edit?usp=sharing"",""ปราจีนบุรี!N554"")"),0)</f>
        <v>0</v>
      </c>
      <c r="N63" s="185">
        <f ca="1">IFERROR(__xludf.DUMMYFUNCTION("IMPORTRANGE(""https://docs.google.com/spreadsheets/d/1nYxRXgnCfTXtqUY1otYuTlnrzE0Tn-Y0YRsW5pkRVqo/edit?usp=sharing"",""ปราจีนบุรี!N557"")"),0)</f>
        <v>0</v>
      </c>
      <c r="O63" s="185">
        <f t="shared" ca="1" si="41"/>
        <v>0</v>
      </c>
      <c r="P63" s="181">
        <f ca="1">IFERROR(__xludf.DUMMYFUNCTION("IMPORTRANGE(""https://docs.google.com/spreadsheets/d/1nYxRXgnCfTXtqUY1otYuTlnrzE0Tn-Y0YRsW5pkRVqo/edit?usp=sharing"",""ปราจีนบุรี!I560"")"),0)</f>
        <v>0</v>
      </c>
      <c r="Q63" s="181">
        <f ca="1">IFERROR(__xludf.DUMMYFUNCTION("IMPORTRANGE(""https://docs.google.com/spreadsheets/d/1nYxRXgnCfTXtqUY1otYuTlnrzE0Tn-Y0YRsW5pkRVqo/edit?usp=sharing"",""ปราจีนบุรี!I561"")"),0)</f>
        <v>0</v>
      </c>
      <c r="R63" s="186">
        <f ca="1">IFERROR(__xludf.DUMMYFUNCTION("IMPORTRANGE(""https://docs.google.com/spreadsheets/d/1nYxRXgnCfTXtqUY1otYuTlnrzE0Tn-Y0YRsW5pkRVqo/edit?usp=sharing"",""ปราจีนบุรี!J560"")"),0)</f>
        <v>0</v>
      </c>
      <c r="S63" s="186">
        <f t="shared" ca="1" si="33"/>
        <v>0</v>
      </c>
      <c r="T63" s="181">
        <f ca="1">IFERROR(__xludf.DUMMYFUNCTION("IMPORTRANGE(""https://docs.google.com/spreadsheets/d/1nYxRXgnCfTXtqUY1otYuTlnrzE0Tn-Y0YRsW5pkRVqo/edit?usp=sharing"",""ปราจีนบุรี!J561"")"),0)</f>
        <v>0</v>
      </c>
      <c r="U63" s="186">
        <f t="shared" ca="1" si="7"/>
        <v>0</v>
      </c>
      <c r="V63" s="186">
        <f ca="1">IFERROR(__xludf.DUMMYFUNCTION("IMPORTRANGE(""https://docs.google.com/spreadsheets/d/1nYxRXgnCfTXtqUY1otYuTlnrzE0Tn-Y0YRsW5pkRVqo/edit?usp=sharing"",""ปราจีนบุรี!J562"")"),0)</f>
        <v>0</v>
      </c>
      <c r="W63" s="261">
        <f ca="1">IFERROR(__xludf.DUMMYFUNCTION("IMPORTRANGE(""https://docs.google.com/spreadsheets/d/1nYxRXgnCfTXtqUY1otYuTlnrzE0Tn-Y0YRsW5pkRVqo/edit?usp=sharing"",""ปราจีนบุรี!J563"")"),0)</f>
        <v>0</v>
      </c>
      <c r="X63" s="186">
        <f ca="1">IFERROR(__xludf.DUMMYFUNCTION("IMPORTRANGE(""https://docs.google.com/spreadsheets/d/1nYxRXgnCfTXtqUY1otYuTlnrzE0Tn-Y0YRsW5pkRVqo/edit?usp=sharing"",""ปราจีนบุรี!J564"")"),0)</f>
        <v>0</v>
      </c>
      <c r="Y63" s="261">
        <f ca="1">IFERROR(__xludf.DUMMYFUNCTION("IMPORTRANGE(""https://docs.google.com/spreadsheets/d/1nYxRXgnCfTXtqUY1otYuTlnrzE0Tn-Y0YRsW5pkRVqo/edit?usp=sharing"",""ปราจีนบุรี!J565"")"),0)</f>
        <v>0</v>
      </c>
      <c r="Z63" s="186">
        <f ca="1">IFERROR(__xludf.DUMMYFUNCTION("IMPORTRANGE(""https://docs.google.com/spreadsheets/d/1nYxRXgnCfTXtqUY1otYuTlnrzE0Tn-Y0YRsW5pkRVqo/edit?usp=sharing"",""ปราจีนบุรี!J566"")"),0)</f>
        <v>0</v>
      </c>
      <c r="AA63" s="261">
        <f ca="1">IFERROR(__xludf.DUMMYFUNCTION("IMPORTRANGE(""https://docs.google.com/spreadsheets/d/1nYxRXgnCfTXtqUY1otYuTlnrzE0Tn-Y0YRsW5pkRVqo/edit?usp=sharing"",""ปราจีนบุรี!J567"")"),0)</f>
        <v>0</v>
      </c>
      <c r="AB63" s="181">
        <f ca="1">IFERROR(__xludf.DUMMYFUNCTION("IMPORTRANGE(""https://docs.google.com/spreadsheets/d/1nYxRXgnCfTXtqUY1otYuTlnrzE0Tn-Y0YRsW5pkRVqo/edit?usp=sharing"",""ปราจีนบุรี!I568"")"),0)</f>
        <v>0</v>
      </c>
      <c r="AC63" s="181">
        <f ca="1">IFERROR(__xludf.DUMMYFUNCTION("IMPORTRANGE(""https://docs.google.com/spreadsheets/d/1nYxRXgnCfTXtqUY1otYuTlnrzE0Tn-Y0YRsW5pkRVqo/edit?usp=sharing"",""ปราจีนบุรี!I569"")"),0)</f>
        <v>0</v>
      </c>
      <c r="AD63" s="186">
        <f ca="1">IFERROR(__xludf.DUMMYFUNCTION("IMPORTRANGE(""https://docs.google.com/spreadsheets/d/1nYxRXgnCfTXtqUY1otYuTlnrzE0Tn-Y0YRsW5pkRVqo/edit?usp=sharing"",""ปราจีนบุรี!J568"")"),0)</f>
        <v>0</v>
      </c>
      <c r="AE63" s="186">
        <f t="shared" ca="1" si="34"/>
        <v>0</v>
      </c>
      <c r="AF63" s="181">
        <f ca="1">IFERROR(__xludf.DUMMYFUNCTION("IMPORTRANGE(""https://docs.google.com/spreadsheets/d/1nYxRXgnCfTXtqUY1otYuTlnrzE0Tn-Y0YRsW5pkRVqo/edit?usp=sharing"",""ปราจีนบุรี!J569"")"),0)</f>
        <v>0</v>
      </c>
      <c r="AG63" s="186">
        <f t="shared" ca="1" si="10"/>
        <v>0</v>
      </c>
      <c r="AH63" s="186">
        <f ca="1">IFERROR(__xludf.DUMMYFUNCTION("IMPORTRANGE(""https://docs.google.com/spreadsheets/d/1nYxRXgnCfTXtqUY1otYuTlnrzE0Tn-Y0YRsW5pkRVqo/edit?usp=sharing"",""ปราจีนบุรี!J570"")"),0)</f>
        <v>0</v>
      </c>
      <c r="AI63" s="261">
        <f ca="1">IFERROR(__xludf.DUMMYFUNCTION("IMPORTRANGE(""https://docs.google.com/spreadsheets/d/1nYxRXgnCfTXtqUY1otYuTlnrzE0Tn-Y0YRsW5pkRVqo/edit?usp=sharing"",""ปราจีนบุรี!J571"")"),0)</f>
        <v>0</v>
      </c>
      <c r="AJ63" s="186">
        <f ca="1">IFERROR(__xludf.DUMMYFUNCTION("IMPORTRANGE(""https://docs.google.com/spreadsheets/d/1nYxRXgnCfTXtqUY1otYuTlnrzE0Tn-Y0YRsW5pkRVqo/edit?usp=sharing"",""ปราจีนบุรี!J572"")"),0)</f>
        <v>0</v>
      </c>
      <c r="AK63" s="261">
        <f ca="1">IFERROR(__xludf.DUMMYFUNCTION("IMPORTRANGE(""https://docs.google.com/spreadsheets/d/1nYxRXgnCfTXtqUY1otYuTlnrzE0Tn-Y0YRsW5pkRVqo/edit?usp=sharing"",""ปราจีนบุรี!J573"")"),0)</f>
        <v>0</v>
      </c>
      <c r="AL63" s="186">
        <f ca="1">IFERROR(__xludf.DUMMYFUNCTION("IMPORTRANGE(""https://docs.google.com/spreadsheets/d/1nYxRXgnCfTXtqUY1otYuTlnrzE0Tn-Y0YRsW5pkRVqo/edit?usp=sharing"",""ปราจีนบุรี!J574"")"),0)</f>
        <v>0</v>
      </c>
      <c r="AM63" s="261">
        <f ca="1">IFERROR(__xludf.DUMMYFUNCTION("IMPORTRANGE(""https://docs.google.com/spreadsheets/d/1nYxRXgnCfTXtqUY1otYuTlnrzE0Tn-Y0YRsW5pkRVqo/edit?usp=sharing"",""ปราจีนบุรี!J575"")"),0)</f>
        <v>0</v>
      </c>
      <c r="AN63" s="181">
        <f ca="1">IFERROR(__xludf.DUMMYFUNCTION("IMPORTRANGE(""https://docs.google.com/spreadsheets/d/1nYxRXgnCfTXtqUY1otYuTlnrzE0Tn-Y0YRsW5pkRVqo/edit?usp=sharing"",""ปราจีนบุรี!I576"")"),0)</f>
        <v>0</v>
      </c>
      <c r="AO63" s="181">
        <f ca="1">IFERROR(__xludf.DUMMYFUNCTION("IMPORTRANGE(""https://docs.google.com/spreadsheets/d/1nYxRXgnCfTXtqUY1otYuTlnrzE0Tn-Y0YRsW5pkRVqo/edit?usp=sharing"",""ปราจีนบุรี!I577"")"),0)</f>
        <v>0</v>
      </c>
      <c r="AP63" s="186">
        <f ca="1">IFERROR(__xludf.DUMMYFUNCTION("IMPORTRANGE(""https://docs.google.com/spreadsheets/d/1nYxRXgnCfTXtqUY1otYuTlnrzE0Tn-Y0YRsW5pkRVqo/edit?usp=sharing"",""ปราจีนบุรี!J576"")"),0)</f>
        <v>0</v>
      </c>
      <c r="AQ63" s="186">
        <f t="shared" ca="1" si="35"/>
        <v>0</v>
      </c>
      <c r="AR63" s="181">
        <f ca="1">IFERROR(__xludf.DUMMYFUNCTION("IMPORTRANGE(""https://docs.google.com/spreadsheets/d/1nYxRXgnCfTXtqUY1otYuTlnrzE0Tn-Y0YRsW5pkRVqo/edit?usp=sharing"",""ปราจีนบุรี!J577"")"),0)</f>
        <v>0</v>
      </c>
      <c r="AS63" s="186">
        <f t="shared" ca="1" si="13"/>
        <v>0</v>
      </c>
      <c r="AT63" s="186">
        <f ca="1">IFERROR(__xludf.DUMMYFUNCTION("IMPORTRANGE(""https://docs.google.com/spreadsheets/d/1nYxRXgnCfTXtqUY1otYuTlnrzE0Tn-Y0YRsW5pkRVqo/edit?usp=sharing"",""ปราจีนบุรี!J578"")"),0)</f>
        <v>0</v>
      </c>
      <c r="AU63" s="261">
        <f ca="1">IFERROR(__xludf.DUMMYFUNCTION("IMPORTRANGE(""https://docs.google.com/spreadsheets/d/1nYxRXgnCfTXtqUY1otYuTlnrzE0Tn-Y0YRsW5pkRVqo/edit?usp=sharing"",""ปราจีนบุรี!J579"")"),0)</f>
        <v>0</v>
      </c>
      <c r="AV63" s="186">
        <f ca="1">IFERROR(__xludf.DUMMYFUNCTION("IMPORTRANGE(""https://docs.google.com/spreadsheets/d/1nYxRXgnCfTXtqUY1otYuTlnrzE0Tn-Y0YRsW5pkRVqo/edit?usp=sharing"",""ปราจีนบุรี!J580"")"),0)</f>
        <v>0</v>
      </c>
      <c r="AW63" s="261">
        <f ca="1">IFERROR(__xludf.DUMMYFUNCTION("IMPORTRANGE(""https://docs.google.com/spreadsheets/d/1nYxRXgnCfTXtqUY1otYuTlnrzE0Tn-Y0YRsW5pkRVqo/edit?usp=sharing"",""ปราจีนบุรี!J581"")"),0)</f>
        <v>0</v>
      </c>
      <c r="AX63" s="186">
        <f ca="1">IFERROR(__xludf.DUMMYFUNCTION("IMPORTRANGE(""https://docs.google.com/spreadsheets/d/1nYxRXgnCfTXtqUY1otYuTlnrzE0Tn-Y0YRsW5pkRVqo/edit?usp=sharing"",""ปราจีนบุรี!J582"")"),0)</f>
        <v>0</v>
      </c>
      <c r="AY63" s="261">
        <f ca="1">IFERROR(__xludf.DUMMYFUNCTION("IMPORTRANGE(""https://docs.google.com/spreadsheets/d/1nYxRXgnCfTXtqUY1otYuTlnrzE0Tn-Y0YRsW5pkRVqo/edit?usp=sharing"",""ปราจีนบุรี!J583"")"),0)</f>
        <v>0</v>
      </c>
      <c r="AZ63" s="262">
        <f ca="1">IFERROR(__xludf.DUMMYFUNCTION("IMPORTRANGE(""https://docs.google.com/spreadsheets/d/1nYxRXgnCfTXtqUY1otYuTlnrzE0Tn-Y0YRsW5pkRVqo/edit?usp=sharing"",""ปราจีนบุรี!J584"")"),0)</f>
        <v>0</v>
      </c>
      <c r="BA63" s="261">
        <f ca="1">IFERROR(__xludf.DUMMYFUNCTION("IMPORTRANGE(""https://docs.google.com/spreadsheets/d/1nYxRXgnCfTXtqUY1otYuTlnrzE0Tn-Y0YRsW5pkRVqo/edit?usp=sharing"",""ปราจีนบุรี!J585"")"),0)</f>
        <v>0</v>
      </c>
      <c r="BB63" s="262">
        <f ca="1">IFERROR(__xludf.DUMMYFUNCTION("IMPORTRANGE(""https://docs.google.com/spreadsheets/d/1nYxRXgnCfTXtqUY1otYuTlnrzE0Tn-Y0YRsW5pkRVqo/edit?usp=sharing"",""ปราจีนบุรี!J586"")"),0)</f>
        <v>0</v>
      </c>
      <c r="BC63" s="261">
        <f ca="1">IFERROR(__xludf.DUMMYFUNCTION("IMPORTRANGE(""https://docs.google.com/spreadsheets/d/1nYxRXgnCfTXtqUY1otYuTlnrzE0Tn-Y0YRsW5pkRVqo/edit?usp=sharing"",""ปราจีนบุรี!J587"")"),0)</f>
        <v>0</v>
      </c>
      <c r="BD63" s="186">
        <f ca="1">IFERROR(__xludf.DUMMYFUNCTION("IMPORTRANGE(""https://docs.google.com/spreadsheets/d/1nYxRXgnCfTXtqUY1otYuTlnrzE0Tn-Y0YRsW5pkRVqo/edit?usp=sharing"",""ปราจีนบุรี!J588"")"),0)</f>
        <v>0</v>
      </c>
      <c r="BE63" s="261">
        <f ca="1">IFERROR(__xludf.DUMMYFUNCTION("IMPORTRANGE(""https://docs.google.com/spreadsheets/d/1nYxRXgnCfTXtqUY1otYuTlnrzE0Tn-Y0YRsW5pkRVqo/edit?usp=sharing"",""ปราจีนบุรี!J589"")"),0)</f>
        <v>0</v>
      </c>
      <c r="BF63" s="186">
        <f ca="1">IFERROR(__xludf.DUMMYFUNCTION("IMPORTRANGE(""https://docs.google.com/spreadsheets/d/1nYxRXgnCfTXtqUY1otYuTlnrzE0Tn-Y0YRsW5pkRVqo/edit?usp=sharing"",""ปราจีนบุรี!J590"")"),0)</f>
        <v>0</v>
      </c>
      <c r="BG63" s="261">
        <f ca="1">IFERROR(__xludf.DUMMYFUNCTION("IMPORTRANGE(""https://docs.google.com/spreadsheets/d/1nYxRXgnCfTXtqUY1otYuTlnrzE0Tn-Y0YRsW5pkRVqo/edit?usp=sharing"",""ปราจีนบุรี!J591"")"),0)</f>
        <v>0</v>
      </c>
      <c r="BH63" s="181">
        <f ca="1">IFERROR(__xludf.DUMMYFUNCTION("IMPORTRANGE(""https://docs.google.com/spreadsheets/d/1nYxRXgnCfTXtqUY1otYuTlnrzE0Tn-Y0YRsW5pkRVqo/edit?usp=sharing"",""ปราจีนบุรี!I593"")"),792.63)</f>
        <v>792.63</v>
      </c>
      <c r="BI63" s="181">
        <f ca="1">IFERROR(__xludf.DUMMYFUNCTION("IMPORTRANGE(""https://docs.google.com/spreadsheets/d/1nYxRXgnCfTXtqUY1otYuTlnrzE0Tn-Y0YRsW5pkRVqo/edit?usp=sharing"",""ปราจีนบุรี!I594"")"),21)</f>
        <v>21</v>
      </c>
      <c r="BJ63" s="186">
        <f ca="1">IFERROR(__xludf.DUMMYFUNCTION("IMPORTRANGE(""https://docs.google.com/spreadsheets/d/1nYxRXgnCfTXtqUY1otYuTlnrzE0Tn-Y0YRsW5pkRVqo/edit?usp=sharing"",""ปราจีนบุรี!J593"")"),0)</f>
        <v>0</v>
      </c>
      <c r="BK63" s="186">
        <f t="shared" ca="1" si="36"/>
        <v>0</v>
      </c>
      <c r="BL63" s="181">
        <f ca="1">IFERROR(__xludf.DUMMYFUNCTION("IMPORTRANGE(""https://docs.google.com/spreadsheets/d/1nYxRXgnCfTXtqUY1otYuTlnrzE0Tn-Y0YRsW5pkRVqo/edit?usp=sharing"",""ปราจีนบุรี!J594"")"),0)</f>
        <v>0</v>
      </c>
      <c r="BM63" s="186">
        <f t="shared" ca="1" si="16"/>
        <v>0</v>
      </c>
      <c r="BN63" s="186">
        <f ca="1">IFERROR(__xludf.DUMMYFUNCTION("IMPORTRANGE(""https://docs.google.com/spreadsheets/d/1nYxRXgnCfTXtqUY1otYuTlnrzE0Tn-Y0YRsW5pkRVqo/edit?usp=sharing"",""ปราจีนบุรี!J595"")"),0)</f>
        <v>0</v>
      </c>
      <c r="BO63" s="261">
        <f ca="1">IFERROR(__xludf.DUMMYFUNCTION("IMPORTRANGE(""https://docs.google.com/spreadsheets/d/1nYxRXgnCfTXtqUY1otYuTlnrzE0Tn-Y0YRsW5pkRVqo/edit?usp=sharing"",""ปราจีนบุรี!J596"")"),0)</f>
        <v>0</v>
      </c>
      <c r="BP63" s="186">
        <f ca="1">IFERROR(__xludf.DUMMYFUNCTION("IMPORTRANGE(""https://docs.google.com/spreadsheets/d/1nYxRXgnCfTXtqUY1otYuTlnrzE0Tn-Y0YRsW5pkRVqo/edit?usp=sharing"",""ปราจีนบุรี!J597"")"),0)</f>
        <v>0</v>
      </c>
      <c r="BQ63" s="261">
        <f ca="1">IFERROR(__xludf.DUMMYFUNCTION("IMPORTRANGE(""https://docs.google.com/spreadsheets/d/1nYxRXgnCfTXtqUY1otYuTlnrzE0Tn-Y0YRsW5pkRVqo/edit?usp=sharing"",""ปราจีนบุรี!J598"")"),0)</f>
        <v>0</v>
      </c>
      <c r="BR63" s="186">
        <f ca="1">IFERROR(__xludf.DUMMYFUNCTION("IMPORTRANGE(""https://docs.google.com/spreadsheets/d/1nYxRXgnCfTXtqUY1otYuTlnrzE0Tn-Y0YRsW5pkRVqo/edit?usp=sharing"",""ปราจีนบุรี!J599"")"),0)</f>
        <v>0</v>
      </c>
      <c r="BS63" s="261">
        <f ca="1">IFERROR(__xludf.DUMMYFUNCTION("IMPORTRANGE(""https://docs.google.com/spreadsheets/d/1nYxRXgnCfTXtqUY1otYuTlnrzE0Tn-Y0YRsW5pkRVqo/edit?usp=sharing"",""ปราจีนบุรี!J600"")"),0)</f>
        <v>0</v>
      </c>
      <c r="BT63" s="262">
        <f ca="1">IFERROR(__xludf.DUMMYFUNCTION("IMPORTRANGE(""https://docs.google.com/spreadsheets/d/1nYxRXgnCfTXtqUY1otYuTlnrzE0Tn-Y0YRsW5pkRVqo/edit?usp=sharing"",""ปราจีนบุรี!J601"")"),0)</f>
        <v>0</v>
      </c>
      <c r="BU63" s="261">
        <f ca="1">IFERROR(__xludf.DUMMYFUNCTION("IMPORTRANGE(""https://docs.google.com/spreadsheets/d/1nYxRXgnCfTXtqUY1otYuTlnrzE0Tn-Y0YRsW5pkRVqo/edit?usp=sharing"",""ปราจีนบุรี!J602"")"),0)</f>
        <v>0</v>
      </c>
      <c r="BV63" s="186">
        <f ca="1">IFERROR(__xludf.DUMMYFUNCTION("IMPORTRANGE(""https://docs.google.com/spreadsheets/d/1nYxRXgnCfTXtqUY1otYuTlnrzE0Tn-Y0YRsW5pkRVqo/edit?usp=sharing"",""ปราจีนบุรี!J603"")"),0)</f>
        <v>0</v>
      </c>
      <c r="BW63" s="261">
        <f ca="1">IFERROR(__xludf.DUMMYFUNCTION("IMPORTRANGE(""https://docs.google.com/spreadsheets/d/1nYxRXgnCfTXtqUY1otYuTlnrzE0Tn-Y0YRsW5pkRVqo/edit?usp=sharing"",""ปราจีนบุรี!J604"")"),0)</f>
        <v>0</v>
      </c>
      <c r="BX63" s="186">
        <f ca="1">IFERROR(__xludf.DUMMYFUNCTION("IMPORTRANGE(""https://docs.google.com/spreadsheets/d/1nYxRXgnCfTXtqUY1otYuTlnrzE0Tn-Y0YRsW5pkRVqo/edit?usp=sharing"",""ปราจีนบุรี!J605"")"),0)</f>
        <v>0</v>
      </c>
      <c r="BY63" s="261">
        <f ca="1">IFERROR(__xludf.DUMMYFUNCTION("IMPORTRANGE(""https://docs.google.com/spreadsheets/d/1nYxRXgnCfTXtqUY1otYuTlnrzE0Tn-Y0YRsW5pkRVqo/edit?usp=sharing"",""ปราจีนบุรี!J606"")"),0)</f>
        <v>0</v>
      </c>
      <c r="BZ63" s="186">
        <f ca="1">IFERROR(__xludf.DUMMYFUNCTION("IMPORTRANGE(""https://docs.google.com/spreadsheets/d/1nYxRXgnCfTXtqUY1otYuTlnrzE0Tn-Y0YRsW5pkRVqo/edit?usp=sharing"",""ปราจีนบุรี!J607"")"),0)</f>
        <v>0</v>
      </c>
      <c r="CA63" s="261">
        <f ca="1">IFERROR(__xludf.DUMMYFUNCTION("IMPORTRANGE(""https://docs.google.com/spreadsheets/d/1nYxRXgnCfTXtqUY1otYuTlnrzE0Tn-Y0YRsW5pkRVqo/edit?usp=sharing"",""ปราจีนบุรี!J608"")"),0)</f>
        <v>0</v>
      </c>
      <c r="CB63" s="186">
        <f ca="1">IFERROR(__xludf.DUMMYFUNCTION("IMPORTRANGE(""https://docs.google.com/spreadsheets/d/1nYxRXgnCfTXtqUY1otYuTlnrzE0Tn-Y0YRsW5pkRVqo/edit?usp=sharing"",""ปราจีนบุรี!J609"")"),0)</f>
        <v>0</v>
      </c>
      <c r="CC63" s="261">
        <f ca="1">IFERROR(__xludf.DUMMYFUNCTION("IMPORTRANGE(""https://docs.google.com/spreadsheets/d/1nYxRXgnCfTXtqUY1otYuTlnrzE0Tn-Y0YRsW5pkRVqo/edit?usp=sharing"",""ปราจีนบุรี!J610"")"),0)</f>
        <v>0</v>
      </c>
      <c r="CD63" s="261">
        <f ca="1">IFERROR(__xludf.DUMMYFUNCTION("IMPORTRANGE(""https://docs.google.com/spreadsheets/d/1nYxRXgnCfTXtqUY1otYuTlnrzE0Tn-Y0YRsW5pkRVqo/edit?usp=sharing"",""ปราจีนบุรี!I612"")"),0)</f>
        <v>0</v>
      </c>
      <c r="CE63" s="261">
        <f ca="1">IFERROR(__xludf.DUMMYFUNCTION("IMPORTRANGE(""https://docs.google.com/spreadsheets/d/1nYxRXgnCfTXtqUY1otYuTlnrzE0Tn-Y0YRsW5pkRVqo/edit?usp=sharing"",""ปราจีนบุรี!I594"")"),21)</f>
        <v>21</v>
      </c>
      <c r="CF63" s="262">
        <f ca="1">IFERROR(__xludf.DUMMYFUNCTION("IMPORTRANGE(""https://docs.google.com/spreadsheets/d/1nYxRXgnCfTXtqUY1otYuTlnrzE0Tn-Y0YRsW5pkRVqo/edit?usp=sharing"",""ปราจีนบุรี!J612"")"),0)</f>
        <v>0</v>
      </c>
      <c r="CG63" s="262">
        <f t="shared" ca="1" si="37"/>
        <v>0</v>
      </c>
      <c r="CH63" s="261">
        <f ca="1">IFERROR(__xludf.DUMMYFUNCTION("IMPORTRANGE(""https://docs.google.com/spreadsheets/d/1nYxRXgnCfTXtqUY1otYuTlnrzE0Tn-Y0YRsW5pkRVqo/edit?usp=sharing"",""ปราจีนบุรี!J613"")"),0)</f>
        <v>0</v>
      </c>
      <c r="CI63" s="262">
        <f t="shared" ca="1" si="19"/>
        <v>0</v>
      </c>
      <c r="CJ63" s="186">
        <f ca="1">IFERROR(__xludf.DUMMYFUNCTION("IMPORTRANGE(""https://docs.google.com/spreadsheets/d/1nYxRXgnCfTXtqUY1otYuTlnrzE0Tn-Y0YRsW5pkRVqo/edit?usp=sharing"",""ปราจีนบุรี!J614"")"),0)</f>
        <v>0</v>
      </c>
      <c r="CK63" s="261">
        <f ca="1">IFERROR(__xludf.DUMMYFUNCTION("IMPORTRANGE(""https://docs.google.com/spreadsheets/d/1nYxRXgnCfTXtqUY1otYuTlnrzE0Tn-Y0YRsW5pkRVqo/edit?usp=sharing"",""ปราจีนบุรี!J615"")"),0)</f>
        <v>0</v>
      </c>
      <c r="CL63" s="186">
        <f ca="1">IFERROR(__xludf.DUMMYFUNCTION("IMPORTRANGE(""https://docs.google.com/spreadsheets/d/1nYxRXgnCfTXtqUY1otYuTlnrzE0Tn-Y0YRsW5pkRVqo/edit?usp=sharing"",""ปราจีนบุรี!J616"")"),0)</f>
        <v>0</v>
      </c>
      <c r="CM63" s="261">
        <f ca="1">IFERROR(__xludf.DUMMYFUNCTION("IMPORTRANGE(""https://docs.google.com/spreadsheets/d/1nYxRXgnCfTXtqUY1otYuTlnrzE0Tn-Y0YRsW5pkRVqo/edit?usp=sharing"",""ปราจีนบุรี!J617"")"),0)</f>
        <v>0</v>
      </c>
      <c r="CN63" s="261">
        <f ca="1">IFERROR(__xludf.DUMMYFUNCTION("IMPORTRANGE(""https://docs.google.com/spreadsheets/d/1nYxRXgnCfTXtqUY1otYuTlnrzE0Tn-Y0YRsW5pkRVqo/edit?usp=sharing"",""ปราจีนบุรี!I620"")"),0)</f>
        <v>0</v>
      </c>
      <c r="CO63" s="261">
        <f ca="1">IFERROR(__xludf.DUMMYFUNCTION("IMPORTRANGE(""https://docs.google.com/spreadsheets/d/1nYxRXgnCfTXtqUY1otYuTlnrzE0Tn-Y0YRsW5pkRVqo/edit?usp=sharing"",""ปราจีนบุรี!I621"")"),0)</f>
        <v>0</v>
      </c>
      <c r="CP63" s="262">
        <f ca="1">IFERROR(__xludf.DUMMYFUNCTION("IMPORTRANGE(""https://docs.google.com/spreadsheets/d/1nYxRXgnCfTXtqUY1otYuTlnrzE0Tn-Y0YRsW5pkRVqo/edit?usp=sharing"",""ปราจีนบุรี!J620"")"),0)</f>
        <v>0</v>
      </c>
      <c r="CQ63" s="262">
        <f t="shared" ca="1" si="38"/>
        <v>0</v>
      </c>
      <c r="CR63" s="261">
        <f ca="1">IFERROR(__xludf.DUMMYFUNCTION("IMPORTRANGE(""https://docs.google.com/spreadsheets/d/1nYxRXgnCfTXtqUY1otYuTlnrzE0Tn-Y0YRsW5pkRVqo/edit?usp=sharing"",""ปราจีนบุรี!J621"")"),0)</f>
        <v>0</v>
      </c>
      <c r="CS63" s="262">
        <f t="shared" ca="1" si="22"/>
        <v>0</v>
      </c>
      <c r="CT63" s="186">
        <f ca="1">IFERROR(__xludf.DUMMYFUNCTION("IMPORTRANGE(""https://docs.google.com/spreadsheets/d/1nYxRXgnCfTXtqUY1otYuTlnrzE0Tn-Y0YRsW5pkRVqo/edit?usp=sharing"",""ปราจีนบุรี!J622"")"),0)</f>
        <v>0</v>
      </c>
      <c r="CU63" s="261">
        <f ca="1">IFERROR(__xludf.DUMMYFUNCTION("IMPORTRANGE(""https://docs.google.com/spreadsheets/d/1nYxRXgnCfTXtqUY1otYuTlnrzE0Tn-Y0YRsW5pkRVqo/edit?usp=sharing"",""ปราจีนบุรี!J623"")"),0)</f>
        <v>0</v>
      </c>
      <c r="CV63" s="186">
        <f ca="1">IFERROR(__xludf.DUMMYFUNCTION("IMPORTRANGE(""https://docs.google.com/spreadsheets/d/1nYxRXgnCfTXtqUY1otYuTlnrzE0Tn-Y0YRsW5pkRVqo/edit?usp=sharing"",""ปราจีนบุรี!J624"")"),0)</f>
        <v>0</v>
      </c>
      <c r="CW63" s="261">
        <f ca="1">IFERROR(__xludf.DUMMYFUNCTION("IMPORTRANGE(""https://docs.google.com/spreadsheets/d/1nYxRXgnCfTXtqUY1otYuTlnrzE0Tn-Y0YRsW5pkRVqo/edit?usp=sharing"",""ปราจีนบุรี!J625"")"),0)</f>
        <v>0</v>
      </c>
      <c r="CX63" s="186">
        <f ca="1">IFERROR(__xludf.DUMMYFUNCTION("IMPORTRANGE(""https://docs.google.com/spreadsheets/d/1nYxRXgnCfTXtqUY1otYuTlnrzE0Tn-Y0YRsW5pkRVqo/edit?usp=sharing"",""ปราจีนบุรี!J626"")"),0)</f>
        <v>0</v>
      </c>
      <c r="CY63" s="261">
        <f ca="1">IFERROR(__xludf.DUMMYFUNCTION("IMPORTRANGE(""https://docs.google.com/spreadsheets/d/1nYxRXgnCfTXtqUY1otYuTlnrzE0Tn-Y0YRsW5pkRVqo/edit?usp=sharing"",""ปราจีนบุรี!J627"")"),0)</f>
        <v>0</v>
      </c>
    </row>
    <row r="64" spans="1:103" ht="21" customHeight="1" x14ac:dyDescent="0.3">
      <c r="A64" s="178">
        <v>12</v>
      </c>
      <c r="B64" s="179" t="s">
        <v>81</v>
      </c>
      <c r="C64" s="180">
        <f t="shared" ca="1" si="71"/>
        <v>219200</v>
      </c>
      <c r="D64" s="181">
        <f ca="1">IFERROR(__xludf.DUMMYFUNCTION("IMPORTRANGE(""https://docs.google.com/spreadsheets/d/1nNHCLO8ZAXOMfQvxux7cf_hrzPAh8FAvaHq_ClKbZNo/edit?usp=sharing"",""พระนครศรีอยุธยา!L549"")"),219200)</f>
        <v>219200</v>
      </c>
      <c r="E64" s="187">
        <f ca="1">IFERROR(__xludf.DUMMYFUNCTION("IMPORTRANGE(""https://docs.google.com/spreadsheets/d/1nNHCLO8ZAXOMfQvxux7cf_hrzPAh8FAvaHq_ClKbZNo/edit?usp=sharing"",""พระนครศรีอยุธยา!L557"")"),0)</f>
        <v>0</v>
      </c>
      <c r="F64" s="182">
        <f t="shared" ca="1" si="1"/>
        <v>57490.23</v>
      </c>
      <c r="G64" s="183">
        <f t="shared" ca="1" si="2"/>
        <v>26.227294708029198</v>
      </c>
      <c r="H64" s="184">
        <f t="shared" ca="1" si="72"/>
        <v>57490.23</v>
      </c>
      <c r="I64" s="187">
        <f ca="1">IFERROR(__xludf.DUMMYFUNCTION("IMPORTRANGE(""https://docs.google.com/spreadsheets/d/1nNHCLO8ZAXOMfQvxux7cf_hrzPAh8FAvaHq_ClKbZNo/edit?usp=sharing"",""พระนครศรีอยุธยา!N550"")"),0)</f>
        <v>0</v>
      </c>
      <c r="J64" s="187">
        <f ca="1">IFERROR(__xludf.DUMMYFUNCTION("IMPORTRANGE(""https://docs.google.com/spreadsheets/d/1nNHCLO8ZAXOMfQvxux7cf_hrzPAh8FAvaHq_ClKbZNo/edit?usp=sharing"",""พระนครศรีอยุธยา!N551"")"),0)</f>
        <v>0</v>
      </c>
      <c r="K64" s="187">
        <f ca="1">IFERROR(__xludf.DUMMYFUNCTION("IMPORTRANGE(""https://docs.google.com/spreadsheets/d/1nNHCLO8ZAXOMfQvxux7cf_hrzPAh8FAvaHq_ClKbZNo/edit?usp=sharing"",""พระนครศรีอยุธยา!N552"")"),35533.33)</f>
        <v>35533.33</v>
      </c>
      <c r="L64" s="187">
        <f ca="1">IFERROR(__xludf.DUMMYFUNCTION("IMPORTRANGE(""https://docs.google.com/spreadsheets/d/1nNHCLO8ZAXOMfQvxux7cf_hrzPAh8FAvaHq_ClKbZNo/edit?usp=sharing"",""พระนครศรีอยุธยา!N553"")"),21956.9)</f>
        <v>21956.9</v>
      </c>
      <c r="M64" s="187">
        <f ca="1">IFERROR(__xludf.DUMMYFUNCTION("IMPORTRANGE(""https://docs.google.com/spreadsheets/d/1nNHCLO8ZAXOMfQvxux7cf_hrzPAh8FAvaHq_ClKbZNo/edit?usp=sharing"",""พระนครศรีอยุธยา!N554"")"),0)</f>
        <v>0</v>
      </c>
      <c r="N64" s="185">
        <f ca="1">IFERROR(__xludf.DUMMYFUNCTION("IMPORTRANGE(""https://docs.google.com/spreadsheets/d/1nNHCLO8ZAXOMfQvxux7cf_hrzPAh8FAvaHq_ClKbZNo/edit?usp=sharing"",""พระนครศรีอยุธยา!N557"")"),0)</f>
        <v>0</v>
      </c>
      <c r="O64" s="185">
        <f t="shared" ca="1" si="41"/>
        <v>0</v>
      </c>
      <c r="P64" s="181">
        <f ca="1">IFERROR(__xludf.DUMMYFUNCTION("IMPORTRANGE(""https://docs.google.com/spreadsheets/d/1nNHCLO8ZAXOMfQvxux7cf_hrzPAh8FAvaHq_ClKbZNo/edit?usp=sharing"",""พระนครศรีอยุธยา!I560"")"),0)</f>
        <v>0</v>
      </c>
      <c r="Q64" s="181">
        <f ca="1">IFERROR(__xludf.DUMMYFUNCTION("IMPORTRANGE(""https://docs.google.com/spreadsheets/d/1nNHCLO8ZAXOMfQvxux7cf_hrzPAh8FAvaHq_ClKbZNo/edit?usp=sharing"",""พระนครศรีอยุธยา!I561"")"),0)</f>
        <v>0</v>
      </c>
      <c r="R64" s="186">
        <f ca="1">IFERROR(__xludf.DUMMYFUNCTION("IMPORTRANGE(""https://docs.google.com/spreadsheets/d/1nNHCLO8ZAXOMfQvxux7cf_hrzPAh8FAvaHq_ClKbZNo/edit?usp=sharing"",""พระนครศรีอยุธยา!J560"")"),0)</f>
        <v>0</v>
      </c>
      <c r="S64" s="186">
        <f t="shared" ca="1" si="33"/>
        <v>0</v>
      </c>
      <c r="T64" s="181">
        <f ca="1">IFERROR(__xludf.DUMMYFUNCTION("IMPORTRANGE(""https://docs.google.com/spreadsheets/d/1nNHCLO8ZAXOMfQvxux7cf_hrzPAh8FAvaHq_ClKbZNo/edit?usp=sharing"",""พระนครศรีอยุธยา!J561"")"),0)</f>
        <v>0</v>
      </c>
      <c r="U64" s="186">
        <f t="shared" ca="1" si="7"/>
        <v>0</v>
      </c>
      <c r="V64" s="186">
        <f ca="1">IFERROR(__xludf.DUMMYFUNCTION("IMPORTRANGE(""https://docs.google.com/spreadsheets/d/1nNHCLO8ZAXOMfQvxux7cf_hrzPAh8FAvaHq_ClKbZNo/edit?usp=sharing"",""พระนครศรีอยุธยา!J562"")"),0)</f>
        <v>0</v>
      </c>
      <c r="W64" s="261">
        <f ca="1">IFERROR(__xludf.DUMMYFUNCTION("IMPORTRANGE(""https://docs.google.com/spreadsheets/d/1nNHCLO8ZAXOMfQvxux7cf_hrzPAh8FAvaHq_ClKbZNo/edit?usp=sharing"",""พระนครศรีอยุธยา!J563"")"),0)</f>
        <v>0</v>
      </c>
      <c r="X64" s="186">
        <f ca="1">IFERROR(__xludf.DUMMYFUNCTION("IMPORTRANGE(""https://docs.google.com/spreadsheets/d/1nNHCLO8ZAXOMfQvxux7cf_hrzPAh8FAvaHq_ClKbZNo/edit?usp=sharing"",""พระนครศรีอยุธยา!J564"")"),0)</f>
        <v>0</v>
      </c>
      <c r="Y64" s="261">
        <f ca="1">IFERROR(__xludf.DUMMYFUNCTION("IMPORTRANGE(""https://docs.google.com/spreadsheets/d/1nNHCLO8ZAXOMfQvxux7cf_hrzPAh8FAvaHq_ClKbZNo/edit?usp=sharing"",""พระนครศรีอยุธยา!J565"")"),0)</f>
        <v>0</v>
      </c>
      <c r="Z64" s="186">
        <f ca="1">IFERROR(__xludf.DUMMYFUNCTION("IMPORTRANGE(""https://docs.google.com/spreadsheets/d/1nNHCLO8ZAXOMfQvxux7cf_hrzPAh8FAvaHq_ClKbZNo/edit?usp=sharing"",""พระนครศรีอยุธยา!J566"")"),0)</f>
        <v>0</v>
      </c>
      <c r="AA64" s="261">
        <f ca="1">IFERROR(__xludf.DUMMYFUNCTION("IMPORTRANGE(""https://docs.google.com/spreadsheets/d/1nNHCLO8ZAXOMfQvxux7cf_hrzPAh8FAvaHq_ClKbZNo/edit?usp=sharing"",""พระนครศรีอยุธยา!J567"")"),0)</f>
        <v>0</v>
      </c>
      <c r="AB64" s="181">
        <f ca="1">IFERROR(__xludf.DUMMYFUNCTION("IMPORTRANGE(""https://docs.google.com/spreadsheets/d/1nNHCLO8ZAXOMfQvxux7cf_hrzPAh8FAvaHq_ClKbZNo/edit?usp=sharing"",""พระนครศรีอยุธยา!I568"")"),0)</f>
        <v>0</v>
      </c>
      <c r="AC64" s="181">
        <f ca="1">IFERROR(__xludf.DUMMYFUNCTION("IMPORTRANGE(""https://docs.google.com/spreadsheets/d/1nNHCLO8ZAXOMfQvxux7cf_hrzPAh8FAvaHq_ClKbZNo/edit?usp=sharing"",""พระนครศรีอยุธยา!I569"")"),0)</f>
        <v>0</v>
      </c>
      <c r="AD64" s="186">
        <f ca="1">IFERROR(__xludf.DUMMYFUNCTION("IMPORTRANGE(""https://docs.google.com/spreadsheets/d/1nNHCLO8ZAXOMfQvxux7cf_hrzPAh8FAvaHq_ClKbZNo/edit?usp=sharing"",""พระนครศรีอยุธยา!J568"")"),0)</f>
        <v>0</v>
      </c>
      <c r="AE64" s="186">
        <f t="shared" ca="1" si="34"/>
        <v>0</v>
      </c>
      <c r="AF64" s="181">
        <f ca="1">IFERROR(__xludf.DUMMYFUNCTION("IMPORTRANGE(""https://docs.google.com/spreadsheets/d/1nNHCLO8ZAXOMfQvxux7cf_hrzPAh8FAvaHq_ClKbZNo/edit?usp=sharing"",""พระนครศรีอยุธยา!J569"")"),0)</f>
        <v>0</v>
      </c>
      <c r="AG64" s="186">
        <f t="shared" ca="1" si="10"/>
        <v>0</v>
      </c>
      <c r="AH64" s="186">
        <f ca="1">IFERROR(__xludf.DUMMYFUNCTION("IMPORTRANGE(""https://docs.google.com/spreadsheets/d/1nNHCLO8ZAXOMfQvxux7cf_hrzPAh8FAvaHq_ClKbZNo/edit?usp=sharing"",""พระนครศรีอยุธยา!J570"")"),0)</f>
        <v>0</v>
      </c>
      <c r="AI64" s="261">
        <f ca="1">IFERROR(__xludf.DUMMYFUNCTION("IMPORTRANGE(""https://docs.google.com/spreadsheets/d/1nNHCLO8ZAXOMfQvxux7cf_hrzPAh8FAvaHq_ClKbZNo/edit?usp=sharing"",""พระนครศรีอยุธยา!J571"")"),0)</f>
        <v>0</v>
      </c>
      <c r="AJ64" s="186">
        <f ca="1">IFERROR(__xludf.DUMMYFUNCTION("IMPORTRANGE(""https://docs.google.com/spreadsheets/d/1nNHCLO8ZAXOMfQvxux7cf_hrzPAh8FAvaHq_ClKbZNo/edit?usp=sharing"",""พระนครศรีอยุธยา!J572"")"),0)</f>
        <v>0</v>
      </c>
      <c r="AK64" s="261">
        <f ca="1">IFERROR(__xludf.DUMMYFUNCTION("IMPORTRANGE(""https://docs.google.com/spreadsheets/d/1nNHCLO8ZAXOMfQvxux7cf_hrzPAh8FAvaHq_ClKbZNo/edit?usp=sharing"",""พระนครศรีอยุธยา!J573"")"),0)</f>
        <v>0</v>
      </c>
      <c r="AL64" s="186">
        <f ca="1">IFERROR(__xludf.DUMMYFUNCTION("IMPORTRANGE(""https://docs.google.com/spreadsheets/d/1nNHCLO8ZAXOMfQvxux7cf_hrzPAh8FAvaHq_ClKbZNo/edit?usp=sharing"",""พระนครศรีอยุธยา!J574"")"),0)</f>
        <v>0</v>
      </c>
      <c r="AM64" s="261">
        <f ca="1">IFERROR(__xludf.DUMMYFUNCTION("IMPORTRANGE(""https://docs.google.com/spreadsheets/d/1nNHCLO8ZAXOMfQvxux7cf_hrzPAh8FAvaHq_ClKbZNo/edit?usp=sharing"",""พระนครศรีอยุธยา!J575"")"),0)</f>
        <v>0</v>
      </c>
      <c r="AN64" s="181">
        <f ca="1">IFERROR(__xludf.DUMMYFUNCTION("IMPORTRANGE(""https://docs.google.com/spreadsheets/d/1nNHCLO8ZAXOMfQvxux7cf_hrzPAh8FAvaHq_ClKbZNo/edit?usp=sharing"",""พระนครศรีอยุธยา!I576"")"),0)</f>
        <v>0</v>
      </c>
      <c r="AO64" s="181">
        <f ca="1">IFERROR(__xludf.DUMMYFUNCTION("IMPORTRANGE(""https://docs.google.com/spreadsheets/d/1nNHCLO8ZAXOMfQvxux7cf_hrzPAh8FAvaHq_ClKbZNo/edit?usp=sharing"",""พระนครศรีอยุธยา!I577"")"),0)</f>
        <v>0</v>
      </c>
      <c r="AP64" s="186">
        <f ca="1">IFERROR(__xludf.DUMMYFUNCTION("IMPORTRANGE(""https://docs.google.com/spreadsheets/d/1nNHCLO8ZAXOMfQvxux7cf_hrzPAh8FAvaHq_ClKbZNo/edit?usp=sharing"",""พระนครศรีอยุธยา!J576"")"),0)</f>
        <v>0</v>
      </c>
      <c r="AQ64" s="186">
        <f t="shared" ca="1" si="35"/>
        <v>0</v>
      </c>
      <c r="AR64" s="181">
        <f ca="1">IFERROR(__xludf.DUMMYFUNCTION("IMPORTRANGE(""https://docs.google.com/spreadsheets/d/1nNHCLO8ZAXOMfQvxux7cf_hrzPAh8FAvaHq_ClKbZNo/edit?usp=sharing"",""พระนครศรีอยุธยา!J577"")"),0)</f>
        <v>0</v>
      </c>
      <c r="AS64" s="186">
        <f t="shared" ca="1" si="13"/>
        <v>0</v>
      </c>
      <c r="AT64" s="186">
        <f ca="1">IFERROR(__xludf.DUMMYFUNCTION("IMPORTRANGE(""https://docs.google.com/spreadsheets/d/1nNHCLO8ZAXOMfQvxux7cf_hrzPAh8FAvaHq_ClKbZNo/edit?usp=sharing"",""พระนครศรีอยุธยา!J578"")"),0)</f>
        <v>0</v>
      </c>
      <c r="AU64" s="261">
        <f ca="1">IFERROR(__xludf.DUMMYFUNCTION("IMPORTRANGE(""https://docs.google.com/spreadsheets/d/1nNHCLO8ZAXOMfQvxux7cf_hrzPAh8FAvaHq_ClKbZNo/edit?usp=sharing"",""พระนครศรีอยุธยา!J579"")"),0)</f>
        <v>0</v>
      </c>
      <c r="AV64" s="186">
        <f ca="1">IFERROR(__xludf.DUMMYFUNCTION("IMPORTRANGE(""https://docs.google.com/spreadsheets/d/1nNHCLO8ZAXOMfQvxux7cf_hrzPAh8FAvaHq_ClKbZNo/edit?usp=sharing"",""พระนครศรีอยุธยา!J580"")"),0)</f>
        <v>0</v>
      </c>
      <c r="AW64" s="261">
        <f ca="1">IFERROR(__xludf.DUMMYFUNCTION("IMPORTRANGE(""https://docs.google.com/spreadsheets/d/1nNHCLO8ZAXOMfQvxux7cf_hrzPAh8FAvaHq_ClKbZNo/edit?usp=sharing"",""พระนครศรีอยุธยา!J581"")"),0)</f>
        <v>0</v>
      </c>
      <c r="AX64" s="186">
        <f ca="1">IFERROR(__xludf.DUMMYFUNCTION("IMPORTRANGE(""https://docs.google.com/spreadsheets/d/1nNHCLO8ZAXOMfQvxux7cf_hrzPAh8FAvaHq_ClKbZNo/edit?usp=sharing"",""พระนครศรีอยุธยา!J582"")"),0)</f>
        <v>0</v>
      </c>
      <c r="AY64" s="261">
        <f ca="1">IFERROR(__xludf.DUMMYFUNCTION("IMPORTRANGE(""https://docs.google.com/spreadsheets/d/1nNHCLO8ZAXOMfQvxux7cf_hrzPAh8FAvaHq_ClKbZNo/edit?usp=sharing"",""พระนครศรีอยุธยา!J583"")"),0)</f>
        <v>0</v>
      </c>
      <c r="AZ64" s="262">
        <f ca="1">IFERROR(__xludf.DUMMYFUNCTION("IMPORTRANGE(""https://docs.google.com/spreadsheets/d/1nNHCLO8ZAXOMfQvxux7cf_hrzPAh8FAvaHq_ClKbZNo/edit?usp=sharing"",""พระนครศรีอยุธยา!J584"")"),0)</f>
        <v>0</v>
      </c>
      <c r="BA64" s="261">
        <f ca="1">IFERROR(__xludf.DUMMYFUNCTION("IMPORTRANGE(""https://docs.google.com/spreadsheets/d/1nNHCLO8ZAXOMfQvxux7cf_hrzPAh8FAvaHq_ClKbZNo/edit?usp=sharing"",""พระนครศรีอยุธยา!J585"")"),0)</f>
        <v>0</v>
      </c>
      <c r="BB64" s="262">
        <f ca="1">IFERROR(__xludf.DUMMYFUNCTION("IMPORTRANGE(""https://docs.google.com/spreadsheets/d/1nNHCLO8ZAXOMfQvxux7cf_hrzPAh8FAvaHq_ClKbZNo/edit?usp=sharing"",""พระนครศรีอยุธยา!J586"")"),0)</f>
        <v>0</v>
      </c>
      <c r="BC64" s="261">
        <f ca="1">IFERROR(__xludf.DUMMYFUNCTION("IMPORTRANGE(""https://docs.google.com/spreadsheets/d/1nNHCLO8ZAXOMfQvxux7cf_hrzPAh8FAvaHq_ClKbZNo/edit?usp=sharing"",""พระนครศรีอยุธยา!J587"")"),0)</f>
        <v>0</v>
      </c>
      <c r="BD64" s="186">
        <f ca="1">IFERROR(__xludf.DUMMYFUNCTION("IMPORTRANGE(""https://docs.google.com/spreadsheets/d/1nNHCLO8ZAXOMfQvxux7cf_hrzPAh8FAvaHq_ClKbZNo/edit?usp=sharing"",""พระนครศรีอยุธยา!J588"")"),0)</f>
        <v>0</v>
      </c>
      <c r="BE64" s="261">
        <f ca="1">IFERROR(__xludf.DUMMYFUNCTION("IMPORTRANGE(""https://docs.google.com/spreadsheets/d/1nNHCLO8ZAXOMfQvxux7cf_hrzPAh8FAvaHq_ClKbZNo/edit?usp=sharing"",""พระนครศรีอยุธยา!J589"")"),0)</f>
        <v>0</v>
      </c>
      <c r="BF64" s="186">
        <f ca="1">IFERROR(__xludf.DUMMYFUNCTION("IMPORTRANGE(""https://docs.google.com/spreadsheets/d/1nNHCLO8ZAXOMfQvxux7cf_hrzPAh8FAvaHq_ClKbZNo/edit?usp=sharing"",""พระนครศรีอยุธยา!J590"")"),0)</f>
        <v>0</v>
      </c>
      <c r="BG64" s="261">
        <f ca="1">IFERROR(__xludf.DUMMYFUNCTION("IMPORTRANGE(""https://docs.google.com/spreadsheets/d/1nNHCLO8ZAXOMfQvxux7cf_hrzPAh8FAvaHq_ClKbZNo/edit?usp=sharing"",""พระนครศรีอยุธยา!J591"")"),0)</f>
        <v>0</v>
      </c>
      <c r="BH64" s="181">
        <f ca="1">IFERROR(__xludf.DUMMYFUNCTION("IMPORTRANGE(""https://docs.google.com/spreadsheets/d/1nNHCLO8ZAXOMfQvxux7cf_hrzPAh8FAvaHq_ClKbZNo/edit?usp=sharing"",""พระนครศรีอยุธยา!I593"")"),92.73)</f>
        <v>92.73</v>
      </c>
      <c r="BI64" s="181">
        <f ca="1">IFERROR(__xludf.DUMMYFUNCTION("IMPORTRANGE(""https://docs.google.com/spreadsheets/d/1nNHCLO8ZAXOMfQvxux7cf_hrzPAh8FAvaHq_ClKbZNo/edit?usp=sharing"",""พระนครศรีอยุธยา!I594"")"),24)</f>
        <v>24</v>
      </c>
      <c r="BJ64" s="186">
        <f ca="1">IFERROR(__xludf.DUMMYFUNCTION("IMPORTRANGE(""https://docs.google.com/spreadsheets/d/1nNHCLO8ZAXOMfQvxux7cf_hrzPAh8FAvaHq_ClKbZNo/edit?usp=sharing"",""พระนครศรีอยุธยา!J593"")"),0)</f>
        <v>0</v>
      </c>
      <c r="BK64" s="186">
        <f t="shared" ca="1" si="36"/>
        <v>0</v>
      </c>
      <c r="BL64" s="181">
        <f ca="1">IFERROR(__xludf.DUMMYFUNCTION("IMPORTRANGE(""https://docs.google.com/spreadsheets/d/1nNHCLO8ZAXOMfQvxux7cf_hrzPAh8FAvaHq_ClKbZNo/edit?usp=sharing"",""พระนครศรีอยุธยา!J594"")"),0)</f>
        <v>0</v>
      </c>
      <c r="BM64" s="186">
        <f t="shared" ca="1" si="16"/>
        <v>0</v>
      </c>
      <c r="BN64" s="186">
        <f ca="1">IFERROR(__xludf.DUMMYFUNCTION("IMPORTRANGE(""https://docs.google.com/spreadsheets/d/1nNHCLO8ZAXOMfQvxux7cf_hrzPAh8FAvaHq_ClKbZNo/edit?usp=sharing"",""พระนครศรีอยุธยา!J595"")"),0)</f>
        <v>0</v>
      </c>
      <c r="BO64" s="261">
        <f ca="1">IFERROR(__xludf.DUMMYFUNCTION("IMPORTRANGE(""https://docs.google.com/spreadsheets/d/1nNHCLO8ZAXOMfQvxux7cf_hrzPAh8FAvaHq_ClKbZNo/edit?usp=sharing"",""พระนครศรีอยุธยา!J596"")"),0)</f>
        <v>0</v>
      </c>
      <c r="BP64" s="186">
        <f ca="1">IFERROR(__xludf.DUMMYFUNCTION("IMPORTRANGE(""https://docs.google.com/spreadsheets/d/1nNHCLO8ZAXOMfQvxux7cf_hrzPAh8FAvaHq_ClKbZNo/edit?usp=sharing"",""พระนครศรีอยุธยา!J597"")"),0)</f>
        <v>0</v>
      </c>
      <c r="BQ64" s="261">
        <f ca="1">IFERROR(__xludf.DUMMYFUNCTION("IMPORTRANGE(""https://docs.google.com/spreadsheets/d/1nNHCLO8ZAXOMfQvxux7cf_hrzPAh8FAvaHq_ClKbZNo/edit?usp=sharing"",""พระนครศรีอยุธยา!J598"")"),0)</f>
        <v>0</v>
      </c>
      <c r="BR64" s="186">
        <f ca="1">IFERROR(__xludf.DUMMYFUNCTION("IMPORTRANGE(""https://docs.google.com/spreadsheets/d/1nNHCLO8ZAXOMfQvxux7cf_hrzPAh8FAvaHq_ClKbZNo/edit?usp=sharing"",""พระนครศรีอยุธยา!J599"")"),0)</f>
        <v>0</v>
      </c>
      <c r="BS64" s="261">
        <f ca="1">IFERROR(__xludf.DUMMYFUNCTION("IMPORTRANGE(""https://docs.google.com/spreadsheets/d/1nNHCLO8ZAXOMfQvxux7cf_hrzPAh8FAvaHq_ClKbZNo/edit?usp=sharing"",""พระนครศรีอยุธยา!J600"")"),0)</f>
        <v>0</v>
      </c>
      <c r="BT64" s="262">
        <f ca="1">IFERROR(__xludf.DUMMYFUNCTION("IMPORTRANGE(""https://docs.google.com/spreadsheets/d/1nNHCLO8ZAXOMfQvxux7cf_hrzPAh8FAvaHq_ClKbZNo/edit?usp=sharing"",""พระนครศรีอยุธยา!J601"")"),0)</f>
        <v>0</v>
      </c>
      <c r="BU64" s="261">
        <f ca="1">IFERROR(__xludf.DUMMYFUNCTION("IMPORTRANGE(""https://docs.google.com/spreadsheets/d/1nNHCLO8ZAXOMfQvxux7cf_hrzPAh8FAvaHq_ClKbZNo/edit?usp=sharing"",""พระนครศรีอยุธยา!J602"")"),0)</f>
        <v>0</v>
      </c>
      <c r="BV64" s="186">
        <f ca="1">IFERROR(__xludf.DUMMYFUNCTION("IMPORTRANGE(""https://docs.google.com/spreadsheets/d/1nNHCLO8ZAXOMfQvxux7cf_hrzPAh8FAvaHq_ClKbZNo/edit?usp=sharing"",""พระนครศรีอยุธยา!J603"")"),0)</f>
        <v>0</v>
      </c>
      <c r="BW64" s="261">
        <f ca="1">IFERROR(__xludf.DUMMYFUNCTION("IMPORTRANGE(""https://docs.google.com/spreadsheets/d/1nNHCLO8ZAXOMfQvxux7cf_hrzPAh8FAvaHq_ClKbZNo/edit?usp=sharing"",""พระนครศรีอยุธยา!J604"")"),0)</f>
        <v>0</v>
      </c>
      <c r="BX64" s="186">
        <f ca="1">IFERROR(__xludf.DUMMYFUNCTION("IMPORTRANGE(""https://docs.google.com/spreadsheets/d/1nNHCLO8ZAXOMfQvxux7cf_hrzPAh8FAvaHq_ClKbZNo/edit?usp=sharing"",""พระนครศรีอยุธยา!J605"")"),0)</f>
        <v>0</v>
      </c>
      <c r="BY64" s="261">
        <f ca="1">IFERROR(__xludf.DUMMYFUNCTION("IMPORTRANGE(""https://docs.google.com/spreadsheets/d/1nNHCLO8ZAXOMfQvxux7cf_hrzPAh8FAvaHq_ClKbZNo/edit?usp=sharing"",""พระนครศรีอยุธยา!J606"")"),0)</f>
        <v>0</v>
      </c>
      <c r="BZ64" s="186">
        <f ca="1">IFERROR(__xludf.DUMMYFUNCTION("IMPORTRANGE(""https://docs.google.com/spreadsheets/d/1nNHCLO8ZAXOMfQvxux7cf_hrzPAh8FAvaHq_ClKbZNo/edit?usp=sharing"",""พระนครศรีอยุธยา!J607"")"),0)</f>
        <v>0</v>
      </c>
      <c r="CA64" s="261">
        <f ca="1">IFERROR(__xludf.DUMMYFUNCTION("IMPORTRANGE(""https://docs.google.com/spreadsheets/d/1nNHCLO8ZAXOMfQvxux7cf_hrzPAh8FAvaHq_ClKbZNo/edit?usp=sharing"",""พระนครศรีอยุธยา!J608"")"),0)</f>
        <v>0</v>
      </c>
      <c r="CB64" s="186">
        <f ca="1">IFERROR(__xludf.DUMMYFUNCTION("IMPORTRANGE(""https://docs.google.com/spreadsheets/d/1nNHCLO8ZAXOMfQvxux7cf_hrzPAh8FAvaHq_ClKbZNo/edit?usp=sharing"",""พระนครศรีอยุธยา!J609"")"),0)</f>
        <v>0</v>
      </c>
      <c r="CC64" s="261">
        <f ca="1">IFERROR(__xludf.DUMMYFUNCTION("IMPORTRANGE(""https://docs.google.com/spreadsheets/d/1nNHCLO8ZAXOMfQvxux7cf_hrzPAh8FAvaHq_ClKbZNo/edit?usp=sharing"",""พระนครศรีอยุธยา!J610"")"),0)</f>
        <v>0</v>
      </c>
      <c r="CD64" s="261">
        <f ca="1">IFERROR(__xludf.DUMMYFUNCTION("IMPORTRANGE(""https://docs.google.com/spreadsheets/d/1nNHCLO8ZAXOMfQvxux7cf_hrzPAh8FAvaHq_ClKbZNo/edit?usp=sharing"",""พระนครศรีอยุธยา!I612"")"),0)</f>
        <v>0</v>
      </c>
      <c r="CE64" s="261">
        <f ca="1">IFERROR(__xludf.DUMMYFUNCTION("IMPORTRANGE(""https://docs.google.com/spreadsheets/d/1nNHCLO8ZAXOMfQvxux7cf_hrzPAh8FAvaHq_ClKbZNo/edit?usp=sharing"",""พระนครศรีอยุธยา!I594"")"),24)</f>
        <v>24</v>
      </c>
      <c r="CF64" s="262">
        <f ca="1">IFERROR(__xludf.DUMMYFUNCTION("IMPORTRANGE(""https://docs.google.com/spreadsheets/d/1nNHCLO8ZAXOMfQvxux7cf_hrzPAh8FAvaHq_ClKbZNo/edit?usp=sharing"",""พระนครศรีอยุธยา!J612"")"),0)</f>
        <v>0</v>
      </c>
      <c r="CG64" s="262">
        <f t="shared" ca="1" si="37"/>
        <v>0</v>
      </c>
      <c r="CH64" s="261">
        <f ca="1">IFERROR(__xludf.DUMMYFUNCTION("IMPORTRANGE(""https://docs.google.com/spreadsheets/d/1nNHCLO8ZAXOMfQvxux7cf_hrzPAh8FAvaHq_ClKbZNo/edit?usp=sharing"",""พระนครศรีอยุธยา!J613"")"),0)</f>
        <v>0</v>
      </c>
      <c r="CI64" s="262">
        <f t="shared" ca="1" si="19"/>
        <v>0</v>
      </c>
      <c r="CJ64" s="186">
        <f ca="1">IFERROR(__xludf.DUMMYFUNCTION("IMPORTRANGE(""https://docs.google.com/spreadsheets/d/1nNHCLO8ZAXOMfQvxux7cf_hrzPAh8FAvaHq_ClKbZNo/edit?usp=sharing"",""พระนครศรีอยุธยา!J614"")"),0)</f>
        <v>0</v>
      </c>
      <c r="CK64" s="261">
        <f ca="1">IFERROR(__xludf.DUMMYFUNCTION("IMPORTRANGE(""https://docs.google.com/spreadsheets/d/1nNHCLO8ZAXOMfQvxux7cf_hrzPAh8FAvaHq_ClKbZNo/edit?usp=sharing"",""พระนครศรีอยุธยา!J615"")"),0)</f>
        <v>0</v>
      </c>
      <c r="CL64" s="186">
        <f ca="1">IFERROR(__xludf.DUMMYFUNCTION("IMPORTRANGE(""https://docs.google.com/spreadsheets/d/1nNHCLO8ZAXOMfQvxux7cf_hrzPAh8FAvaHq_ClKbZNo/edit?usp=sharing"",""พระนครศรีอยุธยา!J616"")"),0)</f>
        <v>0</v>
      </c>
      <c r="CM64" s="261">
        <f ca="1">IFERROR(__xludf.DUMMYFUNCTION("IMPORTRANGE(""https://docs.google.com/spreadsheets/d/1nNHCLO8ZAXOMfQvxux7cf_hrzPAh8FAvaHq_ClKbZNo/edit?usp=sharing"",""พระนครศรีอยุธยา!J617"")"),0)</f>
        <v>0</v>
      </c>
      <c r="CN64" s="261">
        <f ca="1">IFERROR(__xludf.DUMMYFUNCTION("IMPORTRANGE(""https://docs.google.com/spreadsheets/d/1nNHCLO8ZAXOMfQvxux7cf_hrzPAh8FAvaHq_ClKbZNo/edit?usp=sharing"",""พระนครศรีอยุธยา!I620"")"),0)</f>
        <v>0</v>
      </c>
      <c r="CO64" s="261">
        <f ca="1">IFERROR(__xludf.DUMMYFUNCTION("IMPORTRANGE(""https://docs.google.com/spreadsheets/d/1nNHCLO8ZAXOMfQvxux7cf_hrzPAh8FAvaHq_ClKbZNo/edit?usp=sharing"",""พระนครศรีอยุธยา!I621"")"),0)</f>
        <v>0</v>
      </c>
      <c r="CP64" s="262">
        <f ca="1">IFERROR(__xludf.DUMMYFUNCTION("IMPORTRANGE(""https://docs.google.com/spreadsheets/d/1nNHCLO8ZAXOMfQvxux7cf_hrzPAh8FAvaHq_ClKbZNo/edit?usp=sharing"",""พระนครศรีอยุธยา!J620"")"),0)</f>
        <v>0</v>
      </c>
      <c r="CQ64" s="262">
        <f t="shared" ca="1" si="38"/>
        <v>0</v>
      </c>
      <c r="CR64" s="261">
        <f ca="1">IFERROR(__xludf.DUMMYFUNCTION("IMPORTRANGE(""https://docs.google.com/spreadsheets/d/1nNHCLO8ZAXOMfQvxux7cf_hrzPAh8FAvaHq_ClKbZNo/edit?usp=sharing"",""พระนครศรีอยุธยา!J621"")"),0)</f>
        <v>0</v>
      </c>
      <c r="CS64" s="262">
        <f t="shared" ca="1" si="22"/>
        <v>0</v>
      </c>
      <c r="CT64" s="186">
        <f ca="1">IFERROR(__xludf.DUMMYFUNCTION("IMPORTRANGE(""https://docs.google.com/spreadsheets/d/1nNHCLO8ZAXOMfQvxux7cf_hrzPAh8FAvaHq_ClKbZNo/edit?usp=sharing"",""พระนครศรีอยุธยา!J622"")"),0)</f>
        <v>0</v>
      </c>
      <c r="CU64" s="261">
        <f ca="1">IFERROR(__xludf.DUMMYFUNCTION("IMPORTRANGE(""https://docs.google.com/spreadsheets/d/1nNHCLO8ZAXOMfQvxux7cf_hrzPAh8FAvaHq_ClKbZNo/edit?usp=sharing"",""พระนครศรีอยุธยา!J623"")"),0)</f>
        <v>0</v>
      </c>
      <c r="CV64" s="186">
        <f ca="1">IFERROR(__xludf.DUMMYFUNCTION("IMPORTRANGE(""https://docs.google.com/spreadsheets/d/1nNHCLO8ZAXOMfQvxux7cf_hrzPAh8FAvaHq_ClKbZNo/edit?usp=sharing"",""พระนครศรีอยุธยา!J624"")"),0)</f>
        <v>0</v>
      </c>
      <c r="CW64" s="261">
        <f ca="1">IFERROR(__xludf.DUMMYFUNCTION("IMPORTRANGE(""https://docs.google.com/spreadsheets/d/1nNHCLO8ZAXOMfQvxux7cf_hrzPAh8FAvaHq_ClKbZNo/edit?usp=sharing"",""พระนครศรีอยุธยา!J625"")"),0)</f>
        <v>0</v>
      </c>
      <c r="CX64" s="186">
        <f ca="1">IFERROR(__xludf.DUMMYFUNCTION("IMPORTRANGE(""https://docs.google.com/spreadsheets/d/1nNHCLO8ZAXOMfQvxux7cf_hrzPAh8FAvaHq_ClKbZNo/edit?usp=sharing"",""พระนครศรีอยุธยา!J626"")"),0)</f>
        <v>0</v>
      </c>
      <c r="CY64" s="261">
        <f ca="1">IFERROR(__xludf.DUMMYFUNCTION("IMPORTRANGE(""https://docs.google.com/spreadsheets/d/1nNHCLO8ZAXOMfQvxux7cf_hrzPAh8FAvaHq_ClKbZNo/edit?usp=sharing"",""พระนครศรีอยุธยา!J627"")"),0)</f>
        <v>0</v>
      </c>
    </row>
    <row r="65" spans="1:103" ht="21" customHeight="1" x14ac:dyDescent="0.3">
      <c r="A65" s="178">
        <v>13</v>
      </c>
      <c r="B65" s="179" t="s">
        <v>82</v>
      </c>
      <c r="C65" s="180">
        <f t="shared" ca="1" si="71"/>
        <v>218300</v>
      </c>
      <c r="D65" s="181">
        <f ca="1">IFERROR(__xludf.DUMMYFUNCTION("IMPORTRANGE(""https://docs.google.com/spreadsheets/d/1CdNicvf3i6yt4tJlCePe3V1Va76wYqW0QzMzTsaGRrA/edit?usp=sharing"",""เพชรบุรี!L549"")"),218300)</f>
        <v>218300</v>
      </c>
      <c r="E65" s="187">
        <f ca="1">IFERROR(__xludf.DUMMYFUNCTION("IMPORTRANGE(""https://docs.google.com/spreadsheets/d/1CdNicvf3i6yt4tJlCePe3V1Va76wYqW0QzMzTsaGRrA/edit?usp=sharing"",""เพชรบุรี!L557"")"),0)</f>
        <v>0</v>
      </c>
      <c r="F65" s="182">
        <f t="shared" ca="1" si="1"/>
        <v>57870</v>
      </c>
      <c r="G65" s="183">
        <f t="shared" ca="1" si="2"/>
        <v>26.509390746678882</v>
      </c>
      <c r="H65" s="184">
        <f t="shared" ca="1" si="72"/>
        <v>57870</v>
      </c>
      <c r="I65" s="187">
        <f ca="1">IFERROR(__xludf.DUMMYFUNCTION("IMPORTRANGE(""https://docs.google.com/spreadsheets/d/1CdNicvf3i6yt4tJlCePe3V1Va76wYqW0QzMzTsaGRrA/edit?usp=sharing"",""เพชรบุรี!N550"")"),0)</f>
        <v>0</v>
      </c>
      <c r="J65" s="187">
        <f ca="1">IFERROR(__xludf.DUMMYFUNCTION("IMPORTRANGE(""https://docs.google.com/spreadsheets/d/1CdNicvf3i6yt4tJlCePe3V1Va76wYqW0QzMzTsaGRrA/edit?usp=sharing"",""เพชรบุรี!N551"")"),0)</f>
        <v>0</v>
      </c>
      <c r="K65" s="187">
        <f ca="1">IFERROR(__xludf.DUMMYFUNCTION("IMPORTRANGE(""https://docs.google.com/spreadsheets/d/1CdNicvf3i6yt4tJlCePe3V1Va76wYqW0QzMzTsaGRrA/edit?usp=sharing"",""เพชรบุรี!N552"")"),39000)</f>
        <v>39000</v>
      </c>
      <c r="L65" s="187">
        <f ca="1">IFERROR(__xludf.DUMMYFUNCTION("IMPORTRANGE(""https://docs.google.com/spreadsheets/d/1CdNicvf3i6yt4tJlCePe3V1Va76wYqW0QzMzTsaGRrA/edit?usp=sharing"",""เพชรบุรี!N553"")"),18870)</f>
        <v>18870</v>
      </c>
      <c r="M65" s="187">
        <f ca="1">IFERROR(__xludf.DUMMYFUNCTION("IMPORTRANGE(""https://docs.google.com/spreadsheets/d/1CdNicvf3i6yt4tJlCePe3V1Va76wYqW0QzMzTsaGRrA/edit?usp=sharing"",""เพชรบุรี!N554"")"),0)</f>
        <v>0</v>
      </c>
      <c r="N65" s="185">
        <f ca="1">IFERROR(__xludf.DUMMYFUNCTION("IMPORTRANGE(""https://docs.google.com/spreadsheets/d/1CdNicvf3i6yt4tJlCePe3V1Va76wYqW0QzMzTsaGRrA/edit?usp=sharing"",""เพชรบุรี!N557"")"),0)</f>
        <v>0</v>
      </c>
      <c r="O65" s="185">
        <f t="shared" ca="1" si="41"/>
        <v>0</v>
      </c>
      <c r="P65" s="181">
        <f ca="1">IFERROR(__xludf.DUMMYFUNCTION("IMPORTRANGE(""https://docs.google.com/spreadsheets/d/1CdNicvf3i6yt4tJlCePe3V1Va76wYqW0QzMzTsaGRrA/edit?usp=sharing"",""เพชรบุรี!I560"")"),0)</f>
        <v>0</v>
      </c>
      <c r="Q65" s="181">
        <f ca="1">IFERROR(__xludf.DUMMYFUNCTION("IMPORTRANGE(""https://docs.google.com/spreadsheets/d/1CdNicvf3i6yt4tJlCePe3V1Va76wYqW0QzMzTsaGRrA/edit?usp=sharing"",""เพชรบุรี!I561"")"),0)</f>
        <v>0</v>
      </c>
      <c r="R65" s="186">
        <f ca="1">IFERROR(__xludf.DUMMYFUNCTION("IMPORTRANGE(""https://docs.google.com/spreadsheets/d/1CdNicvf3i6yt4tJlCePe3V1Va76wYqW0QzMzTsaGRrA/edit?usp=sharing"",""เพชรบุรี!J560"")"),0)</f>
        <v>0</v>
      </c>
      <c r="S65" s="186">
        <f t="shared" ca="1" si="33"/>
        <v>0</v>
      </c>
      <c r="T65" s="181">
        <f ca="1">IFERROR(__xludf.DUMMYFUNCTION("IMPORTRANGE(""https://docs.google.com/spreadsheets/d/1CdNicvf3i6yt4tJlCePe3V1Va76wYqW0QzMzTsaGRrA/edit?usp=sharing"",""เพชรบุรี!J561"")"),0)</f>
        <v>0</v>
      </c>
      <c r="U65" s="186">
        <f t="shared" ca="1" si="7"/>
        <v>0</v>
      </c>
      <c r="V65" s="186">
        <f ca="1">IFERROR(__xludf.DUMMYFUNCTION("IMPORTRANGE(""https://docs.google.com/spreadsheets/d/1CdNicvf3i6yt4tJlCePe3V1Va76wYqW0QzMzTsaGRrA/edit?usp=sharing"",""เพชรบุรี!J562"")"),0)</f>
        <v>0</v>
      </c>
      <c r="W65" s="261">
        <f ca="1">IFERROR(__xludf.DUMMYFUNCTION("IMPORTRANGE(""https://docs.google.com/spreadsheets/d/1CdNicvf3i6yt4tJlCePe3V1Va76wYqW0QzMzTsaGRrA/edit?usp=sharing"",""เพชรบุรี!J563"")"),0)</f>
        <v>0</v>
      </c>
      <c r="X65" s="186">
        <f ca="1">IFERROR(__xludf.DUMMYFUNCTION("IMPORTRANGE(""https://docs.google.com/spreadsheets/d/1CdNicvf3i6yt4tJlCePe3V1Va76wYqW0QzMzTsaGRrA/edit?usp=sharing"",""เพชรบุรี!J564"")"),0)</f>
        <v>0</v>
      </c>
      <c r="Y65" s="261">
        <f ca="1">IFERROR(__xludf.DUMMYFUNCTION("IMPORTRANGE(""https://docs.google.com/spreadsheets/d/1CdNicvf3i6yt4tJlCePe3V1Va76wYqW0QzMzTsaGRrA/edit?usp=sharing"",""เพชรบุรี!J565"")"),0)</f>
        <v>0</v>
      </c>
      <c r="Z65" s="186">
        <f ca="1">IFERROR(__xludf.DUMMYFUNCTION("IMPORTRANGE(""https://docs.google.com/spreadsheets/d/1CdNicvf3i6yt4tJlCePe3V1Va76wYqW0QzMzTsaGRrA/edit?usp=sharing"",""เพชรบุรี!J566"")"),0)</f>
        <v>0</v>
      </c>
      <c r="AA65" s="261">
        <f ca="1">IFERROR(__xludf.DUMMYFUNCTION("IMPORTRANGE(""https://docs.google.com/spreadsheets/d/1CdNicvf3i6yt4tJlCePe3V1Va76wYqW0QzMzTsaGRrA/edit?usp=sharing"",""เพชรบุรี!J567"")"),0)</f>
        <v>0</v>
      </c>
      <c r="AB65" s="181">
        <f ca="1">IFERROR(__xludf.DUMMYFUNCTION("IMPORTRANGE(""https://docs.google.com/spreadsheets/d/1CdNicvf3i6yt4tJlCePe3V1Va76wYqW0QzMzTsaGRrA/edit?usp=sharing"",""เพชรบุรี!I568"")"),0)</f>
        <v>0</v>
      </c>
      <c r="AC65" s="181">
        <f ca="1">IFERROR(__xludf.DUMMYFUNCTION("IMPORTRANGE(""https://docs.google.com/spreadsheets/d/1CdNicvf3i6yt4tJlCePe3V1Va76wYqW0QzMzTsaGRrA/edit?usp=sharing"",""เพชรบุรี!I569"")"),0)</f>
        <v>0</v>
      </c>
      <c r="AD65" s="186">
        <f ca="1">IFERROR(__xludf.DUMMYFUNCTION("IMPORTRANGE(""https://docs.google.com/spreadsheets/d/1CdNicvf3i6yt4tJlCePe3V1Va76wYqW0QzMzTsaGRrA/edit?usp=sharing"",""เพชรบุรี!J568"")"),0)</f>
        <v>0</v>
      </c>
      <c r="AE65" s="186">
        <f t="shared" ca="1" si="34"/>
        <v>0</v>
      </c>
      <c r="AF65" s="181">
        <f ca="1">IFERROR(__xludf.DUMMYFUNCTION("IMPORTRANGE(""https://docs.google.com/spreadsheets/d/1CdNicvf3i6yt4tJlCePe3V1Va76wYqW0QzMzTsaGRrA/edit?usp=sharing"",""เพชรบุรี!J569"")"),0)</f>
        <v>0</v>
      </c>
      <c r="AG65" s="186">
        <f t="shared" ca="1" si="10"/>
        <v>0</v>
      </c>
      <c r="AH65" s="186">
        <f ca="1">IFERROR(__xludf.DUMMYFUNCTION("IMPORTRANGE(""https://docs.google.com/spreadsheets/d/1CdNicvf3i6yt4tJlCePe3V1Va76wYqW0QzMzTsaGRrA/edit?usp=sharing"",""เพชรบุรี!J570"")"),0)</f>
        <v>0</v>
      </c>
      <c r="AI65" s="261">
        <f ca="1">IFERROR(__xludf.DUMMYFUNCTION("IMPORTRANGE(""https://docs.google.com/spreadsheets/d/1CdNicvf3i6yt4tJlCePe3V1Va76wYqW0QzMzTsaGRrA/edit?usp=sharing"",""เพชรบุรี!J571"")"),0)</f>
        <v>0</v>
      </c>
      <c r="AJ65" s="186">
        <f ca="1">IFERROR(__xludf.DUMMYFUNCTION("IMPORTRANGE(""https://docs.google.com/spreadsheets/d/1CdNicvf3i6yt4tJlCePe3V1Va76wYqW0QzMzTsaGRrA/edit?usp=sharing"",""เพชรบุรี!J572"")"),0)</f>
        <v>0</v>
      </c>
      <c r="AK65" s="261">
        <f ca="1">IFERROR(__xludf.DUMMYFUNCTION("IMPORTRANGE(""https://docs.google.com/spreadsheets/d/1CdNicvf3i6yt4tJlCePe3V1Va76wYqW0QzMzTsaGRrA/edit?usp=sharing"",""เพชรบุรี!J573"")"),0)</f>
        <v>0</v>
      </c>
      <c r="AL65" s="186">
        <f ca="1">IFERROR(__xludf.DUMMYFUNCTION("IMPORTRANGE(""https://docs.google.com/spreadsheets/d/1CdNicvf3i6yt4tJlCePe3V1Va76wYqW0QzMzTsaGRrA/edit?usp=sharing"",""เพชรบุรี!J574"")"),0)</f>
        <v>0</v>
      </c>
      <c r="AM65" s="261">
        <f ca="1">IFERROR(__xludf.DUMMYFUNCTION("IMPORTRANGE(""https://docs.google.com/spreadsheets/d/1CdNicvf3i6yt4tJlCePe3V1Va76wYqW0QzMzTsaGRrA/edit?usp=sharing"",""เพชรบุรี!J575"")"),0)</f>
        <v>0</v>
      </c>
      <c r="AN65" s="181">
        <f ca="1">IFERROR(__xludf.DUMMYFUNCTION("IMPORTRANGE(""https://docs.google.com/spreadsheets/d/1CdNicvf3i6yt4tJlCePe3V1Va76wYqW0QzMzTsaGRrA/edit?usp=sharing"",""เพชรบุรี!I576"")"),0)</f>
        <v>0</v>
      </c>
      <c r="AO65" s="181">
        <f ca="1">IFERROR(__xludf.DUMMYFUNCTION("IMPORTRANGE(""https://docs.google.com/spreadsheets/d/1CdNicvf3i6yt4tJlCePe3V1Va76wYqW0QzMzTsaGRrA/edit?usp=sharing"",""เพชรบุรี!I577"")"),0)</f>
        <v>0</v>
      </c>
      <c r="AP65" s="186">
        <f ca="1">IFERROR(__xludf.DUMMYFUNCTION("IMPORTRANGE(""https://docs.google.com/spreadsheets/d/1CdNicvf3i6yt4tJlCePe3V1Va76wYqW0QzMzTsaGRrA/edit?usp=sharing"",""เพชรบุรี!J576"")"),0)</f>
        <v>0</v>
      </c>
      <c r="AQ65" s="186">
        <f t="shared" ca="1" si="35"/>
        <v>0</v>
      </c>
      <c r="AR65" s="181">
        <f ca="1">IFERROR(__xludf.DUMMYFUNCTION("IMPORTRANGE(""https://docs.google.com/spreadsheets/d/1CdNicvf3i6yt4tJlCePe3V1Va76wYqW0QzMzTsaGRrA/edit?usp=sharing"",""เพชรบุรี!J577"")"),0)</f>
        <v>0</v>
      </c>
      <c r="AS65" s="186">
        <f t="shared" ca="1" si="13"/>
        <v>0</v>
      </c>
      <c r="AT65" s="186">
        <f ca="1">IFERROR(__xludf.DUMMYFUNCTION("IMPORTRANGE(""https://docs.google.com/spreadsheets/d/1CdNicvf3i6yt4tJlCePe3V1Va76wYqW0QzMzTsaGRrA/edit?usp=sharing"",""เพชรบุรี!J578"")"),0)</f>
        <v>0</v>
      </c>
      <c r="AU65" s="261">
        <f ca="1">IFERROR(__xludf.DUMMYFUNCTION("IMPORTRANGE(""https://docs.google.com/spreadsheets/d/1CdNicvf3i6yt4tJlCePe3V1Va76wYqW0QzMzTsaGRrA/edit?usp=sharing"",""เพชรบุรี!J579"")"),0)</f>
        <v>0</v>
      </c>
      <c r="AV65" s="186">
        <f ca="1">IFERROR(__xludf.DUMMYFUNCTION("IMPORTRANGE(""https://docs.google.com/spreadsheets/d/1CdNicvf3i6yt4tJlCePe3V1Va76wYqW0QzMzTsaGRrA/edit?usp=sharing"",""เพชรบุรี!J580"")"),0)</f>
        <v>0</v>
      </c>
      <c r="AW65" s="261">
        <f ca="1">IFERROR(__xludf.DUMMYFUNCTION("IMPORTRANGE(""https://docs.google.com/spreadsheets/d/1CdNicvf3i6yt4tJlCePe3V1Va76wYqW0QzMzTsaGRrA/edit?usp=sharing"",""เพชรบุรี!J581"")"),0)</f>
        <v>0</v>
      </c>
      <c r="AX65" s="186">
        <f ca="1">IFERROR(__xludf.DUMMYFUNCTION("IMPORTRANGE(""https://docs.google.com/spreadsheets/d/1CdNicvf3i6yt4tJlCePe3V1Va76wYqW0QzMzTsaGRrA/edit?usp=sharing"",""เพชรบุรี!J582"")"),0)</f>
        <v>0</v>
      </c>
      <c r="AY65" s="261">
        <f ca="1">IFERROR(__xludf.DUMMYFUNCTION("IMPORTRANGE(""https://docs.google.com/spreadsheets/d/1CdNicvf3i6yt4tJlCePe3V1Va76wYqW0QzMzTsaGRrA/edit?usp=sharing"",""เพชรบุรี!J583"")"),0)</f>
        <v>0</v>
      </c>
      <c r="AZ65" s="262">
        <f ca="1">IFERROR(__xludf.DUMMYFUNCTION("IMPORTRANGE(""https://docs.google.com/spreadsheets/d/1CdNicvf3i6yt4tJlCePe3V1Va76wYqW0QzMzTsaGRrA/edit?usp=sharing"",""เพชรบุรี!J584"")"),0)</f>
        <v>0</v>
      </c>
      <c r="BA65" s="261">
        <f ca="1">IFERROR(__xludf.DUMMYFUNCTION("IMPORTRANGE(""https://docs.google.com/spreadsheets/d/1CdNicvf3i6yt4tJlCePe3V1Va76wYqW0QzMzTsaGRrA/edit?usp=sharing"",""เพชรบุรี!J585"")"),0)</f>
        <v>0</v>
      </c>
      <c r="BB65" s="262">
        <f ca="1">IFERROR(__xludf.DUMMYFUNCTION("IMPORTRANGE(""https://docs.google.com/spreadsheets/d/1CdNicvf3i6yt4tJlCePe3V1Va76wYqW0QzMzTsaGRrA/edit?usp=sharing"",""เพชรบุรี!J586"")"),0)</f>
        <v>0</v>
      </c>
      <c r="BC65" s="261">
        <f ca="1">IFERROR(__xludf.DUMMYFUNCTION("IMPORTRANGE(""https://docs.google.com/spreadsheets/d/1CdNicvf3i6yt4tJlCePe3V1Va76wYqW0QzMzTsaGRrA/edit?usp=sharing"",""เพชรบุรี!J587"")"),0)</f>
        <v>0</v>
      </c>
      <c r="BD65" s="186">
        <f ca="1">IFERROR(__xludf.DUMMYFUNCTION("IMPORTRANGE(""https://docs.google.com/spreadsheets/d/1CdNicvf3i6yt4tJlCePe3V1Va76wYqW0QzMzTsaGRrA/edit?usp=sharing"",""เพชรบุรี!J588"")"),0)</f>
        <v>0</v>
      </c>
      <c r="BE65" s="261">
        <f ca="1">IFERROR(__xludf.DUMMYFUNCTION("IMPORTRANGE(""https://docs.google.com/spreadsheets/d/1CdNicvf3i6yt4tJlCePe3V1Va76wYqW0QzMzTsaGRrA/edit?usp=sharing"",""เพชรบุรี!J589"")"),0)</f>
        <v>0</v>
      </c>
      <c r="BF65" s="186">
        <f ca="1">IFERROR(__xludf.DUMMYFUNCTION("IMPORTRANGE(""https://docs.google.com/spreadsheets/d/1CdNicvf3i6yt4tJlCePe3V1Va76wYqW0QzMzTsaGRrA/edit?usp=sharing"",""เพชรบุรี!J590"")"),0)</f>
        <v>0</v>
      </c>
      <c r="BG65" s="261">
        <f ca="1">IFERROR(__xludf.DUMMYFUNCTION("IMPORTRANGE(""https://docs.google.com/spreadsheets/d/1CdNicvf3i6yt4tJlCePe3V1Va76wYqW0QzMzTsaGRrA/edit?usp=sharing"",""เพชรบุรี!J591"")"),0)</f>
        <v>0</v>
      </c>
      <c r="BH65" s="181">
        <f ca="1">IFERROR(__xludf.DUMMYFUNCTION("IMPORTRANGE(""https://docs.google.com/spreadsheets/d/1CdNicvf3i6yt4tJlCePe3V1Va76wYqW0QzMzTsaGRrA/edit?usp=sharing"",""เพชรบุรี!I593"")"),189.09)</f>
        <v>189.09</v>
      </c>
      <c r="BI65" s="181">
        <f ca="1">IFERROR(__xludf.DUMMYFUNCTION("IMPORTRANGE(""https://docs.google.com/spreadsheets/d/1CdNicvf3i6yt4tJlCePe3V1Va76wYqW0QzMzTsaGRrA/edit?usp=sharing"",""เพชรบุรี!I594"")"),21)</f>
        <v>21</v>
      </c>
      <c r="BJ65" s="186">
        <f ca="1">IFERROR(__xludf.DUMMYFUNCTION("IMPORTRANGE(""https://docs.google.com/spreadsheets/d/1CdNicvf3i6yt4tJlCePe3V1Va76wYqW0QzMzTsaGRrA/edit?usp=sharing"",""เพชรบุรี!J593"")"),0)</f>
        <v>0</v>
      </c>
      <c r="BK65" s="186">
        <f t="shared" ca="1" si="36"/>
        <v>0</v>
      </c>
      <c r="BL65" s="181">
        <f ca="1">IFERROR(__xludf.DUMMYFUNCTION("IMPORTRANGE(""https://docs.google.com/spreadsheets/d/1CdNicvf3i6yt4tJlCePe3V1Va76wYqW0QzMzTsaGRrA/edit?usp=sharing"",""เพชรบุรี!J594"")"),0)</f>
        <v>0</v>
      </c>
      <c r="BM65" s="186">
        <f t="shared" ca="1" si="16"/>
        <v>0</v>
      </c>
      <c r="BN65" s="186">
        <f ca="1">IFERROR(__xludf.DUMMYFUNCTION("IMPORTRANGE(""https://docs.google.com/spreadsheets/d/1CdNicvf3i6yt4tJlCePe3V1Va76wYqW0QzMzTsaGRrA/edit?usp=sharing"",""เพชรบุรี!J595"")"),0)</f>
        <v>0</v>
      </c>
      <c r="BO65" s="261">
        <f ca="1">IFERROR(__xludf.DUMMYFUNCTION("IMPORTRANGE(""https://docs.google.com/spreadsheets/d/1CdNicvf3i6yt4tJlCePe3V1Va76wYqW0QzMzTsaGRrA/edit?usp=sharing"",""เพชรบุรี!J596"")"),0)</f>
        <v>0</v>
      </c>
      <c r="BP65" s="186">
        <f ca="1">IFERROR(__xludf.DUMMYFUNCTION("IMPORTRANGE(""https://docs.google.com/spreadsheets/d/1CdNicvf3i6yt4tJlCePe3V1Va76wYqW0QzMzTsaGRrA/edit?usp=sharing"",""เพชรบุรี!J597"")"),0)</f>
        <v>0</v>
      </c>
      <c r="BQ65" s="261">
        <f ca="1">IFERROR(__xludf.DUMMYFUNCTION("IMPORTRANGE(""https://docs.google.com/spreadsheets/d/1CdNicvf3i6yt4tJlCePe3V1Va76wYqW0QzMzTsaGRrA/edit?usp=sharing"",""เพชรบุรี!J598"")"),0)</f>
        <v>0</v>
      </c>
      <c r="BR65" s="186">
        <f ca="1">IFERROR(__xludf.DUMMYFUNCTION("IMPORTRANGE(""https://docs.google.com/spreadsheets/d/1CdNicvf3i6yt4tJlCePe3V1Va76wYqW0QzMzTsaGRrA/edit?usp=sharing"",""เพชรบุรี!J599"")"),0)</f>
        <v>0</v>
      </c>
      <c r="BS65" s="261">
        <f ca="1">IFERROR(__xludf.DUMMYFUNCTION("IMPORTRANGE(""https://docs.google.com/spreadsheets/d/1CdNicvf3i6yt4tJlCePe3V1Va76wYqW0QzMzTsaGRrA/edit?usp=sharing"",""เพชรบุรี!J600"")"),0)</f>
        <v>0</v>
      </c>
      <c r="BT65" s="262">
        <f ca="1">IFERROR(__xludf.DUMMYFUNCTION("IMPORTRANGE(""https://docs.google.com/spreadsheets/d/1CdNicvf3i6yt4tJlCePe3V1Va76wYqW0QzMzTsaGRrA/edit?usp=sharing"",""เพชรบุรี!J601"")"),0)</f>
        <v>0</v>
      </c>
      <c r="BU65" s="261">
        <f ca="1">IFERROR(__xludf.DUMMYFUNCTION("IMPORTRANGE(""https://docs.google.com/spreadsheets/d/1CdNicvf3i6yt4tJlCePe3V1Va76wYqW0QzMzTsaGRrA/edit?usp=sharing"",""เพชรบุรี!J602"")"),0)</f>
        <v>0</v>
      </c>
      <c r="BV65" s="186">
        <f ca="1">IFERROR(__xludf.DUMMYFUNCTION("IMPORTRANGE(""https://docs.google.com/spreadsheets/d/1CdNicvf3i6yt4tJlCePe3V1Va76wYqW0QzMzTsaGRrA/edit?usp=sharing"",""เพชรบุรี!J603"")"),0)</f>
        <v>0</v>
      </c>
      <c r="BW65" s="261">
        <f ca="1">IFERROR(__xludf.DUMMYFUNCTION("IMPORTRANGE(""https://docs.google.com/spreadsheets/d/1CdNicvf3i6yt4tJlCePe3V1Va76wYqW0QzMzTsaGRrA/edit?usp=sharing"",""เพชรบุรี!J604"")"),0)</f>
        <v>0</v>
      </c>
      <c r="BX65" s="186">
        <f ca="1">IFERROR(__xludf.DUMMYFUNCTION("IMPORTRANGE(""https://docs.google.com/spreadsheets/d/1CdNicvf3i6yt4tJlCePe3V1Va76wYqW0QzMzTsaGRrA/edit?usp=sharing"",""เพชรบุรี!J605"")"),0)</f>
        <v>0</v>
      </c>
      <c r="BY65" s="261">
        <f ca="1">IFERROR(__xludf.DUMMYFUNCTION("IMPORTRANGE(""https://docs.google.com/spreadsheets/d/1CdNicvf3i6yt4tJlCePe3V1Va76wYqW0QzMzTsaGRrA/edit?usp=sharing"",""เพชรบุรี!J606"")"),0)</f>
        <v>0</v>
      </c>
      <c r="BZ65" s="186">
        <f ca="1">IFERROR(__xludf.DUMMYFUNCTION("IMPORTRANGE(""https://docs.google.com/spreadsheets/d/1CdNicvf3i6yt4tJlCePe3V1Va76wYqW0QzMzTsaGRrA/edit?usp=sharing"",""เพชรบุรี!J607"")"),0)</f>
        <v>0</v>
      </c>
      <c r="CA65" s="261">
        <f ca="1">IFERROR(__xludf.DUMMYFUNCTION("IMPORTRANGE(""https://docs.google.com/spreadsheets/d/1CdNicvf3i6yt4tJlCePe3V1Va76wYqW0QzMzTsaGRrA/edit?usp=sharing"",""เพชรบุรี!J608"")"),0)</f>
        <v>0</v>
      </c>
      <c r="CB65" s="186">
        <f ca="1">IFERROR(__xludf.DUMMYFUNCTION("IMPORTRANGE(""https://docs.google.com/spreadsheets/d/1CdNicvf3i6yt4tJlCePe3V1Va76wYqW0QzMzTsaGRrA/edit?usp=sharing"",""เพชรบุรี!J609"")"),0)</f>
        <v>0</v>
      </c>
      <c r="CC65" s="261">
        <f ca="1">IFERROR(__xludf.DUMMYFUNCTION("IMPORTRANGE(""https://docs.google.com/spreadsheets/d/1CdNicvf3i6yt4tJlCePe3V1Va76wYqW0QzMzTsaGRrA/edit?usp=sharing"",""เพชรบุรี!J610"")"),0)</f>
        <v>0</v>
      </c>
      <c r="CD65" s="261">
        <f ca="1">IFERROR(__xludf.DUMMYFUNCTION("IMPORTRANGE(""https://docs.google.com/spreadsheets/d/1CdNicvf3i6yt4tJlCePe3V1Va76wYqW0QzMzTsaGRrA/edit?usp=sharing"",""เพชรบุรี!I612"")"),0)</f>
        <v>0</v>
      </c>
      <c r="CE65" s="261">
        <f ca="1">IFERROR(__xludf.DUMMYFUNCTION("IMPORTRANGE(""https://docs.google.com/spreadsheets/d/1CdNicvf3i6yt4tJlCePe3V1Va76wYqW0QzMzTsaGRrA/edit?usp=sharing"",""เพชรบุรี!I594"")"),21)</f>
        <v>21</v>
      </c>
      <c r="CF65" s="262">
        <f ca="1">IFERROR(__xludf.DUMMYFUNCTION("IMPORTRANGE(""https://docs.google.com/spreadsheets/d/1CdNicvf3i6yt4tJlCePe3V1Va76wYqW0QzMzTsaGRrA/edit?usp=sharing"",""เพชรบุรี!J612"")"),0)</f>
        <v>0</v>
      </c>
      <c r="CG65" s="262">
        <f t="shared" ca="1" si="37"/>
        <v>0</v>
      </c>
      <c r="CH65" s="261">
        <f ca="1">IFERROR(__xludf.DUMMYFUNCTION("IMPORTRANGE(""https://docs.google.com/spreadsheets/d/1CdNicvf3i6yt4tJlCePe3V1Va76wYqW0QzMzTsaGRrA/edit?usp=sharing"",""เพชรบุรี!J613"")"),0)</f>
        <v>0</v>
      </c>
      <c r="CI65" s="262">
        <f t="shared" ca="1" si="19"/>
        <v>0</v>
      </c>
      <c r="CJ65" s="186">
        <f ca="1">IFERROR(__xludf.DUMMYFUNCTION("IMPORTRANGE(""https://docs.google.com/spreadsheets/d/1CdNicvf3i6yt4tJlCePe3V1Va76wYqW0QzMzTsaGRrA/edit?usp=sharing"",""เพชรบุรี!J614"")"),0)</f>
        <v>0</v>
      </c>
      <c r="CK65" s="261">
        <f ca="1">IFERROR(__xludf.DUMMYFUNCTION("IMPORTRANGE(""https://docs.google.com/spreadsheets/d/1CdNicvf3i6yt4tJlCePe3V1Va76wYqW0QzMzTsaGRrA/edit?usp=sharing"",""เพชรบุรี!J615"")"),0)</f>
        <v>0</v>
      </c>
      <c r="CL65" s="186">
        <f ca="1">IFERROR(__xludf.DUMMYFUNCTION("IMPORTRANGE(""https://docs.google.com/spreadsheets/d/1CdNicvf3i6yt4tJlCePe3V1Va76wYqW0QzMzTsaGRrA/edit?usp=sharing"",""เพชรบุรี!J616"")"),0)</f>
        <v>0</v>
      </c>
      <c r="CM65" s="261">
        <f ca="1">IFERROR(__xludf.DUMMYFUNCTION("IMPORTRANGE(""https://docs.google.com/spreadsheets/d/1CdNicvf3i6yt4tJlCePe3V1Va76wYqW0QzMzTsaGRrA/edit?usp=sharing"",""เพชรบุรี!J617"")"),0)</f>
        <v>0</v>
      </c>
      <c r="CN65" s="261">
        <f ca="1">IFERROR(__xludf.DUMMYFUNCTION("IMPORTRANGE(""https://docs.google.com/spreadsheets/d/1CdNicvf3i6yt4tJlCePe3V1Va76wYqW0QzMzTsaGRrA/edit?usp=sharing"",""เพชรบุรี!I620"")"),0)</f>
        <v>0</v>
      </c>
      <c r="CO65" s="261">
        <f ca="1">IFERROR(__xludf.DUMMYFUNCTION("IMPORTRANGE(""https://docs.google.com/spreadsheets/d/1CdNicvf3i6yt4tJlCePe3V1Va76wYqW0QzMzTsaGRrA/edit?usp=sharing"",""เพชรบุรี!I621"")"),0)</f>
        <v>0</v>
      </c>
      <c r="CP65" s="262">
        <f ca="1">IFERROR(__xludf.DUMMYFUNCTION("IMPORTRANGE(""https://docs.google.com/spreadsheets/d/1CdNicvf3i6yt4tJlCePe3V1Va76wYqW0QzMzTsaGRrA/edit?usp=sharing"",""เพชรบุรี!J620"")"),0)</f>
        <v>0</v>
      </c>
      <c r="CQ65" s="262">
        <f t="shared" ca="1" si="38"/>
        <v>0</v>
      </c>
      <c r="CR65" s="261">
        <f ca="1">IFERROR(__xludf.DUMMYFUNCTION("IMPORTRANGE(""https://docs.google.com/spreadsheets/d/1CdNicvf3i6yt4tJlCePe3V1Va76wYqW0QzMzTsaGRrA/edit?usp=sharing"",""เพชรบุรี!J621"")"),0)</f>
        <v>0</v>
      </c>
      <c r="CS65" s="262">
        <f t="shared" ca="1" si="22"/>
        <v>0</v>
      </c>
      <c r="CT65" s="186">
        <f ca="1">IFERROR(__xludf.DUMMYFUNCTION("IMPORTRANGE(""https://docs.google.com/spreadsheets/d/1CdNicvf3i6yt4tJlCePe3V1Va76wYqW0QzMzTsaGRrA/edit?usp=sharing"",""เพชรบุรี!J622"")"),0)</f>
        <v>0</v>
      </c>
      <c r="CU65" s="261">
        <f ca="1">IFERROR(__xludf.DUMMYFUNCTION("IMPORTRANGE(""https://docs.google.com/spreadsheets/d/1CdNicvf3i6yt4tJlCePe3V1Va76wYqW0QzMzTsaGRrA/edit?usp=sharing"",""เพชรบุรี!J623"")"),0)</f>
        <v>0</v>
      </c>
      <c r="CV65" s="186">
        <f ca="1">IFERROR(__xludf.DUMMYFUNCTION("IMPORTRANGE(""https://docs.google.com/spreadsheets/d/1CdNicvf3i6yt4tJlCePe3V1Va76wYqW0QzMzTsaGRrA/edit?usp=sharing"",""เพชรบุรี!J624"")"),0)</f>
        <v>0</v>
      </c>
      <c r="CW65" s="261">
        <f ca="1">IFERROR(__xludf.DUMMYFUNCTION("IMPORTRANGE(""https://docs.google.com/spreadsheets/d/1CdNicvf3i6yt4tJlCePe3V1Va76wYqW0QzMzTsaGRrA/edit?usp=sharing"",""เพชรบุรี!J625"")"),0)</f>
        <v>0</v>
      </c>
      <c r="CX65" s="186">
        <f ca="1">IFERROR(__xludf.DUMMYFUNCTION("IMPORTRANGE(""https://docs.google.com/spreadsheets/d/1CdNicvf3i6yt4tJlCePe3V1Va76wYqW0QzMzTsaGRrA/edit?usp=sharing"",""เพชรบุรี!J626"")"),0)</f>
        <v>0</v>
      </c>
      <c r="CY65" s="261">
        <f ca="1">IFERROR(__xludf.DUMMYFUNCTION("IMPORTRANGE(""https://docs.google.com/spreadsheets/d/1CdNicvf3i6yt4tJlCePe3V1Va76wYqW0QzMzTsaGRrA/edit?usp=sharing"",""เพชรบุรี!J627"")"),0)</f>
        <v>0</v>
      </c>
    </row>
    <row r="66" spans="1:103" ht="21" customHeight="1" x14ac:dyDescent="0.3">
      <c r="A66" s="178">
        <v>14</v>
      </c>
      <c r="B66" s="179" t="s">
        <v>83</v>
      </c>
      <c r="C66" s="180">
        <f t="shared" ca="1" si="71"/>
        <v>236000</v>
      </c>
      <c r="D66" s="181">
        <f ca="1">IFERROR(__xludf.DUMMYFUNCTION("IMPORTRANGE(""https://docs.google.com/spreadsheets/d/1XiF77UIVHV0Kjc6xbXuOuJ10WgJYxd4p_22ngKVV5oM/edit?usp=sharing"",""ระยอง!L549"")"),236000)</f>
        <v>236000</v>
      </c>
      <c r="E66" s="187">
        <f ca="1">IFERROR(__xludf.DUMMYFUNCTION("IMPORTRANGE(""https://docs.google.com/spreadsheets/d/1XiF77UIVHV0Kjc6xbXuOuJ10WgJYxd4p_22ngKVV5oM/edit?usp=sharing"",""ระยอง!L557"")"),0)</f>
        <v>0</v>
      </c>
      <c r="F66" s="182">
        <f t="shared" ca="1" si="1"/>
        <v>61520</v>
      </c>
      <c r="G66" s="183">
        <f t="shared" ca="1" si="2"/>
        <v>26.067796610169491</v>
      </c>
      <c r="H66" s="184">
        <f t="shared" ca="1" si="72"/>
        <v>61520</v>
      </c>
      <c r="I66" s="187">
        <f ca="1">IFERROR(__xludf.DUMMYFUNCTION("IMPORTRANGE(""https://docs.google.com/spreadsheets/d/1XiF77UIVHV0Kjc6xbXuOuJ10WgJYxd4p_22ngKVV5oM/edit?usp=sharing"",""ระยอง!N550"")"),0)</f>
        <v>0</v>
      </c>
      <c r="J66" s="187">
        <f ca="1">IFERROR(__xludf.DUMMYFUNCTION("IMPORTRANGE(""https://docs.google.com/spreadsheets/d/1XiF77UIVHV0Kjc6xbXuOuJ10WgJYxd4p_22ngKVV5oM/edit?usp=sharing"",""ระยอง!N551"")"),19240)</f>
        <v>19240</v>
      </c>
      <c r="K66" s="187">
        <f ca="1">IFERROR(__xludf.DUMMYFUNCTION("IMPORTRANGE(""https://docs.google.com/spreadsheets/d/1XiF77UIVHV0Kjc6xbXuOuJ10WgJYxd4p_22ngKVV5oM/edit?usp=sharing"",""ระยอง!N552"")"),39000)</f>
        <v>39000</v>
      </c>
      <c r="L66" s="187">
        <f ca="1">IFERROR(__xludf.DUMMYFUNCTION("IMPORTRANGE(""https://docs.google.com/spreadsheets/d/1XiF77UIVHV0Kjc6xbXuOuJ10WgJYxd4p_22ngKVV5oM/edit?usp=sharing"",""ระยอง!N553"")"),3280)</f>
        <v>3280</v>
      </c>
      <c r="M66" s="187">
        <f ca="1">IFERROR(__xludf.DUMMYFUNCTION("IMPORTRANGE(""https://docs.google.com/spreadsheets/d/1XiF77UIVHV0Kjc6xbXuOuJ10WgJYxd4p_22ngKVV5oM/edit?usp=sharing"",""ระยอง!N554"")"),0)</f>
        <v>0</v>
      </c>
      <c r="N66" s="185">
        <f ca="1">IFERROR(__xludf.DUMMYFUNCTION("IMPORTRANGE(""https://docs.google.com/spreadsheets/d/1XiF77UIVHV0Kjc6xbXuOuJ10WgJYxd4p_22ngKVV5oM/edit?usp=sharing"",""ระยอง!N557"")"),0)</f>
        <v>0</v>
      </c>
      <c r="O66" s="185">
        <f t="shared" ca="1" si="41"/>
        <v>0</v>
      </c>
      <c r="P66" s="181">
        <f ca="1">IFERROR(__xludf.DUMMYFUNCTION("IMPORTRANGE(""https://docs.google.com/spreadsheets/d/1XiF77UIVHV0Kjc6xbXuOuJ10WgJYxd4p_22ngKVV5oM/edit?usp=sharing"",""ระยอง!I560"")"),0)</f>
        <v>0</v>
      </c>
      <c r="Q66" s="181">
        <f ca="1">IFERROR(__xludf.DUMMYFUNCTION("IMPORTRANGE(""https://docs.google.com/spreadsheets/d/1XiF77UIVHV0Kjc6xbXuOuJ10WgJYxd4p_22ngKVV5oM/edit?usp=sharing"",""ระยอง!I561"")"),0)</f>
        <v>0</v>
      </c>
      <c r="R66" s="186">
        <f ca="1">IFERROR(__xludf.DUMMYFUNCTION("IMPORTRANGE(""https://docs.google.com/spreadsheets/d/1XiF77UIVHV0Kjc6xbXuOuJ10WgJYxd4p_22ngKVV5oM/edit?usp=sharing"",""ระยอง!J560"")"),0)</f>
        <v>0</v>
      </c>
      <c r="S66" s="186">
        <f t="shared" ca="1" si="33"/>
        <v>0</v>
      </c>
      <c r="T66" s="181">
        <f ca="1">IFERROR(__xludf.DUMMYFUNCTION("IMPORTRANGE(""https://docs.google.com/spreadsheets/d/1XiF77UIVHV0Kjc6xbXuOuJ10WgJYxd4p_22ngKVV5oM/edit?usp=sharing"",""ระยอง!J561"")"),0)</f>
        <v>0</v>
      </c>
      <c r="U66" s="186">
        <f t="shared" ca="1" si="7"/>
        <v>0</v>
      </c>
      <c r="V66" s="186">
        <f ca="1">IFERROR(__xludf.DUMMYFUNCTION("IMPORTRANGE(""https://docs.google.com/spreadsheets/d/1XiF77UIVHV0Kjc6xbXuOuJ10WgJYxd4p_22ngKVV5oM/edit?usp=sharing"",""ระยอง!J562"")"),0)</f>
        <v>0</v>
      </c>
      <c r="W66" s="261">
        <f ca="1">IFERROR(__xludf.DUMMYFUNCTION("IMPORTRANGE(""https://docs.google.com/spreadsheets/d/1XiF77UIVHV0Kjc6xbXuOuJ10WgJYxd4p_22ngKVV5oM/edit?usp=sharing"",""ระยอง!J563"")"),0)</f>
        <v>0</v>
      </c>
      <c r="X66" s="186">
        <f ca="1">IFERROR(__xludf.DUMMYFUNCTION("IMPORTRANGE(""https://docs.google.com/spreadsheets/d/1XiF77UIVHV0Kjc6xbXuOuJ10WgJYxd4p_22ngKVV5oM/edit?usp=sharing"",""ระยอง!J564"")"),0)</f>
        <v>0</v>
      </c>
      <c r="Y66" s="261">
        <f ca="1">IFERROR(__xludf.DUMMYFUNCTION("IMPORTRANGE(""https://docs.google.com/spreadsheets/d/1XiF77UIVHV0Kjc6xbXuOuJ10WgJYxd4p_22ngKVV5oM/edit?usp=sharing"",""ระยอง!J565"")"),0)</f>
        <v>0</v>
      </c>
      <c r="Z66" s="186">
        <f ca="1">IFERROR(__xludf.DUMMYFUNCTION("IMPORTRANGE(""https://docs.google.com/spreadsheets/d/1XiF77UIVHV0Kjc6xbXuOuJ10WgJYxd4p_22ngKVV5oM/edit?usp=sharing"",""ระยอง!J566"")"),0)</f>
        <v>0</v>
      </c>
      <c r="AA66" s="261">
        <f ca="1">IFERROR(__xludf.DUMMYFUNCTION("IMPORTRANGE(""https://docs.google.com/spreadsheets/d/1XiF77UIVHV0Kjc6xbXuOuJ10WgJYxd4p_22ngKVV5oM/edit?usp=sharing"",""ระยอง!J567"")"),0)</f>
        <v>0</v>
      </c>
      <c r="AB66" s="181">
        <f ca="1">IFERROR(__xludf.DUMMYFUNCTION("IMPORTRANGE(""https://docs.google.com/spreadsheets/d/1XiF77UIVHV0Kjc6xbXuOuJ10WgJYxd4p_22ngKVV5oM/edit?usp=sharing"",""ระยอง!I568"")"),0)</f>
        <v>0</v>
      </c>
      <c r="AC66" s="181">
        <f ca="1">IFERROR(__xludf.DUMMYFUNCTION("IMPORTRANGE(""https://docs.google.com/spreadsheets/d/1XiF77UIVHV0Kjc6xbXuOuJ10WgJYxd4p_22ngKVV5oM/edit?usp=sharing"",""ระยอง!I569"")"),0)</f>
        <v>0</v>
      </c>
      <c r="AD66" s="186">
        <f ca="1">IFERROR(__xludf.DUMMYFUNCTION("IMPORTRANGE(""https://docs.google.com/spreadsheets/d/1XiF77UIVHV0Kjc6xbXuOuJ10WgJYxd4p_22ngKVV5oM/edit?usp=sharing"",""ระยอง!J568"")"),0)</f>
        <v>0</v>
      </c>
      <c r="AE66" s="186">
        <f t="shared" ca="1" si="34"/>
        <v>0</v>
      </c>
      <c r="AF66" s="181">
        <f ca="1">IFERROR(__xludf.DUMMYFUNCTION("IMPORTRANGE(""https://docs.google.com/spreadsheets/d/1XiF77UIVHV0Kjc6xbXuOuJ10WgJYxd4p_22ngKVV5oM/edit?usp=sharing"",""ระยอง!J569"")"),0)</f>
        <v>0</v>
      </c>
      <c r="AG66" s="186">
        <f t="shared" ca="1" si="10"/>
        <v>0</v>
      </c>
      <c r="AH66" s="186">
        <f ca="1">IFERROR(__xludf.DUMMYFUNCTION("IMPORTRANGE(""https://docs.google.com/spreadsheets/d/1XiF77UIVHV0Kjc6xbXuOuJ10WgJYxd4p_22ngKVV5oM/edit?usp=sharing"",""ระยอง!J570"")"),0)</f>
        <v>0</v>
      </c>
      <c r="AI66" s="261">
        <f ca="1">IFERROR(__xludf.DUMMYFUNCTION("IMPORTRANGE(""https://docs.google.com/spreadsheets/d/1XiF77UIVHV0Kjc6xbXuOuJ10WgJYxd4p_22ngKVV5oM/edit?usp=sharing"",""ระยอง!J571"")"),0)</f>
        <v>0</v>
      </c>
      <c r="AJ66" s="186">
        <f ca="1">IFERROR(__xludf.DUMMYFUNCTION("IMPORTRANGE(""https://docs.google.com/spreadsheets/d/1XiF77UIVHV0Kjc6xbXuOuJ10WgJYxd4p_22ngKVV5oM/edit?usp=sharing"",""ระยอง!J572"")"),0)</f>
        <v>0</v>
      </c>
      <c r="AK66" s="261">
        <f ca="1">IFERROR(__xludf.DUMMYFUNCTION("IMPORTRANGE(""https://docs.google.com/spreadsheets/d/1XiF77UIVHV0Kjc6xbXuOuJ10WgJYxd4p_22ngKVV5oM/edit?usp=sharing"",""ระยอง!J573"")"),0)</f>
        <v>0</v>
      </c>
      <c r="AL66" s="186">
        <f ca="1">IFERROR(__xludf.DUMMYFUNCTION("IMPORTRANGE(""https://docs.google.com/spreadsheets/d/1XiF77UIVHV0Kjc6xbXuOuJ10WgJYxd4p_22ngKVV5oM/edit?usp=sharing"",""ระยอง!J574"")"),0)</f>
        <v>0</v>
      </c>
      <c r="AM66" s="261">
        <f ca="1">IFERROR(__xludf.DUMMYFUNCTION("IMPORTRANGE(""https://docs.google.com/spreadsheets/d/1XiF77UIVHV0Kjc6xbXuOuJ10WgJYxd4p_22ngKVV5oM/edit?usp=sharing"",""ระยอง!J575"")"),0)</f>
        <v>0</v>
      </c>
      <c r="AN66" s="181">
        <f ca="1">IFERROR(__xludf.DUMMYFUNCTION("IMPORTRANGE(""https://docs.google.com/spreadsheets/d/1XiF77UIVHV0Kjc6xbXuOuJ10WgJYxd4p_22ngKVV5oM/edit?usp=sharing"",""ระยอง!I576"")"),0)</f>
        <v>0</v>
      </c>
      <c r="AO66" s="181">
        <f ca="1">IFERROR(__xludf.DUMMYFUNCTION("IMPORTRANGE(""https://docs.google.com/spreadsheets/d/1XiF77UIVHV0Kjc6xbXuOuJ10WgJYxd4p_22ngKVV5oM/edit?usp=sharing"",""ระยอง!I577"")"),0)</f>
        <v>0</v>
      </c>
      <c r="AP66" s="186">
        <f ca="1">IFERROR(__xludf.DUMMYFUNCTION("IMPORTRANGE(""https://docs.google.com/spreadsheets/d/1XiF77UIVHV0Kjc6xbXuOuJ10WgJYxd4p_22ngKVV5oM/edit?usp=sharing"",""ระยอง!J576"")"),0)</f>
        <v>0</v>
      </c>
      <c r="AQ66" s="186">
        <f t="shared" ca="1" si="35"/>
        <v>0</v>
      </c>
      <c r="AR66" s="181">
        <f ca="1">IFERROR(__xludf.DUMMYFUNCTION("IMPORTRANGE(""https://docs.google.com/spreadsheets/d/1XiF77UIVHV0Kjc6xbXuOuJ10WgJYxd4p_22ngKVV5oM/edit?usp=sharing"",""ระยอง!J577"")"),0)</f>
        <v>0</v>
      </c>
      <c r="AS66" s="186">
        <f t="shared" ca="1" si="13"/>
        <v>0</v>
      </c>
      <c r="AT66" s="186">
        <f ca="1">IFERROR(__xludf.DUMMYFUNCTION("IMPORTRANGE(""https://docs.google.com/spreadsheets/d/1XiF77UIVHV0Kjc6xbXuOuJ10WgJYxd4p_22ngKVV5oM/edit?usp=sharing"",""ระยอง!J578"")"),0)</f>
        <v>0</v>
      </c>
      <c r="AU66" s="261">
        <f ca="1">IFERROR(__xludf.DUMMYFUNCTION("IMPORTRANGE(""https://docs.google.com/spreadsheets/d/1XiF77UIVHV0Kjc6xbXuOuJ10WgJYxd4p_22ngKVV5oM/edit?usp=sharing"",""ระยอง!J579"")"),0)</f>
        <v>0</v>
      </c>
      <c r="AV66" s="186">
        <f ca="1">IFERROR(__xludf.DUMMYFUNCTION("IMPORTRANGE(""https://docs.google.com/spreadsheets/d/1XiF77UIVHV0Kjc6xbXuOuJ10WgJYxd4p_22ngKVV5oM/edit?usp=sharing"",""ระยอง!J580"")"),0)</f>
        <v>0</v>
      </c>
      <c r="AW66" s="261">
        <f ca="1">IFERROR(__xludf.DUMMYFUNCTION("IMPORTRANGE(""https://docs.google.com/spreadsheets/d/1XiF77UIVHV0Kjc6xbXuOuJ10WgJYxd4p_22ngKVV5oM/edit?usp=sharing"",""ระยอง!J581"")"),0)</f>
        <v>0</v>
      </c>
      <c r="AX66" s="186">
        <f ca="1">IFERROR(__xludf.DUMMYFUNCTION("IMPORTRANGE(""https://docs.google.com/spreadsheets/d/1XiF77UIVHV0Kjc6xbXuOuJ10WgJYxd4p_22ngKVV5oM/edit?usp=sharing"",""ระยอง!J582"")"),0)</f>
        <v>0</v>
      </c>
      <c r="AY66" s="261">
        <f ca="1">IFERROR(__xludf.DUMMYFUNCTION("IMPORTRANGE(""https://docs.google.com/spreadsheets/d/1XiF77UIVHV0Kjc6xbXuOuJ10WgJYxd4p_22ngKVV5oM/edit?usp=sharing"",""ระยอง!J583"")"),0)</f>
        <v>0</v>
      </c>
      <c r="AZ66" s="262">
        <f ca="1">IFERROR(__xludf.DUMMYFUNCTION("IMPORTRANGE(""https://docs.google.com/spreadsheets/d/1XiF77UIVHV0Kjc6xbXuOuJ10WgJYxd4p_22ngKVV5oM/edit?usp=sharing"",""ระยอง!J584"")"),0)</f>
        <v>0</v>
      </c>
      <c r="BA66" s="261">
        <f ca="1">IFERROR(__xludf.DUMMYFUNCTION("IMPORTRANGE(""https://docs.google.com/spreadsheets/d/1XiF77UIVHV0Kjc6xbXuOuJ10WgJYxd4p_22ngKVV5oM/edit?usp=sharing"",""ระยอง!J585"")"),0)</f>
        <v>0</v>
      </c>
      <c r="BB66" s="262">
        <f ca="1">IFERROR(__xludf.DUMMYFUNCTION("IMPORTRANGE(""https://docs.google.com/spreadsheets/d/1XiF77UIVHV0Kjc6xbXuOuJ10WgJYxd4p_22ngKVV5oM/edit?usp=sharing"",""ระยอง!J586"")"),0)</f>
        <v>0</v>
      </c>
      <c r="BC66" s="261">
        <f ca="1">IFERROR(__xludf.DUMMYFUNCTION("IMPORTRANGE(""https://docs.google.com/spreadsheets/d/1XiF77UIVHV0Kjc6xbXuOuJ10WgJYxd4p_22ngKVV5oM/edit?usp=sharing"",""ระยอง!J587"")"),0)</f>
        <v>0</v>
      </c>
      <c r="BD66" s="186">
        <f ca="1">IFERROR(__xludf.DUMMYFUNCTION("IMPORTRANGE(""https://docs.google.com/spreadsheets/d/1XiF77UIVHV0Kjc6xbXuOuJ10WgJYxd4p_22ngKVV5oM/edit?usp=sharing"",""ระยอง!J588"")"),0)</f>
        <v>0</v>
      </c>
      <c r="BE66" s="261">
        <f ca="1">IFERROR(__xludf.DUMMYFUNCTION("IMPORTRANGE(""https://docs.google.com/spreadsheets/d/1XiF77UIVHV0Kjc6xbXuOuJ10WgJYxd4p_22ngKVV5oM/edit?usp=sharing"",""ระยอง!J589"")"),0)</f>
        <v>0</v>
      </c>
      <c r="BF66" s="186">
        <f ca="1">IFERROR(__xludf.DUMMYFUNCTION("IMPORTRANGE(""https://docs.google.com/spreadsheets/d/1XiF77UIVHV0Kjc6xbXuOuJ10WgJYxd4p_22ngKVV5oM/edit?usp=sharing"",""ระยอง!J590"")"),0)</f>
        <v>0</v>
      </c>
      <c r="BG66" s="261">
        <f ca="1">IFERROR(__xludf.DUMMYFUNCTION("IMPORTRANGE(""https://docs.google.com/spreadsheets/d/1XiF77UIVHV0Kjc6xbXuOuJ10WgJYxd4p_22ngKVV5oM/edit?usp=sharing"",""ระยอง!J591"")"),0)</f>
        <v>0</v>
      </c>
      <c r="BH66" s="181">
        <f ca="1">IFERROR(__xludf.DUMMYFUNCTION("IMPORTRANGE(""https://docs.google.com/spreadsheets/d/1XiF77UIVHV0Kjc6xbXuOuJ10WgJYxd4p_22ngKVV5oM/edit?usp=sharing"",""ระยอง!I593"")"),1292.23)</f>
        <v>1292.23</v>
      </c>
      <c r="BI66" s="181">
        <f ca="1">IFERROR(__xludf.DUMMYFUNCTION("IMPORTRANGE(""https://docs.google.com/spreadsheets/d/1XiF77UIVHV0Kjc6xbXuOuJ10WgJYxd4p_22ngKVV5oM/edit?usp=sharing"",""ระยอง!I594"")"),80)</f>
        <v>80</v>
      </c>
      <c r="BJ66" s="186">
        <f ca="1">IFERROR(__xludf.DUMMYFUNCTION("IMPORTRANGE(""https://docs.google.com/spreadsheets/d/1XiF77UIVHV0Kjc6xbXuOuJ10WgJYxd4p_22ngKVV5oM/edit?usp=sharing"",""ระยอง!J593"")"),95)</f>
        <v>95</v>
      </c>
      <c r="BK66" s="186">
        <f t="shared" ca="1" si="36"/>
        <v>7.3516324493317748</v>
      </c>
      <c r="BL66" s="181">
        <f ca="1">IFERROR(__xludf.DUMMYFUNCTION("IMPORTRANGE(""https://docs.google.com/spreadsheets/d/1XiF77UIVHV0Kjc6xbXuOuJ10WgJYxd4p_22ngKVV5oM/edit?usp=sharing"",""ระยอง!J594"")"),7)</f>
        <v>7</v>
      </c>
      <c r="BM66" s="186">
        <f t="shared" ca="1" si="16"/>
        <v>8.75</v>
      </c>
      <c r="BN66" s="186">
        <f ca="1">IFERROR(__xludf.DUMMYFUNCTION("IMPORTRANGE(""https://docs.google.com/spreadsheets/d/1XiF77UIVHV0Kjc6xbXuOuJ10WgJYxd4p_22ngKVV5oM/edit?usp=sharing"",""ระยอง!J595"")"),71)</f>
        <v>71</v>
      </c>
      <c r="BO66" s="261">
        <f ca="1">IFERROR(__xludf.DUMMYFUNCTION("IMPORTRANGE(""https://docs.google.com/spreadsheets/d/1XiF77UIVHV0Kjc6xbXuOuJ10WgJYxd4p_22ngKVV5oM/edit?usp=sharing"",""ระยอง!J596"")"),6)</f>
        <v>6</v>
      </c>
      <c r="BP66" s="186">
        <f ca="1">IFERROR(__xludf.DUMMYFUNCTION("IMPORTRANGE(""https://docs.google.com/spreadsheets/d/1XiF77UIVHV0Kjc6xbXuOuJ10WgJYxd4p_22ngKVV5oM/edit?usp=sharing"",""ระยอง!J597"")"),71)</f>
        <v>71</v>
      </c>
      <c r="BQ66" s="261">
        <f ca="1">IFERROR(__xludf.DUMMYFUNCTION("IMPORTRANGE(""https://docs.google.com/spreadsheets/d/1XiF77UIVHV0Kjc6xbXuOuJ10WgJYxd4p_22ngKVV5oM/edit?usp=sharing"",""ระยอง!J598"")"),6)</f>
        <v>6</v>
      </c>
      <c r="BR66" s="186">
        <f ca="1">IFERROR(__xludf.DUMMYFUNCTION("IMPORTRANGE(""https://docs.google.com/spreadsheets/d/1XiF77UIVHV0Kjc6xbXuOuJ10WgJYxd4p_22ngKVV5oM/edit?usp=sharing"",""ระยอง!J599"")"),0)</f>
        <v>0</v>
      </c>
      <c r="BS66" s="261">
        <f ca="1">IFERROR(__xludf.DUMMYFUNCTION("IMPORTRANGE(""https://docs.google.com/spreadsheets/d/1XiF77UIVHV0Kjc6xbXuOuJ10WgJYxd4p_22ngKVV5oM/edit?usp=sharing"",""ระยอง!J600"")"),0)</f>
        <v>0</v>
      </c>
      <c r="BT66" s="262">
        <f ca="1">IFERROR(__xludf.DUMMYFUNCTION("IMPORTRANGE(""https://docs.google.com/spreadsheets/d/1XiF77UIVHV0Kjc6xbXuOuJ10WgJYxd4p_22ngKVV5oM/edit?usp=sharing"",""ระยอง!J601"")"),0)</f>
        <v>0</v>
      </c>
      <c r="BU66" s="261">
        <f ca="1">IFERROR(__xludf.DUMMYFUNCTION("IMPORTRANGE(""https://docs.google.com/spreadsheets/d/1XiF77UIVHV0Kjc6xbXuOuJ10WgJYxd4p_22ngKVV5oM/edit?usp=sharing"",""ระยอง!J602"")"),0)</f>
        <v>0</v>
      </c>
      <c r="BV66" s="186">
        <f ca="1">IFERROR(__xludf.DUMMYFUNCTION("IMPORTRANGE(""https://docs.google.com/spreadsheets/d/1XiF77UIVHV0Kjc6xbXuOuJ10WgJYxd4p_22ngKVV5oM/edit?usp=sharing"",""ระยอง!J603"")"),24)</f>
        <v>24</v>
      </c>
      <c r="BW66" s="261">
        <f ca="1">IFERROR(__xludf.DUMMYFUNCTION("IMPORTRANGE(""https://docs.google.com/spreadsheets/d/1XiF77UIVHV0Kjc6xbXuOuJ10WgJYxd4p_22ngKVV5oM/edit?usp=sharing"",""ระยอง!J604"")"),1)</f>
        <v>1</v>
      </c>
      <c r="BX66" s="186">
        <f ca="1">IFERROR(__xludf.DUMMYFUNCTION("IMPORTRANGE(""https://docs.google.com/spreadsheets/d/1XiF77UIVHV0Kjc6xbXuOuJ10WgJYxd4p_22ngKVV5oM/edit?usp=sharing"",""ระยอง!J605"")"),24)</f>
        <v>24</v>
      </c>
      <c r="BY66" s="261">
        <f ca="1">IFERROR(__xludf.DUMMYFUNCTION("IMPORTRANGE(""https://docs.google.com/spreadsheets/d/1XiF77UIVHV0Kjc6xbXuOuJ10WgJYxd4p_22ngKVV5oM/edit?usp=sharing"",""ระยอง!J606"")"),1)</f>
        <v>1</v>
      </c>
      <c r="BZ66" s="186">
        <f ca="1">IFERROR(__xludf.DUMMYFUNCTION("IMPORTRANGE(""https://docs.google.com/spreadsheets/d/1XiF77UIVHV0Kjc6xbXuOuJ10WgJYxd4p_22ngKVV5oM/edit?usp=sharing"",""ระยอง!J607"")"),0)</f>
        <v>0</v>
      </c>
      <c r="CA66" s="261">
        <f ca="1">IFERROR(__xludf.DUMMYFUNCTION("IMPORTRANGE(""https://docs.google.com/spreadsheets/d/1XiF77UIVHV0Kjc6xbXuOuJ10WgJYxd4p_22ngKVV5oM/edit?usp=sharing"",""ระยอง!J608"")"),0)</f>
        <v>0</v>
      </c>
      <c r="CB66" s="186">
        <f ca="1">IFERROR(__xludf.DUMMYFUNCTION("IMPORTRANGE(""https://docs.google.com/spreadsheets/d/1XiF77UIVHV0Kjc6xbXuOuJ10WgJYxd4p_22ngKVV5oM/edit?usp=sharing"",""ระยอง!J609"")"),0)</f>
        <v>0</v>
      </c>
      <c r="CC66" s="261">
        <f ca="1">IFERROR(__xludf.DUMMYFUNCTION("IMPORTRANGE(""https://docs.google.com/spreadsheets/d/1XiF77UIVHV0Kjc6xbXuOuJ10WgJYxd4p_22ngKVV5oM/edit?usp=sharing"",""ระยอง!J610"")"),0)</f>
        <v>0</v>
      </c>
      <c r="CD66" s="261">
        <f ca="1">IFERROR(__xludf.DUMMYFUNCTION("IMPORTRANGE(""https://docs.google.com/spreadsheets/d/1XiF77UIVHV0Kjc6xbXuOuJ10WgJYxd4p_22ngKVV5oM/edit?usp=sharing"",""ระยอง!I612"")"),0)</f>
        <v>0</v>
      </c>
      <c r="CE66" s="261">
        <f ca="1">IFERROR(__xludf.DUMMYFUNCTION("IMPORTRANGE(""https://docs.google.com/spreadsheets/d/1XiF77UIVHV0Kjc6xbXuOuJ10WgJYxd4p_22ngKVV5oM/edit?usp=sharing"",""ระยอง!I594"")"),80)</f>
        <v>80</v>
      </c>
      <c r="CF66" s="262">
        <f ca="1">IFERROR(__xludf.DUMMYFUNCTION("IMPORTRANGE(""https://docs.google.com/spreadsheets/d/1XiF77UIVHV0Kjc6xbXuOuJ10WgJYxd4p_22ngKVV5oM/edit?usp=sharing"",""ระยอง!J612"")"),0)</f>
        <v>0</v>
      </c>
      <c r="CG66" s="262">
        <f t="shared" ca="1" si="37"/>
        <v>0</v>
      </c>
      <c r="CH66" s="261">
        <f ca="1">IFERROR(__xludf.DUMMYFUNCTION("IMPORTRANGE(""https://docs.google.com/spreadsheets/d/1XiF77UIVHV0Kjc6xbXuOuJ10WgJYxd4p_22ngKVV5oM/edit?usp=sharing"",""ระยอง!J613"")"),0)</f>
        <v>0</v>
      </c>
      <c r="CI66" s="262">
        <f t="shared" ca="1" si="19"/>
        <v>0</v>
      </c>
      <c r="CJ66" s="186">
        <f ca="1">IFERROR(__xludf.DUMMYFUNCTION("IMPORTRANGE(""https://docs.google.com/spreadsheets/d/1XiF77UIVHV0Kjc6xbXuOuJ10WgJYxd4p_22ngKVV5oM/edit?usp=sharing"",""ระยอง!J614"")"),0)</f>
        <v>0</v>
      </c>
      <c r="CK66" s="261">
        <f ca="1">IFERROR(__xludf.DUMMYFUNCTION("IMPORTRANGE(""https://docs.google.com/spreadsheets/d/1XiF77UIVHV0Kjc6xbXuOuJ10WgJYxd4p_22ngKVV5oM/edit?usp=sharing"",""ระยอง!J615"")"),0)</f>
        <v>0</v>
      </c>
      <c r="CL66" s="186">
        <f ca="1">IFERROR(__xludf.DUMMYFUNCTION("IMPORTRANGE(""https://docs.google.com/spreadsheets/d/1XiF77UIVHV0Kjc6xbXuOuJ10WgJYxd4p_22ngKVV5oM/edit?usp=sharing"",""ระยอง!J616"")"),0)</f>
        <v>0</v>
      </c>
      <c r="CM66" s="261">
        <f ca="1">IFERROR(__xludf.DUMMYFUNCTION("IMPORTRANGE(""https://docs.google.com/spreadsheets/d/1XiF77UIVHV0Kjc6xbXuOuJ10WgJYxd4p_22ngKVV5oM/edit?usp=sharing"",""ระยอง!J617"")"),0)</f>
        <v>0</v>
      </c>
      <c r="CN66" s="261">
        <f ca="1">IFERROR(__xludf.DUMMYFUNCTION("IMPORTRANGE(""https://docs.google.com/spreadsheets/d/1XiF77UIVHV0Kjc6xbXuOuJ10WgJYxd4p_22ngKVV5oM/edit?usp=sharing"",""ระยอง!I620"")"),0)</f>
        <v>0</v>
      </c>
      <c r="CO66" s="261">
        <f ca="1">IFERROR(__xludf.DUMMYFUNCTION("IMPORTRANGE(""https://docs.google.com/spreadsheets/d/1XiF77UIVHV0Kjc6xbXuOuJ10WgJYxd4p_22ngKVV5oM/edit?usp=sharing"",""ระยอง!I621"")"),0)</f>
        <v>0</v>
      </c>
      <c r="CP66" s="262">
        <f ca="1">IFERROR(__xludf.DUMMYFUNCTION("IMPORTRANGE(""https://docs.google.com/spreadsheets/d/1XiF77UIVHV0Kjc6xbXuOuJ10WgJYxd4p_22ngKVV5oM/edit?usp=sharing"",""ระยอง!J620"")"),0)</f>
        <v>0</v>
      </c>
      <c r="CQ66" s="262">
        <f t="shared" ca="1" si="38"/>
        <v>0</v>
      </c>
      <c r="CR66" s="261">
        <f ca="1">IFERROR(__xludf.DUMMYFUNCTION("IMPORTRANGE(""https://docs.google.com/spreadsheets/d/1XiF77UIVHV0Kjc6xbXuOuJ10WgJYxd4p_22ngKVV5oM/edit?usp=sharing"",""ระยอง!J621"")"),0)</f>
        <v>0</v>
      </c>
      <c r="CS66" s="262">
        <f t="shared" ca="1" si="22"/>
        <v>0</v>
      </c>
      <c r="CT66" s="186">
        <f ca="1">IFERROR(__xludf.DUMMYFUNCTION("IMPORTRANGE(""https://docs.google.com/spreadsheets/d/1XiF77UIVHV0Kjc6xbXuOuJ10WgJYxd4p_22ngKVV5oM/edit?usp=sharing"",""ระยอง!J622"")"),0)</f>
        <v>0</v>
      </c>
      <c r="CU66" s="261">
        <f ca="1">IFERROR(__xludf.DUMMYFUNCTION("IMPORTRANGE(""https://docs.google.com/spreadsheets/d/1XiF77UIVHV0Kjc6xbXuOuJ10WgJYxd4p_22ngKVV5oM/edit?usp=sharing"",""ระยอง!J623"")"),0)</f>
        <v>0</v>
      </c>
      <c r="CV66" s="186">
        <f ca="1">IFERROR(__xludf.DUMMYFUNCTION("IMPORTRANGE(""https://docs.google.com/spreadsheets/d/1XiF77UIVHV0Kjc6xbXuOuJ10WgJYxd4p_22ngKVV5oM/edit?usp=sharing"",""ระยอง!J624"")"),0)</f>
        <v>0</v>
      </c>
      <c r="CW66" s="261">
        <f ca="1">IFERROR(__xludf.DUMMYFUNCTION("IMPORTRANGE(""https://docs.google.com/spreadsheets/d/1XiF77UIVHV0Kjc6xbXuOuJ10WgJYxd4p_22ngKVV5oM/edit?usp=sharing"",""ระยอง!J625"")"),0)</f>
        <v>0</v>
      </c>
      <c r="CX66" s="186">
        <f ca="1">IFERROR(__xludf.DUMMYFUNCTION("IMPORTRANGE(""https://docs.google.com/spreadsheets/d/1XiF77UIVHV0Kjc6xbXuOuJ10WgJYxd4p_22ngKVV5oM/edit?usp=sharing"",""ระยอง!J626"")"),0)</f>
        <v>0</v>
      </c>
      <c r="CY66" s="261">
        <f ca="1">IFERROR(__xludf.DUMMYFUNCTION("IMPORTRANGE(""https://docs.google.com/spreadsheets/d/1XiF77UIVHV0Kjc6xbXuOuJ10WgJYxd4p_22ngKVV5oM/edit?usp=sharing"",""ระยอง!J627"")"),0)</f>
        <v>0</v>
      </c>
    </row>
    <row r="67" spans="1:103" ht="21" customHeight="1" x14ac:dyDescent="0.3">
      <c r="A67" s="178">
        <v>15</v>
      </c>
      <c r="B67" s="179" t="s">
        <v>84</v>
      </c>
      <c r="C67" s="180">
        <f t="shared" ca="1" si="71"/>
        <v>255500</v>
      </c>
      <c r="D67" s="181">
        <f ca="1">IFERROR(__xludf.DUMMYFUNCTION("IMPORTRANGE(""https://docs.google.com/spreadsheets/d/1qU-W_9MCQD1pgIVXGEOjCFo9QqlmJywuebyGgaN92r8/edit?usp=sharing"",""ราชบุรี!L549"")"),255500)</f>
        <v>255500</v>
      </c>
      <c r="E67" s="187">
        <f ca="1">IFERROR(__xludf.DUMMYFUNCTION("IMPORTRANGE(""https://docs.google.com/spreadsheets/d/1qU-W_9MCQD1pgIVXGEOjCFo9QqlmJywuebyGgaN92r8/edit?usp=sharing"",""ราชบุรี!L557"")"),0)</f>
        <v>0</v>
      </c>
      <c r="F67" s="182">
        <f t="shared" ca="1" si="1"/>
        <v>101518.44</v>
      </c>
      <c r="G67" s="183">
        <f t="shared" ca="1" si="2"/>
        <v>39.733244618395304</v>
      </c>
      <c r="H67" s="184">
        <f t="shared" ca="1" si="72"/>
        <v>101518.44</v>
      </c>
      <c r="I67" s="187">
        <f ca="1">IFERROR(__xludf.DUMMYFUNCTION("IMPORTRANGE(""https://docs.google.com/spreadsheets/d/1qU-W_9MCQD1pgIVXGEOjCFo9QqlmJywuebyGgaN92r8/edit?usp=sharing"",""ราชบุรี!N550"")"),0)</f>
        <v>0</v>
      </c>
      <c r="J67" s="187">
        <f ca="1">IFERROR(__xludf.DUMMYFUNCTION("IMPORTRANGE(""https://docs.google.com/spreadsheets/d/1qU-W_9MCQD1pgIVXGEOjCFo9QqlmJywuebyGgaN92r8/edit?usp=sharing"",""ราชบุรี!N551"")"),0)</f>
        <v>0</v>
      </c>
      <c r="K67" s="187">
        <f ca="1">IFERROR(__xludf.DUMMYFUNCTION("IMPORTRANGE(""https://docs.google.com/spreadsheets/d/1qU-W_9MCQD1pgIVXGEOjCFo9QqlmJywuebyGgaN92r8/edit?usp=sharing"",""ราชบุรี!N552"")"),38133.24)</f>
        <v>38133.24</v>
      </c>
      <c r="L67" s="187">
        <f ca="1">IFERROR(__xludf.DUMMYFUNCTION("IMPORTRANGE(""https://docs.google.com/spreadsheets/d/1qU-W_9MCQD1pgIVXGEOjCFo9QqlmJywuebyGgaN92r8/edit?usp=sharing"",""ราชบุรี!N553"")"),63385.2)</f>
        <v>63385.2</v>
      </c>
      <c r="M67" s="187">
        <f ca="1">IFERROR(__xludf.DUMMYFUNCTION("IMPORTRANGE(""https://docs.google.com/spreadsheets/d/1qU-W_9MCQD1pgIVXGEOjCFo9QqlmJywuebyGgaN92r8/edit?usp=sharing"",""ราชบุรี!N554"")"),0)</f>
        <v>0</v>
      </c>
      <c r="N67" s="185">
        <f ca="1">IFERROR(__xludf.DUMMYFUNCTION("IMPORTRANGE(""https://docs.google.com/spreadsheets/d/1qU-W_9MCQD1pgIVXGEOjCFo9QqlmJywuebyGgaN92r8/edit?usp=sharing"",""ราชบุรี!N557"")"),0)</f>
        <v>0</v>
      </c>
      <c r="O67" s="185">
        <f t="shared" ca="1" si="41"/>
        <v>0</v>
      </c>
      <c r="P67" s="181">
        <f ca="1">IFERROR(__xludf.DUMMYFUNCTION("IMPORTRANGE(""https://docs.google.com/spreadsheets/d/1qU-W_9MCQD1pgIVXGEOjCFo9QqlmJywuebyGgaN92r8/edit?usp=sharing"",""ราชบุรี!I560"")"),0)</f>
        <v>0</v>
      </c>
      <c r="Q67" s="181">
        <f ca="1">IFERROR(__xludf.DUMMYFUNCTION("IMPORTRANGE(""https://docs.google.com/spreadsheets/d/1qU-W_9MCQD1pgIVXGEOjCFo9QqlmJywuebyGgaN92r8/edit?usp=sharing"",""ราชบุรี!I561"")"),0)</f>
        <v>0</v>
      </c>
      <c r="R67" s="186">
        <f ca="1">IFERROR(__xludf.DUMMYFUNCTION("IMPORTRANGE(""https://docs.google.com/spreadsheets/d/1qU-W_9MCQD1pgIVXGEOjCFo9QqlmJywuebyGgaN92r8/edit?usp=sharing"",""ราชบุรี!J560"")"),0)</f>
        <v>0</v>
      </c>
      <c r="S67" s="186">
        <f t="shared" ca="1" si="33"/>
        <v>0</v>
      </c>
      <c r="T67" s="181">
        <f ca="1">IFERROR(__xludf.DUMMYFUNCTION("IMPORTRANGE(""https://docs.google.com/spreadsheets/d/1qU-W_9MCQD1pgIVXGEOjCFo9QqlmJywuebyGgaN92r8/edit?usp=sharing"",""ราชบุรี!J561"")"),0)</f>
        <v>0</v>
      </c>
      <c r="U67" s="186">
        <f t="shared" ca="1" si="7"/>
        <v>0</v>
      </c>
      <c r="V67" s="186">
        <f ca="1">IFERROR(__xludf.DUMMYFUNCTION("IMPORTRANGE(""https://docs.google.com/spreadsheets/d/1qU-W_9MCQD1pgIVXGEOjCFo9QqlmJywuebyGgaN92r8/edit?usp=sharing"",""ราชบุรี!J562"")"),0)</f>
        <v>0</v>
      </c>
      <c r="W67" s="261">
        <f ca="1">IFERROR(__xludf.DUMMYFUNCTION("IMPORTRANGE(""https://docs.google.com/spreadsheets/d/1qU-W_9MCQD1pgIVXGEOjCFo9QqlmJywuebyGgaN92r8/edit?usp=sharing"",""ราชบุรี!J563"")"),0)</f>
        <v>0</v>
      </c>
      <c r="X67" s="186">
        <f ca="1">IFERROR(__xludf.DUMMYFUNCTION("IMPORTRANGE(""https://docs.google.com/spreadsheets/d/1qU-W_9MCQD1pgIVXGEOjCFo9QqlmJywuebyGgaN92r8/edit?usp=sharing"",""ราชบุรี!J564"")"),0)</f>
        <v>0</v>
      </c>
      <c r="Y67" s="261">
        <f ca="1">IFERROR(__xludf.DUMMYFUNCTION("IMPORTRANGE(""https://docs.google.com/spreadsheets/d/1qU-W_9MCQD1pgIVXGEOjCFo9QqlmJywuebyGgaN92r8/edit?usp=sharing"",""ราชบุรี!J565"")"),0)</f>
        <v>0</v>
      </c>
      <c r="Z67" s="186">
        <f ca="1">IFERROR(__xludf.DUMMYFUNCTION("IMPORTRANGE(""https://docs.google.com/spreadsheets/d/1qU-W_9MCQD1pgIVXGEOjCFo9QqlmJywuebyGgaN92r8/edit?usp=sharing"",""ราชบุรี!J566"")"),0)</f>
        <v>0</v>
      </c>
      <c r="AA67" s="261">
        <f ca="1">IFERROR(__xludf.DUMMYFUNCTION("IMPORTRANGE(""https://docs.google.com/spreadsheets/d/1qU-W_9MCQD1pgIVXGEOjCFo9QqlmJywuebyGgaN92r8/edit?usp=sharing"",""ราชบุรี!J567"")"),0)</f>
        <v>0</v>
      </c>
      <c r="AB67" s="181">
        <f ca="1">IFERROR(__xludf.DUMMYFUNCTION("IMPORTRANGE(""https://docs.google.com/spreadsheets/d/1qU-W_9MCQD1pgIVXGEOjCFo9QqlmJywuebyGgaN92r8/edit?usp=sharing"",""ราชบุรี!I568"")"),0)</f>
        <v>0</v>
      </c>
      <c r="AC67" s="181">
        <f ca="1">IFERROR(__xludf.DUMMYFUNCTION("IMPORTRANGE(""https://docs.google.com/spreadsheets/d/1qU-W_9MCQD1pgIVXGEOjCFo9QqlmJywuebyGgaN92r8/edit?usp=sharing"",""ราชบุรี!I569"")"),0)</f>
        <v>0</v>
      </c>
      <c r="AD67" s="186">
        <f ca="1">IFERROR(__xludf.DUMMYFUNCTION("IMPORTRANGE(""https://docs.google.com/spreadsheets/d/1qU-W_9MCQD1pgIVXGEOjCFo9QqlmJywuebyGgaN92r8/edit?usp=sharing"",""ราชบุรี!J568"")"),0)</f>
        <v>0</v>
      </c>
      <c r="AE67" s="186">
        <f t="shared" ca="1" si="34"/>
        <v>0</v>
      </c>
      <c r="AF67" s="181">
        <f ca="1">IFERROR(__xludf.DUMMYFUNCTION("IMPORTRANGE(""https://docs.google.com/spreadsheets/d/1qU-W_9MCQD1pgIVXGEOjCFo9QqlmJywuebyGgaN92r8/edit?usp=sharing"",""ราชบุรี!J569"")"),0)</f>
        <v>0</v>
      </c>
      <c r="AG67" s="186">
        <f t="shared" ca="1" si="10"/>
        <v>0</v>
      </c>
      <c r="AH67" s="186">
        <f ca="1">IFERROR(__xludf.DUMMYFUNCTION("IMPORTRANGE(""https://docs.google.com/spreadsheets/d/1qU-W_9MCQD1pgIVXGEOjCFo9QqlmJywuebyGgaN92r8/edit?usp=sharing"",""ราชบุรี!J570"")"),0)</f>
        <v>0</v>
      </c>
      <c r="AI67" s="261">
        <f ca="1">IFERROR(__xludf.DUMMYFUNCTION("IMPORTRANGE(""https://docs.google.com/spreadsheets/d/1qU-W_9MCQD1pgIVXGEOjCFo9QqlmJywuebyGgaN92r8/edit?usp=sharing"",""ราชบุรี!J571"")"),0)</f>
        <v>0</v>
      </c>
      <c r="AJ67" s="186">
        <f ca="1">IFERROR(__xludf.DUMMYFUNCTION("IMPORTRANGE(""https://docs.google.com/spreadsheets/d/1qU-W_9MCQD1pgIVXGEOjCFo9QqlmJywuebyGgaN92r8/edit?usp=sharing"",""ราชบุรี!J572"")"),0)</f>
        <v>0</v>
      </c>
      <c r="AK67" s="261">
        <f ca="1">IFERROR(__xludf.DUMMYFUNCTION("IMPORTRANGE(""https://docs.google.com/spreadsheets/d/1qU-W_9MCQD1pgIVXGEOjCFo9QqlmJywuebyGgaN92r8/edit?usp=sharing"",""ราชบุรี!J573"")"),0)</f>
        <v>0</v>
      </c>
      <c r="AL67" s="186">
        <f ca="1">IFERROR(__xludf.DUMMYFUNCTION("IMPORTRANGE(""https://docs.google.com/spreadsheets/d/1qU-W_9MCQD1pgIVXGEOjCFo9QqlmJywuebyGgaN92r8/edit?usp=sharing"",""ราชบุรี!J574"")"),0)</f>
        <v>0</v>
      </c>
      <c r="AM67" s="261">
        <f ca="1">IFERROR(__xludf.DUMMYFUNCTION("IMPORTRANGE(""https://docs.google.com/spreadsheets/d/1qU-W_9MCQD1pgIVXGEOjCFo9QqlmJywuebyGgaN92r8/edit?usp=sharing"",""ราชบุรี!J575"")"),0)</f>
        <v>0</v>
      </c>
      <c r="AN67" s="181">
        <f ca="1">IFERROR(__xludf.DUMMYFUNCTION("IMPORTRANGE(""https://docs.google.com/spreadsheets/d/1qU-W_9MCQD1pgIVXGEOjCFo9QqlmJywuebyGgaN92r8/edit?usp=sharing"",""ราชบุรี!I576"")"),0)</f>
        <v>0</v>
      </c>
      <c r="AO67" s="181">
        <f ca="1">IFERROR(__xludf.DUMMYFUNCTION("IMPORTRANGE(""https://docs.google.com/spreadsheets/d/1qU-W_9MCQD1pgIVXGEOjCFo9QqlmJywuebyGgaN92r8/edit?usp=sharing"",""ราชบุรี!I577"")"),0)</f>
        <v>0</v>
      </c>
      <c r="AP67" s="186">
        <f ca="1">IFERROR(__xludf.DUMMYFUNCTION("IMPORTRANGE(""https://docs.google.com/spreadsheets/d/1qU-W_9MCQD1pgIVXGEOjCFo9QqlmJywuebyGgaN92r8/edit?usp=sharing"",""ราชบุรี!J576"")"),0)</f>
        <v>0</v>
      </c>
      <c r="AQ67" s="186">
        <f t="shared" ca="1" si="35"/>
        <v>0</v>
      </c>
      <c r="AR67" s="181">
        <f ca="1">IFERROR(__xludf.DUMMYFUNCTION("IMPORTRANGE(""https://docs.google.com/spreadsheets/d/1qU-W_9MCQD1pgIVXGEOjCFo9QqlmJywuebyGgaN92r8/edit?usp=sharing"",""ราชบุรี!J577"")"),0)</f>
        <v>0</v>
      </c>
      <c r="AS67" s="186">
        <f t="shared" ca="1" si="13"/>
        <v>0</v>
      </c>
      <c r="AT67" s="186">
        <f ca="1">IFERROR(__xludf.DUMMYFUNCTION("IMPORTRANGE(""https://docs.google.com/spreadsheets/d/1qU-W_9MCQD1pgIVXGEOjCFo9QqlmJywuebyGgaN92r8/edit?usp=sharing"",""ราชบุรี!J578"")"),0)</f>
        <v>0</v>
      </c>
      <c r="AU67" s="261">
        <f ca="1">IFERROR(__xludf.DUMMYFUNCTION("IMPORTRANGE(""https://docs.google.com/spreadsheets/d/1qU-W_9MCQD1pgIVXGEOjCFo9QqlmJywuebyGgaN92r8/edit?usp=sharing"",""ราชบุรี!J579"")"),0)</f>
        <v>0</v>
      </c>
      <c r="AV67" s="186">
        <f ca="1">IFERROR(__xludf.DUMMYFUNCTION("IMPORTRANGE(""https://docs.google.com/spreadsheets/d/1qU-W_9MCQD1pgIVXGEOjCFo9QqlmJywuebyGgaN92r8/edit?usp=sharing"",""ราชบุรี!J580"")"),0)</f>
        <v>0</v>
      </c>
      <c r="AW67" s="261">
        <f ca="1">IFERROR(__xludf.DUMMYFUNCTION("IMPORTRANGE(""https://docs.google.com/spreadsheets/d/1qU-W_9MCQD1pgIVXGEOjCFo9QqlmJywuebyGgaN92r8/edit?usp=sharing"",""ราชบุรี!J581"")"),0)</f>
        <v>0</v>
      </c>
      <c r="AX67" s="186">
        <f ca="1">IFERROR(__xludf.DUMMYFUNCTION("IMPORTRANGE(""https://docs.google.com/spreadsheets/d/1qU-W_9MCQD1pgIVXGEOjCFo9QqlmJywuebyGgaN92r8/edit?usp=sharing"",""ราชบุรี!J582"")"),0)</f>
        <v>0</v>
      </c>
      <c r="AY67" s="261">
        <f ca="1">IFERROR(__xludf.DUMMYFUNCTION("IMPORTRANGE(""https://docs.google.com/spreadsheets/d/1qU-W_9MCQD1pgIVXGEOjCFo9QqlmJywuebyGgaN92r8/edit?usp=sharing"",""ราชบุรี!J583"")"),0)</f>
        <v>0</v>
      </c>
      <c r="AZ67" s="262">
        <f ca="1">IFERROR(__xludf.DUMMYFUNCTION("IMPORTRANGE(""https://docs.google.com/spreadsheets/d/1qU-W_9MCQD1pgIVXGEOjCFo9QqlmJywuebyGgaN92r8/edit?usp=sharing"",""ราชบุรี!J584"")"),0)</f>
        <v>0</v>
      </c>
      <c r="BA67" s="261">
        <f ca="1">IFERROR(__xludf.DUMMYFUNCTION("IMPORTRANGE(""https://docs.google.com/spreadsheets/d/1qU-W_9MCQD1pgIVXGEOjCFo9QqlmJywuebyGgaN92r8/edit?usp=sharing"",""ราชบุรี!J585"")"),0)</f>
        <v>0</v>
      </c>
      <c r="BB67" s="262">
        <f ca="1">IFERROR(__xludf.DUMMYFUNCTION("IMPORTRANGE(""https://docs.google.com/spreadsheets/d/1qU-W_9MCQD1pgIVXGEOjCFo9QqlmJywuebyGgaN92r8/edit?usp=sharing"",""ราชบุรี!J586"")"),0)</f>
        <v>0</v>
      </c>
      <c r="BC67" s="261">
        <f ca="1">IFERROR(__xludf.DUMMYFUNCTION("IMPORTRANGE(""https://docs.google.com/spreadsheets/d/1qU-W_9MCQD1pgIVXGEOjCFo9QqlmJywuebyGgaN92r8/edit?usp=sharing"",""ราชบุรี!J587"")"),0)</f>
        <v>0</v>
      </c>
      <c r="BD67" s="186">
        <f ca="1">IFERROR(__xludf.DUMMYFUNCTION("IMPORTRANGE(""https://docs.google.com/spreadsheets/d/1qU-W_9MCQD1pgIVXGEOjCFo9QqlmJywuebyGgaN92r8/edit?usp=sharing"",""ราชบุรี!J588"")"),0)</f>
        <v>0</v>
      </c>
      <c r="BE67" s="261">
        <f ca="1">IFERROR(__xludf.DUMMYFUNCTION("IMPORTRANGE(""https://docs.google.com/spreadsheets/d/1qU-W_9MCQD1pgIVXGEOjCFo9QqlmJywuebyGgaN92r8/edit?usp=sharing"",""ราชบุรี!J589"")"),0)</f>
        <v>0</v>
      </c>
      <c r="BF67" s="186">
        <f ca="1">IFERROR(__xludf.DUMMYFUNCTION("IMPORTRANGE(""https://docs.google.com/spreadsheets/d/1qU-W_9MCQD1pgIVXGEOjCFo9QqlmJywuebyGgaN92r8/edit?usp=sharing"",""ราชบุรี!J590"")"),0)</f>
        <v>0</v>
      </c>
      <c r="BG67" s="261">
        <f ca="1">IFERROR(__xludf.DUMMYFUNCTION("IMPORTRANGE(""https://docs.google.com/spreadsheets/d/1qU-W_9MCQD1pgIVXGEOjCFo9QqlmJywuebyGgaN92r8/edit?usp=sharing"",""ราชบุรี!J591"")"),0)</f>
        <v>0</v>
      </c>
      <c r="BH67" s="181">
        <f ca="1">IFERROR(__xludf.DUMMYFUNCTION("IMPORTRANGE(""https://docs.google.com/spreadsheets/d/1qU-W_9MCQD1pgIVXGEOjCFo9QqlmJywuebyGgaN92r8/edit?usp=sharing"",""ราชบุรี!I593"")"),3492.21)</f>
        <v>3492.21</v>
      </c>
      <c r="BI67" s="181">
        <f ca="1">IFERROR(__xludf.DUMMYFUNCTION("IMPORTRANGE(""https://docs.google.com/spreadsheets/d/1qU-W_9MCQD1pgIVXGEOjCFo9QqlmJywuebyGgaN92r8/edit?usp=sharing"",""ราชบุรี!I594"")"),145)</f>
        <v>145</v>
      </c>
      <c r="BJ67" s="186">
        <f ca="1">IFERROR(__xludf.DUMMYFUNCTION("IMPORTRANGE(""https://docs.google.com/spreadsheets/d/1qU-W_9MCQD1pgIVXGEOjCFo9QqlmJywuebyGgaN92r8/edit?usp=sharing"",""ราชบุรี!J593"")"),1194)</f>
        <v>1194</v>
      </c>
      <c r="BK67" s="186">
        <f t="shared" ca="1" si="36"/>
        <v>34.190383739809462</v>
      </c>
      <c r="BL67" s="181">
        <f ca="1">IFERROR(__xludf.DUMMYFUNCTION("IMPORTRANGE(""https://docs.google.com/spreadsheets/d/1qU-W_9MCQD1pgIVXGEOjCFo9QqlmJywuebyGgaN92r8/edit?usp=sharing"",""ราชบุรี!J594"")"),43)</f>
        <v>43</v>
      </c>
      <c r="BM67" s="186">
        <f t="shared" ca="1" si="16"/>
        <v>29.655172413793103</v>
      </c>
      <c r="BN67" s="186">
        <f ca="1">IFERROR(__xludf.DUMMYFUNCTION("IMPORTRANGE(""https://docs.google.com/spreadsheets/d/1qU-W_9MCQD1pgIVXGEOjCFo9QqlmJywuebyGgaN92r8/edit?usp=sharing"",""ราชบุรี!J595"")"),1157)</f>
        <v>1157</v>
      </c>
      <c r="BO67" s="261">
        <f ca="1">IFERROR(__xludf.DUMMYFUNCTION("IMPORTRANGE(""https://docs.google.com/spreadsheets/d/1qU-W_9MCQD1pgIVXGEOjCFo9QqlmJywuebyGgaN92r8/edit?usp=sharing"",""ราชบุรี!J596"")"),41)</f>
        <v>41</v>
      </c>
      <c r="BP67" s="186">
        <f ca="1">IFERROR(__xludf.DUMMYFUNCTION("IMPORTRANGE(""https://docs.google.com/spreadsheets/d/1qU-W_9MCQD1pgIVXGEOjCFo9QqlmJywuebyGgaN92r8/edit?usp=sharing"",""ราชบุรี!J597"")"),165)</f>
        <v>165</v>
      </c>
      <c r="BQ67" s="261">
        <f ca="1">IFERROR(__xludf.DUMMYFUNCTION("IMPORTRANGE(""https://docs.google.com/spreadsheets/d/1qU-W_9MCQD1pgIVXGEOjCFo9QqlmJywuebyGgaN92r8/edit?usp=sharing"",""ราชบุรี!J598"")"),6)</f>
        <v>6</v>
      </c>
      <c r="BR67" s="186">
        <f ca="1">IFERROR(__xludf.DUMMYFUNCTION("IMPORTRANGE(""https://docs.google.com/spreadsheets/d/1qU-W_9MCQD1pgIVXGEOjCFo9QqlmJywuebyGgaN92r8/edit?usp=sharing"",""ราชบุรี!J599"")"),992)</f>
        <v>992</v>
      </c>
      <c r="BS67" s="261">
        <f ca="1">IFERROR(__xludf.DUMMYFUNCTION("IMPORTRANGE(""https://docs.google.com/spreadsheets/d/1qU-W_9MCQD1pgIVXGEOjCFo9QqlmJywuebyGgaN92r8/edit?usp=sharing"",""ราชบุรี!J600"")"),35)</f>
        <v>35</v>
      </c>
      <c r="BT67" s="262">
        <f ca="1">IFERROR(__xludf.DUMMYFUNCTION("IMPORTRANGE(""https://docs.google.com/spreadsheets/d/1qU-W_9MCQD1pgIVXGEOjCFo9QqlmJywuebyGgaN92r8/edit?usp=sharing"",""ราชบุรี!J601"")"),63)</f>
        <v>63</v>
      </c>
      <c r="BU67" s="261">
        <f ca="1">IFERROR(__xludf.DUMMYFUNCTION("IMPORTRANGE(""https://docs.google.com/spreadsheets/d/1qU-W_9MCQD1pgIVXGEOjCFo9QqlmJywuebyGgaN92r8/edit?usp=sharing"",""ราชบุรี!J602"")"),2)</f>
        <v>2</v>
      </c>
      <c r="BV67" s="186">
        <f ca="1">IFERROR(__xludf.DUMMYFUNCTION("IMPORTRANGE(""https://docs.google.com/spreadsheets/d/1qU-W_9MCQD1pgIVXGEOjCFo9QqlmJywuebyGgaN92r8/edit?usp=sharing"",""ราชบุรี!J603"")"),37)</f>
        <v>37</v>
      </c>
      <c r="BW67" s="261">
        <f ca="1">IFERROR(__xludf.DUMMYFUNCTION("IMPORTRANGE(""https://docs.google.com/spreadsheets/d/1qU-W_9MCQD1pgIVXGEOjCFo9QqlmJywuebyGgaN92r8/edit?usp=sharing"",""ราชบุรี!J604"")"),2)</f>
        <v>2</v>
      </c>
      <c r="BX67" s="186">
        <f ca="1">IFERROR(__xludf.DUMMYFUNCTION("IMPORTRANGE(""https://docs.google.com/spreadsheets/d/1qU-W_9MCQD1pgIVXGEOjCFo9QqlmJywuebyGgaN92r8/edit?usp=sharing"",""ราชบุรี!J605"")"),37)</f>
        <v>37</v>
      </c>
      <c r="BY67" s="261">
        <f ca="1">IFERROR(__xludf.DUMMYFUNCTION("IMPORTRANGE(""https://docs.google.com/spreadsheets/d/1qU-W_9MCQD1pgIVXGEOjCFo9QqlmJywuebyGgaN92r8/edit?usp=sharing"",""ราชบุรี!J606"")"),2)</f>
        <v>2</v>
      </c>
      <c r="BZ67" s="186">
        <f ca="1">IFERROR(__xludf.DUMMYFUNCTION("IMPORTRANGE(""https://docs.google.com/spreadsheets/d/1qU-W_9MCQD1pgIVXGEOjCFo9QqlmJywuebyGgaN92r8/edit?usp=sharing"",""ราชบุรี!J607"")"),0)</f>
        <v>0</v>
      </c>
      <c r="CA67" s="261">
        <f ca="1">IFERROR(__xludf.DUMMYFUNCTION("IMPORTRANGE(""https://docs.google.com/spreadsheets/d/1qU-W_9MCQD1pgIVXGEOjCFo9QqlmJywuebyGgaN92r8/edit?usp=sharing"",""ราชบุรี!J608"")"),0)</f>
        <v>0</v>
      </c>
      <c r="CB67" s="186">
        <f ca="1">IFERROR(__xludf.DUMMYFUNCTION("IMPORTRANGE(""https://docs.google.com/spreadsheets/d/1qU-W_9MCQD1pgIVXGEOjCFo9QqlmJywuebyGgaN92r8/edit?usp=sharing"",""ราชบุรี!J609"")"),0)</f>
        <v>0</v>
      </c>
      <c r="CC67" s="261">
        <f ca="1">IFERROR(__xludf.DUMMYFUNCTION("IMPORTRANGE(""https://docs.google.com/spreadsheets/d/1qU-W_9MCQD1pgIVXGEOjCFo9QqlmJywuebyGgaN92r8/edit?usp=sharing"",""ราชบุรี!J610"")"),0)</f>
        <v>0</v>
      </c>
      <c r="CD67" s="261">
        <f ca="1">IFERROR(__xludf.DUMMYFUNCTION("IMPORTRANGE(""https://docs.google.com/spreadsheets/d/1qU-W_9MCQD1pgIVXGEOjCFo9QqlmJywuebyGgaN92r8/edit?usp=sharing"",""ราชบุรี!I612"")"),0)</f>
        <v>0</v>
      </c>
      <c r="CE67" s="261">
        <f ca="1">IFERROR(__xludf.DUMMYFUNCTION("IMPORTRANGE(""https://docs.google.com/spreadsheets/d/1qU-W_9MCQD1pgIVXGEOjCFo9QqlmJywuebyGgaN92r8/edit?usp=sharing"",""ราชบุรี!I594"")"),145)</f>
        <v>145</v>
      </c>
      <c r="CF67" s="262">
        <f ca="1">IFERROR(__xludf.DUMMYFUNCTION("IMPORTRANGE(""https://docs.google.com/spreadsheets/d/1qU-W_9MCQD1pgIVXGEOjCFo9QqlmJywuebyGgaN92r8/edit?usp=sharing"",""ราชบุรี!J612"")"),0)</f>
        <v>0</v>
      </c>
      <c r="CG67" s="262">
        <f t="shared" ca="1" si="37"/>
        <v>0</v>
      </c>
      <c r="CH67" s="261">
        <f ca="1">IFERROR(__xludf.DUMMYFUNCTION("IMPORTRANGE(""https://docs.google.com/spreadsheets/d/1qU-W_9MCQD1pgIVXGEOjCFo9QqlmJywuebyGgaN92r8/edit?usp=sharing"",""ราชบุรี!J613"")"),0)</f>
        <v>0</v>
      </c>
      <c r="CI67" s="262">
        <f t="shared" ca="1" si="19"/>
        <v>0</v>
      </c>
      <c r="CJ67" s="186">
        <f ca="1">IFERROR(__xludf.DUMMYFUNCTION("IMPORTRANGE(""https://docs.google.com/spreadsheets/d/1qU-W_9MCQD1pgIVXGEOjCFo9QqlmJywuebyGgaN92r8/edit?usp=sharing"",""ราชบุรี!J614"")"),0)</f>
        <v>0</v>
      </c>
      <c r="CK67" s="261">
        <f ca="1">IFERROR(__xludf.DUMMYFUNCTION("IMPORTRANGE(""https://docs.google.com/spreadsheets/d/1qU-W_9MCQD1pgIVXGEOjCFo9QqlmJywuebyGgaN92r8/edit?usp=sharing"",""ราชบุรี!J615"")"),0)</f>
        <v>0</v>
      </c>
      <c r="CL67" s="186">
        <f ca="1">IFERROR(__xludf.DUMMYFUNCTION("IMPORTRANGE(""https://docs.google.com/spreadsheets/d/1qU-W_9MCQD1pgIVXGEOjCFo9QqlmJywuebyGgaN92r8/edit?usp=sharing"",""ราชบุรี!J616"")"),0)</f>
        <v>0</v>
      </c>
      <c r="CM67" s="261">
        <f ca="1">IFERROR(__xludf.DUMMYFUNCTION("IMPORTRANGE(""https://docs.google.com/spreadsheets/d/1qU-W_9MCQD1pgIVXGEOjCFo9QqlmJywuebyGgaN92r8/edit?usp=sharing"",""ราชบุรี!J617"")"),0)</f>
        <v>0</v>
      </c>
      <c r="CN67" s="261">
        <f ca="1">IFERROR(__xludf.DUMMYFUNCTION("IMPORTRANGE(""https://docs.google.com/spreadsheets/d/1qU-W_9MCQD1pgIVXGEOjCFo9QqlmJywuebyGgaN92r8/edit?usp=sharing"",""ราชบุรี!I620"")"),0)</f>
        <v>0</v>
      </c>
      <c r="CO67" s="261">
        <f ca="1">IFERROR(__xludf.DUMMYFUNCTION("IMPORTRANGE(""https://docs.google.com/spreadsheets/d/1qU-W_9MCQD1pgIVXGEOjCFo9QqlmJywuebyGgaN92r8/edit?usp=sharing"",""ราชบุรี!I621"")"),0)</f>
        <v>0</v>
      </c>
      <c r="CP67" s="262">
        <f ca="1">IFERROR(__xludf.DUMMYFUNCTION("IMPORTRANGE(""https://docs.google.com/spreadsheets/d/1qU-W_9MCQD1pgIVXGEOjCFo9QqlmJywuebyGgaN92r8/edit?usp=sharing"",""ราชบุรี!J620"")"),0)</f>
        <v>0</v>
      </c>
      <c r="CQ67" s="262">
        <f t="shared" ca="1" si="38"/>
        <v>0</v>
      </c>
      <c r="CR67" s="261">
        <f ca="1">IFERROR(__xludf.DUMMYFUNCTION("IMPORTRANGE(""https://docs.google.com/spreadsheets/d/1qU-W_9MCQD1pgIVXGEOjCFo9QqlmJywuebyGgaN92r8/edit?usp=sharing"",""ราชบุรี!J621"")"),0)</f>
        <v>0</v>
      </c>
      <c r="CS67" s="262">
        <f t="shared" ca="1" si="22"/>
        <v>0</v>
      </c>
      <c r="CT67" s="186">
        <f ca="1">IFERROR(__xludf.DUMMYFUNCTION("IMPORTRANGE(""https://docs.google.com/spreadsheets/d/1qU-W_9MCQD1pgIVXGEOjCFo9QqlmJywuebyGgaN92r8/edit?usp=sharing"",""ราชบุรี!J622"")"),0)</f>
        <v>0</v>
      </c>
      <c r="CU67" s="261">
        <f ca="1">IFERROR(__xludf.DUMMYFUNCTION("IMPORTRANGE(""https://docs.google.com/spreadsheets/d/1qU-W_9MCQD1pgIVXGEOjCFo9QqlmJywuebyGgaN92r8/edit?usp=sharing"",""ราชบุรี!J623"")"),0)</f>
        <v>0</v>
      </c>
      <c r="CV67" s="186">
        <f ca="1">IFERROR(__xludf.DUMMYFUNCTION("IMPORTRANGE(""https://docs.google.com/spreadsheets/d/1qU-W_9MCQD1pgIVXGEOjCFo9QqlmJywuebyGgaN92r8/edit?usp=sharing"",""ราชบุรี!J624"")"),0)</f>
        <v>0</v>
      </c>
      <c r="CW67" s="261">
        <f ca="1">IFERROR(__xludf.DUMMYFUNCTION("IMPORTRANGE(""https://docs.google.com/spreadsheets/d/1qU-W_9MCQD1pgIVXGEOjCFo9QqlmJywuebyGgaN92r8/edit?usp=sharing"",""ราชบุรี!J625"")"),0)</f>
        <v>0</v>
      </c>
      <c r="CX67" s="186">
        <f ca="1">IFERROR(__xludf.DUMMYFUNCTION("IMPORTRANGE(""https://docs.google.com/spreadsheets/d/1qU-W_9MCQD1pgIVXGEOjCFo9QqlmJywuebyGgaN92r8/edit?usp=sharing"",""ราชบุรี!J626"")"),0)</f>
        <v>0</v>
      </c>
      <c r="CY67" s="261">
        <f ca="1">IFERROR(__xludf.DUMMYFUNCTION("IMPORTRANGE(""https://docs.google.com/spreadsheets/d/1qU-W_9MCQD1pgIVXGEOjCFo9QqlmJywuebyGgaN92r8/edit?usp=sharing"",""ราชบุรี!J627"")"),0)</f>
        <v>0</v>
      </c>
    </row>
    <row r="68" spans="1:103" ht="24" customHeight="1" x14ac:dyDescent="0.3">
      <c r="A68" s="178">
        <v>16</v>
      </c>
      <c r="B68" s="179" t="s">
        <v>85</v>
      </c>
      <c r="C68" s="180">
        <f t="shared" ca="1" si="71"/>
        <v>451282</v>
      </c>
      <c r="D68" s="181">
        <f ca="1">IFERROR(__xludf.DUMMYFUNCTION("IMPORTRANGE(""https://docs.google.com/spreadsheets/d/1xYFIxIM_CspAP5Q-5Zx_V0T_Ut3cjryrjd2hss28vGk/edit?usp=sharing"",""ลพบุรี!L549"")"),451282)</f>
        <v>451282</v>
      </c>
      <c r="E68" s="187">
        <f ca="1">IFERROR(__xludf.DUMMYFUNCTION("IMPORTRANGE(""https://docs.google.com/spreadsheets/d/1xYFIxIM_CspAP5Q-5Zx_V0T_Ut3cjryrjd2hss28vGk/edit?usp=sharing"",""ลพบุรี!L557"")"),0)</f>
        <v>0</v>
      </c>
      <c r="F68" s="182">
        <f t="shared" ca="1" si="1"/>
        <v>67329</v>
      </c>
      <c r="G68" s="183">
        <f t="shared" ca="1" si="2"/>
        <v>14.919496013579092</v>
      </c>
      <c r="H68" s="184">
        <f t="shared" ca="1" si="72"/>
        <v>67329</v>
      </c>
      <c r="I68" s="187">
        <f ca="1">IFERROR(__xludf.DUMMYFUNCTION("IMPORTRANGE(""https://docs.google.com/spreadsheets/d/1xYFIxIM_CspAP5Q-5Zx_V0T_Ut3cjryrjd2hss28vGk/edit?usp=sharing"",""ลพบุรี!N550"")"),0)</f>
        <v>0</v>
      </c>
      <c r="J68" s="187">
        <f ca="1">IFERROR(__xludf.DUMMYFUNCTION("IMPORTRANGE(""https://docs.google.com/spreadsheets/d/1xYFIxIM_CspAP5Q-5Zx_V0T_Ut3cjryrjd2hss28vGk/edit?usp=sharing"",""ลพบุรี!N551"")"),0)</f>
        <v>0</v>
      </c>
      <c r="K68" s="187">
        <f ca="1">IFERROR(__xludf.DUMMYFUNCTION("IMPORTRANGE(""https://docs.google.com/spreadsheets/d/1xYFIxIM_CspAP5Q-5Zx_V0T_Ut3cjryrjd2hss28vGk/edit?usp=sharing"",""ลพบุรี!N552"")"),26000)</f>
        <v>26000</v>
      </c>
      <c r="L68" s="187">
        <f ca="1">IFERROR(__xludf.DUMMYFUNCTION("IMPORTRANGE(""https://docs.google.com/spreadsheets/d/1xYFIxIM_CspAP5Q-5Zx_V0T_Ut3cjryrjd2hss28vGk/edit?usp=sharing"",""ลพบุรี!N553"")"),41329)</f>
        <v>41329</v>
      </c>
      <c r="M68" s="187">
        <f ca="1">IFERROR(__xludf.DUMMYFUNCTION("IMPORTRANGE(""https://docs.google.com/spreadsheets/d/1xYFIxIM_CspAP5Q-5Zx_V0T_Ut3cjryrjd2hss28vGk/edit?usp=sharing"",""ลพบุรี!N554"")"),0)</f>
        <v>0</v>
      </c>
      <c r="N68" s="185">
        <f ca="1">IFERROR(__xludf.DUMMYFUNCTION("IMPORTRANGE(""https://docs.google.com/spreadsheets/d/1xYFIxIM_CspAP5Q-5Zx_V0T_Ut3cjryrjd2hss28vGk/edit?usp=sharing"",""ลพบุรี!N557"")"),0)</f>
        <v>0</v>
      </c>
      <c r="O68" s="185">
        <f t="shared" ca="1" si="41"/>
        <v>0</v>
      </c>
      <c r="P68" s="181">
        <f ca="1">IFERROR(__xludf.DUMMYFUNCTION("IMPORTRANGE(""https://docs.google.com/spreadsheets/d/1xYFIxIM_CspAP5Q-5Zx_V0T_Ut3cjryrjd2hss28vGk/edit?usp=sharing"",""ลพบุรี!I560"")"),36182)</f>
        <v>36182</v>
      </c>
      <c r="Q68" s="181">
        <f ca="1">IFERROR(__xludf.DUMMYFUNCTION("IMPORTRANGE(""https://docs.google.com/spreadsheets/d/1xYFIxIM_CspAP5Q-5Zx_V0T_Ut3cjryrjd2hss28vGk/edit?usp=sharing"",""ลพบุรี!I561"")"),3060)</f>
        <v>3060</v>
      </c>
      <c r="R68" s="186">
        <f ca="1">IFERROR(__xludf.DUMMYFUNCTION("IMPORTRANGE(""https://docs.google.com/spreadsheets/d/1xYFIxIM_CspAP5Q-5Zx_V0T_Ut3cjryrjd2hss28vGk/edit?usp=sharing"",""ลพบุรี!J560"")"),36180.32)</f>
        <v>36180.32</v>
      </c>
      <c r="S68" s="186">
        <f t="shared" ca="1" si="33"/>
        <v>99.995356807252222</v>
      </c>
      <c r="T68" s="181">
        <f ca="1">IFERROR(__xludf.DUMMYFUNCTION("IMPORTRANGE(""https://docs.google.com/spreadsheets/d/1xYFIxIM_CspAP5Q-5Zx_V0T_Ut3cjryrjd2hss28vGk/edit?usp=sharing"",""ลพบุรี!J561"")"),3060)</f>
        <v>3060</v>
      </c>
      <c r="U68" s="186">
        <f t="shared" ca="1" si="7"/>
        <v>100</v>
      </c>
      <c r="V68" s="186">
        <f ca="1">IFERROR(__xludf.DUMMYFUNCTION("IMPORTRANGE(""https://docs.google.com/spreadsheets/d/1xYFIxIM_CspAP5Q-5Zx_V0T_Ut3cjryrjd2hss28vGk/edit?usp=sharing"",""ลพบุรี!J562"")"),24002.4)</f>
        <v>24002.400000000001</v>
      </c>
      <c r="W68" s="261">
        <f ca="1">IFERROR(__xludf.DUMMYFUNCTION("IMPORTRANGE(""https://docs.google.com/spreadsheets/d/1xYFIxIM_CspAP5Q-5Zx_V0T_Ut3cjryrjd2hss28vGk/edit?usp=sharing"",""ลพบุรี!J563"")"),2033)</f>
        <v>2033</v>
      </c>
      <c r="X68" s="186">
        <f ca="1">IFERROR(__xludf.DUMMYFUNCTION("IMPORTRANGE(""https://docs.google.com/spreadsheets/d/1xYFIxIM_CspAP5Q-5Zx_V0T_Ut3cjryrjd2hss28vGk/edit?usp=sharing"",""ลพบุรี!J564"")"),11696.42)</f>
        <v>11696.42</v>
      </c>
      <c r="Y68" s="261">
        <f ca="1">IFERROR(__xludf.DUMMYFUNCTION("IMPORTRANGE(""https://docs.google.com/spreadsheets/d/1xYFIxIM_CspAP5Q-5Zx_V0T_Ut3cjryrjd2hss28vGk/edit?usp=sharing"",""ลพบุรี!J565"")"),989)</f>
        <v>989</v>
      </c>
      <c r="Z68" s="186">
        <f ca="1">IFERROR(__xludf.DUMMYFUNCTION("IMPORTRANGE(""https://docs.google.com/spreadsheets/d/1xYFIxIM_CspAP5Q-5Zx_V0T_Ut3cjryrjd2hss28vGk/edit?usp=sharing"",""ลพบุรี!J566"")"),481.5)</f>
        <v>481.5</v>
      </c>
      <c r="AA68" s="261">
        <f ca="1">IFERROR(__xludf.DUMMYFUNCTION("IMPORTRANGE(""https://docs.google.com/spreadsheets/d/1xYFIxIM_CspAP5Q-5Zx_V0T_Ut3cjryrjd2hss28vGk/edit?usp=sharing"",""ลพบุรี!J567"")"),38)</f>
        <v>38</v>
      </c>
      <c r="AB68" s="181">
        <f ca="1">IFERROR(__xludf.DUMMYFUNCTION("IMPORTRANGE(""https://docs.google.com/spreadsheets/d/1xYFIxIM_CspAP5Q-5Zx_V0T_Ut3cjryrjd2hss28vGk/edit?usp=sharing"",""ลพบุรี!I568"")"),36182)</f>
        <v>36182</v>
      </c>
      <c r="AC68" s="181">
        <f ca="1">IFERROR(__xludf.DUMMYFUNCTION("IMPORTRANGE(""https://docs.google.com/spreadsheets/d/1xYFIxIM_CspAP5Q-5Zx_V0T_Ut3cjryrjd2hss28vGk/edit?usp=sharing"",""ลพบุรี!I569"")"),3060)</f>
        <v>3060</v>
      </c>
      <c r="AD68" s="186">
        <f ca="1">IFERROR(__xludf.DUMMYFUNCTION("IMPORTRANGE(""https://docs.google.com/spreadsheets/d/1xYFIxIM_CspAP5Q-5Zx_V0T_Ut3cjryrjd2hss28vGk/edit?usp=sharing"",""ลพบุรี!J568"")"),0)</f>
        <v>0</v>
      </c>
      <c r="AE68" s="186">
        <f t="shared" ca="1" si="34"/>
        <v>0</v>
      </c>
      <c r="AF68" s="181">
        <f ca="1">IFERROR(__xludf.DUMMYFUNCTION("IMPORTRANGE(""https://docs.google.com/spreadsheets/d/1xYFIxIM_CspAP5Q-5Zx_V0T_Ut3cjryrjd2hss28vGk/edit?usp=sharing"",""ลพบุรี!J569"")"),0)</f>
        <v>0</v>
      </c>
      <c r="AG68" s="186">
        <f t="shared" ca="1" si="10"/>
        <v>0</v>
      </c>
      <c r="AH68" s="186">
        <f ca="1">IFERROR(__xludf.DUMMYFUNCTION("IMPORTRANGE(""https://docs.google.com/spreadsheets/d/1xYFIxIM_CspAP5Q-5Zx_V0T_Ut3cjryrjd2hss28vGk/edit?usp=sharing"",""ลพบุรี!J570"")"),0)</f>
        <v>0</v>
      </c>
      <c r="AI68" s="261">
        <f ca="1">IFERROR(__xludf.DUMMYFUNCTION("IMPORTRANGE(""https://docs.google.com/spreadsheets/d/1xYFIxIM_CspAP5Q-5Zx_V0T_Ut3cjryrjd2hss28vGk/edit?usp=sharing"",""ลพบุรี!J571"")"),0)</f>
        <v>0</v>
      </c>
      <c r="AJ68" s="186">
        <f ca="1">IFERROR(__xludf.DUMMYFUNCTION("IMPORTRANGE(""https://docs.google.com/spreadsheets/d/1xYFIxIM_CspAP5Q-5Zx_V0T_Ut3cjryrjd2hss28vGk/edit?usp=sharing"",""ลพบุรี!J572"")"),0)</f>
        <v>0</v>
      </c>
      <c r="AK68" s="261">
        <f ca="1">IFERROR(__xludf.DUMMYFUNCTION("IMPORTRANGE(""https://docs.google.com/spreadsheets/d/1xYFIxIM_CspAP5Q-5Zx_V0T_Ut3cjryrjd2hss28vGk/edit?usp=sharing"",""ลพบุรี!J573"")"),0)</f>
        <v>0</v>
      </c>
      <c r="AL68" s="186">
        <f ca="1">IFERROR(__xludf.DUMMYFUNCTION("IMPORTRANGE(""https://docs.google.com/spreadsheets/d/1xYFIxIM_CspAP5Q-5Zx_V0T_Ut3cjryrjd2hss28vGk/edit?usp=sharing"",""ลพบุรี!J574"")"),0)</f>
        <v>0</v>
      </c>
      <c r="AM68" s="261">
        <f ca="1">IFERROR(__xludf.DUMMYFUNCTION("IMPORTRANGE(""https://docs.google.com/spreadsheets/d/1xYFIxIM_CspAP5Q-5Zx_V0T_Ut3cjryrjd2hss28vGk/edit?usp=sharing"",""ลพบุรี!J575"")"),0)</f>
        <v>0</v>
      </c>
      <c r="AN68" s="181">
        <f ca="1">IFERROR(__xludf.DUMMYFUNCTION("IMPORTRANGE(""https://docs.google.com/spreadsheets/d/1xYFIxIM_CspAP5Q-5Zx_V0T_Ut3cjryrjd2hss28vGk/edit?usp=sharing"",""ลพบุรี!I576"")"),36182)</f>
        <v>36182</v>
      </c>
      <c r="AO68" s="181">
        <f ca="1">IFERROR(__xludf.DUMMYFUNCTION("IMPORTRANGE(""https://docs.google.com/spreadsheets/d/1xYFIxIM_CspAP5Q-5Zx_V0T_Ut3cjryrjd2hss28vGk/edit?usp=sharing"",""ลพบุรี!I577"")"),3060)</f>
        <v>3060</v>
      </c>
      <c r="AP68" s="186">
        <f ca="1">IFERROR(__xludf.DUMMYFUNCTION("IMPORTRANGE(""https://docs.google.com/spreadsheets/d/1xYFIxIM_CspAP5Q-5Zx_V0T_Ut3cjryrjd2hss28vGk/edit?usp=sharing"",""ลพบุรี!J576"")"),0)</f>
        <v>0</v>
      </c>
      <c r="AQ68" s="186">
        <f t="shared" ca="1" si="35"/>
        <v>0</v>
      </c>
      <c r="AR68" s="181">
        <f ca="1">IFERROR(__xludf.DUMMYFUNCTION("IMPORTRANGE(""https://docs.google.com/spreadsheets/d/1xYFIxIM_CspAP5Q-5Zx_V0T_Ut3cjryrjd2hss28vGk/edit?usp=sharing"",""ลพบุรี!J577"")"),0)</f>
        <v>0</v>
      </c>
      <c r="AS68" s="186">
        <f t="shared" ca="1" si="13"/>
        <v>0</v>
      </c>
      <c r="AT68" s="186">
        <f ca="1">IFERROR(__xludf.DUMMYFUNCTION("IMPORTRANGE(""https://docs.google.com/spreadsheets/d/1xYFIxIM_CspAP5Q-5Zx_V0T_Ut3cjryrjd2hss28vGk/edit?usp=sharing"",""ลพบุรี!J578"")"),0)</f>
        <v>0</v>
      </c>
      <c r="AU68" s="261">
        <f ca="1">IFERROR(__xludf.DUMMYFUNCTION("IMPORTRANGE(""https://docs.google.com/spreadsheets/d/1xYFIxIM_CspAP5Q-5Zx_V0T_Ut3cjryrjd2hss28vGk/edit?usp=sharing"",""ลพบุรี!J579"")"),0)</f>
        <v>0</v>
      </c>
      <c r="AV68" s="186">
        <f ca="1">IFERROR(__xludf.DUMMYFUNCTION("IMPORTRANGE(""https://docs.google.com/spreadsheets/d/1xYFIxIM_CspAP5Q-5Zx_V0T_Ut3cjryrjd2hss28vGk/edit?usp=sharing"",""ลพบุรี!J580"")"),0)</f>
        <v>0</v>
      </c>
      <c r="AW68" s="261">
        <f ca="1">IFERROR(__xludf.DUMMYFUNCTION("IMPORTRANGE(""https://docs.google.com/spreadsheets/d/1xYFIxIM_CspAP5Q-5Zx_V0T_Ut3cjryrjd2hss28vGk/edit?usp=sharing"",""ลพบุรี!J581"")"),0)</f>
        <v>0</v>
      </c>
      <c r="AX68" s="186">
        <f ca="1">IFERROR(__xludf.DUMMYFUNCTION("IMPORTRANGE(""https://docs.google.com/spreadsheets/d/1xYFIxIM_CspAP5Q-5Zx_V0T_Ut3cjryrjd2hss28vGk/edit?usp=sharing"",""ลพบุรี!J582"")"),0)</f>
        <v>0</v>
      </c>
      <c r="AY68" s="261">
        <f ca="1">IFERROR(__xludf.DUMMYFUNCTION("IMPORTRANGE(""https://docs.google.com/spreadsheets/d/1xYFIxIM_CspAP5Q-5Zx_V0T_Ut3cjryrjd2hss28vGk/edit?usp=sharing"",""ลพบุรี!J583"")"),0)</f>
        <v>0</v>
      </c>
      <c r="AZ68" s="262">
        <f ca="1">IFERROR(__xludf.DUMMYFUNCTION("IMPORTRANGE(""https://docs.google.com/spreadsheets/d/1xYFIxIM_CspAP5Q-5Zx_V0T_Ut3cjryrjd2hss28vGk/edit?usp=sharing"",""ลพบุรี!J584"")"),0)</f>
        <v>0</v>
      </c>
      <c r="BA68" s="261">
        <f ca="1">IFERROR(__xludf.DUMMYFUNCTION("IMPORTRANGE(""https://docs.google.com/spreadsheets/d/1xYFIxIM_CspAP5Q-5Zx_V0T_Ut3cjryrjd2hss28vGk/edit?usp=sharing"",""ลพบุรี!J585"")"),0)</f>
        <v>0</v>
      </c>
      <c r="BB68" s="262">
        <f ca="1">IFERROR(__xludf.DUMMYFUNCTION("IMPORTRANGE(""https://docs.google.com/spreadsheets/d/1xYFIxIM_CspAP5Q-5Zx_V0T_Ut3cjryrjd2hss28vGk/edit?usp=sharing"",""ลพบุรี!J586"")"),0)</f>
        <v>0</v>
      </c>
      <c r="BC68" s="261">
        <f ca="1">IFERROR(__xludf.DUMMYFUNCTION("IMPORTRANGE(""https://docs.google.com/spreadsheets/d/1xYFIxIM_CspAP5Q-5Zx_V0T_Ut3cjryrjd2hss28vGk/edit?usp=sharing"",""ลพบุรี!J587"")"),0)</f>
        <v>0</v>
      </c>
      <c r="BD68" s="186">
        <f ca="1">IFERROR(__xludf.DUMMYFUNCTION("IMPORTRANGE(""https://docs.google.com/spreadsheets/d/1xYFIxIM_CspAP5Q-5Zx_V0T_Ut3cjryrjd2hss28vGk/edit?usp=sharing"",""ลพบุรี!J588"")"),0)</f>
        <v>0</v>
      </c>
      <c r="BE68" s="261">
        <f ca="1">IFERROR(__xludf.DUMMYFUNCTION("IMPORTRANGE(""https://docs.google.com/spreadsheets/d/1xYFIxIM_CspAP5Q-5Zx_V0T_Ut3cjryrjd2hss28vGk/edit?usp=sharing"",""ลพบุรี!J589"")"),0)</f>
        <v>0</v>
      </c>
      <c r="BF68" s="186">
        <f ca="1">IFERROR(__xludf.DUMMYFUNCTION("IMPORTRANGE(""https://docs.google.com/spreadsheets/d/1xYFIxIM_CspAP5Q-5Zx_V0T_Ut3cjryrjd2hss28vGk/edit?usp=sharing"",""ลพบุรี!J590"")"),0)</f>
        <v>0</v>
      </c>
      <c r="BG68" s="261">
        <f ca="1">IFERROR(__xludf.DUMMYFUNCTION("IMPORTRANGE(""https://docs.google.com/spreadsheets/d/1xYFIxIM_CspAP5Q-5Zx_V0T_Ut3cjryrjd2hss28vGk/edit?usp=sharing"",""ลพบุรี!J591"")"),0)</f>
        <v>0</v>
      </c>
      <c r="BH68" s="181">
        <f ca="1">IFERROR(__xludf.DUMMYFUNCTION("IMPORTRANGE(""https://docs.google.com/spreadsheets/d/1xYFIxIM_CspAP5Q-5Zx_V0T_Ut3cjryrjd2hss28vGk/edit?usp=sharing"",""ลพบุรี!I593"")"),7807.08)</f>
        <v>7807.08</v>
      </c>
      <c r="BI68" s="181">
        <f ca="1">IFERROR(__xludf.DUMMYFUNCTION("IMPORTRANGE(""https://docs.google.com/spreadsheets/d/1xYFIxIM_CspAP5Q-5Zx_V0T_Ut3cjryrjd2hss28vGk/edit?usp=sharing"",""ลพบุรี!I594"")"),361)</f>
        <v>361</v>
      </c>
      <c r="BJ68" s="186">
        <f ca="1">IFERROR(__xludf.DUMMYFUNCTION("IMPORTRANGE(""https://docs.google.com/spreadsheets/d/1xYFIxIM_CspAP5Q-5Zx_V0T_Ut3cjryrjd2hss28vGk/edit?usp=sharing"",""ลพบุรี!J593"")"),0)</f>
        <v>0</v>
      </c>
      <c r="BK68" s="186">
        <f t="shared" ca="1" si="36"/>
        <v>0</v>
      </c>
      <c r="BL68" s="181">
        <f ca="1">IFERROR(__xludf.DUMMYFUNCTION("IMPORTRANGE(""https://docs.google.com/spreadsheets/d/1xYFIxIM_CspAP5Q-5Zx_V0T_Ut3cjryrjd2hss28vGk/edit?usp=sharing"",""ลพบุรี!J594"")"),0)</f>
        <v>0</v>
      </c>
      <c r="BM68" s="186">
        <f t="shared" ca="1" si="16"/>
        <v>0</v>
      </c>
      <c r="BN68" s="186">
        <f ca="1">IFERROR(__xludf.DUMMYFUNCTION("IMPORTRANGE(""https://docs.google.com/spreadsheets/d/1xYFIxIM_CspAP5Q-5Zx_V0T_Ut3cjryrjd2hss28vGk/edit?usp=sharing"",""ลพบุรี!J595"")"),0)</f>
        <v>0</v>
      </c>
      <c r="BO68" s="261">
        <f ca="1">IFERROR(__xludf.DUMMYFUNCTION("IMPORTRANGE(""https://docs.google.com/spreadsheets/d/1xYFIxIM_CspAP5Q-5Zx_V0T_Ut3cjryrjd2hss28vGk/edit?usp=sharing"",""ลพบุรี!J596"")"),0)</f>
        <v>0</v>
      </c>
      <c r="BP68" s="186">
        <f ca="1">IFERROR(__xludf.DUMMYFUNCTION("IMPORTRANGE(""https://docs.google.com/spreadsheets/d/1xYFIxIM_CspAP5Q-5Zx_V0T_Ut3cjryrjd2hss28vGk/edit?usp=sharing"",""ลพบุรี!J597"")"),0)</f>
        <v>0</v>
      </c>
      <c r="BQ68" s="261">
        <f ca="1">IFERROR(__xludf.DUMMYFUNCTION("IMPORTRANGE(""https://docs.google.com/spreadsheets/d/1xYFIxIM_CspAP5Q-5Zx_V0T_Ut3cjryrjd2hss28vGk/edit?usp=sharing"",""ลพบุรี!J598"")"),0)</f>
        <v>0</v>
      </c>
      <c r="BR68" s="186">
        <f ca="1">IFERROR(__xludf.DUMMYFUNCTION("IMPORTRANGE(""https://docs.google.com/spreadsheets/d/1xYFIxIM_CspAP5Q-5Zx_V0T_Ut3cjryrjd2hss28vGk/edit?usp=sharing"",""ลพบุรี!J599"")"),0)</f>
        <v>0</v>
      </c>
      <c r="BS68" s="261">
        <f ca="1">IFERROR(__xludf.DUMMYFUNCTION("IMPORTRANGE(""https://docs.google.com/spreadsheets/d/1xYFIxIM_CspAP5Q-5Zx_V0T_Ut3cjryrjd2hss28vGk/edit?usp=sharing"",""ลพบุรี!J600"")"),0)</f>
        <v>0</v>
      </c>
      <c r="BT68" s="262">
        <f ca="1">IFERROR(__xludf.DUMMYFUNCTION("IMPORTRANGE(""https://docs.google.com/spreadsheets/d/1xYFIxIM_CspAP5Q-5Zx_V0T_Ut3cjryrjd2hss28vGk/edit?usp=sharing"",""ลพบุรี!J601"")"),0)</f>
        <v>0</v>
      </c>
      <c r="BU68" s="261">
        <f ca="1">IFERROR(__xludf.DUMMYFUNCTION("IMPORTRANGE(""https://docs.google.com/spreadsheets/d/1xYFIxIM_CspAP5Q-5Zx_V0T_Ut3cjryrjd2hss28vGk/edit?usp=sharing"",""ลพบุรี!J602"")"),0)</f>
        <v>0</v>
      </c>
      <c r="BV68" s="186">
        <f ca="1">IFERROR(__xludf.DUMMYFUNCTION("IMPORTRANGE(""https://docs.google.com/spreadsheets/d/1xYFIxIM_CspAP5Q-5Zx_V0T_Ut3cjryrjd2hss28vGk/edit?usp=sharing"",""ลพบุรี!J603"")"),0)</f>
        <v>0</v>
      </c>
      <c r="BW68" s="261">
        <f ca="1">IFERROR(__xludf.DUMMYFUNCTION("IMPORTRANGE(""https://docs.google.com/spreadsheets/d/1xYFIxIM_CspAP5Q-5Zx_V0T_Ut3cjryrjd2hss28vGk/edit?usp=sharing"",""ลพบุรี!J604"")"),0)</f>
        <v>0</v>
      </c>
      <c r="BX68" s="186">
        <f ca="1">IFERROR(__xludf.DUMMYFUNCTION("IMPORTRANGE(""https://docs.google.com/spreadsheets/d/1xYFIxIM_CspAP5Q-5Zx_V0T_Ut3cjryrjd2hss28vGk/edit?usp=sharing"",""ลพบุรี!J605"")"),0)</f>
        <v>0</v>
      </c>
      <c r="BY68" s="261">
        <f ca="1">IFERROR(__xludf.DUMMYFUNCTION("IMPORTRANGE(""https://docs.google.com/spreadsheets/d/1xYFIxIM_CspAP5Q-5Zx_V0T_Ut3cjryrjd2hss28vGk/edit?usp=sharing"",""ลพบุรี!J606"")"),0)</f>
        <v>0</v>
      </c>
      <c r="BZ68" s="186">
        <f ca="1">IFERROR(__xludf.DUMMYFUNCTION("IMPORTRANGE(""https://docs.google.com/spreadsheets/d/1xYFIxIM_CspAP5Q-5Zx_V0T_Ut3cjryrjd2hss28vGk/edit?usp=sharing"",""ลพบุรี!J607"")"),0)</f>
        <v>0</v>
      </c>
      <c r="CA68" s="261">
        <f ca="1">IFERROR(__xludf.DUMMYFUNCTION("IMPORTRANGE(""https://docs.google.com/spreadsheets/d/1xYFIxIM_CspAP5Q-5Zx_V0T_Ut3cjryrjd2hss28vGk/edit?usp=sharing"",""ลพบุรี!J608"")"),0)</f>
        <v>0</v>
      </c>
      <c r="CB68" s="186">
        <f ca="1">IFERROR(__xludf.DUMMYFUNCTION("IMPORTRANGE(""https://docs.google.com/spreadsheets/d/1xYFIxIM_CspAP5Q-5Zx_V0T_Ut3cjryrjd2hss28vGk/edit?usp=sharing"",""ลพบุรี!J609"")"),0)</f>
        <v>0</v>
      </c>
      <c r="CC68" s="261">
        <f ca="1">IFERROR(__xludf.DUMMYFUNCTION("IMPORTRANGE(""https://docs.google.com/spreadsheets/d/1xYFIxIM_CspAP5Q-5Zx_V0T_Ut3cjryrjd2hss28vGk/edit?usp=sharing"",""ลพบุรี!J610"")"),0)</f>
        <v>0</v>
      </c>
      <c r="CD68" s="261">
        <f ca="1">IFERROR(__xludf.DUMMYFUNCTION("IMPORTRANGE(""https://docs.google.com/spreadsheets/d/1xYFIxIM_CspAP5Q-5Zx_V0T_Ut3cjryrjd2hss28vGk/edit?usp=sharing"",""ลพบุรี!I612"")"),0)</f>
        <v>0</v>
      </c>
      <c r="CE68" s="261">
        <f ca="1">IFERROR(__xludf.DUMMYFUNCTION("IMPORTRANGE(""https://docs.google.com/spreadsheets/d/1xYFIxIM_CspAP5Q-5Zx_V0T_Ut3cjryrjd2hss28vGk/edit?usp=sharing"",""ลพบุรี!I594"")"),361)</f>
        <v>361</v>
      </c>
      <c r="CF68" s="262">
        <f ca="1">IFERROR(__xludf.DUMMYFUNCTION("IMPORTRANGE(""https://docs.google.com/spreadsheets/d/1xYFIxIM_CspAP5Q-5Zx_V0T_Ut3cjryrjd2hss28vGk/edit?usp=sharing"",""ลพบุรี!J612"")"),0)</f>
        <v>0</v>
      </c>
      <c r="CG68" s="262">
        <f t="shared" ca="1" si="37"/>
        <v>0</v>
      </c>
      <c r="CH68" s="261">
        <f ca="1">IFERROR(__xludf.DUMMYFUNCTION("IMPORTRANGE(""https://docs.google.com/spreadsheets/d/1xYFIxIM_CspAP5Q-5Zx_V0T_Ut3cjryrjd2hss28vGk/edit?usp=sharing"",""ลพบุรี!J613"")"),0)</f>
        <v>0</v>
      </c>
      <c r="CI68" s="262">
        <f t="shared" ca="1" si="19"/>
        <v>0</v>
      </c>
      <c r="CJ68" s="186">
        <f ca="1">IFERROR(__xludf.DUMMYFUNCTION("IMPORTRANGE(""https://docs.google.com/spreadsheets/d/1xYFIxIM_CspAP5Q-5Zx_V0T_Ut3cjryrjd2hss28vGk/edit?usp=sharing"",""ลพบุรี!J614"")"),0)</f>
        <v>0</v>
      </c>
      <c r="CK68" s="261">
        <f ca="1">IFERROR(__xludf.DUMMYFUNCTION("IMPORTRANGE(""https://docs.google.com/spreadsheets/d/1xYFIxIM_CspAP5Q-5Zx_V0T_Ut3cjryrjd2hss28vGk/edit?usp=sharing"",""ลพบุรี!J615"")"),0)</f>
        <v>0</v>
      </c>
      <c r="CL68" s="186">
        <f ca="1">IFERROR(__xludf.DUMMYFUNCTION("IMPORTRANGE(""https://docs.google.com/spreadsheets/d/1xYFIxIM_CspAP5Q-5Zx_V0T_Ut3cjryrjd2hss28vGk/edit?usp=sharing"",""ลพบุรี!J616"")"),0)</f>
        <v>0</v>
      </c>
      <c r="CM68" s="261">
        <f ca="1">IFERROR(__xludf.DUMMYFUNCTION("IMPORTRANGE(""https://docs.google.com/spreadsheets/d/1xYFIxIM_CspAP5Q-5Zx_V0T_Ut3cjryrjd2hss28vGk/edit?usp=sharing"",""ลพบุรี!J617"")"),0)</f>
        <v>0</v>
      </c>
      <c r="CN68" s="261">
        <f ca="1">IFERROR(__xludf.DUMMYFUNCTION("IMPORTRANGE(""https://docs.google.com/spreadsheets/d/1xYFIxIM_CspAP5Q-5Zx_V0T_Ut3cjryrjd2hss28vGk/edit?usp=sharing"",""ลพบุรี!I620"")"),5)</f>
        <v>5</v>
      </c>
      <c r="CO68" s="261">
        <f ca="1">IFERROR(__xludf.DUMMYFUNCTION("IMPORTRANGE(""https://docs.google.com/spreadsheets/d/1xYFIxIM_CspAP5Q-5Zx_V0T_Ut3cjryrjd2hss28vGk/edit?usp=sharing"",""ลพบุรี!I621"")"),8)</f>
        <v>8</v>
      </c>
      <c r="CP68" s="262">
        <f ca="1">IFERROR(__xludf.DUMMYFUNCTION("IMPORTRANGE(""https://docs.google.com/spreadsheets/d/1xYFIxIM_CspAP5Q-5Zx_V0T_Ut3cjryrjd2hss28vGk/edit?usp=sharing"",""ลพบุรี!J620"")"),5)</f>
        <v>5</v>
      </c>
      <c r="CQ68" s="262">
        <f t="shared" ca="1" si="38"/>
        <v>100</v>
      </c>
      <c r="CR68" s="261">
        <f ca="1">IFERROR(__xludf.DUMMYFUNCTION("IMPORTRANGE(""https://docs.google.com/spreadsheets/d/1xYFIxIM_CspAP5Q-5Zx_V0T_Ut3cjryrjd2hss28vGk/edit?usp=sharing"",""ลพบุรี!J621"")"),8)</f>
        <v>8</v>
      </c>
      <c r="CS68" s="262">
        <f t="shared" ca="1" si="22"/>
        <v>100</v>
      </c>
      <c r="CT68" s="186">
        <f ca="1">IFERROR(__xludf.DUMMYFUNCTION("IMPORTRANGE(""https://docs.google.com/spreadsheets/d/1xYFIxIM_CspAP5Q-5Zx_V0T_Ut3cjryrjd2hss28vGk/edit?usp=sharing"",""ลพบุรี!J622"")"),1)</f>
        <v>1</v>
      </c>
      <c r="CU68" s="261">
        <f ca="1">IFERROR(__xludf.DUMMYFUNCTION("IMPORTRANGE(""https://docs.google.com/spreadsheets/d/1xYFIxIM_CspAP5Q-5Zx_V0T_Ut3cjryrjd2hss28vGk/edit?usp=sharing"",""ลพบุรี!J623"")"),1)</f>
        <v>1</v>
      </c>
      <c r="CV68" s="186" t="str">
        <f ca="1">IFERROR(__xludf.DUMMYFUNCTION("IMPORTRANGE(""https://docs.google.com/spreadsheets/d/1xYFIxIM_CspAP5Q-5Zx_V0T_Ut3cjryrjd2hss28vGk/edit?usp=sharing"",""ลพบุรี!J624"")"),"")</f>
        <v/>
      </c>
      <c r="CW68" s="261" t="str">
        <f ca="1">IFERROR(__xludf.DUMMYFUNCTION("IMPORTRANGE(""https://docs.google.com/spreadsheets/d/1xYFIxIM_CspAP5Q-5Zx_V0T_Ut3cjryrjd2hss28vGk/edit?usp=sharing"",""ลพบุรี!J625"")"),"")</f>
        <v/>
      </c>
      <c r="CX68" s="186">
        <f ca="1">IFERROR(__xludf.DUMMYFUNCTION("IMPORTRANGE(""https://docs.google.com/spreadsheets/d/1xYFIxIM_CspAP5Q-5Zx_V0T_Ut3cjryrjd2hss28vGk/edit?usp=sharing"",""ลพบุรี!J626"")"),4)</f>
        <v>4</v>
      </c>
      <c r="CY68" s="261">
        <f ca="1">IFERROR(__xludf.DUMMYFUNCTION("IMPORTRANGE(""https://docs.google.com/spreadsheets/d/1xYFIxIM_CspAP5Q-5Zx_V0T_Ut3cjryrjd2hss28vGk/edit?usp=sharing"",""ลพบุรี!J627"")"),7)</f>
        <v>7</v>
      </c>
    </row>
    <row r="69" spans="1:103" ht="21" customHeight="1" x14ac:dyDescent="0.3">
      <c r="A69" s="178">
        <v>17</v>
      </c>
      <c r="B69" s="179" t="s">
        <v>86</v>
      </c>
      <c r="C69" s="180">
        <f t="shared" ca="1" si="71"/>
        <v>612784</v>
      </c>
      <c r="D69" s="181">
        <f ca="1">IFERROR(__xludf.DUMMYFUNCTION("IMPORTRANGE(""https://docs.google.com/spreadsheets/d/11s9m3tKsCBdPWq6syhZm27eBGbKneDLZc75co106bio/edit?usp=sharing"",""สระแก้ว!L549"")"),612784)</f>
        <v>612784</v>
      </c>
      <c r="E69" s="187">
        <f ca="1">IFERROR(__xludf.DUMMYFUNCTION("IMPORTRANGE(""https://docs.google.com/spreadsheets/d/11s9m3tKsCBdPWq6syhZm27eBGbKneDLZc75co106bio/edit?usp=sharing"",""สระแก้ว!L557"")"),0)</f>
        <v>0</v>
      </c>
      <c r="F69" s="182">
        <f t="shared" ca="1" si="1"/>
        <v>193336.15000000002</v>
      </c>
      <c r="G69" s="183">
        <f t="shared" ca="1" si="2"/>
        <v>31.550456604611092</v>
      </c>
      <c r="H69" s="184">
        <f t="shared" ca="1" si="72"/>
        <v>193336.15000000002</v>
      </c>
      <c r="I69" s="187">
        <f ca="1">IFERROR(__xludf.DUMMYFUNCTION("IMPORTRANGE(""https://docs.google.com/spreadsheets/d/11s9m3tKsCBdPWq6syhZm27eBGbKneDLZc75co106bio/edit?usp=sharing"",""สระแก้ว!N550"")"),0)</f>
        <v>0</v>
      </c>
      <c r="J69" s="187">
        <f ca="1">IFERROR(__xludf.DUMMYFUNCTION("IMPORTRANGE(""https://docs.google.com/spreadsheets/d/11s9m3tKsCBdPWq6syhZm27eBGbKneDLZc75co106bio/edit?usp=sharing"",""สระแก้ว!N551"")"),0)</f>
        <v>0</v>
      </c>
      <c r="K69" s="187">
        <f ca="1">IFERROR(__xludf.DUMMYFUNCTION("IMPORTRANGE(""https://docs.google.com/spreadsheets/d/11s9m3tKsCBdPWq6syhZm27eBGbKneDLZc75co106bio/edit?usp=sharing"",""สระแก้ว!N552"")"),51566.67)</f>
        <v>51566.67</v>
      </c>
      <c r="L69" s="187">
        <f ca="1">IFERROR(__xludf.DUMMYFUNCTION("IMPORTRANGE(""https://docs.google.com/spreadsheets/d/11s9m3tKsCBdPWq6syhZm27eBGbKneDLZc75co106bio/edit?usp=sharing"",""สระแก้ว!N553"")"),141769.48)</f>
        <v>141769.48000000001</v>
      </c>
      <c r="M69" s="187">
        <f ca="1">IFERROR(__xludf.DUMMYFUNCTION("IMPORTRANGE(""https://docs.google.com/spreadsheets/d/11s9m3tKsCBdPWq6syhZm27eBGbKneDLZc75co106bio/edit?usp=sharing"",""สระแก้ว!N554"")"),0)</f>
        <v>0</v>
      </c>
      <c r="N69" s="185">
        <f ca="1">IFERROR(__xludf.DUMMYFUNCTION("IMPORTRANGE(""https://docs.google.com/spreadsheets/d/11s9m3tKsCBdPWq6syhZm27eBGbKneDLZc75co106bio/edit?usp=sharing"",""สระแก้ว!N557"")"),0)</f>
        <v>0</v>
      </c>
      <c r="O69" s="185">
        <f t="shared" ca="1" si="41"/>
        <v>0</v>
      </c>
      <c r="P69" s="181">
        <f ca="1">IFERROR(__xludf.DUMMYFUNCTION("IMPORTRANGE(""https://docs.google.com/spreadsheets/d/11s9m3tKsCBdPWq6syhZm27eBGbKneDLZc75co106bio/edit?usp=sharing"",""สระแก้ว!I560"")"),132197)</f>
        <v>132197</v>
      </c>
      <c r="Q69" s="181">
        <f ca="1">IFERROR(__xludf.DUMMYFUNCTION("IMPORTRANGE(""https://docs.google.com/spreadsheets/d/11s9m3tKsCBdPWq6syhZm27eBGbKneDLZc75co106bio/edit?usp=sharing"",""สระแก้ว!I561"")"),11643)</f>
        <v>11643</v>
      </c>
      <c r="R69" s="186">
        <f ca="1">IFERROR(__xludf.DUMMYFUNCTION("IMPORTRANGE(""https://docs.google.com/spreadsheets/d/11s9m3tKsCBdPWq6syhZm27eBGbKneDLZc75co106bio/edit?usp=sharing"",""สระแก้ว!J560"")"),132197)</f>
        <v>132197</v>
      </c>
      <c r="S69" s="186">
        <f t="shared" ca="1" si="33"/>
        <v>100</v>
      </c>
      <c r="T69" s="181">
        <f ca="1">IFERROR(__xludf.DUMMYFUNCTION("IMPORTRANGE(""https://docs.google.com/spreadsheets/d/11s9m3tKsCBdPWq6syhZm27eBGbKneDLZc75co106bio/edit?usp=sharing"",""สระแก้ว!J561"")"),11643)</f>
        <v>11643</v>
      </c>
      <c r="U69" s="186">
        <f t="shared" ca="1" si="7"/>
        <v>100</v>
      </c>
      <c r="V69" s="186">
        <f ca="1">IFERROR(__xludf.DUMMYFUNCTION("IMPORTRANGE(""https://docs.google.com/spreadsheets/d/11s9m3tKsCBdPWq6syhZm27eBGbKneDLZc75co106bio/edit?usp=sharing"",""สระแก้ว!J562"")"),108485)</f>
        <v>108485</v>
      </c>
      <c r="W69" s="261">
        <f ca="1">IFERROR(__xludf.DUMMYFUNCTION("IMPORTRANGE(""https://docs.google.com/spreadsheets/d/11s9m3tKsCBdPWq6syhZm27eBGbKneDLZc75co106bio/edit?usp=sharing"",""สระแก้ว!J563"")"),10096)</f>
        <v>10096</v>
      </c>
      <c r="X69" s="186">
        <f ca="1">IFERROR(__xludf.DUMMYFUNCTION("IMPORTRANGE(""https://docs.google.com/spreadsheets/d/11s9m3tKsCBdPWq6syhZm27eBGbKneDLZc75co106bio/edit?usp=sharing"",""สระแก้ว!J564"")"),19271)</f>
        <v>19271</v>
      </c>
      <c r="Y69" s="261">
        <f ca="1">IFERROR(__xludf.DUMMYFUNCTION("IMPORTRANGE(""https://docs.google.com/spreadsheets/d/11s9m3tKsCBdPWq6syhZm27eBGbKneDLZc75co106bio/edit?usp=sharing"",""สระแก้ว!J565"")"),1194)</f>
        <v>1194</v>
      </c>
      <c r="Z69" s="186">
        <f ca="1">IFERROR(__xludf.DUMMYFUNCTION("IMPORTRANGE(""https://docs.google.com/spreadsheets/d/11s9m3tKsCBdPWq6syhZm27eBGbKneDLZc75co106bio/edit?usp=sharing"",""สระแก้ว!J566"")"),4441)</f>
        <v>4441</v>
      </c>
      <c r="AA69" s="261">
        <f ca="1">IFERROR(__xludf.DUMMYFUNCTION("IMPORTRANGE(""https://docs.google.com/spreadsheets/d/11s9m3tKsCBdPWq6syhZm27eBGbKneDLZc75co106bio/edit?usp=sharing"",""สระแก้ว!J567"")"),353)</f>
        <v>353</v>
      </c>
      <c r="AB69" s="181">
        <f ca="1">IFERROR(__xludf.DUMMYFUNCTION("IMPORTRANGE(""https://docs.google.com/spreadsheets/d/11s9m3tKsCBdPWq6syhZm27eBGbKneDLZc75co106bio/edit?usp=sharing"",""สระแก้ว!I568"")"),132197)</f>
        <v>132197</v>
      </c>
      <c r="AC69" s="181">
        <f ca="1">IFERROR(__xludf.DUMMYFUNCTION("IMPORTRANGE(""https://docs.google.com/spreadsheets/d/11s9m3tKsCBdPWq6syhZm27eBGbKneDLZc75co106bio/edit?usp=sharing"",""สระแก้ว!I569"")"),11643)</f>
        <v>11643</v>
      </c>
      <c r="AD69" s="186">
        <f ca="1">IFERROR(__xludf.DUMMYFUNCTION("IMPORTRANGE(""https://docs.google.com/spreadsheets/d/11s9m3tKsCBdPWq6syhZm27eBGbKneDLZc75co106bio/edit?usp=sharing"",""สระแก้ว!J568"")"),0)</f>
        <v>0</v>
      </c>
      <c r="AE69" s="186">
        <f t="shared" ca="1" si="34"/>
        <v>0</v>
      </c>
      <c r="AF69" s="181">
        <f ca="1">IFERROR(__xludf.DUMMYFUNCTION("IMPORTRANGE(""https://docs.google.com/spreadsheets/d/11s9m3tKsCBdPWq6syhZm27eBGbKneDLZc75co106bio/edit?usp=sharing"",""สระแก้ว!J569"")"),0)</f>
        <v>0</v>
      </c>
      <c r="AG69" s="186">
        <f t="shared" ca="1" si="10"/>
        <v>0</v>
      </c>
      <c r="AH69" s="186">
        <f ca="1">IFERROR(__xludf.DUMMYFUNCTION("IMPORTRANGE(""https://docs.google.com/spreadsheets/d/11s9m3tKsCBdPWq6syhZm27eBGbKneDLZc75co106bio/edit?usp=sharing"",""สระแก้ว!J570"")"),0)</f>
        <v>0</v>
      </c>
      <c r="AI69" s="261">
        <f ca="1">IFERROR(__xludf.DUMMYFUNCTION("IMPORTRANGE(""https://docs.google.com/spreadsheets/d/11s9m3tKsCBdPWq6syhZm27eBGbKneDLZc75co106bio/edit?usp=sharing"",""สระแก้ว!J571"")"),0)</f>
        <v>0</v>
      </c>
      <c r="AJ69" s="186">
        <f ca="1">IFERROR(__xludf.DUMMYFUNCTION("IMPORTRANGE(""https://docs.google.com/spreadsheets/d/11s9m3tKsCBdPWq6syhZm27eBGbKneDLZc75co106bio/edit?usp=sharing"",""สระแก้ว!J572"")"),0)</f>
        <v>0</v>
      </c>
      <c r="AK69" s="261">
        <f ca="1">IFERROR(__xludf.DUMMYFUNCTION("IMPORTRANGE(""https://docs.google.com/spreadsheets/d/11s9m3tKsCBdPWq6syhZm27eBGbKneDLZc75co106bio/edit?usp=sharing"",""สระแก้ว!J573"")"),0)</f>
        <v>0</v>
      </c>
      <c r="AL69" s="186">
        <f ca="1">IFERROR(__xludf.DUMMYFUNCTION("IMPORTRANGE(""https://docs.google.com/spreadsheets/d/11s9m3tKsCBdPWq6syhZm27eBGbKneDLZc75co106bio/edit?usp=sharing"",""สระแก้ว!J574"")"),0)</f>
        <v>0</v>
      </c>
      <c r="AM69" s="261">
        <f ca="1">IFERROR(__xludf.DUMMYFUNCTION("IMPORTRANGE(""https://docs.google.com/spreadsheets/d/11s9m3tKsCBdPWq6syhZm27eBGbKneDLZc75co106bio/edit?usp=sharing"",""สระแก้ว!J575"")"),0)</f>
        <v>0</v>
      </c>
      <c r="AN69" s="181">
        <f ca="1">IFERROR(__xludf.DUMMYFUNCTION("IMPORTRANGE(""https://docs.google.com/spreadsheets/d/11s9m3tKsCBdPWq6syhZm27eBGbKneDLZc75co106bio/edit?usp=sharing"",""สระแก้ว!I576"")"),132197)</f>
        <v>132197</v>
      </c>
      <c r="AO69" s="181">
        <f ca="1">IFERROR(__xludf.DUMMYFUNCTION("IMPORTRANGE(""https://docs.google.com/spreadsheets/d/11s9m3tKsCBdPWq6syhZm27eBGbKneDLZc75co106bio/edit?usp=sharing"",""สระแก้ว!I577"")"),11643)</f>
        <v>11643</v>
      </c>
      <c r="AP69" s="186">
        <f ca="1">IFERROR(__xludf.DUMMYFUNCTION("IMPORTRANGE(""https://docs.google.com/spreadsheets/d/11s9m3tKsCBdPWq6syhZm27eBGbKneDLZc75co106bio/edit?usp=sharing"",""สระแก้ว!J576"")"),0)</f>
        <v>0</v>
      </c>
      <c r="AQ69" s="186">
        <f t="shared" ca="1" si="35"/>
        <v>0</v>
      </c>
      <c r="AR69" s="181">
        <f ca="1">IFERROR(__xludf.DUMMYFUNCTION("IMPORTRANGE(""https://docs.google.com/spreadsheets/d/11s9m3tKsCBdPWq6syhZm27eBGbKneDLZc75co106bio/edit?usp=sharing"",""สระแก้ว!J577"")"),0)</f>
        <v>0</v>
      </c>
      <c r="AS69" s="186">
        <f t="shared" ca="1" si="13"/>
        <v>0</v>
      </c>
      <c r="AT69" s="186">
        <f ca="1">IFERROR(__xludf.DUMMYFUNCTION("IMPORTRANGE(""https://docs.google.com/spreadsheets/d/11s9m3tKsCBdPWq6syhZm27eBGbKneDLZc75co106bio/edit?usp=sharing"",""สระแก้ว!J578"")"),0)</f>
        <v>0</v>
      </c>
      <c r="AU69" s="261">
        <f ca="1">IFERROR(__xludf.DUMMYFUNCTION("IMPORTRANGE(""https://docs.google.com/spreadsheets/d/11s9m3tKsCBdPWq6syhZm27eBGbKneDLZc75co106bio/edit?usp=sharing"",""สระแก้ว!J579"")"),0)</f>
        <v>0</v>
      </c>
      <c r="AV69" s="186">
        <f ca="1">IFERROR(__xludf.DUMMYFUNCTION("IMPORTRANGE(""https://docs.google.com/spreadsheets/d/11s9m3tKsCBdPWq6syhZm27eBGbKneDLZc75co106bio/edit?usp=sharing"",""สระแก้ว!J580"")"),0)</f>
        <v>0</v>
      </c>
      <c r="AW69" s="261">
        <f ca="1">IFERROR(__xludf.DUMMYFUNCTION("IMPORTRANGE(""https://docs.google.com/spreadsheets/d/11s9m3tKsCBdPWq6syhZm27eBGbKneDLZc75co106bio/edit?usp=sharing"",""สระแก้ว!J581"")"),0)</f>
        <v>0</v>
      </c>
      <c r="AX69" s="186">
        <f ca="1">IFERROR(__xludf.DUMMYFUNCTION("IMPORTRANGE(""https://docs.google.com/spreadsheets/d/11s9m3tKsCBdPWq6syhZm27eBGbKneDLZc75co106bio/edit?usp=sharing"",""สระแก้ว!J582"")"),0)</f>
        <v>0</v>
      </c>
      <c r="AY69" s="261">
        <f ca="1">IFERROR(__xludf.DUMMYFUNCTION("IMPORTRANGE(""https://docs.google.com/spreadsheets/d/11s9m3tKsCBdPWq6syhZm27eBGbKneDLZc75co106bio/edit?usp=sharing"",""สระแก้ว!J583"")"),0)</f>
        <v>0</v>
      </c>
      <c r="AZ69" s="262">
        <f ca="1">IFERROR(__xludf.DUMMYFUNCTION("IMPORTRANGE(""https://docs.google.com/spreadsheets/d/11s9m3tKsCBdPWq6syhZm27eBGbKneDLZc75co106bio/edit?usp=sharing"",""สระแก้ว!J584"")"),0)</f>
        <v>0</v>
      </c>
      <c r="BA69" s="261">
        <f ca="1">IFERROR(__xludf.DUMMYFUNCTION("IMPORTRANGE(""https://docs.google.com/spreadsheets/d/11s9m3tKsCBdPWq6syhZm27eBGbKneDLZc75co106bio/edit?usp=sharing"",""สระแก้ว!J585"")"),0)</f>
        <v>0</v>
      </c>
      <c r="BB69" s="262">
        <f ca="1">IFERROR(__xludf.DUMMYFUNCTION("IMPORTRANGE(""https://docs.google.com/spreadsheets/d/11s9m3tKsCBdPWq6syhZm27eBGbKneDLZc75co106bio/edit?usp=sharing"",""สระแก้ว!J586"")"),0)</f>
        <v>0</v>
      </c>
      <c r="BC69" s="261">
        <f ca="1">IFERROR(__xludf.DUMMYFUNCTION("IMPORTRANGE(""https://docs.google.com/spreadsheets/d/11s9m3tKsCBdPWq6syhZm27eBGbKneDLZc75co106bio/edit?usp=sharing"",""สระแก้ว!J587"")"),0)</f>
        <v>0</v>
      </c>
      <c r="BD69" s="186">
        <f ca="1">IFERROR(__xludf.DUMMYFUNCTION("IMPORTRANGE(""https://docs.google.com/spreadsheets/d/11s9m3tKsCBdPWq6syhZm27eBGbKneDLZc75co106bio/edit?usp=sharing"",""สระแก้ว!J588"")"),0)</f>
        <v>0</v>
      </c>
      <c r="BE69" s="261">
        <f ca="1">IFERROR(__xludf.DUMMYFUNCTION("IMPORTRANGE(""https://docs.google.com/spreadsheets/d/11s9m3tKsCBdPWq6syhZm27eBGbKneDLZc75co106bio/edit?usp=sharing"",""สระแก้ว!J589"")"),0)</f>
        <v>0</v>
      </c>
      <c r="BF69" s="186">
        <f ca="1">IFERROR(__xludf.DUMMYFUNCTION("IMPORTRANGE(""https://docs.google.com/spreadsheets/d/11s9m3tKsCBdPWq6syhZm27eBGbKneDLZc75co106bio/edit?usp=sharing"",""สระแก้ว!J590"")"),0)</f>
        <v>0</v>
      </c>
      <c r="BG69" s="261">
        <f ca="1">IFERROR(__xludf.DUMMYFUNCTION("IMPORTRANGE(""https://docs.google.com/spreadsheets/d/11s9m3tKsCBdPWq6syhZm27eBGbKneDLZc75co106bio/edit?usp=sharing"",""สระแก้ว!J591"")"),0)</f>
        <v>0</v>
      </c>
      <c r="BH69" s="181">
        <f ca="1">IFERROR(__xludf.DUMMYFUNCTION("IMPORTRANGE(""https://docs.google.com/spreadsheets/d/11s9m3tKsCBdPWq6syhZm27eBGbKneDLZc75co106bio/edit?usp=sharing"",""สระแก้ว!I593"")"),6889.23)</f>
        <v>6889.23</v>
      </c>
      <c r="BI69" s="181">
        <f ca="1">IFERROR(__xludf.DUMMYFUNCTION("IMPORTRANGE(""https://docs.google.com/spreadsheets/d/11s9m3tKsCBdPWq6syhZm27eBGbKneDLZc75co106bio/edit?usp=sharing"",""สระแก้ว!I594"")"),387)</f>
        <v>387</v>
      </c>
      <c r="BJ69" s="186">
        <f ca="1">IFERROR(__xludf.DUMMYFUNCTION("IMPORTRANGE(""https://docs.google.com/spreadsheets/d/11s9m3tKsCBdPWq6syhZm27eBGbKneDLZc75co106bio/edit?usp=sharing"",""สระแก้ว!J593"")"),6697)</f>
        <v>6697</v>
      </c>
      <c r="BK69" s="186">
        <f t="shared" ca="1" si="36"/>
        <v>97.209702680851137</v>
      </c>
      <c r="BL69" s="181">
        <f ca="1">IFERROR(__xludf.DUMMYFUNCTION("IMPORTRANGE(""https://docs.google.com/spreadsheets/d/11s9m3tKsCBdPWq6syhZm27eBGbKneDLZc75co106bio/edit?usp=sharing"",""สระแก้ว!J594"")"),374)</f>
        <v>374</v>
      </c>
      <c r="BM69" s="186">
        <f t="shared" ca="1" si="16"/>
        <v>96.640826873385009</v>
      </c>
      <c r="BN69" s="186">
        <f ca="1">IFERROR(__xludf.DUMMYFUNCTION("IMPORTRANGE(""https://docs.google.com/spreadsheets/d/11s9m3tKsCBdPWq6syhZm27eBGbKneDLZc75co106bio/edit?usp=sharing"",""สระแก้ว!J595"")"),6697)</f>
        <v>6697</v>
      </c>
      <c r="BO69" s="261">
        <f ca="1">IFERROR(__xludf.DUMMYFUNCTION("IMPORTRANGE(""https://docs.google.com/spreadsheets/d/11s9m3tKsCBdPWq6syhZm27eBGbKneDLZc75co106bio/edit?usp=sharing"",""สระแก้ว!J596"")"),374)</f>
        <v>374</v>
      </c>
      <c r="BP69" s="186">
        <f ca="1">IFERROR(__xludf.DUMMYFUNCTION("IMPORTRANGE(""https://docs.google.com/spreadsheets/d/11s9m3tKsCBdPWq6syhZm27eBGbKneDLZc75co106bio/edit?usp=sharing"",""สระแก้ว!J597"")"),1344)</f>
        <v>1344</v>
      </c>
      <c r="BQ69" s="261">
        <f ca="1">IFERROR(__xludf.DUMMYFUNCTION("IMPORTRANGE(""https://docs.google.com/spreadsheets/d/11s9m3tKsCBdPWq6syhZm27eBGbKneDLZc75co106bio/edit?usp=sharing"",""สระแก้ว!J598"")"),127)</f>
        <v>127</v>
      </c>
      <c r="BR69" s="186">
        <f ca="1">IFERROR(__xludf.DUMMYFUNCTION("IMPORTRANGE(""https://docs.google.com/spreadsheets/d/11s9m3tKsCBdPWq6syhZm27eBGbKneDLZc75co106bio/edit?usp=sharing"",""สระแก้ว!J599"")"),5353)</f>
        <v>5353</v>
      </c>
      <c r="BS69" s="261">
        <f ca="1">IFERROR(__xludf.DUMMYFUNCTION("IMPORTRANGE(""https://docs.google.com/spreadsheets/d/11s9m3tKsCBdPWq6syhZm27eBGbKneDLZc75co106bio/edit?usp=sharing"",""สระแก้ว!J600"")"),247)</f>
        <v>247</v>
      </c>
      <c r="BT69" s="262">
        <f ca="1">IFERROR(__xludf.DUMMYFUNCTION("IMPORTRANGE(""https://docs.google.com/spreadsheets/d/11s9m3tKsCBdPWq6syhZm27eBGbKneDLZc75co106bio/edit?usp=sharing"",""สระแก้ว!J601"")"),0)</f>
        <v>0</v>
      </c>
      <c r="BU69" s="261">
        <f ca="1">IFERROR(__xludf.DUMMYFUNCTION("IMPORTRANGE(""https://docs.google.com/spreadsheets/d/11s9m3tKsCBdPWq6syhZm27eBGbKneDLZc75co106bio/edit?usp=sharing"",""สระแก้ว!J602"")"),0)</f>
        <v>0</v>
      </c>
      <c r="BV69" s="186">
        <f ca="1">IFERROR(__xludf.DUMMYFUNCTION("IMPORTRANGE(""https://docs.google.com/spreadsheets/d/11s9m3tKsCBdPWq6syhZm27eBGbKneDLZc75co106bio/edit?usp=sharing"",""สระแก้ว!J603"")"),0)</f>
        <v>0</v>
      </c>
      <c r="BW69" s="261">
        <f ca="1">IFERROR(__xludf.DUMMYFUNCTION("IMPORTRANGE(""https://docs.google.com/spreadsheets/d/11s9m3tKsCBdPWq6syhZm27eBGbKneDLZc75co106bio/edit?usp=sharing"",""สระแก้ว!J604"")"),0)</f>
        <v>0</v>
      </c>
      <c r="BX69" s="186">
        <f ca="1">IFERROR(__xludf.DUMMYFUNCTION("IMPORTRANGE(""https://docs.google.com/spreadsheets/d/11s9m3tKsCBdPWq6syhZm27eBGbKneDLZc75co106bio/edit?usp=sharing"",""สระแก้ว!J605"")"),0)</f>
        <v>0</v>
      </c>
      <c r="BY69" s="261">
        <f ca="1">IFERROR(__xludf.DUMMYFUNCTION("IMPORTRANGE(""https://docs.google.com/spreadsheets/d/11s9m3tKsCBdPWq6syhZm27eBGbKneDLZc75co106bio/edit?usp=sharing"",""สระแก้ว!J606"")"),0)</f>
        <v>0</v>
      </c>
      <c r="BZ69" s="186">
        <f ca="1">IFERROR(__xludf.DUMMYFUNCTION("IMPORTRANGE(""https://docs.google.com/spreadsheets/d/11s9m3tKsCBdPWq6syhZm27eBGbKneDLZc75co106bio/edit?usp=sharing"",""สระแก้ว!J607"")"),0)</f>
        <v>0</v>
      </c>
      <c r="CA69" s="261">
        <f ca="1">IFERROR(__xludf.DUMMYFUNCTION("IMPORTRANGE(""https://docs.google.com/spreadsheets/d/11s9m3tKsCBdPWq6syhZm27eBGbKneDLZc75co106bio/edit?usp=sharing"",""สระแก้ว!J608"")"),0)</f>
        <v>0</v>
      </c>
      <c r="CB69" s="186">
        <f ca="1">IFERROR(__xludf.DUMMYFUNCTION("IMPORTRANGE(""https://docs.google.com/spreadsheets/d/11s9m3tKsCBdPWq6syhZm27eBGbKneDLZc75co106bio/edit?usp=sharing"",""สระแก้ว!J609"")"),0)</f>
        <v>0</v>
      </c>
      <c r="CC69" s="261">
        <f ca="1">IFERROR(__xludf.DUMMYFUNCTION("IMPORTRANGE(""https://docs.google.com/spreadsheets/d/11s9m3tKsCBdPWq6syhZm27eBGbKneDLZc75co106bio/edit?usp=sharing"",""สระแก้ว!J610"")"),0)</f>
        <v>0</v>
      </c>
      <c r="CD69" s="261">
        <f ca="1">IFERROR(__xludf.DUMMYFUNCTION("IMPORTRANGE(""https://docs.google.com/spreadsheets/d/11s9m3tKsCBdPWq6syhZm27eBGbKneDLZc75co106bio/edit?usp=sharing"",""สระแก้ว!I612"")"),0)</f>
        <v>0</v>
      </c>
      <c r="CE69" s="261">
        <f ca="1">IFERROR(__xludf.DUMMYFUNCTION("IMPORTRANGE(""https://docs.google.com/spreadsheets/d/11s9m3tKsCBdPWq6syhZm27eBGbKneDLZc75co106bio/edit?usp=sharing"",""สระแก้ว!I594"")"),387)</f>
        <v>387</v>
      </c>
      <c r="CF69" s="262">
        <f ca="1">IFERROR(__xludf.DUMMYFUNCTION("IMPORTRANGE(""https://docs.google.com/spreadsheets/d/11s9m3tKsCBdPWq6syhZm27eBGbKneDLZc75co106bio/edit?usp=sharing"",""สระแก้ว!J612"")"),0)</f>
        <v>0</v>
      </c>
      <c r="CG69" s="262">
        <f t="shared" ca="1" si="37"/>
        <v>0</v>
      </c>
      <c r="CH69" s="261">
        <f ca="1">IFERROR(__xludf.DUMMYFUNCTION("IMPORTRANGE(""https://docs.google.com/spreadsheets/d/11s9m3tKsCBdPWq6syhZm27eBGbKneDLZc75co106bio/edit?usp=sharing"",""สระแก้ว!J613"")"),0)</f>
        <v>0</v>
      </c>
      <c r="CI69" s="262">
        <f t="shared" ca="1" si="19"/>
        <v>0</v>
      </c>
      <c r="CJ69" s="186">
        <f ca="1">IFERROR(__xludf.DUMMYFUNCTION("IMPORTRANGE(""https://docs.google.com/spreadsheets/d/11s9m3tKsCBdPWq6syhZm27eBGbKneDLZc75co106bio/edit?usp=sharing"",""สระแก้ว!J614"")"),0)</f>
        <v>0</v>
      </c>
      <c r="CK69" s="261">
        <f ca="1">IFERROR(__xludf.DUMMYFUNCTION("IMPORTRANGE(""https://docs.google.com/spreadsheets/d/11s9m3tKsCBdPWq6syhZm27eBGbKneDLZc75co106bio/edit?usp=sharing"",""สระแก้ว!J615"")"),0)</f>
        <v>0</v>
      </c>
      <c r="CL69" s="186">
        <f ca="1">IFERROR(__xludf.DUMMYFUNCTION("IMPORTRANGE(""https://docs.google.com/spreadsheets/d/11s9m3tKsCBdPWq6syhZm27eBGbKneDLZc75co106bio/edit?usp=sharing"",""สระแก้ว!J616"")"),0)</f>
        <v>0</v>
      </c>
      <c r="CM69" s="261">
        <f ca="1">IFERROR(__xludf.DUMMYFUNCTION("IMPORTRANGE(""https://docs.google.com/spreadsheets/d/11s9m3tKsCBdPWq6syhZm27eBGbKneDLZc75co106bio/edit?usp=sharing"",""สระแก้ว!J617"")"),0)</f>
        <v>0</v>
      </c>
      <c r="CN69" s="261">
        <f ca="1">IFERROR(__xludf.DUMMYFUNCTION("IMPORTRANGE(""https://docs.google.com/spreadsheets/d/11s9m3tKsCBdPWq6syhZm27eBGbKneDLZc75co106bio/edit?usp=sharing"",""สระแก้ว!I620"")"),0)</f>
        <v>0</v>
      </c>
      <c r="CO69" s="261">
        <f ca="1">IFERROR(__xludf.DUMMYFUNCTION("IMPORTRANGE(""https://docs.google.com/spreadsheets/d/11s9m3tKsCBdPWq6syhZm27eBGbKneDLZc75co106bio/edit?usp=sharing"",""สระแก้ว!I621"")"),0)</f>
        <v>0</v>
      </c>
      <c r="CP69" s="262">
        <f ca="1">IFERROR(__xludf.DUMMYFUNCTION("IMPORTRANGE(""https://docs.google.com/spreadsheets/d/11s9m3tKsCBdPWq6syhZm27eBGbKneDLZc75co106bio/edit?usp=sharing"",""สระแก้ว!J620"")"),0)</f>
        <v>0</v>
      </c>
      <c r="CQ69" s="262">
        <f t="shared" ca="1" si="38"/>
        <v>0</v>
      </c>
      <c r="CR69" s="261">
        <f ca="1">IFERROR(__xludf.DUMMYFUNCTION("IMPORTRANGE(""https://docs.google.com/spreadsheets/d/11s9m3tKsCBdPWq6syhZm27eBGbKneDLZc75co106bio/edit?usp=sharing"",""สระแก้ว!J621"")"),0)</f>
        <v>0</v>
      </c>
      <c r="CS69" s="262">
        <f t="shared" ca="1" si="22"/>
        <v>0</v>
      </c>
      <c r="CT69" s="186">
        <f ca="1">IFERROR(__xludf.DUMMYFUNCTION("IMPORTRANGE(""https://docs.google.com/spreadsheets/d/11s9m3tKsCBdPWq6syhZm27eBGbKneDLZc75co106bio/edit?usp=sharing"",""สระแก้ว!J622"")"),0)</f>
        <v>0</v>
      </c>
      <c r="CU69" s="261">
        <f ca="1">IFERROR(__xludf.DUMMYFUNCTION("IMPORTRANGE(""https://docs.google.com/spreadsheets/d/11s9m3tKsCBdPWq6syhZm27eBGbKneDLZc75co106bio/edit?usp=sharing"",""สระแก้ว!J623"")"),0)</f>
        <v>0</v>
      </c>
      <c r="CV69" s="186">
        <f ca="1">IFERROR(__xludf.DUMMYFUNCTION("IMPORTRANGE(""https://docs.google.com/spreadsheets/d/11s9m3tKsCBdPWq6syhZm27eBGbKneDLZc75co106bio/edit?usp=sharing"",""สระแก้ว!J624"")"),0)</f>
        <v>0</v>
      </c>
      <c r="CW69" s="261">
        <f ca="1">IFERROR(__xludf.DUMMYFUNCTION("IMPORTRANGE(""https://docs.google.com/spreadsheets/d/11s9m3tKsCBdPWq6syhZm27eBGbKneDLZc75co106bio/edit?usp=sharing"",""สระแก้ว!J625"")"),0)</f>
        <v>0</v>
      </c>
      <c r="CX69" s="186">
        <f ca="1">IFERROR(__xludf.DUMMYFUNCTION("IMPORTRANGE(""https://docs.google.com/spreadsheets/d/11s9m3tKsCBdPWq6syhZm27eBGbKneDLZc75co106bio/edit?usp=sharing"",""สระแก้ว!J626"")"),0)</f>
        <v>0</v>
      </c>
      <c r="CY69" s="261">
        <f ca="1">IFERROR(__xludf.DUMMYFUNCTION("IMPORTRANGE(""https://docs.google.com/spreadsheets/d/11s9m3tKsCBdPWq6syhZm27eBGbKneDLZc75co106bio/edit?usp=sharing"",""สระแก้ว!J627"")"),0)</f>
        <v>0</v>
      </c>
    </row>
    <row r="70" spans="1:103" ht="21" customHeight="1" x14ac:dyDescent="0.3">
      <c r="A70" s="178">
        <v>18</v>
      </c>
      <c r="B70" s="179" t="s">
        <v>87</v>
      </c>
      <c r="C70" s="180">
        <f t="shared" ca="1" si="71"/>
        <v>248300</v>
      </c>
      <c r="D70" s="181">
        <f ca="1">IFERROR(__xludf.DUMMYFUNCTION("IMPORTRANGE(""https://docs.google.com/spreadsheets/d/1Nn1EvsFPtXldgpgVb3Rcng2K2cls68LFQsBh2FyW0Bg/edit?usp=sharing"",""สระบุรี!L549"")"),248300)</f>
        <v>248300</v>
      </c>
      <c r="E70" s="187">
        <f ca="1">IFERROR(__xludf.DUMMYFUNCTION("IMPORTRANGE(""https://docs.google.com/spreadsheets/d/1Nn1EvsFPtXldgpgVb3Rcng2K2cls68LFQsBh2FyW0Bg/edit?usp=sharing"",""สระบุรี!L557"")"),0)</f>
        <v>0</v>
      </c>
      <c r="F70" s="182">
        <f t="shared" ca="1" si="1"/>
        <v>68658</v>
      </c>
      <c r="G70" s="183">
        <f t="shared" ca="1" si="2"/>
        <v>27.651228352799034</v>
      </c>
      <c r="H70" s="184">
        <f t="shared" ca="1" si="72"/>
        <v>68658</v>
      </c>
      <c r="I70" s="187">
        <f ca="1">IFERROR(__xludf.DUMMYFUNCTION("IMPORTRANGE(""https://docs.google.com/spreadsheets/d/1Nn1EvsFPtXldgpgVb3Rcng2K2cls68LFQsBh2FyW0Bg/edit?usp=sharing"",""สระบุรี!N550"")"),0)</f>
        <v>0</v>
      </c>
      <c r="J70" s="187">
        <f ca="1">IFERROR(__xludf.DUMMYFUNCTION("IMPORTRANGE(""https://docs.google.com/spreadsheets/d/1Nn1EvsFPtXldgpgVb3Rcng2K2cls68LFQsBh2FyW0Bg/edit?usp=sharing"",""สระบุรี!N551"")"),0)</f>
        <v>0</v>
      </c>
      <c r="K70" s="187">
        <f ca="1">IFERROR(__xludf.DUMMYFUNCTION("IMPORTRANGE(""https://docs.google.com/spreadsheets/d/1Nn1EvsFPtXldgpgVb3Rcng2K2cls68LFQsBh2FyW0Bg/edit?usp=sharing"",""สระบุรี!N552"")"),52000)</f>
        <v>52000</v>
      </c>
      <c r="L70" s="187">
        <f ca="1">IFERROR(__xludf.DUMMYFUNCTION("IMPORTRANGE(""https://docs.google.com/spreadsheets/d/1Nn1EvsFPtXldgpgVb3Rcng2K2cls68LFQsBh2FyW0Bg/edit?usp=sharing"",""สระบุรี!N553"")"),16658)</f>
        <v>16658</v>
      </c>
      <c r="M70" s="187">
        <f ca="1">IFERROR(__xludf.DUMMYFUNCTION("IMPORTRANGE(""https://docs.google.com/spreadsheets/d/1Nn1EvsFPtXldgpgVb3Rcng2K2cls68LFQsBh2FyW0Bg/edit?usp=sharing"",""สระบุรี!N554"")"),0)</f>
        <v>0</v>
      </c>
      <c r="N70" s="185">
        <f ca="1">IFERROR(__xludf.DUMMYFUNCTION("IMPORTRANGE(""https://docs.google.com/spreadsheets/d/1Nn1EvsFPtXldgpgVb3Rcng2K2cls68LFQsBh2FyW0Bg/edit?usp=sharing"",""สระบุรี!N557"")"),0)</f>
        <v>0</v>
      </c>
      <c r="O70" s="185">
        <f t="shared" ca="1" si="41"/>
        <v>0</v>
      </c>
      <c r="P70" s="181">
        <f ca="1">IFERROR(__xludf.DUMMYFUNCTION("IMPORTRANGE(""https://docs.google.com/spreadsheets/d/1Nn1EvsFPtXldgpgVb3Rcng2K2cls68LFQsBh2FyW0Bg/edit?usp=sharing"",""สระบุรี!I560"")"),0)</f>
        <v>0</v>
      </c>
      <c r="Q70" s="181">
        <f ca="1">IFERROR(__xludf.DUMMYFUNCTION("IMPORTRANGE(""https://docs.google.com/spreadsheets/d/1Nn1EvsFPtXldgpgVb3Rcng2K2cls68LFQsBh2FyW0Bg/edit?usp=sharing"",""สระบุรี!I561"")"),0)</f>
        <v>0</v>
      </c>
      <c r="R70" s="186">
        <f ca="1">IFERROR(__xludf.DUMMYFUNCTION("IMPORTRANGE(""https://docs.google.com/spreadsheets/d/1Nn1EvsFPtXldgpgVb3Rcng2K2cls68LFQsBh2FyW0Bg/edit?usp=sharing"",""สระบุรี!J560"")"),0)</f>
        <v>0</v>
      </c>
      <c r="S70" s="186">
        <f t="shared" ca="1" si="33"/>
        <v>0</v>
      </c>
      <c r="T70" s="181">
        <f ca="1">IFERROR(__xludf.DUMMYFUNCTION("IMPORTRANGE(""https://docs.google.com/spreadsheets/d/1Nn1EvsFPtXldgpgVb3Rcng2K2cls68LFQsBh2FyW0Bg/edit?usp=sharing"",""สระบุรี!J561"")"),0)</f>
        <v>0</v>
      </c>
      <c r="U70" s="186">
        <f t="shared" ca="1" si="7"/>
        <v>0</v>
      </c>
      <c r="V70" s="186">
        <f ca="1">IFERROR(__xludf.DUMMYFUNCTION("IMPORTRANGE(""https://docs.google.com/spreadsheets/d/1Nn1EvsFPtXldgpgVb3Rcng2K2cls68LFQsBh2FyW0Bg/edit?usp=sharing"",""สระบุรี!J562"")"),0)</f>
        <v>0</v>
      </c>
      <c r="W70" s="261">
        <f ca="1">IFERROR(__xludf.DUMMYFUNCTION("IMPORTRANGE(""https://docs.google.com/spreadsheets/d/1Nn1EvsFPtXldgpgVb3Rcng2K2cls68LFQsBh2FyW0Bg/edit?usp=sharing"",""สระบุรี!J563"")"),0)</f>
        <v>0</v>
      </c>
      <c r="X70" s="186">
        <f ca="1">IFERROR(__xludf.DUMMYFUNCTION("IMPORTRANGE(""https://docs.google.com/spreadsheets/d/1Nn1EvsFPtXldgpgVb3Rcng2K2cls68LFQsBh2FyW0Bg/edit?usp=sharing"",""สระบุรี!J564"")"),0)</f>
        <v>0</v>
      </c>
      <c r="Y70" s="261">
        <f ca="1">IFERROR(__xludf.DUMMYFUNCTION("IMPORTRANGE(""https://docs.google.com/spreadsheets/d/1Nn1EvsFPtXldgpgVb3Rcng2K2cls68LFQsBh2FyW0Bg/edit?usp=sharing"",""สระบุรี!J565"")"),0)</f>
        <v>0</v>
      </c>
      <c r="Z70" s="186">
        <f ca="1">IFERROR(__xludf.DUMMYFUNCTION("IMPORTRANGE(""https://docs.google.com/spreadsheets/d/1Nn1EvsFPtXldgpgVb3Rcng2K2cls68LFQsBh2FyW0Bg/edit?usp=sharing"",""สระบุรี!J566"")"),0)</f>
        <v>0</v>
      </c>
      <c r="AA70" s="261">
        <f ca="1">IFERROR(__xludf.DUMMYFUNCTION("IMPORTRANGE(""https://docs.google.com/spreadsheets/d/1Nn1EvsFPtXldgpgVb3Rcng2K2cls68LFQsBh2FyW0Bg/edit?usp=sharing"",""สระบุรี!J567"")"),0)</f>
        <v>0</v>
      </c>
      <c r="AB70" s="181">
        <f ca="1">IFERROR(__xludf.DUMMYFUNCTION("IMPORTRANGE(""https://docs.google.com/spreadsheets/d/1Nn1EvsFPtXldgpgVb3Rcng2K2cls68LFQsBh2FyW0Bg/edit?usp=sharing"",""สระบุรี!I568"")"),0)</f>
        <v>0</v>
      </c>
      <c r="AC70" s="181">
        <f ca="1">IFERROR(__xludf.DUMMYFUNCTION("IMPORTRANGE(""https://docs.google.com/spreadsheets/d/1Nn1EvsFPtXldgpgVb3Rcng2K2cls68LFQsBh2FyW0Bg/edit?usp=sharing"",""สระบุรี!I569"")"),0)</f>
        <v>0</v>
      </c>
      <c r="AD70" s="186">
        <f ca="1">IFERROR(__xludf.DUMMYFUNCTION("IMPORTRANGE(""https://docs.google.com/spreadsheets/d/1Nn1EvsFPtXldgpgVb3Rcng2K2cls68LFQsBh2FyW0Bg/edit?usp=sharing"",""สระบุรี!J568"")"),0)</f>
        <v>0</v>
      </c>
      <c r="AE70" s="186">
        <f t="shared" ca="1" si="34"/>
        <v>0</v>
      </c>
      <c r="AF70" s="181">
        <f ca="1">IFERROR(__xludf.DUMMYFUNCTION("IMPORTRANGE(""https://docs.google.com/spreadsheets/d/1Nn1EvsFPtXldgpgVb3Rcng2K2cls68LFQsBh2FyW0Bg/edit?usp=sharing"",""สระบุรี!J569"")"),0)</f>
        <v>0</v>
      </c>
      <c r="AG70" s="186">
        <f t="shared" ca="1" si="10"/>
        <v>0</v>
      </c>
      <c r="AH70" s="186">
        <f ca="1">IFERROR(__xludf.DUMMYFUNCTION("IMPORTRANGE(""https://docs.google.com/spreadsheets/d/1Nn1EvsFPtXldgpgVb3Rcng2K2cls68LFQsBh2FyW0Bg/edit?usp=sharing"",""สระบุรี!J570"")"),0)</f>
        <v>0</v>
      </c>
      <c r="AI70" s="261">
        <f ca="1">IFERROR(__xludf.DUMMYFUNCTION("IMPORTRANGE(""https://docs.google.com/spreadsheets/d/1Nn1EvsFPtXldgpgVb3Rcng2K2cls68LFQsBh2FyW0Bg/edit?usp=sharing"",""สระบุรี!J571"")"),0)</f>
        <v>0</v>
      </c>
      <c r="AJ70" s="186">
        <f ca="1">IFERROR(__xludf.DUMMYFUNCTION("IMPORTRANGE(""https://docs.google.com/spreadsheets/d/1Nn1EvsFPtXldgpgVb3Rcng2K2cls68LFQsBh2FyW0Bg/edit?usp=sharing"",""สระบุรี!J572"")"),0)</f>
        <v>0</v>
      </c>
      <c r="AK70" s="261">
        <f ca="1">IFERROR(__xludf.DUMMYFUNCTION("IMPORTRANGE(""https://docs.google.com/spreadsheets/d/1Nn1EvsFPtXldgpgVb3Rcng2K2cls68LFQsBh2FyW0Bg/edit?usp=sharing"",""สระบุรี!J573"")"),0)</f>
        <v>0</v>
      </c>
      <c r="AL70" s="186">
        <f ca="1">IFERROR(__xludf.DUMMYFUNCTION("IMPORTRANGE(""https://docs.google.com/spreadsheets/d/1Nn1EvsFPtXldgpgVb3Rcng2K2cls68LFQsBh2FyW0Bg/edit?usp=sharing"",""สระบุรี!J574"")"),0)</f>
        <v>0</v>
      </c>
      <c r="AM70" s="261">
        <f ca="1">IFERROR(__xludf.DUMMYFUNCTION("IMPORTRANGE(""https://docs.google.com/spreadsheets/d/1Nn1EvsFPtXldgpgVb3Rcng2K2cls68LFQsBh2FyW0Bg/edit?usp=sharing"",""สระบุรี!J575"")"),0)</f>
        <v>0</v>
      </c>
      <c r="AN70" s="181">
        <f ca="1">IFERROR(__xludf.DUMMYFUNCTION("IMPORTRANGE(""https://docs.google.com/spreadsheets/d/1Nn1EvsFPtXldgpgVb3Rcng2K2cls68LFQsBh2FyW0Bg/edit?usp=sharing"",""สระบุรี!I576"")"),0)</f>
        <v>0</v>
      </c>
      <c r="AO70" s="181">
        <f ca="1">IFERROR(__xludf.DUMMYFUNCTION("IMPORTRANGE(""https://docs.google.com/spreadsheets/d/1Nn1EvsFPtXldgpgVb3Rcng2K2cls68LFQsBh2FyW0Bg/edit?usp=sharing"",""สระบุรี!I577"")"),0)</f>
        <v>0</v>
      </c>
      <c r="AP70" s="186">
        <f ca="1">IFERROR(__xludf.DUMMYFUNCTION("IMPORTRANGE(""https://docs.google.com/spreadsheets/d/1Nn1EvsFPtXldgpgVb3Rcng2K2cls68LFQsBh2FyW0Bg/edit?usp=sharing"",""สระบุรี!J576"")"),0)</f>
        <v>0</v>
      </c>
      <c r="AQ70" s="186">
        <f t="shared" ca="1" si="35"/>
        <v>0</v>
      </c>
      <c r="AR70" s="181">
        <f ca="1">IFERROR(__xludf.DUMMYFUNCTION("IMPORTRANGE(""https://docs.google.com/spreadsheets/d/1Nn1EvsFPtXldgpgVb3Rcng2K2cls68LFQsBh2FyW0Bg/edit?usp=sharing"",""สระบุรี!J577"")"),0)</f>
        <v>0</v>
      </c>
      <c r="AS70" s="186">
        <f t="shared" ca="1" si="13"/>
        <v>0</v>
      </c>
      <c r="AT70" s="186">
        <f ca="1">IFERROR(__xludf.DUMMYFUNCTION("IMPORTRANGE(""https://docs.google.com/spreadsheets/d/1Nn1EvsFPtXldgpgVb3Rcng2K2cls68LFQsBh2FyW0Bg/edit?usp=sharing"",""สระบุรี!J578"")"),0)</f>
        <v>0</v>
      </c>
      <c r="AU70" s="261">
        <f ca="1">IFERROR(__xludf.DUMMYFUNCTION("IMPORTRANGE(""https://docs.google.com/spreadsheets/d/1Nn1EvsFPtXldgpgVb3Rcng2K2cls68LFQsBh2FyW0Bg/edit?usp=sharing"",""สระบุรี!J579"")"),0)</f>
        <v>0</v>
      </c>
      <c r="AV70" s="186">
        <f ca="1">IFERROR(__xludf.DUMMYFUNCTION("IMPORTRANGE(""https://docs.google.com/spreadsheets/d/1Nn1EvsFPtXldgpgVb3Rcng2K2cls68LFQsBh2FyW0Bg/edit?usp=sharing"",""สระบุรี!J580"")"),0)</f>
        <v>0</v>
      </c>
      <c r="AW70" s="261">
        <f ca="1">IFERROR(__xludf.DUMMYFUNCTION("IMPORTRANGE(""https://docs.google.com/spreadsheets/d/1Nn1EvsFPtXldgpgVb3Rcng2K2cls68LFQsBh2FyW0Bg/edit?usp=sharing"",""สระบุรี!J581"")"),0)</f>
        <v>0</v>
      </c>
      <c r="AX70" s="186">
        <f ca="1">IFERROR(__xludf.DUMMYFUNCTION("IMPORTRANGE(""https://docs.google.com/spreadsheets/d/1Nn1EvsFPtXldgpgVb3Rcng2K2cls68LFQsBh2FyW0Bg/edit?usp=sharing"",""สระบุรี!J582"")"),0)</f>
        <v>0</v>
      </c>
      <c r="AY70" s="261">
        <f ca="1">IFERROR(__xludf.DUMMYFUNCTION("IMPORTRANGE(""https://docs.google.com/spreadsheets/d/1Nn1EvsFPtXldgpgVb3Rcng2K2cls68LFQsBh2FyW0Bg/edit?usp=sharing"",""สระบุรี!J583"")"),0)</f>
        <v>0</v>
      </c>
      <c r="AZ70" s="262">
        <f ca="1">IFERROR(__xludf.DUMMYFUNCTION("IMPORTRANGE(""https://docs.google.com/spreadsheets/d/1Nn1EvsFPtXldgpgVb3Rcng2K2cls68LFQsBh2FyW0Bg/edit?usp=sharing"",""สระบุรี!J584"")"),0)</f>
        <v>0</v>
      </c>
      <c r="BA70" s="261">
        <f ca="1">IFERROR(__xludf.DUMMYFUNCTION("IMPORTRANGE(""https://docs.google.com/spreadsheets/d/1Nn1EvsFPtXldgpgVb3Rcng2K2cls68LFQsBh2FyW0Bg/edit?usp=sharing"",""สระบุรี!J585"")"),0)</f>
        <v>0</v>
      </c>
      <c r="BB70" s="262">
        <f ca="1">IFERROR(__xludf.DUMMYFUNCTION("IMPORTRANGE(""https://docs.google.com/spreadsheets/d/1Nn1EvsFPtXldgpgVb3Rcng2K2cls68LFQsBh2FyW0Bg/edit?usp=sharing"",""สระบุรี!J586"")"),0)</f>
        <v>0</v>
      </c>
      <c r="BC70" s="261">
        <f ca="1">IFERROR(__xludf.DUMMYFUNCTION("IMPORTRANGE(""https://docs.google.com/spreadsheets/d/1Nn1EvsFPtXldgpgVb3Rcng2K2cls68LFQsBh2FyW0Bg/edit?usp=sharing"",""สระบุรี!J587"")"),0)</f>
        <v>0</v>
      </c>
      <c r="BD70" s="186">
        <f ca="1">IFERROR(__xludf.DUMMYFUNCTION("IMPORTRANGE(""https://docs.google.com/spreadsheets/d/1Nn1EvsFPtXldgpgVb3Rcng2K2cls68LFQsBh2FyW0Bg/edit?usp=sharing"",""สระบุรี!J588"")"),0)</f>
        <v>0</v>
      </c>
      <c r="BE70" s="261">
        <f ca="1">IFERROR(__xludf.DUMMYFUNCTION("IMPORTRANGE(""https://docs.google.com/spreadsheets/d/1Nn1EvsFPtXldgpgVb3Rcng2K2cls68LFQsBh2FyW0Bg/edit?usp=sharing"",""สระบุรี!J589"")"),0)</f>
        <v>0</v>
      </c>
      <c r="BF70" s="186">
        <f ca="1">IFERROR(__xludf.DUMMYFUNCTION("IMPORTRANGE(""https://docs.google.com/spreadsheets/d/1Nn1EvsFPtXldgpgVb3Rcng2K2cls68LFQsBh2FyW0Bg/edit?usp=sharing"",""สระบุรี!J590"")"),0)</f>
        <v>0</v>
      </c>
      <c r="BG70" s="261">
        <f ca="1">IFERROR(__xludf.DUMMYFUNCTION("IMPORTRANGE(""https://docs.google.com/spreadsheets/d/1Nn1EvsFPtXldgpgVb3Rcng2K2cls68LFQsBh2FyW0Bg/edit?usp=sharing"",""สระบุรี!J591"")"),0)</f>
        <v>0</v>
      </c>
      <c r="BH70" s="181">
        <f ca="1">IFERROR(__xludf.DUMMYFUNCTION("IMPORTRANGE(""https://docs.google.com/spreadsheets/d/1Nn1EvsFPtXldgpgVb3Rcng2K2cls68LFQsBh2FyW0Bg/edit?usp=sharing"",""สระบุรี!I593"")"),641.15)</f>
        <v>641.15</v>
      </c>
      <c r="BI70" s="181">
        <f ca="1">IFERROR(__xludf.DUMMYFUNCTION("IMPORTRANGE(""https://docs.google.com/spreadsheets/d/1Nn1EvsFPtXldgpgVb3Rcng2K2cls68LFQsBh2FyW0Bg/edit?usp=sharing"",""สระบุรี!I594"")"),121)</f>
        <v>121</v>
      </c>
      <c r="BJ70" s="186">
        <f ca="1">IFERROR(__xludf.DUMMYFUNCTION("IMPORTRANGE(""https://docs.google.com/spreadsheets/d/1Nn1EvsFPtXldgpgVb3Rcng2K2cls68LFQsBh2FyW0Bg/edit?usp=sharing"",""สระบุรี!J593"")"),0)</f>
        <v>0</v>
      </c>
      <c r="BK70" s="186">
        <f t="shared" ca="1" si="36"/>
        <v>0</v>
      </c>
      <c r="BL70" s="181">
        <f ca="1">IFERROR(__xludf.DUMMYFUNCTION("IMPORTRANGE(""https://docs.google.com/spreadsheets/d/1Nn1EvsFPtXldgpgVb3Rcng2K2cls68LFQsBh2FyW0Bg/edit?usp=sharing"",""สระบุรี!J594"")"),0)</f>
        <v>0</v>
      </c>
      <c r="BM70" s="186">
        <f t="shared" ca="1" si="16"/>
        <v>0</v>
      </c>
      <c r="BN70" s="186">
        <f ca="1">IFERROR(__xludf.DUMMYFUNCTION("IMPORTRANGE(""https://docs.google.com/spreadsheets/d/1Nn1EvsFPtXldgpgVb3Rcng2K2cls68LFQsBh2FyW0Bg/edit?usp=sharing"",""สระบุรี!J595"")"),0)</f>
        <v>0</v>
      </c>
      <c r="BO70" s="261">
        <f ca="1">IFERROR(__xludf.DUMMYFUNCTION("IMPORTRANGE(""https://docs.google.com/spreadsheets/d/1Nn1EvsFPtXldgpgVb3Rcng2K2cls68LFQsBh2FyW0Bg/edit?usp=sharing"",""สระบุรี!J596"")"),0)</f>
        <v>0</v>
      </c>
      <c r="BP70" s="186">
        <f ca="1">IFERROR(__xludf.DUMMYFUNCTION("IMPORTRANGE(""https://docs.google.com/spreadsheets/d/1Nn1EvsFPtXldgpgVb3Rcng2K2cls68LFQsBh2FyW0Bg/edit?usp=sharing"",""สระบุรี!J597"")"),0)</f>
        <v>0</v>
      </c>
      <c r="BQ70" s="261">
        <f ca="1">IFERROR(__xludf.DUMMYFUNCTION("IMPORTRANGE(""https://docs.google.com/spreadsheets/d/1Nn1EvsFPtXldgpgVb3Rcng2K2cls68LFQsBh2FyW0Bg/edit?usp=sharing"",""สระบุรี!J598"")"),0)</f>
        <v>0</v>
      </c>
      <c r="BR70" s="186">
        <f ca="1">IFERROR(__xludf.DUMMYFUNCTION("IMPORTRANGE(""https://docs.google.com/spreadsheets/d/1Nn1EvsFPtXldgpgVb3Rcng2K2cls68LFQsBh2FyW0Bg/edit?usp=sharing"",""สระบุรี!J599"")"),0)</f>
        <v>0</v>
      </c>
      <c r="BS70" s="261">
        <f ca="1">IFERROR(__xludf.DUMMYFUNCTION("IMPORTRANGE(""https://docs.google.com/spreadsheets/d/1Nn1EvsFPtXldgpgVb3Rcng2K2cls68LFQsBh2FyW0Bg/edit?usp=sharing"",""สระบุรี!J600"")"),0)</f>
        <v>0</v>
      </c>
      <c r="BT70" s="262">
        <f ca="1">IFERROR(__xludf.DUMMYFUNCTION("IMPORTRANGE(""https://docs.google.com/spreadsheets/d/1Nn1EvsFPtXldgpgVb3Rcng2K2cls68LFQsBh2FyW0Bg/edit?usp=sharing"",""สระบุรี!J601"")"),0)</f>
        <v>0</v>
      </c>
      <c r="BU70" s="261">
        <f ca="1">IFERROR(__xludf.DUMMYFUNCTION("IMPORTRANGE(""https://docs.google.com/spreadsheets/d/1Nn1EvsFPtXldgpgVb3Rcng2K2cls68LFQsBh2FyW0Bg/edit?usp=sharing"",""สระบุรี!J602"")"),0)</f>
        <v>0</v>
      </c>
      <c r="BV70" s="186">
        <f ca="1">IFERROR(__xludf.DUMMYFUNCTION("IMPORTRANGE(""https://docs.google.com/spreadsheets/d/1Nn1EvsFPtXldgpgVb3Rcng2K2cls68LFQsBh2FyW0Bg/edit?usp=sharing"",""สระบุรี!J603"")"),0)</f>
        <v>0</v>
      </c>
      <c r="BW70" s="261">
        <f ca="1">IFERROR(__xludf.DUMMYFUNCTION("IMPORTRANGE(""https://docs.google.com/spreadsheets/d/1Nn1EvsFPtXldgpgVb3Rcng2K2cls68LFQsBh2FyW0Bg/edit?usp=sharing"",""สระบุรี!J604"")"),0)</f>
        <v>0</v>
      </c>
      <c r="BX70" s="186">
        <f ca="1">IFERROR(__xludf.DUMMYFUNCTION("IMPORTRANGE(""https://docs.google.com/spreadsheets/d/1Nn1EvsFPtXldgpgVb3Rcng2K2cls68LFQsBh2FyW0Bg/edit?usp=sharing"",""สระบุรี!J605"")"),0)</f>
        <v>0</v>
      </c>
      <c r="BY70" s="261">
        <f ca="1">IFERROR(__xludf.DUMMYFUNCTION("IMPORTRANGE(""https://docs.google.com/spreadsheets/d/1Nn1EvsFPtXldgpgVb3Rcng2K2cls68LFQsBh2FyW0Bg/edit?usp=sharing"",""สระบุรี!J606"")"),0)</f>
        <v>0</v>
      </c>
      <c r="BZ70" s="186">
        <f ca="1">IFERROR(__xludf.DUMMYFUNCTION("IMPORTRANGE(""https://docs.google.com/spreadsheets/d/1Nn1EvsFPtXldgpgVb3Rcng2K2cls68LFQsBh2FyW0Bg/edit?usp=sharing"",""สระบุรี!J607"")"),0)</f>
        <v>0</v>
      </c>
      <c r="CA70" s="261">
        <f ca="1">IFERROR(__xludf.DUMMYFUNCTION("IMPORTRANGE(""https://docs.google.com/spreadsheets/d/1Nn1EvsFPtXldgpgVb3Rcng2K2cls68LFQsBh2FyW0Bg/edit?usp=sharing"",""สระบุรี!J608"")"),0)</f>
        <v>0</v>
      </c>
      <c r="CB70" s="186">
        <f ca="1">IFERROR(__xludf.DUMMYFUNCTION("IMPORTRANGE(""https://docs.google.com/spreadsheets/d/1Nn1EvsFPtXldgpgVb3Rcng2K2cls68LFQsBh2FyW0Bg/edit?usp=sharing"",""สระบุรี!J609"")"),0)</f>
        <v>0</v>
      </c>
      <c r="CC70" s="261">
        <f ca="1">IFERROR(__xludf.DUMMYFUNCTION("IMPORTRANGE(""https://docs.google.com/spreadsheets/d/1Nn1EvsFPtXldgpgVb3Rcng2K2cls68LFQsBh2FyW0Bg/edit?usp=sharing"",""สระบุรี!J610"")"),0)</f>
        <v>0</v>
      </c>
      <c r="CD70" s="261">
        <f ca="1">IFERROR(__xludf.DUMMYFUNCTION("IMPORTRANGE(""https://docs.google.com/spreadsheets/d/1Nn1EvsFPtXldgpgVb3Rcng2K2cls68LFQsBh2FyW0Bg/edit?usp=sharing"",""สระบุรี!I612"")"),0)</f>
        <v>0</v>
      </c>
      <c r="CE70" s="261">
        <f ca="1">IFERROR(__xludf.DUMMYFUNCTION("IMPORTRANGE(""https://docs.google.com/spreadsheets/d/1Nn1EvsFPtXldgpgVb3Rcng2K2cls68LFQsBh2FyW0Bg/edit?usp=sharing"",""สระบุรี!I594"")"),121)</f>
        <v>121</v>
      </c>
      <c r="CF70" s="262">
        <f ca="1">IFERROR(__xludf.DUMMYFUNCTION("IMPORTRANGE(""https://docs.google.com/spreadsheets/d/1Nn1EvsFPtXldgpgVb3Rcng2K2cls68LFQsBh2FyW0Bg/edit?usp=sharing"",""สระบุรี!J612"")"),0)</f>
        <v>0</v>
      </c>
      <c r="CG70" s="262">
        <f t="shared" ca="1" si="37"/>
        <v>0</v>
      </c>
      <c r="CH70" s="261">
        <f ca="1">IFERROR(__xludf.DUMMYFUNCTION("IMPORTRANGE(""https://docs.google.com/spreadsheets/d/1Nn1EvsFPtXldgpgVb3Rcng2K2cls68LFQsBh2FyW0Bg/edit?usp=sharing"",""สระบุรี!J613"")"),0)</f>
        <v>0</v>
      </c>
      <c r="CI70" s="262">
        <f t="shared" ca="1" si="19"/>
        <v>0</v>
      </c>
      <c r="CJ70" s="186">
        <f ca="1">IFERROR(__xludf.DUMMYFUNCTION("IMPORTRANGE(""https://docs.google.com/spreadsheets/d/1Nn1EvsFPtXldgpgVb3Rcng2K2cls68LFQsBh2FyW0Bg/edit?usp=sharing"",""สระบุรี!J614"")"),0)</f>
        <v>0</v>
      </c>
      <c r="CK70" s="261">
        <f ca="1">IFERROR(__xludf.DUMMYFUNCTION("IMPORTRANGE(""https://docs.google.com/spreadsheets/d/1Nn1EvsFPtXldgpgVb3Rcng2K2cls68LFQsBh2FyW0Bg/edit?usp=sharing"",""สระบุรี!J615"")"),0)</f>
        <v>0</v>
      </c>
      <c r="CL70" s="186">
        <f ca="1">IFERROR(__xludf.DUMMYFUNCTION("IMPORTRANGE(""https://docs.google.com/spreadsheets/d/1Nn1EvsFPtXldgpgVb3Rcng2K2cls68LFQsBh2FyW0Bg/edit?usp=sharing"",""สระบุรี!J616"")"),0)</f>
        <v>0</v>
      </c>
      <c r="CM70" s="261">
        <f ca="1">IFERROR(__xludf.DUMMYFUNCTION("IMPORTRANGE(""https://docs.google.com/spreadsheets/d/1Nn1EvsFPtXldgpgVb3Rcng2K2cls68LFQsBh2FyW0Bg/edit?usp=sharing"",""สระบุรี!J617"")"),0)</f>
        <v>0</v>
      </c>
      <c r="CN70" s="261">
        <f ca="1">IFERROR(__xludf.DUMMYFUNCTION("IMPORTRANGE(""https://docs.google.com/spreadsheets/d/1Nn1EvsFPtXldgpgVb3Rcng2K2cls68LFQsBh2FyW0Bg/edit?usp=sharing"",""สระบุรี!I620"")"),0)</f>
        <v>0</v>
      </c>
      <c r="CO70" s="261">
        <f ca="1">IFERROR(__xludf.DUMMYFUNCTION("IMPORTRANGE(""https://docs.google.com/spreadsheets/d/1Nn1EvsFPtXldgpgVb3Rcng2K2cls68LFQsBh2FyW0Bg/edit?usp=sharing"",""สระบุรี!I621"")"),0)</f>
        <v>0</v>
      </c>
      <c r="CP70" s="262">
        <f ca="1">IFERROR(__xludf.DUMMYFUNCTION("IMPORTRANGE(""https://docs.google.com/spreadsheets/d/1Nn1EvsFPtXldgpgVb3Rcng2K2cls68LFQsBh2FyW0Bg/edit?usp=sharing"",""สระบุรี!J620"")"),0)</f>
        <v>0</v>
      </c>
      <c r="CQ70" s="262">
        <f t="shared" ca="1" si="38"/>
        <v>0</v>
      </c>
      <c r="CR70" s="261">
        <f ca="1">IFERROR(__xludf.DUMMYFUNCTION("IMPORTRANGE(""https://docs.google.com/spreadsheets/d/1Nn1EvsFPtXldgpgVb3Rcng2K2cls68LFQsBh2FyW0Bg/edit?usp=sharing"",""สระบุรี!J621"")"),0)</f>
        <v>0</v>
      </c>
      <c r="CS70" s="262">
        <f t="shared" ca="1" si="22"/>
        <v>0</v>
      </c>
      <c r="CT70" s="186">
        <f ca="1">IFERROR(__xludf.DUMMYFUNCTION("IMPORTRANGE(""https://docs.google.com/spreadsheets/d/1Nn1EvsFPtXldgpgVb3Rcng2K2cls68LFQsBh2FyW0Bg/edit?usp=sharing"",""สระบุรี!J622"")"),0)</f>
        <v>0</v>
      </c>
      <c r="CU70" s="261">
        <f ca="1">IFERROR(__xludf.DUMMYFUNCTION("IMPORTRANGE(""https://docs.google.com/spreadsheets/d/1Nn1EvsFPtXldgpgVb3Rcng2K2cls68LFQsBh2FyW0Bg/edit?usp=sharing"",""สระบุรี!J623"")"),0)</f>
        <v>0</v>
      </c>
      <c r="CV70" s="186">
        <f ca="1">IFERROR(__xludf.DUMMYFUNCTION("IMPORTRANGE(""https://docs.google.com/spreadsheets/d/1Nn1EvsFPtXldgpgVb3Rcng2K2cls68LFQsBh2FyW0Bg/edit?usp=sharing"",""สระบุรี!J624"")"),0)</f>
        <v>0</v>
      </c>
      <c r="CW70" s="261">
        <f ca="1">IFERROR(__xludf.DUMMYFUNCTION("IMPORTRANGE(""https://docs.google.com/spreadsheets/d/1Nn1EvsFPtXldgpgVb3Rcng2K2cls68LFQsBh2FyW0Bg/edit?usp=sharing"",""สระบุรี!J625"")"),0)</f>
        <v>0</v>
      </c>
      <c r="CX70" s="186">
        <f ca="1">IFERROR(__xludf.DUMMYFUNCTION("IMPORTRANGE(""https://docs.google.com/spreadsheets/d/1Nn1EvsFPtXldgpgVb3Rcng2K2cls68LFQsBh2FyW0Bg/edit?usp=sharing"",""สระบุรี!J626"")"),0)</f>
        <v>0</v>
      </c>
      <c r="CY70" s="261">
        <f ca="1">IFERROR(__xludf.DUMMYFUNCTION("IMPORTRANGE(""https://docs.google.com/spreadsheets/d/1Nn1EvsFPtXldgpgVb3Rcng2K2cls68LFQsBh2FyW0Bg/edit?usp=sharing"",""สระบุรี!J627"")"),0)</f>
        <v>0</v>
      </c>
    </row>
    <row r="71" spans="1:103" ht="21" customHeight="1" x14ac:dyDescent="0.3">
      <c r="A71" s="178">
        <v>19</v>
      </c>
      <c r="B71" s="179" t="s">
        <v>88</v>
      </c>
      <c r="C71" s="180">
        <f t="shared" ca="1" si="71"/>
        <v>75300</v>
      </c>
      <c r="D71" s="181">
        <f ca="1">IFERROR(__xludf.DUMMYFUNCTION("IMPORTRANGE(""https://docs.google.com/spreadsheets/d/149xufxukrnEciK3WPbNpHwUK8BKEJxp3UcBG3Al6dA4/edit?usp=sharing"",""สิงห์บุรี!L549"")"),75300)</f>
        <v>75300</v>
      </c>
      <c r="E71" s="187">
        <f ca="1">IFERROR(__xludf.DUMMYFUNCTION("IMPORTRANGE(""https://docs.google.com/spreadsheets/d/149xufxukrnEciK3WPbNpHwUK8BKEJxp3UcBG3Al6dA4/edit?usp=sharing"",""สิงห์บุรี!L557"")"),0)</f>
        <v>0</v>
      </c>
      <c r="F71" s="182">
        <f t="shared" ca="1" si="1"/>
        <v>9200</v>
      </c>
      <c r="G71" s="183">
        <f t="shared" ca="1" si="2"/>
        <v>12.217795484727755</v>
      </c>
      <c r="H71" s="184">
        <f t="shared" ca="1" si="72"/>
        <v>9200</v>
      </c>
      <c r="I71" s="187">
        <f ca="1">IFERROR(__xludf.DUMMYFUNCTION("IMPORTRANGE(""https://docs.google.com/spreadsheets/d/149xufxukrnEciK3WPbNpHwUK8BKEJxp3UcBG3Al6dA4/edit?usp=sharing"",""สิงห์บุรี!N550"")"),0)</f>
        <v>0</v>
      </c>
      <c r="J71" s="187">
        <f ca="1">IFERROR(__xludf.DUMMYFUNCTION("IMPORTRANGE(""https://docs.google.com/spreadsheets/d/149xufxukrnEciK3WPbNpHwUK8BKEJxp3UcBG3Al6dA4/edit?usp=sharing"",""สิงห์บุรี!N551"")"),0)</f>
        <v>0</v>
      </c>
      <c r="K71" s="187">
        <f ca="1">IFERROR(__xludf.DUMMYFUNCTION("IMPORTRANGE(""https://docs.google.com/spreadsheets/d/149xufxukrnEciK3WPbNpHwUK8BKEJxp3UcBG3Al6dA4/edit?usp=sharing"",""สิงห์บุรี!N552"")"),0)</f>
        <v>0</v>
      </c>
      <c r="L71" s="187">
        <f ca="1">IFERROR(__xludf.DUMMYFUNCTION("IMPORTRANGE(""https://docs.google.com/spreadsheets/d/149xufxukrnEciK3WPbNpHwUK8BKEJxp3UcBG3Al6dA4/edit?usp=sharing"",""สิงห์บุรี!N553"")"),9200)</f>
        <v>9200</v>
      </c>
      <c r="M71" s="187">
        <f ca="1">IFERROR(__xludf.DUMMYFUNCTION("IMPORTRANGE(""https://docs.google.com/spreadsheets/d/149xufxukrnEciK3WPbNpHwUK8BKEJxp3UcBG3Al6dA4/edit?usp=sharing"",""สิงห์บุรี!N554"")"),0)</f>
        <v>0</v>
      </c>
      <c r="N71" s="185">
        <f ca="1">IFERROR(__xludf.DUMMYFUNCTION("IMPORTRANGE(""https://docs.google.com/spreadsheets/d/149xufxukrnEciK3WPbNpHwUK8BKEJxp3UcBG3Al6dA4/edit?usp=sharing"",""สิงห์บุรี!N557"")"),0)</f>
        <v>0</v>
      </c>
      <c r="O71" s="185">
        <f t="shared" ca="1" si="41"/>
        <v>0</v>
      </c>
      <c r="P71" s="181">
        <f ca="1">IFERROR(__xludf.DUMMYFUNCTION("IMPORTRANGE(""https://docs.google.com/spreadsheets/d/149xufxukrnEciK3WPbNpHwUK8BKEJxp3UcBG3Al6dA4/edit?usp=sharing"",""สิงห์บุรี!I560"")"),0)</f>
        <v>0</v>
      </c>
      <c r="Q71" s="181">
        <f ca="1">IFERROR(__xludf.DUMMYFUNCTION("IMPORTRANGE(""https://docs.google.com/spreadsheets/d/149xufxukrnEciK3WPbNpHwUK8BKEJxp3UcBG3Al6dA4/edit?usp=sharing"",""สิงห์บุรี!I561"")"),0)</f>
        <v>0</v>
      </c>
      <c r="R71" s="186">
        <f ca="1">IFERROR(__xludf.DUMMYFUNCTION("IMPORTRANGE(""https://docs.google.com/spreadsheets/d/149xufxukrnEciK3WPbNpHwUK8BKEJxp3UcBG3Al6dA4/edit?usp=sharing"",""สิงห์บุรี!J560"")"),0)</f>
        <v>0</v>
      </c>
      <c r="S71" s="186">
        <f t="shared" ca="1" si="33"/>
        <v>0</v>
      </c>
      <c r="T71" s="181">
        <f ca="1">IFERROR(__xludf.DUMMYFUNCTION("IMPORTRANGE(""https://docs.google.com/spreadsheets/d/149xufxukrnEciK3WPbNpHwUK8BKEJxp3UcBG3Al6dA4/edit?usp=sharing"",""สิงห์บุรี!J561"")"),0)</f>
        <v>0</v>
      </c>
      <c r="U71" s="186">
        <f t="shared" ca="1" si="7"/>
        <v>0</v>
      </c>
      <c r="V71" s="186">
        <f ca="1">IFERROR(__xludf.DUMMYFUNCTION("IMPORTRANGE(""https://docs.google.com/spreadsheets/d/149xufxukrnEciK3WPbNpHwUK8BKEJxp3UcBG3Al6dA4/edit?usp=sharing"",""สิงห์บุรี!J562"")"),0)</f>
        <v>0</v>
      </c>
      <c r="W71" s="261">
        <f ca="1">IFERROR(__xludf.DUMMYFUNCTION("IMPORTRANGE(""https://docs.google.com/spreadsheets/d/149xufxukrnEciK3WPbNpHwUK8BKEJxp3UcBG3Al6dA4/edit?usp=sharing"",""สิงห์บุรี!J563"")"),0)</f>
        <v>0</v>
      </c>
      <c r="X71" s="186">
        <f ca="1">IFERROR(__xludf.DUMMYFUNCTION("IMPORTRANGE(""https://docs.google.com/spreadsheets/d/149xufxukrnEciK3WPbNpHwUK8BKEJxp3UcBG3Al6dA4/edit?usp=sharing"",""สิงห์บุรี!J564"")"),0)</f>
        <v>0</v>
      </c>
      <c r="Y71" s="261">
        <f ca="1">IFERROR(__xludf.DUMMYFUNCTION("IMPORTRANGE(""https://docs.google.com/spreadsheets/d/149xufxukrnEciK3WPbNpHwUK8BKEJxp3UcBG3Al6dA4/edit?usp=sharing"",""สิงห์บุรี!J565"")"),0)</f>
        <v>0</v>
      </c>
      <c r="Z71" s="186">
        <f ca="1">IFERROR(__xludf.DUMMYFUNCTION("IMPORTRANGE(""https://docs.google.com/spreadsheets/d/149xufxukrnEciK3WPbNpHwUK8BKEJxp3UcBG3Al6dA4/edit?usp=sharing"",""สิงห์บุรี!J566"")"),0)</f>
        <v>0</v>
      </c>
      <c r="AA71" s="261">
        <f ca="1">IFERROR(__xludf.DUMMYFUNCTION("IMPORTRANGE(""https://docs.google.com/spreadsheets/d/149xufxukrnEciK3WPbNpHwUK8BKEJxp3UcBG3Al6dA4/edit?usp=sharing"",""สิงห์บุรี!J567"")"),0)</f>
        <v>0</v>
      </c>
      <c r="AB71" s="181">
        <f ca="1">IFERROR(__xludf.DUMMYFUNCTION("IMPORTRANGE(""https://docs.google.com/spreadsheets/d/149xufxukrnEciK3WPbNpHwUK8BKEJxp3UcBG3Al6dA4/edit?usp=sharing"",""สิงห์บุรี!I568"")"),0)</f>
        <v>0</v>
      </c>
      <c r="AC71" s="181">
        <f ca="1">IFERROR(__xludf.DUMMYFUNCTION("IMPORTRANGE(""https://docs.google.com/spreadsheets/d/149xufxukrnEciK3WPbNpHwUK8BKEJxp3UcBG3Al6dA4/edit?usp=sharing"",""สิงห์บุรี!I569"")"),0)</f>
        <v>0</v>
      </c>
      <c r="AD71" s="186">
        <f ca="1">IFERROR(__xludf.DUMMYFUNCTION("IMPORTRANGE(""https://docs.google.com/spreadsheets/d/149xufxukrnEciK3WPbNpHwUK8BKEJxp3UcBG3Al6dA4/edit?usp=sharing"",""สิงห์บุรี!J568"")"),0)</f>
        <v>0</v>
      </c>
      <c r="AE71" s="186">
        <f t="shared" ca="1" si="34"/>
        <v>0</v>
      </c>
      <c r="AF71" s="181">
        <f ca="1">IFERROR(__xludf.DUMMYFUNCTION("IMPORTRANGE(""https://docs.google.com/spreadsheets/d/149xufxukrnEciK3WPbNpHwUK8BKEJxp3UcBG3Al6dA4/edit?usp=sharing"",""สิงห์บุรี!J569"")"),0)</f>
        <v>0</v>
      </c>
      <c r="AG71" s="186">
        <f t="shared" ca="1" si="10"/>
        <v>0</v>
      </c>
      <c r="AH71" s="186">
        <f ca="1">IFERROR(__xludf.DUMMYFUNCTION("IMPORTRANGE(""https://docs.google.com/spreadsheets/d/149xufxukrnEciK3WPbNpHwUK8BKEJxp3UcBG3Al6dA4/edit?usp=sharing"",""สิงห์บุรี!J570"")"),0)</f>
        <v>0</v>
      </c>
      <c r="AI71" s="261">
        <f ca="1">IFERROR(__xludf.DUMMYFUNCTION("IMPORTRANGE(""https://docs.google.com/spreadsheets/d/149xufxukrnEciK3WPbNpHwUK8BKEJxp3UcBG3Al6dA4/edit?usp=sharing"",""สิงห์บุรี!J571"")"),0)</f>
        <v>0</v>
      </c>
      <c r="AJ71" s="186">
        <f ca="1">IFERROR(__xludf.DUMMYFUNCTION("IMPORTRANGE(""https://docs.google.com/spreadsheets/d/149xufxukrnEciK3WPbNpHwUK8BKEJxp3UcBG3Al6dA4/edit?usp=sharing"",""สิงห์บุรี!J572"")"),0)</f>
        <v>0</v>
      </c>
      <c r="AK71" s="261">
        <f ca="1">IFERROR(__xludf.DUMMYFUNCTION("IMPORTRANGE(""https://docs.google.com/spreadsheets/d/149xufxukrnEciK3WPbNpHwUK8BKEJxp3UcBG3Al6dA4/edit?usp=sharing"",""สิงห์บุรี!J573"")"),0)</f>
        <v>0</v>
      </c>
      <c r="AL71" s="186">
        <f ca="1">IFERROR(__xludf.DUMMYFUNCTION("IMPORTRANGE(""https://docs.google.com/spreadsheets/d/149xufxukrnEciK3WPbNpHwUK8BKEJxp3UcBG3Al6dA4/edit?usp=sharing"",""สิงห์บุรี!J574"")"),0)</f>
        <v>0</v>
      </c>
      <c r="AM71" s="261">
        <f ca="1">IFERROR(__xludf.DUMMYFUNCTION("IMPORTRANGE(""https://docs.google.com/spreadsheets/d/149xufxukrnEciK3WPbNpHwUK8BKEJxp3UcBG3Al6dA4/edit?usp=sharing"",""สิงห์บุรี!J575"")"),0)</f>
        <v>0</v>
      </c>
      <c r="AN71" s="181">
        <f ca="1">IFERROR(__xludf.DUMMYFUNCTION("IMPORTRANGE(""https://docs.google.com/spreadsheets/d/149xufxukrnEciK3WPbNpHwUK8BKEJxp3UcBG3Al6dA4/edit?usp=sharing"",""สิงห์บุรี!I576"")"),0)</f>
        <v>0</v>
      </c>
      <c r="AO71" s="181">
        <f ca="1">IFERROR(__xludf.DUMMYFUNCTION("IMPORTRANGE(""https://docs.google.com/spreadsheets/d/149xufxukrnEciK3WPbNpHwUK8BKEJxp3UcBG3Al6dA4/edit?usp=sharing"",""สิงห์บุรี!I577"")"),0)</f>
        <v>0</v>
      </c>
      <c r="AP71" s="186">
        <f ca="1">IFERROR(__xludf.DUMMYFUNCTION("IMPORTRANGE(""https://docs.google.com/spreadsheets/d/149xufxukrnEciK3WPbNpHwUK8BKEJxp3UcBG3Al6dA4/edit?usp=sharing"",""สิงห์บุรี!J576"")"),0)</f>
        <v>0</v>
      </c>
      <c r="AQ71" s="186">
        <f t="shared" ca="1" si="35"/>
        <v>0</v>
      </c>
      <c r="AR71" s="181">
        <f ca="1">IFERROR(__xludf.DUMMYFUNCTION("IMPORTRANGE(""https://docs.google.com/spreadsheets/d/149xufxukrnEciK3WPbNpHwUK8BKEJxp3UcBG3Al6dA4/edit?usp=sharing"",""สิงห์บุรี!J577"")"),0)</f>
        <v>0</v>
      </c>
      <c r="AS71" s="186">
        <f t="shared" ca="1" si="13"/>
        <v>0</v>
      </c>
      <c r="AT71" s="186">
        <f ca="1">IFERROR(__xludf.DUMMYFUNCTION("IMPORTRANGE(""https://docs.google.com/spreadsheets/d/149xufxukrnEciK3WPbNpHwUK8BKEJxp3UcBG3Al6dA4/edit?usp=sharing"",""สิงห์บุรี!J578"")"),0)</f>
        <v>0</v>
      </c>
      <c r="AU71" s="261">
        <f ca="1">IFERROR(__xludf.DUMMYFUNCTION("IMPORTRANGE(""https://docs.google.com/spreadsheets/d/149xufxukrnEciK3WPbNpHwUK8BKEJxp3UcBG3Al6dA4/edit?usp=sharing"",""สิงห์บุรี!J579"")"),0)</f>
        <v>0</v>
      </c>
      <c r="AV71" s="186">
        <f ca="1">IFERROR(__xludf.DUMMYFUNCTION("IMPORTRANGE(""https://docs.google.com/spreadsheets/d/149xufxukrnEciK3WPbNpHwUK8BKEJxp3UcBG3Al6dA4/edit?usp=sharing"",""สิงห์บุรี!J580"")"),0)</f>
        <v>0</v>
      </c>
      <c r="AW71" s="261">
        <f ca="1">IFERROR(__xludf.DUMMYFUNCTION("IMPORTRANGE(""https://docs.google.com/spreadsheets/d/149xufxukrnEciK3WPbNpHwUK8BKEJxp3UcBG3Al6dA4/edit?usp=sharing"",""สิงห์บุรี!J581"")"),0)</f>
        <v>0</v>
      </c>
      <c r="AX71" s="186">
        <f ca="1">IFERROR(__xludf.DUMMYFUNCTION("IMPORTRANGE(""https://docs.google.com/spreadsheets/d/149xufxukrnEciK3WPbNpHwUK8BKEJxp3UcBG3Al6dA4/edit?usp=sharing"",""สิงห์บุรี!J582"")"),0)</f>
        <v>0</v>
      </c>
      <c r="AY71" s="261">
        <f ca="1">IFERROR(__xludf.DUMMYFUNCTION("IMPORTRANGE(""https://docs.google.com/spreadsheets/d/149xufxukrnEciK3WPbNpHwUK8BKEJxp3UcBG3Al6dA4/edit?usp=sharing"",""สิงห์บุรี!J583"")"),0)</f>
        <v>0</v>
      </c>
      <c r="AZ71" s="262">
        <f ca="1">IFERROR(__xludf.DUMMYFUNCTION("IMPORTRANGE(""https://docs.google.com/spreadsheets/d/149xufxukrnEciK3WPbNpHwUK8BKEJxp3UcBG3Al6dA4/edit?usp=sharing"",""สิงห์บุรี!J584"")"),0)</f>
        <v>0</v>
      </c>
      <c r="BA71" s="261">
        <f ca="1">IFERROR(__xludf.DUMMYFUNCTION("IMPORTRANGE(""https://docs.google.com/spreadsheets/d/149xufxukrnEciK3WPbNpHwUK8BKEJxp3UcBG3Al6dA4/edit?usp=sharing"",""สิงห์บุรี!J585"")"),0)</f>
        <v>0</v>
      </c>
      <c r="BB71" s="262">
        <f ca="1">IFERROR(__xludf.DUMMYFUNCTION("IMPORTRANGE(""https://docs.google.com/spreadsheets/d/149xufxukrnEciK3WPbNpHwUK8BKEJxp3UcBG3Al6dA4/edit?usp=sharing"",""สิงห์บุรี!J586"")"),0)</f>
        <v>0</v>
      </c>
      <c r="BC71" s="261">
        <f ca="1">IFERROR(__xludf.DUMMYFUNCTION("IMPORTRANGE(""https://docs.google.com/spreadsheets/d/149xufxukrnEciK3WPbNpHwUK8BKEJxp3UcBG3Al6dA4/edit?usp=sharing"",""สิงห์บุรี!J587"")"),0)</f>
        <v>0</v>
      </c>
      <c r="BD71" s="186">
        <f ca="1">IFERROR(__xludf.DUMMYFUNCTION("IMPORTRANGE(""https://docs.google.com/spreadsheets/d/149xufxukrnEciK3WPbNpHwUK8BKEJxp3UcBG3Al6dA4/edit?usp=sharing"",""สิงห์บุรี!J588"")"),0)</f>
        <v>0</v>
      </c>
      <c r="BE71" s="261">
        <f ca="1">IFERROR(__xludf.DUMMYFUNCTION("IMPORTRANGE(""https://docs.google.com/spreadsheets/d/149xufxukrnEciK3WPbNpHwUK8BKEJxp3UcBG3Al6dA4/edit?usp=sharing"",""สิงห์บุรี!J589"")"),0)</f>
        <v>0</v>
      </c>
      <c r="BF71" s="186">
        <f ca="1">IFERROR(__xludf.DUMMYFUNCTION("IMPORTRANGE(""https://docs.google.com/spreadsheets/d/149xufxukrnEciK3WPbNpHwUK8BKEJxp3UcBG3Al6dA4/edit?usp=sharing"",""สิงห์บุรี!J590"")"),0)</f>
        <v>0</v>
      </c>
      <c r="BG71" s="261">
        <f ca="1">IFERROR(__xludf.DUMMYFUNCTION("IMPORTRANGE(""https://docs.google.com/spreadsheets/d/149xufxukrnEciK3WPbNpHwUK8BKEJxp3UcBG3Al6dA4/edit?usp=sharing"",""สิงห์บุรี!J591"")"),0)</f>
        <v>0</v>
      </c>
      <c r="BH71" s="181">
        <f ca="1">IFERROR(__xludf.DUMMYFUNCTION("IMPORTRANGE(""https://docs.google.com/spreadsheets/d/149xufxukrnEciK3WPbNpHwUK8BKEJxp3UcBG3Al6dA4/edit?usp=sharing"",""สิงห์บุรี!I593"")"),398.83)</f>
        <v>398.83</v>
      </c>
      <c r="BI71" s="181">
        <f ca="1">IFERROR(__xludf.DUMMYFUNCTION("IMPORTRANGE(""https://docs.google.com/spreadsheets/d/149xufxukrnEciK3WPbNpHwUK8BKEJxp3UcBG3Al6dA4/edit?usp=sharing"",""สิงห์บุรี!I594"")"),31)</f>
        <v>31</v>
      </c>
      <c r="BJ71" s="186">
        <f ca="1">IFERROR(__xludf.DUMMYFUNCTION("IMPORTRANGE(""https://docs.google.com/spreadsheets/d/149xufxukrnEciK3WPbNpHwUK8BKEJxp3UcBG3Al6dA4/edit?usp=sharing"",""สิงห์บุรี!J593"")"),0)</f>
        <v>0</v>
      </c>
      <c r="BK71" s="186">
        <f t="shared" ca="1" si="36"/>
        <v>0</v>
      </c>
      <c r="BL71" s="181">
        <f ca="1">IFERROR(__xludf.DUMMYFUNCTION("IMPORTRANGE(""https://docs.google.com/spreadsheets/d/149xufxukrnEciK3WPbNpHwUK8BKEJxp3UcBG3Al6dA4/edit?usp=sharing"",""สิงห์บุรี!J594"")"),0)</f>
        <v>0</v>
      </c>
      <c r="BM71" s="186">
        <f t="shared" ca="1" si="16"/>
        <v>0</v>
      </c>
      <c r="BN71" s="186">
        <f ca="1">IFERROR(__xludf.DUMMYFUNCTION("IMPORTRANGE(""https://docs.google.com/spreadsheets/d/149xufxukrnEciK3WPbNpHwUK8BKEJxp3UcBG3Al6dA4/edit?usp=sharing"",""สิงห์บุรี!J595"")"),0)</f>
        <v>0</v>
      </c>
      <c r="BO71" s="261">
        <f ca="1">IFERROR(__xludf.DUMMYFUNCTION("IMPORTRANGE(""https://docs.google.com/spreadsheets/d/149xufxukrnEciK3WPbNpHwUK8BKEJxp3UcBG3Al6dA4/edit?usp=sharing"",""สิงห์บุรี!J596"")"),0)</f>
        <v>0</v>
      </c>
      <c r="BP71" s="186">
        <f ca="1">IFERROR(__xludf.DUMMYFUNCTION("IMPORTRANGE(""https://docs.google.com/spreadsheets/d/149xufxukrnEciK3WPbNpHwUK8BKEJxp3UcBG3Al6dA4/edit?usp=sharing"",""สิงห์บุรี!J597"")"),0)</f>
        <v>0</v>
      </c>
      <c r="BQ71" s="261">
        <f ca="1">IFERROR(__xludf.DUMMYFUNCTION("IMPORTRANGE(""https://docs.google.com/spreadsheets/d/149xufxukrnEciK3WPbNpHwUK8BKEJxp3UcBG3Al6dA4/edit?usp=sharing"",""สิงห์บุรี!J598"")"),0)</f>
        <v>0</v>
      </c>
      <c r="BR71" s="186">
        <f ca="1">IFERROR(__xludf.DUMMYFUNCTION("IMPORTRANGE(""https://docs.google.com/spreadsheets/d/149xufxukrnEciK3WPbNpHwUK8BKEJxp3UcBG3Al6dA4/edit?usp=sharing"",""สิงห์บุรี!J599"")"),0)</f>
        <v>0</v>
      </c>
      <c r="BS71" s="261">
        <f ca="1">IFERROR(__xludf.DUMMYFUNCTION("IMPORTRANGE(""https://docs.google.com/spreadsheets/d/149xufxukrnEciK3WPbNpHwUK8BKEJxp3UcBG3Al6dA4/edit?usp=sharing"",""สิงห์บุรี!J600"")"),0)</f>
        <v>0</v>
      </c>
      <c r="BT71" s="262">
        <f ca="1">IFERROR(__xludf.DUMMYFUNCTION("IMPORTRANGE(""https://docs.google.com/spreadsheets/d/149xufxukrnEciK3WPbNpHwUK8BKEJxp3UcBG3Al6dA4/edit?usp=sharing"",""สิงห์บุรี!J601"")"),0)</f>
        <v>0</v>
      </c>
      <c r="BU71" s="261">
        <f ca="1">IFERROR(__xludf.DUMMYFUNCTION("IMPORTRANGE(""https://docs.google.com/spreadsheets/d/149xufxukrnEciK3WPbNpHwUK8BKEJxp3UcBG3Al6dA4/edit?usp=sharing"",""สิงห์บุรี!J602"")"),0)</f>
        <v>0</v>
      </c>
      <c r="BV71" s="186">
        <f ca="1">IFERROR(__xludf.DUMMYFUNCTION("IMPORTRANGE(""https://docs.google.com/spreadsheets/d/149xufxukrnEciK3WPbNpHwUK8BKEJxp3UcBG3Al6dA4/edit?usp=sharing"",""สิงห์บุรี!J603"")"),0)</f>
        <v>0</v>
      </c>
      <c r="BW71" s="261">
        <f ca="1">IFERROR(__xludf.DUMMYFUNCTION("IMPORTRANGE(""https://docs.google.com/spreadsheets/d/149xufxukrnEciK3WPbNpHwUK8BKEJxp3UcBG3Al6dA4/edit?usp=sharing"",""สิงห์บุรี!J604"")"),0)</f>
        <v>0</v>
      </c>
      <c r="BX71" s="186">
        <f ca="1">IFERROR(__xludf.DUMMYFUNCTION("IMPORTRANGE(""https://docs.google.com/spreadsheets/d/149xufxukrnEciK3WPbNpHwUK8BKEJxp3UcBG3Al6dA4/edit?usp=sharing"",""สิงห์บุรี!J605"")"),0)</f>
        <v>0</v>
      </c>
      <c r="BY71" s="261">
        <f ca="1">IFERROR(__xludf.DUMMYFUNCTION("IMPORTRANGE(""https://docs.google.com/spreadsheets/d/149xufxukrnEciK3WPbNpHwUK8BKEJxp3UcBG3Al6dA4/edit?usp=sharing"",""สิงห์บุรี!J606"")"),0)</f>
        <v>0</v>
      </c>
      <c r="BZ71" s="186">
        <f ca="1">IFERROR(__xludf.DUMMYFUNCTION("IMPORTRANGE(""https://docs.google.com/spreadsheets/d/149xufxukrnEciK3WPbNpHwUK8BKEJxp3UcBG3Al6dA4/edit?usp=sharing"",""สิงห์บุรี!J607"")"),0)</f>
        <v>0</v>
      </c>
      <c r="CA71" s="261">
        <f ca="1">IFERROR(__xludf.DUMMYFUNCTION("IMPORTRANGE(""https://docs.google.com/spreadsheets/d/149xufxukrnEciK3WPbNpHwUK8BKEJxp3UcBG3Al6dA4/edit?usp=sharing"",""สิงห์บุรี!J608"")"),0)</f>
        <v>0</v>
      </c>
      <c r="CB71" s="186">
        <f ca="1">IFERROR(__xludf.DUMMYFUNCTION("IMPORTRANGE(""https://docs.google.com/spreadsheets/d/149xufxukrnEciK3WPbNpHwUK8BKEJxp3UcBG3Al6dA4/edit?usp=sharing"",""สิงห์บุรี!J609"")"),0)</f>
        <v>0</v>
      </c>
      <c r="CC71" s="261">
        <f ca="1">IFERROR(__xludf.DUMMYFUNCTION("IMPORTRANGE(""https://docs.google.com/spreadsheets/d/149xufxukrnEciK3WPbNpHwUK8BKEJxp3UcBG3Al6dA4/edit?usp=sharing"",""สิงห์บุรี!J610"")"),0)</f>
        <v>0</v>
      </c>
      <c r="CD71" s="261">
        <f ca="1">IFERROR(__xludf.DUMMYFUNCTION("IMPORTRANGE(""https://docs.google.com/spreadsheets/d/149xufxukrnEciK3WPbNpHwUK8BKEJxp3UcBG3Al6dA4/edit?usp=sharing"",""สิงห์บุรี!I612"")"),0)</f>
        <v>0</v>
      </c>
      <c r="CE71" s="261">
        <f ca="1">IFERROR(__xludf.DUMMYFUNCTION("IMPORTRANGE(""https://docs.google.com/spreadsheets/d/149xufxukrnEciK3WPbNpHwUK8BKEJxp3UcBG3Al6dA4/edit?usp=sharing"",""สิงห์บุรี!I594"")"),31)</f>
        <v>31</v>
      </c>
      <c r="CF71" s="262">
        <f ca="1">IFERROR(__xludf.DUMMYFUNCTION("IMPORTRANGE(""https://docs.google.com/spreadsheets/d/149xufxukrnEciK3WPbNpHwUK8BKEJxp3UcBG3Al6dA4/edit?usp=sharing"",""สิงห์บุรี!J612"")"),0)</f>
        <v>0</v>
      </c>
      <c r="CG71" s="262">
        <f t="shared" ca="1" si="37"/>
        <v>0</v>
      </c>
      <c r="CH71" s="261">
        <f ca="1">IFERROR(__xludf.DUMMYFUNCTION("IMPORTRANGE(""https://docs.google.com/spreadsheets/d/149xufxukrnEciK3WPbNpHwUK8BKEJxp3UcBG3Al6dA4/edit?usp=sharing"",""สิงห์บุรี!J613"")"),0)</f>
        <v>0</v>
      </c>
      <c r="CI71" s="262">
        <f t="shared" ca="1" si="19"/>
        <v>0</v>
      </c>
      <c r="CJ71" s="186">
        <f ca="1">IFERROR(__xludf.DUMMYFUNCTION("IMPORTRANGE(""https://docs.google.com/spreadsheets/d/149xufxukrnEciK3WPbNpHwUK8BKEJxp3UcBG3Al6dA4/edit?usp=sharing"",""สิงห์บุรี!J614"")"),0)</f>
        <v>0</v>
      </c>
      <c r="CK71" s="261">
        <f ca="1">IFERROR(__xludf.DUMMYFUNCTION("IMPORTRANGE(""https://docs.google.com/spreadsheets/d/149xufxukrnEciK3WPbNpHwUK8BKEJxp3UcBG3Al6dA4/edit?usp=sharing"",""สิงห์บุรี!J615"")"),0)</f>
        <v>0</v>
      </c>
      <c r="CL71" s="186">
        <f ca="1">IFERROR(__xludf.DUMMYFUNCTION("IMPORTRANGE(""https://docs.google.com/spreadsheets/d/149xufxukrnEciK3WPbNpHwUK8BKEJxp3UcBG3Al6dA4/edit?usp=sharing"",""สิงห์บุรี!J616"")"),0)</f>
        <v>0</v>
      </c>
      <c r="CM71" s="261">
        <f ca="1">IFERROR(__xludf.DUMMYFUNCTION("IMPORTRANGE(""https://docs.google.com/spreadsheets/d/149xufxukrnEciK3WPbNpHwUK8BKEJxp3UcBG3Al6dA4/edit?usp=sharing"",""สิงห์บุรี!J617"")"),0)</f>
        <v>0</v>
      </c>
      <c r="CN71" s="261">
        <f ca="1">IFERROR(__xludf.DUMMYFUNCTION("IMPORTRANGE(""https://docs.google.com/spreadsheets/d/149xufxukrnEciK3WPbNpHwUK8BKEJxp3UcBG3Al6dA4/edit?usp=sharing"",""สิงห์บุรี!I620"")"),0)</f>
        <v>0</v>
      </c>
      <c r="CO71" s="261">
        <f ca="1">IFERROR(__xludf.DUMMYFUNCTION("IMPORTRANGE(""https://docs.google.com/spreadsheets/d/149xufxukrnEciK3WPbNpHwUK8BKEJxp3UcBG3Al6dA4/edit?usp=sharing"",""สิงห์บุรี!I621"")"),0)</f>
        <v>0</v>
      </c>
      <c r="CP71" s="262">
        <f ca="1">IFERROR(__xludf.DUMMYFUNCTION("IMPORTRANGE(""https://docs.google.com/spreadsheets/d/149xufxukrnEciK3WPbNpHwUK8BKEJxp3UcBG3Al6dA4/edit?usp=sharing"",""สิงห์บุรี!J620"")"),0)</f>
        <v>0</v>
      </c>
      <c r="CQ71" s="262">
        <f t="shared" ca="1" si="38"/>
        <v>0</v>
      </c>
      <c r="CR71" s="261">
        <f ca="1">IFERROR(__xludf.DUMMYFUNCTION("IMPORTRANGE(""https://docs.google.com/spreadsheets/d/149xufxukrnEciK3WPbNpHwUK8BKEJxp3UcBG3Al6dA4/edit?usp=sharing"",""สิงห์บุรี!J621"")"),0)</f>
        <v>0</v>
      </c>
      <c r="CS71" s="262">
        <f t="shared" ca="1" si="22"/>
        <v>0</v>
      </c>
      <c r="CT71" s="186">
        <f ca="1">IFERROR(__xludf.DUMMYFUNCTION("IMPORTRANGE(""https://docs.google.com/spreadsheets/d/149xufxukrnEciK3WPbNpHwUK8BKEJxp3UcBG3Al6dA4/edit?usp=sharing"",""สิงห์บุรี!J622"")"),0)</f>
        <v>0</v>
      </c>
      <c r="CU71" s="261">
        <f ca="1">IFERROR(__xludf.DUMMYFUNCTION("IMPORTRANGE(""https://docs.google.com/spreadsheets/d/149xufxukrnEciK3WPbNpHwUK8BKEJxp3UcBG3Al6dA4/edit?usp=sharing"",""สิงห์บุรี!J623"")"),0)</f>
        <v>0</v>
      </c>
      <c r="CV71" s="186">
        <f ca="1">IFERROR(__xludf.DUMMYFUNCTION("IMPORTRANGE(""https://docs.google.com/spreadsheets/d/149xufxukrnEciK3WPbNpHwUK8BKEJxp3UcBG3Al6dA4/edit?usp=sharing"",""สิงห์บุรี!J624"")"),0)</f>
        <v>0</v>
      </c>
      <c r="CW71" s="261">
        <f ca="1">IFERROR(__xludf.DUMMYFUNCTION("IMPORTRANGE(""https://docs.google.com/spreadsheets/d/149xufxukrnEciK3WPbNpHwUK8BKEJxp3UcBG3Al6dA4/edit?usp=sharing"",""สิงห์บุรี!J625"")"),0)</f>
        <v>0</v>
      </c>
      <c r="CX71" s="186">
        <f ca="1">IFERROR(__xludf.DUMMYFUNCTION("IMPORTRANGE(""https://docs.google.com/spreadsheets/d/149xufxukrnEciK3WPbNpHwUK8BKEJxp3UcBG3Al6dA4/edit?usp=sharing"",""สิงห์บุรี!J626"")"),0)</f>
        <v>0</v>
      </c>
      <c r="CY71" s="261">
        <f ca="1">IFERROR(__xludf.DUMMYFUNCTION("IMPORTRANGE(""https://docs.google.com/spreadsheets/d/149xufxukrnEciK3WPbNpHwUK8BKEJxp3UcBG3Al6dA4/edit?usp=sharing"",""สิงห์บุรี!J627"")"),0)</f>
        <v>0</v>
      </c>
    </row>
    <row r="72" spans="1:103" ht="21" customHeight="1" x14ac:dyDescent="0.3">
      <c r="A72" s="178">
        <v>20</v>
      </c>
      <c r="B72" s="179" t="s">
        <v>89</v>
      </c>
      <c r="C72" s="180">
        <f t="shared" ca="1" si="71"/>
        <v>496730</v>
      </c>
      <c r="D72" s="181">
        <f ca="1">IFERROR(__xludf.DUMMYFUNCTION("IMPORTRANGE(""https://docs.google.com/spreadsheets/d/132g-zJpz2uMKimp17uOIx8A7o3w1Z25zwJyXnwsB56c/edit?usp=sharing"",""สุพรรณบุรี!L549"")"),496730)</f>
        <v>496730</v>
      </c>
      <c r="E72" s="187">
        <f ca="1">IFERROR(__xludf.DUMMYFUNCTION("IMPORTRANGE(""https://docs.google.com/spreadsheets/d/132g-zJpz2uMKimp17uOIx8A7o3w1Z25zwJyXnwsB56c/edit?usp=sharing"",""สุพรรณบุรี!L557"")"),0)</f>
        <v>0</v>
      </c>
      <c r="F72" s="182">
        <f t="shared" ca="1" si="1"/>
        <v>104336.45</v>
      </c>
      <c r="G72" s="183">
        <f t="shared" ca="1" si="2"/>
        <v>21.004660479536167</v>
      </c>
      <c r="H72" s="184">
        <f t="shared" ca="1" si="72"/>
        <v>104336.45</v>
      </c>
      <c r="I72" s="187">
        <f ca="1">IFERROR(__xludf.DUMMYFUNCTION("IMPORTRANGE(""https://docs.google.com/spreadsheets/d/132g-zJpz2uMKimp17uOIx8A7o3w1Z25zwJyXnwsB56c/edit?usp=sharing"",""สุพรรณบุรี!N550"")"),0)</f>
        <v>0</v>
      </c>
      <c r="J72" s="187">
        <f ca="1">IFERROR(__xludf.DUMMYFUNCTION("IMPORTRANGE(""https://docs.google.com/spreadsheets/d/132g-zJpz2uMKimp17uOIx8A7o3w1Z25zwJyXnwsB56c/edit?usp=sharing"",""สุพรรณบุรี!N551"")"),0)</f>
        <v>0</v>
      </c>
      <c r="K72" s="187">
        <f ca="1">IFERROR(__xludf.DUMMYFUNCTION("IMPORTRANGE(""https://docs.google.com/spreadsheets/d/132g-zJpz2uMKimp17uOIx8A7o3w1Z25zwJyXnwsB56c/edit?usp=sharing"",""สุพรรณบุรี!N552"")"),52000)</f>
        <v>52000</v>
      </c>
      <c r="L72" s="187">
        <f ca="1">IFERROR(__xludf.DUMMYFUNCTION("IMPORTRANGE(""https://docs.google.com/spreadsheets/d/132g-zJpz2uMKimp17uOIx8A7o3w1Z25zwJyXnwsB56c/edit?usp=sharing"",""สุพรรณบุรี!N553"")"),52336.45)</f>
        <v>52336.45</v>
      </c>
      <c r="M72" s="187">
        <f ca="1">IFERROR(__xludf.DUMMYFUNCTION("IMPORTRANGE(""https://docs.google.com/spreadsheets/d/132g-zJpz2uMKimp17uOIx8A7o3w1Z25zwJyXnwsB56c/edit?usp=sharing"",""สุพรรณบุรี!N554"")"),0)</f>
        <v>0</v>
      </c>
      <c r="N72" s="185">
        <f ca="1">IFERROR(__xludf.DUMMYFUNCTION("IMPORTRANGE(""https://docs.google.com/spreadsheets/d/132g-zJpz2uMKimp17uOIx8A7o3w1Z25zwJyXnwsB56c/edit?usp=sharing"",""สุพรรณบุรี!N557"")"),0)</f>
        <v>0</v>
      </c>
      <c r="O72" s="185">
        <f t="shared" ca="1" si="41"/>
        <v>0</v>
      </c>
      <c r="P72" s="181">
        <f ca="1">IFERROR(__xludf.DUMMYFUNCTION("IMPORTRANGE(""https://docs.google.com/spreadsheets/d/132g-zJpz2uMKimp17uOIx8A7o3w1Z25zwJyXnwsB56c/edit?usp=sharing"",""สุพรรณบุรี!I560"")"),14728)</f>
        <v>14728</v>
      </c>
      <c r="Q72" s="181">
        <f ca="1">IFERROR(__xludf.DUMMYFUNCTION("IMPORTRANGE(""https://docs.google.com/spreadsheets/d/132g-zJpz2uMKimp17uOIx8A7o3w1Z25zwJyXnwsB56c/edit?usp=sharing"",""สุพรรณบุรี!I561"")"),1477)</f>
        <v>1477</v>
      </c>
      <c r="R72" s="186">
        <f ca="1">IFERROR(__xludf.DUMMYFUNCTION("IMPORTRANGE(""https://docs.google.com/spreadsheets/d/132g-zJpz2uMKimp17uOIx8A7o3w1Z25zwJyXnwsB56c/edit?usp=sharing"",""สุพรรณบุรี!J560"")"),14728)</f>
        <v>14728</v>
      </c>
      <c r="S72" s="186">
        <f t="shared" ca="1" si="33"/>
        <v>100</v>
      </c>
      <c r="T72" s="181">
        <f ca="1">IFERROR(__xludf.DUMMYFUNCTION("IMPORTRANGE(""https://docs.google.com/spreadsheets/d/132g-zJpz2uMKimp17uOIx8A7o3w1Z25zwJyXnwsB56c/edit?usp=sharing"",""สุพรรณบุรี!J561"")"),1477)</f>
        <v>1477</v>
      </c>
      <c r="U72" s="186">
        <f t="shared" ca="1" si="7"/>
        <v>100</v>
      </c>
      <c r="V72" s="186">
        <f ca="1">IFERROR(__xludf.DUMMYFUNCTION("IMPORTRANGE(""https://docs.google.com/spreadsheets/d/132g-zJpz2uMKimp17uOIx8A7o3w1Z25zwJyXnwsB56c/edit?usp=sharing"",""สุพรรณบุรี!J562"")"),10728)</f>
        <v>10728</v>
      </c>
      <c r="W72" s="261">
        <f ca="1">IFERROR(__xludf.DUMMYFUNCTION("IMPORTRANGE(""https://docs.google.com/spreadsheets/d/132g-zJpz2uMKimp17uOIx8A7o3w1Z25zwJyXnwsB56c/edit?usp=sharing"",""สุพรรณบุรี!J563"")"),1128)</f>
        <v>1128</v>
      </c>
      <c r="X72" s="186">
        <f ca="1">IFERROR(__xludf.DUMMYFUNCTION("IMPORTRANGE(""https://docs.google.com/spreadsheets/d/132g-zJpz2uMKimp17uOIx8A7o3w1Z25zwJyXnwsB56c/edit?usp=sharing"",""สุพรรณบุรี!J564"")"),3628)</f>
        <v>3628</v>
      </c>
      <c r="Y72" s="261">
        <f ca="1">IFERROR(__xludf.DUMMYFUNCTION("IMPORTRANGE(""https://docs.google.com/spreadsheets/d/132g-zJpz2uMKimp17uOIx8A7o3w1Z25zwJyXnwsB56c/edit?usp=sharing"",""สุพรรณบุรี!J565"")"),318)</f>
        <v>318</v>
      </c>
      <c r="Z72" s="186">
        <f ca="1">IFERROR(__xludf.DUMMYFUNCTION("IMPORTRANGE(""https://docs.google.com/spreadsheets/d/132g-zJpz2uMKimp17uOIx8A7o3w1Z25zwJyXnwsB56c/edit?usp=sharing"",""สุพรรณบุรี!J566"")"),372)</f>
        <v>372</v>
      </c>
      <c r="AA72" s="261">
        <f ca="1">IFERROR(__xludf.DUMMYFUNCTION("IMPORTRANGE(""https://docs.google.com/spreadsheets/d/132g-zJpz2uMKimp17uOIx8A7o3w1Z25zwJyXnwsB56c/edit?usp=sharing"",""สุพรรณบุรี!J567"")"),31)</f>
        <v>31</v>
      </c>
      <c r="AB72" s="181">
        <f ca="1">IFERROR(__xludf.DUMMYFUNCTION("IMPORTRANGE(""https://docs.google.com/spreadsheets/d/132g-zJpz2uMKimp17uOIx8A7o3w1Z25zwJyXnwsB56c/edit?usp=sharing"",""สุพรรณบุรี!I568"")"),14728)</f>
        <v>14728</v>
      </c>
      <c r="AC72" s="181">
        <f ca="1">IFERROR(__xludf.DUMMYFUNCTION("IMPORTRANGE(""https://docs.google.com/spreadsheets/d/132g-zJpz2uMKimp17uOIx8A7o3w1Z25zwJyXnwsB56c/edit?usp=sharing"",""สุพรรณบุรี!I569"")"),1477)</f>
        <v>1477</v>
      </c>
      <c r="AD72" s="186">
        <f ca="1">IFERROR(__xludf.DUMMYFUNCTION("IMPORTRANGE(""https://docs.google.com/spreadsheets/d/132g-zJpz2uMKimp17uOIx8A7o3w1Z25zwJyXnwsB56c/edit?usp=sharing"",""สุพรรณบุรี!J568"")"),0)</f>
        <v>0</v>
      </c>
      <c r="AE72" s="186">
        <f t="shared" ca="1" si="34"/>
        <v>0</v>
      </c>
      <c r="AF72" s="181">
        <f ca="1">IFERROR(__xludf.DUMMYFUNCTION("IMPORTRANGE(""https://docs.google.com/spreadsheets/d/132g-zJpz2uMKimp17uOIx8A7o3w1Z25zwJyXnwsB56c/edit?usp=sharing"",""สุพรรณบุรี!J569"")"),0)</f>
        <v>0</v>
      </c>
      <c r="AG72" s="186">
        <f t="shared" ca="1" si="10"/>
        <v>0</v>
      </c>
      <c r="AH72" s="186">
        <f ca="1">IFERROR(__xludf.DUMMYFUNCTION("IMPORTRANGE(""https://docs.google.com/spreadsheets/d/132g-zJpz2uMKimp17uOIx8A7o3w1Z25zwJyXnwsB56c/edit?usp=sharing"",""สุพรรณบุรี!J570"")"),0)</f>
        <v>0</v>
      </c>
      <c r="AI72" s="261">
        <f ca="1">IFERROR(__xludf.DUMMYFUNCTION("IMPORTRANGE(""https://docs.google.com/spreadsheets/d/132g-zJpz2uMKimp17uOIx8A7o3w1Z25zwJyXnwsB56c/edit?usp=sharing"",""สุพรรณบุรี!J571"")"),0)</f>
        <v>0</v>
      </c>
      <c r="AJ72" s="186">
        <f ca="1">IFERROR(__xludf.DUMMYFUNCTION("IMPORTRANGE(""https://docs.google.com/spreadsheets/d/132g-zJpz2uMKimp17uOIx8A7o3w1Z25zwJyXnwsB56c/edit?usp=sharing"",""สุพรรณบุรี!J572"")"),0)</f>
        <v>0</v>
      </c>
      <c r="AK72" s="261">
        <f ca="1">IFERROR(__xludf.DUMMYFUNCTION("IMPORTRANGE(""https://docs.google.com/spreadsheets/d/132g-zJpz2uMKimp17uOIx8A7o3w1Z25zwJyXnwsB56c/edit?usp=sharing"",""สุพรรณบุรี!J573"")"),0)</f>
        <v>0</v>
      </c>
      <c r="AL72" s="186">
        <f ca="1">IFERROR(__xludf.DUMMYFUNCTION("IMPORTRANGE(""https://docs.google.com/spreadsheets/d/132g-zJpz2uMKimp17uOIx8A7o3w1Z25zwJyXnwsB56c/edit?usp=sharing"",""สุพรรณบุรี!J574"")"),0)</f>
        <v>0</v>
      </c>
      <c r="AM72" s="261">
        <f ca="1">IFERROR(__xludf.DUMMYFUNCTION("IMPORTRANGE(""https://docs.google.com/spreadsheets/d/132g-zJpz2uMKimp17uOIx8A7o3w1Z25zwJyXnwsB56c/edit?usp=sharing"",""สุพรรณบุรี!J575"")"),0)</f>
        <v>0</v>
      </c>
      <c r="AN72" s="181">
        <f ca="1">IFERROR(__xludf.DUMMYFUNCTION("IMPORTRANGE(""https://docs.google.com/spreadsheets/d/132g-zJpz2uMKimp17uOIx8A7o3w1Z25zwJyXnwsB56c/edit?usp=sharing"",""สุพรรณบุรี!I576"")"),14728)</f>
        <v>14728</v>
      </c>
      <c r="AO72" s="181">
        <f ca="1">IFERROR(__xludf.DUMMYFUNCTION("IMPORTRANGE(""https://docs.google.com/spreadsheets/d/132g-zJpz2uMKimp17uOIx8A7o3w1Z25zwJyXnwsB56c/edit?usp=sharing"",""สุพรรณบุรี!I577"")"),1477)</f>
        <v>1477</v>
      </c>
      <c r="AP72" s="186">
        <f ca="1">IFERROR(__xludf.DUMMYFUNCTION("IMPORTRANGE(""https://docs.google.com/spreadsheets/d/132g-zJpz2uMKimp17uOIx8A7o3w1Z25zwJyXnwsB56c/edit?usp=sharing"",""สุพรรณบุรี!J576"")"),0)</f>
        <v>0</v>
      </c>
      <c r="AQ72" s="186">
        <f t="shared" ca="1" si="35"/>
        <v>0</v>
      </c>
      <c r="AR72" s="181">
        <f ca="1">IFERROR(__xludf.DUMMYFUNCTION("IMPORTRANGE(""https://docs.google.com/spreadsheets/d/132g-zJpz2uMKimp17uOIx8A7o3w1Z25zwJyXnwsB56c/edit?usp=sharing"",""สุพรรณบุรี!J577"")"),0)</f>
        <v>0</v>
      </c>
      <c r="AS72" s="186">
        <f t="shared" ca="1" si="13"/>
        <v>0</v>
      </c>
      <c r="AT72" s="186">
        <f ca="1">IFERROR(__xludf.DUMMYFUNCTION("IMPORTRANGE(""https://docs.google.com/spreadsheets/d/132g-zJpz2uMKimp17uOIx8A7o3w1Z25zwJyXnwsB56c/edit?usp=sharing"",""สุพรรณบุรี!J578"")"),0)</f>
        <v>0</v>
      </c>
      <c r="AU72" s="261">
        <f ca="1">IFERROR(__xludf.DUMMYFUNCTION("IMPORTRANGE(""https://docs.google.com/spreadsheets/d/132g-zJpz2uMKimp17uOIx8A7o3w1Z25zwJyXnwsB56c/edit?usp=sharing"",""สุพรรณบุรี!J579"")"),0)</f>
        <v>0</v>
      </c>
      <c r="AV72" s="186">
        <f ca="1">IFERROR(__xludf.DUMMYFUNCTION("IMPORTRANGE(""https://docs.google.com/spreadsheets/d/132g-zJpz2uMKimp17uOIx8A7o3w1Z25zwJyXnwsB56c/edit?usp=sharing"",""สุพรรณบุรี!J580"")"),0)</f>
        <v>0</v>
      </c>
      <c r="AW72" s="261">
        <f ca="1">IFERROR(__xludf.DUMMYFUNCTION("IMPORTRANGE(""https://docs.google.com/spreadsheets/d/132g-zJpz2uMKimp17uOIx8A7o3w1Z25zwJyXnwsB56c/edit?usp=sharing"",""สุพรรณบุรี!J581"")"),0)</f>
        <v>0</v>
      </c>
      <c r="AX72" s="186">
        <f ca="1">IFERROR(__xludf.DUMMYFUNCTION("IMPORTRANGE(""https://docs.google.com/spreadsheets/d/132g-zJpz2uMKimp17uOIx8A7o3w1Z25zwJyXnwsB56c/edit?usp=sharing"",""สุพรรณบุรี!J582"")"),0)</f>
        <v>0</v>
      </c>
      <c r="AY72" s="261">
        <f ca="1">IFERROR(__xludf.DUMMYFUNCTION("IMPORTRANGE(""https://docs.google.com/spreadsheets/d/132g-zJpz2uMKimp17uOIx8A7o3w1Z25zwJyXnwsB56c/edit?usp=sharing"",""สุพรรณบุรี!J583"")"),0)</f>
        <v>0</v>
      </c>
      <c r="AZ72" s="262">
        <f ca="1">IFERROR(__xludf.DUMMYFUNCTION("IMPORTRANGE(""https://docs.google.com/spreadsheets/d/132g-zJpz2uMKimp17uOIx8A7o3w1Z25zwJyXnwsB56c/edit?usp=sharing"",""สุพรรณบุรี!J584"")"),0)</f>
        <v>0</v>
      </c>
      <c r="BA72" s="261">
        <f ca="1">IFERROR(__xludf.DUMMYFUNCTION("IMPORTRANGE(""https://docs.google.com/spreadsheets/d/132g-zJpz2uMKimp17uOIx8A7o3w1Z25zwJyXnwsB56c/edit?usp=sharing"",""สุพรรณบุรี!J585"")"),0)</f>
        <v>0</v>
      </c>
      <c r="BB72" s="262">
        <f ca="1">IFERROR(__xludf.DUMMYFUNCTION("IMPORTRANGE(""https://docs.google.com/spreadsheets/d/132g-zJpz2uMKimp17uOIx8A7o3w1Z25zwJyXnwsB56c/edit?usp=sharing"",""สุพรรณบุรี!J586"")"),0)</f>
        <v>0</v>
      </c>
      <c r="BC72" s="261">
        <f ca="1">IFERROR(__xludf.DUMMYFUNCTION("IMPORTRANGE(""https://docs.google.com/spreadsheets/d/132g-zJpz2uMKimp17uOIx8A7o3w1Z25zwJyXnwsB56c/edit?usp=sharing"",""สุพรรณบุรี!J587"")"),0)</f>
        <v>0</v>
      </c>
      <c r="BD72" s="186">
        <f ca="1">IFERROR(__xludf.DUMMYFUNCTION("IMPORTRANGE(""https://docs.google.com/spreadsheets/d/132g-zJpz2uMKimp17uOIx8A7o3w1Z25zwJyXnwsB56c/edit?usp=sharing"",""สุพรรณบุรี!J588"")"),0)</f>
        <v>0</v>
      </c>
      <c r="BE72" s="261">
        <f ca="1">IFERROR(__xludf.DUMMYFUNCTION("IMPORTRANGE(""https://docs.google.com/spreadsheets/d/132g-zJpz2uMKimp17uOIx8A7o3w1Z25zwJyXnwsB56c/edit?usp=sharing"",""สุพรรณบุรี!J589"")"),0)</f>
        <v>0</v>
      </c>
      <c r="BF72" s="186">
        <f ca="1">IFERROR(__xludf.DUMMYFUNCTION("IMPORTRANGE(""https://docs.google.com/spreadsheets/d/132g-zJpz2uMKimp17uOIx8A7o3w1Z25zwJyXnwsB56c/edit?usp=sharing"",""สุพรรณบุรี!J590"")"),0)</f>
        <v>0</v>
      </c>
      <c r="BG72" s="261">
        <f ca="1">IFERROR(__xludf.DUMMYFUNCTION("IMPORTRANGE(""https://docs.google.com/spreadsheets/d/132g-zJpz2uMKimp17uOIx8A7o3w1Z25zwJyXnwsB56c/edit?usp=sharing"",""สุพรรณบุรี!J591"")"),0)</f>
        <v>0</v>
      </c>
      <c r="BH72" s="181">
        <f ca="1">IFERROR(__xludf.DUMMYFUNCTION("IMPORTRANGE(""https://docs.google.com/spreadsheets/d/132g-zJpz2uMKimp17uOIx8A7o3w1Z25zwJyXnwsB56c/edit?usp=sharing"",""สุพรรณบุรี!I593"")"),4157.69)</f>
        <v>4157.6899999999996</v>
      </c>
      <c r="BI72" s="181">
        <f ca="1">IFERROR(__xludf.DUMMYFUNCTION("IMPORTRANGE(""https://docs.google.com/spreadsheets/d/132g-zJpz2uMKimp17uOIx8A7o3w1Z25zwJyXnwsB56c/edit?usp=sharing"",""สุพรรณบุรี!I594"")"),489)</f>
        <v>489</v>
      </c>
      <c r="BJ72" s="186">
        <f ca="1">IFERROR(__xludf.DUMMYFUNCTION("IMPORTRANGE(""https://docs.google.com/spreadsheets/d/132g-zJpz2uMKimp17uOIx8A7o3w1Z25zwJyXnwsB56c/edit?usp=sharing"",""สุพรรณบุรี!J593"")"),663)</f>
        <v>663</v>
      </c>
      <c r="BK72" s="186">
        <f t="shared" ca="1" si="36"/>
        <v>15.946354826838943</v>
      </c>
      <c r="BL72" s="181">
        <f ca="1">IFERROR(__xludf.DUMMYFUNCTION("IMPORTRANGE(""https://docs.google.com/spreadsheets/d/132g-zJpz2uMKimp17uOIx8A7o3w1Z25zwJyXnwsB56c/edit?usp=sharing"",""สุพรรณบุรี!J594"")"),76)</f>
        <v>76</v>
      </c>
      <c r="BM72" s="186">
        <f t="shared" ca="1" si="16"/>
        <v>15.541922290388548</v>
      </c>
      <c r="BN72" s="186">
        <f ca="1">IFERROR(__xludf.DUMMYFUNCTION("IMPORTRANGE(""https://docs.google.com/spreadsheets/d/132g-zJpz2uMKimp17uOIx8A7o3w1Z25zwJyXnwsB56c/edit?usp=sharing"",""สุพรรณบุรี!J595"")"),663)</f>
        <v>663</v>
      </c>
      <c r="BO72" s="261">
        <f ca="1">IFERROR(__xludf.DUMMYFUNCTION("IMPORTRANGE(""https://docs.google.com/spreadsheets/d/132g-zJpz2uMKimp17uOIx8A7o3w1Z25zwJyXnwsB56c/edit?usp=sharing"",""สุพรรณบุรี!J596"")"),76)</f>
        <v>76</v>
      </c>
      <c r="BP72" s="186">
        <f ca="1">IFERROR(__xludf.DUMMYFUNCTION("IMPORTRANGE(""https://docs.google.com/spreadsheets/d/132g-zJpz2uMKimp17uOIx8A7o3w1Z25zwJyXnwsB56c/edit?usp=sharing"",""สุพรรณบุรี!J597"")"),613)</f>
        <v>613</v>
      </c>
      <c r="BQ72" s="261">
        <f ca="1">IFERROR(__xludf.DUMMYFUNCTION("IMPORTRANGE(""https://docs.google.com/spreadsheets/d/132g-zJpz2uMKimp17uOIx8A7o3w1Z25zwJyXnwsB56c/edit?usp=sharing"",""สุพรรณบุรี!J598"")"),71)</f>
        <v>71</v>
      </c>
      <c r="BR72" s="186">
        <f ca="1">IFERROR(__xludf.DUMMYFUNCTION("IMPORTRANGE(""https://docs.google.com/spreadsheets/d/132g-zJpz2uMKimp17uOIx8A7o3w1Z25zwJyXnwsB56c/edit?usp=sharing"",""สุพรรณบุรี!J599"")"),50)</f>
        <v>50</v>
      </c>
      <c r="BS72" s="261">
        <f ca="1">IFERROR(__xludf.DUMMYFUNCTION("IMPORTRANGE(""https://docs.google.com/spreadsheets/d/132g-zJpz2uMKimp17uOIx8A7o3w1Z25zwJyXnwsB56c/edit?usp=sharing"",""สุพรรณบุรี!J600"")"),5)</f>
        <v>5</v>
      </c>
      <c r="BT72" s="262">
        <f ca="1">IFERROR(__xludf.DUMMYFUNCTION("IMPORTRANGE(""https://docs.google.com/spreadsheets/d/132g-zJpz2uMKimp17uOIx8A7o3w1Z25zwJyXnwsB56c/edit?usp=sharing"",""สุพรรณบุรี!J601"")"),0)</f>
        <v>0</v>
      </c>
      <c r="BU72" s="261">
        <f ca="1">IFERROR(__xludf.DUMMYFUNCTION("IMPORTRANGE(""https://docs.google.com/spreadsheets/d/132g-zJpz2uMKimp17uOIx8A7o3w1Z25zwJyXnwsB56c/edit?usp=sharing"",""สุพรรณบุรี!J602"")"),0)</f>
        <v>0</v>
      </c>
      <c r="BV72" s="186">
        <f ca="1">IFERROR(__xludf.DUMMYFUNCTION("IMPORTRANGE(""https://docs.google.com/spreadsheets/d/132g-zJpz2uMKimp17uOIx8A7o3w1Z25zwJyXnwsB56c/edit?usp=sharing"",""สุพรรณบุรี!J603"")"),0)</f>
        <v>0</v>
      </c>
      <c r="BW72" s="261">
        <f ca="1">IFERROR(__xludf.DUMMYFUNCTION("IMPORTRANGE(""https://docs.google.com/spreadsheets/d/132g-zJpz2uMKimp17uOIx8A7o3w1Z25zwJyXnwsB56c/edit?usp=sharing"",""สุพรรณบุรี!J604"")"),0)</f>
        <v>0</v>
      </c>
      <c r="BX72" s="186">
        <f ca="1">IFERROR(__xludf.DUMMYFUNCTION("IMPORTRANGE(""https://docs.google.com/spreadsheets/d/132g-zJpz2uMKimp17uOIx8A7o3w1Z25zwJyXnwsB56c/edit?usp=sharing"",""สุพรรณบุรี!J605"")"),0)</f>
        <v>0</v>
      </c>
      <c r="BY72" s="261">
        <f ca="1">IFERROR(__xludf.DUMMYFUNCTION("IMPORTRANGE(""https://docs.google.com/spreadsheets/d/132g-zJpz2uMKimp17uOIx8A7o3w1Z25zwJyXnwsB56c/edit?usp=sharing"",""สุพรรณบุรี!J606"")"),0)</f>
        <v>0</v>
      </c>
      <c r="BZ72" s="186">
        <f ca="1">IFERROR(__xludf.DUMMYFUNCTION("IMPORTRANGE(""https://docs.google.com/spreadsheets/d/132g-zJpz2uMKimp17uOIx8A7o3w1Z25zwJyXnwsB56c/edit?usp=sharing"",""สุพรรณบุรี!J607"")"),0)</f>
        <v>0</v>
      </c>
      <c r="CA72" s="261">
        <f ca="1">IFERROR(__xludf.DUMMYFUNCTION("IMPORTRANGE(""https://docs.google.com/spreadsheets/d/132g-zJpz2uMKimp17uOIx8A7o3w1Z25zwJyXnwsB56c/edit?usp=sharing"",""สุพรรณบุรี!J608"")"),0)</f>
        <v>0</v>
      </c>
      <c r="CB72" s="186">
        <f ca="1">IFERROR(__xludf.DUMMYFUNCTION("IMPORTRANGE(""https://docs.google.com/spreadsheets/d/132g-zJpz2uMKimp17uOIx8A7o3w1Z25zwJyXnwsB56c/edit?usp=sharing"",""สุพรรณบุรี!J609"")"),0)</f>
        <v>0</v>
      </c>
      <c r="CC72" s="261">
        <f ca="1">IFERROR(__xludf.DUMMYFUNCTION("IMPORTRANGE(""https://docs.google.com/spreadsheets/d/132g-zJpz2uMKimp17uOIx8A7o3w1Z25zwJyXnwsB56c/edit?usp=sharing"",""สุพรรณบุรี!J610"")"),0)</f>
        <v>0</v>
      </c>
      <c r="CD72" s="261">
        <f ca="1">IFERROR(__xludf.DUMMYFUNCTION("IMPORTRANGE(""https://docs.google.com/spreadsheets/d/132g-zJpz2uMKimp17uOIx8A7o3w1Z25zwJyXnwsB56c/edit?usp=sharing"",""สุพรรณบุรี!I612"")"),0)</f>
        <v>0</v>
      </c>
      <c r="CE72" s="261">
        <f ca="1">IFERROR(__xludf.DUMMYFUNCTION("IMPORTRANGE(""https://docs.google.com/spreadsheets/d/132g-zJpz2uMKimp17uOIx8A7o3w1Z25zwJyXnwsB56c/edit?usp=sharing"",""สุพรรณบุรี!I594"")"),489)</f>
        <v>489</v>
      </c>
      <c r="CF72" s="262">
        <f ca="1">IFERROR(__xludf.DUMMYFUNCTION("IMPORTRANGE(""https://docs.google.com/spreadsheets/d/132g-zJpz2uMKimp17uOIx8A7o3w1Z25zwJyXnwsB56c/edit?usp=sharing"",""สุพรรณบุรี!J612"")"),0)</f>
        <v>0</v>
      </c>
      <c r="CG72" s="262">
        <f t="shared" ca="1" si="37"/>
        <v>0</v>
      </c>
      <c r="CH72" s="261">
        <f ca="1">IFERROR(__xludf.DUMMYFUNCTION("IMPORTRANGE(""https://docs.google.com/spreadsheets/d/132g-zJpz2uMKimp17uOIx8A7o3w1Z25zwJyXnwsB56c/edit?usp=sharing"",""สุพรรณบุรี!J613"")"),0)</f>
        <v>0</v>
      </c>
      <c r="CI72" s="262">
        <f t="shared" ca="1" si="19"/>
        <v>0</v>
      </c>
      <c r="CJ72" s="186">
        <f ca="1">IFERROR(__xludf.DUMMYFUNCTION("IMPORTRANGE(""https://docs.google.com/spreadsheets/d/132g-zJpz2uMKimp17uOIx8A7o3w1Z25zwJyXnwsB56c/edit?usp=sharing"",""สุพรรณบุรี!J614"")"),0)</f>
        <v>0</v>
      </c>
      <c r="CK72" s="261">
        <f ca="1">IFERROR(__xludf.DUMMYFUNCTION("IMPORTRANGE(""https://docs.google.com/spreadsheets/d/132g-zJpz2uMKimp17uOIx8A7o3w1Z25zwJyXnwsB56c/edit?usp=sharing"",""สุพรรณบุรี!J615"")"),0)</f>
        <v>0</v>
      </c>
      <c r="CL72" s="186">
        <f ca="1">IFERROR(__xludf.DUMMYFUNCTION("IMPORTRANGE(""https://docs.google.com/spreadsheets/d/132g-zJpz2uMKimp17uOIx8A7o3w1Z25zwJyXnwsB56c/edit?usp=sharing"",""สุพรรณบุรี!J616"")"),0)</f>
        <v>0</v>
      </c>
      <c r="CM72" s="261">
        <f ca="1">IFERROR(__xludf.DUMMYFUNCTION("IMPORTRANGE(""https://docs.google.com/spreadsheets/d/132g-zJpz2uMKimp17uOIx8A7o3w1Z25zwJyXnwsB56c/edit?usp=sharing"",""สุพรรณบุรี!J617"")"),0)</f>
        <v>0</v>
      </c>
      <c r="CN72" s="261">
        <f ca="1">IFERROR(__xludf.DUMMYFUNCTION("IMPORTRANGE(""https://docs.google.com/spreadsheets/d/132g-zJpz2uMKimp17uOIx8A7o3w1Z25zwJyXnwsB56c/edit?usp=sharing"",""สุพรรณบุรี!I620"")"),0)</f>
        <v>0</v>
      </c>
      <c r="CO72" s="261">
        <f ca="1">IFERROR(__xludf.DUMMYFUNCTION("IMPORTRANGE(""https://docs.google.com/spreadsheets/d/132g-zJpz2uMKimp17uOIx8A7o3w1Z25zwJyXnwsB56c/edit?usp=sharing"",""สุพรรณบุรี!I621"")"),0)</f>
        <v>0</v>
      </c>
      <c r="CP72" s="262">
        <f ca="1">IFERROR(__xludf.DUMMYFUNCTION("IMPORTRANGE(""https://docs.google.com/spreadsheets/d/132g-zJpz2uMKimp17uOIx8A7o3w1Z25zwJyXnwsB56c/edit?usp=sharing"",""สุพรรณบุรี!J620"")"),0)</f>
        <v>0</v>
      </c>
      <c r="CQ72" s="262">
        <f t="shared" ca="1" si="38"/>
        <v>0</v>
      </c>
      <c r="CR72" s="261">
        <f ca="1">IFERROR(__xludf.DUMMYFUNCTION("IMPORTRANGE(""https://docs.google.com/spreadsheets/d/132g-zJpz2uMKimp17uOIx8A7o3w1Z25zwJyXnwsB56c/edit?usp=sharing"",""สุพรรณบุรี!J621"")"),0)</f>
        <v>0</v>
      </c>
      <c r="CS72" s="262">
        <f t="shared" ca="1" si="22"/>
        <v>0</v>
      </c>
      <c r="CT72" s="186">
        <f ca="1">IFERROR(__xludf.DUMMYFUNCTION("IMPORTRANGE(""https://docs.google.com/spreadsheets/d/132g-zJpz2uMKimp17uOIx8A7o3w1Z25zwJyXnwsB56c/edit?usp=sharing"",""สุพรรณบุรี!J622"")"),0)</f>
        <v>0</v>
      </c>
      <c r="CU72" s="261">
        <f ca="1">IFERROR(__xludf.DUMMYFUNCTION("IMPORTRANGE(""https://docs.google.com/spreadsheets/d/132g-zJpz2uMKimp17uOIx8A7o3w1Z25zwJyXnwsB56c/edit?usp=sharing"",""สุพรรณบุรี!J623"")"),0)</f>
        <v>0</v>
      </c>
      <c r="CV72" s="186">
        <f ca="1">IFERROR(__xludf.DUMMYFUNCTION("IMPORTRANGE(""https://docs.google.com/spreadsheets/d/132g-zJpz2uMKimp17uOIx8A7o3w1Z25zwJyXnwsB56c/edit?usp=sharing"",""สุพรรณบุรี!J624"")"),0)</f>
        <v>0</v>
      </c>
      <c r="CW72" s="261">
        <f ca="1">IFERROR(__xludf.DUMMYFUNCTION("IMPORTRANGE(""https://docs.google.com/spreadsheets/d/132g-zJpz2uMKimp17uOIx8A7o3w1Z25zwJyXnwsB56c/edit?usp=sharing"",""สุพรรณบุรี!J625"")"),0)</f>
        <v>0</v>
      </c>
      <c r="CX72" s="186">
        <f ca="1">IFERROR(__xludf.DUMMYFUNCTION("IMPORTRANGE(""https://docs.google.com/spreadsheets/d/132g-zJpz2uMKimp17uOIx8A7o3w1Z25zwJyXnwsB56c/edit?usp=sharing"",""สุพรรณบุรี!J626"")"),0)</f>
        <v>0</v>
      </c>
      <c r="CY72" s="261">
        <f ca="1">IFERROR(__xludf.DUMMYFUNCTION("IMPORTRANGE(""https://docs.google.com/spreadsheets/d/132g-zJpz2uMKimp17uOIx8A7o3w1Z25zwJyXnwsB56c/edit?usp=sharing"",""สุพรรณบุรี!J627"")"),0)</f>
        <v>0</v>
      </c>
    </row>
    <row r="73" spans="1:103" ht="21" customHeight="1" x14ac:dyDescent="0.3">
      <c r="A73" s="192">
        <v>21</v>
      </c>
      <c r="B73" s="193" t="s">
        <v>90</v>
      </c>
      <c r="C73" s="204">
        <f t="shared" ca="1" si="71"/>
        <v>85200</v>
      </c>
      <c r="D73" s="202">
        <f ca="1">IFERROR(__xludf.DUMMYFUNCTION("IMPORTRANGE(""https://docs.google.com/spreadsheets/d/12Q_U0nVnFdxDFwa0pej9xvx8ZvLC9Dpi_vRro_aiG5g/edit?usp=sharing"",""อ่างทอง!L549"")"),85200)</f>
        <v>85200</v>
      </c>
      <c r="E73" s="200">
        <f ca="1">IFERROR(__xludf.DUMMYFUNCTION("IMPORTRANGE(""https://docs.google.com/spreadsheets/d/12Q_U0nVnFdxDFwa0pej9xvx8ZvLC9Dpi_vRro_aiG5g/edit?usp=sharing"",""อ่างทอง!L557"")"),0)</f>
        <v>0</v>
      </c>
      <c r="F73" s="197">
        <f t="shared" ca="1" si="1"/>
        <v>0</v>
      </c>
      <c r="G73" s="205">
        <f t="shared" ca="1" si="2"/>
        <v>0</v>
      </c>
      <c r="H73" s="199">
        <f t="shared" ca="1" si="72"/>
        <v>0</v>
      </c>
      <c r="I73" s="200">
        <f ca="1">IFERROR(__xludf.DUMMYFUNCTION("IMPORTRANGE(""https://docs.google.com/spreadsheets/d/12Q_U0nVnFdxDFwa0pej9xvx8ZvLC9Dpi_vRro_aiG5g/edit?usp=sharing"",""อ่างทอง!N550"")"),0)</f>
        <v>0</v>
      </c>
      <c r="J73" s="200">
        <f ca="1">IFERROR(__xludf.DUMMYFUNCTION("IMPORTRANGE(""https://docs.google.com/spreadsheets/d/12Q_U0nVnFdxDFwa0pej9xvx8ZvLC9Dpi_vRro_aiG5g/edit?usp=sharing"",""อ่างทอง!N551"")"),0)</f>
        <v>0</v>
      </c>
      <c r="K73" s="200">
        <f ca="1">IFERROR(__xludf.DUMMYFUNCTION("IMPORTRANGE(""https://docs.google.com/spreadsheets/d/12Q_U0nVnFdxDFwa0pej9xvx8ZvLC9Dpi_vRro_aiG5g/edit?usp=sharing"",""อ่างทอง!N552"")"),0)</f>
        <v>0</v>
      </c>
      <c r="L73" s="200">
        <f ca="1">IFERROR(__xludf.DUMMYFUNCTION("IMPORTRANGE(""https://docs.google.com/spreadsheets/d/12Q_U0nVnFdxDFwa0pej9xvx8ZvLC9Dpi_vRro_aiG5g/edit?usp=sharing"",""อ่างทอง!N553"")"),0)</f>
        <v>0</v>
      </c>
      <c r="M73" s="200">
        <f ca="1">IFERROR(__xludf.DUMMYFUNCTION("IMPORTRANGE(""https://docs.google.com/spreadsheets/d/12Q_U0nVnFdxDFwa0pej9xvx8ZvLC9Dpi_vRro_aiG5g/edit?usp=sharing"",""อ่างทอง!N554"")"),0)</f>
        <v>0</v>
      </c>
      <c r="N73" s="201">
        <f ca="1">IFERROR(__xludf.DUMMYFUNCTION("IMPORTRANGE(""https://docs.google.com/spreadsheets/d/12Q_U0nVnFdxDFwa0pej9xvx8ZvLC9Dpi_vRro_aiG5g/edit?usp=sharing"",""อ่างทอง!N557"")"),0)</f>
        <v>0</v>
      </c>
      <c r="O73" s="201">
        <f t="shared" ca="1" si="41"/>
        <v>0</v>
      </c>
      <c r="P73" s="202">
        <f ca="1">IFERROR(__xludf.DUMMYFUNCTION("IMPORTRANGE(""https://docs.google.com/spreadsheets/d/12Q_U0nVnFdxDFwa0pej9xvx8ZvLC9Dpi_vRro_aiG5g/edit?usp=sharing"",""อ่างทอง!I560"")"),0)</f>
        <v>0</v>
      </c>
      <c r="Q73" s="202">
        <f ca="1">IFERROR(__xludf.DUMMYFUNCTION("IMPORTRANGE(""https://docs.google.com/spreadsheets/d/12Q_U0nVnFdxDFwa0pej9xvx8ZvLC9Dpi_vRro_aiG5g/edit?usp=sharing"",""อ่างทอง!I561"")"),0)</f>
        <v>0</v>
      </c>
      <c r="R73" s="203">
        <f ca="1">IFERROR(__xludf.DUMMYFUNCTION("IMPORTRANGE(""https://docs.google.com/spreadsheets/d/12Q_U0nVnFdxDFwa0pej9xvx8ZvLC9Dpi_vRro_aiG5g/edit?usp=sharing"",""อ่างทอง!J560"")"),0)</f>
        <v>0</v>
      </c>
      <c r="S73" s="203">
        <f t="shared" ca="1" si="33"/>
        <v>0</v>
      </c>
      <c r="T73" s="202">
        <f ca="1">IFERROR(__xludf.DUMMYFUNCTION("IMPORTRANGE(""https://docs.google.com/spreadsheets/d/12Q_U0nVnFdxDFwa0pej9xvx8ZvLC9Dpi_vRro_aiG5g/edit?usp=sharing"",""อ่างทอง!J561"")"),0)</f>
        <v>0</v>
      </c>
      <c r="U73" s="203">
        <f t="shared" ca="1" si="7"/>
        <v>0</v>
      </c>
      <c r="V73" s="203">
        <f ca="1">IFERROR(__xludf.DUMMYFUNCTION("IMPORTRANGE(""https://docs.google.com/spreadsheets/d/12Q_U0nVnFdxDFwa0pej9xvx8ZvLC9Dpi_vRro_aiG5g/edit?usp=sharing"",""อ่างทอง!J562"")"),0)</f>
        <v>0</v>
      </c>
      <c r="W73" s="263">
        <f ca="1">IFERROR(__xludf.DUMMYFUNCTION("IMPORTRANGE(""https://docs.google.com/spreadsheets/d/12Q_U0nVnFdxDFwa0pej9xvx8ZvLC9Dpi_vRro_aiG5g/edit?usp=sharing"",""อ่างทอง!J563"")"),0)</f>
        <v>0</v>
      </c>
      <c r="X73" s="203">
        <f ca="1">IFERROR(__xludf.DUMMYFUNCTION("IMPORTRANGE(""https://docs.google.com/spreadsheets/d/12Q_U0nVnFdxDFwa0pej9xvx8ZvLC9Dpi_vRro_aiG5g/edit?usp=sharing"",""อ่างทอง!J564"")"),0)</f>
        <v>0</v>
      </c>
      <c r="Y73" s="263">
        <f ca="1">IFERROR(__xludf.DUMMYFUNCTION("IMPORTRANGE(""https://docs.google.com/spreadsheets/d/12Q_U0nVnFdxDFwa0pej9xvx8ZvLC9Dpi_vRro_aiG5g/edit?usp=sharing"",""อ่างทอง!J565"")"),0)</f>
        <v>0</v>
      </c>
      <c r="Z73" s="203">
        <f ca="1">IFERROR(__xludf.DUMMYFUNCTION("IMPORTRANGE(""https://docs.google.com/spreadsheets/d/12Q_U0nVnFdxDFwa0pej9xvx8ZvLC9Dpi_vRro_aiG5g/edit?usp=sharing"",""อ่างทอง!J566"")"),0)</f>
        <v>0</v>
      </c>
      <c r="AA73" s="263">
        <f ca="1">IFERROR(__xludf.DUMMYFUNCTION("IMPORTRANGE(""https://docs.google.com/spreadsheets/d/12Q_U0nVnFdxDFwa0pej9xvx8ZvLC9Dpi_vRro_aiG5g/edit?usp=sharing"",""อ่างทอง!J567"")"),0)</f>
        <v>0</v>
      </c>
      <c r="AB73" s="202">
        <f ca="1">IFERROR(__xludf.DUMMYFUNCTION("IMPORTRANGE(""https://docs.google.com/spreadsheets/d/12Q_U0nVnFdxDFwa0pej9xvx8ZvLC9Dpi_vRro_aiG5g/edit?usp=sharing"",""อ่างทอง!I568"")"),0)</f>
        <v>0</v>
      </c>
      <c r="AC73" s="202">
        <f ca="1">IFERROR(__xludf.DUMMYFUNCTION("IMPORTRANGE(""https://docs.google.com/spreadsheets/d/12Q_U0nVnFdxDFwa0pej9xvx8ZvLC9Dpi_vRro_aiG5g/edit?usp=sharing"",""อ่างทอง!I569"")"),0)</f>
        <v>0</v>
      </c>
      <c r="AD73" s="203">
        <f ca="1">IFERROR(__xludf.DUMMYFUNCTION("IMPORTRANGE(""https://docs.google.com/spreadsheets/d/12Q_U0nVnFdxDFwa0pej9xvx8ZvLC9Dpi_vRro_aiG5g/edit?usp=sharing"",""อ่างทอง!J568"")"),0)</f>
        <v>0</v>
      </c>
      <c r="AE73" s="203">
        <f t="shared" ca="1" si="34"/>
        <v>0</v>
      </c>
      <c r="AF73" s="202">
        <f ca="1">IFERROR(__xludf.DUMMYFUNCTION("IMPORTRANGE(""https://docs.google.com/spreadsheets/d/12Q_U0nVnFdxDFwa0pej9xvx8ZvLC9Dpi_vRro_aiG5g/edit?usp=sharing"",""อ่างทอง!J569"")"),0)</f>
        <v>0</v>
      </c>
      <c r="AG73" s="203">
        <f t="shared" ca="1" si="10"/>
        <v>0</v>
      </c>
      <c r="AH73" s="203">
        <f ca="1">IFERROR(__xludf.DUMMYFUNCTION("IMPORTRANGE(""https://docs.google.com/spreadsheets/d/12Q_U0nVnFdxDFwa0pej9xvx8ZvLC9Dpi_vRro_aiG5g/edit?usp=sharing"",""อ่างทอง!J570"")"),0)</f>
        <v>0</v>
      </c>
      <c r="AI73" s="263">
        <f ca="1">IFERROR(__xludf.DUMMYFUNCTION("IMPORTRANGE(""https://docs.google.com/spreadsheets/d/12Q_U0nVnFdxDFwa0pej9xvx8ZvLC9Dpi_vRro_aiG5g/edit?usp=sharing"",""อ่างทอง!J571"")"),0)</f>
        <v>0</v>
      </c>
      <c r="AJ73" s="203">
        <f ca="1">IFERROR(__xludf.DUMMYFUNCTION("IMPORTRANGE(""https://docs.google.com/spreadsheets/d/12Q_U0nVnFdxDFwa0pej9xvx8ZvLC9Dpi_vRro_aiG5g/edit?usp=sharing"",""อ่างทอง!J572"")"),0)</f>
        <v>0</v>
      </c>
      <c r="AK73" s="263">
        <f ca="1">IFERROR(__xludf.DUMMYFUNCTION("IMPORTRANGE(""https://docs.google.com/spreadsheets/d/12Q_U0nVnFdxDFwa0pej9xvx8ZvLC9Dpi_vRro_aiG5g/edit?usp=sharing"",""อ่างทอง!J573"")"),0)</f>
        <v>0</v>
      </c>
      <c r="AL73" s="203">
        <f ca="1">IFERROR(__xludf.DUMMYFUNCTION("IMPORTRANGE(""https://docs.google.com/spreadsheets/d/12Q_U0nVnFdxDFwa0pej9xvx8ZvLC9Dpi_vRro_aiG5g/edit?usp=sharing"",""อ่างทอง!J574"")"),0)</f>
        <v>0</v>
      </c>
      <c r="AM73" s="263">
        <f ca="1">IFERROR(__xludf.DUMMYFUNCTION("IMPORTRANGE(""https://docs.google.com/spreadsheets/d/12Q_U0nVnFdxDFwa0pej9xvx8ZvLC9Dpi_vRro_aiG5g/edit?usp=sharing"",""อ่างทอง!J575"")"),0)</f>
        <v>0</v>
      </c>
      <c r="AN73" s="202">
        <f ca="1">IFERROR(__xludf.DUMMYFUNCTION("IMPORTRANGE(""https://docs.google.com/spreadsheets/d/12Q_U0nVnFdxDFwa0pej9xvx8ZvLC9Dpi_vRro_aiG5g/edit?usp=sharing"",""อ่างทอง!I576"")"),0)</f>
        <v>0</v>
      </c>
      <c r="AO73" s="202">
        <f ca="1">IFERROR(__xludf.DUMMYFUNCTION("IMPORTRANGE(""https://docs.google.com/spreadsheets/d/12Q_U0nVnFdxDFwa0pej9xvx8ZvLC9Dpi_vRro_aiG5g/edit?usp=sharing"",""อ่างทอง!I577"")"),0)</f>
        <v>0</v>
      </c>
      <c r="AP73" s="203">
        <f ca="1">IFERROR(__xludf.DUMMYFUNCTION("IMPORTRANGE(""https://docs.google.com/spreadsheets/d/12Q_U0nVnFdxDFwa0pej9xvx8ZvLC9Dpi_vRro_aiG5g/edit?usp=sharing"",""อ่างทอง!J576"")"),0)</f>
        <v>0</v>
      </c>
      <c r="AQ73" s="203">
        <f t="shared" ca="1" si="35"/>
        <v>0</v>
      </c>
      <c r="AR73" s="202">
        <f ca="1">IFERROR(__xludf.DUMMYFUNCTION("IMPORTRANGE(""https://docs.google.com/spreadsheets/d/12Q_U0nVnFdxDFwa0pej9xvx8ZvLC9Dpi_vRro_aiG5g/edit?usp=sharing"",""อ่างทอง!J577"")"),0)</f>
        <v>0</v>
      </c>
      <c r="AS73" s="203">
        <f t="shared" ca="1" si="13"/>
        <v>0</v>
      </c>
      <c r="AT73" s="203">
        <f ca="1">IFERROR(__xludf.DUMMYFUNCTION("IMPORTRANGE(""https://docs.google.com/spreadsheets/d/12Q_U0nVnFdxDFwa0pej9xvx8ZvLC9Dpi_vRro_aiG5g/edit?usp=sharing"",""อ่างทอง!J578"")"),0)</f>
        <v>0</v>
      </c>
      <c r="AU73" s="263">
        <f ca="1">IFERROR(__xludf.DUMMYFUNCTION("IMPORTRANGE(""https://docs.google.com/spreadsheets/d/12Q_U0nVnFdxDFwa0pej9xvx8ZvLC9Dpi_vRro_aiG5g/edit?usp=sharing"",""อ่างทอง!J579"")"),0)</f>
        <v>0</v>
      </c>
      <c r="AV73" s="203">
        <f ca="1">IFERROR(__xludf.DUMMYFUNCTION("IMPORTRANGE(""https://docs.google.com/spreadsheets/d/12Q_U0nVnFdxDFwa0pej9xvx8ZvLC9Dpi_vRro_aiG5g/edit?usp=sharing"",""อ่างทอง!J580"")"),0)</f>
        <v>0</v>
      </c>
      <c r="AW73" s="263">
        <f ca="1">IFERROR(__xludf.DUMMYFUNCTION("IMPORTRANGE(""https://docs.google.com/spreadsheets/d/12Q_U0nVnFdxDFwa0pej9xvx8ZvLC9Dpi_vRro_aiG5g/edit?usp=sharing"",""อ่างทอง!J581"")"),0)</f>
        <v>0</v>
      </c>
      <c r="AX73" s="203">
        <f ca="1">IFERROR(__xludf.DUMMYFUNCTION("IMPORTRANGE(""https://docs.google.com/spreadsheets/d/12Q_U0nVnFdxDFwa0pej9xvx8ZvLC9Dpi_vRro_aiG5g/edit?usp=sharing"",""อ่างทอง!J582"")"),0)</f>
        <v>0</v>
      </c>
      <c r="AY73" s="263">
        <f ca="1">IFERROR(__xludf.DUMMYFUNCTION("IMPORTRANGE(""https://docs.google.com/spreadsheets/d/12Q_U0nVnFdxDFwa0pej9xvx8ZvLC9Dpi_vRro_aiG5g/edit?usp=sharing"",""อ่างทอง!J583"")"),0)</f>
        <v>0</v>
      </c>
      <c r="AZ73" s="264">
        <f ca="1">IFERROR(__xludf.DUMMYFUNCTION("IMPORTRANGE(""https://docs.google.com/spreadsheets/d/12Q_U0nVnFdxDFwa0pej9xvx8ZvLC9Dpi_vRro_aiG5g/edit?usp=sharing"",""อ่างทอง!J584"")"),0)</f>
        <v>0</v>
      </c>
      <c r="BA73" s="263">
        <f ca="1">IFERROR(__xludf.DUMMYFUNCTION("IMPORTRANGE(""https://docs.google.com/spreadsheets/d/12Q_U0nVnFdxDFwa0pej9xvx8ZvLC9Dpi_vRro_aiG5g/edit?usp=sharing"",""อ่างทอง!J585"")"),0)</f>
        <v>0</v>
      </c>
      <c r="BB73" s="264">
        <f ca="1">IFERROR(__xludf.DUMMYFUNCTION("IMPORTRANGE(""https://docs.google.com/spreadsheets/d/12Q_U0nVnFdxDFwa0pej9xvx8ZvLC9Dpi_vRro_aiG5g/edit?usp=sharing"",""อ่างทอง!J586"")"),0)</f>
        <v>0</v>
      </c>
      <c r="BC73" s="263">
        <f ca="1">IFERROR(__xludf.DUMMYFUNCTION("IMPORTRANGE(""https://docs.google.com/spreadsheets/d/12Q_U0nVnFdxDFwa0pej9xvx8ZvLC9Dpi_vRro_aiG5g/edit?usp=sharing"",""อ่างทอง!J587"")"),0)</f>
        <v>0</v>
      </c>
      <c r="BD73" s="203">
        <f ca="1">IFERROR(__xludf.DUMMYFUNCTION("IMPORTRANGE(""https://docs.google.com/spreadsheets/d/12Q_U0nVnFdxDFwa0pej9xvx8ZvLC9Dpi_vRro_aiG5g/edit?usp=sharing"",""อ่างทอง!J588"")"),0)</f>
        <v>0</v>
      </c>
      <c r="BE73" s="263">
        <f ca="1">IFERROR(__xludf.DUMMYFUNCTION("IMPORTRANGE(""https://docs.google.com/spreadsheets/d/12Q_U0nVnFdxDFwa0pej9xvx8ZvLC9Dpi_vRro_aiG5g/edit?usp=sharing"",""อ่างทอง!J589"")"),0)</f>
        <v>0</v>
      </c>
      <c r="BF73" s="203">
        <f ca="1">IFERROR(__xludf.DUMMYFUNCTION("IMPORTRANGE(""https://docs.google.com/spreadsheets/d/12Q_U0nVnFdxDFwa0pej9xvx8ZvLC9Dpi_vRro_aiG5g/edit?usp=sharing"",""อ่างทอง!J590"")"),0)</f>
        <v>0</v>
      </c>
      <c r="BG73" s="263">
        <f ca="1">IFERROR(__xludf.DUMMYFUNCTION("IMPORTRANGE(""https://docs.google.com/spreadsheets/d/12Q_U0nVnFdxDFwa0pej9xvx8ZvLC9Dpi_vRro_aiG5g/edit?usp=sharing"",""อ่างทอง!J591"")"),0)</f>
        <v>0</v>
      </c>
      <c r="BH73" s="202">
        <f ca="1">IFERROR(__xludf.DUMMYFUNCTION("IMPORTRANGE(""https://docs.google.com/spreadsheets/d/12Q_U0nVnFdxDFwa0pej9xvx8ZvLC9Dpi_vRro_aiG5g/edit?usp=sharing"",""อ่างทอง!I593"")"),258.67)</f>
        <v>258.67</v>
      </c>
      <c r="BI73" s="202">
        <f ca="1">IFERROR(__xludf.DUMMYFUNCTION("IMPORTRANGE(""https://docs.google.com/spreadsheets/d/12Q_U0nVnFdxDFwa0pej9xvx8ZvLC9Dpi_vRro_aiG5g/edit?usp=sharing"",""อ่างทอง!I594"")"),64)</f>
        <v>64</v>
      </c>
      <c r="BJ73" s="203">
        <f ca="1">IFERROR(__xludf.DUMMYFUNCTION("IMPORTRANGE(""https://docs.google.com/spreadsheets/d/12Q_U0nVnFdxDFwa0pej9xvx8ZvLC9Dpi_vRro_aiG5g/edit?usp=sharing"",""อ่างทอง!J593"")"),0)</f>
        <v>0</v>
      </c>
      <c r="BK73" s="203">
        <f t="shared" ca="1" si="36"/>
        <v>0</v>
      </c>
      <c r="BL73" s="202">
        <f ca="1">IFERROR(__xludf.DUMMYFUNCTION("IMPORTRANGE(""https://docs.google.com/spreadsheets/d/12Q_U0nVnFdxDFwa0pej9xvx8ZvLC9Dpi_vRro_aiG5g/edit?usp=sharing"",""อ่างทอง!J594"")"),0)</f>
        <v>0</v>
      </c>
      <c r="BM73" s="203">
        <f t="shared" ca="1" si="16"/>
        <v>0</v>
      </c>
      <c r="BN73" s="203">
        <f ca="1">IFERROR(__xludf.DUMMYFUNCTION("IMPORTRANGE(""https://docs.google.com/spreadsheets/d/12Q_U0nVnFdxDFwa0pej9xvx8ZvLC9Dpi_vRro_aiG5g/edit?usp=sharing"",""อ่างทอง!J595"")"),0)</f>
        <v>0</v>
      </c>
      <c r="BO73" s="263">
        <f ca="1">IFERROR(__xludf.DUMMYFUNCTION("IMPORTRANGE(""https://docs.google.com/spreadsheets/d/12Q_U0nVnFdxDFwa0pej9xvx8ZvLC9Dpi_vRro_aiG5g/edit?usp=sharing"",""อ่างทอง!J596"")"),0)</f>
        <v>0</v>
      </c>
      <c r="BP73" s="203">
        <f ca="1">IFERROR(__xludf.DUMMYFUNCTION("IMPORTRANGE(""https://docs.google.com/spreadsheets/d/12Q_U0nVnFdxDFwa0pej9xvx8ZvLC9Dpi_vRro_aiG5g/edit?usp=sharing"",""อ่างทอง!J597"")"),0)</f>
        <v>0</v>
      </c>
      <c r="BQ73" s="263">
        <f ca="1">IFERROR(__xludf.DUMMYFUNCTION("IMPORTRANGE(""https://docs.google.com/spreadsheets/d/12Q_U0nVnFdxDFwa0pej9xvx8ZvLC9Dpi_vRro_aiG5g/edit?usp=sharing"",""อ่างทอง!J598"")"),0)</f>
        <v>0</v>
      </c>
      <c r="BR73" s="203">
        <f ca="1">IFERROR(__xludf.DUMMYFUNCTION("IMPORTRANGE(""https://docs.google.com/spreadsheets/d/12Q_U0nVnFdxDFwa0pej9xvx8ZvLC9Dpi_vRro_aiG5g/edit?usp=sharing"",""อ่างทอง!J599"")"),0)</f>
        <v>0</v>
      </c>
      <c r="BS73" s="263">
        <f ca="1">IFERROR(__xludf.DUMMYFUNCTION("IMPORTRANGE(""https://docs.google.com/spreadsheets/d/12Q_U0nVnFdxDFwa0pej9xvx8ZvLC9Dpi_vRro_aiG5g/edit?usp=sharing"",""อ่างทอง!J600"")"),0)</f>
        <v>0</v>
      </c>
      <c r="BT73" s="264">
        <f ca="1">IFERROR(__xludf.DUMMYFUNCTION("IMPORTRANGE(""https://docs.google.com/spreadsheets/d/12Q_U0nVnFdxDFwa0pej9xvx8ZvLC9Dpi_vRro_aiG5g/edit?usp=sharing"",""อ่างทอง!J601"")"),0)</f>
        <v>0</v>
      </c>
      <c r="BU73" s="263">
        <f ca="1">IFERROR(__xludf.DUMMYFUNCTION("IMPORTRANGE(""https://docs.google.com/spreadsheets/d/12Q_U0nVnFdxDFwa0pej9xvx8ZvLC9Dpi_vRro_aiG5g/edit?usp=sharing"",""อ่างทอง!J602"")"),0)</f>
        <v>0</v>
      </c>
      <c r="BV73" s="203">
        <f ca="1">IFERROR(__xludf.DUMMYFUNCTION("IMPORTRANGE(""https://docs.google.com/spreadsheets/d/12Q_U0nVnFdxDFwa0pej9xvx8ZvLC9Dpi_vRro_aiG5g/edit?usp=sharing"",""อ่างทอง!J603"")"),0)</f>
        <v>0</v>
      </c>
      <c r="BW73" s="263">
        <f ca="1">IFERROR(__xludf.DUMMYFUNCTION("IMPORTRANGE(""https://docs.google.com/spreadsheets/d/12Q_U0nVnFdxDFwa0pej9xvx8ZvLC9Dpi_vRro_aiG5g/edit?usp=sharing"",""อ่างทอง!J604"")"),0)</f>
        <v>0</v>
      </c>
      <c r="BX73" s="203">
        <f ca="1">IFERROR(__xludf.DUMMYFUNCTION("IMPORTRANGE(""https://docs.google.com/spreadsheets/d/12Q_U0nVnFdxDFwa0pej9xvx8ZvLC9Dpi_vRro_aiG5g/edit?usp=sharing"",""อ่างทอง!J605"")"),0)</f>
        <v>0</v>
      </c>
      <c r="BY73" s="263">
        <f ca="1">IFERROR(__xludf.DUMMYFUNCTION("IMPORTRANGE(""https://docs.google.com/spreadsheets/d/12Q_U0nVnFdxDFwa0pej9xvx8ZvLC9Dpi_vRro_aiG5g/edit?usp=sharing"",""อ่างทอง!J606"")"),0)</f>
        <v>0</v>
      </c>
      <c r="BZ73" s="203">
        <f ca="1">IFERROR(__xludf.DUMMYFUNCTION("IMPORTRANGE(""https://docs.google.com/spreadsheets/d/12Q_U0nVnFdxDFwa0pej9xvx8ZvLC9Dpi_vRro_aiG5g/edit?usp=sharing"",""อ่างทอง!J607"")"),0)</f>
        <v>0</v>
      </c>
      <c r="CA73" s="263">
        <f ca="1">IFERROR(__xludf.DUMMYFUNCTION("IMPORTRANGE(""https://docs.google.com/spreadsheets/d/12Q_U0nVnFdxDFwa0pej9xvx8ZvLC9Dpi_vRro_aiG5g/edit?usp=sharing"",""อ่างทอง!J608"")"),0)</f>
        <v>0</v>
      </c>
      <c r="CB73" s="203">
        <f ca="1">IFERROR(__xludf.DUMMYFUNCTION("IMPORTRANGE(""https://docs.google.com/spreadsheets/d/12Q_U0nVnFdxDFwa0pej9xvx8ZvLC9Dpi_vRro_aiG5g/edit?usp=sharing"",""อ่างทอง!J609"")"),0)</f>
        <v>0</v>
      </c>
      <c r="CC73" s="263">
        <f ca="1">IFERROR(__xludf.DUMMYFUNCTION("IMPORTRANGE(""https://docs.google.com/spreadsheets/d/12Q_U0nVnFdxDFwa0pej9xvx8ZvLC9Dpi_vRro_aiG5g/edit?usp=sharing"",""อ่างทอง!J610"")"),0)</f>
        <v>0</v>
      </c>
      <c r="CD73" s="263">
        <f ca="1">IFERROR(__xludf.DUMMYFUNCTION("IMPORTRANGE(""https://docs.google.com/spreadsheets/d/12Q_U0nVnFdxDFwa0pej9xvx8ZvLC9Dpi_vRro_aiG5g/edit?usp=sharing"",""อ่างทอง!I612"")"),0)</f>
        <v>0</v>
      </c>
      <c r="CE73" s="263">
        <f ca="1">IFERROR(__xludf.DUMMYFUNCTION("IMPORTRANGE(""https://docs.google.com/spreadsheets/d/12Q_U0nVnFdxDFwa0pej9xvx8ZvLC9Dpi_vRro_aiG5g/edit?usp=sharing"",""อ่างทอง!I594"")"),64)</f>
        <v>64</v>
      </c>
      <c r="CF73" s="264">
        <f ca="1">IFERROR(__xludf.DUMMYFUNCTION("IMPORTRANGE(""https://docs.google.com/spreadsheets/d/12Q_U0nVnFdxDFwa0pej9xvx8ZvLC9Dpi_vRro_aiG5g/edit?usp=sharing"",""อ่างทอง!J612"")"),0)</f>
        <v>0</v>
      </c>
      <c r="CG73" s="264">
        <f t="shared" ca="1" si="37"/>
        <v>0</v>
      </c>
      <c r="CH73" s="263">
        <f ca="1">IFERROR(__xludf.DUMMYFUNCTION("IMPORTRANGE(""https://docs.google.com/spreadsheets/d/12Q_U0nVnFdxDFwa0pej9xvx8ZvLC9Dpi_vRro_aiG5g/edit?usp=sharing"",""อ่างทอง!J613"")"),0)</f>
        <v>0</v>
      </c>
      <c r="CI73" s="264">
        <f t="shared" ca="1" si="19"/>
        <v>0</v>
      </c>
      <c r="CJ73" s="203">
        <f ca="1">IFERROR(__xludf.DUMMYFUNCTION("IMPORTRANGE(""https://docs.google.com/spreadsheets/d/12Q_U0nVnFdxDFwa0pej9xvx8ZvLC9Dpi_vRro_aiG5g/edit?usp=sharing"",""อ่างทอง!J614"")"),0)</f>
        <v>0</v>
      </c>
      <c r="CK73" s="263">
        <f ca="1">IFERROR(__xludf.DUMMYFUNCTION("IMPORTRANGE(""https://docs.google.com/spreadsheets/d/12Q_U0nVnFdxDFwa0pej9xvx8ZvLC9Dpi_vRro_aiG5g/edit?usp=sharing"",""อ่างทอง!J615"")"),0)</f>
        <v>0</v>
      </c>
      <c r="CL73" s="203">
        <f ca="1">IFERROR(__xludf.DUMMYFUNCTION("IMPORTRANGE(""https://docs.google.com/spreadsheets/d/12Q_U0nVnFdxDFwa0pej9xvx8ZvLC9Dpi_vRro_aiG5g/edit?usp=sharing"",""อ่างทอง!J616"")"),0)</f>
        <v>0</v>
      </c>
      <c r="CM73" s="263">
        <f ca="1">IFERROR(__xludf.DUMMYFUNCTION("IMPORTRANGE(""https://docs.google.com/spreadsheets/d/12Q_U0nVnFdxDFwa0pej9xvx8ZvLC9Dpi_vRro_aiG5g/edit?usp=sharing"",""อ่างทอง!J617"")"),0)</f>
        <v>0</v>
      </c>
      <c r="CN73" s="263">
        <f ca="1">IFERROR(__xludf.DUMMYFUNCTION("IMPORTRANGE(""https://docs.google.com/spreadsheets/d/12Q_U0nVnFdxDFwa0pej9xvx8ZvLC9Dpi_vRro_aiG5g/edit?usp=sharing"",""อ่างทอง!I620"")"),0)</f>
        <v>0</v>
      </c>
      <c r="CO73" s="263">
        <f ca="1">IFERROR(__xludf.DUMMYFUNCTION("IMPORTRANGE(""https://docs.google.com/spreadsheets/d/12Q_U0nVnFdxDFwa0pej9xvx8ZvLC9Dpi_vRro_aiG5g/edit?usp=sharing"",""อ่างทอง!I621"")"),0)</f>
        <v>0</v>
      </c>
      <c r="CP73" s="264">
        <f ca="1">IFERROR(__xludf.DUMMYFUNCTION("IMPORTRANGE(""https://docs.google.com/spreadsheets/d/12Q_U0nVnFdxDFwa0pej9xvx8ZvLC9Dpi_vRro_aiG5g/edit?usp=sharing"",""อ่างทอง!J620"")"),0)</f>
        <v>0</v>
      </c>
      <c r="CQ73" s="264">
        <f t="shared" ca="1" si="38"/>
        <v>0</v>
      </c>
      <c r="CR73" s="263">
        <f ca="1">IFERROR(__xludf.DUMMYFUNCTION("IMPORTRANGE(""https://docs.google.com/spreadsheets/d/12Q_U0nVnFdxDFwa0pej9xvx8ZvLC9Dpi_vRro_aiG5g/edit?usp=sharing"",""อ่างทอง!J621"")"),0)</f>
        <v>0</v>
      </c>
      <c r="CS73" s="264">
        <f t="shared" ca="1" si="22"/>
        <v>0</v>
      </c>
      <c r="CT73" s="203">
        <f ca="1">IFERROR(__xludf.DUMMYFUNCTION("IMPORTRANGE(""https://docs.google.com/spreadsheets/d/12Q_U0nVnFdxDFwa0pej9xvx8ZvLC9Dpi_vRro_aiG5g/edit?usp=sharing"",""อ่างทอง!J622"")"),0)</f>
        <v>0</v>
      </c>
      <c r="CU73" s="263">
        <f ca="1">IFERROR(__xludf.DUMMYFUNCTION("IMPORTRANGE(""https://docs.google.com/spreadsheets/d/12Q_U0nVnFdxDFwa0pej9xvx8ZvLC9Dpi_vRro_aiG5g/edit?usp=sharing"",""อ่างทอง!J623"")"),0)</f>
        <v>0</v>
      </c>
      <c r="CV73" s="203">
        <f ca="1">IFERROR(__xludf.DUMMYFUNCTION("IMPORTRANGE(""https://docs.google.com/spreadsheets/d/12Q_U0nVnFdxDFwa0pej9xvx8ZvLC9Dpi_vRro_aiG5g/edit?usp=sharing"",""อ่างทอง!J624"")"),0)</f>
        <v>0</v>
      </c>
      <c r="CW73" s="263">
        <f ca="1">IFERROR(__xludf.DUMMYFUNCTION("IMPORTRANGE(""https://docs.google.com/spreadsheets/d/12Q_U0nVnFdxDFwa0pej9xvx8ZvLC9Dpi_vRro_aiG5g/edit?usp=sharing"",""อ่างทอง!J625"")"),0)</f>
        <v>0</v>
      </c>
      <c r="CX73" s="203">
        <f ca="1">IFERROR(__xludf.DUMMYFUNCTION("IMPORTRANGE(""https://docs.google.com/spreadsheets/d/12Q_U0nVnFdxDFwa0pej9xvx8ZvLC9Dpi_vRro_aiG5g/edit?usp=sharing"",""อ่างทอง!J626"")"),0)</f>
        <v>0</v>
      </c>
      <c r="CY73" s="263">
        <f ca="1">IFERROR(__xludf.DUMMYFUNCTION("IMPORTRANGE(""https://docs.google.com/spreadsheets/d/12Q_U0nVnFdxDFwa0pej9xvx8ZvLC9Dpi_vRro_aiG5g/edit?usp=sharing"",""อ่างทอง!J627"")"),0)</f>
        <v>0</v>
      </c>
    </row>
    <row r="74" spans="1:103" ht="21" customHeight="1" x14ac:dyDescent="0.3">
      <c r="A74" s="338" t="s">
        <v>91</v>
      </c>
      <c r="B74" s="339"/>
      <c r="C74" s="265">
        <f t="shared" ref="C74:E74" ca="1" si="73">SUM(C75:C88)</f>
        <v>5238283</v>
      </c>
      <c r="D74" s="159">
        <f t="shared" ca="1" si="73"/>
        <v>5238283</v>
      </c>
      <c r="E74" s="159">
        <f t="shared" ca="1" si="73"/>
        <v>0</v>
      </c>
      <c r="F74" s="159">
        <f t="shared" ca="1" si="1"/>
        <v>1155141.23</v>
      </c>
      <c r="G74" s="253">
        <f t="shared" ca="1" si="2"/>
        <v>22.05190574850576</v>
      </c>
      <c r="H74" s="159">
        <f t="shared" ref="H74:N74" ca="1" si="74">SUM(H75:H88)</f>
        <v>1155141.23</v>
      </c>
      <c r="I74" s="159">
        <f t="shared" ca="1" si="74"/>
        <v>0</v>
      </c>
      <c r="J74" s="159">
        <f t="shared" ca="1" si="74"/>
        <v>0</v>
      </c>
      <c r="K74" s="159">
        <f t="shared" ca="1" si="74"/>
        <v>474118.39</v>
      </c>
      <c r="L74" s="159">
        <f t="shared" ca="1" si="74"/>
        <v>671522.83999999985</v>
      </c>
      <c r="M74" s="159">
        <f t="shared" ca="1" si="74"/>
        <v>9500</v>
      </c>
      <c r="N74" s="161">
        <f t="shared" ca="1" si="74"/>
        <v>0</v>
      </c>
      <c r="O74" s="161">
        <f t="shared" ca="1" si="41"/>
        <v>0</v>
      </c>
      <c r="P74" s="159">
        <f t="shared" ref="P74:R74" ca="1" si="75">SUM(P75:P88)</f>
        <v>380540</v>
      </c>
      <c r="Q74" s="159">
        <f t="shared" ca="1" si="75"/>
        <v>42774</v>
      </c>
      <c r="R74" s="162">
        <f t="shared" ca="1" si="75"/>
        <v>373757.62449999986</v>
      </c>
      <c r="S74" s="162">
        <f t="shared" ca="1" si="33"/>
        <v>98.217697088348103</v>
      </c>
      <c r="T74" s="159">
        <f ca="1">SUM(T75:T88)</f>
        <v>41844</v>
      </c>
      <c r="U74" s="162">
        <f t="shared" ca="1" si="7"/>
        <v>97.825782017113198</v>
      </c>
      <c r="V74" s="162">
        <f t="shared" ref="V74:AD74" ca="1" si="76">SUM(V75:V88)</f>
        <v>334534.72899999999</v>
      </c>
      <c r="W74" s="254">
        <f t="shared" ca="1" si="76"/>
        <v>37726</v>
      </c>
      <c r="X74" s="162">
        <f t="shared" ca="1" si="76"/>
        <v>32775.078000000001</v>
      </c>
      <c r="Y74" s="254">
        <f t="shared" ca="1" si="76"/>
        <v>3352</v>
      </c>
      <c r="Z74" s="162">
        <f t="shared" ca="1" si="76"/>
        <v>6447.8175000000001</v>
      </c>
      <c r="AA74" s="254">
        <f t="shared" ca="1" si="76"/>
        <v>766</v>
      </c>
      <c r="AB74" s="159">
        <f t="shared" ca="1" si="76"/>
        <v>380540</v>
      </c>
      <c r="AC74" s="159">
        <f t="shared" ca="1" si="76"/>
        <v>42774</v>
      </c>
      <c r="AD74" s="162">
        <f t="shared" ca="1" si="76"/>
        <v>91075.217499999999</v>
      </c>
      <c r="AE74" s="162">
        <f t="shared" ca="1" si="34"/>
        <v>23.933152231040101</v>
      </c>
      <c r="AF74" s="159">
        <f ca="1">SUM(AF75:AF88)</f>
        <v>8377</v>
      </c>
      <c r="AG74" s="162">
        <f t="shared" ca="1" si="10"/>
        <v>19.584326927572825</v>
      </c>
      <c r="AH74" s="162">
        <f t="shared" ref="AH74:AP74" ca="1" si="77">SUM(AH75:AH88)</f>
        <v>89227.217499999999</v>
      </c>
      <c r="AI74" s="254">
        <f t="shared" ca="1" si="77"/>
        <v>8100</v>
      </c>
      <c r="AJ74" s="162">
        <f t="shared" ca="1" si="77"/>
        <v>709</v>
      </c>
      <c r="AK74" s="254">
        <f t="shared" ca="1" si="77"/>
        <v>145</v>
      </c>
      <c r="AL74" s="162">
        <f t="shared" ca="1" si="77"/>
        <v>1139</v>
      </c>
      <c r="AM74" s="254">
        <f t="shared" ca="1" si="77"/>
        <v>132</v>
      </c>
      <c r="AN74" s="159">
        <f t="shared" ca="1" si="77"/>
        <v>380540</v>
      </c>
      <c r="AO74" s="159">
        <f t="shared" ca="1" si="77"/>
        <v>42774</v>
      </c>
      <c r="AP74" s="162">
        <f t="shared" ca="1" si="77"/>
        <v>84228</v>
      </c>
      <c r="AQ74" s="162">
        <f t="shared" ca="1" si="35"/>
        <v>22.133809849161718</v>
      </c>
      <c r="AR74" s="159">
        <f ca="1">SUM(AR75:AR88)</f>
        <v>7344</v>
      </c>
      <c r="AS74" s="162">
        <f t="shared" ca="1" si="13"/>
        <v>17.169308458409315</v>
      </c>
      <c r="AT74" s="162">
        <f t="shared" ref="AT74:BJ74" ca="1" si="78">SUM(AT75:AT88)</f>
        <v>75438</v>
      </c>
      <c r="AU74" s="254">
        <f t="shared" ca="1" si="78"/>
        <v>6556</v>
      </c>
      <c r="AV74" s="162">
        <f t="shared" ca="1" si="78"/>
        <v>7744</v>
      </c>
      <c r="AW74" s="254">
        <f t="shared" ca="1" si="78"/>
        <v>672</v>
      </c>
      <c r="AX74" s="162">
        <f t="shared" ca="1" si="78"/>
        <v>1046</v>
      </c>
      <c r="AY74" s="254">
        <f t="shared" ca="1" si="78"/>
        <v>116</v>
      </c>
      <c r="AZ74" s="255">
        <f t="shared" ca="1" si="78"/>
        <v>1046</v>
      </c>
      <c r="BA74" s="254">
        <f t="shared" ca="1" si="78"/>
        <v>116</v>
      </c>
      <c r="BB74" s="255">
        <f t="shared" ca="1" si="78"/>
        <v>0</v>
      </c>
      <c r="BC74" s="254">
        <f t="shared" ca="1" si="78"/>
        <v>0</v>
      </c>
      <c r="BD74" s="162">
        <f t="shared" ca="1" si="78"/>
        <v>0</v>
      </c>
      <c r="BE74" s="254">
        <f t="shared" ca="1" si="78"/>
        <v>0</v>
      </c>
      <c r="BF74" s="162">
        <f t="shared" ca="1" si="78"/>
        <v>0</v>
      </c>
      <c r="BG74" s="254">
        <f t="shared" ca="1" si="78"/>
        <v>0</v>
      </c>
      <c r="BH74" s="159">
        <f t="shared" ca="1" si="78"/>
        <v>52195.270000000004</v>
      </c>
      <c r="BI74" s="159">
        <f t="shared" ca="1" si="78"/>
        <v>4230</v>
      </c>
      <c r="BJ74" s="162">
        <f t="shared" ca="1" si="78"/>
        <v>399</v>
      </c>
      <c r="BK74" s="162">
        <f t="shared" ca="1" si="36"/>
        <v>0.76443708404995314</v>
      </c>
      <c r="BL74" s="159">
        <f ca="1">SUM(BL75:BL88)</f>
        <v>49</v>
      </c>
      <c r="BM74" s="162">
        <f t="shared" ca="1" si="16"/>
        <v>1.1583924349881796</v>
      </c>
      <c r="BN74" s="162">
        <f t="shared" ref="BN74:CF74" ca="1" si="79">SUM(BN75:BN88)</f>
        <v>399</v>
      </c>
      <c r="BO74" s="254">
        <f t="shared" ca="1" si="79"/>
        <v>49</v>
      </c>
      <c r="BP74" s="162">
        <f t="shared" ca="1" si="79"/>
        <v>399</v>
      </c>
      <c r="BQ74" s="254">
        <f t="shared" ca="1" si="79"/>
        <v>49</v>
      </c>
      <c r="BR74" s="162">
        <f t="shared" ca="1" si="79"/>
        <v>0</v>
      </c>
      <c r="BS74" s="254">
        <f t="shared" ca="1" si="79"/>
        <v>0</v>
      </c>
      <c r="BT74" s="255">
        <f t="shared" ca="1" si="79"/>
        <v>0</v>
      </c>
      <c r="BU74" s="254">
        <f t="shared" ca="1" si="79"/>
        <v>0</v>
      </c>
      <c r="BV74" s="162">
        <f t="shared" ca="1" si="79"/>
        <v>0</v>
      </c>
      <c r="BW74" s="254">
        <f t="shared" ca="1" si="79"/>
        <v>0</v>
      </c>
      <c r="BX74" s="162">
        <f t="shared" ca="1" si="79"/>
        <v>0</v>
      </c>
      <c r="BY74" s="254">
        <f t="shared" ca="1" si="79"/>
        <v>0</v>
      </c>
      <c r="BZ74" s="162">
        <f t="shared" ca="1" si="79"/>
        <v>0</v>
      </c>
      <c r="CA74" s="254">
        <f t="shared" ca="1" si="79"/>
        <v>0</v>
      </c>
      <c r="CB74" s="162">
        <f t="shared" ca="1" si="79"/>
        <v>0</v>
      </c>
      <c r="CC74" s="254">
        <f t="shared" ca="1" si="79"/>
        <v>0</v>
      </c>
      <c r="CD74" s="254">
        <f t="shared" ca="1" si="79"/>
        <v>0</v>
      </c>
      <c r="CE74" s="254">
        <f t="shared" ca="1" si="79"/>
        <v>4230</v>
      </c>
      <c r="CF74" s="255">
        <f t="shared" ca="1" si="79"/>
        <v>0</v>
      </c>
      <c r="CG74" s="255">
        <f t="shared" ca="1" si="37"/>
        <v>0</v>
      </c>
      <c r="CH74" s="254">
        <f ca="1">SUM(CH75:CH88)</f>
        <v>0</v>
      </c>
      <c r="CI74" s="255">
        <f t="shared" ca="1" si="19"/>
        <v>0</v>
      </c>
      <c r="CJ74" s="162">
        <f t="shared" ref="CJ74:CP74" ca="1" si="80">SUM(CJ75:CJ88)</f>
        <v>0</v>
      </c>
      <c r="CK74" s="254">
        <f t="shared" ca="1" si="80"/>
        <v>0</v>
      </c>
      <c r="CL74" s="162">
        <f t="shared" ca="1" si="80"/>
        <v>0</v>
      </c>
      <c r="CM74" s="254">
        <f t="shared" ca="1" si="80"/>
        <v>0</v>
      </c>
      <c r="CN74" s="254">
        <f t="shared" ca="1" si="80"/>
        <v>135</v>
      </c>
      <c r="CO74" s="254">
        <f t="shared" ca="1" si="80"/>
        <v>21</v>
      </c>
      <c r="CP74" s="255">
        <f t="shared" ca="1" si="80"/>
        <v>0</v>
      </c>
      <c r="CQ74" s="255">
        <f t="shared" ca="1" si="38"/>
        <v>0</v>
      </c>
      <c r="CR74" s="254">
        <f ca="1">SUM(CR75:CR88)</f>
        <v>0</v>
      </c>
      <c r="CS74" s="255">
        <f t="shared" ca="1" si="22"/>
        <v>0</v>
      </c>
      <c r="CT74" s="162">
        <f t="shared" ref="CT74:CY74" ca="1" si="81">SUM(CT75:CT88)</f>
        <v>0</v>
      </c>
      <c r="CU74" s="254">
        <f t="shared" ca="1" si="81"/>
        <v>0</v>
      </c>
      <c r="CV74" s="162">
        <f t="shared" ca="1" si="81"/>
        <v>0</v>
      </c>
      <c r="CW74" s="254">
        <f t="shared" ca="1" si="81"/>
        <v>0</v>
      </c>
      <c r="CX74" s="162">
        <f t="shared" ca="1" si="81"/>
        <v>0</v>
      </c>
      <c r="CY74" s="254">
        <f t="shared" ca="1" si="81"/>
        <v>0</v>
      </c>
    </row>
    <row r="75" spans="1:103" ht="21" customHeight="1" x14ac:dyDescent="0.3">
      <c r="A75" s="178">
        <v>1</v>
      </c>
      <c r="B75" s="179" t="s">
        <v>92</v>
      </c>
      <c r="C75" s="180">
        <f t="shared" ref="C75:C88" ca="1" si="82">D75+E75</f>
        <v>482874</v>
      </c>
      <c r="D75" s="181">
        <f ca="1">IFERROR(__xludf.DUMMYFUNCTION("IMPORTRANGE(""https://docs.google.com/spreadsheets/d/1kC41EOXpGBFOW658Fs3oD8beYlym0-zO54WY-2Qnp9I/edit?usp=sharing"",""กระบี่!L549"")"),482874)</f>
        <v>482874</v>
      </c>
      <c r="E75" s="187">
        <f ca="1">IFERROR(__xludf.DUMMYFUNCTION("IMPORTRANGE(""https://docs.google.com/spreadsheets/d/1kC41EOXpGBFOW658Fs3oD8beYlym0-zO54WY-2Qnp9I/edit?usp=sharing"",""กระบี่!L557"")"),0)</f>
        <v>0</v>
      </c>
      <c r="F75" s="182">
        <f t="shared" ca="1" si="1"/>
        <v>73780</v>
      </c>
      <c r="G75" s="183">
        <f t="shared" ca="1" si="2"/>
        <v>15.27934823577165</v>
      </c>
      <c r="H75" s="184">
        <f t="shared" ref="H75:H88" ca="1" si="83">I75+J75+K75+L75+M75</f>
        <v>73780</v>
      </c>
      <c r="I75" s="187">
        <f ca="1">IFERROR(__xludf.DUMMYFUNCTION("IMPORTRANGE(""https://docs.google.com/spreadsheets/d/1kC41EOXpGBFOW658Fs3oD8beYlym0-zO54WY-2Qnp9I/edit?usp=sharing"",""กระบี่!N550"")"),0)</f>
        <v>0</v>
      </c>
      <c r="J75" s="187">
        <f ca="1">IFERROR(__xludf.DUMMYFUNCTION("IMPORTRANGE(""https://docs.google.com/spreadsheets/d/1kC41EOXpGBFOW658Fs3oD8beYlym0-zO54WY-2Qnp9I/edit?usp=sharing"",""กระบี่!N551"")"),0)</f>
        <v>0</v>
      </c>
      <c r="K75" s="187">
        <f ca="1">IFERROR(__xludf.DUMMYFUNCTION("IMPORTRANGE(""https://docs.google.com/spreadsheets/d/1kC41EOXpGBFOW658Fs3oD8beYlym0-zO54WY-2Qnp9I/edit?usp=sharing"",""กระบี่!N552"")"),39000)</f>
        <v>39000</v>
      </c>
      <c r="L75" s="187">
        <f ca="1">IFERROR(__xludf.DUMMYFUNCTION("IMPORTRANGE(""https://docs.google.com/spreadsheets/d/1kC41EOXpGBFOW658Fs3oD8beYlym0-zO54WY-2Qnp9I/edit?usp=sharing"",""กระบี่!N553"")"),34780)</f>
        <v>34780</v>
      </c>
      <c r="M75" s="187">
        <f ca="1">IFERROR(__xludf.DUMMYFUNCTION("IMPORTRANGE(""https://docs.google.com/spreadsheets/d/1kC41EOXpGBFOW658Fs3oD8beYlym0-zO54WY-2Qnp9I/edit?usp=sharing"",""กระบี่!N554"")"),0)</f>
        <v>0</v>
      </c>
      <c r="N75" s="185">
        <f ca="1">IFERROR(__xludf.DUMMYFUNCTION("IMPORTRANGE(""https://docs.google.com/spreadsheets/d/1kC41EOXpGBFOW658Fs3oD8beYlym0-zO54WY-2Qnp9I/edit?usp=sharing"",""กระบี่!N557"")"),0)</f>
        <v>0</v>
      </c>
      <c r="O75" s="185">
        <f t="shared" ca="1" si="41"/>
        <v>0</v>
      </c>
      <c r="P75" s="181">
        <f ca="1">IFERROR(__xludf.DUMMYFUNCTION("IMPORTRANGE(""https://docs.google.com/spreadsheets/d/1kC41EOXpGBFOW658Fs3oD8beYlym0-zO54WY-2Qnp9I/edit?usp=sharing"",""กระบี่!I560"")"),60297)</f>
        <v>60297</v>
      </c>
      <c r="Q75" s="181">
        <f ca="1">IFERROR(__xludf.DUMMYFUNCTION("IMPORTRANGE(""https://docs.google.com/spreadsheets/d/1kC41EOXpGBFOW658Fs3oD8beYlym0-zO54WY-2Qnp9I/edit?usp=sharing"",""กระบี่!I561"")"),5074)</f>
        <v>5074</v>
      </c>
      <c r="R75" s="186">
        <f ca="1">IFERROR(__xludf.DUMMYFUNCTION("IMPORTRANGE(""https://docs.google.com/spreadsheets/d/1kC41EOXpGBFOW658Fs3oD8beYlym0-zO54WY-2Qnp9I/edit?usp=sharing"",""กระบี่!J560"")"),60069.5319999999)</f>
        <v>60069.531999999897</v>
      </c>
      <c r="S75" s="186">
        <f t="shared" ca="1" si="33"/>
        <v>99.622754034197229</v>
      </c>
      <c r="T75" s="181">
        <f ca="1">IFERROR(__xludf.DUMMYFUNCTION("IMPORTRANGE(""https://docs.google.com/spreadsheets/d/1kC41EOXpGBFOW658Fs3oD8beYlym0-zO54WY-2Qnp9I/edit?usp=sharing"",""กระบี่!J561"")"),5071)</f>
        <v>5071</v>
      </c>
      <c r="U75" s="186">
        <f t="shared" ca="1" si="7"/>
        <v>99.940875049270787</v>
      </c>
      <c r="V75" s="186">
        <f ca="1">IFERROR(__xludf.DUMMYFUNCTION("IMPORTRANGE(""https://docs.google.com/spreadsheets/d/1kC41EOXpGBFOW658Fs3oD8beYlym0-zO54WY-2Qnp9I/edit?usp=sharing"",""กระบี่!J562"")"),54161.734)</f>
        <v>54161.733999999997</v>
      </c>
      <c r="W75" s="261">
        <f ca="1">IFERROR(__xludf.DUMMYFUNCTION("IMPORTRANGE(""https://docs.google.com/spreadsheets/d/1kC41EOXpGBFOW658Fs3oD8beYlym0-zO54WY-2Qnp9I/edit?usp=sharing"",""กระบี่!J563"")"),4674)</f>
        <v>4674</v>
      </c>
      <c r="X75" s="186">
        <f ca="1">IFERROR(__xludf.DUMMYFUNCTION("IMPORTRANGE(""https://docs.google.com/spreadsheets/d/1kC41EOXpGBFOW658Fs3oD8beYlym0-zO54WY-2Qnp9I/edit?usp=sharing"",""กระบี่!J564"")"),4731.238)</f>
        <v>4731.2380000000003</v>
      </c>
      <c r="Y75" s="261">
        <f ca="1">IFERROR(__xludf.DUMMYFUNCTION("IMPORTRANGE(""https://docs.google.com/spreadsheets/d/1kC41EOXpGBFOW658Fs3oD8beYlym0-zO54WY-2Qnp9I/edit?usp=sharing"",""กระบี่!J565"")"),303)</f>
        <v>303</v>
      </c>
      <c r="Z75" s="186">
        <f ca="1">IFERROR(__xludf.DUMMYFUNCTION("IMPORTRANGE(""https://docs.google.com/spreadsheets/d/1kC41EOXpGBFOW658Fs3oD8beYlym0-zO54WY-2Qnp9I/edit?usp=sharing"",""กระบี่!J566"")"),1176.56)</f>
        <v>1176.56</v>
      </c>
      <c r="AA75" s="261">
        <f ca="1">IFERROR(__xludf.DUMMYFUNCTION("IMPORTRANGE(""https://docs.google.com/spreadsheets/d/1kC41EOXpGBFOW658Fs3oD8beYlym0-zO54WY-2Qnp9I/edit?usp=sharing"",""กระบี่!J567"")"),94)</f>
        <v>94</v>
      </c>
      <c r="AB75" s="181">
        <f ca="1">IFERROR(__xludf.DUMMYFUNCTION("IMPORTRANGE(""https://docs.google.com/spreadsheets/d/1kC41EOXpGBFOW658Fs3oD8beYlym0-zO54WY-2Qnp9I/edit?usp=sharing"",""กระบี่!I568"")"),60297)</f>
        <v>60297</v>
      </c>
      <c r="AC75" s="181">
        <f ca="1">IFERROR(__xludf.DUMMYFUNCTION("IMPORTRANGE(""https://docs.google.com/spreadsheets/d/1kC41EOXpGBFOW658Fs3oD8beYlym0-zO54WY-2Qnp9I/edit?usp=sharing"",""กระบี่!I569"")"),5074)</f>
        <v>5074</v>
      </c>
      <c r="AD75" s="186">
        <f ca="1">IFERROR(__xludf.DUMMYFUNCTION("IMPORTRANGE(""https://docs.google.com/spreadsheets/d/1kC41EOXpGBFOW658Fs3oD8beYlym0-zO54WY-2Qnp9I/edit?usp=sharing"",""กระบี่!J568"")"),0)</f>
        <v>0</v>
      </c>
      <c r="AE75" s="186">
        <f t="shared" ca="1" si="34"/>
        <v>0</v>
      </c>
      <c r="AF75" s="181">
        <f ca="1">IFERROR(__xludf.DUMMYFUNCTION("IMPORTRANGE(""https://docs.google.com/spreadsheets/d/1kC41EOXpGBFOW658Fs3oD8beYlym0-zO54WY-2Qnp9I/edit?usp=sharing"",""กระบี่!J569"")"),0)</f>
        <v>0</v>
      </c>
      <c r="AG75" s="186">
        <f t="shared" ca="1" si="10"/>
        <v>0</v>
      </c>
      <c r="AH75" s="186">
        <f ca="1">IFERROR(__xludf.DUMMYFUNCTION("IMPORTRANGE(""https://docs.google.com/spreadsheets/d/1kC41EOXpGBFOW658Fs3oD8beYlym0-zO54WY-2Qnp9I/edit?usp=sharing"",""กระบี่!J570"")"),0)</f>
        <v>0</v>
      </c>
      <c r="AI75" s="261">
        <f ca="1">IFERROR(__xludf.DUMMYFUNCTION("IMPORTRANGE(""https://docs.google.com/spreadsheets/d/1kC41EOXpGBFOW658Fs3oD8beYlym0-zO54WY-2Qnp9I/edit?usp=sharing"",""กระบี่!J571"")"),0)</f>
        <v>0</v>
      </c>
      <c r="AJ75" s="186">
        <f ca="1">IFERROR(__xludf.DUMMYFUNCTION("IMPORTRANGE(""https://docs.google.com/spreadsheets/d/1kC41EOXpGBFOW658Fs3oD8beYlym0-zO54WY-2Qnp9I/edit?usp=sharing"",""กระบี่!J572"")"),0)</f>
        <v>0</v>
      </c>
      <c r="AK75" s="261">
        <f ca="1">IFERROR(__xludf.DUMMYFUNCTION("IMPORTRANGE(""https://docs.google.com/spreadsheets/d/1kC41EOXpGBFOW658Fs3oD8beYlym0-zO54WY-2Qnp9I/edit?usp=sharing"",""กระบี่!J573"")"),0)</f>
        <v>0</v>
      </c>
      <c r="AL75" s="186">
        <f ca="1">IFERROR(__xludf.DUMMYFUNCTION("IMPORTRANGE(""https://docs.google.com/spreadsheets/d/1kC41EOXpGBFOW658Fs3oD8beYlym0-zO54WY-2Qnp9I/edit?usp=sharing"",""กระบี่!J574"")"),0)</f>
        <v>0</v>
      </c>
      <c r="AM75" s="261">
        <f ca="1">IFERROR(__xludf.DUMMYFUNCTION("IMPORTRANGE(""https://docs.google.com/spreadsheets/d/1kC41EOXpGBFOW658Fs3oD8beYlym0-zO54WY-2Qnp9I/edit?usp=sharing"",""กระบี่!J575"")"),0)</f>
        <v>0</v>
      </c>
      <c r="AN75" s="181">
        <f ca="1">IFERROR(__xludf.DUMMYFUNCTION("IMPORTRANGE(""https://docs.google.com/spreadsheets/d/1kC41EOXpGBFOW658Fs3oD8beYlym0-zO54WY-2Qnp9I/edit?usp=sharing"",""กระบี่!I576"")"),60297)</f>
        <v>60297</v>
      </c>
      <c r="AO75" s="181">
        <f ca="1">IFERROR(__xludf.DUMMYFUNCTION("IMPORTRANGE(""https://docs.google.com/spreadsheets/d/1kC41EOXpGBFOW658Fs3oD8beYlym0-zO54WY-2Qnp9I/edit?usp=sharing"",""กระบี่!I577"")"),5074)</f>
        <v>5074</v>
      </c>
      <c r="AP75" s="186">
        <f ca="1">IFERROR(__xludf.DUMMYFUNCTION("IMPORTRANGE(""https://docs.google.com/spreadsheets/d/1kC41EOXpGBFOW658Fs3oD8beYlym0-zO54WY-2Qnp9I/edit?usp=sharing"",""กระบี่!J576"")"),0)</f>
        <v>0</v>
      </c>
      <c r="AQ75" s="186">
        <f t="shared" ca="1" si="35"/>
        <v>0</v>
      </c>
      <c r="AR75" s="181">
        <f ca="1">IFERROR(__xludf.DUMMYFUNCTION("IMPORTRANGE(""https://docs.google.com/spreadsheets/d/1kC41EOXpGBFOW658Fs3oD8beYlym0-zO54WY-2Qnp9I/edit?usp=sharing"",""กระบี่!J577"")"),0)</f>
        <v>0</v>
      </c>
      <c r="AS75" s="186">
        <f t="shared" ca="1" si="13"/>
        <v>0</v>
      </c>
      <c r="AT75" s="186">
        <f ca="1">IFERROR(__xludf.DUMMYFUNCTION("IMPORTRANGE(""https://docs.google.com/spreadsheets/d/1kC41EOXpGBFOW658Fs3oD8beYlym0-zO54WY-2Qnp9I/edit?usp=sharing"",""กระบี่!J578"")"),0)</f>
        <v>0</v>
      </c>
      <c r="AU75" s="261">
        <f ca="1">IFERROR(__xludf.DUMMYFUNCTION("IMPORTRANGE(""https://docs.google.com/spreadsheets/d/1kC41EOXpGBFOW658Fs3oD8beYlym0-zO54WY-2Qnp9I/edit?usp=sharing"",""กระบี่!J579"")"),0)</f>
        <v>0</v>
      </c>
      <c r="AV75" s="186">
        <f ca="1">IFERROR(__xludf.DUMMYFUNCTION("IMPORTRANGE(""https://docs.google.com/spreadsheets/d/1kC41EOXpGBFOW658Fs3oD8beYlym0-zO54WY-2Qnp9I/edit?usp=sharing"",""กระบี่!J580"")"),0)</f>
        <v>0</v>
      </c>
      <c r="AW75" s="261">
        <f ca="1">IFERROR(__xludf.DUMMYFUNCTION("IMPORTRANGE(""https://docs.google.com/spreadsheets/d/1kC41EOXpGBFOW658Fs3oD8beYlym0-zO54WY-2Qnp9I/edit?usp=sharing"",""กระบี่!J581"")"),0)</f>
        <v>0</v>
      </c>
      <c r="AX75" s="186">
        <f ca="1">IFERROR(__xludf.DUMMYFUNCTION("IMPORTRANGE(""https://docs.google.com/spreadsheets/d/1kC41EOXpGBFOW658Fs3oD8beYlym0-zO54WY-2Qnp9I/edit?usp=sharing"",""กระบี่!J582"")"),0)</f>
        <v>0</v>
      </c>
      <c r="AY75" s="261">
        <f ca="1">IFERROR(__xludf.DUMMYFUNCTION("IMPORTRANGE(""https://docs.google.com/spreadsheets/d/1kC41EOXpGBFOW658Fs3oD8beYlym0-zO54WY-2Qnp9I/edit?usp=sharing"",""กระบี่!J583"")"),0)</f>
        <v>0</v>
      </c>
      <c r="AZ75" s="262">
        <f ca="1">IFERROR(__xludf.DUMMYFUNCTION("IMPORTRANGE(""https://docs.google.com/spreadsheets/d/1kC41EOXpGBFOW658Fs3oD8beYlym0-zO54WY-2Qnp9I/edit?usp=sharing"",""กระบี่!J584"")"),0)</f>
        <v>0</v>
      </c>
      <c r="BA75" s="261">
        <f ca="1">IFERROR(__xludf.DUMMYFUNCTION("IMPORTRANGE(""https://docs.google.com/spreadsheets/d/1kC41EOXpGBFOW658Fs3oD8beYlym0-zO54WY-2Qnp9I/edit?usp=sharing"",""กระบี่!J585"")"),0)</f>
        <v>0</v>
      </c>
      <c r="BB75" s="262">
        <f ca="1">IFERROR(__xludf.DUMMYFUNCTION("IMPORTRANGE(""https://docs.google.com/spreadsheets/d/1kC41EOXpGBFOW658Fs3oD8beYlym0-zO54WY-2Qnp9I/edit?usp=sharing"",""กระบี่!J586"")"),0)</f>
        <v>0</v>
      </c>
      <c r="BC75" s="261">
        <f ca="1">IFERROR(__xludf.DUMMYFUNCTION("IMPORTRANGE(""https://docs.google.com/spreadsheets/d/1kC41EOXpGBFOW658Fs3oD8beYlym0-zO54WY-2Qnp9I/edit?usp=sharing"",""กระบี่!J587"")"),0)</f>
        <v>0</v>
      </c>
      <c r="BD75" s="186">
        <f ca="1">IFERROR(__xludf.DUMMYFUNCTION("IMPORTRANGE(""https://docs.google.com/spreadsheets/d/1kC41EOXpGBFOW658Fs3oD8beYlym0-zO54WY-2Qnp9I/edit?usp=sharing"",""กระบี่!J588"")"),0)</f>
        <v>0</v>
      </c>
      <c r="BE75" s="261">
        <f ca="1">IFERROR(__xludf.DUMMYFUNCTION("IMPORTRANGE(""https://docs.google.com/spreadsheets/d/1kC41EOXpGBFOW658Fs3oD8beYlym0-zO54WY-2Qnp9I/edit?usp=sharing"",""กระบี่!J589"")"),0)</f>
        <v>0</v>
      </c>
      <c r="BF75" s="186">
        <f ca="1">IFERROR(__xludf.DUMMYFUNCTION("IMPORTRANGE(""https://docs.google.com/spreadsheets/d/1kC41EOXpGBFOW658Fs3oD8beYlym0-zO54WY-2Qnp9I/edit?usp=sharing"",""กระบี่!J590"")"),0)</f>
        <v>0</v>
      </c>
      <c r="BG75" s="261">
        <f ca="1">IFERROR(__xludf.DUMMYFUNCTION("IMPORTRANGE(""https://docs.google.com/spreadsheets/d/1kC41EOXpGBFOW658Fs3oD8beYlym0-zO54WY-2Qnp9I/edit?usp=sharing"",""กระบี่!J591"")"),0)</f>
        <v>0</v>
      </c>
      <c r="BH75" s="181">
        <f ca="1">IFERROR(__xludf.DUMMYFUNCTION("IMPORTRANGE(""https://docs.google.com/spreadsheets/d/1kC41EOXpGBFOW658Fs3oD8beYlym0-zO54WY-2Qnp9I/edit?usp=sharing"",""กระบี่!I593"")"),3453.6)</f>
        <v>3453.6</v>
      </c>
      <c r="BI75" s="181">
        <f ca="1">IFERROR(__xludf.DUMMYFUNCTION("IMPORTRANGE(""https://docs.google.com/spreadsheets/d/1kC41EOXpGBFOW658Fs3oD8beYlym0-zO54WY-2Qnp9I/edit?usp=sharing"",""กระบี่!I594"")"),210)</f>
        <v>210</v>
      </c>
      <c r="BJ75" s="186">
        <f ca="1">IFERROR(__xludf.DUMMYFUNCTION("IMPORTRANGE(""https://docs.google.com/spreadsheets/d/1kC41EOXpGBFOW658Fs3oD8beYlym0-zO54WY-2Qnp9I/edit?usp=sharing"",""กระบี่!J593"")"),0)</f>
        <v>0</v>
      </c>
      <c r="BK75" s="186">
        <f t="shared" ca="1" si="36"/>
        <v>0</v>
      </c>
      <c r="BL75" s="181">
        <f ca="1">IFERROR(__xludf.DUMMYFUNCTION("IMPORTRANGE(""https://docs.google.com/spreadsheets/d/1kC41EOXpGBFOW658Fs3oD8beYlym0-zO54WY-2Qnp9I/edit?usp=sharing"",""กระบี่!J594"")"),0)</f>
        <v>0</v>
      </c>
      <c r="BM75" s="186">
        <f t="shared" ca="1" si="16"/>
        <v>0</v>
      </c>
      <c r="BN75" s="186">
        <f ca="1">IFERROR(__xludf.DUMMYFUNCTION("IMPORTRANGE(""https://docs.google.com/spreadsheets/d/1kC41EOXpGBFOW658Fs3oD8beYlym0-zO54WY-2Qnp9I/edit?usp=sharing"",""กระบี่!J595"")"),0)</f>
        <v>0</v>
      </c>
      <c r="BO75" s="261">
        <f ca="1">IFERROR(__xludf.DUMMYFUNCTION("IMPORTRANGE(""https://docs.google.com/spreadsheets/d/1kC41EOXpGBFOW658Fs3oD8beYlym0-zO54WY-2Qnp9I/edit?usp=sharing"",""กระบี่!J596"")"),0)</f>
        <v>0</v>
      </c>
      <c r="BP75" s="186">
        <f ca="1">IFERROR(__xludf.DUMMYFUNCTION("IMPORTRANGE(""https://docs.google.com/spreadsheets/d/1kC41EOXpGBFOW658Fs3oD8beYlym0-zO54WY-2Qnp9I/edit?usp=sharing"",""กระบี่!J597"")"),0)</f>
        <v>0</v>
      </c>
      <c r="BQ75" s="261">
        <f ca="1">IFERROR(__xludf.DUMMYFUNCTION("IMPORTRANGE(""https://docs.google.com/spreadsheets/d/1kC41EOXpGBFOW658Fs3oD8beYlym0-zO54WY-2Qnp9I/edit?usp=sharing"",""กระบี่!J598"")"),0)</f>
        <v>0</v>
      </c>
      <c r="BR75" s="186">
        <f ca="1">IFERROR(__xludf.DUMMYFUNCTION("IMPORTRANGE(""https://docs.google.com/spreadsheets/d/1kC41EOXpGBFOW658Fs3oD8beYlym0-zO54WY-2Qnp9I/edit?usp=sharing"",""กระบี่!J599"")"),0)</f>
        <v>0</v>
      </c>
      <c r="BS75" s="261">
        <f ca="1">IFERROR(__xludf.DUMMYFUNCTION("IMPORTRANGE(""https://docs.google.com/spreadsheets/d/1kC41EOXpGBFOW658Fs3oD8beYlym0-zO54WY-2Qnp9I/edit?usp=sharing"",""กระบี่!J600"")"),0)</f>
        <v>0</v>
      </c>
      <c r="BT75" s="262">
        <f ca="1">IFERROR(__xludf.DUMMYFUNCTION("IMPORTRANGE(""https://docs.google.com/spreadsheets/d/1kC41EOXpGBFOW658Fs3oD8beYlym0-zO54WY-2Qnp9I/edit?usp=sharing"",""กระบี่!J601"")"),0)</f>
        <v>0</v>
      </c>
      <c r="BU75" s="261">
        <f ca="1">IFERROR(__xludf.DUMMYFUNCTION("IMPORTRANGE(""https://docs.google.com/spreadsheets/d/1kC41EOXpGBFOW658Fs3oD8beYlym0-zO54WY-2Qnp9I/edit?usp=sharing"",""กระบี่!J602"")"),0)</f>
        <v>0</v>
      </c>
      <c r="BV75" s="186">
        <f ca="1">IFERROR(__xludf.DUMMYFUNCTION("IMPORTRANGE(""https://docs.google.com/spreadsheets/d/1kC41EOXpGBFOW658Fs3oD8beYlym0-zO54WY-2Qnp9I/edit?usp=sharing"",""กระบี่!J603"")"),0)</f>
        <v>0</v>
      </c>
      <c r="BW75" s="261">
        <f ca="1">IFERROR(__xludf.DUMMYFUNCTION("IMPORTRANGE(""https://docs.google.com/spreadsheets/d/1kC41EOXpGBFOW658Fs3oD8beYlym0-zO54WY-2Qnp9I/edit?usp=sharing"",""กระบี่!J604"")"),0)</f>
        <v>0</v>
      </c>
      <c r="BX75" s="186">
        <f ca="1">IFERROR(__xludf.DUMMYFUNCTION("IMPORTRANGE(""https://docs.google.com/spreadsheets/d/1kC41EOXpGBFOW658Fs3oD8beYlym0-zO54WY-2Qnp9I/edit?usp=sharing"",""กระบี่!J605"")"),0)</f>
        <v>0</v>
      </c>
      <c r="BY75" s="261">
        <f ca="1">IFERROR(__xludf.DUMMYFUNCTION("IMPORTRANGE(""https://docs.google.com/spreadsheets/d/1kC41EOXpGBFOW658Fs3oD8beYlym0-zO54WY-2Qnp9I/edit?usp=sharing"",""กระบี่!J606"")"),0)</f>
        <v>0</v>
      </c>
      <c r="BZ75" s="186">
        <f ca="1">IFERROR(__xludf.DUMMYFUNCTION("IMPORTRANGE(""https://docs.google.com/spreadsheets/d/1kC41EOXpGBFOW658Fs3oD8beYlym0-zO54WY-2Qnp9I/edit?usp=sharing"",""กระบี่!J607"")"),0)</f>
        <v>0</v>
      </c>
      <c r="CA75" s="261">
        <f ca="1">IFERROR(__xludf.DUMMYFUNCTION("IMPORTRANGE(""https://docs.google.com/spreadsheets/d/1kC41EOXpGBFOW658Fs3oD8beYlym0-zO54WY-2Qnp9I/edit?usp=sharing"",""กระบี่!J608"")"),0)</f>
        <v>0</v>
      </c>
      <c r="CB75" s="186">
        <f ca="1">IFERROR(__xludf.DUMMYFUNCTION("IMPORTRANGE(""https://docs.google.com/spreadsheets/d/1kC41EOXpGBFOW658Fs3oD8beYlym0-zO54WY-2Qnp9I/edit?usp=sharing"",""กระบี่!J609"")"),0)</f>
        <v>0</v>
      </c>
      <c r="CC75" s="261">
        <f ca="1">IFERROR(__xludf.DUMMYFUNCTION("IMPORTRANGE(""https://docs.google.com/spreadsheets/d/1kC41EOXpGBFOW658Fs3oD8beYlym0-zO54WY-2Qnp9I/edit?usp=sharing"",""กระบี่!J610"")"),0)</f>
        <v>0</v>
      </c>
      <c r="CD75" s="261">
        <f ca="1">IFERROR(__xludf.DUMMYFUNCTION("IMPORTRANGE(""https://docs.google.com/spreadsheets/d/1kC41EOXpGBFOW658Fs3oD8beYlym0-zO54WY-2Qnp9I/edit?usp=sharing"",""กระบี่!I612"")"),0)</f>
        <v>0</v>
      </c>
      <c r="CE75" s="261">
        <f ca="1">IFERROR(__xludf.DUMMYFUNCTION("IMPORTRANGE(""https://docs.google.com/spreadsheets/d/1kC41EOXpGBFOW658Fs3oD8beYlym0-zO54WY-2Qnp9I/edit?usp=sharing"",""กระบี่!I594"")"),210)</f>
        <v>210</v>
      </c>
      <c r="CF75" s="262">
        <f ca="1">IFERROR(__xludf.DUMMYFUNCTION("IMPORTRANGE(""https://docs.google.com/spreadsheets/d/1kC41EOXpGBFOW658Fs3oD8beYlym0-zO54WY-2Qnp9I/edit?usp=sharing"",""กระบี่!J612"")"),0)</f>
        <v>0</v>
      </c>
      <c r="CG75" s="262">
        <f t="shared" ca="1" si="37"/>
        <v>0</v>
      </c>
      <c r="CH75" s="261">
        <f ca="1">IFERROR(__xludf.DUMMYFUNCTION("IMPORTRANGE(""https://docs.google.com/spreadsheets/d/1kC41EOXpGBFOW658Fs3oD8beYlym0-zO54WY-2Qnp9I/edit?usp=sharing"",""กระบี่!J613"")"),0)</f>
        <v>0</v>
      </c>
      <c r="CI75" s="262">
        <f t="shared" ca="1" si="19"/>
        <v>0</v>
      </c>
      <c r="CJ75" s="186">
        <f ca="1">IFERROR(__xludf.DUMMYFUNCTION("IMPORTRANGE(""https://docs.google.com/spreadsheets/d/1kC41EOXpGBFOW658Fs3oD8beYlym0-zO54WY-2Qnp9I/edit?usp=sharing"",""กระบี่!J614"")"),0)</f>
        <v>0</v>
      </c>
      <c r="CK75" s="261">
        <f ca="1">IFERROR(__xludf.DUMMYFUNCTION("IMPORTRANGE(""https://docs.google.com/spreadsheets/d/1kC41EOXpGBFOW658Fs3oD8beYlym0-zO54WY-2Qnp9I/edit?usp=sharing"",""กระบี่!J615"")"),0)</f>
        <v>0</v>
      </c>
      <c r="CL75" s="186">
        <f ca="1">IFERROR(__xludf.DUMMYFUNCTION("IMPORTRANGE(""https://docs.google.com/spreadsheets/d/1kC41EOXpGBFOW658Fs3oD8beYlym0-zO54WY-2Qnp9I/edit?usp=sharing"",""กระบี่!J616"")"),0)</f>
        <v>0</v>
      </c>
      <c r="CM75" s="261">
        <f ca="1">IFERROR(__xludf.DUMMYFUNCTION("IMPORTRANGE(""https://docs.google.com/spreadsheets/d/1kC41EOXpGBFOW658Fs3oD8beYlym0-zO54WY-2Qnp9I/edit?usp=sharing"",""กระบี่!J617"")"),0)</f>
        <v>0</v>
      </c>
      <c r="CN75" s="261">
        <f ca="1">IFERROR(__xludf.DUMMYFUNCTION("IMPORTRANGE(""https://docs.google.com/spreadsheets/d/1kC41EOXpGBFOW658Fs3oD8beYlym0-zO54WY-2Qnp9I/edit?usp=sharing"",""กระบี่!I620"")"),61)</f>
        <v>61</v>
      </c>
      <c r="CO75" s="261">
        <f ca="1">IFERROR(__xludf.DUMMYFUNCTION("IMPORTRANGE(""https://docs.google.com/spreadsheets/d/1kC41EOXpGBFOW658Fs3oD8beYlym0-zO54WY-2Qnp9I/edit?usp=sharing"",""กระบี่!I621"")"),9)</f>
        <v>9</v>
      </c>
      <c r="CP75" s="262">
        <f ca="1">IFERROR(__xludf.DUMMYFUNCTION("IMPORTRANGE(""https://docs.google.com/spreadsheets/d/1kC41EOXpGBFOW658Fs3oD8beYlym0-zO54WY-2Qnp9I/edit?usp=sharing"",""กระบี่!J620"")"),0)</f>
        <v>0</v>
      </c>
      <c r="CQ75" s="262">
        <f t="shared" ca="1" si="38"/>
        <v>0</v>
      </c>
      <c r="CR75" s="261">
        <f ca="1">IFERROR(__xludf.DUMMYFUNCTION("IMPORTRANGE(""https://docs.google.com/spreadsheets/d/1kC41EOXpGBFOW658Fs3oD8beYlym0-zO54WY-2Qnp9I/edit?usp=sharing"",""กระบี่!J621"")"),0)</f>
        <v>0</v>
      </c>
      <c r="CS75" s="262">
        <f t="shared" ca="1" si="22"/>
        <v>0</v>
      </c>
      <c r="CT75" s="186">
        <f ca="1">IFERROR(__xludf.DUMMYFUNCTION("IMPORTRANGE(""https://docs.google.com/spreadsheets/d/1kC41EOXpGBFOW658Fs3oD8beYlym0-zO54WY-2Qnp9I/edit?usp=sharing"",""กระบี่!J622"")"),0)</f>
        <v>0</v>
      </c>
      <c r="CU75" s="261">
        <f ca="1">IFERROR(__xludf.DUMMYFUNCTION("IMPORTRANGE(""https://docs.google.com/spreadsheets/d/1kC41EOXpGBFOW658Fs3oD8beYlym0-zO54WY-2Qnp9I/edit?usp=sharing"",""กระบี่!J623"")"),0)</f>
        <v>0</v>
      </c>
      <c r="CV75" s="186">
        <f ca="1">IFERROR(__xludf.DUMMYFUNCTION("IMPORTRANGE(""https://docs.google.com/spreadsheets/d/1kC41EOXpGBFOW658Fs3oD8beYlym0-zO54WY-2Qnp9I/edit?usp=sharing"",""กระบี่!J624"")"),0)</f>
        <v>0</v>
      </c>
      <c r="CW75" s="261">
        <f ca="1">IFERROR(__xludf.DUMMYFUNCTION("IMPORTRANGE(""https://docs.google.com/spreadsheets/d/1kC41EOXpGBFOW658Fs3oD8beYlym0-zO54WY-2Qnp9I/edit?usp=sharing"",""กระบี่!J625"")"),0)</f>
        <v>0</v>
      </c>
      <c r="CX75" s="186">
        <f ca="1">IFERROR(__xludf.DUMMYFUNCTION("IMPORTRANGE(""https://docs.google.com/spreadsheets/d/1kC41EOXpGBFOW658Fs3oD8beYlym0-zO54WY-2Qnp9I/edit?usp=sharing"",""กระบี่!J626"")"),0)</f>
        <v>0</v>
      </c>
      <c r="CY75" s="261">
        <f ca="1">IFERROR(__xludf.DUMMYFUNCTION("IMPORTRANGE(""https://docs.google.com/spreadsheets/d/1kC41EOXpGBFOW658Fs3oD8beYlym0-zO54WY-2Qnp9I/edit?usp=sharing"",""กระบี่!J627"")"),0)</f>
        <v>0</v>
      </c>
    </row>
    <row r="76" spans="1:103" ht="21" customHeight="1" x14ac:dyDescent="0.3">
      <c r="A76" s="178">
        <v>2</v>
      </c>
      <c r="B76" s="179" t="s">
        <v>93</v>
      </c>
      <c r="C76" s="180">
        <f t="shared" ca="1" si="82"/>
        <v>759123</v>
      </c>
      <c r="D76" s="181">
        <f ca="1">IFERROR(__xludf.DUMMYFUNCTION("IMPORTRANGE(""https://docs.google.com/spreadsheets/d/1FbzMZY_f3MDiEuK7RpCQKrilJ_kpX0Wm7QBZ1L7EjIU/edit?usp=sharing"",""ชุมพร!L549"")"),759123)</f>
        <v>759123</v>
      </c>
      <c r="E76" s="187">
        <f ca="1">IFERROR(__xludf.DUMMYFUNCTION("IMPORTRANGE(""https://docs.google.com/spreadsheets/d/1FbzMZY_f3MDiEuK7RpCQKrilJ_kpX0Wm7QBZ1L7EjIU/edit?usp=sharing"",""ชุมพร!L557"")"),0)</f>
        <v>0</v>
      </c>
      <c r="F76" s="182">
        <f t="shared" ca="1" si="1"/>
        <v>139144.1099999999</v>
      </c>
      <c r="G76" s="183">
        <f t="shared" ca="1" si="2"/>
        <v>18.32958690488892</v>
      </c>
      <c r="H76" s="184">
        <f t="shared" ca="1" si="83"/>
        <v>139144.1099999999</v>
      </c>
      <c r="I76" s="187">
        <f ca="1">IFERROR(__xludf.DUMMYFUNCTION("IMPORTRANGE(""https://docs.google.com/spreadsheets/d/1FbzMZY_f3MDiEuK7RpCQKrilJ_kpX0Wm7QBZ1L7EjIU/edit?usp=sharing"",""ชุมพร!N550"")"),0)</f>
        <v>0</v>
      </c>
      <c r="J76" s="187">
        <f ca="1">IFERROR(__xludf.DUMMYFUNCTION("IMPORTRANGE(""https://docs.google.com/spreadsheets/d/1FbzMZY_f3MDiEuK7RpCQKrilJ_kpX0Wm7QBZ1L7EjIU/edit?usp=sharing"",""ชุมพร!N551"")"),0)</f>
        <v>0</v>
      </c>
      <c r="K76" s="187">
        <f ca="1">IFERROR(__xludf.DUMMYFUNCTION("IMPORTRANGE(""https://docs.google.com/spreadsheets/d/1FbzMZY_f3MDiEuK7RpCQKrilJ_kpX0Wm7QBZ1L7EjIU/edit?usp=sharing"",""ชุมพร!N552"")"),50701)</f>
        <v>50701</v>
      </c>
      <c r="L76" s="187">
        <f ca="1">IFERROR(__xludf.DUMMYFUNCTION("IMPORTRANGE(""https://docs.google.com/spreadsheets/d/1FbzMZY_f3MDiEuK7RpCQKrilJ_kpX0Wm7QBZ1L7EjIU/edit?usp=sharing"",""ชุมพร!N553"")"),88443.1099999999)</f>
        <v>88443.109999999899</v>
      </c>
      <c r="M76" s="187">
        <f ca="1">IFERROR(__xludf.DUMMYFUNCTION("IMPORTRANGE(""https://docs.google.com/spreadsheets/d/1FbzMZY_f3MDiEuK7RpCQKrilJ_kpX0Wm7QBZ1L7EjIU/edit?usp=sharing"",""ชุมพร!N554"")"),0)</f>
        <v>0</v>
      </c>
      <c r="N76" s="185">
        <f ca="1">IFERROR(__xludf.DUMMYFUNCTION("IMPORTRANGE(""https://docs.google.com/spreadsheets/d/1FbzMZY_f3MDiEuK7RpCQKrilJ_kpX0Wm7QBZ1L7EjIU/edit?usp=sharing"",""ชุมพร!N557"")"),0)</f>
        <v>0</v>
      </c>
      <c r="O76" s="185">
        <f t="shared" ca="1" si="41"/>
        <v>0</v>
      </c>
      <c r="P76" s="181">
        <f ca="1">IFERROR(__xludf.DUMMYFUNCTION("IMPORTRANGE(""https://docs.google.com/spreadsheets/d/1FbzMZY_f3MDiEuK7RpCQKrilJ_kpX0Wm7QBZ1L7EjIU/edit?usp=sharing"",""ชุมพร!I560"")"),72063)</f>
        <v>72063</v>
      </c>
      <c r="Q76" s="181">
        <f ca="1">IFERROR(__xludf.DUMMYFUNCTION("IMPORTRANGE(""https://docs.google.com/spreadsheets/d/1FbzMZY_f3MDiEuK7RpCQKrilJ_kpX0Wm7QBZ1L7EjIU/edit?usp=sharing"",""ชุมพร!I561"")"),5898)</f>
        <v>5898</v>
      </c>
      <c r="R76" s="186">
        <f ca="1">IFERROR(__xludf.DUMMYFUNCTION("IMPORTRANGE(""https://docs.google.com/spreadsheets/d/1FbzMZY_f3MDiEuK7RpCQKrilJ_kpX0Wm7QBZ1L7EjIU/edit?usp=sharing"",""ชุมพร!J560"")"),72063)</f>
        <v>72063</v>
      </c>
      <c r="S76" s="186">
        <f t="shared" ca="1" si="33"/>
        <v>100</v>
      </c>
      <c r="T76" s="181">
        <f ca="1">IFERROR(__xludf.DUMMYFUNCTION("IMPORTRANGE(""https://docs.google.com/spreadsheets/d/1FbzMZY_f3MDiEuK7RpCQKrilJ_kpX0Wm7QBZ1L7EjIU/edit?usp=sharing"",""ชุมพร!J561"")"),5898)</f>
        <v>5898</v>
      </c>
      <c r="U76" s="186">
        <f t="shared" ca="1" si="7"/>
        <v>100</v>
      </c>
      <c r="V76" s="186">
        <f ca="1">IFERROR(__xludf.DUMMYFUNCTION("IMPORTRANGE(""https://docs.google.com/spreadsheets/d/1FbzMZY_f3MDiEuK7RpCQKrilJ_kpX0Wm7QBZ1L7EjIU/edit?usp=sharing"",""ชุมพร!J562"")"),63211)</f>
        <v>63211</v>
      </c>
      <c r="W76" s="261">
        <f ca="1">IFERROR(__xludf.DUMMYFUNCTION("IMPORTRANGE(""https://docs.google.com/spreadsheets/d/1FbzMZY_f3MDiEuK7RpCQKrilJ_kpX0Wm7QBZ1L7EjIU/edit?usp=sharing"",""ชุมพร!J563"")"),5198)</f>
        <v>5198</v>
      </c>
      <c r="X76" s="186">
        <f ca="1">IFERROR(__xludf.DUMMYFUNCTION("IMPORTRANGE(""https://docs.google.com/spreadsheets/d/1FbzMZY_f3MDiEuK7RpCQKrilJ_kpX0Wm7QBZ1L7EjIU/edit?usp=sharing"",""ชุมพร!J564"")"),7386)</f>
        <v>7386</v>
      </c>
      <c r="Y76" s="261">
        <f ca="1">IFERROR(__xludf.DUMMYFUNCTION("IMPORTRANGE(""https://docs.google.com/spreadsheets/d/1FbzMZY_f3MDiEuK7RpCQKrilJ_kpX0Wm7QBZ1L7EjIU/edit?usp=sharing"",""ชุมพร!J565"")"),567)</f>
        <v>567</v>
      </c>
      <c r="Z76" s="186">
        <f ca="1">IFERROR(__xludf.DUMMYFUNCTION("IMPORTRANGE(""https://docs.google.com/spreadsheets/d/1FbzMZY_f3MDiEuK7RpCQKrilJ_kpX0Wm7QBZ1L7EjIU/edit?usp=sharing"",""ชุมพร!J566"")"),1466)</f>
        <v>1466</v>
      </c>
      <c r="AA76" s="261">
        <f ca="1">IFERROR(__xludf.DUMMYFUNCTION("IMPORTRANGE(""https://docs.google.com/spreadsheets/d/1FbzMZY_f3MDiEuK7RpCQKrilJ_kpX0Wm7QBZ1L7EjIU/edit?usp=sharing"",""ชุมพร!J567"")"),133)</f>
        <v>133</v>
      </c>
      <c r="AB76" s="181">
        <f ca="1">IFERROR(__xludf.DUMMYFUNCTION("IMPORTRANGE(""https://docs.google.com/spreadsheets/d/1FbzMZY_f3MDiEuK7RpCQKrilJ_kpX0Wm7QBZ1L7EjIU/edit?usp=sharing"",""ชุมพร!I568"")"),72063)</f>
        <v>72063</v>
      </c>
      <c r="AC76" s="181">
        <f ca="1">IFERROR(__xludf.DUMMYFUNCTION("IMPORTRANGE(""https://docs.google.com/spreadsheets/d/1FbzMZY_f3MDiEuK7RpCQKrilJ_kpX0Wm7QBZ1L7EjIU/edit?usp=sharing"",""ชุมพร!I569"")"),5898)</f>
        <v>5898</v>
      </c>
      <c r="AD76" s="186">
        <f ca="1">IFERROR(__xludf.DUMMYFUNCTION("IMPORTRANGE(""https://docs.google.com/spreadsheets/d/1FbzMZY_f3MDiEuK7RpCQKrilJ_kpX0Wm7QBZ1L7EjIU/edit?usp=sharing"",""ชุมพร!J568"")"),0)</f>
        <v>0</v>
      </c>
      <c r="AE76" s="186">
        <f t="shared" ca="1" si="34"/>
        <v>0</v>
      </c>
      <c r="AF76" s="181">
        <f ca="1">IFERROR(__xludf.DUMMYFUNCTION("IMPORTRANGE(""https://docs.google.com/spreadsheets/d/1FbzMZY_f3MDiEuK7RpCQKrilJ_kpX0Wm7QBZ1L7EjIU/edit?usp=sharing"",""ชุมพร!J569"")"),0)</f>
        <v>0</v>
      </c>
      <c r="AG76" s="186">
        <f t="shared" ca="1" si="10"/>
        <v>0</v>
      </c>
      <c r="AH76" s="186">
        <f ca="1">IFERROR(__xludf.DUMMYFUNCTION("IMPORTRANGE(""https://docs.google.com/spreadsheets/d/1FbzMZY_f3MDiEuK7RpCQKrilJ_kpX0Wm7QBZ1L7EjIU/edit?usp=sharing"",""ชุมพร!J570"")"),0)</f>
        <v>0</v>
      </c>
      <c r="AI76" s="261">
        <f ca="1">IFERROR(__xludf.DUMMYFUNCTION("IMPORTRANGE(""https://docs.google.com/spreadsheets/d/1FbzMZY_f3MDiEuK7RpCQKrilJ_kpX0Wm7QBZ1L7EjIU/edit?usp=sharing"",""ชุมพร!J571"")"),0)</f>
        <v>0</v>
      </c>
      <c r="AJ76" s="186">
        <f ca="1">IFERROR(__xludf.DUMMYFUNCTION("IMPORTRANGE(""https://docs.google.com/spreadsheets/d/1FbzMZY_f3MDiEuK7RpCQKrilJ_kpX0Wm7QBZ1L7EjIU/edit?usp=sharing"",""ชุมพร!J572"")"),0)</f>
        <v>0</v>
      </c>
      <c r="AK76" s="261">
        <f ca="1">IFERROR(__xludf.DUMMYFUNCTION("IMPORTRANGE(""https://docs.google.com/spreadsheets/d/1FbzMZY_f3MDiEuK7RpCQKrilJ_kpX0Wm7QBZ1L7EjIU/edit?usp=sharing"",""ชุมพร!J573"")"),0)</f>
        <v>0</v>
      </c>
      <c r="AL76" s="186">
        <f ca="1">IFERROR(__xludf.DUMMYFUNCTION("IMPORTRANGE(""https://docs.google.com/spreadsheets/d/1FbzMZY_f3MDiEuK7RpCQKrilJ_kpX0Wm7QBZ1L7EjIU/edit?usp=sharing"",""ชุมพร!J574"")"),0)</f>
        <v>0</v>
      </c>
      <c r="AM76" s="261">
        <f ca="1">IFERROR(__xludf.DUMMYFUNCTION("IMPORTRANGE(""https://docs.google.com/spreadsheets/d/1FbzMZY_f3MDiEuK7RpCQKrilJ_kpX0Wm7QBZ1L7EjIU/edit?usp=sharing"",""ชุมพร!J575"")"),0)</f>
        <v>0</v>
      </c>
      <c r="AN76" s="181">
        <f ca="1">IFERROR(__xludf.DUMMYFUNCTION("IMPORTRANGE(""https://docs.google.com/spreadsheets/d/1FbzMZY_f3MDiEuK7RpCQKrilJ_kpX0Wm7QBZ1L7EjIU/edit?usp=sharing"",""ชุมพร!I576"")"),72063)</f>
        <v>72063</v>
      </c>
      <c r="AO76" s="181">
        <f ca="1">IFERROR(__xludf.DUMMYFUNCTION("IMPORTRANGE(""https://docs.google.com/spreadsheets/d/1FbzMZY_f3MDiEuK7RpCQKrilJ_kpX0Wm7QBZ1L7EjIU/edit?usp=sharing"",""ชุมพร!I577"")"),5898)</f>
        <v>5898</v>
      </c>
      <c r="AP76" s="186">
        <f ca="1">IFERROR(__xludf.DUMMYFUNCTION("IMPORTRANGE(""https://docs.google.com/spreadsheets/d/1FbzMZY_f3MDiEuK7RpCQKrilJ_kpX0Wm7QBZ1L7EjIU/edit?usp=sharing"",""ชุมพร!J576"")"),0)</f>
        <v>0</v>
      </c>
      <c r="AQ76" s="186">
        <f t="shared" ca="1" si="35"/>
        <v>0</v>
      </c>
      <c r="AR76" s="181">
        <f ca="1">IFERROR(__xludf.DUMMYFUNCTION("IMPORTRANGE(""https://docs.google.com/spreadsheets/d/1FbzMZY_f3MDiEuK7RpCQKrilJ_kpX0Wm7QBZ1L7EjIU/edit?usp=sharing"",""ชุมพร!J577"")"),0)</f>
        <v>0</v>
      </c>
      <c r="AS76" s="186">
        <f t="shared" ca="1" si="13"/>
        <v>0</v>
      </c>
      <c r="AT76" s="186">
        <f ca="1">IFERROR(__xludf.DUMMYFUNCTION("IMPORTRANGE(""https://docs.google.com/spreadsheets/d/1FbzMZY_f3MDiEuK7RpCQKrilJ_kpX0Wm7QBZ1L7EjIU/edit?usp=sharing"",""ชุมพร!J578"")"),0)</f>
        <v>0</v>
      </c>
      <c r="AU76" s="261">
        <f ca="1">IFERROR(__xludf.DUMMYFUNCTION("IMPORTRANGE(""https://docs.google.com/spreadsheets/d/1FbzMZY_f3MDiEuK7RpCQKrilJ_kpX0Wm7QBZ1L7EjIU/edit?usp=sharing"",""ชุมพร!J579"")"),0)</f>
        <v>0</v>
      </c>
      <c r="AV76" s="186">
        <f ca="1">IFERROR(__xludf.DUMMYFUNCTION("IMPORTRANGE(""https://docs.google.com/spreadsheets/d/1FbzMZY_f3MDiEuK7RpCQKrilJ_kpX0Wm7QBZ1L7EjIU/edit?usp=sharing"",""ชุมพร!J580"")"),0)</f>
        <v>0</v>
      </c>
      <c r="AW76" s="261">
        <f ca="1">IFERROR(__xludf.DUMMYFUNCTION("IMPORTRANGE(""https://docs.google.com/spreadsheets/d/1FbzMZY_f3MDiEuK7RpCQKrilJ_kpX0Wm7QBZ1L7EjIU/edit?usp=sharing"",""ชุมพร!J581"")"),0)</f>
        <v>0</v>
      </c>
      <c r="AX76" s="186">
        <f ca="1">IFERROR(__xludf.DUMMYFUNCTION("IMPORTRANGE(""https://docs.google.com/spreadsheets/d/1FbzMZY_f3MDiEuK7RpCQKrilJ_kpX0Wm7QBZ1L7EjIU/edit?usp=sharing"",""ชุมพร!J582"")"),0)</f>
        <v>0</v>
      </c>
      <c r="AY76" s="261">
        <f ca="1">IFERROR(__xludf.DUMMYFUNCTION("IMPORTRANGE(""https://docs.google.com/spreadsheets/d/1FbzMZY_f3MDiEuK7RpCQKrilJ_kpX0Wm7QBZ1L7EjIU/edit?usp=sharing"",""ชุมพร!J583"")"),0)</f>
        <v>0</v>
      </c>
      <c r="AZ76" s="262">
        <f ca="1">IFERROR(__xludf.DUMMYFUNCTION("IMPORTRANGE(""https://docs.google.com/spreadsheets/d/1FbzMZY_f3MDiEuK7RpCQKrilJ_kpX0Wm7QBZ1L7EjIU/edit?usp=sharing"",""ชุมพร!J584"")"),0)</f>
        <v>0</v>
      </c>
      <c r="BA76" s="261">
        <f ca="1">IFERROR(__xludf.DUMMYFUNCTION("IMPORTRANGE(""https://docs.google.com/spreadsheets/d/1FbzMZY_f3MDiEuK7RpCQKrilJ_kpX0Wm7QBZ1L7EjIU/edit?usp=sharing"",""ชุมพร!J585"")"),0)</f>
        <v>0</v>
      </c>
      <c r="BB76" s="262">
        <f ca="1">IFERROR(__xludf.DUMMYFUNCTION("IMPORTRANGE(""https://docs.google.com/spreadsheets/d/1FbzMZY_f3MDiEuK7RpCQKrilJ_kpX0Wm7QBZ1L7EjIU/edit?usp=sharing"",""ชุมพร!J586"")"),0)</f>
        <v>0</v>
      </c>
      <c r="BC76" s="261">
        <f ca="1">IFERROR(__xludf.DUMMYFUNCTION("IMPORTRANGE(""https://docs.google.com/spreadsheets/d/1FbzMZY_f3MDiEuK7RpCQKrilJ_kpX0Wm7QBZ1L7EjIU/edit?usp=sharing"",""ชุมพร!J587"")"),0)</f>
        <v>0</v>
      </c>
      <c r="BD76" s="186">
        <f ca="1">IFERROR(__xludf.DUMMYFUNCTION("IMPORTRANGE(""https://docs.google.com/spreadsheets/d/1FbzMZY_f3MDiEuK7RpCQKrilJ_kpX0Wm7QBZ1L7EjIU/edit?usp=sharing"",""ชุมพร!J588"")"),0)</f>
        <v>0</v>
      </c>
      <c r="BE76" s="261">
        <f ca="1">IFERROR(__xludf.DUMMYFUNCTION("IMPORTRANGE(""https://docs.google.com/spreadsheets/d/1FbzMZY_f3MDiEuK7RpCQKrilJ_kpX0Wm7QBZ1L7EjIU/edit?usp=sharing"",""ชุมพร!J589"")"),0)</f>
        <v>0</v>
      </c>
      <c r="BF76" s="186">
        <f ca="1">IFERROR(__xludf.DUMMYFUNCTION("IMPORTRANGE(""https://docs.google.com/spreadsheets/d/1FbzMZY_f3MDiEuK7RpCQKrilJ_kpX0Wm7QBZ1L7EjIU/edit?usp=sharing"",""ชุมพร!J590"")"),0)</f>
        <v>0</v>
      </c>
      <c r="BG76" s="261">
        <f ca="1">IFERROR(__xludf.DUMMYFUNCTION("IMPORTRANGE(""https://docs.google.com/spreadsheets/d/1FbzMZY_f3MDiEuK7RpCQKrilJ_kpX0Wm7QBZ1L7EjIU/edit?usp=sharing"",""ชุมพร!J591"")"),0)</f>
        <v>0</v>
      </c>
      <c r="BH76" s="181">
        <f ca="1">IFERROR(__xludf.DUMMYFUNCTION("IMPORTRANGE(""https://docs.google.com/spreadsheets/d/1FbzMZY_f3MDiEuK7RpCQKrilJ_kpX0Wm7QBZ1L7EjIU/edit?usp=sharing"",""ชุมพร!I593"")"),11583.05)</f>
        <v>11583.05</v>
      </c>
      <c r="BI76" s="181">
        <f ca="1">IFERROR(__xludf.DUMMYFUNCTION("IMPORTRANGE(""https://docs.google.com/spreadsheets/d/1FbzMZY_f3MDiEuK7RpCQKrilJ_kpX0Wm7QBZ1L7EjIU/edit?usp=sharing"",""ชุมพร!I594"")"),1156)</f>
        <v>1156</v>
      </c>
      <c r="BJ76" s="186">
        <f ca="1">IFERROR(__xludf.DUMMYFUNCTION("IMPORTRANGE(""https://docs.google.com/spreadsheets/d/1FbzMZY_f3MDiEuK7RpCQKrilJ_kpX0Wm7QBZ1L7EjIU/edit?usp=sharing"",""ชุมพร!J593"")"),0)</f>
        <v>0</v>
      </c>
      <c r="BK76" s="186">
        <f t="shared" ca="1" si="36"/>
        <v>0</v>
      </c>
      <c r="BL76" s="181">
        <f ca="1">IFERROR(__xludf.DUMMYFUNCTION("IMPORTRANGE(""https://docs.google.com/spreadsheets/d/1FbzMZY_f3MDiEuK7RpCQKrilJ_kpX0Wm7QBZ1L7EjIU/edit?usp=sharing"",""ชุมพร!J594"")"),0)</f>
        <v>0</v>
      </c>
      <c r="BM76" s="186">
        <f t="shared" ca="1" si="16"/>
        <v>0</v>
      </c>
      <c r="BN76" s="186">
        <f ca="1">IFERROR(__xludf.DUMMYFUNCTION("IMPORTRANGE(""https://docs.google.com/spreadsheets/d/1FbzMZY_f3MDiEuK7RpCQKrilJ_kpX0Wm7QBZ1L7EjIU/edit?usp=sharing"",""ชุมพร!J595"")"),0)</f>
        <v>0</v>
      </c>
      <c r="BO76" s="261">
        <f ca="1">IFERROR(__xludf.DUMMYFUNCTION("IMPORTRANGE(""https://docs.google.com/spreadsheets/d/1FbzMZY_f3MDiEuK7RpCQKrilJ_kpX0Wm7QBZ1L7EjIU/edit?usp=sharing"",""ชุมพร!J596"")"),0)</f>
        <v>0</v>
      </c>
      <c r="BP76" s="186">
        <f ca="1">IFERROR(__xludf.DUMMYFUNCTION("IMPORTRANGE(""https://docs.google.com/spreadsheets/d/1FbzMZY_f3MDiEuK7RpCQKrilJ_kpX0Wm7QBZ1L7EjIU/edit?usp=sharing"",""ชุมพร!J597"")"),0)</f>
        <v>0</v>
      </c>
      <c r="BQ76" s="261">
        <f ca="1">IFERROR(__xludf.DUMMYFUNCTION("IMPORTRANGE(""https://docs.google.com/spreadsheets/d/1FbzMZY_f3MDiEuK7RpCQKrilJ_kpX0Wm7QBZ1L7EjIU/edit?usp=sharing"",""ชุมพร!J598"")"),0)</f>
        <v>0</v>
      </c>
      <c r="BR76" s="186">
        <f ca="1">IFERROR(__xludf.DUMMYFUNCTION("IMPORTRANGE(""https://docs.google.com/spreadsheets/d/1FbzMZY_f3MDiEuK7RpCQKrilJ_kpX0Wm7QBZ1L7EjIU/edit?usp=sharing"",""ชุมพร!J599"")"),0)</f>
        <v>0</v>
      </c>
      <c r="BS76" s="261">
        <f ca="1">IFERROR(__xludf.DUMMYFUNCTION("IMPORTRANGE(""https://docs.google.com/spreadsheets/d/1FbzMZY_f3MDiEuK7RpCQKrilJ_kpX0Wm7QBZ1L7EjIU/edit?usp=sharing"",""ชุมพร!J600"")"),0)</f>
        <v>0</v>
      </c>
      <c r="BT76" s="262">
        <f ca="1">IFERROR(__xludf.DUMMYFUNCTION("IMPORTRANGE(""https://docs.google.com/spreadsheets/d/1FbzMZY_f3MDiEuK7RpCQKrilJ_kpX0Wm7QBZ1L7EjIU/edit?usp=sharing"",""ชุมพร!J601"")"),0)</f>
        <v>0</v>
      </c>
      <c r="BU76" s="261">
        <f ca="1">IFERROR(__xludf.DUMMYFUNCTION("IMPORTRANGE(""https://docs.google.com/spreadsheets/d/1FbzMZY_f3MDiEuK7RpCQKrilJ_kpX0Wm7QBZ1L7EjIU/edit?usp=sharing"",""ชุมพร!J602"")"),0)</f>
        <v>0</v>
      </c>
      <c r="BV76" s="186">
        <f ca="1">IFERROR(__xludf.DUMMYFUNCTION("IMPORTRANGE(""https://docs.google.com/spreadsheets/d/1FbzMZY_f3MDiEuK7RpCQKrilJ_kpX0Wm7QBZ1L7EjIU/edit?usp=sharing"",""ชุมพร!J603"")"),0)</f>
        <v>0</v>
      </c>
      <c r="BW76" s="261">
        <f ca="1">IFERROR(__xludf.DUMMYFUNCTION("IMPORTRANGE(""https://docs.google.com/spreadsheets/d/1FbzMZY_f3MDiEuK7RpCQKrilJ_kpX0Wm7QBZ1L7EjIU/edit?usp=sharing"",""ชุมพร!J604"")"),0)</f>
        <v>0</v>
      </c>
      <c r="BX76" s="186">
        <f ca="1">IFERROR(__xludf.DUMMYFUNCTION("IMPORTRANGE(""https://docs.google.com/spreadsheets/d/1FbzMZY_f3MDiEuK7RpCQKrilJ_kpX0Wm7QBZ1L7EjIU/edit?usp=sharing"",""ชุมพร!J605"")"),0)</f>
        <v>0</v>
      </c>
      <c r="BY76" s="261">
        <f ca="1">IFERROR(__xludf.DUMMYFUNCTION("IMPORTRANGE(""https://docs.google.com/spreadsheets/d/1FbzMZY_f3MDiEuK7RpCQKrilJ_kpX0Wm7QBZ1L7EjIU/edit?usp=sharing"",""ชุมพร!J606"")"),0)</f>
        <v>0</v>
      </c>
      <c r="BZ76" s="186">
        <f ca="1">IFERROR(__xludf.DUMMYFUNCTION("IMPORTRANGE(""https://docs.google.com/spreadsheets/d/1FbzMZY_f3MDiEuK7RpCQKrilJ_kpX0Wm7QBZ1L7EjIU/edit?usp=sharing"",""ชุมพร!J607"")"),0)</f>
        <v>0</v>
      </c>
      <c r="CA76" s="261">
        <f ca="1">IFERROR(__xludf.DUMMYFUNCTION("IMPORTRANGE(""https://docs.google.com/spreadsheets/d/1FbzMZY_f3MDiEuK7RpCQKrilJ_kpX0Wm7QBZ1L7EjIU/edit?usp=sharing"",""ชุมพร!J608"")"),0)</f>
        <v>0</v>
      </c>
      <c r="CB76" s="186">
        <f ca="1">IFERROR(__xludf.DUMMYFUNCTION("IMPORTRANGE(""https://docs.google.com/spreadsheets/d/1FbzMZY_f3MDiEuK7RpCQKrilJ_kpX0Wm7QBZ1L7EjIU/edit?usp=sharing"",""ชุมพร!J609"")"),0)</f>
        <v>0</v>
      </c>
      <c r="CC76" s="261">
        <f ca="1">IFERROR(__xludf.DUMMYFUNCTION("IMPORTRANGE(""https://docs.google.com/spreadsheets/d/1FbzMZY_f3MDiEuK7RpCQKrilJ_kpX0Wm7QBZ1L7EjIU/edit?usp=sharing"",""ชุมพร!J610"")"),0)</f>
        <v>0</v>
      </c>
      <c r="CD76" s="261">
        <f ca="1">IFERROR(__xludf.DUMMYFUNCTION("IMPORTRANGE(""https://docs.google.com/spreadsheets/d/1FbzMZY_f3MDiEuK7RpCQKrilJ_kpX0Wm7QBZ1L7EjIU/edit?usp=sharing"",""ชุมพร!I612"")"),0)</f>
        <v>0</v>
      </c>
      <c r="CE76" s="261">
        <f ca="1">IFERROR(__xludf.DUMMYFUNCTION("IMPORTRANGE(""https://docs.google.com/spreadsheets/d/1FbzMZY_f3MDiEuK7RpCQKrilJ_kpX0Wm7QBZ1L7EjIU/edit?usp=sharing"",""ชุมพร!I594"")"),1156)</f>
        <v>1156</v>
      </c>
      <c r="CF76" s="262">
        <f ca="1">IFERROR(__xludf.DUMMYFUNCTION("IMPORTRANGE(""https://docs.google.com/spreadsheets/d/1FbzMZY_f3MDiEuK7RpCQKrilJ_kpX0Wm7QBZ1L7EjIU/edit?usp=sharing"",""ชุมพร!J612"")"),0)</f>
        <v>0</v>
      </c>
      <c r="CG76" s="262">
        <f t="shared" ca="1" si="37"/>
        <v>0</v>
      </c>
      <c r="CH76" s="261">
        <f ca="1">IFERROR(__xludf.DUMMYFUNCTION("IMPORTRANGE(""https://docs.google.com/spreadsheets/d/1FbzMZY_f3MDiEuK7RpCQKrilJ_kpX0Wm7QBZ1L7EjIU/edit?usp=sharing"",""ชุมพร!J613"")"),0)</f>
        <v>0</v>
      </c>
      <c r="CI76" s="262">
        <f t="shared" ca="1" si="19"/>
        <v>0</v>
      </c>
      <c r="CJ76" s="186">
        <f ca="1">IFERROR(__xludf.DUMMYFUNCTION("IMPORTRANGE(""https://docs.google.com/spreadsheets/d/1FbzMZY_f3MDiEuK7RpCQKrilJ_kpX0Wm7QBZ1L7EjIU/edit?usp=sharing"",""ชุมพร!J614"")"),0)</f>
        <v>0</v>
      </c>
      <c r="CK76" s="261">
        <f ca="1">IFERROR(__xludf.DUMMYFUNCTION("IMPORTRANGE(""https://docs.google.com/spreadsheets/d/1FbzMZY_f3MDiEuK7RpCQKrilJ_kpX0Wm7QBZ1L7EjIU/edit?usp=sharing"",""ชุมพร!J615"")"),0)</f>
        <v>0</v>
      </c>
      <c r="CL76" s="186">
        <f ca="1">IFERROR(__xludf.DUMMYFUNCTION("IMPORTRANGE(""https://docs.google.com/spreadsheets/d/1FbzMZY_f3MDiEuK7RpCQKrilJ_kpX0Wm7QBZ1L7EjIU/edit?usp=sharing"",""ชุมพร!J616"")"),0)</f>
        <v>0</v>
      </c>
      <c r="CM76" s="261">
        <f ca="1">IFERROR(__xludf.DUMMYFUNCTION("IMPORTRANGE(""https://docs.google.com/spreadsheets/d/1FbzMZY_f3MDiEuK7RpCQKrilJ_kpX0Wm7QBZ1L7EjIU/edit?usp=sharing"",""ชุมพร!J617"")"),0)</f>
        <v>0</v>
      </c>
      <c r="CN76" s="261">
        <f ca="1">IFERROR(__xludf.DUMMYFUNCTION("IMPORTRANGE(""https://docs.google.com/spreadsheets/d/1FbzMZY_f3MDiEuK7RpCQKrilJ_kpX0Wm7QBZ1L7EjIU/edit?usp=sharing"",""ชุมพร!I620"")"),0)</f>
        <v>0</v>
      </c>
      <c r="CO76" s="261">
        <f ca="1">IFERROR(__xludf.DUMMYFUNCTION("IMPORTRANGE(""https://docs.google.com/spreadsheets/d/1FbzMZY_f3MDiEuK7RpCQKrilJ_kpX0Wm7QBZ1L7EjIU/edit?usp=sharing"",""ชุมพร!I621"")"),0)</f>
        <v>0</v>
      </c>
      <c r="CP76" s="262">
        <f ca="1">IFERROR(__xludf.DUMMYFUNCTION("IMPORTRANGE(""https://docs.google.com/spreadsheets/d/1FbzMZY_f3MDiEuK7RpCQKrilJ_kpX0Wm7QBZ1L7EjIU/edit?usp=sharing"",""ชุมพร!J620"")"),0)</f>
        <v>0</v>
      </c>
      <c r="CQ76" s="262">
        <f t="shared" ca="1" si="38"/>
        <v>0</v>
      </c>
      <c r="CR76" s="261">
        <f ca="1">IFERROR(__xludf.DUMMYFUNCTION("IMPORTRANGE(""https://docs.google.com/spreadsheets/d/1FbzMZY_f3MDiEuK7RpCQKrilJ_kpX0Wm7QBZ1L7EjIU/edit?usp=sharing"",""ชุมพร!J621"")"),0)</f>
        <v>0</v>
      </c>
      <c r="CS76" s="262">
        <f t="shared" ca="1" si="22"/>
        <v>0</v>
      </c>
      <c r="CT76" s="186">
        <f ca="1">IFERROR(__xludf.DUMMYFUNCTION("IMPORTRANGE(""https://docs.google.com/spreadsheets/d/1FbzMZY_f3MDiEuK7RpCQKrilJ_kpX0Wm7QBZ1L7EjIU/edit?usp=sharing"",""ชุมพร!J622"")"),0)</f>
        <v>0</v>
      </c>
      <c r="CU76" s="261">
        <f ca="1">IFERROR(__xludf.DUMMYFUNCTION("IMPORTRANGE(""https://docs.google.com/spreadsheets/d/1FbzMZY_f3MDiEuK7RpCQKrilJ_kpX0Wm7QBZ1L7EjIU/edit?usp=sharing"",""ชุมพร!J623"")"),0)</f>
        <v>0</v>
      </c>
      <c r="CV76" s="186">
        <f ca="1">IFERROR(__xludf.DUMMYFUNCTION("IMPORTRANGE(""https://docs.google.com/spreadsheets/d/1FbzMZY_f3MDiEuK7RpCQKrilJ_kpX0Wm7QBZ1L7EjIU/edit?usp=sharing"",""ชุมพร!J624"")"),0)</f>
        <v>0</v>
      </c>
      <c r="CW76" s="261">
        <f ca="1">IFERROR(__xludf.DUMMYFUNCTION("IMPORTRANGE(""https://docs.google.com/spreadsheets/d/1FbzMZY_f3MDiEuK7RpCQKrilJ_kpX0Wm7QBZ1L7EjIU/edit?usp=sharing"",""ชุมพร!J625"")"),0)</f>
        <v>0</v>
      </c>
      <c r="CX76" s="186">
        <f ca="1">IFERROR(__xludf.DUMMYFUNCTION("IMPORTRANGE(""https://docs.google.com/spreadsheets/d/1FbzMZY_f3MDiEuK7RpCQKrilJ_kpX0Wm7QBZ1L7EjIU/edit?usp=sharing"",""ชุมพร!J626"")"),0)</f>
        <v>0</v>
      </c>
      <c r="CY76" s="261">
        <f ca="1">IFERROR(__xludf.DUMMYFUNCTION("IMPORTRANGE(""https://docs.google.com/spreadsheets/d/1FbzMZY_f3MDiEuK7RpCQKrilJ_kpX0Wm7QBZ1L7EjIU/edit?usp=sharing"",""ชุมพร!J627"")"),0)</f>
        <v>0</v>
      </c>
    </row>
    <row r="77" spans="1:103" ht="21" customHeight="1" x14ac:dyDescent="0.3">
      <c r="A77" s="178">
        <v>3</v>
      </c>
      <c r="B77" s="179" t="s">
        <v>94</v>
      </c>
      <c r="C77" s="180">
        <f t="shared" ca="1" si="82"/>
        <v>348529</v>
      </c>
      <c r="D77" s="181">
        <f ca="1">IFERROR(__xludf.DUMMYFUNCTION("IMPORTRANGE(""https://docs.google.com/spreadsheets/d/1v5sN-00LrXuhBxw4dkh2GrG_z4l5oAqOdJRBCsUyMaM/edit?usp=sharing"",""ตรัง!L549"")"),348529)</f>
        <v>348529</v>
      </c>
      <c r="E77" s="187">
        <f ca="1">IFERROR(__xludf.DUMMYFUNCTION("IMPORTRANGE(""https://docs.google.com/spreadsheets/d/1v5sN-00LrXuhBxw4dkh2GrG_z4l5oAqOdJRBCsUyMaM/edit?usp=sharing"",""ตรัง!L557"")"),0)</f>
        <v>0</v>
      </c>
      <c r="F77" s="182">
        <f t="shared" ca="1" si="1"/>
        <v>68832.959999999992</v>
      </c>
      <c r="G77" s="183">
        <f t="shared" ca="1" si="2"/>
        <v>19.749564598641719</v>
      </c>
      <c r="H77" s="184">
        <f t="shared" ca="1" si="83"/>
        <v>68832.959999999992</v>
      </c>
      <c r="I77" s="187">
        <f ca="1">IFERROR(__xludf.DUMMYFUNCTION("IMPORTRANGE(""https://docs.google.com/spreadsheets/d/1v5sN-00LrXuhBxw4dkh2GrG_z4l5oAqOdJRBCsUyMaM/edit?usp=sharing"",""ตรัง!N550"")"),0)</f>
        <v>0</v>
      </c>
      <c r="J77" s="187">
        <f ca="1">IFERROR(__xludf.DUMMYFUNCTION("IMPORTRANGE(""https://docs.google.com/spreadsheets/d/1v5sN-00LrXuhBxw4dkh2GrG_z4l5oAqOdJRBCsUyMaM/edit?usp=sharing"",""ตรัง!N551"")"),0)</f>
        <v>0</v>
      </c>
      <c r="K77" s="187">
        <f ca="1">IFERROR(__xludf.DUMMYFUNCTION("IMPORTRANGE(""https://docs.google.com/spreadsheets/d/1v5sN-00LrXuhBxw4dkh2GrG_z4l5oAqOdJRBCsUyMaM/edit?usp=sharing"",""ตรัง!N552"")"),52000)</f>
        <v>52000</v>
      </c>
      <c r="L77" s="187">
        <f ca="1">IFERROR(__xludf.DUMMYFUNCTION("IMPORTRANGE(""https://docs.google.com/spreadsheets/d/1v5sN-00LrXuhBxw4dkh2GrG_z4l5oAqOdJRBCsUyMaM/edit?usp=sharing"",""ตรัง!N553"")"),16832.96)</f>
        <v>16832.96</v>
      </c>
      <c r="M77" s="187">
        <f ca="1">IFERROR(__xludf.DUMMYFUNCTION("IMPORTRANGE(""https://docs.google.com/spreadsheets/d/1v5sN-00LrXuhBxw4dkh2GrG_z4l5oAqOdJRBCsUyMaM/edit?usp=sharing"",""ตรัง!N554"")"),0)</f>
        <v>0</v>
      </c>
      <c r="N77" s="185">
        <f ca="1">IFERROR(__xludf.DUMMYFUNCTION("IMPORTRANGE(""https://docs.google.com/spreadsheets/d/1v5sN-00LrXuhBxw4dkh2GrG_z4l5oAqOdJRBCsUyMaM/edit?usp=sharing"",""ตรัง!N557"")"),0)</f>
        <v>0</v>
      </c>
      <c r="O77" s="185">
        <f t="shared" ca="1" si="41"/>
        <v>0</v>
      </c>
      <c r="P77" s="181">
        <f ca="1">IFERROR(__xludf.DUMMYFUNCTION("IMPORTRANGE(""https://docs.google.com/spreadsheets/d/1v5sN-00LrXuhBxw4dkh2GrG_z4l5oAqOdJRBCsUyMaM/edit?usp=sharing"",""ตรัง!I560"")"),28605)</f>
        <v>28605</v>
      </c>
      <c r="Q77" s="181">
        <f ca="1">IFERROR(__xludf.DUMMYFUNCTION("IMPORTRANGE(""https://docs.google.com/spreadsheets/d/1v5sN-00LrXuhBxw4dkh2GrG_z4l5oAqOdJRBCsUyMaM/edit?usp=sharing"",""ตรัง!I561"")"),3927)</f>
        <v>3927</v>
      </c>
      <c r="R77" s="186">
        <f ca="1">IFERROR(__xludf.DUMMYFUNCTION("IMPORTRANGE(""https://docs.google.com/spreadsheets/d/1v5sN-00LrXuhBxw4dkh2GrG_z4l5oAqOdJRBCsUyMaM/edit?usp=sharing"",""ตรัง!J560"")"),23147)</f>
        <v>23147</v>
      </c>
      <c r="S77" s="186">
        <f t="shared" ca="1" si="33"/>
        <v>80.919419681873805</v>
      </c>
      <c r="T77" s="181">
        <f ca="1">IFERROR(__xludf.DUMMYFUNCTION("IMPORTRANGE(""https://docs.google.com/spreadsheets/d/1v5sN-00LrXuhBxw4dkh2GrG_z4l5oAqOdJRBCsUyMaM/edit?usp=sharing"",""ตรัง!J561"")"),3155)</f>
        <v>3155</v>
      </c>
      <c r="U77" s="186">
        <f t="shared" ca="1" si="7"/>
        <v>80.341227400050926</v>
      </c>
      <c r="V77" s="186">
        <f ca="1">IFERROR(__xludf.DUMMYFUNCTION("IMPORTRANGE(""https://docs.google.com/spreadsheets/d/1v5sN-00LrXuhBxw4dkh2GrG_z4l5oAqOdJRBCsUyMaM/edit?usp=sharing"",""ตรัง!J562"")"),23147)</f>
        <v>23147</v>
      </c>
      <c r="W77" s="261">
        <f ca="1">IFERROR(__xludf.DUMMYFUNCTION("IMPORTRANGE(""https://docs.google.com/spreadsheets/d/1v5sN-00LrXuhBxw4dkh2GrG_z4l5oAqOdJRBCsUyMaM/edit?usp=sharing"",""ตรัง!J563"")"),3155)</f>
        <v>3155</v>
      </c>
      <c r="X77" s="186">
        <f ca="1">IFERROR(__xludf.DUMMYFUNCTION("IMPORTRANGE(""https://docs.google.com/spreadsheets/d/1v5sN-00LrXuhBxw4dkh2GrG_z4l5oAqOdJRBCsUyMaM/edit?usp=sharing"",""ตรัง!J564"")"),0)</f>
        <v>0</v>
      </c>
      <c r="Y77" s="261">
        <f ca="1">IFERROR(__xludf.DUMMYFUNCTION("IMPORTRANGE(""https://docs.google.com/spreadsheets/d/1v5sN-00LrXuhBxw4dkh2GrG_z4l5oAqOdJRBCsUyMaM/edit?usp=sharing"",""ตรัง!J565"")"),0)</f>
        <v>0</v>
      </c>
      <c r="Z77" s="186">
        <f ca="1">IFERROR(__xludf.DUMMYFUNCTION("IMPORTRANGE(""https://docs.google.com/spreadsheets/d/1v5sN-00LrXuhBxw4dkh2GrG_z4l5oAqOdJRBCsUyMaM/edit?usp=sharing"",""ตรัง!J566"")"),0)</f>
        <v>0</v>
      </c>
      <c r="AA77" s="261">
        <f ca="1">IFERROR(__xludf.DUMMYFUNCTION("IMPORTRANGE(""https://docs.google.com/spreadsheets/d/1v5sN-00LrXuhBxw4dkh2GrG_z4l5oAqOdJRBCsUyMaM/edit?usp=sharing"",""ตรัง!J567"")"),0)</f>
        <v>0</v>
      </c>
      <c r="AB77" s="181">
        <f ca="1">IFERROR(__xludf.DUMMYFUNCTION("IMPORTRANGE(""https://docs.google.com/spreadsheets/d/1v5sN-00LrXuhBxw4dkh2GrG_z4l5oAqOdJRBCsUyMaM/edit?usp=sharing"",""ตรัง!I568"")"),28605)</f>
        <v>28605</v>
      </c>
      <c r="AC77" s="181">
        <f ca="1">IFERROR(__xludf.DUMMYFUNCTION("IMPORTRANGE(""https://docs.google.com/spreadsheets/d/1v5sN-00LrXuhBxw4dkh2GrG_z4l5oAqOdJRBCsUyMaM/edit?usp=sharing"",""ตรัง!I569"")"),3927)</f>
        <v>3927</v>
      </c>
      <c r="AD77" s="186">
        <f ca="1">IFERROR(__xludf.DUMMYFUNCTION("IMPORTRANGE(""https://docs.google.com/spreadsheets/d/1v5sN-00LrXuhBxw4dkh2GrG_z4l5oAqOdJRBCsUyMaM/edit?usp=sharing"",""ตรัง!J568"")"),0)</f>
        <v>0</v>
      </c>
      <c r="AE77" s="186">
        <f t="shared" ca="1" si="34"/>
        <v>0</v>
      </c>
      <c r="AF77" s="181">
        <f ca="1">IFERROR(__xludf.DUMMYFUNCTION("IMPORTRANGE(""https://docs.google.com/spreadsheets/d/1v5sN-00LrXuhBxw4dkh2GrG_z4l5oAqOdJRBCsUyMaM/edit?usp=sharing"",""ตรัง!J569"")"),0)</f>
        <v>0</v>
      </c>
      <c r="AG77" s="186">
        <f t="shared" ca="1" si="10"/>
        <v>0</v>
      </c>
      <c r="AH77" s="186">
        <f ca="1">IFERROR(__xludf.DUMMYFUNCTION("IMPORTRANGE(""https://docs.google.com/spreadsheets/d/1v5sN-00LrXuhBxw4dkh2GrG_z4l5oAqOdJRBCsUyMaM/edit?usp=sharing"",""ตรัง!J570"")"),0)</f>
        <v>0</v>
      </c>
      <c r="AI77" s="261">
        <f ca="1">IFERROR(__xludf.DUMMYFUNCTION("IMPORTRANGE(""https://docs.google.com/spreadsheets/d/1v5sN-00LrXuhBxw4dkh2GrG_z4l5oAqOdJRBCsUyMaM/edit?usp=sharing"",""ตรัง!J571"")"),0)</f>
        <v>0</v>
      </c>
      <c r="AJ77" s="186">
        <f ca="1">IFERROR(__xludf.DUMMYFUNCTION("IMPORTRANGE(""https://docs.google.com/spreadsheets/d/1v5sN-00LrXuhBxw4dkh2GrG_z4l5oAqOdJRBCsUyMaM/edit?usp=sharing"",""ตรัง!J572"")"),0)</f>
        <v>0</v>
      </c>
      <c r="AK77" s="261">
        <f ca="1">IFERROR(__xludf.DUMMYFUNCTION("IMPORTRANGE(""https://docs.google.com/spreadsheets/d/1v5sN-00LrXuhBxw4dkh2GrG_z4l5oAqOdJRBCsUyMaM/edit?usp=sharing"",""ตรัง!J573"")"),0)</f>
        <v>0</v>
      </c>
      <c r="AL77" s="186">
        <f ca="1">IFERROR(__xludf.DUMMYFUNCTION("IMPORTRANGE(""https://docs.google.com/spreadsheets/d/1v5sN-00LrXuhBxw4dkh2GrG_z4l5oAqOdJRBCsUyMaM/edit?usp=sharing"",""ตรัง!J574"")"),0)</f>
        <v>0</v>
      </c>
      <c r="AM77" s="261">
        <f ca="1">IFERROR(__xludf.DUMMYFUNCTION("IMPORTRANGE(""https://docs.google.com/spreadsheets/d/1v5sN-00LrXuhBxw4dkh2GrG_z4l5oAqOdJRBCsUyMaM/edit?usp=sharing"",""ตรัง!J575"")"),0)</f>
        <v>0</v>
      </c>
      <c r="AN77" s="181">
        <f ca="1">IFERROR(__xludf.DUMMYFUNCTION("IMPORTRANGE(""https://docs.google.com/spreadsheets/d/1v5sN-00LrXuhBxw4dkh2GrG_z4l5oAqOdJRBCsUyMaM/edit?usp=sharing"",""ตรัง!I576"")"),28605)</f>
        <v>28605</v>
      </c>
      <c r="AO77" s="181">
        <f ca="1">IFERROR(__xludf.DUMMYFUNCTION("IMPORTRANGE(""https://docs.google.com/spreadsheets/d/1v5sN-00LrXuhBxw4dkh2GrG_z4l5oAqOdJRBCsUyMaM/edit?usp=sharing"",""ตรัง!I577"")"),3927)</f>
        <v>3927</v>
      </c>
      <c r="AP77" s="186">
        <f ca="1">IFERROR(__xludf.DUMMYFUNCTION("IMPORTRANGE(""https://docs.google.com/spreadsheets/d/1v5sN-00LrXuhBxw4dkh2GrG_z4l5oAqOdJRBCsUyMaM/edit?usp=sharing"",""ตรัง!J576"")"),0)</f>
        <v>0</v>
      </c>
      <c r="AQ77" s="186">
        <f t="shared" ca="1" si="35"/>
        <v>0</v>
      </c>
      <c r="AR77" s="181">
        <f ca="1">IFERROR(__xludf.DUMMYFUNCTION("IMPORTRANGE(""https://docs.google.com/spreadsheets/d/1v5sN-00LrXuhBxw4dkh2GrG_z4l5oAqOdJRBCsUyMaM/edit?usp=sharing"",""ตรัง!J577"")"),0)</f>
        <v>0</v>
      </c>
      <c r="AS77" s="186">
        <f t="shared" ca="1" si="13"/>
        <v>0</v>
      </c>
      <c r="AT77" s="186">
        <f ca="1">IFERROR(__xludf.DUMMYFUNCTION("IMPORTRANGE(""https://docs.google.com/spreadsheets/d/1v5sN-00LrXuhBxw4dkh2GrG_z4l5oAqOdJRBCsUyMaM/edit?usp=sharing"",""ตรัง!J578"")"),0)</f>
        <v>0</v>
      </c>
      <c r="AU77" s="261">
        <f ca="1">IFERROR(__xludf.DUMMYFUNCTION("IMPORTRANGE(""https://docs.google.com/spreadsheets/d/1v5sN-00LrXuhBxw4dkh2GrG_z4l5oAqOdJRBCsUyMaM/edit?usp=sharing"",""ตรัง!J579"")"),0)</f>
        <v>0</v>
      </c>
      <c r="AV77" s="186">
        <f ca="1">IFERROR(__xludf.DUMMYFUNCTION("IMPORTRANGE(""https://docs.google.com/spreadsheets/d/1v5sN-00LrXuhBxw4dkh2GrG_z4l5oAqOdJRBCsUyMaM/edit?usp=sharing"",""ตรัง!J580"")"),0)</f>
        <v>0</v>
      </c>
      <c r="AW77" s="261">
        <f ca="1">IFERROR(__xludf.DUMMYFUNCTION("IMPORTRANGE(""https://docs.google.com/spreadsheets/d/1v5sN-00LrXuhBxw4dkh2GrG_z4l5oAqOdJRBCsUyMaM/edit?usp=sharing"",""ตรัง!J581"")"),0)</f>
        <v>0</v>
      </c>
      <c r="AX77" s="186">
        <f ca="1">IFERROR(__xludf.DUMMYFUNCTION("IMPORTRANGE(""https://docs.google.com/spreadsheets/d/1v5sN-00LrXuhBxw4dkh2GrG_z4l5oAqOdJRBCsUyMaM/edit?usp=sharing"",""ตรัง!J582"")"),0)</f>
        <v>0</v>
      </c>
      <c r="AY77" s="261">
        <f ca="1">IFERROR(__xludf.DUMMYFUNCTION("IMPORTRANGE(""https://docs.google.com/spreadsheets/d/1v5sN-00LrXuhBxw4dkh2GrG_z4l5oAqOdJRBCsUyMaM/edit?usp=sharing"",""ตรัง!J583"")"),0)</f>
        <v>0</v>
      </c>
      <c r="AZ77" s="262">
        <f ca="1">IFERROR(__xludf.DUMMYFUNCTION("IMPORTRANGE(""https://docs.google.com/spreadsheets/d/1v5sN-00LrXuhBxw4dkh2GrG_z4l5oAqOdJRBCsUyMaM/edit?usp=sharing"",""ตรัง!J584"")"),0)</f>
        <v>0</v>
      </c>
      <c r="BA77" s="261">
        <f ca="1">IFERROR(__xludf.DUMMYFUNCTION("IMPORTRANGE(""https://docs.google.com/spreadsheets/d/1v5sN-00LrXuhBxw4dkh2GrG_z4l5oAqOdJRBCsUyMaM/edit?usp=sharing"",""ตรัง!J585"")"),0)</f>
        <v>0</v>
      </c>
      <c r="BB77" s="262">
        <f ca="1">IFERROR(__xludf.DUMMYFUNCTION("IMPORTRANGE(""https://docs.google.com/spreadsheets/d/1v5sN-00LrXuhBxw4dkh2GrG_z4l5oAqOdJRBCsUyMaM/edit?usp=sharing"",""ตรัง!J586"")"),0)</f>
        <v>0</v>
      </c>
      <c r="BC77" s="261">
        <f ca="1">IFERROR(__xludf.DUMMYFUNCTION("IMPORTRANGE(""https://docs.google.com/spreadsheets/d/1v5sN-00LrXuhBxw4dkh2GrG_z4l5oAqOdJRBCsUyMaM/edit?usp=sharing"",""ตรัง!J587"")"),0)</f>
        <v>0</v>
      </c>
      <c r="BD77" s="186">
        <f ca="1">IFERROR(__xludf.DUMMYFUNCTION("IMPORTRANGE(""https://docs.google.com/spreadsheets/d/1v5sN-00LrXuhBxw4dkh2GrG_z4l5oAqOdJRBCsUyMaM/edit?usp=sharing"",""ตรัง!J588"")"),0)</f>
        <v>0</v>
      </c>
      <c r="BE77" s="261">
        <f ca="1">IFERROR(__xludf.DUMMYFUNCTION("IMPORTRANGE(""https://docs.google.com/spreadsheets/d/1v5sN-00LrXuhBxw4dkh2GrG_z4l5oAqOdJRBCsUyMaM/edit?usp=sharing"",""ตรัง!J589"")"),0)</f>
        <v>0</v>
      </c>
      <c r="BF77" s="186">
        <f ca="1">IFERROR(__xludf.DUMMYFUNCTION("IMPORTRANGE(""https://docs.google.com/spreadsheets/d/1v5sN-00LrXuhBxw4dkh2GrG_z4l5oAqOdJRBCsUyMaM/edit?usp=sharing"",""ตรัง!J590"")"),0)</f>
        <v>0</v>
      </c>
      <c r="BG77" s="261">
        <f ca="1">IFERROR(__xludf.DUMMYFUNCTION("IMPORTRANGE(""https://docs.google.com/spreadsheets/d/1v5sN-00LrXuhBxw4dkh2GrG_z4l5oAqOdJRBCsUyMaM/edit?usp=sharing"",""ตรัง!J591"")"),0)</f>
        <v>0</v>
      </c>
      <c r="BH77" s="181">
        <f ca="1">IFERROR(__xludf.DUMMYFUNCTION("IMPORTRANGE(""https://docs.google.com/spreadsheets/d/1v5sN-00LrXuhBxw4dkh2GrG_z4l5oAqOdJRBCsUyMaM/edit?usp=sharing"",""ตรัง!I593"")"),1717.29)</f>
        <v>1717.29</v>
      </c>
      <c r="BI77" s="181">
        <f ca="1">IFERROR(__xludf.DUMMYFUNCTION("IMPORTRANGE(""https://docs.google.com/spreadsheets/d/1v5sN-00LrXuhBxw4dkh2GrG_z4l5oAqOdJRBCsUyMaM/edit?usp=sharing"",""ตรัง!I594"")"),137)</f>
        <v>137</v>
      </c>
      <c r="BJ77" s="186">
        <f ca="1">IFERROR(__xludf.DUMMYFUNCTION("IMPORTRANGE(""https://docs.google.com/spreadsheets/d/1v5sN-00LrXuhBxw4dkh2GrG_z4l5oAqOdJRBCsUyMaM/edit?usp=sharing"",""ตรัง!J593"")"),0)</f>
        <v>0</v>
      </c>
      <c r="BK77" s="186">
        <f t="shared" ca="1" si="36"/>
        <v>0</v>
      </c>
      <c r="BL77" s="181">
        <f ca="1">IFERROR(__xludf.DUMMYFUNCTION("IMPORTRANGE(""https://docs.google.com/spreadsheets/d/1v5sN-00LrXuhBxw4dkh2GrG_z4l5oAqOdJRBCsUyMaM/edit?usp=sharing"",""ตรัง!J594"")"),0)</f>
        <v>0</v>
      </c>
      <c r="BM77" s="186">
        <f t="shared" ca="1" si="16"/>
        <v>0</v>
      </c>
      <c r="BN77" s="186">
        <f ca="1">IFERROR(__xludf.DUMMYFUNCTION("IMPORTRANGE(""https://docs.google.com/spreadsheets/d/1v5sN-00LrXuhBxw4dkh2GrG_z4l5oAqOdJRBCsUyMaM/edit?usp=sharing"",""ตรัง!J595"")"),0)</f>
        <v>0</v>
      </c>
      <c r="BO77" s="261">
        <f ca="1">IFERROR(__xludf.DUMMYFUNCTION("IMPORTRANGE(""https://docs.google.com/spreadsheets/d/1v5sN-00LrXuhBxw4dkh2GrG_z4l5oAqOdJRBCsUyMaM/edit?usp=sharing"",""ตรัง!J596"")"),0)</f>
        <v>0</v>
      </c>
      <c r="BP77" s="186">
        <f ca="1">IFERROR(__xludf.DUMMYFUNCTION("IMPORTRANGE(""https://docs.google.com/spreadsheets/d/1v5sN-00LrXuhBxw4dkh2GrG_z4l5oAqOdJRBCsUyMaM/edit?usp=sharing"",""ตรัง!J597"")"),0)</f>
        <v>0</v>
      </c>
      <c r="BQ77" s="261">
        <f ca="1">IFERROR(__xludf.DUMMYFUNCTION("IMPORTRANGE(""https://docs.google.com/spreadsheets/d/1v5sN-00LrXuhBxw4dkh2GrG_z4l5oAqOdJRBCsUyMaM/edit?usp=sharing"",""ตรัง!J598"")"),0)</f>
        <v>0</v>
      </c>
      <c r="BR77" s="186">
        <f ca="1">IFERROR(__xludf.DUMMYFUNCTION("IMPORTRANGE(""https://docs.google.com/spreadsheets/d/1v5sN-00LrXuhBxw4dkh2GrG_z4l5oAqOdJRBCsUyMaM/edit?usp=sharing"",""ตรัง!J599"")"),0)</f>
        <v>0</v>
      </c>
      <c r="BS77" s="261">
        <f ca="1">IFERROR(__xludf.DUMMYFUNCTION("IMPORTRANGE(""https://docs.google.com/spreadsheets/d/1v5sN-00LrXuhBxw4dkh2GrG_z4l5oAqOdJRBCsUyMaM/edit?usp=sharing"",""ตรัง!J600"")"),0)</f>
        <v>0</v>
      </c>
      <c r="BT77" s="262">
        <f ca="1">IFERROR(__xludf.DUMMYFUNCTION("IMPORTRANGE(""https://docs.google.com/spreadsheets/d/1v5sN-00LrXuhBxw4dkh2GrG_z4l5oAqOdJRBCsUyMaM/edit?usp=sharing"",""ตรัง!J601"")"),0)</f>
        <v>0</v>
      </c>
      <c r="BU77" s="261">
        <f ca="1">IFERROR(__xludf.DUMMYFUNCTION("IMPORTRANGE(""https://docs.google.com/spreadsheets/d/1v5sN-00LrXuhBxw4dkh2GrG_z4l5oAqOdJRBCsUyMaM/edit?usp=sharing"",""ตรัง!J602"")"),0)</f>
        <v>0</v>
      </c>
      <c r="BV77" s="186">
        <f ca="1">IFERROR(__xludf.DUMMYFUNCTION("IMPORTRANGE(""https://docs.google.com/spreadsheets/d/1v5sN-00LrXuhBxw4dkh2GrG_z4l5oAqOdJRBCsUyMaM/edit?usp=sharing"",""ตรัง!J603"")"),0)</f>
        <v>0</v>
      </c>
      <c r="BW77" s="261">
        <f ca="1">IFERROR(__xludf.DUMMYFUNCTION("IMPORTRANGE(""https://docs.google.com/spreadsheets/d/1v5sN-00LrXuhBxw4dkh2GrG_z4l5oAqOdJRBCsUyMaM/edit?usp=sharing"",""ตรัง!J604"")"),0)</f>
        <v>0</v>
      </c>
      <c r="BX77" s="186">
        <f ca="1">IFERROR(__xludf.DUMMYFUNCTION("IMPORTRANGE(""https://docs.google.com/spreadsheets/d/1v5sN-00LrXuhBxw4dkh2GrG_z4l5oAqOdJRBCsUyMaM/edit?usp=sharing"",""ตรัง!J605"")"),0)</f>
        <v>0</v>
      </c>
      <c r="BY77" s="261">
        <f ca="1">IFERROR(__xludf.DUMMYFUNCTION("IMPORTRANGE(""https://docs.google.com/spreadsheets/d/1v5sN-00LrXuhBxw4dkh2GrG_z4l5oAqOdJRBCsUyMaM/edit?usp=sharing"",""ตรัง!J606"")"),0)</f>
        <v>0</v>
      </c>
      <c r="BZ77" s="186">
        <f ca="1">IFERROR(__xludf.DUMMYFUNCTION("IMPORTRANGE(""https://docs.google.com/spreadsheets/d/1v5sN-00LrXuhBxw4dkh2GrG_z4l5oAqOdJRBCsUyMaM/edit?usp=sharing"",""ตรัง!J607"")"),0)</f>
        <v>0</v>
      </c>
      <c r="CA77" s="261">
        <f ca="1">IFERROR(__xludf.DUMMYFUNCTION("IMPORTRANGE(""https://docs.google.com/spreadsheets/d/1v5sN-00LrXuhBxw4dkh2GrG_z4l5oAqOdJRBCsUyMaM/edit?usp=sharing"",""ตรัง!J608"")"),0)</f>
        <v>0</v>
      </c>
      <c r="CB77" s="186">
        <f ca="1">IFERROR(__xludf.DUMMYFUNCTION("IMPORTRANGE(""https://docs.google.com/spreadsheets/d/1v5sN-00LrXuhBxw4dkh2GrG_z4l5oAqOdJRBCsUyMaM/edit?usp=sharing"",""ตรัง!J609"")"),0)</f>
        <v>0</v>
      </c>
      <c r="CC77" s="261">
        <f ca="1">IFERROR(__xludf.DUMMYFUNCTION("IMPORTRANGE(""https://docs.google.com/spreadsheets/d/1v5sN-00LrXuhBxw4dkh2GrG_z4l5oAqOdJRBCsUyMaM/edit?usp=sharing"",""ตรัง!J610"")"),0)</f>
        <v>0</v>
      </c>
      <c r="CD77" s="261">
        <f ca="1">IFERROR(__xludf.DUMMYFUNCTION("IMPORTRANGE(""https://docs.google.com/spreadsheets/d/1v5sN-00LrXuhBxw4dkh2GrG_z4l5oAqOdJRBCsUyMaM/edit?usp=sharing"",""ตรัง!I612"")"),0)</f>
        <v>0</v>
      </c>
      <c r="CE77" s="261">
        <f ca="1">IFERROR(__xludf.DUMMYFUNCTION("IMPORTRANGE(""https://docs.google.com/spreadsheets/d/1v5sN-00LrXuhBxw4dkh2GrG_z4l5oAqOdJRBCsUyMaM/edit?usp=sharing"",""ตรัง!I594"")"),137)</f>
        <v>137</v>
      </c>
      <c r="CF77" s="262">
        <f ca="1">IFERROR(__xludf.DUMMYFUNCTION("IMPORTRANGE(""https://docs.google.com/spreadsheets/d/1v5sN-00LrXuhBxw4dkh2GrG_z4l5oAqOdJRBCsUyMaM/edit?usp=sharing"",""ตรัง!J612"")"),0)</f>
        <v>0</v>
      </c>
      <c r="CG77" s="262">
        <f t="shared" ca="1" si="37"/>
        <v>0</v>
      </c>
      <c r="CH77" s="261">
        <f ca="1">IFERROR(__xludf.DUMMYFUNCTION("IMPORTRANGE(""https://docs.google.com/spreadsheets/d/1v5sN-00LrXuhBxw4dkh2GrG_z4l5oAqOdJRBCsUyMaM/edit?usp=sharing"",""ตรัง!J613"")"),0)</f>
        <v>0</v>
      </c>
      <c r="CI77" s="262">
        <f t="shared" ca="1" si="19"/>
        <v>0</v>
      </c>
      <c r="CJ77" s="186">
        <f ca="1">IFERROR(__xludf.DUMMYFUNCTION("IMPORTRANGE(""https://docs.google.com/spreadsheets/d/1v5sN-00LrXuhBxw4dkh2GrG_z4l5oAqOdJRBCsUyMaM/edit?usp=sharing"",""ตรัง!J614"")"),0)</f>
        <v>0</v>
      </c>
      <c r="CK77" s="261">
        <f ca="1">IFERROR(__xludf.DUMMYFUNCTION("IMPORTRANGE(""https://docs.google.com/spreadsheets/d/1v5sN-00LrXuhBxw4dkh2GrG_z4l5oAqOdJRBCsUyMaM/edit?usp=sharing"",""ตรัง!J615"")"),0)</f>
        <v>0</v>
      </c>
      <c r="CL77" s="186">
        <f ca="1">IFERROR(__xludf.DUMMYFUNCTION("IMPORTRANGE(""https://docs.google.com/spreadsheets/d/1v5sN-00LrXuhBxw4dkh2GrG_z4l5oAqOdJRBCsUyMaM/edit?usp=sharing"",""ตรัง!J616"")"),0)</f>
        <v>0</v>
      </c>
      <c r="CM77" s="261">
        <f ca="1">IFERROR(__xludf.DUMMYFUNCTION("IMPORTRANGE(""https://docs.google.com/spreadsheets/d/1v5sN-00LrXuhBxw4dkh2GrG_z4l5oAqOdJRBCsUyMaM/edit?usp=sharing"",""ตรัง!J617"")"),0)</f>
        <v>0</v>
      </c>
      <c r="CN77" s="261">
        <f ca="1">IFERROR(__xludf.DUMMYFUNCTION("IMPORTRANGE(""https://docs.google.com/spreadsheets/d/1v5sN-00LrXuhBxw4dkh2GrG_z4l5oAqOdJRBCsUyMaM/edit?usp=sharing"",""ตรัง!I620"")"),53)</f>
        <v>53</v>
      </c>
      <c r="CO77" s="261">
        <f ca="1">IFERROR(__xludf.DUMMYFUNCTION("IMPORTRANGE(""https://docs.google.com/spreadsheets/d/1v5sN-00LrXuhBxw4dkh2GrG_z4l5oAqOdJRBCsUyMaM/edit?usp=sharing"",""ตรัง!I621"")"),6)</f>
        <v>6</v>
      </c>
      <c r="CP77" s="262">
        <f ca="1">IFERROR(__xludf.DUMMYFUNCTION("IMPORTRANGE(""https://docs.google.com/spreadsheets/d/1v5sN-00LrXuhBxw4dkh2GrG_z4l5oAqOdJRBCsUyMaM/edit?usp=sharing"",""ตรัง!J620"")"),0)</f>
        <v>0</v>
      </c>
      <c r="CQ77" s="262">
        <f t="shared" ca="1" si="38"/>
        <v>0</v>
      </c>
      <c r="CR77" s="261">
        <f ca="1">IFERROR(__xludf.DUMMYFUNCTION("IMPORTRANGE(""https://docs.google.com/spreadsheets/d/1v5sN-00LrXuhBxw4dkh2GrG_z4l5oAqOdJRBCsUyMaM/edit?usp=sharing"",""ตรัง!J621"")"),0)</f>
        <v>0</v>
      </c>
      <c r="CS77" s="262">
        <f t="shared" ca="1" si="22"/>
        <v>0</v>
      </c>
      <c r="CT77" s="186">
        <f ca="1">IFERROR(__xludf.DUMMYFUNCTION("IMPORTRANGE(""https://docs.google.com/spreadsheets/d/1v5sN-00LrXuhBxw4dkh2GrG_z4l5oAqOdJRBCsUyMaM/edit?usp=sharing"",""ตรัง!J622"")"),0)</f>
        <v>0</v>
      </c>
      <c r="CU77" s="261">
        <f ca="1">IFERROR(__xludf.DUMMYFUNCTION("IMPORTRANGE(""https://docs.google.com/spreadsheets/d/1v5sN-00LrXuhBxw4dkh2GrG_z4l5oAqOdJRBCsUyMaM/edit?usp=sharing"",""ตรัง!J623"")"),0)</f>
        <v>0</v>
      </c>
      <c r="CV77" s="186">
        <f ca="1">IFERROR(__xludf.DUMMYFUNCTION("IMPORTRANGE(""https://docs.google.com/spreadsheets/d/1v5sN-00LrXuhBxw4dkh2GrG_z4l5oAqOdJRBCsUyMaM/edit?usp=sharing"",""ตรัง!J624"")"),0)</f>
        <v>0</v>
      </c>
      <c r="CW77" s="261">
        <f ca="1">IFERROR(__xludf.DUMMYFUNCTION("IMPORTRANGE(""https://docs.google.com/spreadsheets/d/1v5sN-00LrXuhBxw4dkh2GrG_z4l5oAqOdJRBCsUyMaM/edit?usp=sharing"",""ตรัง!J625"")"),0)</f>
        <v>0</v>
      </c>
      <c r="CX77" s="186">
        <f ca="1">IFERROR(__xludf.DUMMYFUNCTION("IMPORTRANGE(""https://docs.google.com/spreadsheets/d/1v5sN-00LrXuhBxw4dkh2GrG_z4l5oAqOdJRBCsUyMaM/edit?usp=sharing"",""ตรัง!J626"")"),0)</f>
        <v>0</v>
      </c>
      <c r="CY77" s="261">
        <f ca="1">IFERROR(__xludf.DUMMYFUNCTION("IMPORTRANGE(""https://docs.google.com/spreadsheets/d/1v5sN-00LrXuhBxw4dkh2GrG_z4l5oAqOdJRBCsUyMaM/edit?usp=sharing"",""ตรัง!J627"")"),0)</f>
        <v>0</v>
      </c>
    </row>
    <row r="78" spans="1:103" ht="21" customHeight="1" x14ac:dyDescent="0.3">
      <c r="A78" s="178">
        <v>4</v>
      </c>
      <c r="B78" s="179" t="s">
        <v>95</v>
      </c>
      <c r="C78" s="180">
        <f t="shared" ca="1" si="82"/>
        <v>305575</v>
      </c>
      <c r="D78" s="181">
        <f ca="1">IFERROR(__xludf.DUMMYFUNCTION("IMPORTRANGE(""https://docs.google.com/spreadsheets/d/1T5rRTzFc79aSIvqnzkZNvwPstq829QYz_xALlO1Z0s8/edit?usp=sharing"",""นครศรีธรรมราช!L549"")"),305575)</f>
        <v>305575</v>
      </c>
      <c r="E78" s="187">
        <f ca="1">IFERROR(__xludf.DUMMYFUNCTION("IMPORTRANGE(""https://docs.google.com/spreadsheets/d/1T5rRTzFc79aSIvqnzkZNvwPstq829QYz_xALlO1Z0s8/edit?usp=sharing"",""นครศรีธรรมราช!L557"")"),0)</f>
        <v>0</v>
      </c>
      <c r="F78" s="182">
        <f t="shared" ca="1" si="1"/>
        <v>86316.010000000009</v>
      </c>
      <c r="G78" s="183">
        <f t="shared" ca="1" si="2"/>
        <v>28.247078458643539</v>
      </c>
      <c r="H78" s="184">
        <f t="shared" ca="1" si="83"/>
        <v>86316.010000000009</v>
      </c>
      <c r="I78" s="187">
        <f ca="1">IFERROR(__xludf.DUMMYFUNCTION("IMPORTRANGE(""https://docs.google.com/spreadsheets/d/1T5rRTzFc79aSIvqnzkZNvwPstq829QYz_xALlO1Z0s8/edit?usp=sharing"",""นครศรีธรรมราช!N550"")"),0)</f>
        <v>0</v>
      </c>
      <c r="J78" s="187">
        <f ca="1">IFERROR(__xludf.DUMMYFUNCTION("IMPORTRANGE(""https://docs.google.com/spreadsheets/d/1T5rRTzFc79aSIvqnzkZNvwPstq829QYz_xALlO1Z0s8/edit?usp=sharing"",""นครศรีธรรมราช!N551"")"),0)</f>
        <v>0</v>
      </c>
      <c r="K78" s="187">
        <f ca="1">IFERROR(__xludf.DUMMYFUNCTION("IMPORTRANGE(""https://docs.google.com/spreadsheets/d/1T5rRTzFc79aSIvqnzkZNvwPstq829QYz_xALlO1Z0s8/edit?usp=sharing"",""นครศรีธรรมราช!N552"")"),37700.01)</f>
        <v>37700.01</v>
      </c>
      <c r="L78" s="187">
        <f ca="1">IFERROR(__xludf.DUMMYFUNCTION("IMPORTRANGE(""https://docs.google.com/spreadsheets/d/1T5rRTzFc79aSIvqnzkZNvwPstq829QYz_xALlO1Z0s8/edit?usp=sharing"",""นครศรีธรรมราช!N553"")"),48616)</f>
        <v>48616</v>
      </c>
      <c r="M78" s="187">
        <f ca="1">IFERROR(__xludf.DUMMYFUNCTION("IMPORTRANGE(""https://docs.google.com/spreadsheets/d/1T5rRTzFc79aSIvqnzkZNvwPstq829QYz_xALlO1Z0s8/edit?usp=sharing"",""นครศรีธรรมราช!N554"")"),0)</f>
        <v>0</v>
      </c>
      <c r="N78" s="185">
        <f ca="1">IFERROR(__xludf.DUMMYFUNCTION("IMPORTRANGE(""https://docs.google.com/spreadsheets/d/1T5rRTzFc79aSIvqnzkZNvwPstq829QYz_xALlO1Z0s8/edit?usp=sharing"",""นครศรีธรรมราช!N557"")"),0)</f>
        <v>0</v>
      </c>
      <c r="O78" s="185">
        <f t="shared" ca="1" si="41"/>
        <v>0</v>
      </c>
      <c r="P78" s="181">
        <f ca="1">IFERROR(__xludf.DUMMYFUNCTION("IMPORTRANGE(""https://docs.google.com/spreadsheets/d/1T5rRTzFc79aSIvqnzkZNvwPstq829QYz_xALlO1Z0s8/edit?usp=sharing"",""นครศรีธรรมราช!I560"")"),29942)</f>
        <v>29942</v>
      </c>
      <c r="Q78" s="181">
        <f ca="1">IFERROR(__xludf.DUMMYFUNCTION("IMPORTRANGE(""https://docs.google.com/spreadsheets/d/1T5rRTzFc79aSIvqnzkZNvwPstq829QYz_xALlO1Z0s8/edit?usp=sharing"",""นครศรีธรรมราช!I561"")"),3752)</f>
        <v>3752</v>
      </c>
      <c r="R78" s="186">
        <f ca="1">IFERROR(__xludf.DUMMYFUNCTION("IMPORTRANGE(""https://docs.google.com/spreadsheets/d/1T5rRTzFc79aSIvqnzkZNvwPstq829QYz_xALlO1Z0s8/edit?usp=sharing"",""นครศรีธรรมราช!J560"")"),29942)</f>
        <v>29942</v>
      </c>
      <c r="S78" s="186">
        <f t="shared" ca="1" si="33"/>
        <v>100</v>
      </c>
      <c r="T78" s="181">
        <f ca="1">IFERROR(__xludf.DUMMYFUNCTION("IMPORTRANGE(""https://docs.google.com/spreadsheets/d/1T5rRTzFc79aSIvqnzkZNvwPstq829QYz_xALlO1Z0s8/edit?usp=sharing"",""นครศรีธรรมราช!J561"")"),3752)</f>
        <v>3752</v>
      </c>
      <c r="U78" s="186">
        <f t="shared" ca="1" si="7"/>
        <v>100</v>
      </c>
      <c r="V78" s="186">
        <f ca="1">IFERROR(__xludf.DUMMYFUNCTION("IMPORTRANGE(""https://docs.google.com/spreadsheets/d/1T5rRTzFc79aSIvqnzkZNvwPstq829QYz_xALlO1Z0s8/edit?usp=sharing"",""นครศรีธรรมราช!J562"")"),25942)</f>
        <v>25942</v>
      </c>
      <c r="W78" s="261">
        <f ca="1">IFERROR(__xludf.DUMMYFUNCTION("IMPORTRANGE(""https://docs.google.com/spreadsheets/d/1T5rRTzFc79aSIvqnzkZNvwPstq829QYz_xALlO1Z0s8/edit?usp=sharing"",""นครศรีธรรมราช!J563"")"),3341)</f>
        <v>3341</v>
      </c>
      <c r="X78" s="186">
        <f ca="1">IFERROR(__xludf.DUMMYFUNCTION("IMPORTRANGE(""https://docs.google.com/spreadsheets/d/1T5rRTzFc79aSIvqnzkZNvwPstq829QYz_xALlO1Z0s8/edit?usp=sharing"",""นครศรีธรรมราช!J564"")"),3718)</f>
        <v>3718</v>
      </c>
      <c r="Y78" s="261">
        <f ca="1">IFERROR(__xludf.DUMMYFUNCTION("IMPORTRANGE(""https://docs.google.com/spreadsheets/d/1T5rRTzFc79aSIvqnzkZNvwPstq829QYz_xALlO1Z0s8/edit?usp=sharing"",""นครศรีธรรมราช!J565"")"),370)</f>
        <v>370</v>
      </c>
      <c r="Z78" s="186">
        <f ca="1">IFERROR(__xludf.DUMMYFUNCTION("IMPORTRANGE(""https://docs.google.com/spreadsheets/d/1T5rRTzFc79aSIvqnzkZNvwPstq829QYz_xALlO1Z0s8/edit?usp=sharing"",""นครศรีธรรมราช!J566"")"),282)</f>
        <v>282</v>
      </c>
      <c r="AA78" s="261">
        <f ca="1">IFERROR(__xludf.DUMMYFUNCTION("IMPORTRANGE(""https://docs.google.com/spreadsheets/d/1T5rRTzFc79aSIvqnzkZNvwPstq829QYz_xALlO1Z0s8/edit?usp=sharing"",""นครศรีธรรมราช!J567"")"),41)</f>
        <v>41</v>
      </c>
      <c r="AB78" s="181">
        <f ca="1">IFERROR(__xludf.DUMMYFUNCTION("IMPORTRANGE(""https://docs.google.com/spreadsheets/d/1T5rRTzFc79aSIvqnzkZNvwPstq829QYz_xALlO1Z0s8/edit?usp=sharing"",""นครศรีธรรมราช!I568"")"),29942)</f>
        <v>29942</v>
      </c>
      <c r="AC78" s="181">
        <f ca="1">IFERROR(__xludf.DUMMYFUNCTION("IMPORTRANGE(""https://docs.google.com/spreadsheets/d/1T5rRTzFc79aSIvqnzkZNvwPstq829QYz_xALlO1Z0s8/edit?usp=sharing"",""นครศรีธรรมราช!I569"")"),3752)</f>
        <v>3752</v>
      </c>
      <c r="AD78" s="186">
        <f ca="1">IFERROR(__xludf.DUMMYFUNCTION("IMPORTRANGE(""https://docs.google.com/spreadsheets/d/1T5rRTzFc79aSIvqnzkZNvwPstq829QYz_xALlO1Z0s8/edit?usp=sharing"",""นครศรีธรรมราช!J568"")"),0)</f>
        <v>0</v>
      </c>
      <c r="AE78" s="186">
        <f t="shared" ca="1" si="34"/>
        <v>0</v>
      </c>
      <c r="AF78" s="181">
        <f ca="1">IFERROR(__xludf.DUMMYFUNCTION("IMPORTRANGE(""https://docs.google.com/spreadsheets/d/1T5rRTzFc79aSIvqnzkZNvwPstq829QYz_xALlO1Z0s8/edit?usp=sharing"",""นครศรีธรรมราช!J569"")"),0)</f>
        <v>0</v>
      </c>
      <c r="AG78" s="186">
        <f t="shared" ca="1" si="10"/>
        <v>0</v>
      </c>
      <c r="AH78" s="186">
        <f ca="1">IFERROR(__xludf.DUMMYFUNCTION("IMPORTRANGE(""https://docs.google.com/spreadsheets/d/1T5rRTzFc79aSIvqnzkZNvwPstq829QYz_xALlO1Z0s8/edit?usp=sharing"",""นครศรีธรรมราช!J570"")"),0)</f>
        <v>0</v>
      </c>
      <c r="AI78" s="261">
        <f ca="1">IFERROR(__xludf.DUMMYFUNCTION("IMPORTRANGE(""https://docs.google.com/spreadsheets/d/1T5rRTzFc79aSIvqnzkZNvwPstq829QYz_xALlO1Z0s8/edit?usp=sharing"",""นครศรีธรรมราช!J571"")"),0)</f>
        <v>0</v>
      </c>
      <c r="AJ78" s="186">
        <f ca="1">IFERROR(__xludf.DUMMYFUNCTION("IMPORTRANGE(""https://docs.google.com/spreadsheets/d/1T5rRTzFc79aSIvqnzkZNvwPstq829QYz_xALlO1Z0s8/edit?usp=sharing"",""นครศรีธรรมราช!J572"")"),0)</f>
        <v>0</v>
      </c>
      <c r="AK78" s="261">
        <f ca="1">IFERROR(__xludf.DUMMYFUNCTION("IMPORTRANGE(""https://docs.google.com/spreadsheets/d/1T5rRTzFc79aSIvqnzkZNvwPstq829QYz_xALlO1Z0s8/edit?usp=sharing"",""นครศรีธรรมราช!J573"")"),0)</f>
        <v>0</v>
      </c>
      <c r="AL78" s="186">
        <f ca="1">IFERROR(__xludf.DUMMYFUNCTION("IMPORTRANGE(""https://docs.google.com/spreadsheets/d/1T5rRTzFc79aSIvqnzkZNvwPstq829QYz_xALlO1Z0s8/edit?usp=sharing"",""นครศรีธรรมราช!J574"")"),0)</f>
        <v>0</v>
      </c>
      <c r="AM78" s="261">
        <f ca="1">IFERROR(__xludf.DUMMYFUNCTION("IMPORTRANGE(""https://docs.google.com/spreadsheets/d/1T5rRTzFc79aSIvqnzkZNvwPstq829QYz_xALlO1Z0s8/edit?usp=sharing"",""นครศรีธรรมราช!J575"")"),0)</f>
        <v>0</v>
      </c>
      <c r="AN78" s="181">
        <f ca="1">IFERROR(__xludf.DUMMYFUNCTION("IMPORTRANGE(""https://docs.google.com/spreadsheets/d/1T5rRTzFc79aSIvqnzkZNvwPstq829QYz_xALlO1Z0s8/edit?usp=sharing"",""นครศรีธรรมราช!I576"")"),29942)</f>
        <v>29942</v>
      </c>
      <c r="AO78" s="181">
        <f ca="1">IFERROR(__xludf.DUMMYFUNCTION("IMPORTRANGE(""https://docs.google.com/spreadsheets/d/1T5rRTzFc79aSIvqnzkZNvwPstq829QYz_xALlO1Z0s8/edit?usp=sharing"",""นครศรีธรรมราช!I577"")"),3752)</f>
        <v>3752</v>
      </c>
      <c r="AP78" s="186">
        <f ca="1">IFERROR(__xludf.DUMMYFUNCTION("IMPORTRANGE(""https://docs.google.com/spreadsheets/d/1T5rRTzFc79aSIvqnzkZNvwPstq829QYz_xALlO1Z0s8/edit?usp=sharing"",""นครศรีธรรมราช!J576"")"),0)</f>
        <v>0</v>
      </c>
      <c r="AQ78" s="186">
        <f t="shared" ca="1" si="35"/>
        <v>0</v>
      </c>
      <c r="AR78" s="181">
        <f ca="1">IFERROR(__xludf.DUMMYFUNCTION("IMPORTRANGE(""https://docs.google.com/spreadsheets/d/1T5rRTzFc79aSIvqnzkZNvwPstq829QYz_xALlO1Z0s8/edit?usp=sharing"",""นครศรีธรรมราช!J577"")"),0)</f>
        <v>0</v>
      </c>
      <c r="AS78" s="186">
        <f t="shared" ca="1" si="13"/>
        <v>0</v>
      </c>
      <c r="AT78" s="186">
        <f ca="1">IFERROR(__xludf.DUMMYFUNCTION("IMPORTRANGE(""https://docs.google.com/spreadsheets/d/1T5rRTzFc79aSIvqnzkZNvwPstq829QYz_xALlO1Z0s8/edit?usp=sharing"",""นครศรีธรรมราช!J578"")"),0)</f>
        <v>0</v>
      </c>
      <c r="AU78" s="261">
        <f ca="1">IFERROR(__xludf.DUMMYFUNCTION("IMPORTRANGE(""https://docs.google.com/spreadsheets/d/1T5rRTzFc79aSIvqnzkZNvwPstq829QYz_xALlO1Z0s8/edit?usp=sharing"",""นครศรีธรรมราช!J579"")"),0)</f>
        <v>0</v>
      </c>
      <c r="AV78" s="186">
        <f ca="1">IFERROR(__xludf.DUMMYFUNCTION("IMPORTRANGE(""https://docs.google.com/spreadsheets/d/1T5rRTzFc79aSIvqnzkZNvwPstq829QYz_xALlO1Z0s8/edit?usp=sharing"",""นครศรีธรรมราช!J580"")"),0)</f>
        <v>0</v>
      </c>
      <c r="AW78" s="261">
        <f ca="1">IFERROR(__xludf.DUMMYFUNCTION("IMPORTRANGE(""https://docs.google.com/spreadsheets/d/1T5rRTzFc79aSIvqnzkZNvwPstq829QYz_xALlO1Z0s8/edit?usp=sharing"",""นครศรีธรรมราช!J581"")"),0)</f>
        <v>0</v>
      </c>
      <c r="AX78" s="186">
        <f ca="1">IFERROR(__xludf.DUMMYFUNCTION("IMPORTRANGE(""https://docs.google.com/spreadsheets/d/1T5rRTzFc79aSIvqnzkZNvwPstq829QYz_xALlO1Z0s8/edit?usp=sharing"",""นครศรีธรรมราช!J582"")"),0)</f>
        <v>0</v>
      </c>
      <c r="AY78" s="261">
        <f ca="1">IFERROR(__xludf.DUMMYFUNCTION("IMPORTRANGE(""https://docs.google.com/spreadsheets/d/1T5rRTzFc79aSIvqnzkZNvwPstq829QYz_xALlO1Z0s8/edit?usp=sharing"",""นครศรีธรรมราช!J583"")"),0)</f>
        <v>0</v>
      </c>
      <c r="AZ78" s="262">
        <f ca="1">IFERROR(__xludf.DUMMYFUNCTION("IMPORTRANGE(""https://docs.google.com/spreadsheets/d/1T5rRTzFc79aSIvqnzkZNvwPstq829QYz_xALlO1Z0s8/edit?usp=sharing"",""นครศรีธรรมราช!J584"")"),0)</f>
        <v>0</v>
      </c>
      <c r="BA78" s="261">
        <f ca="1">IFERROR(__xludf.DUMMYFUNCTION("IMPORTRANGE(""https://docs.google.com/spreadsheets/d/1T5rRTzFc79aSIvqnzkZNvwPstq829QYz_xALlO1Z0s8/edit?usp=sharing"",""นครศรีธรรมราช!J585"")"),0)</f>
        <v>0</v>
      </c>
      <c r="BB78" s="262">
        <f ca="1">IFERROR(__xludf.DUMMYFUNCTION("IMPORTRANGE(""https://docs.google.com/spreadsheets/d/1T5rRTzFc79aSIvqnzkZNvwPstq829QYz_xALlO1Z0s8/edit?usp=sharing"",""นครศรีธรรมราช!J586"")"),0)</f>
        <v>0</v>
      </c>
      <c r="BC78" s="261">
        <f ca="1">IFERROR(__xludf.DUMMYFUNCTION("IMPORTRANGE(""https://docs.google.com/spreadsheets/d/1T5rRTzFc79aSIvqnzkZNvwPstq829QYz_xALlO1Z0s8/edit?usp=sharing"",""นครศรีธรรมราช!J587"")"),0)</f>
        <v>0</v>
      </c>
      <c r="BD78" s="186">
        <f ca="1">IFERROR(__xludf.DUMMYFUNCTION("IMPORTRANGE(""https://docs.google.com/spreadsheets/d/1T5rRTzFc79aSIvqnzkZNvwPstq829QYz_xALlO1Z0s8/edit?usp=sharing"",""นครศรีธรรมราช!J588"")"),0)</f>
        <v>0</v>
      </c>
      <c r="BE78" s="261">
        <f ca="1">IFERROR(__xludf.DUMMYFUNCTION("IMPORTRANGE(""https://docs.google.com/spreadsheets/d/1T5rRTzFc79aSIvqnzkZNvwPstq829QYz_xALlO1Z0s8/edit?usp=sharing"",""นครศรีธรรมราช!J589"")"),0)</f>
        <v>0</v>
      </c>
      <c r="BF78" s="186">
        <f ca="1">IFERROR(__xludf.DUMMYFUNCTION("IMPORTRANGE(""https://docs.google.com/spreadsheets/d/1T5rRTzFc79aSIvqnzkZNvwPstq829QYz_xALlO1Z0s8/edit?usp=sharing"",""นครศรีธรรมราช!J590"")"),0)</f>
        <v>0</v>
      </c>
      <c r="BG78" s="261">
        <f ca="1">IFERROR(__xludf.DUMMYFUNCTION("IMPORTRANGE(""https://docs.google.com/spreadsheets/d/1T5rRTzFc79aSIvqnzkZNvwPstq829QYz_xALlO1Z0s8/edit?usp=sharing"",""นครศรีธรรมราช!J591"")"),0)</f>
        <v>0</v>
      </c>
      <c r="BH78" s="181">
        <f ca="1">IFERROR(__xludf.DUMMYFUNCTION("IMPORTRANGE(""https://docs.google.com/spreadsheets/d/1T5rRTzFc79aSIvqnzkZNvwPstq829QYz_xALlO1Z0s8/edit?usp=sharing"",""นครศรีธรรมราช!I593"")"),179.63)</f>
        <v>179.63</v>
      </c>
      <c r="BI78" s="181">
        <f ca="1">IFERROR(__xludf.DUMMYFUNCTION("IMPORTRANGE(""https://docs.google.com/spreadsheets/d/1T5rRTzFc79aSIvqnzkZNvwPstq829QYz_xALlO1Z0s8/edit?usp=sharing"",""นครศรีธรรมราช!I594"")"),36)</f>
        <v>36</v>
      </c>
      <c r="BJ78" s="186">
        <f ca="1">IFERROR(__xludf.DUMMYFUNCTION("IMPORTRANGE(""https://docs.google.com/spreadsheets/d/1T5rRTzFc79aSIvqnzkZNvwPstq829QYz_xALlO1Z0s8/edit?usp=sharing"",""นครศรีธรรมราช!J593"")"),0)</f>
        <v>0</v>
      </c>
      <c r="BK78" s="186">
        <f t="shared" ca="1" si="36"/>
        <v>0</v>
      </c>
      <c r="BL78" s="181">
        <f ca="1">IFERROR(__xludf.DUMMYFUNCTION("IMPORTRANGE(""https://docs.google.com/spreadsheets/d/1T5rRTzFc79aSIvqnzkZNvwPstq829QYz_xALlO1Z0s8/edit?usp=sharing"",""นครศรีธรรมราช!J594"")"),0)</f>
        <v>0</v>
      </c>
      <c r="BM78" s="186">
        <f t="shared" ca="1" si="16"/>
        <v>0</v>
      </c>
      <c r="BN78" s="186">
        <f ca="1">IFERROR(__xludf.DUMMYFUNCTION("IMPORTRANGE(""https://docs.google.com/spreadsheets/d/1T5rRTzFc79aSIvqnzkZNvwPstq829QYz_xALlO1Z0s8/edit?usp=sharing"",""นครศรีธรรมราช!J595"")"),0)</f>
        <v>0</v>
      </c>
      <c r="BO78" s="261">
        <f ca="1">IFERROR(__xludf.DUMMYFUNCTION("IMPORTRANGE(""https://docs.google.com/spreadsheets/d/1T5rRTzFc79aSIvqnzkZNvwPstq829QYz_xALlO1Z0s8/edit?usp=sharing"",""นครศรีธรรมราช!J596"")"),0)</f>
        <v>0</v>
      </c>
      <c r="BP78" s="186">
        <f ca="1">IFERROR(__xludf.DUMMYFUNCTION("IMPORTRANGE(""https://docs.google.com/spreadsheets/d/1T5rRTzFc79aSIvqnzkZNvwPstq829QYz_xALlO1Z0s8/edit?usp=sharing"",""นครศรีธรรมราช!J597"")"),0)</f>
        <v>0</v>
      </c>
      <c r="BQ78" s="261">
        <f ca="1">IFERROR(__xludf.DUMMYFUNCTION("IMPORTRANGE(""https://docs.google.com/spreadsheets/d/1T5rRTzFc79aSIvqnzkZNvwPstq829QYz_xALlO1Z0s8/edit?usp=sharing"",""นครศรีธรรมราช!J598"")"),0)</f>
        <v>0</v>
      </c>
      <c r="BR78" s="186">
        <f ca="1">IFERROR(__xludf.DUMMYFUNCTION("IMPORTRANGE(""https://docs.google.com/spreadsheets/d/1T5rRTzFc79aSIvqnzkZNvwPstq829QYz_xALlO1Z0s8/edit?usp=sharing"",""นครศรีธรรมราช!J599"")"),0)</f>
        <v>0</v>
      </c>
      <c r="BS78" s="261">
        <f ca="1">IFERROR(__xludf.DUMMYFUNCTION("IMPORTRANGE(""https://docs.google.com/spreadsheets/d/1T5rRTzFc79aSIvqnzkZNvwPstq829QYz_xALlO1Z0s8/edit?usp=sharing"",""นครศรีธรรมราช!J600"")"),0)</f>
        <v>0</v>
      </c>
      <c r="BT78" s="262">
        <f ca="1">IFERROR(__xludf.DUMMYFUNCTION("IMPORTRANGE(""https://docs.google.com/spreadsheets/d/1T5rRTzFc79aSIvqnzkZNvwPstq829QYz_xALlO1Z0s8/edit?usp=sharing"",""นครศรีธรรมราช!J601"")"),0)</f>
        <v>0</v>
      </c>
      <c r="BU78" s="261">
        <f ca="1">IFERROR(__xludf.DUMMYFUNCTION("IMPORTRANGE(""https://docs.google.com/spreadsheets/d/1T5rRTzFc79aSIvqnzkZNvwPstq829QYz_xALlO1Z0s8/edit?usp=sharing"",""นครศรีธรรมราช!J602"")"),0)</f>
        <v>0</v>
      </c>
      <c r="BV78" s="186">
        <f ca="1">IFERROR(__xludf.DUMMYFUNCTION("IMPORTRANGE(""https://docs.google.com/spreadsheets/d/1T5rRTzFc79aSIvqnzkZNvwPstq829QYz_xALlO1Z0s8/edit?usp=sharing"",""นครศรีธรรมราช!J603"")"),0)</f>
        <v>0</v>
      </c>
      <c r="BW78" s="261">
        <f ca="1">IFERROR(__xludf.DUMMYFUNCTION("IMPORTRANGE(""https://docs.google.com/spreadsheets/d/1T5rRTzFc79aSIvqnzkZNvwPstq829QYz_xALlO1Z0s8/edit?usp=sharing"",""นครศรีธรรมราช!J604"")"),0)</f>
        <v>0</v>
      </c>
      <c r="BX78" s="186">
        <f ca="1">IFERROR(__xludf.DUMMYFUNCTION("IMPORTRANGE(""https://docs.google.com/spreadsheets/d/1T5rRTzFc79aSIvqnzkZNvwPstq829QYz_xALlO1Z0s8/edit?usp=sharing"",""นครศรีธรรมราช!J605"")"),0)</f>
        <v>0</v>
      </c>
      <c r="BY78" s="261">
        <f ca="1">IFERROR(__xludf.DUMMYFUNCTION("IMPORTRANGE(""https://docs.google.com/spreadsheets/d/1T5rRTzFc79aSIvqnzkZNvwPstq829QYz_xALlO1Z0s8/edit?usp=sharing"",""นครศรีธรรมราช!J606"")"),0)</f>
        <v>0</v>
      </c>
      <c r="BZ78" s="186">
        <f ca="1">IFERROR(__xludf.DUMMYFUNCTION("IMPORTRANGE(""https://docs.google.com/spreadsheets/d/1T5rRTzFc79aSIvqnzkZNvwPstq829QYz_xALlO1Z0s8/edit?usp=sharing"",""นครศรีธรรมราช!J607"")"),0)</f>
        <v>0</v>
      </c>
      <c r="CA78" s="261">
        <f ca="1">IFERROR(__xludf.DUMMYFUNCTION("IMPORTRANGE(""https://docs.google.com/spreadsheets/d/1T5rRTzFc79aSIvqnzkZNvwPstq829QYz_xALlO1Z0s8/edit?usp=sharing"",""นครศรีธรรมราช!J608"")"),0)</f>
        <v>0</v>
      </c>
      <c r="CB78" s="186">
        <f ca="1">IFERROR(__xludf.DUMMYFUNCTION("IMPORTRANGE(""https://docs.google.com/spreadsheets/d/1T5rRTzFc79aSIvqnzkZNvwPstq829QYz_xALlO1Z0s8/edit?usp=sharing"",""นครศรีธรรมราช!J609"")"),0)</f>
        <v>0</v>
      </c>
      <c r="CC78" s="261">
        <f ca="1">IFERROR(__xludf.DUMMYFUNCTION("IMPORTRANGE(""https://docs.google.com/spreadsheets/d/1T5rRTzFc79aSIvqnzkZNvwPstq829QYz_xALlO1Z0s8/edit?usp=sharing"",""นครศรีธรรมราช!J610"")"),0)</f>
        <v>0</v>
      </c>
      <c r="CD78" s="261">
        <f ca="1">IFERROR(__xludf.DUMMYFUNCTION("IMPORTRANGE(""https://docs.google.com/spreadsheets/d/1T5rRTzFc79aSIvqnzkZNvwPstq829QYz_xALlO1Z0s8/edit?usp=sharing"",""นครศรีธรรมราช!I612"")"),0)</f>
        <v>0</v>
      </c>
      <c r="CE78" s="261">
        <f ca="1">IFERROR(__xludf.DUMMYFUNCTION("IMPORTRANGE(""https://docs.google.com/spreadsheets/d/1T5rRTzFc79aSIvqnzkZNvwPstq829QYz_xALlO1Z0s8/edit?usp=sharing"",""นครศรีธรรมราช!I594"")"),36)</f>
        <v>36</v>
      </c>
      <c r="CF78" s="262">
        <f ca="1">IFERROR(__xludf.DUMMYFUNCTION("IMPORTRANGE(""https://docs.google.com/spreadsheets/d/1T5rRTzFc79aSIvqnzkZNvwPstq829QYz_xALlO1Z0s8/edit?usp=sharing"",""นครศรีธรรมราช!J612"")"),0)</f>
        <v>0</v>
      </c>
      <c r="CG78" s="262">
        <f t="shared" ca="1" si="37"/>
        <v>0</v>
      </c>
      <c r="CH78" s="261">
        <f ca="1">IFERROR(__xludf.DUMMYFUNCTION("IMPORTRANGE(""https://docs.google.com/spreadsheets/d/1T5rRTzFc79aSIvqnzkZNvwPstq829QYz_xALlO1Z0s8/edit?usp=sharing"",""นครศรีธรรมราช!J613"")"),0)</f>
        <v>0</v>
      </c>
      <c r="CI78" s="262">
        <f t="shared" ca="1" si="19"/>
        <v>0</v>
      </c>
      <c r="CJ78" s="186">
        <f ca="1">IFERROR(__xludf.DUMMYFUNCTION("IMPORTRANGE(""https://docs.google.com/spreadsheets/d/1T5rRTzFc79aSIvqnzkZNvwPstq829QYz_xALlO1Z0s8/edit?usp=sharing"",""นครศรีธรรมราช!J614"")"),0)</f>
        <v>0</v>
      </c>
      <c r="CK78" s="261">
        <f ca="1">IFERROR(__xludf.DUMMYFUNCTION("IMPORTRANGE(""https://docs.google.com/spreadsheets/d/1T5rRTzFc79aSIvqnzkZNvwPstq829QYz_xALlO1Z0s8/edit?usp=sharing"",""นครศรีธรรมราช!J615"")"),0)</f>
        <v>0</v>
      </c>
      <c r="CL78" s="186">
        <f ca="1">IFERROR(__xludf.DUMMYFUNCTION("IMPORTRANGE(""https://docs.google.com/spreadsheets/d/1T5rRTzFc79aSIvqnzkZNvwPstq829QYz_xALlO1Z0s8/edit?usp=sharing"",""นครศรีธรรมราช!J616"")"),0)</f>
        <v>0</v>
      </c>
      <c r="CM78" s="261">
        <f ca="1">IFERROR(__xludf.DUMMYFUNCTION("IMPORTRANGE(""https://docs.google.com/spreadsheets/d/1T5rRTzFc79aSIvqnzkZNvwPstq829QYz_xALlO1Z0s8/edit?usp=sharing"",""นครศรีธรรมราช!J617"")"),0)</f>
        <v>0</v>
      </c>
      <c r="CN78" s="261">
        <f ca="1">IFERROR(__xludf.DUMMYFUNCTION("IMPORTRANGE(""https://docs.google.com/spreadsheets/d/1T5rRTzFc79aSIvqnzkZNvwPstq829QYz_xALlO1Z0s8/edit?usp=sharing"",""นครศรีธรรมราช!I620"")"),8)</f>
        <v>8</v>
      </c>
      <c r="CO78" s="261">
        <f ca="1">IFERROR(__xludf.DUMMYFUNCTION("IMPORTRANGE(""https://docs.google.com/spreadsheets/d/1T5rRTzFc79aSIvqnzkZNvwPstq829QYz_xALlO1Z0s8/edit?usp=sharing"",""นครศรีธรรมราช!I621"")"),2)</f>
        <v>2</v>
      </c>
      <c r="CP78" s="262">
        <f ca="1">IFERROR(__xludf.DUMMYFUNCTION("IMPORTRANGE(""https://docs.google.com/spreadsheets/d/1T5rRTzFc79aSIvqnzkZNvwPstq829QYz_xALlO1Z0s8/edit?usp=sharing"",""นครศรีธรรมราช!J620"")"),0)</f>
        <v>0</v>
      </c>
      <c r="CQ78" s="262">
        <f t="shared" ca="1" si="38"/>
        <v>0</v>
      </c>
      <c r="CR78" s="261">
        <f ca="1">IFERROR(__xludf.DUMMYFUNCTION("IMPORTRANGE(""https://docs.google.com/spreadsheets/d/1T5rRTzFc79aSIvqnzkZNvwPstq829QYz_xALlO1Z0s8/edit?usp=sharing"",""นครศรีธรรมราช!J621"")"),0)</f>
        <v>0</v>
      </c>
      <c r="CS78" s="262">
        <f t="shared" ca="1" si="22"/>
        <v>0</v>
      </c>
      <c r="CT78" s="186">
        <f ca="1">IFERROR(__xludf.DUMMYFUNCTION("IMPORTRANGE(""https://docs.google.com/spreadsheets/d/1T5rRTzFc79aSIvqnzkZNvwPstq829QYz_xALlO1Z0s8/edit?usp=sharing"",""นครศรีธรรมราช!J622"")"),0)</f>
        <v>0</v>
      </c>
      <c r="CU78" s="261">
        <f ca="1">IFERROR(__xludf.DUMMYFUNCTION("IMPORTRANGE(""https://docs.google.com/spreadsheets/d/1T5rRTzFc79aSIvqnzkZNvwPstq829QYz_xALlO1Z0s8/edit?usp=sharing"",""นครศรีธรรมราช!J623"")"),0)</f>
        <v>0</v>
      </c>
      <c r="CV78" s="186">
        <f ca="1">IFERROR(__xludf.DUMMYFUNCTION("IMPORTRANGE(""https://docs.google.com/spreadsheets/d/1T5rRTzFc79aSIvqnzkZNvwPstq829QYz_xALlO1Z0s8/edit?usp=sharing"",""นครศรีธรรมราช!J624"")"),0)</f>
        <v>0</v>
      </c>
      <c r="CW78" s="261">
        <f ca="1">IFERROR(__xludf.DUMMYFUNCTION("IMPORTRANGE(""https://docs.google.com/spreadsheets/d/1T5rRTzFc79aSIvqnzkZNvwPstq829QYz_xALlO1Z0s8/edit?usp=sharing"",""นครศรีธรรมราช!J625"")"),0)</f>
        <v>0</v>
      </c>
      <c r="CX78" s="186">
        <f ca="1">IFERROR(__xludf.DUMMYFUNCTION("IMPORTRANGE(""https://docs.google.com/spreadsheets/d/1T5rRTzFc79aSIvqnzkZNvwPstq829QYz_xALlO1Z0s8/edit?usp=sharing"",""นครศรีธรรมราช!J626"")"),0)</f>
        <v>0</v>
      </c>
      <c r="CY78" s="261">
        <f ca="1">IFERROR(__xludf.DUMMYFUNCTION("IMPORTRANGE(""https://docs.google.com/spreadsheets/d/1T5rRTzFc79aSIvqnzkZNvwPstq829QYz_xALlO1Z0s8/edit?usp=sharing"",""นครศรีธรรมราช!J627"")"),0)</f>
        <v>0</v>
      </c>
    </row>
    <row r="79" spans="1:103" ht="21" customHeight="1" x14ac:dyDescent="0.3">
      <c r="A79" s="178">
        <v>5</v>
      </c>
      <c r="B79" s="179" t="s">
        <v>96</v>
      </c>
      <c r="C79" s="180">
        <f t="shared" ca="1" si="82"/>
        <v>308096</v>
      </c>
      <c r="D79" s="181">
        <f ca="1">IFERROR(__xludf.DUMMYFUNCTION("IMPORTRANGE(""https://docs.google.com/spreadsheets/d/1BeghqumK0IvCmRd2QOy6_afsZq7ZtAGrSnVJy2u7WmY/edit?usp=sharing"",""นราธิวาส!L549"")"),308096)</f>
        <v>308096</v>
      </c>
      <c r="E79" s="187">
        <f ca="1">IFERROR(__xludf.DUMMYFUNCTION("IMPORTRANGE(""https://docs.google.com/spreadsheets/d/1BeghqumK0IvCmRd2QOy6_afsZq7ZtAGrSnVJy2u7WmY/edit?usp=sharing"",""นราธิวาส!L557"")"),0)</f>
        <v>0</v>
      </c>
      <c r="F79" s="182">
        <f t="shared" ca="1" si="1"/>
        <v>87139</v>
      </c>
      <c r="G79" s="183">
        <f t="shared" ca="1" si="2"/>
        <v>28.28306761528874</v>
      </c>
      <c r="H79" s="184">
        <f t="shared" ca="1" si="83"/>
        <v>87139</v>
      </c>
      <c r="I79" s="187">
        <f ca="1">IFERROR(__xludf.DUMMYFUNCTION("IMPORTRANGE(""https://docs.google.com/spreadsheets/d/1BeghqumK0IvCmRd2QOy6_afsZq7ZtAGrSnVJy2u7WmY/edit?usp=sharing"",""นราธิวาส!N550"")"),0)</f>
        <v>0</v>
      </c>
      <c r="J79" s="187">
        <f ca="1">IFERROR(__xludf.DUMMYFUNCTION("IMPORTRANGE(""https://docs.google.com/spreadsheets/d/1BeghqumK0IvCmRd2QOy6_afsZq7ZtAGrSnVJy2u7WmY/edit?usp=sharing"",""นราธิวาส!N551"")"),0)</f>
        <v>0</v>
      </c>
      <c r="K79" s="187">
        <f ca="1">IFERROR(__xludf.DUMMYFUNCTION("IMPORTRANGE(""https://docs.google.com/spreadsheets/d/1BeghqumK0IvCmRd2QOy6_afsZq7ZtAGrSnVJy2u7WmY/edit?usp=sharing"",""นราธิวาส!N552"")"),38134)</f>
        <v>38134</v>
      </c>
      <c r="L79" s="187">
        <f ca="1">IFERROR(__xludf.DUMMYFUNCTION("IMPORTRANGE(""https://docs.google.com/spreadsheets/d/1BeghqumK0IvCmRd2QOy6_afsZq7ZtAGrSnVJy2u7WmY/edit?usp=sharing"",""นราธิวาส!N553"")"),49005)</f>
        <v>49005</v>
      </c>
      <c r="M79" s="187">
        <f ca="1">IFERROR(__xludf.DUMMYFUNCTION("IMPORTRANGE(""https://docs.google.com/spreadsheets/d/1BeghqumK0IvCmRd2QOy6_afsZq7ZtAGrSnVJy2u7WmY/edit?usp=sharing"",""นราธิวาส!N554"")"),0)</f>
        <v>0</v>
      </c>
      <c r="N79" s="185">
        <f ca="1">IFERROR(__xludf.DUMMYFUNCTION("IMPORTRANGE(""https://docs.google.com/spreadsheets/d/1BeghqumK0IvCmRd2QOy6_afsZq7ZtAGrSnVJy2u7WmY/edit?usp=sharing"",""นราธิวาส!N557"")"),0)</f>
        <v>0</v>
      </c>
      <c r="O79" s="185">
        <f t="shared" ca="1" si="41"/>
        <v>0</v>
      </c>
      <c r="P79" s="181">
        <f ca="1">IFERROR(__xludf.DUMMYFUNCTION("IMPORTRANGE(""https://docs.google.com/spreadsheets/d/1BeghqumK0IvCmRd2QOy6_afsZq7ZtAGrSnVJy2u7WmY/edit?usp=sharing"",""นราธิวาส!I560"")"),5970)</f>
        <v>5970</v>
      </c>
      <c r="Q79" s="181">
        <f ca="1">IFERROR(__xludf.DUMMYFUNCTION("IMPORTRANGE(""https://docs.google.com/spreadsheets/d/1BeghqumK0IvCmRd2QOy6_afsZq7ZtAGrSnVJy2u7WmY/edit?usp=sharing"",""นราธิวาส!I561"")"),965)</f>
        <v>965</v>
      </c>
      <c r="R79" s="186">
        <f ca="1">IFERROR(__xludf.DUMMYFUNCTION("IMPORTRANGE(""https://docs.google.com/spreadsheets/d/1BeghqumK0IvCmRd2QOy6_afsZq7ZtAGrSnVJy2u7WmY/edit?usp=sharing"",""นราธิวาส!J560"")"),5971)</f>
        <v>5971</v>
      </c>
      <c r="S79" s="186">
        <f t="shared" ca="1" si="33"/>
        <v>100.01675041876047</v>
      </c>
      <c r="T79" s="181">
        <f ca="1">IFERROR(__xludf.DUMMYFUNCTION("IMPORTRANGE(""https://docs.google.com/spreadsheets/d/1BeghqumK0IvCmRd2QOy6_afsZq7ZtAGrSnVJy2u7WmY/edit?usp=sharing"",""นราธิวาส!J561"")"),965)</f>
        <v>965</v>
      </c>
      <c r="U79" s="186">
        <f t="shared" ca="1" si="7"/>
        <v>100</v>
      </c>
      <c r="V79" s="186">
        <f ca="1">IFERROR(__xludf.DUMMYFUNCTION("IMPORTRANGE(""https://docs.google.com/spreadsheets/d/1BeghqumK0IvCmRd2QOy6_afsZq7ZtAGrSnVJy2u7WmY/edit?usp=sharing"",""นราธิวาส!J562"")"),5548)</f>
        <v>5548</v>
      </c>
      <c r="W79" s="261">
        <f ca="1">IFERROR(__xludf.DUMMYFUNCTION("IMPORTRANGE(""https://docs.google.com/spreadsheets/d/1BeghqumK0IvCmRd2QOy6_afsZq7ZtAGrSnVJy2u7WmY/edit?usp=sharing"",""นราธิวาส!J563"")"),896)</f>
        <v>896</v>
      </c>
      <c r="X79" s="186">
        <f ca="1">IFERROR(__xludf.DUMMYFUNCTION("IMPORTRANGE(""https://docs.google.com/spreadsheets/d/1BeghqumK0IvCmRd2QOy6_afsZq7ZtAGrSnVJy2u7WmY/edit?usp=sharing"",""นราธิวาส!J564"")"),0)</f>
        <v>0</v>
      </c>
      <c r="Y79" s="261">
        <f ca="1">IFERROR(__xludf.DUMMYFUNCTION("IMPORTRANGE(""https://docs.google.com/spreadsheets/d/1BeghqumK0IvCmRd2QOy6_afsZq7ZtAGrSnVJy2u7WmY/edit?usp=sharing"",""นราธิวาส!J565"")"),0)</f>
        <v>0</v>
      </c>
      <c r="Z79" s="186">
        <f ca="1">IFERROR(__xludf.DUMMYFUNCTION("IMPORTRANGE(""https://docs.google.com/spreadsheets/d/1BeghqumK0IvCmRd2QOy6_afsZq7ZtAGrSnVJy2u7WmY/edit?usp=sharing"",""นราธิวาส!J566"")"),423)</f>
        <v>423</v>
      </c>
      <c r="AA79" s="261">
        <f ca="1">IFERROR(__xludf.DUMMYFUNCTION("IMPORTRANGE(""https://docs.google.com/spreadsheets/d/1BeghqumK0IvCmRd2QOy6_afsZq7ZtAGrSnVJy2u7WmY/edit?usp=sharing"",""นราธิวาส!J567"")"),69)</f>
        <v>69</v>
      </c>
      <c r="AB79" s="181">
        <f ca="1">IFERROR(__xludf.DUMMYFUNCTION("IMPORTRANGE(""https://docs.google.com/spreadsheets/d/1BeghqumK0IvCmRd2QOy6_afsZq7ZtAGrSnVJy2u7WmY/edit?usp=sharing"",""นราธิวาส!I568"")"),5970)</f>
        <v>5970</v>
      </c>
      <c r="AC79" s="181">
        <f ca="1">IFERROR(__xludf.DUMMYFUNCTION("IMPORTRANGE(""https://docs.google.com/spreadsheets/d/1BeghqumK0IvCmRd2QOy6_afsZq7ZtAGrSnVJy2u7WmY/edit?usp=sharing"",""นราธิวาส!I569"")"),965)</f>
        <v>965</v>
      </c>
      <c r="AD79" s="186">
        <f ca="1">IFERROR(__xludf.DUMMYFUNCTION("IMPORTRANGE(""https://docs.google.com/spreadsheets/d/1BeghqumK0IvCmRd2QOy6_afsZq7ZtAGrSnVJy2u7WmY/edit?usp=sharing"",""นราธิวาส!J568"")"),0)</f>
        <v>0</v>
      </c>
      <c r="AE79" s="186">
        <f t="shared" ca="1" si="34"/>
        <v>0</v>
      </c>
      <c r="AF79" s="181">
        <f ca="1">IFERROR(__xludf.DUMMYFUNCTION("IMPORTRANGE(""https://docs.google.com/spreadsheets/d/1BeghqumK0IvCmRd2QOy6_afsZq7ZtAGrSnVJy2u7WmY/edit?usp=sharing"",""นราธิวาส!J569"")"),0)</f>
        <v>0</v>
      </c>
      <c r="AG79" s="186">
        <f t="shared" ca="1" si="10"/>
        <v>0</v>
      </c>
      <c r="AH79" s="186">
        <f ca="1">IFERROR(__xludf.DUMMYFUNCTION("IMPORTRANGE(""https://docs.google.com/spreadsheets/d/1BeghqumK0IvCmRd2QOy6_afsZq7ZtAGrSnVJy2u7WmY/edit?usp=sharing"",""นราธิวาส!J570"")"),0)</f>
        <v>0</v>
      </c>
      <c r="AI79" s="261">
        <f ca="1">IFERROR(__xludf.DUMMYFUNCTION("IMPORTRANGE(""https://docs.google.com/spreadsheets/d/1BeghqumK0IvCmRd2QOy6_afsZq7ZtAGrSnVJy2u7WmY/edit?usp=sharing"",""นราธิวาส!J571"")"),0)</f>
        <v>0</v>
      </c>
      <c r="AJ79" s="186">
        <f ca="1">IFERROR(__xludf.DUMMYFUNCTION("IMPORTRANGE(""https://docs.google.com/spreadsheets/d/1BeghqumK0IvCmRd2QOy6_afsZq7ZtAGrSnVJy2u7WmY/edit?usp=sharing"",""นราธิวาส!J572"")"),0)</f>
        <v>0</v>
      </c>
      <c r="AK79" s="261">
        <f ca="1">IFERROR(__xludf.DUMMYFUNCTION("IMPORTRANGE(""https://docs.google.com/spreadsheets/d/1BeghqumK0IvCmRd2QOy6_afsZq7ZtAGrSnVJy2u7WmY/edit?usp=sharing"",""นราธิวาส!J573"")"),0)</f>
        <v>0</v>
      </c>
      <c r="AL79" s="186">
        <f ca="1">IFERROR(__xludf.DUMMYFUNCTION("IMPORTRANGE(""https://docs.google.com/spreadsheets/d/1BeghqumK0IvCmRd2QOy6_afsZq7ZtAGrSnVJy2u7WmY/edit?usp=sharing"",""นราธิวาส!J574"")"),0)</f>
        <v>0</v>
      </c>
      <c r="AM79" s="261">
        <f ca="1">IFERROR(__xludf.DUMMYFUNCTION("IMPORTRANGE(""https://docs.google.com/spreadsheets/d/1BeghqumK0IvCmRd2QOy6_afsZq7ZtAGrSnVJy2u7WmY/edit?usp=sharing"",""นราธิวาส!J575"")"),0)</f>
        <v>0</v>
      </c>
      <c r="AN79" s="181">
        <f ca="1">IFERROR(__xludf.DUMMYFUNCTION("IMPORTRANGE(""https://docs.google.com/spreadsheets/d/1BeghqumK0IvCmRd2QOy6_afsZq7ZtAGrSnVJy2u7WmY/edit?usp=sharing"",""นราธิวาส!I576"")"),5970)</f>
        <v>5970</v>
      </c>
      <c r="AO79" s="181">
        <f ca="1">IFERROR(__xludf.DUMMYFUNCTION("IMPORTRANGE(""https://docs.google.com/spreadsheets/d/1BeghqumK0IvCmRd2QOy6_afsZq7ZtAGrSnVJy2u7WmY/edit?usp=sharing"",""นราธิวาส!I577"")"),965)</f>
        <v>965</v>
      </c>
      <c r="AP79" s="186">
        <f ca="1">IFERROR(__xludf.DUMMYFUNCTION("IMPORTRANGE(""https://docs.google.com/spreadsheets/d/1BeghqumK0IvCmRd2QOy6_afsZq7ZtAGrSnVJy2u7WmY/edit?usp=sharing"",""นราธิวาส!J576"")"),241)</f>
        <v>241</v>
      </c>
      <c r="AQ79" s="186">
        <f t="shared" ca="1" si="35"/>
        <v>4.0368509212730315</v>
      </c>
      <c r="AR79" s="181">
        <f ca="1">IFERROR(__xludf.DUMMYFUNCTION("IMPORTRANGE(""https://docs.google.com/spreadsheets/d/1BeghqumK0IvCmRd2QOy6_afsZq7ZtAGrSnVJy2u7WmY/edit?usp=sharing"",""นราธิวาส!J577"")"),37)</f>
        <v>37</v>
      </c>
      <c r="AS79" s="186">
        <f t="shared" ca="1" si="13"/>
        <v>3.8341968911917097</v>
      </c>
      <c r="AT79" s="186">
        <f ca="1">IFERROR(__xludf.DUMMYFUNCTION("IMPORTRANGE(""https://docs.google.com/spreadsheets/d/1BeghqumK0IvCmRd2QOy6_afsZq7ZtAGrSnVJy2u7WmY/edit?usp=sharing"",""นราธิวาส!J578"")"),207)</f>
        <v>207</v>
      </c>
      <c r="AU79" s="261">
        <f ca="1">IFERROR(__xludf.DUMMYFUNCTION("IMPORTRANGE(""https://docs.google.com/spreadsheets/d/1BeghqumK0IvCmRd2QOy6_afsZq7ZtAGrSnVJy2u7WmY/edit?usp=sharing"",""นราธิวาส!J579"")"),33)</f>
        <v>33</v>
      </c>
      <c r="AV79" s="186">
        <f ca="1">IFERROR(__xludf.DUMMYFUNCTION("IMPORTRANGE(""https://docs.google.com/spreadsheets/d/1BeghqumK0IvCmRd2QOy6_afsZq7ZtAGrSnVJy2u7WmY/edit?usp=sharing"",""นราธิวาส!J580"")"),0)</f>
        <v>0</v>
      </c>
      <c r="AW79" s="261">
        <f ca="1">IFERROR(__xludf.DUMMYFUNCTION("IMPORTRANGE(""https://docs.google.com/spreadsheets/d/1BeghqumK0IvCmRd2QOy6_afsZq7ZtAGrSnVJy2u7WmY/edit?usp=sharing"",""นราธิวาส!J581"")"),0)</f>
        <v>0</v>
      </c>
      <c r="AX79" s="186">
        <f ca="1">IFERROR(__xludf.DUMMYFUNCTION("IMPORTRANGE(""https://docs.google.com/spreadsheets/d/1BeghqumK0IvCmRd2QOy6_afsZq7ZtAGrSnVJy2u7WmY/edit?usp=sharing"",""นราธิวาส!J582"")"),34)</f>
        <v>34</v>
      </c>
      <c r="AY79" s="261">
        <f ca="1">IFERROR(__xludf.DUMMYFUNCTION("IMPORTRANGE(""https://docs.google.com/spreadsheets/d/1BeghqumK0IvCmRd2QOy6_afsZq7ZtAGrSnVJy2u7WmY/edit?usp=sharing"",""นราธิวาส!J583"")"),4)</f>
        <v>4</v>
      </c>
      <c r="AZ79" s="262">
        <f ca="1">IFERROR(__xludf.DUMMYFUNCTION("IMPORTRANGE(""https://docs.google.com/spreadsheets/d/1BeghqumK0IvCmRd2QOy6_afsZq7ZtAGrSnVJy2u7WmY/edit?usp=sharing"",""นราธิวาส!J584"")"),34)</f>
        <v>34</v>
      </c>
      <c r="BA79" s="261">
        <f ca="1">IFERROR(__xludf.DUMMYFUNCTION("IMPORTRANGE(""https://docs.google.com/spreadsheets/d/1BeghqumK0IvCmRd2QOy6_afsZq7ZtAGrSnVJy2u7WmY/edit?usp=sharing"",""นราธิวาส!J585"")"),4)</f>
        <v>4</v>
      </c>
      <c r="BB79" s="262">
        <f ca="1">IFERROR(__xludf.DUMMYFUNCTION("IMPORTRANGE(""https://docs.google.com/spreadsheets/d/1BeghqumK0IvCmRd2QOy6_afsZq7ZtAGrSnVJy2u7WmY/edit?usp=sharing"",""นราธิวาส!J586"")"),0)</f>
        <v>0</v>
      </c>
      <c r="BC79" s="261">
        <f ca="1">IFERROR(__xludf.DUMMYFUNCTION("IMPORTRANGE(""https://docs.google.com/spreadsheets/d/1BeghqumK0IvCmRd2QOy6_afsZq7ZtAGrSnVJy2u7WmY/edit?usp=sharing"",""นราธิวาส!J587"")"),0)</f>
        <v>0</v>
      </c>
      <c r="BD79" s="186">
        <f ca="1">IFERROR(__xludf.DUMMYFUNCTION("IMPORTRANGE(""https://docs.google.com/spreadsheets/d/1BeghqumK0IvCmRd2QOy6_afsZq7ZtAGrSnVJy2u7WmY/edit?usp=sharing"",""นราธิวาส!J588"")"),0)</f>
        <v>0</v>
      </c>
      <c r="BE79" s="261">
        <f ca="1">IFERROR(__xludf.DUMMYFUNCTION("IMPORTRANGE(""https://docs.google.com/spreadsheets/d/1BeghqumK0IvCmRd2QOy6_afsZq7ZtAGrSnVJy2u7WmY/edit?usp=sharing"",""นราธิวาส!J589"")"),0)</f>
        <v>0</v>
      </c>
      <c r="BF79" s="186">
        <f ca="1">IFERROR(__xludf.DUMMYFUNCTION("IMPORTRANGE(""https://docs.google.com/spreadsheets/d/1BeghqumK0IvCmRd2QOy6_afsZq7ZtAGrSnVJy2u7WmY/edit?usp=sharing"",""นราธิวาส!J590"")"),0)</f>
        <v>0</v>
      </c>
      <c r="BG79" s="261">
        <f ca="1">IFERROR(__xludf.DUMMYFUNCTION("IMPORTRANGE(""https://docs.google.com/spreadsheets/d/1BeghqumK0IvCmRd2QOy6_afsZq7ZtAGrSnVJy2u7WmY/edit?usp=sharing"",""นราธิวาส!J591"")"),0)</f>
        <v>0</v>
      </c>
      <c r="BH79" s="181">
        <f ca="1">IFERROR(__xludf.DUMMYFUNCTION("IMPORTRANGE(""https://docs.google.com/spreadsheets/d/1BeghqumK0IvCmRd2QOy6_afsZq7ZtAGrSnVJy2u7WmY/edit?usp=sharing"",""นราธิวาส!I593"")"),8699.54)</f>
        <v>8699.5400000000009</v>
      </c>
      <c r="BI79" s="181">
        <f ca="1">IFERROR(__xludf.DUMMYFUNCTION("IMPORTRANGE(""https://docs.google.com/spreadsheets/d/1BeghqumK0IvCmRd2QOy6_afsZq7ZtAGrSnVJy2u7WmY/edit?usp=sharing"",""นราธิวาส!I594"")"),225)</f>
        <v>225</v>
      </c>
      <c r="BJ79" s="186">
        <f ca="1">IFERROR(__xludf.DUMMYFUNCTION("IMPORTRANGE(""https://docs.google.com/spreadsheets/d/1BeghqumK0IvCmRd2QOy6_afsZq7ZtAGrSnVJy2u7WmY/edit?usp=sharing"",""นราธิวาส!J593"")"),0)</f>
        <v>0</v>
      </c>
      <c r="BK79" s="186">
        <f t="shared" ca="1" si="36"/>
        <v>0</v>
      </c>
      <c r="BL79" s="181">
        <f ca="1">IFERROR(__xludf.DUMMYFUNCTION("IMPORTRANGE(""https://docs.google.com/spreadsheets/d/1BeghqumK0IvCmRd2QOy6_afsZq7ZtAGrSnVJy2u7WmY/edit?usp=sharing"",""นราธิวาส!J594"")"),0)</f>
        <v>0</v>
      </c>
      <c r="BM79" s="186">
        <f t="shared" ca="1" si="16"/>
        <v>0</v>
      </c>
      <c r="BN79" s="186">
        <f ca="1">IFERROR(__xludf.DUMMYFUNCTION("IMPORTRANGE(""https://docs.google.com/spreadsheets/d/1BeghqumK0IvCmRd2QOy6_afsZq7ZtAGrSnVJy2u7WmY/edit?usp=sharing"",""นราธิวาส!J595"")"),0)</f>
        <v>0</v>
      </c>
      <c r="BO79" s="261">
        <f ca="1">IFERROR(__xludf.DUMMYFUNCTION("IMPORTRANGE(""https://docs.google.com/spreadsheets/d/1BeghqumK0IvCmRd2QOy6_afsZq7ZtAGrSnVJy2u7WmY/edit?usp=sharing"",""นราธิวาส!J596"")"),0)</f>
        <v>0</v>
      </c>
      <c r="BP79" s="186">
        <f ca="1">IFERROR(__xludf.DUMMYFUNCTION("IMPORTRANGE(""https://docs.google.com/spreadsheets/d/1BeghqumK0IvCmRd2QOy6_afsZq7ZtAGrSnVJy2u7WmY/edit?usp=sharing"",""นราธิวาส!J597"")"),0)</f>
        <v>0</v>
      </c>
      <c r="BQ79" s="261">
        <f ca="1">IFERROR(__xludf.DUMMYFUNCTION("IMPORTRANGE(""https://docs.google.com/spreadsheets/d/1BeghqumK0IvCmRd2QOy6_afsZq7ZtAGrSnVJy2u7WmY/edit?usp=sharing"",""นราธิวาส!J598"")"),0)</f>
        <v>0</v>
      </c>
      <c r="BR79" s="186">
        <f ca="1">IFERROR(__xludf.DUMMYFUNCTION("IMPORTRANGE(""https://docs.google.com/spreadsheets/d/1BeghqumK0IvCmRd2QOy6_afsZq7ZtAGrSnVJy2u7WmY/edit?usp=sharing"",""นราธิวาส!J599"")"),0)</f>
        <v>0</v>
      </c>
      <c r="BS79" s="261">
        <f ca="1">IFERROR(__xludf.DUMMYFUNCTION("IMPORTRANGE(""https://docs.google.com/spreadsheets/d/1BeghqumK0IvCmRd2QOy6_afsZq7ZtAGrSnVJy2u7WmY/edit?usp=sharing"",""นราธิวาส!J600"")"),0)</f>
        <v>0</v>
      </c>
      <c r="BT79" s="262">
        <f ca="1">IFERROR(__xludf.DUMMYFUNCTION("IMPORTRANGE(""https://docs.google.com/spreadsheets/d/1BeghqumK0IvCmRd2QOy6_afsZq7ZtAGrSnVJy2u7WmY/edit?usp=sharing"",""นราธิวาส!J601"")"),0)</f>
        <v>0</v>
      </c>
      <c r="BU79" s="261">
        <f ca="1">IFERROR(__xludf.DUMMYFUNCTION("IMPORTRANGE(""https://docs.google.com/spreadsheets/d/1BeghqumK0IvCmRd2QOy6_afsZq7ZtAGrSnVJy2u7WmY/edit?usp=sharing"",""นราธิวาส!J602"")"),0)</f>
        <v>0</v>
      </c>
      <c r="BV79" s="186">
        <f ca="1">IFERROR(__xludf.DUMMYFUNCTION("IMPORTRANGE(""https://docs.google.com/spreadsheets/d/1BeghqumK0IvCmRd2QOy6_afsZq7ZtAGrSnVJy2u7WmY/edit?usp=sharing"",""นราธิวาส!J603"")"),0)</f>
        <v>0</v>
      </c>
      <c r="BW79" s="261">
        <f ca="1">IFERROR(__xludf.DUMMYFUNCTION("IMPORTRANGE(""https://docs.google.com/spreadsheets/d/1BeghqumK0IvCmRd2QOy6_afsZq7ZtAGrSnVJy2u7WmY/edit?usp=sharing"",""นราธิวาส!J604"")"),0)</f>
        <v>0</v>
      </c>
      <c r="BX79" s="186">
        <f ca="1">IFERROR(__xludf.DUMMYFUNCTION("IMPORTRANGE(""https://docs.google.com/spreadsheets/d/1BeghqumK0IvCmRd2QOy6_afsZq7ZtAGrSnVJy2u7WmY/edit?usp=sharing"",""นราธิวาส!J605"")"),0)</f>
        <v>0</v>
      </c>
      <c r="BY79" s="261">
        <f ca="1">IFERROR(__xludf.DUMMYFUNCTION("IMPORTRANGE(""https://docs.google.com/spreadsheets/d/1BeghqumK0IvCmRd2QOy6_afsZq7ZtAGrSnVJy2u7WmY/edit?usp=sharing"",""นราธิวาส!J606"")"),0)</f>
        <v>0</v>
      </c>
      <c r="BZ79" s="186">
        <f ca="1">IFERROR(__xludf.DUMMYFUNCTION("IMPORTRANGE(""https://docs.google.com/spreadsheets/d/1BeghqumK0IvCmRd2QOy6_afsZq7ZtAGrSnVJy2u7WmY/edit?usp=sharing"",""นราธิวาส!J607"")"),0)</f>
        <v>0</v>
      </c>
      <c r="CA79" s="261">
        <f ca="1">IFERROR(__xludf.DUMMYFUNCTION("IMPORTRANGE(""https://docs.google.com/spreadsheets/d/1BeghqumK0IvCmRd2QOy6_afsZq7ZtAGrSnVJy2u7WmY/edit?usp=sharing"",""นราธิวาส!J608"")"),0)</f>
        <v>0</v>
      </c>
      <c r="CB79" s="186">
        <f ca="1">IFERROR(__xludf.DUMMYFUNCTION("IMPORTRANGE(""https://docs.google.com/spreadsheets/d/1BeghqumK0IvCmRd2QOy6_afsZq7ZtAGrSnVJy2u7WmY/edit?usp=sharing"",""นราธิวาส!J609"")"),0)</f>
        <v>0</v>
      </c>
      <c r="CC79" s="261">
        <f ca="1">IFERROR(__xludf.DUMMYFUNCTION("IMPORTRANGE(""https://docs.google.com/spreadsheets/d/1BeghqumK0IvCmRd2QOy6_afsZq7ZtAGrSnVJy2u7WmY/edit?usp=sharing"",""นราธิวาส!J610"")"),0)</f>
        <v>0</v>
      </c>
      <c r="CD79" s="261">
        <f ca="1">IFERROR(__xludf.DUMMYFUNCTION("IMPORTRANGE(""https://docs.google.com/spreadsheets/d/1BeghqumK0IvCmRd2QOy6_afsZq7ZtAGrSnVJy2u7WmY/edit?usp=sharing"",""นราธิวาส!I612"")"),0)</f>
        <v>0</v>
      </c>
      <c r="CE79" s="261">
        <f ca="1">IFERROR(__xludf.DUMMYFUNCTION("IMPORTRANGE(""https://docs.google.com/spreadsheets/d/1BeghqumK0IvCmRd2QOy6_afsZq7ZtAGrSnVJy2u7WmY/edit?usp=sharing"",""นราธิวาส!I594"")"),225)</f>
        <v>225</v>
      </c>
      <c r="CF79" s="262">
        <f ca="1">IFERROR(__xludf.DUMMYFUNCTION("IMPORTRANGE(""https://docs.google.com/spreadsheets/d/1BeghqumK0IvCmRd2QOy6_afsZq7ZtAGrSnVJy2u7WmY/edit?usp=sharing"",""นราธิวาส!J612"")"),0)</f>
        <v>0</v>
      </c>
      <c r="CG79" s="262">
        <f t="shared" ca="1" si="37"/>
        <v>0</v>
      </c>
      <c r="CH79" s="261">
        <f ca="1">IFERROR(__xludf.DUMMYFUNCTION("IMPORTRANGE(""https://docs.google.com/spreadsheets/d/1BeghqumK0IvCmRd2QOy6_afsZq7ZtAGrSnVJy2u7WmY/edit?usp=sharing"",""นราธิวาส!J613"")"),0)</f>
        <v>0</v>
      </c>
      <c r="CI79" s="262">
        <f t="shared" ca="1" si="19"/>
        <v>0</v>
      </c>
      <c r="CJ79" s="186">
        <f ca="1">IFERROR(__xludf.DUMMYFUNCTION("IMPORTRANGE(""https://docs.google.com/spreadsheets/d/1BeghqumK0IvCmRd2QOy6_afsZq7ZtAGrSnVJy2u7WmY/edit?usp=sharing"",""นราธิวาส!J614"")"),0)</f>
        <v>0</v>
      </c>
      <c r="CK79" s="261">
        <f ca="1">IFERROR(__xludf.DUMMYFUNCTION("IMPORTRANGE(""https://docs.google.com/spreadsheets/d/1BeghqumK0IvCmRd2QOy6_afsZq7ZtAGrSnVJy2u7WmY/edit?usp=sharing"",""นราธิวาส!J615"")"),0)</f>
        <v>0</v>
      </c>
      <c r="CL79" s="186">
        <f ca="1">IFERROR(__xludf.DUMMYFUNCTION("IMPORTRANGE(""https://docs.google.com/spreadsheets/d/1BeghqumK0IvCmRd2QOy6_afsZq7ZtAGrSnVJy2u7WmY/edit?usp=sharing"",""นราธิวาส!J616"")"),0)</f>
        <v>0</v>
      </c>
      <c r="CM79" s="261">
        <f ca="1">IFERROR(__xludf.DUMMYFUNCTION("IMPORTRANGE(""https://docs.google.com/spreadsheets/d/1BeghqumK0IvCmRd2QOy6_afsZq7ZtAGrSnVJy2u7WmY/edit?usp=sharing"",""นราธิวาส!J617"")"),0)</f>
        <v>0</v>
      </c>
      <c r="CN79" s="261">
        <f ca="1">IFERROR(__xludf.DUMMYFUNCTION("IMPORTRANGE(""https://docs.google.com/spreadsheets/d/1BeghqumK0IvCmRd2QOy6_afsZq7ZtAGrSnVJy2u7WmY/edit?usp=sharing"",""นราธิวาส!I620"")"),0)</f>
        <v>0</v>
      </c>
      <c r="CO79" s="261">
        <f ca="1">IFERROR(__xludf.DUMMYFUNCTION("IMPORTRANGE(""https://docs.google.com/spreadsheets/d/1BeghqumK0IvCmRd2QOy6_afsZq7ZtAGrSnVJy2u7WmY/edit?usp=sharing"",""นราธิวาส!I621"")"),0)</f>
        <v>0</v>
      </c>
      <c r="CP79" s="262">
        <f ca="1">IFERROR(__xludf.DUMMYFUNCTION("IMPORTRANGE(""https://docs.google.com/spreadsheets/d/1BeghqumK0IvCmRd2QOy6_afsZq7ZtAGrSnVJy2u7WmY/edit?usp=sharing"",""นราธิวาส!J620"")"),0)</f>
        <v>0</v>
      </c>
      <c r="CQ79" s="262">
        <f t="shared" ca="1" si="38"/>
        <v>0</v>
      </c>
      <c r="CR79" s="261">
        <f ca="1">IFERROR(__xludf.DUMMYFUNCTION("IMPORTRANGE(""https://docs.google.com/spreadsheets/d/1BeghqumK0IvCmRd2QOy6_afsZq7ZtAGrSnVJy2u7WmY/edit?usp=sharing"",""นราธิวาส!J621"")"),0)</f>
        <v>0</v>
      </c>
      <c r="CS79" s="262">
        <f t="shared" ca="1" si="22"/>
        <v>0</v>
      </c>
      <c r="CT79" s="186">
        <f ca="1">IFERROR(__xludf.DUMMYFUNCTION("IMPORTRANGE(""https://docs.google.com/spreadsheets/d/1BeghqumK0IvCmRd2QOy6_afsZq7ZtAGrSnVJy2u7WmY/edit?usp=sharing"",""นราธิวาส!J622"")"),0)</f>
        <v>0</v>
      </c>
      <c r="CU79" s="261">
        <f ca="1">IFERROR(__xludf.DUMMYFUNCTION("IMPORTRANGE(""https://docs.google.com/spreadsheets/d/1BeghqumK0IvCmRd2QOy6_afsZq7ZtAGrSnVJy2u7WmY/edit?usp=sharing"",""นราธิวาส!J623"")"),0)</f>
        <v>0</v>
      </c>
      <c r="CV79" s="186">
        <f ca="1">IFERROR(__xludf.DUMMYFUNCTION("IMPORTRANGE(""https://docs.google.com/spreadsheets/d/1BeghqumK0IvCmRd2QOy6_afsZq7ZtAGrSnVJy2u7WmY/edit?usp=sharing"",""นราธิวาส!J624"")"),0)</f>
        <v>0</v>
      </c>
      <c r="CW79" s="261">
        <f ca="1">IFERROR(__xludf.DUMMYFUNCTION("IMPORTRANGE(""https://docs.google.com/spreadsheets/d/1BeghqumK0IvCmRd2QOy6_afsZq7ZtAGrSnVJy2u7WmY/edit?usp=sharing"",""นราธิวาส!J625"")"),0)</f>
        <v>0</v>
      </c>
      <c r="CX79" s="186">
        <f ca="1">IFERROR(__xludf.DUMMYFUNCTION("IMPORTRANGE(""https://docs.google.com/spreadsheets/d/1BeghqumK0IvCmRd2QOy6_afsZq7ZtAGrSnVJy2u7WmY/edit?usp=sharing"",""นราธิวาส!J626"")"),0)</f>
        <v>0</v>
      </c>
      <c r="CY79" s="261">
        <f ca="1">IFERROR(__xludf.DUMMYFUNCTION("IMPORTRANGE(""https://docs.google.com/spreadsheets/d/1BeghqumK0IvCmRd2QOy6_afsZq7ZtAGrSnVJy2u7WmY/edit?usp=sharing"",""นราธิวาส!J627"")"),0)</f>
        <v>0</v>
      </c>
    </row>
    <row r="80" spans="1:103" ht="21" customHeight="1" x14ac:dyDescent="0.3">
      <c r="A80" s="178">
        <v>6</v>
      </c>
      <c r="B80" s="179" t="s">
        <v>97</v>
      </c>
      <c r="C80" s="180">
        <f t="shared" ca="1" si="82"/>
        <v>299718</v>
      </c>
      <c r="D80" s="181">
        <f ca="1">IFERROR(__xludf.DUMMYFUNCTION("IMPORTRANGE(""https://docs.google.com/spreadsheets/d/1IwnW3-jjRf74MCLW-6PiFwMUffRQXZwZA7YM609NmRc/edit?usp=sharing"",""ปัตตานี!L549"")"),299718)</f>
        <v>299718</v>
      </c>
      <c r="E80" s="187">
        <f ca="1">IFERROR(__xludf.DUMMYFUNCTION("IMPORTRANGE(""https://docs.google.com/spreadsheets/d/1IwnW3-jjRf74MCLW-6PiFwMUffRQXZwZA7YM609NmRc/edit?usp=sharing"",""ปัตตานี!L557"")"),0)</f>
        <v>0</v>
      </c>
      <c r="F80" s="182">
        <f t="shared" ca="1" si="1"/>
        <v>75457</v>
      </c>
      <c r="G80" s="183">
        <f t="shared" ca="1" si="2"/>
        <v>25.175998772179181</v>
      </c>
      <c r="H80" s="184">
        <f t="shared" ca="1" si="83"/>
        <v>75457</v>
      </c>
      <c r="I80" s="187">
        <f ca="1">IFERROR(__xludf.DUMMYFUNCTION("IMPORTRANGE(""https://docs.google.com/spreadsheets/d/1IwnW3-jjRf74MCLW-6PiFwMUffRQXZwZA7YM609NmRc/edit?usp=sharing"",""ปัตตานี!N550"")"),0)</f>
        <v>0</v>
      </c>
      <c r="J80" s="187">
        <f ca="1">IFERROR(__xludf.DUMMYFUNCTION("IMPORTRANGE(""https://docs.google.com/spreadsheets/d/1IwnW3-jjRf74MCLW-6PiFwMUffRQXZwZA7YM609NmRc/edit?usp=sharing"",""ปัตตานี!N551"")"),0)</f>
        <v>0</v>
      </c>
      <c r="K80" s="187">
        <f ca="1">IFERROR(__xludf.DUMMYFUNCTION("IMPORTRANGE(""https://docs.google.com/spreadsheets/d/1IwnW3-jjRf74MCLW-6PiFwMUffRQXZwZA7YM609NmRc/edit?usp=sharing"",""ปัตตานี!N552"")"),39000)</f>
        <v>39000</v>
      </c>
      <c r="L80" s="187">
        <f ca="1">IFERROR(__xludf.DUMMYFUNCTION("IMPORTRANGE(""https://docs.google.com/spreadsheets/d/1IwnW3-jjRf74MCLW-6PiFwMUffRQXZwZA7YM609NmRc/edit?usp=sharing"",""ปัตตานี!N553"")"),36457)</f>
        <v>36457</v>
      </c>
      <c r="M80" s="187">
        <f ca="1">IFERROR(__xludf.DUMMYFUNCTION("IMPORTRANGE(""https://docs.google.com/spreadsheets/d/1IwnW3-jjRf74MCLW-6PiFwMUffRQXZwZA7YM609NmRc/edit?usp=sharing"",""ปัตตานี!N554"")"),0)</f>
        <v>0</v>
      </c>
      <c r="N80" s="185">
        <f ca="1">IFERROR(__xludf.DUMMYFUNCTION("IMPORTRANGE(""https://docs.google.com/spreadsheets/d/1IwnW3-jjRf74MCLW-6PiFwMUffRQXZwZA7YM609NmRc/edit?usp=sharing"",""ปัตตานี!N557"")"),0)</f>
        <v>0</v>
      </c>
      <c r="O80" s="185">
        <f t="shared" ca="1" si="41"/>
        <v>0</v>
      </c>
      <c r="P80" s="181">
        <f ca="1">IFERROR(__xludf.DUMMYFUNCTION("IMPORTRANGE(""https://docs.google.com/spreadsheets/d/1IwnW3-jjRf74MCLW-6PiFwMUffRQXZwZA7YM609NmRc/edit?usp=sharing"",""ปัตตานี!I560"")"),6591)</f>
        <v>6591</v>
      </c>
      <c r="Q80" s="181">
        <f ca="1">IFERROR(__xludf.DUMMYFUNCTION("IMPORTRANGE(""https://docs.google.com/spreadsheets/d/1IwnW3-jjRf74MCLW-6PiFwMUffRQXZwZA7YM609NmRc/edit?usp=sharing"",""ปัตตานี!I561"")"),1075)</f>
        <v>1075</v>
      </c>
      <c r="R80" s="186">
        <f ca="1">IFERROR(__xludf.DUMMYFUNCTION("IMPORTRANGE(""https://docs.google.com/spreadsheets/d/1IwnW3-jjRf74MCLW-6PiFwMUffRQXZwZA7YM609NmRc/edit?usp=sharing"",""ปัตตานี!J560"")"),5490.8)</f>
        <v>5490.8</v>
      </c>
      <c r="S80" s="186">
        <f t="shared" ca="1" si="33"/>
        <v>83.307540585647089</v>
      </c>
      <c r="T80" s="181">
        <f ca="1">IFERROR(__xludf.DUMMYFUNCTION("IMPORTRANGE(""https://docs.google.com/spreadsheets/d/1IwnW3-jjRf74MCLW-6PiFwMUffRQXZwZA7YM609NmRc/edit?usp=sharing"",""ปัตตานี!J561"")"),920)</f>
        <v>920</v>
      </c>
      <c r="U80" s="186">
        <f t="shared" ca="1" si="7"/>
        <v>85.581395348837205</v>
      </c>
      <c r="V80" s="186">
        <f ca="1">IFERROR(__xludf.DUMMYFUNCTION("IMPORTRANGE(""https://docs.google.com/spreadsheets/d/1IwnW3-jjRf74MCLW-6PiFwMUffRQXZwZA7YM609NmRc/edit?usp=sharing"",""ปัตตานี!J562"")"),4171.7)</f>
        <v>4171.7</v>
      </c>
      <c r="W80" s="261">
        <f ca="1">IFERROR(__xludf.DUMMYFUNCTION("IMPORTRANGE(""https://docs.google.com/spreadsheets/d/1IwnW3-jjRf74MCLW-6PiFwMUffRQXZwZA7YM609NmRc/edit?usp=sharing"",""ปัตตานี!J563"")"),716)</f>
        <v>716</v>
      </c>
      <c r="X80" s="186">
        <f ca="1">IFERROR(__xludf.DUMMYFUNCTION("IMPORTRANGE(""https://docs.google.com/spreadsheets/d/1IwnW3-jjRf74MCLW-6PiFwMUffRQXZwZA7YM609NmRc/edit?usp=sharing"",""ปัตตานี!J564"")"),968)</f>
        <v>968</v>
      </c>
      <c r="Y80" s="261">
        <f ca="1">IFERROR(__xludf.DUMMYFUNCTION("IMPORTRANGE(""https://docs.google.com/spreadsheets/d/1IwnW3-jjRf74MCLW-6PiFwMUffRQXZwZA7YM609NmRc/edit?usp=sharing"",""ปัตตานี!J565"")"),143)</f>
        <v>143</v>
      </c>
      <c r="Z80" s="186">
        <f ca="1">IFERROR(__xludf.DUMMYFUNCTION("IMPORTRANGE(""https://docs.google.com/spreadsheets/d/1IwnW3-jjRf74MCLW-6PiFwMUffRQXZwZA7YM609NmRc/edit?usp=sharing"",""ปัตตานี!J566"")"),351.1)</f>
        <v>351.1</v>
      </c>
      <c r="AA80" s="261">
        <f ca="1">IFERROR(__xludf.DUMMYFUNCTION("IMPORTRANGE(""https://docs.google.com/spreadsheets/d/1IwnW3-jjRf74MCLW-6PiFwMUffRQXZwZA7YM609NmRc/edit?usp=sharing"",""ปัตตานี!J567"")"),61)</f>
        <v>61</v>
      </c>
      <c r="AB80" s="181">
        <f ca="1">IFERROR(__xludf.DUMMYFUNCTION("IMPORTRANGE(""https://docs.google.com/spreadsheets/d/1IwnW3-jjRf74MCLW-6PiFwMUffRQXZwZA7YM609NmRc/edit?usp=sharing"",""ปัตตานี!I568"")"),6591)</f>
        <v>6591</v>
      </c>
      <c r="AC80" s="181">
        <f ca="1">IFERROR(__xludf.DUMMYFUNCTION("IMPORTRANGE(""https://docs.google.com/spreadsheets/d/1IwnW3-jjRf74MCLW-6PiFwMUffRQXZwZA7YM609NmRc/edit?usp=sharing"",""ปัตตานี!I569"")"),1075)</f>
        <v>1075</v>
      </c>
      <c r="AD80" s="186">
        <f ca="1">IFERROR(__xludf.DUMMYFUNCTION("IMPORTRANGE(""https://docs.google.com/spreadsheets/d/1IwnW3-jjRf74MCLW-6PiFwMUffRQXZwZA7YM609NmRc/edit?usp=sharing"",""ปัตตานี!J568"")"),0)</f>
        <v>0</v>
      </c>
      <c r="AE80" s="186">
        <f t="shared" ca="1" si="34"/>
        <v>0</v>
      </c>
      <c r="AF80" s="181">
        <f ca="1">IFERROR(__xludf.DUMMYFUNCTION("IMPORTRANGE(""https://docs.google.com/spreadsheets/d/1IwnW3-jjRf74MCLW-6PiFwMUffRQXZwZA7YM609NmRc/edit?usp=sharing"",""ปัตตานี!J569"")"),0)</f>
        <v>0</v>
      </c>
      <c r="AG80" s="186">
        <f t="shared" ca="1" si="10"/>
        <v>0</v>
      </c>
      <c r="AH80" s="186">
        <f ca="1">IFERROR(__xludf.DUMMYFUNCTION("IMPORTRANGE(""https://docs.google.com/spreadsheets/d/1IwnW3-jjRf74MCLW-6PiFwMUffRQXZwZA7YM609NmRc/edit?usp=sharing"",""ปัตตานี!J570"")"),0)</f>
        <v>0</v>
      </c>
      <c r="AI80" s="261">
        <f ca="1">IFERROR(__xludf.DUMMYFUNCTION("IMPORTRANGE(""https://docs.google.com/spreadsheets/d/1IwnW3-jjRf74MCLW-6PiFwMUffRQXZwZA7YM609NmRc/edit?usp=sharing"",""ปัตตานี!J571"")"),0)</f>
        <v>0</v>
      </c>
      <c r="AJ80" s="186">
        <f ca="1">IFERROR(__xludf.DUMMYFUNCTION("IMPORTRANGE(""https://docs.google.com/spreadsheets/d/1IwnW3-jjRf74MCLW-6PiFwMUffRQXZwZA7YM609NmRc/edit?usp=sharing"",""ปัตตานี!J572"")"),0)</f>
        <v>0</v>
      </c>
      <c r="AK80" s="261">
        <f ca="1">IFERROR(__xludf.DUMMYFUNCTION("IMPORTRANGE(""https://docs.google.com/spreadsheets/d/1IwnW3-jjRf74MCLW-6PiFwMUffRQXZwZA7YM609NmRc/edit?usp=sharing"",""ปัตตานี!J573"")"),0)</f>
        <v>0</v>
      </c>
      <c r="AL80" s="186">
        <f ca="1">IFERROR(__xludf.DUMMYFUNCTION("IMPORTRANGE(""https://docs.google.com/spreadsheets/d/1IwnW3-jjRf74MCLW-6PiFwMUffRQXZwZA7YM609NmRc/edit?usp=sharing"",""ปัตตานี!J574"")"),0)</f>
        <v>0</v>
      </c>
      <c r="AM80" s="261">
        <f ca="1">IFERROR(__xludf.DUMMYFUNCTION("IMPORTRANGE(""https://docs.google.com/spreadsheets/d/1IwnW3-jjRf74MCLW-6PiFwMUffRQXZwZA7YM609NmRc/edit?usp=sharing"",""ปัตตานี!J575"")"),0)</f>
        <v>0</v>
      </c>
      <c r="AN80" s="181">
        <f ca="1">IFERROR(__xludf.DUMMYFUNCTION("IMPORTRANGE(""https://docs.google.com/spreadsheets/d/1IwnW3-jjRf74MCLW-6PiFwMUffRQXZwZA7YM609NmRc/edit?usp=sharing"",""ปัตตานี!I576"")"),6591)</f>
        <v>6591</v>
      </c>
      <c r="AO80" s="181">
        <f ca="1">IFERROR(__xludf.DUMMYFUNCTION("IMPORTRANGE(""https://docs.google.com/spreadsheets/d/1IwnW3-jjRf74MCLW-6PiFwMUffRQXZwZA7YM609NmRc/edit?usp=sharing"",""ปัตตานี!I577"")"),1075)</f>
        <v>1075</v>
      </c>
      <c r="AP80" s="186">
        <f ca="1">IFERROR(__xludf.DUMMYFUNCTION("IMPORTRANGE(""https://docs.google.com/spreadsheets/d/1IwnW3-jjRf74MCLW-6PiFwMUffRQXZwZA7YM609NmRc/edit?usp=sharing"",""ปัตตานี!J576"")"),0)</f>
        <v>0</v>
      </c>
      <c r="AQ80" s="186">
        <f t="shared" ca="1" si="35"/>
        <v>0</v>
      </c>
      <c r="AR80" s="181">
        <f ca="1">IFERROR(__xludf.DUMMYFUNCTION("IMPORTRANGE(""https://docs.google.com/spreadsheets/d/1IwnW3-jjRf74MCLW-6PiFwMUffRQXZwZA7YM609NmRc/edit?usp=sharing"",""ปัตตานี!J577"")"),0)</f>
        <v>0</v>
      </c>
      <c r="AS80" s="186">
        <f t="shared" ca="1" si="13"/>
        <v>0</v>
      </c>
      <c r="AT80" s="186">
        <f ca="1">IFERROR(__xludf.DUMMYFUNCTION("IMPORTRANGE(""https://docs.google.com/spreadsheets/d/1IwnW3-jjRf74MCLW-6PiFwMUffRQXZwZA7YM609NmRc/edit?usp=sharing"",""ปัตตานี!J578"")"),0)</f>
        <v>0</v>
      </c>
      <c r="AU80" s="261">
        <f ca="1">IFERROR(__xludf.DUMMYFUNCTION("IMPORTRANGE(""https://docs.google.com/spreadsheets/d/1IwnW3-jjRf74MCLW-6PiFwMUffRQXZwZA7YM609NmRc/edit?usp=sharing"",""ปัตตานี!J579"")"),0)</f>
        <v>0</v>
      </c>
      <c r="AV80" s="186">
        <f ca="1">IFERROR(__xludf.DUMMYFUNCTION("IMPORTRANGE(""https://docs.google.com/spreadsheets/d/1IwnW3-jjRf74MCLW-6PiFwMUffRQXZwZA7YM609NmRc/edit?usp=sharing"",""ปัตตานี!J580"")"),0)</f>
        <v>0</v>
      </c>
      <c r="AW80" s="261">
        <f ca="1">IFERROR(__xludf.DUMMYFUNCTION("IMPORTRANGE(""https://docs.google.com/spreadsheets/d/1IwnW3-jjRf74MCLW-6PiFwMUffRQXZwZA7YM609NmRc/edit?usp=sharing"",""ปัตตานี!J581"")"),0)</f>
        <v>0</v>
      </c>
      <c r="AX80" s="186">
        <f ca="1">IFERROR(__xludf.DUMMYFUNCTION("IMPORTRANGE(""https://docs.google.com/spreadsheets/d/1IwnW3-jjRf74MCLW-6PiFwMUffRQXZwZA7YM609NmRc/edit?usp=sharing"",""ปัตตานี!J582"")"),0)</f>
        <v>0</v>
      </c>
      <c r="AY80" s="261">
        <f ca="1">IFERROR(__xludf.DUMMYFUNCTION("IMPORTRANGE(""https://docs.google.com/spreadsheets/d/1IwnW3-jjRf74MCLW-6PiFwMUffRQXZwZA7YM609NmRc/edit?usp=sharing"",""ปัตตานี!J583"")"),0)</f>
        <v>0</v>
      </c>
      <c r="AZ80" s="262">
        <f ca="1">IFERROR(__xludf.DUMMYFUNCTION("IMPORTRANGE(""https://docs.google.com/spreadsheets/d/1IwnW3-jjRf74MCLW-6PiFwMUffRQXZwZA7YM609NmRc/edit?usp=sharing"",""ปัตตานี!J584"")"),0)</f>
        <v>0</v>
      </c>
      <c r="BA80" s="261">
        <f ca="1">IFERROR(__xludf.DUMMYFUNCTION("IMPORTRANGE(""https://docs.google.com/spreadsheets/d/1IwnW3-jjRf74MCLW-6PiFwMUffRQXZwZA7YM609NmRc/edit?usp=sharing"",""ปัตตานี!J585"")"),0)</f>
        <v>0</v>
      </c>
      <c r="BB80" s="262">
        <f ca="1">IFERROR(__xludf.DUMMYFUNCTION("IMPORTRANGE(""https://docs.google.com/spreadsheets/d/1IwnW3-jjRf74MCLW-6PiFwMUffRQXZwZA7YM609NmRc/edit?usp=sharing"",""ปัตตานี!J586"")"),0)</f>
        <v>0</v>
      </c>
      <c r="BC80" s="261">
        <f ca="1">IFERROR(__xludf.DUMMYFUNCTION("IMPORTRANGE(""https://docs.google.com/spreadsheets/d/1IwnW3-jjRf74MCLW-6PiFwMUffRQXZwZA7YM609NmRc/edit?usp=sharing"",""ปัตตานี!J587"")"),0)</f>
        <v>0</v>
      </c>
      <c r="BD80" s="186">
        <f ca="1">IFERROR(__xludf.DUMMYFUNCTION("IMPORTRANGE(""https://docs.google.com/spreadsheets/d/1IwnW3-jjRf74MCLW-6PiFwMUffRQXZwZA7YM609NmRc/edit?usp=sharing"",""ปัตตานี!J588"")"),0)</f>
        <v>0</v>
      </c>
      <c r="BE80" s="261">
        <f ca="1">IFERROR(__xludf.DUMMYFUNCTION("IMPORTRANGE(""https://docs.google.com/spreadsheets/d/1IwnW3-jjRf74MCLW-6PiFwMUffRQXZwZA7YM609NmRc/edit?usp=sharing"",""ปัตตานี!J589"")"),0)</f>
        <v>0</v>
      </c>
      <c r="BF80" s="186">
        <f ca="1">IFERROR(__xludf.DUMMYFUNCTION("IMPORTRANGE(""https://docs.google.com/spreadsheets/d/1IwnW3-jjRf74MCLW-6PiFwMUffRQXZwZA7YM609NmRc/edit?usp=sharing"",""ปัตตานี!J590"")"),0)</f>
        <v>0</v>
      </c>
      <c r="BG80" s="261">
        <f ca="1">IFERROR(__xludf.DUMMYFUNCTION("IMPORTRANGE(""https://docs.google.com/spreadsheets/d/1IwnW3-jjRf74MCLW-6PiFwMUffRQXZwZA7YM609NmRc/edit?usp=sharing"",""ปัตตานี!J591"")"),0)</f>
        <v>0</v>
      </c>
      <c r="BH80" s="181">
        <f ca="1">IFERROR(__xludf.DUMMYFUNCTION("IMPORTRANGE(""https://docs.google.com/spreadsheets/d/1IwnW3-jjRf74MCLW-6PiFwMUffRQXZwZA7YM609NmRc/edit?usp=sharing"",""ปัตตานี!I593"")"),1539.76)</f>
        <v>1539.76</v>
      </c>
      <c r="BI80" s="181">
        <f ca="1">IFERROR(__xludf.DUMMYFUNCTION("IMPORTRANGE(""https://docs.google.com/spreadsheets/d/1IwnW3-jjRf74MCLW-6PiFwMUffRQXZwZA7YM609NmRc/edit?usp=sharing"",""ปัตตานี!I594"")"),224)</f>
        <v>224</v>
      </c>
      <c r="BJ80" s="186">
        <f ca="1">IFERROR(__xludf.DUMMYFUNCTION("IMPORTRANGE(""https://docs.google.com/spreadsheets/d/1IwnW3-jjRf74MCLW-6PiFwMUffRQXZwZA7YM609NmRc/edit?usp=sharing"",""ปัตตานี!J593"")"),0)</f>
        <v>0</v>
      </c>
      <c r="BK80" s="186">
        <f t="shared" ca="1" si="36"/>
        <v>0</v>
      </c>
      <c r="BL80" s="181">
        <f ca="1">IFERROR(__xludf.DUMMYFUNCTION("IMPORTRANGE(""https://docs.google.com/spreadsheets/d/1IwnW3-jjRf74MCLW-6PiFwMUffRQXZwZA7YM609NmRc/edit?usp=sharing"",""ปัตตานี!J594"")"),0)</f>
        <v>0</v>
      </c>
      <c r="BM80" s="186">
        <f t="shared" ca="1" si="16"/>
        <v>0</v>
      </c>
      <c r="BN80" s="186">
        <f ca="1">IFERROR(__xludf.DUMMYFUNCTION("IMPORTRANGE(""https://docs.google.com/spreadsheets/d/1IwnW3-jjRf74MCLW-6PiFwMUffRQXZwZA7YM609NmRc/edit?usp=sharing"",""ปัตตานี!J595"")"),0)</f>
        <v>0</v>
      </c>
      <c r="BO80" s="261">
        <f ca="1">IFERROR(__xludf.DUMMYFUNCTION("IMPORTRANGE(""https://docs.google.com/spreadsheets/d/1IwnW3-jjRf74MCLW-6PiFwMUffRQXZwZA7YM609NmRc/edit?usp=sharing"",""ปัตตานี!J596"")"),0)</f>
        <v>0</v>
      </c>
      <c r="BP80" s="186">
        <f ca="1">IFERROR(__xludf.DUMMYFUNCTION("IMPORTRANGE(""https://docs.google.com/spreadsheets/d/1IwnW3-jjRf74MCLW-6PiFwMUffRQXZwZA7YM609NmRc/edit?usp=sharing"",""ปัตตานี!J597"")"),0)</f>
        <v>0</v>
      </c>
      <c r="BQ80" s="261">
        <f ca="1">IFERROR(__xludf.DUMMYFUNCTION("IMPORTRANGE(""https://docs.google.com/spreadsheets/d/1IwnW3-jjRf74MCLW-6PiFwMUffRQXZwZA7YM609NmRc/edit?usp=sharing"",""ปัตตานี!J598"")"),0)</f>
        <v>0</v>
      </c>
      <c r="BR80" s="186">
        <f ca="1">IFERROR(__xludf.DUMMYFUNCTION("IMPORTRANGE(""https://docs.google.com/spreadsheets/d/1IwnW3-jjRf74MCLW-6PiFwMUffRQXZwZA7YM609NmRc/edit?usp=sharing"",""ปัตตานี!J599"")"),0)</f>
        <v>0</v>
      </c>
      <c r="BS80" s="261">
        <f ca="1">IFERROR(__xludf.DUMMYFUNCTION("IMPORTRANGE(""https://docs.google.com/spreadsheets/d/1IwnW3-jjRf74MCLW-6PiFwMUffRQXZwZA7YM609NmRc/edit?usp=sharing"",""ปัตตานี!J600"")"),0)</f>
        <v>0</v>
      </c>
      <c r="BT80" s="262">
        <f ca="1">IFERROR(__xludf.DUMMYFUNCTION("IMPORTRANGE(""https://docs.google.com/spreadsheets/d/1IwnW3-jjRf74MCLW-6PiFwMUffRQXZwZA7YM609NmRc/edit?usp=sharing"",""ปัตตานี!J601"")"),0)</f>
        <v>0</v>
      </c>
      <c r="BU80" s="261">
        <f ca="1">IFERROR(__xludf.DUMMYFUNCTION("IMPORTRANGE(""https://docs.google.com/spreadsheets/d/1IwnW3-jjRf74MCLW-6PiFwMUffRQXZwZA7YM609NmRc/edit?usp=sharing"",""ปัตตานี!J602"")"),0)</f>
        <v>0</v>
      </c>
      <c r="BV80" s="186">
        <f ca="1">IFERROR(__xludf.DUMMYFUNCTION("IMPORTRANGE(""https://docs.google.com/spreadsheets/d/1IwnW3-jjRf74MCLW-6PiFwMUffRQXZwZA7YM609NmRc/edit?usp=sharing"",""ปัตตานี!J603"")"),0)</f>
        <v>0</v>
      </c>
      <c r="BW80" s="261">
        <f ca="1">IFERROR(__xludf.DUMMYFUNCTION("IMPORTRANGE(""https://docs.google.com/spreadsheets/d/1IwnW3-jjRf74MCLW-6PiFwMUffRQXZwZA7YM609NmRc/edit?usp=sharing"",""ปัตตานี!J604"")"),0)</f>
        <v>0</v>
      </c>
      <c r="BX80" s="186">
        <f ca="1">IFERROR(__xludf.DUMMYFUNCTION("IMPORTRANGE(""https://docs.google.com/spreadsheets/d/1IwnW3-jjRf74MCLW-6PiFwMUffRQXZwZA7YM609NmRc/edit?usp=sharing"",""ปัตตานี!J605"")"),0)</f>
        <v>0</v>
      </c>
      <c r="BY80" s="261">
        <f ca="1">IFERROR(__xludf.DUMMYFUNCTION("IMPORTRANGE(""https://docs.google.com/spreadsheets/d/1IwnW3-jjRf74MCLW-6PiFwMUffRQXZwZA7YM609NmRc/edit?usp=sharing"",""ปัตตานี!J606"")"),0)</f>
        <v>0</v>
      </c>
      <c r="BZ80" s="186">
        <f ca="1">IFERROR(__xludf.DUMMYFUNCTION("IMPORTRANGE(""https://docs.google.com/spreadsheets/d/1IwnW3-jjRf74MCLW-6PiFwMUffRQXZwZA7YM609NmRc/edit?usp=sharing"",""ปัตตานี!J607"")"),0)</f>
        <v>0</v>
      </c>
      <c r="CA80" s="261">
        <f ca="1">IFERROR(__xludf.DUMMYFUNCTION("IMPORTRANGE(""https://docs.google.com/spreadsheets/d/1IwnW3-jjRf74MCLW-6PiFwMUffRQXZwZA7YM609NmRc/edit?usp=sharing"",""ปัตตานี!J608"")"),0)</f>
        <v>0</v>
      </c>
      <c r="CB80" s="186">
        <f ca="1">IFERROR(__xludf.DUMMYFUNCTION("IMPORTRANGE(""https://docs.google.com/spreadsheets/d/1IwnW3-jjRf74MCLW-6PiFwMUffRQXZwZA7YM609NmRc/edit?usp=sharing"",""ปัตตานี!J609"")"),0)</f>
        <v>0</v>
      </c>
      <c r="CC80" s="261">
        <f ca="1">IFERROR(__xludf.DUMMYFUNCTION("IMPORTRANGE(""https://docs.google.com/spreadsheets/d/1IwnW3-jjRf74MCLW-6PiFwMUffRQXZwZA7YM609NmRc/edit?usp=sharing"",""ปัตตานี!J610"")"),0)</f>
        <v>0</v>
      </c>
      <c r="CD80" s="261">
        <f ca="1">IFERROR(__xludf.DUMMYFUNCTION("IMPORTRANGE(""https://docs.google.com/spreadsheets/d/1IwnW3-jjRf74MCLW-6PiFwMUffRQXZwZA7YM609NmRc/edit?usp=sharing"",""ปัตตานี!I612"")"),0)</f>
        <v>0</v>
      </c>
      <c r="CE80" s="261">
        <f ca="1">IFERROR(__xludf.DUMMYFUNCTION("IMPORTRANGE(""https://docs.google.com/spreadsheets/d/1IwnW3-jjRf74MCLW-6PiFwMUffRQXZwZA7YM609NmRc/edit?usp=sharing"",""ปัตตานี!I594"")"),224)</f>
        <v>224</v>
      </c>
      <c r="CF80" s="262">
        <f ca="1">IFERROR(__xludf.DUMMYFUNCTION("IMPORTRANGE(""https://docs.google.com/spreadsheets/d/1IwnW3-jjRf74MCLW-6PiFwMUffRQXZwZA7YM609NmRc/edit?usp=sharing"",""ปัตตานี!J612"")"),0)</f>
        <v>0</v>
      </c>
      <c r="CG80" s="262">
        <f t="shared" ca="1" si="37"/>
        <v>0</v>
      </c>
      <c r="CH80" s="261">
        <f ca="1">IFERROR(__xludf.DUMMYFUNCTION("IMPORTRANGE(""https://docs.google.com/spreadsheets/d/1IwnW3-jjRf74MCLW-6PiFwMUffRQXZwZA7YM609NmRc/edit?usp=sharing"",""ปัตตานี!J613"")"),0)</f>
        <v>0</v>
      </c>
      <c r="CI80" s="262">
        <f t="shared" ca="1" si="19"/>
        <v>0</v>
      </c>
      <c r="CJ80" s="186">
        <f ca="1">IFERROR(__xludf.DUMMYFUNCTION("IMPORTRANGE(""https://docs.google.com/spreadsheets/d/1IwnW3-jjRf74MCLW-6PiFwMUffRQXZwZA7YM609NmRc/edit?usp=share_link"",""ปัตตานี!J614"")"),0)</f>
        <v>0</v>
      </c>
      <c r="CK80" s="261">
        <f ca="1">IFERROR(__xludf.DUMMYFUNCTION("IMPORTRANGE(""https://docs.google.com/spreadsheets/d/1IwnW3-jjRf74MCLW-6PiFwMUffRQXZwZA7YM609NmRc/edit?usp=sharing"",""ปัตตานี!J615"")"),0)</f>
        <v>0</v>
      </c>
      <c r="CL80" s="186">
        <f ca="1">IFERROR(__xludf.DUMMYFUNCTION("IMPORTRANGE(""https://docs.google.com/spreadsheets/d/1IwnW3-jjRf74MCLW-6PiFwMUffRQXZwZA7YM609NmRc/edit?usp=share_link"",""ปัตตานี!J616"")"),0)</f>
        <v>0</v>
      </c>
      <c r="CM80" s="261">
        <f ca="1">IFERROR(__xludf.DUMMYFUNCTION("IMPORTRANGE(""https://docs.google.com/spreadsheets/d/1IwnW3-jjRf74MCLW-6PiFwMUffRQXZwZA7YM609NmRc/edit?usp=sharing"",""ปัตตานี!J617"")"),0)</f>
        <v>0</v>
      </c>
      <c r="CN80" s="261">
        <f ca="1">IFERROR(__xludf.DUMMYFUNCTION("IMPORTRANGE(""https://docs.google.com/spreadsheets/d/1IwnW3-jjRf74MCLW-6PiFwMUffRQXZwZA7YM609NmRc/edit?usp=sharing"",""ปัตตานี!I620"")"),0)</f>
        <v>0</v>
      </c>
      <c r="CO80" s="261">
        <f ca="1">IFERROR(__xludf.DUMMYFUNCTION("IMPORTRANGE(""https://docs.google.com/spreadsheets/d/1IwnW3-jjRf74MCLW-6PiFwMUffRQXZwZA7YM609NmRc/edit?usp=sharing"",""ปัตตานี!I621"")"),0)</f>
        <v>0</v>
      </c>
      <c r="CP80" s="262">
        <f ca="1">IFERROR(__xludf.DUMMYFUNCTION("IMPORTRANGE(""https://docs.google.com/spreadsheets/d/1IwnW3-jjRf74MCLW-6PiFwMUffRQXZwZA7YM609NmRc/edit?usp=sharing"",""ปัตตานี!J620"")"),0)</f>
        <v>0</v>
      </c>
      <c r="CQ80" s="262">
        <f t="shared" ca="1" si="38"/>
        <v>0</v>
      </c>
      <c r="CR80" s="261">
        <f ca="1">IFERROR(__xludf.DUMMYFUNCTION("IMPORTRANGE(""https://docs.google.com/spreadsheets/d/1IwnW3-jjRf74MCLW-6PiFwMUffRQXZwZA7YM609NmRc/edit?usp=sharing"",""ปัตตานี!J621"")"),0)</f>
        <v>0</v>
      </c>
      <c r="CS80" s="262">
        <f t="shared" ca="1" si="22"/>
        <v>0</v>
      </c>
      <c r="CT80" s="186">
        <f ca="1">IFERROR(__xludf.DUMMYFUNCTION("IMPORTRANGE(""https://docs.google.com/spreadsheets/d/1IwnW3-jjRf74MCLW-6PiFwMUffRQXZwZA7YM609NmRc/edit?usp=share_link"",""ปัตตานี!J622"")"),0)</f>
        <v>0</v>
      </c>
      <c r="CU80" s="261">
        <f ca="1">IFERROR(__xludf.DUMMYFUNCTION("IMPORTRANGE(""https://docs.google.com/spreadsheets/d/1IwnW3-jjRf74MCLW-6PiFwMUffRQXZwZA7YM609NmRc/edit?usp=sharing"",""ปัตตานี!J623"")"),0)</f>
        <v>0</v>
      </c>
      <c r="CV80" s="186">
        <f ca="1">IFERROR(__xludf.DUMMYFUNCTION("IMPORTRANGE(""https://docs.google.com/spreadsheets/d/1IwnW3-jjRf74MCLW-6PiFwMUffRQXZwZA7YM609NmRc/edit?usp=share_link"",""ปัตตานี!J624"")"),0)</f>
        <v>0</v>
      </c>
      <c r="CW80" s="261">
        <f ca="1">IFERROR(__xludf.DUMMYFUNCTION("IMPORTRANGE(""https://docs.google.com/spreadsheets/d/1IwnW3-jjRf74MCLW-6PiFwMUffRQXZwZA7YM609NmRc/edit?usp=sharing"",""ปัตตานี!J625"")"),0)</f>
        <v>0</v>
      </c>
      <c r="CX80" s="186">
        <f ca="1">IFERROR(__xludf.DUMMYFUNCTION("IMPORTRANGE(""https://docs.google.com/spreadsheets/d/1IwnW3-jjRf74MCLW-6PiFwMUffRQXZwZA7YM609NmRc/edit?usp=share_link"",""ปัตตานี!J626"")"),0)</f>
        <v>0</v>
      </c>
      <c r="CY80" s="261">
        <f ca="1">IFERROR(__xludf.DUMMYFUNCTION("IMPORTRANGE(""https://docs.google.com/spreadsheets/d/1IwnW3-jjRf74MCLW-6PiFwMUffRQXZwZA7YM609NmRc/edit?usp=sharing"",""ปัตตานี!J627"")"),0)</f>
        <v>0</v>
      </c>
    </row>
    <row r="81" spans="1:103" ht="21" customHeight="1" x14ac:dyDescent="0.3">
      <c r="A81" s="178">
        <v>7</v>
      </c>
      <c r="B81" s="179" t="s">
        <v>98</v>
      </c>
      <c r="C81" s="180">
        <f t="shared" ca="1" si="82"/>
        <v>236443</v>
      </c>
      <c r="D81" s="181">
        <f ca="1">IFERROR(__xludf.DUMMYFUNCTION("IMPORTRANGE(""https://docs.google.com/spreadsheets/d/1vl4QWbWdFruual5o_wdo6ZSqXZ_it806oja4CctTLKs/edit?usp=sharing"",""พังงา!L549"")"),236443)</f>
        <v>236443</v>
      </c>
      <c r="E81" s="187">
        <f ca="1">IFERROR(__xludf.DUMMYFUNCTION("IMPORTRANGE(""https://docs.google.com/spreadsheets/d/1vl4QWbWdFruual5o_wdo6ZSqXZ_it806oja4CctTLKs/edit?usp=sharing"",""พังงา!L557"")"),0)</f>
        <v>0</v>
      </c>
      <c r="F81" s="182">
        <f t="shared" ca="1" si="1"/>
        <v>2120</v>
      </c>
      <c r="G81" s="183">
        <f t="shared" ca="1" si="2"/>
        <v>0.89662201883752113</v>
      </c>
      <c r="H81" s="184">
        <f t="shared" ca="1" si="83"/>
        <v>2120</v>
      </c>
      <c r="I81" s="187">
        <f ca="1">IFERROR(__xludf.DUMMYFUNCTION("IMPORTRANGE(""https://docs.google.com/spreadsheets/d/1vl4QWbWdFruual5o_wdo6ZSqXZ_it806oja4CctTLKs/edit?usp=sharing"",""พังงา!N550"")"),0)</f>
        <v>0</v>
      </c>
      <c r="J81" s="187">
        <f ca="1">IFERROR(__xludf.DUMMYFUNCTION("IMPORTRANGE(""https://docs.google.com/spreadsheets/d/1vl4QWbWdFruual5o_wdo6ZSqXZ_it806oja4CctTLKs/edit?usp=sharing"",""พังงา!N551"")"),0)</f>
        <v>0</v>
      </c>
      <c r="K81" s="187">
        <f ca="1">IFERROR(__xludf.DUMMYFUNCTION("IMPORTRANGE(""https://docs.google.com/spreadsheets/d/1vl4QWbWdFruual5o_wdo6ZSqXZ_it806oja4CctTLKs/edit?usp=sharing"",""พังงา!N552"")"),0)</f>
        <v>0</v>
      </c>
      <c r="L81" s="187">
        <f ca="1">IFERROR(__xludf.DUMMYFUNCTION("IMPORTRANGE(""https://docs.google.com/spreadsheets/d/1vl4QWbWdFruual5o_wdo6ZSqXZ_it806oja4CctTLKs/edit?usp=sharing"",""พังงา!N553"")"),2120)</f>
        <v>2120</v>
      </c>
      <c r="M81" s="187">
        <f ca="1">IFERROR(__xludf.DUMMYFUNCTION("IMPORTRANGE(""https://docs.google.com/spreadsheets/d/1vl4QWbWdFruual5o_wdo6ZSqXZ_it806oja4CctTLKs/edit?usp=sharing"",""พังงา!N554"")"),0)</f>
        <v>0</v>
      </c>
      <c r="N81" s="185">
        <f ca="1">IFERROR(__xludf.DUMMYFUNCTION("IMPORTRANGE(""https://docs.google.com/spreadsheets/d/1vl4QWbWdFruual5o_wdo6ZSqXZ_it806oja4CctTLKs/edit?usp=sharing"",""พังงา!N557"")"),0)</f>
        <v>0</v>
      </c>
      <c r="O81" s="185">
        <f t="shared" ca="1" si="41"/>
        <v>0</v>
      </c>
      <c r="P81" s="181">
        <f ca="1">IFERROR(__xludf.DUMMYFUNCTION("IMPORTRANGE(""https://docs.google.com/spreadsheets/d/1vl4QWbWdFruual5o_wdo6ZSqXZ_it806oja4CctTLKs/edit?usp=sharing"",""พังงา!I560"")"),2360)</f>
        <v>2360</v>
      </c>
      <c r="Q81" s="181">
        <f ca="1">IFERROR(__xludf.DUMMYFUNCTION("IMPORTRANGE(""https://docs.google.com/spreadsheets/d/1vl4QWbWdFruual5o_wdo6ZSqXZ_it806oja4CctTLKs/edit?usp=sharing"",""พังงา!I561"")"),339)</f>
        <v>339</v>
      </c>
      <c r="R81" s="186">
        <f ca="1">IFERROR(__xludf.DUMMYFUNCTION("IMPORTRANGE(""https://docs.google.com/spreadsheets/d/1vl4QWbWdFruual5o_wdo6ZSqXZ_it806oja4CctTLKs/edit?usp=sharing"",""พังงา!J560"")"),2360)</f>
        <v>2360</v>
      </c>
      <c r="S81" s="186">
        <f t="shared" ca="1" si="33"/>
        <v>100</v>
      </c>
      <c r="T81" s="181">
        <f ca="1">IFERROR(__xludf.DUMMYFUNCTION("IMPORTRANGE(""https://docs.google.com/spreadsheets/d/1vl4QWbWdFruual5o_wdo6ZSqXZ_it806oja4CctTLKs/edit?usp=sharing"",""พังงา!J561"")"),339)</f>
        <v>339</v>
      </c>
      <c r="U81" s="186">
        <f t="shared" ca="1" si="7"/>
        <v>100</v>
      </c>
      <c r="V81" s="186">
        <f ca="1">IFERROR(__xludf.DUMMYFUNCTION("IMPORTRANGE(""https://docs.google.com/spreadsheets/d/1vl4QWbWdFruual5o_wdo6ZSqXZ_it806oja4CctTLKs/edit?usp=sharing"",""พังงา!J562"")"),2089)</f>
        <v>2089</v>
      </c>
      <c r="W81" s="261">
        <f ca="1">IFERROR(__xludf.DUMMYFUNCTION("IMPORTRANGE(""https://docs.google.com/spreadsheets/d/1vl4QWbWdFruual5o_wdo6ZSqXZ_it806oja4CctTLKs/edit?usp=sharing"",""พังงา!J563"")"),276)</f>
        <v>276</v>
      </c>
      <c r="X81" s="186">
        <f ca="1">IFERROR(__xludf.DUMMYFUNCTION("IMPORTRANGE(""https://docs.google.com/spreadsheets/d/1vl4QWbWdFruual5o_wdo6ZSqXZ_it806oja4CctTLKs/edit?usp=sharing"",""พังงา!J564"")"),199)</f>
        <v>199</v>
      </c>
      <c r="Y81" s="261">
        <f ca="1">IFERROR(__xludf.DUMMYFUNCTION("IMPORTRANGE(""https://docs.google.com/spreadsheets/d/1vl4QWbWdFruual5o_wdo6ZSqXZ_it806oja4CctTLKs/edit?usp=sharing"",""พังงา!J565"")"),53)</f>
        <v>53</v>
      </c>
      <c r="Z81" s="186">
        <f ca="1">IFERROR(__xludf.DUMMYFUNCTION("IMPORTRANGE(""https://docs.google.com/spreadsheets/d/1vl4QWbWdFruual5o_wdo6ZSqXZ_it806oja4CctTLKs/edit?usp=sharing"",""พังงา!J566"")"),72)</f>
        <v>72</v>
      </c>
      <c r="AA81" s="261">
        <f ca="1">IFERROR(__xludf.DUMMYFUNCTION("IMPORTRANGE(""https://docs.google.com/spreadsheets/d/1vl4QWbWdFruual5o_wdo6ZSqXZ_it806oja4CctTLKs/edit?usp=sharing"",""พังงา!J567"")"),10)</f>
        <v>10</v>
      </c>
      <c r="AB81" s="181">
        <f ca="1">IFERROR(__xludf.DUMMYFUNCTION("IMPORTRANGE(""https://docs.google.com/spreadsheets/d/1vl4QWbWdFruual5o_wdo6ZSqXZ_it806oja4CctTLKs/edit?usp=sharing"",""พังงา!I568"")"),2360)</f>
        <v>2360</v>
      </c>
      <c r="AC81" s="181">
        <f ca="1">IFERROR(__xludf.DUMMYFUNCTION("IMPORTRANGE(""https://docs.google.com/spreadsheets/d/1vl4QWbWdFruual5o_wdo6ZSqXZ_it806oja4CctTLKs/edit?usp=sharing"",""พังงา!I569"")"),339)</f>
        <v>339</v>
      </c>
      <c r="AD81" s="186">
        <f ca="1">IFERROR(__xludf.DUMMYFUNCTION("IMPORTRANGE(""https://docs.google.com/spreadsheets/d/1vl4QWbWdFruual5o_wdo6ZSqXZ_it806oja4CctTLKs/edit?usp=sharing"",""พังงา!J568"")"),0)</f>
        <v>0</v>
      </c>
      <c r="AE81" s="186">
        <f t="shared" ca="1" si="34"/>
        <v>0</v>
      </c>
      <c r="AF81" s="181">
        <f ca="1">IFERROR(__xludf.DUMMYFUNCTION("IMPORTRANGE(""https://docs.google.com/spreadsheets/d/1vl4QWbWdFruual5o_wdo6ZSqXZ_it806oja4CctTLKs/edit?usp=sharing"",""พังงา!J569"")"),0)</f>
        <v>0</v>
      </c>
      <c r="AG81" s="186">
        <f t="shared" ca="1" si="10"/>
        <v>0</v>
      </c>
      <c r="AH81" s="186">
        <f ca="1">IFERROR(__xludf.DUMMYFUNCTION("IMPORTRANGE(""https://docs.google.com/spreadsheets/d/1vl4QWbWdFruual5o_wdo6ZSqXZ_it806oja4CctTLKs/edit?usp=sharing"",""พังงา!J570"")"),0)</f>
        <v>0</v>
      </c>
      <c r="AI81" s="261">
        <f ca="1">IFERROR(__xludf.DUMMYFUNCTION("IMPORTRANGE(""https://docs.google.com/spreadsheets/d/1vl4QWbWdFruual5o_wdo6ZSqXZ_it806oja4CctTLKs/edit?usp=sharing"",""พังงา!J571"")"),0)</f>
        <v>0</v>
      </c>
      <c r="AJ81" s="186">
        <f ca="1">IFERROR(__xludf.DUMMYFUNCTION("IMPORTRANGE(""https://docs.google.com/spreadsheets/d/1vl4QWbWdFruual5o_wdo6ZSqXZ_it806oja4CctTLKs/edit?usp=sharing"",""พังงา!J572"")"),0)</f>
        <v>0</v>
      </c>
      <c r="AK81" s="261">
        <f ca="1">IFERROR(__xludf.DUMMYFUNCTION("IMPORTRANGE(""https://docs.google.com/spreadsheets/d/1vl4QWbWdFruual5o_wdo6ZSqXZ_it806oja4CctTLKs/edit?usp=sharing"",""พังงา!J573"")"),0)</f>
        <v>0</v>
      </c>
      <c r="AL81" s="186">
        <f ca="1">IFERROR(__xludf.DUMMYFUNCTION("IMPORTRANGE(""https://docs.google.com/spreadsheets/d/1vl4QWbWdFruual5o_wdo6ZSqXZ_it806oja4CctTLKs/edit?usp=sharing"",""พังงา!J574"")"),0)</f>
        <v>0</v>
      </c>
      <c r="AM81" s="261">
        <f ca="1">IFERROR(__xludf.DUMMYFUNCTION("IMPORTRANGE(""https://docs.google.com/spreadsheets/d/1vl4QWbWdFruual5o_wdo6ZSqXZ_it806oja4CctTLKs/edit?usp=sharing"",""พังงา!J575"")"),0)</f>
        <v>0</v>
      </c>
      <c r="AN81" s="181">
        <f ca="1">IFERROR(__xludf.DUMMYFUNCTION("IMPORTRANGE(""https://docs.google.com/spreadsheets/d/1vl4QWbWdFruual5o_wdo6ZSqXZ_it806oja4CctTLKs/edit?usp=sharing"",""พังงา!I576"")"),2360)</f>
        <v>2360</v>
      </c>
      <c r="AO81" s="181">
        <f ca="1">IFERROR(__xludf.DUMMYFUNCTION("IMPORTRANGE(""https://docs.google.com/spreadsheets/d/1vl4QWbWdFruual5o_wdo6ZSqXZ_it806oja4CctTLKs/edit?usp=sharing"",""พังงา!I577"")"),339)</f>
        <v>339</v>
      </c>
      <c r="AP81" s="186">
        <f ca="1">IFERROR(__xludf.DUMMYFUNCTION("IMPORTRANGE(""https://docs.google.com/spreadsheets/d/1vl4QWbWdFruual5o_wdo6ZSqXZ_it806oja4CctTLKs/edit?usp=sharing"",""พังงา!J576"")"),0)</f>
        <v>0</v>
      </c>
      <c r="AQ81" s="186">
        <f t="shared" ca="1" si="35"/>
        <v>0</v>
      </c>
      <c r="AR81" s="181">
        <f ca="1">IFERROR(__xludf.DUMMYFUNCTION("IMPORTRANGE(""https://docs.google.com/spreadsheets/d/1vl4QWbWdFruual5o_wdo6ZSqXZ_it806oja4CctTLKs/edit?usp=sharing"",""พังงา!J577"")"),0)</f>
        <v>0</v>
      </c>
      <c r="AS81" s="186">
        <f t="shared" ca="1" si="13"/>
        <v>0</v>
      </c>
      <c r="AT81" s="186">
        <f ca="1">IFERROR(__xludf.DUMMYFUNCTION("IMPORTRANGE(""https://docs.google.com/spreadsheets/d/1vl4QWbWdFruual5o_wdo6ZSqXZ_it806oja4CctTLKs/edit?usp=sharing"",""พังงา!J578"")"),0)</f>
        <v>0</v>
      </c>
      <c r="AU81" s="261">
        <f ca="1">IFERROR(__xludf.DUMMYFUNCTION("IMPORTRANGE(""https://docs.google.com/spreadsheets/d/1vl4QWbWdFruual5o_wdo6ZSqXZ_it806oja4CctTLKs/edit?usp=sharing"",""พังงา!J579"")"),0)</f>
        <v>0</v>
      </c>
      <c r="AV81" s="186">
        <f ca="1">IFERROR(__xludf.DUMMYFUNCTION("IMPORTRANGE(""https://docs.google.com/spreadsheets/d/1vl4QWbWdFruual5o_wdo6ZSqXZ_it806oja4CctTLKs/edit?usp=sharing"",""พังงา!J580"")"),0)</f>
        <v>0</v>
      </c>
      <c r="AW81" s="261">
        <f ca="1">IFERROR(__xludf.DUMMYFUNCTION("IMPORTRANGE(""https://docs.google.com/spreadsheets/d/1vl4QWbWdFruual5o_wdo6ZSqXZ_it806oja4CctTLKs/edit?usp=sharing"",""พังงา!J581"")"),0)</f>
        <v>0</v>
      </c>
      <c r="AX81" s="186">
        <f ca="1">IFERROR(__xludf.DUMMYFUNCTION("IMPORTRANGE(""https://docs.google.com/spreadsheets/d/1vl4QWbWdFruual5o_wdo6ZSqXZ_it806oja4CctTLKs/edit?usp=sharing"",""พังงา!J582"")"),0)</f>
        <v>0</v>
      </c>
      <c r="AY81" s="261">
        <f ca="1">IFERROR(__xludf.DUMMYFUNCTION("IMPORTRANGE(""https://docs.google.com/spreadsheets/d/1vl4QWbWdFruual5o_wdo6ZSqXZ_it806oja4CctTLKs/edit?usp=sharing"",""พังงา!J583"")"),0)</f>
        <v>0</v>
      </c>
      <c r="AZ81" s="262">
        <f ca="1">IFERROR(__xludf.DUMMYFUNCTION("IMPORTRANGE(""https://docs.google.com/spreadsheets/d/1vl4QWbWdFruual5o_wdo6ZSqXZ_it806oja4CctTLKs/edit?usp=sharing"",""พังงา!J584"")"),0)</f>
        <v>0</v>
      </c>
      <c r="BA81" s="261">
        <f ca="1">IFERROR(__xludf.DUMMYFUNCTION("IMPORTRANGE(""https://docs.google.com/spreadsheets/d/1vl4QWbWdFruual5o_wdo6ZSqXZ_it806oja4CctTLKs/edit?usp=sharing"",""พังงา!J585"")"),0)</f>
        <v>0</v>
      </c>
      <c r="BB81" s="262">
        <f ca="1">IFERROR(__xludf.DUMMYFUNCTION("IMPORTRANGE(""https://docs.google.com/spreadsheets/d/1vl4QWbWdFruual5o_wdo6ZSqXZ_it806oja4CctTLKs/edit?usp=sharing"",""พังงา!J586"")"),0)</f>
        <v>0</v>
      </c>
      <c r="BC81" s="261">
        <f ca="1">IFERROR(__xludf.DUMMYFUNCTION("IMPORTRANGE(""https://docs.google.com/spreadsheets/d/1vl4QWbWdFruual5o_wdo6ZSqXZ_it806oja4CctTLKs/edit?usp=sharing"",""พังงา!J587"")"),0)</f>
        <v>0</v>
      </c>
      <c r="BD81" s="186">
        <f ca="1">IFERROR(__xludf.DUMMYFUNCTION("IMPORTRANGE(""https://docs.google.com/spreadsheets/d/1vl4QWbWdFruual5o_wdo6ZSqXZ_it806oja4CctTLKs/edit?usp=sharing"",""พังงา!J588"")"),0)</f>
        <v>0</v>
      </c>
      <c r="BE81" s="261">
        <f ca="1">IFERROR(__xludf.DUMMYFUNCTION("IMPORTRANGE(""https://docs.google.com/spreadsheets/d/1vl4QWbWdFruual5o_wdo6ZSqXZ_it806oja4CctTLKs/edit?usp=sharing"",""พังงา!J589"")"),0)</f>
        <v>0</v>
      </c>
      <c r="BF81" s="186">
        <f ca="1">IFERROR(__xludf.DUMMYFUNCTION("IMPORTRANGE(""https://docs.google.com/spreadsheets/d/1vl4QWbWdFruual5o_wdo6ZSqXZ_it806oja4CctTLKs/edit?usp=sharing"",""พังงา!J590"")"),0)</f>
        <v>0</v>
      </c>
      <c r="BG81" s="261">
        <f ca="1">IFERROR(__xludf.DUMMYFUNCTION("IMPORTRANGE(""https://docs.google.com/spreadsheets/d/1vl4QWbWdFruual5o_wdo6ZSqXZ_it806oja4CctTLKs/edit?usp=sharing"",""พังงา!J591"")"),0)</f>
        <v>0</v>
      </c>
      <c r="BH81" s="181">
        <f ca="1">IFERROR(__xludf.DUMMYFUNCTION("IMPORTRANGE(""https://docs.google.com/spreadsheets/d/1vl4QWbWdFruual5o_wdo6ZSqXZ_it806oja4CctTLKs/edit?usp=sharing"",""พังงา!I593"")"),217.49)</f>
        <v>217.49</v>
      </c>
      <c r="BI81" s="181">
        <f ca="1">IFERROR(__xludf.DUMMYFUNCTION("IMPORTRANGE(""https://docs.google.com/spreadsheets/d/1vl4QWbWdFruual5o_wdo6ZSqXZ_it806oja4CctTLKs/edit?usp=sharing"",""พังงา!I594"")"),29)</f>
        <v>29</v>
      </c>
      <c r="BJ81" s="186">
        <f ca="1">IFERROR(__xludf.DUMMYFUNCTION("IMPORTRANGE(""https://docs.google.com/spreadsheets/d/1vl4QWbWdFruual5o_wdo6ZSqXZ_it806oja4CctTLKs/edit?usp=sharing"",""พังงา!J593"")"),0)</f>
        <v>0</v>
      </c>
      <c r="BK81" s="186">
        <f t="shared" ca="1" si="36"/>
        <v>0</v>
      </c>
      <c r="BL81" s="181">
        <f ca="1">IFERROR(__xludf.DUMMYFUNCTION("IMPORTRANGE(""https://docs.google.com/spreadsheets/d/1vl4QWbWdFruual5o_wdo6ZSqXZ_it806oja4CctTLKs/edit?usp=sharing"",""พังงา!J594"")"),0)</f>
        <v>0</v>
      </c>
      <c r="BM81" s="186">
        <f t="shared" ca="1" si="16"/>
        <v>0</v>
      </c>
      <c r="BN81" s="186">
        <f ca="1">IFERROR(__xludf.DUMMYFUNCTION("IMPORTRANGE(""https://docs.google.com/spreadsheets/d/1vl4QWbWdFruual5o_wdo6ZSqXZ_it806oja4CctTLKs/edit?usp=sharing"",""พังงา!J595"")"),0)</f>
        <v>0</v>
      </c>
      <c r="BO81" s="261">
        <f ca="1">IFERROR(__xludf.DUMMYFUNCTION("IMPORTRANGE(""https://docs.google.com/spreadsheets/d/1vl4QWbWdFruual5o_wdo6ZSqXZ_it806oja4CctTLKs/edit?usp=sharing"",""พังงา!J596"")"),0)</f>
        <v>0</v>
      </c>
      <c r="BP81" s="186">
        <f ca="1">IFERROR(__xludf.DUMMYFUNCTION("IMPORTRANGE(""https://docs.google.com/spreadsheets/d/1vl4QWbWdFruual5o_wdo6ZSqXZ_it806oja4CctTLKs/edit?usp=sharing"",""พังงา!J597"")"),0)</f>
        <v>0</v>
      </c>
      <c r="BQ81" s="261">
        <f ca="1">IFERROR(__xludf.DUMMYFUNCTION("IMPORTRANGE(""https://docs.google.com/spreadsheets/d/1vl4QWbWdFruual5o_wdo6ZSqXZ_it806oja4CctTLKs/edit?usp=sharing"",""พังงา!J598"")"),0)</f>
        <v>0</v>
      </c>
      <c r="BR81" s="186">
        <f ca="1">IFERROR(__xludf.DUMMYFUNCTION("IMPORTRANGE(""https://docs.google.com/spreadsheets/d/1vl4QWbWdFruual5o_wdo6ZSqXZ_it806oja4CctTLKs/edit?usp=sharing"",""พังงา!J599"")"),0)</f>
        <v>0</v>
      </c>
      <c r="BS81" s="261">
        <f ca="1">IFERROR(__xludf.DUMMYFUNCTION("IMPORTRANGE(""https://docs.google.com/spreadsheets/d/1vl4QWbWdFruual5o_wdo6ZSqXZ_it806oja4CctTLKs/edit?usp=sharing"",""พังงา!J600"")"),0)</f>
        <v>0</v>
      </c>
      <c r="BT81" s="262">
        <f ca="1">IFERROR(__xludf.DUMMYFUNCTION("IMPORTRANGE(""https://docs.google.com/spreadsheets/d/1vl4QWbWdFruual5o_wdo6ZSqXZ_it806oja4CctTLKs/edit?usp=sharing"",""พังงา!J601"")"),0)</f>
        <v>0</v>
      </c>
      <c r="BU81" s="261">
        <f ca="1">IFERROR(__xludf.DUMMYFUNCTION("IMPORTRANGE(""https://docs.google.com/spreadsheets/d/1vl4QWbWdFruual5o_wdo6ZSqXZ_it806oja4CctTLKs/edit?usp=sharing"",""พังงา!J602"")"),0)</f>
        <v>0</v>
      </c>
      <c r="BV81" s="186">
        <f ca="1">IFERROR(__xludf.DUMMYFUNCTION("IMPORTRANGE(""https://docs.google.com/spreadsheets/d/1vl4QWbWdFruual5o_wdo6ZSqXZ_it806oja4CctTLKs/edit?usp=sharing"",""พังงา!J603"")"),0)</f>
        <v>0</v>
      </c>
      <c r="BW81" s="261">
        <f ca="1">IFERROR(__xludf.DUMMYFUNCTION("IMPORTRANGE(""https://docs.google.com/spreadsheets/d/1vl4QWbWdFruual5o_wdo6ZSqXZ_it806oja4CctTLKs/edit?usp=sharing"",""พังงา!J604"")"),0)</f>
        <v>0</v>
      </c>
      <c r="BX81" s="186">
        <f ca="1">IFERROR(__xludf.DUMMYFUNCTION("IMPORTRANGE(""https://docs.google.com/spreadsheets/d/1vl4QWbWdFruual5o_wdo6ZSqXZ_it806oja4CctTLKs/edit?usp=sharing"",""พังงา!J605"")"),0)</f>
        <v>0</v>
      </c>
      <c r="BY81" s="261">
        <f ca="1">IFERROR(__xludf.DUMMYFUNCTION("IMPORTRANGE(""https://docs.google.com/spreadsheets/d/1vl4QWbWdFruual5o_wdo6ZSqXZ_it806oja4CctTLKs/edit?usp=sharing"",""พังงา!J606"")"),0)</f>
        <v>0</v>
      </c>
      <c r="BZ81" s="186">
        <f ca="1">IFERROR(__xludf.DUMMYFUNCTION("IMPORTRANGE(""https://docs.google.com/spreadsheets/d/1vl4QWbWdFruual5o_wdo6ZSqXZ_it806oja4CctTLKs/edit?usp=sharing"",""พังงา!J607"")"),0)</f>
        <v>0</v>
      </c>
      <c r="CA81" s="261">
        <f ca="1">IFERROR(__xludf.DUMMYFUNCTION("IMPORTRANGE(""https://docs.google.com/spreadsheets/d/1vl4QWbWdFruual5o_wdo6ZSqXZ_it806oja4CctTLKs/edit?usp=sharing"",""พังงา!J608"")"),0)</f>
        <v>0</v>
      </c>
      <c r="CB81" s="186">
        <f ca="1">IFERROR(__xludf.DUMMYFUNCTION("IMPORTRANGE(""https://docs.google.com/spreadsheets/d/1vl4QWbWdFruual5o_wdo6ZSqXZ_it806oja4CctTLKs/edit?usp=sharing"",""พังงา!J609"")"),0)</f>
        <v>0</v>
      </c>
      <c r="CC81" s="261">
        <f ca="1">IFERROR(__xludf.DUMMYFUNCTION("IMPORTRANGE(""https://docs.google.com/spreadsheets/d/1vl4QWbWdFruual5o_wdo6ZSqXZ_it806oja4CctTLKs/edit?usp=sharing"",""พังงา!J610"")"),0)</f>
        <v>0</v>
      </c>
      <c r="CD81" s="261">
        <f ca="1">IFERROR(__xludf.DUMMYFUNCTION("IMPORTRANGE(""https://docs.google.com/spreadsheets/d/1vl4QWbWdFruual5o_wdo6ZSqXZ_it806oja4CctTLKs/edit?usp=sharing"",""พังงา!I612"")"),0)</f>
        <v>0</v>
      </c>
      <c r="CE81" s="261">
        <f ca="1">IFERROR(__xludf.DUMMYFUNCTION("IMPORTRANGE(""https://docs.google.com/spreadsheets/d/1vl4QWbWdFruual5o_wdo6ZSqXZ_it806oja4CctTLKs/edit?usp=sharing"",""พังงา!I594"")"),29)</f>
        <v>29</v>
      </c>
      <c r="CF81" s="262">
        <f ca="1">IFERROR(__xludf.DUMMYFUNCTION("IMPORTRANGE(""https://docs.google.com/spreadsheets/d/1vl4QWbWdFruual5o_wdo6ZSqXZ_it806oja4CctTLKs/edit?usp=sharing"",""พังงา!J612"")"),0)</f>
        <v>0</v>
      </c>
      <c r="CG81" s="262">
        <f t="shared" ca="1" si="37"/>
        <v>0</v>
      </c>
      <c r="CH81" s="261">
        <f ca="1">IFERROR(__xludf.DUMMYFUNCTION("IMPORTRANGE(""https://docs.google.com/spreadsheets/d/1vl4QWbWdFruual5o_wdo6ZSqXZ_it806oja4CctTLKs/edit?usp=sharing"",""พังงา!J613"")"),0)</f>
        <v>0</v>
      </c>
      <c r="CI81" s="262">
        <f t="shared" ca="1" si="19"/>
        <v>0</v>
      </c>
      <c r="CJ81" s="186">
        <f ca="1">IFERROR(__xludf.DUMMYFUNCTION("IMPORTRANGE(""https://docs.google.com/spreadsheets/d/1vl4QWbWdFruual5o_wdo6ZSqXZ_it806oja4CctTLKs/edit?usp=sharing"",""พังงา!J614"")"),0)</f>
        <v>0</v>
      </c>
      <c r="CK81" s="261">
        <f ca="1">IFERROR(__xludf.DUMMYFUNCTION("IMPORTRANGE(""https://docs.google.com/spreadsheets/d/1vl4QWbWdFruual5o_wdo6ZSqXZ_it806oja4CctTLKs/edit?usp=sharing"",""พังงา!J615"")"),0)</f>
        <v>0</v>
      </c>
      <c r="CL81" s="186">
        <f ca="1">IFERROR(__xludf.DUMMYFUNCTION("IMPORTRANGE(""https://docs.google.com/spreadsheets/d/1vl4QWbWdFruual5o_wdo6ZSqXZ_it806oja4CctTLKs/edit?usp=sharing"",""พังงา!J616"")"),0)</f>
        <v>0</v>
      </c>
      <c r="CM81" s="261">
        <f ca="1">IFERROR(__xludf.DUMMYFUNCTION("IMPORTRANGE(""https://docs.google.com/spreadsheets/d/1vl4QWbWdFruual5o_wdo6ZSqXZ_it806oja4CctTLKs/edit?usp=sharing"",""พังงา!J617"")"),0)</f>
        <v>0</v>
      </c>
      <c r="CN81" s="261">
        <f ca="1">IFERROR(__xludf.DUMMYFUNCTION("IMPORTRANGE(""https://docs.google.com/spreadsheets/d/1vl4QWbWdFruual5o_wdo6ZSqXZ_it806oja4CctTLKs/edit?usp=sharing"",""พังงา!I620"")"),0)</f>
        <v>0</v>
      </c>
      <c r="CO81" s="261">
        <f ca="1">IFERROR(__xludf.DUMMYFUNCTION("IMPORTRANGE(""https://docs.google.com/spreadsheets/d/1vl4QWbWdFruual5o_wdo6ZSqXZ_it806oja4CctTLKs/edit?usp=sharing"",""พังงา!I621"")"),0)</f>
        <v>0</v>
      </c>
      <c r="CP81" s="262">
        <f ca="1">IFERROR(__xludf.DUMMYFUNCTION("IMPORTRANGE(""https://docs.google.com/spreadsheets/d/1vl4QWbWdFruual5o_wdo6ZSqXZ_it806oja4CctTLKs/edit?usp=sharing"",""พังงา!J620"")"),0)</f>
        <v>0</v>
      </c>
      <c r="CQ81" s="262">
        <f t="shared" ca="1" si="38"/>
        <v>0</v>
      </c>
      <c r="CR81" s="261">
        <f ca="1">IFERROR(__xludf.DUMMYFUNCTION("IMPORTRANGE(""https://docs.google.com/spreadsheets/d/1vl4QWbWdFruual5o_wdo6ZSqXZ_it806oja4CctTLKs/edit?usp=sharing"",""พังงา!J621"")"),0)</f>
        <v>0</v>
      </c>
      <c r="CS81" s="262">
        <f t="shared" ca="1" si="22"/>
        <v>0</v>
      </c>
      <c r="CT81" s="186">
        <f ca="1">IFERROR(__xludf.DUMMYFUNCTION("IMPORTRANGE(""https://docs.google.com/spreadsheets/d/1vl4QWbWdFruual5o_wdo6ZSqXZ_it806oja4CctTLKs/edit?usp=sharing"",""พังงา!J622"")"),0)</f>
        <v>0</v>
      </c>
      <c r="CU81" s="261">
        <f ca="1">IFERROR(__xludf.DUMMYFUNCTION("IMPORTRANGE(""https://docs.google.com/spreadsheets/d/1vl4QWbWdFruual5o_wdo6ZSqXZ_it806oja4CctTLKs/edit?usp=sharing"",""พังงา!J623"")"),0)</f>
        <v>0</v>
      </c>
      <c r="CV81" s="186">
        <f ca="1">IFERROR(__xludf.DUMMYFUNCTION("IMPORTRANGE(""https://docs.google.com/spreadsheets/d/1vl4QWbWdFruual5o_wdo6ZSqXZ_it806oja4CctTLKs/edit?usp=sharing"",""พังงา!J624"")"),0)</f>
        <v>0</v>
      </c>
      <c r="CW81" s="261">
        <f ca="1">IFERROR(__xludf.DUMMYFUNCTION("IMPORTRANGE(""https://docs.google.com/spreadsheets/d/1vl4QWbWdFruual5o_wdo6ZSqXZ_it806oja4CctTLKs/edit?usp=sharing"",""พังงา!J625"")"),0)</f>
        <v>0</v>
      </c>
      <c r="CX81" s="186">
        <f ca="1">IFERROR(__xludf.DUMMYFUNCTION("IMPORTRANGE(""https://docs.google.com/spreadsheets/d/1vl4QWbWdFruual5o_wdo6ZSqXZ_it806oja4CctTLKs/edit?usp=sharing"",""พังงา!J626"")"),0)</f>
        <v>0</v>
      </c>
      <c r="CY81" s="261">
        <f ca="1">IFERROR(__xludf.DUMMYFUNCTION("IMPORTRANGE(""https://docs.google.com/spreadsheets/d/1vl4QWbWdFruual5o_wdo6ZSqXZ_it806oja4CctTLKs/edit?usp=sharing"",""พังงา!J627"")"),0)</f>
        <v>0</v>
      </c>
    </row>
    <row r="82" spans="1:103" ht="21" customHeight="1" x14ac:dyDescent="0.3">
      <c r="A82" s="178">
        <v>8</v>
      </c>
      <c r="B82" s="179" t="s">
        <v>99</v>
      </c>
      <c r="C82" s="180">
        <f t="shared" ca="1" si="82"/>
        <v>537675</v>
      </c>
      <c r="D82" s="181">
        <f ca="1">IFERROR(__xludf.DUMMYFUNCTION("IMPORTRANGE(""https://docs.google.com/spreadsheets/d/1b6QssHQp2FoAPSMKHOy273KNzAomaIKhtdlvuZ_zDNE/edit?usp=sharing"",""พัทลุง!L549"")"),537675)</f>
        <v>537675</v>
      </c>
      <c r="E82" s="187">
        <f ca="1">IFERROR(__xludf.DUMMYFUNCTION("IMPORTRANGE(""https://docs.google.com/spreadsheets/d/1b6QssHQp2FoAPSMKHOy273KNzAomaIKhtdlvuZ_zDNE/edit?usp=sharing"",""พัทลุง!L557"")"),0)</f>
        <v>0</v>
      </c>
      <c r="F82" s="182">
        <f t="shared" ca="1" si="1"/>
        <v>76736.76999999999</v>
      </c>
      <c r="G82" s="183">
        <f t="shared" ca="1" si="2"/>
        <v>14.271961686892638</v>
      </c>
      <c r="H82" s="184">
        <f t="shared" ca="1" si="83"/>
        <v>76736.76999999999</v>
      </c>
      <c r="I82" s="187">
        <f ca="1">IFERROR(__xludf.DUMMYFUNCTION("IMPORTRANGE(""https://docs.google.com/spreadsheets/d/1b6QssHQp2FoAPSMKHOy273KNzAomaIKhtdlvuZ_zDNE/edit?usp=sharing"",""พัทลุง!N550"")"),0)</f>
        <v>0</v>
      </c>
      <c r="J82" s="187">
        <f ca="1">IFERROR(__xludf.DUMMYFUNCTION("IMPORTRANGE(""https://docs.google.com/spreadsheets/d/1b6QssHQp2FoAPSMKHOy273KNzAomaIKhtdlvuZ_zDNE/edit?usp=sharing"",""พัทลุง!N551"")"),0)</f>
        <v>0</v>
      </c>
      <c r="K82" s="187">
        <f ca="1">IFERROR(__xludf.DUMMYFUNCTION("IMPORTRANGE(""https://docs.google.com/spreadsheets/d/1b6QssHQp2FoAPSMKHOy273KNzAomaIKhtdlvuZ_zDNE/edit?usp=sharing"",""พัทลุง!N552"")"),38589.7)</f>
        <v>38589.699999999997</v>
      </c>
      <c r="L82" s="187">
        <f ca="1">IFERROR(__xludf.DUMMYFUNCTION("IMPORTRANGE(""https://docs.google.com/spreadsheets/d/1b6QssHQp2FoAPSMKHOy273KNzAomaIKhtdlvuZ_zDNE/edit?usp=sharing"",""พัทลุง!N553"")"),38147.07)</f>
        <v>38147.07</v>
      </c>
      <c r="M82" s="187">
        <f ca="1">IFERROR(__xludf.DUMMYFUNCTION("IMPORTRANGE(""https://docs.google.com/spreadsheets/d/1b6QssHQp2FoAPSMKHOy273KNzAomaIKhtdlvuZ_zDNE/edit?usp=sharing"",""พัทลุง!N554"")"),0)</f>
        <v>0</v>
      </c>
      <c r="N82" s="185">
        <f ca="1">IFERROR(__xludf.DUMMYFUNCTION("IMPORTRANGE(""https://docs.google.com/spreadsheets/d/1b6QssHQp2FoAPSMKHOy273KNzAomaIKhtdlvuZ_zDNE/edit?usp=sharing"",""พัทลุง!N557"")"),0)</f>
        <v>0</v>
      </c>
      <c r="O82" s="185">
        <f t="shared" ca="1" si="41"/>
        <v>0</v>
      </c>
      <c r="P82" s="181">
        <f ca="1">IFERROR(__xludf.DUMMYFUNCTION("IMPORTRANGE(""https://docs.google.com/spreadsheets/d/1b6QssHQp2FoAPSMKHOy273KNzAomaIKhtdlvuZ_zDNE/edit?usp=sharing"",""พัทลุง!I560"")"),36514)</f>
        <v>36514</v>
      </c>
      <c r="Q82" s="181">
        <f ca="1">IFERROR(__xludf.DUMMYFUNCTION("IMPORTRANGE(""https://docs.google.com/spreadsheets/d/1b6QssHQp2FoAPSMKHOy273KNzAomaIKhtdlvuZ_zDNE/edit?usp=sharing"",""พัทลุง!I561"")"),7422)</f>
        <v>7422</v>
      </c>
      <c r="R82" s="186">
        <f ca="1">IFERROR(__xludf.DUMMYFUNCTION("IMPORTRANGE(""https://docs.google.com/spreadsheets/d/1b6QssHQp2FoAPSMKHOy273KNzAomaIKhtdlvuZ_zDNE/edit?usp=sharing"",""พัทลุง!J560"")"),36514.2325)</f>
        <v>36514.232499999998</v>
      </c>
      <c r="S82" s="186">
        <f t="shared" ca="1" si="33"/>
        <v>100.00063674207153</v>
      </c>
      <c r="T82" s="181">
        <f ca="1">IFERROR(__xludf.DUMMYFUNCTION("IMPORTRANGE(""https://docs.google.com/spreadsheets/d/1b6QssHQp2FoAPSMKHOy273KNzAomaIKhtdlvuZ_zDNE/edit?usp=sharing"",""พัทลุง!J561"")"),7422)</f>
        <v>7422</v>
      </c>
      <c r="U82" s="186">
        <f t="shared" ca="1" si="7"/>
        <v>100</v>
      </c>
      <c r="V82" s="186">
        <f ca="1">IFERROR(__xludf.DUMMYFUNCTION("IMPORTRANGE(""https://docs.google.com/spreadsheets/d/1b6QssHQp2FoAPSMKHOy273KNzAomaIKhtdlvuZ_zDNE/edit?usp=sharing"",""พัทลุง!J562"")"),31338.235)</f>
        <v>31338.235000000001</v>
      </c>
      <c r="W82" s="261">
        <f ca="1">IFERROR(__xludf.DUMMYFUNCTION("IMPORTRANGE(""https://docs.google.com/spreadsheets/d/1b6QssHQp2FoAPSMKHOy273KNzAomaIKhtdlvuZ_zDNE/edit?usp=sharing"",""พัทลุง!J563"")"),6525)</f>
        <v>6525</v>
      </c>
      <c r="X82" s="186">
        <f ca="1">IFERROR(__xludf.DUMMYFUNCTION("IMPORTRANGE(""https://docs.google.com/spreadsheets/d/1b6QssHQp2FoAPSMKHOy273KNzAomaIKhtdlvuZ_zDNE/edit?usp=sharing"",""พัทลุง!J564"")"),4457.84)</f>
        <v>4457.84</v>
      </c>
      <c r="Y82" s="261">
        <f ca="1">IFERROR(__xludf.DUMMYFUNCTION("IMPORTRANGE(""https://docs.google.com/spreadsheets/d/1b6QssHQp2FoAPSMKHOy273KNzAomaIKhtdlvuZ_zDNE/edit?usp=sharing"",""พัทลุง!J565"")"),773)</f>
        <v>773</v>
      </c>
      <c r="Z82" s="186">
        <f ca="1">IFERROR(__xludf.DUMMYFUNCTION("IMPORTRANGE(""https://docs.google.com/spreadsheets/d/1b6QssHQp2FoAPSMKHOy273KNzAomaIKhtdlvuZ_zDNE/edit?usp=sharing"",""พัทลุง!J566"")"),718.1575)</f>
        <v>718.15750000000003</v>
      </c>
      <c r="AA82" s="261">
        <f ca="1">IFERROR(__xludf.DUMMYFUNCTION("IMPORTRANGE(""https://docs.google.com/spreadsheets/d/1b6QssHQp2FoAPSMKHOy273KNzAomaIKhtdlvuZ_zDNE/edit?usp=sharing"",""พัทลุง!J567"")"),124)</f>
        <v>124</v>
      </c>
      <c r="AB82" s="181">
        <f ca="1">IFERROR(__xludf.DUMMYFUNCTION("IMPORTRANGE(""https://docs.google.com/spreadsheets/d/1b6QssHQp2FoAPSMKHOy273KNzAomaIKhtdlvuZ_zDNE/edit?usp=sharing"",""พัทลุง!I568"")"),36514)</f>
        <v>36514</v>
      </c>
      <c r="AC82" s="181">
        <f ca="1">IFERROR(__xludf.DUMMYFUNCTION("IMPORTRANGE(""https://docs.google.com/spreadsheets/d/1b6QssHQp2FoAPSMKHOy273KNzAomaIKhtdlvuZ_zDNE/edit?usp=sharing"",""พัทลุง!I569"")"),7422)</f>
        <v>7422</v>
      </c>
      <c r="AD82" s="186">
        <f ca="1">IFERROR(__xludf.DUMMYFUNCTION("IMPORTRANGE(""https://docs.google.com/spreadsheets/d/1b6QssHQp2FoAPSMKHOy273KNzAomaIKhtdlvuZ_zDNE/edit?usp=sharing"",""พัทลุง!J568"")"),0)</f>
        <v>0</v>
      </c>
      <c r="AE82" s="186">
        <f t="shared" ca="1" si="34"/>
        <v>0</v>
      </c>
      <c r="AF82" s="181">
        <f ca="1">IFERROR(__xludf.DUMMYFUNCTION("IMPORTRANGE(""https://docs.google.com/spreadsheets/d/1b6QssHQp2FoAPSMKHOy273KNzAomaIKhtdlvuZ_zDNE/edit?usp=sharing"",""พัทลุง!J569"")"),0)</f>
        <v>0</v>
      </c>
      <c r="AG82" s="186">
        <f t="shared" ca="1" si="10"/>
        <v>0</v>
      </c>
      <c r="AH82" s="186">
        <f ca="1">IFERROR(__xludf.DUMMYFUNCTION("IMPORTRANGE(""https://docs.google.com/spreadsheets/d/1b6QssHQp2FoAPSMKHOy273KNzAomaIKhtdlvuZ_zDNE/edit?usp=sharing"",""พัทลุง!J570"")"),0)</f>
        <v>0</v>
      </c>
      <c r="AI82" s="261">
        <f ca="1">IFERROR(__xludf.DUMMYFUNCTION("IMPORTRANGE(""https://docs.google.com/spreadsheets/d/1b6QssHQp2FoAPSMKHOy273KNzAomaIKhtdlvuZ_zDNE/edit?usp=sharing"",""พัทลุง!J571"")"),0)</f>
        <v>0</v>
      </c>
      <c r="AJ82" s="186">
        <f ca="1">IFERROR(__xludf.DUMMYFUNCTION("IMPORTRANGE(""https://docs.google.com/spreadsheets/d/1b6QssHQp2FoAPSMKHOy273KNzAomaIKhtdlvuZ_zDNE/edit?usp=sharing"",""พัทลุง!J572"")"),0)</f>
        <v>0</v>
      </c>
      <c r="AK82" s="261">
        <f ca="1">IFERROR(__xludf.DUMMYFUNCTION("IMPORTRANGE(""https://docs.google.com/spreadsheets/d/1b6QssHQp2FoAPSMKHOy273KNzAomaIKhtdlvuZ_zDNE/edit?usp=sharing"",""พัทลุง!J573"")"),0)</f>
        <v>0</v>
      </c>
      <c r="AL82" s="186">
        <f ca="1">IFERROR(__xludf.DUMMYFUNCTION("IMPORTRANGE(""https://docs.google.com/spreadsheets/d/1b6QssHQp2FoAPSMKHOy273KNzAomaIKhtdlvuZ_zDNE/edit?usp=sharing"",""พัทลุง!J574"")"),0)</f>
        <v>0</v>
      </c>
      <c r="AM82" s="261">
        <f ca="1">IFERROR(__xludf.DUMMYFUNCTION("IMPORTRANGE(""https://docs.google.com/spreadsheets/d/1b6QssHQp2FoAPSMKHOy273KNzAomaIKhtdlvuZ_zDNE/edit?usp=sharing"",""พัทลุง!J575"")"),0)</f>
        <v>0</v>
      </c>
      <c r="AN82" s="181">
        <f ca="1">IFERROR(__xludf.DUMMYFUNCTION("IMPORTRANGE(""https://docs.google.com/spreadsheets/d/1b6QssHQp2FoAPSMKHOy273KNzAomaIKhtdlvuZ_zDNE/edit?usp=sharing"",""พัทลุง!I576"")"),36514)</f>
        <v>36514</v>
      </c>
      <c r="AO82" s="181">
        <f ca="1">IFERROR(__xludf.DUMMYFUNCTION("IMPORTRANGE(""https://docs.google.com/spreadsheets/d/1b6QssHQp2FoAPSMKHOy273KNzAomaIKhtdlvuZ_zDNE/edit?usp=sharing"",""พัทลุง!I577"")"),7422)</f>
        <v>7422</v>
      </c>
      <c r="AP82" s="186">
        <f ca="1">IFERROR(__xludf.DUMMYFUNCTION("IMPORTRANGE(""https://docs.google.com/spreadsheets/d/1b6QssHQp2FoAPSMKHOy273KNzAomaIKhtdlvuZ_zDNE/edit?usp=sharing"",""พัทลุง!J576"")"),0)</f>
        <v>0</v>
      </c>
      <c r="AQ82" s="186">
        <f t="shared" ca="1" si="35"/>
        <v>0</v>
      </c>
      <c r="AR82" s="181">
        <f ca="1">IFERROR(__xludf.DUMMYFUNCTION("IMPORTRANGE(""https://docs.google.com/spreadsheets/d/1b6QssHQp2FoAPSMKHOy273KNzAomaIKhtdlvuZ_zDNE/edit?usp=sharing"",""พัทลุง!J577"")"),0)</f>
        <v>0</v>
      </c>
      <c r="AS82" s="186">
        <f t="shared" ca="1" si="13"/>
        <v>0</v>
      </c>
      <c r="AT82" s="186">
        <f ca="1">IFERROR(__xludf.DUMMYFUNCTION("IMPORTRANGE(""https://docs.google.com/spreadsheets/d/1b6QssHQp2FoAPSMKHOy273KNzAomaIKhtdlvuZ_zDNE/edit?usp=sharing"",""พัทลุง!J578"")"),0)</f>
        <v>0</v>
      </c>
      <c r="AU82" s="261">
        <f ca="1">IFERROR(__xludf.DUMMYFUNCTION("IMPORTRANGE(""https://docs.google.com/spreadsheets/d/1b6QssHQp2FoAPSMKHOy273KNzAomaIKhtdlvuZ_zDNE/edit?usp=sharing"",""พัทลุง!J579"")"),0)</f>
        <v>0</v>
      </c>
      <c r="AV82" s="186">
        <f ca="1">IFERROR(__xludf.DUMMYFUNCTION("IMPORTRANGE(""https://docs.google.com/spreadsheets/d/1b6QssHQp2FoAPSMKHOy273KNzAomaIKhtdlvuZ_zDNE/edit?usp=sharing"",""พัทลุง!J580"")"),0)</f>
        <v>0</v>
      </c>
      <c r="AW82" s="261">
        <f ca="1">IFERROR(__xludf.DUMMYFUNCTION("IMPORTRANGE(""https://docs.google.com/spreadsheets/d/1b6QssHQp2FoAPSMKHOy273KNzAomaIKhtdlvuZ_zDNE/edit?usp=sharing"",""พัทลุง!J581"")"),0)</f>
        <v>0</v>
      </c>
      <c r="AX82" s="186">
        <f ca="1">IFERROR(__xludf.DUMMYFUNCTION("IMPORTRANGE(""https://docs.google.com/spreadsheets/d/1b6QssHQp2FoAPSMKHOy273KNzAomaIKhtdlvuZ_zDNE/edit?usp=sharing"",""พัทลุง!J582"")"),0)</f>
        <v>0</v>
      </c>
      <c r="AY82" s="261">
        <f ca="1">IFERROR(__xludf.DUMMYFUNCTION("IMPORTRANGE(""https://docs.google.com/spreadsheets/d/1b6QssHQp2FoAPSMKHOy273KNzAomaIKhtdlvuZ_zDNE/edit?usp=sharing"",""พัทลุง!J583"")"),0)</f>
        <v>0</v>
      </c>
      <c r="AZ82" s="262">
        <f ca="1">IFERROR(__xludf.DUMMYFUNCTION("IMPORTRANGE(""https://docs.google.com/spreadsheets/d/1b6QssHQp2FoAPSMKHOy273KNzAomaIKhtdlvuZ_zDNE/edit?usp=sharing"",""พัทลุง!J584"")"),0)</f>
        <v>0</v>
      </c>
      <c r="BA82" s="261">
        <f ca="1">IFERROR(__xludf.DUMMYFUNCTION("IMPORTRANGE(""https://docs.google.com/spreadsheets/d/1b6QssHQp2FoAPSMKHOy273KNzAomaIKhtdlvuZ_zDNE/edit?usp=sharing"",""พัทลุง!J585"")"),0)</f>
        <v>0</v>
      </c>
      <c r="BB82" s="262">
        <f ca="1">IFERROR(__xludf.DUMMYFUNCTION("IMPORTRANGE(""https://docs.google.com/spreadsheets/d/1b6QssHQp2FoAPSMKHOy273KNzAomaIKhtdlvuZ_zDNE/edit?usp=sharing"",""พัทลุง!J586"")"),0)</f>
        <v>0</v>
      </c>
      <c r="BC82" s="261">
        <f ca="1">IFERROR(__xludf.DUMMYFUNCTION("IMPORTRANGE(""https://docs.google.com/spreadsheets/d/1b6QssHQp2FoAPSMKHOy273KNzAomaIKhtdlvuZ_zDNE/edit?usp=sharing"",""พัทลุง!J587"")"),0)</f>
        <v>0</v>
      </c>
      <c r="BD82" s="186">
        <f ca="1">IFERROR(__xludf.DUMMYFUNCTION("IMPORTRANGE(""https://docs.google.com/spreadsheets/d/1b6QssHQp2FoAPSMKHOy273KNzAomaIKhtdlvuZ_zDNE/edit?usp=sharing"",""พัทลุง!J588"")"),0)</f>
        <v>0</v>
      </c>
      <c r="BE82" s="261">
        <f ca="1">IFERROR(__xludf.DUMMYFUNCTION("IMPORTRANGE(""https://docs.google.com/spreadsheets/d/1b6QssHQp2FoAPSMKHOy273KNzAomaIKhtdlvuZ_zDNE/edit?usp=sharing"",""พัทลุง!J589"")"),0)</f>
        <v>0</v>
      </c>
      <c r="BF82" s="186">
        <f ca="1">IFERROR(__xludf.DUMMYFUNCTION("IMPORTRANGE(""https://docs.google.com/spreadsheets/d/1b6QssHQp2FoAPSMKHOy273KNzAomaIKhtdlvuZ_zDNE/edit?usp=sharing"",""พัทลุง!J590"")"),0)</f>
        <v>0</v>
      </c>
      <c r="BG82" s="261">
        <f ca="1">IFERROR(__xludf.DUMMYFUNCTION("IMPORTRANGE(""https://docs.google.com/spreadsheets/d/1b6QssHQp2FoAPSMKHOy273KNzAomaIKhtdlvuZ_zDNE/edit?usp=sharing"",""พัทลุง!J591"")"),0)</f>
        <v>0</v>
      </c>
      <c r="BH82" s="181">
        <f ca="1">IFERROR(__xludf.DUMMYFUNCTION("IMPORTRANGE(""https://docs.google.com/spreadsheets/d/1b6QssHQp2FoAPSMKHOy273KNzAomaIKhtdlvuZ_zDNE/edit?usp=sharing"",""พัทลุง!I593"")"),2370.63)</f>
        <v>2370.63</v>
      </c>
      <c r="BI82" s="181">
        <f ca="1">IFERROR(__xludf.DUMMYFUNCTION("IMPORTRANGE(""https://docs.google.com/spreadsheets/d/1b6QssHQp2FoAPSMKHOy273KNzAomaIKhtdlvuZ_zDNE/edit?usp=sharing"",""พัทลุง!I594"")"),404)</f>
        <v>404</v>
      </c>
      <c r="BJ82" s="186">
        <f ca="1">IFERROR(__xludf.DUMMYFUNCTION("IMPORTRANGE(""https://docs.google.com/spreadsheets/d/1b6QssHQp2FoAPSMKHOy273KNzAomaIKhtdlvuZ_zDNE/edit?usp=sharing"",""พัทลุง!J593"")"),0)</f>
        <v>0</v>
      </c>
      <c r="BK82" s="186">
        <f t="shared" ca="1" si="36"/>
        <v>0</v>
      </c>
      <c r="BL82" s="181">
        <f ca="1">IFERROR(__xludf.DUMMYFUNCTION("IMPORTRANGE(""https://docs.google.com/spreadsheets/d/1b6QssHQp2FoAPSMKHOy273KNzAomaIKhtdlvuZ_zDNE/edit?usp=sharing"",""พัทลุง!J594"")"),0)</f>
        <v>0</v>
      </c>
      <c r="BM82" s="186">
        <f t="shared" ca="1" si="16"/>
        <v>0</v>
      </c>
      <c r="BN82" s="186">
        <f ca="1">IFERROR(__xludf.DUMMYFUNCTION("IMPORTRANGE(""https://docs.google.com/spreadsheets/d/1b6QssHQp2FoAPSMKHOy273KNzAomaIKhtdlvuZ_zDNE/edit?usp=sharing"",""พัทลุง!J595"")"),0)</f>
        <v>0</v>
      </c>
      <c r="BO82" s="261">
        <f ca="1">IFERROR(__xludf.DUMMYFUNCTION("IMPORTRANGE(""https://docs.google.com/spreadsheets/d/1b6QssHQp2FoAPSMKHOy273KNzAomaIKhtdlvuZ_zDNE/edit?usp=sharing"",""พัทลุง!J596"")"),0)</f>
        <v>0</v>
      </c>
      <c r="BP82" s="186">
        <f ca="1">IFERROR(__xludf.DUMMYFUNCTION("IMPORTRANGE(""https://docs.google.com/spreadsheets/d/1b6QssHQp2FoAPSMKHOy273KNzAomaIKhtdlvuZ_zDNE/edit?usp=sharing"",""พัทลุง!J597"")"),0)</f>
        <v>0</v>
      </c>
      <c r="BQ82" s="261">
        <f ca="1">IFERROR(__xludf.DUMMYFUNCTION("IMPORTRANGE(""https://docs.google.com/spreadsheets/d/1b6QssHQp2FoAPSMKHOy273KNzAomaIKhtdlvuZ_zDNE/edit?usp=sharing"",""พัทลุง!J598"")"),0)</f>
        <v>0</v>
      </c>
      <c r="BR82" s="186">
        <f ca="1">IFERROR(__xludf.DUMMYFUNCTION("IMPORTRANGE(""https://docs.google.com/spreadsheets/d/1b6QssHQp2FoAPSMKHOy273KNzAomaIKhtdlvuZ_zDNE/edit?usp=sharing"",""พัทลุง!J599"")"),0)</f>
        <v>0</v>
      </c>
      <c r="BS82" s="261">
        <f ca="1">IFERROR(__xludf.DUMMYFUNCTION("IMPORTRANGE(""https://docs.google.com/spreadsheets/d/1b6QssHQp2FoAPSMKHOy273KNzAomaIKhtdlvuZ_zDNE/edit?usp=sharing"",""พัทลุง!J600"")"),0)</f>
        <v>0</v>
      </c>
      <c r="BT82" s="262">
        <f ca="1">IFERROR(__xludf.DUMMYFUNCTION("IMPORTRANGE(""https://docs.google.com/spreadsheets/d/1b6QssHQp2FoAPSMKHOy273KNzAomaIKhtdlvuZ_zDNE/edit?usp=sharing"",""พัทลุง!J601"")"),0)</f>
        <v>0</v>
      </c>
      <c r="BU82" s="261">
        <f ca="1">IFERROR(__xludf.DUMMYFUNCTION("IMPORTRANGE(""https://docs.google.com/spreadsheets/d/1b6QssHQp2FoAPSMKHOy273KNzAomaIKhtdlvuZ_zDNE/edit?usp=sharing"",""พัทลุง!J602"")"),0)</f>
        <v>0</v>
      </c>
      <c r="BV82" s="186">
        <f ca="1">IFERROR(__xludf.DUMMYFUNCTION("IMPORTRANGE(""https://docs.google.com/spreadsheets/d/1b6QssHQp2FoAPSMKHOy273KNzAomaIKhtdlvuZ_zDNE/edit?usp=sharing"",""พัทลุง!J603"")"),0)</f>
        <v>0</v>
      </c>
      <c r="BW82" s="261">
        <f ca="1">IFERROR(__xludf.DUMMYFUNCTION("IMPORTRANGE(""https://docs.google.com/spreadsheets/d/1b6QssHQp2FoAPSMKHOy273KNzAomaIKhtdlvuZ_zDNE/edit?usp=sharing"",""พัทลุง!J604"")"),0)</f>
        <v>0</v>
      </c>
      <c r="BX82" s="186">
        <f ca="1">IFERROR(__xludf.DUMMYFUNCTION("IMPORTRANGE(""https://docs.google.com/spreadsheets/d/1b6QssHQp2FoAPSMKHOy273KNzAomaIKhtdlvuZ_zDNE/edit?usp=sharing"",""พัทลุง!J605"")"),0)</f>
        <v>0</v>
      </c>
      <c r="BY82" s="261">
        <f ca="1">IFERROR(__xludf.DUMMYFUNCTION("IMPORTRANGE(""https://docs.google.com/spreadsheets/d/1b6QssHQp2FoAPSMKHOy273KNzAomaIKhtdlvuZ_zDNE/edit?usp=sharing"",""พัทลุง!J606"")"),0)</f>
        <v>0</v>
      </c>
      <c r="BZ82" s="186">
        <f ca="1">IFERROR(__xludf.DUMMYFUNCTION("IMPORTRANGE(""https://docs.google.com/spreadsheets/d/1b6QssHQp2FoAPSMKHOy273KNzAomaIKhtdlvuZ_zDNE/edit?usp=sharing"",""พัทลุง!J607"")"),0)</f>
        <v>0</v>
      </c>
      <c r="CA82" s="261">
        <f ca="1">IFERROR(__xludf.DUMMYFUNCTION("IMPORTRANGE(""https://docs.google.com/spreadsheets/d/1b6QssHQp2FoAPSMKHOy273KNzAomaIKhtdlvuZ_zDNE/edit?usp=sharing"",""พัทลุง!J608"")"),0)</f>
        <v>0</v>
      </c>
      <c r="CB82" s="186">
        <f ca="1">IFERROR(__xludf.DUMMYFUNCTION("IMPORTRANGE(""https://docs.google.com/spreadsheets/d/1b6QssHQp2FoAPSMKHOy273KNzAomaIKhtdlvuZ_zDNE/edit?usp=sharing"",""พัทลุง!J609"")"),0)</f>
        <v>0</v>
      </c>
      <c r="CC82" s="261">
        <f ca="1">IFERROR(__xludf.DUMMYFUNCTION("IMPORTRANGE(""https://docs.google.com/spreadsheets/d/1b6QssHQp2FoAPSMKHOy273KNzAomaIKhtdlvuZ_zDNE/edit?usp=sharing"",""พัทลุง!J610"")"),0)</f>
        <v>0</v>
      </c>
      <c r="CD82" s="261">
        <f ca="1">IFERROR(__xludf.DUMMYFUNCTION("IMPORTRANGE(""https://docs.google.com/spreadsheets/d/1b6QssHQp2FoAPSMKHOy273KNzAomaIKhtdlvuZ_zDNE/edit?usp=sharing"",""พัทลุง!I612"")"),0)</f>
        <v>0</v>
      </c>
      <c r="CE82" s="261">
        <f ca="1">IFERROR(__xludf.DUMMYFUNCTION("IMPORTRANGE(""https://docs.google.com/spreadsheets/d/1b6QssHQp2FoAPSMKHOy273KNzAomaIKhtdlvuZ_zDNE/edit?usp=sharing"",""พัทลุง!I594"")"),404)</f>
        <v>404</v>
      </c>
      <c r="CF82" s="262">
        <f ca="1">IFERROR(__xludf.DUMMYFUNCTION("IMPORTRANGE(""https://docs.google.com/spreadsheets/d/1b6QssHQp2FoAPSMKHOy273KNzAomaIKhtdlvuZ_zDNE/edit?usp=sharing"",""พัทลุง!J612"")"),0)</f>
        <v>0</v>
      </c>
      <c r="CG82" s="262">
        <f t="shared" ca="1" si="37"/>
        <v>0</v>
      </c>
      <c r="CH82" s="261">
        <f ca="1">IFERROR(__xludf.DUMMYFUNCTION("IMPORTRANGE(""https://docs.google.com/spreadsheets/d/1b6QssHQp2FoAPSMKHOy273KNzAomaIKhtdlvuZ_zDNE/edit?usp=sharing"",""พัทลุง!J613"")"),0)</f>
        <v>0</v>
      </c>
      <c r="CI82" s="262">
        <f t="shared" ca="1" si="19"/>
        <v>0</v>
      </c>
      <c r="CJ82" s="186">
        <f ca="1">IFERROR(__xludf.DUMMYFUNCTION("IMPORTRANGE(""https://docs.google.com/spreadsheets/d/1b6QssHQp2FoAPSMKHOy273KNzAomaIKhtdlvuZ_zDNE/edit?usp=sharing"",""พัทลุง!J614"")"),0)</f>
        <v>0</v>
      </c>
      <c r="CK82" s="261">
        <f ca="1">IFERROR(__xludf.DUMMYFUNCTION("IMPORTRANGE(""https://docs.google.com/spreadsheets/d/1b6QssHQp2FoAPSMKHOy273KNzAomaIKhtdlvuZ_zDNE/edit?usp=sharing"",""พัทลุง!J615"")"),0)</f>
        <v>0</v>
      </c>
      <c r="CL82" s="186">
        <f ca="1">IFERROR(__xludf.DUMMYFUNCTION("IMPORTRANGE(""https://docs.google.com/spreadsheets/d/1b6QssHQp2FoAPSMKHOy273KNzAomaIKhtdlvuZ_zDNE/edit?usp=sharing"",""พัทลุง!J616"")"),0)</f>
        <v>0</v>
      </c>
      <c r="CM82" s="261">
        <f ca="1">IFERROR(__xludf.DUMMYFUNCTION("IMPORTRANGE(""https://docs.google.com/spreadsheets/d/1b6QssHQp2FoAPSMKHOy273KNzAomaIKhtdlvuZ_zDNE/edit?usp=sharing"",""พัทลุง!J617"")"),0)</f>
        <v>0</v>
      </c>
      <c r="CN82" s="261">
        <f ca="1">IFERROR(__xludf.DUMMYFUNCTION("IMPORTRANGE(""https://docs.google.com/spreadsheets/d/1b6QssHQp2FoAPSMKHOy273KNzAomaIKhtdlvuZ_zDNE/edit?usp=sharing"",""พัทลุง!I620"")"),13)</f>
        <v>13</v>
      </c>
      <c r="CO82" s="261">
        <f ca="1">IFERROR(__xludf.DUMMYFUNCTION("IMPORTRANGE(""https://docs.google.com/spreadsheets/d/1b6QssHQp2FoAPSMKHOy273KNzAomaIKhtdlvuZ_zDNE/edit?usp=sharing"",""พัทลุง!I621"")"),4)</f>
        <v>4</v>
      </c>
      <c r="CP82" s="262">
        <f ca="1">IFERROR(__xludf.DUMMYFUNCTION("IMPORTRANGE(""https://docs.google.com/spreadsheets/d/1b6QssHQp2FoAPSMKHOy273KNzAomaIKhtdlvuZ_zDNE/edit?usp=sharing"",""พัทลุง!J620"")"),0)</f>
        <v>0</v>
      </c>
      <c r="CQ82" s="262">
        <f t="shared" ca="1" si="38"/>
        <v>0</v>
      </c>
      <c r="CR82" s="261">
        <f ca="1">IFERROR(__xludf.DUMMYFUNCTION("IMPORTRANGE(""https://docs.google.com/spreadsheets/d/1b6QssHQp2FoAPSMKHOy273KNzAomaIKhtdlvuZ_zDNE/edit?usp=sharing"",""พัทลุง!J621"")"),0)</f>
        <v>0</v>
      </c>
      <c r="CS82" s="262">
        <f t="shared" ca="1" si="22"/>
        <v>0</v>
      </c>
      <c r="CT82" s="186">
        <f ca="1">IFERROR(__xludf.DUMMYFUNCTION("IMPORTRANGE(""https://docs.google.com/spreadsheets/d/1b6QssHQp2FoAPSMKHOy273KNzAomaIKhtdlvuZ_zDNE/edit?usp=sharing"",""พัทลุง!J622"")"),0)</f>
        <v>0</v>
      </c>
      <c r="CU82" s="261">
        <f ca="1">IFERROR(__xludf.DUMMYFUNCTION("IMPORTRANGE(""https://docs.google.com/spreadsheets/d/1b6QssHQp2FoAPSMKHOy273KNzAomaIKhtdlvuZ_zDNE/edit?usp=sharing"",""พัทลุง!J623"")"),0)</f>
        <v>0</v>
      </c>
      <c r="CV82" s="186">
        <f ca="1">IFERROR(__xludf.DUMMYFUNCTION("IMPORTRANGE(""https://docs.google.com/spreadsheets/d/1b6QssHQp2FoAPSMKHOy273KNzAomaIKhtdlvuZ_zDNE/edit?usp=sharing"",""พัทลุง!J624"")"),0)</f>
        <v>0</v>
      </c>
      <c r="CW82" s="261">
        <f ca="1">IFERROR(__xludf.DUMMYFUNCTION("IMPORTRANGE(""https://docs.google.com/spreadsheets/d/1b6QssHQp2FoAPSMKHOy273KNzAomaIKhtdlvuZ_zDNE/edit?usp=sharing"",""พัทลุง!J625"")"),0)</f>
        <v>0</v>
      </c>
      <c r="CX82" s="186">
        <f ca="1">IFERROR(__xludf.DUMMYFUNCTION("IMPORTRANGE(""https://docs.google.com/spreadsheets/d/1b6QssHQp2FoAPSMKHOy273KNzAomaIKhtdlvuZ_zDNE/edit?usp=sharing"",""พัทลุง!J626"")"),0)</f>
        <v>0</v>
      </c>
      <c r="CY82" s="261">
        <f ca="1">IFERROR(__xludf.DUMMYFUNCTION("IMPORTRANGE(""https://docs.google.com/spreadsheets/d/1b6QssHQp2FoAPSMKHOy273KNzAomaIKhtdlvuZ_zDNE/edit?usp=sharing"",""พัทลุง!J627"")"),0)</f>
        <v>0</v>
      </c>
    </row>
    <row r="83" spans="1:103" ht="21" customHeight="1" x14ac:dyDescent="0.3">
      <c r="A83" s="178">
        <v>9</v>
      </c>
      <c r="B83" s="179" t="s">
        <v>100</v>
      </c>
      <c r="C83" s="180">
        <f t="shared" ca="1" si="82"/>
        <v>75300</v>
      </c>
      <c r="D83" s="181">
        <f ca="1">IFERROR(__xludf.DUMMYFUNCTION("IMPORTRANGE(""https://docs.google.com/spreadsheets/d/1o7UZe4_OqlqtLDHrj01Z2YFRSZDf1DMy1n3XViHaxRc/edit?usp=sharing"",""ภูเก็ต!L549"")"),75300)</f>
        <v>75300</v>
      </c>
      <c r="E83" s="187">
        <f ca="1">IFERROR(__xludf.DUMMYFUNCTION("IMPORTRANGE(""https://docs.google.com/spreadsheets/d/1o7UZe4_OqlqtLDHrj01Z2YFRSZDf1DMy1n3XViHaxRc/edit?usp=sharing"",""ภูเก็ต!L557"")"),0)</f>
        <v>0</v>
      </c>
      <c r="F83" s="182">
        <f t="shared" ca="1" si="1"/>
        <v>0</v>
      </c>
      <c r="G83" s="183">
        <f t="shared" ca="1" si="2"/>
        <v>0</v>
      </c>
      <c r="H83" s="184">
        <f t="shared" ca="1" si="83"/>
        <v>0</v>
      </c>
      <c r="I83" s="187">
        <f ca="1">IFERROR(__xludf.DUMMYFUNCTION("IMPORTRANGE(""https://docs.google.com/spreadsheets/d/1o7UZe4_OqlqtLDHrj01Z2YFRSZDf1DMy1n3XViHaxRc/edit?usp=sharing"",""ภูเก็ต!N550"")"),0)</f>
        <v>0</v>
      </c>
      <c r="J83" s="187">
        <f ca="1">IFERROR(__xludf.DUMMYFUNCTION("IMPORTRANGE(""https://docs.google.com/spreadsheets/d/1o7UZe4_OqlqtLDHrj01Z2YFRSZDf1DMy1n3XViHaxRc/edit?usp=sharing"",""ภูเก็ต!N551"")"),0)</f>
        <v>0</v>
      </c>
      <c r="K83" s="187">
        <f ca="1">IFERROR(__xludf.DUMMYFUNCTION("IMPORTRANGE(""https://docs.google.com/spreadsheets/d/1o7UZe4_OqlqtLDHrj01Z2YFRSZDf1DMy1n3XViHaxRc/edit?usp=sharing"",""ภูเก็ต!N552"")"),0)</f>
        <v>0</v>
      </c>
      <c r="L83" s="187">
        <f ca="1">IFERROR(__xludf.DUMMYFUNCTION("IMPORTRANGE(""https://docs.google.com/spreadsheets/d/1o7UZe4_OqlqtLDHrj01Z2YFRSZDf1DMy1n3XViHaxRc/edit?usp=sharing"",""ภูเก็ต!N553"")"),0)</f>
        <v>0</v>
      </c>
      <c r="M83" s="187">
        <f ca="1">IFERROR(__xludf.DUMMYFUNCTION("IMPORTRANGE(""https://docs.google.com/spreadsheets/d/1o7UZe4_OqlqtLDHrj01Z2YFRSZDf1DMy1n3XViHaxRc/edit?usp=sharing"",""ภูเก็ต!N554"")"),0)</f>
        <v>0</v>
      </c>
      <c r="N83" s="185">
        <f ca="1">IFERROR(__xludf.DUMMYFUNCTION("IMPORTRANGE(""https://docs.google.com/spreadsheets/d/1o7UZe4_OqlqtLDHrj01Z2YFRSZDf1DMy1n3XViHaxRc/edit?usp=sharing"",""ภูเก็ต!N557"")"),0)</f>
        <v>0</v>
      </c>
      <c r="O83" s="185">
        <f t="shared" ca="1" si="41"/>
        <v>0</v>
      </c>
      <c r="P83" s="181">
        <f ca="1">IFERROR(__xludf.DUMMYFUNCTION("IMPORTRANGE(""https://docs.google.com/spreadsheets/d/1o7UZe4_OqlqtLDHrj01Z2YFRSZDf1DMy1n3XViHaxRc/edit?usp=sharing"",""ภูเก็ต!I560"")"),0)</f>
        <v>0</v>
      </c>
      <c r="Q83" s="181">
        <f ca="1">IFERROR(__xludf.DUMMYFUNCTION("IMPORTRANGE(""https://docs.google.com/spreadsheets/d/1o7UZe4_OqlqtLDHrj01Z2YFRSZDf1DMy1n3XViHaxRc/edit?usp=sharing"",""ภูเก็ต!I561"")"),0)</f>
        <v>0</v>
      </c>
      <c r="R83" s="186">
        <f ca="1">IFERROR(__xludf.DUMMYFUNCTION("IMPORTRANGE(""https://docs.google.com/spreadsheets/d/1o7UZe4_OqlqtLDHrj01Z2YFRSZDf1DMy1n3XViHaxRc/edit?usp=sharing"",""ภูเก็ต!J560"")"),0)</f>
        <v>0</v>
      </c>
      <c r="S83" s="186">
        <f t="shared" ca="1" si="33"/>
        <v>0</v>
      </c>
      <c r="T83" s="181">
        <f ca="1">IFERROR(__xludf.DUMMYFUNCTION("IMPORTRANGE(""https://docs.google.com/spreadsheets/d/1o7UZe4_OqlqtLDHrj01Z2YFRSZDf1DMy1n3XViHaxRc/edit?usp=sharing"",""ภูเก็ต!J561"")"),0)</f>
        <v>0</v>
      </c>
      <c r="U83" s="186">
        <f t="shared" ca="1" si="7"/>
        <v>0</v>
      </c>
      <c r="V83" s="186">
        <f ca="1">IFERROR(__xludf.DUMMYFUNCTION("IMPORTRANGE(""https://docs.google.com/spreadsheets/d/1o7UZe4_OqlqtLDHrj01Z2YFRSZDf1DMy1n3XViHaxRc/edit?usp=sharing"",""ภูเก็ต!J562"")"),0)</f>
        <v>0</v>
      </c>
      <c r="W83" s="261">
        <f ca="1">IFERROR(__xludf.DUMMYFUNCTION("IMPORTRANGE(""https://docs.google.com/spreadsheets/d/1o7UZe4_OqlqtLDHrj01Z2YFRSZDf1DMy1n3XViHaxRc/edit?usp=sharing"",""ภูเก็ต!J563"")"),0)</f>
        <v>0</v>
      </c>
      <c r="X83" s="186">
        <f ca="1">IFERROR(__xludf.DUMMYFUNCTION("IMPORTRANGE(""https://docs.google.com/spreadsheets/d/1o7UZe4_OqlqtLDHrj01Z2YFRSZDf1DMy1n3XViHaxRc/edit?usp=sharing"",""ภูเก็ต!J564"")"),0)</f>
        <v>0</v>
      </c>
      <c r="Y83" s="261">
        <f ca="1">IFERROR(__xludf.DUMMYFUNCTION("IMPORTRANGE(""https://docs.google.com/spreadsheets/d/1o7UZe4_OqlqtLDHrj01Z2YFRSZDf1DMy1n3XViHaxRc/edit?usp=sharing"",""ภูเก็ต!J565"")"),0)</f>
        <v>0</v>
      </c>
      <c r="Z83" s="186">
        <f ca="1">IFERROR(__xludf.DUMMYFUNCTION("IMPORTRANGE(""https://docs.google.com/spreadsheets/d/1o7UZe4_OqlqtLDHrj01Z2YFRSZDf1DMy1n3XViHaxRc/edit?usp=sharing"",""ภูเก็ต!J566"")"),0)</f>
        <v>0</v>
      </c>
      <c r="AA83" s="261">
        <f ca="1">IFERROR(__xludf.DUMMYFUNCTION("IMPORTRANGE(""https://docs.google.com/spreadsheets/d/1o7UZe4_OqlqtLDHrj01Z2YFRSZDf1DMy1n3XViHaxRc/edit?usp=sharing"",""ภูเก็ต!J567"")"),0)</f>
        <v>0</v>
      </c>
      <c r="AB83" s="181">
        <f ca="1">IFERROR(__xludf.DUMMYFUNCTION("IMPORTRANGE(""https://docs.google.com/spreadsheets/d/1o7UZe4_OqlqtLDHrj01Z2YFRSZDf1DMy1n3XViHaxRc/edit?usp=sharing"",""ภูเก็ต!I568"")"),0)</f>
        <v>0</v>
      </c>
      <c r="AC83" s="181">
        <f ca="1">IFERROR(__xludf.DUMMYFUNCTION("IMPORTRANGE(""https://docs.google.com/spreadsheets/d/1o7UZe4_OqlqtLDHrj01Z2YFRSZDf1DMy1n3XViHaxRc/edit?usp=sharing"",""ภูเก็ต!I569"")"),0)</f>
        <v>0</v>
      </c>
      <c r="AD83" s="186">
        <f ca="1">IFERROR(__xludf.DUMMYFUNCTION("IMPORTRANGE(""https://docs.google.com/spreadsheets/d/1o7UZe4_OqlqtLDHrj01Z2YFRSZDf1DMy1n3XViHaxRc/edit?usp=sharing"",""ภูเก็ต!J568"")"),0)</f>
        <v>0</v>
      </c>
      <c r="AE83" s="186">
        <f t="shared" ca="1" si="34"/>
        <v>0</v>
      </c>
      <c r="AF83" s="181">
        <f ca="1">IFERROR(__xludf.DUMMYFUNCTION("IMPORTRANGE(""https://docs.google.com/spreadsheets/d/1o7UZe4_OqlqtLDHrj01Z2YFRSZDf1DMy1n3XViHaxRc/edit?usp=sharing"",""ภูเก็ต!J569"")"),0)</f>
        <v>0</v>
      </c>
      <c r="AG83" s="186">
        <f t="shared" ca="1" si="10"/>
        <v>0</v>
      </c>
      <c r="AH83" s="186">
        <f ca="1">IFERROR(__xludf.DUMMYFUNCTION("IMPORTRANGE(""https://docs.google.com/spreadsheets/d/1o7UZe4_OqlqtLDHrj01Z2YFRSZDf1DMy1n3XViHaxRc/edit?usp=sharing"",""ภูเก็ต!J570"")"),0)</f>
        <v>0</v>
      </c>
      <c r="AI83" s="261">
        <f ca="1">IFERROR(__xludf.DUMMYFUNCTION("IMPORTRANGE(""https://docs.google.com/spreadsheets/d/1o7UZe4_OqlqtLDHrj01Z2YFRSZDf1DMy1n3XViHaxRc/edit?usp=sharing"",""ภูเก็ต!J571"")"),0)</f>
        <v>0</v>
      </c>
      <c r="AJ83" s="186">
        <f ca="1">IFERROR(__xludf.DUMMYFUNCTION("IMPORTRANGE(""https://docs.google.com/spreadsheets/d/1o7UZe4_OqlqtLDHrj01Z2YFRSZDf1DMy1n3XViHaxRc/edit?usp=sharing"",""ภูเก็ต!J572"")"),0)</f>
        <v>0</v>
      </c>
      <c r="AK83" s="261">
        <f ca="1">IFERROR(__xludf.DUMMYFUNCTION("IMPORTRANGE(""https://docs.google.com/spreadsheets/d/1o7UZe4_OqlqtLDHrj01Z2YFRSZDf1DMy1n3XViHaxRc/edit?usp=sharing"",""ภูเก็ต!J573"")"),0)</f>
        <v>0</v>
      </c>
      <c r="AL83" s="186">
        <f ca="1">IFERROR(__xludf.DUMMYFUNCTION("IMPORTRANGE(""https://docs.google.com/spreadsheets/d/1o7UZe4_OqlqtLDHrj01Z2YFRSZDf1DMy1n3XViHaxRc/edit?usp=sharing"",""ภูเก็ต!J574"")"),0)</f>
        <v>0</v>
      </c>
      <c r="AM83" s="261">
        <f ca="1">IFERROR(__xludf.DUMMYFUNCTION("IMPORTRANGE(""https://docs.google.com/spreadsheets/d/1o7UZe4_OqlqtLDHrj01Z2YFRSZDf1DMy1n3XViHaxRc/edit?usp=sharing"",""ภูเก็ต!J575"")"),0)</f>
        <v>0</v>
      </c>
      <c r="AN83" s="181">
        <f ca="1">IFERROR(__xludf.DUMMYFUNCTION("IMPORTRANGE(""https://docs.google.com/spreadsheets/d/1o7UZe4_OqlqtLDHrj01Z2YFRSZDf1DMy1n3XViHaxRc/edit?usp=sharing"",""ภูเก็ต!I576"")"),0)</f>
        <v>0</v>
      </c>
      <c r="AO83" s="181">
        <f ca="1">IFERROR(__xludf.DUMMYFUNCTION("IMPORTRANGE(""https://docs.google.com/spreadsheets/d/1o7UZe4_OqlqtLDHrj01Z2YFRSZDf1DMy1n3XViHaxRc/edit?usp=sharing"",""ภูเก็ต!I577"")"),0)</f>
        <v>0</v>
      </c>
      <c r="AP83" s="186">
        <f ca="1">IFERROR(__xludf.DUMMYFUNCTION("IMPORTRANGE(""https://docs.google.com/spreadsheets/d/1o7UZe4_OqlqtLDHrj01Z2YFRSZDf1DMy1n3XViHaxRc/edit?usp=sharing"",""ภูเก็ต!J576"")"),0)</f>
        <v>0</v>
      </c>
      <c r="AQ83" s="186">
        <f t="shared" ca="1" si="35"/>
        <v>0</v>
      </c>
      <c r="AR83" s="181">
        <f ca="1">IFERROR(__xludf.DUMMYFUNCTION("IMPORTRANGE(""https://docs.google.com/spreadsheets/d/1o7UZe4_OqlqtLDHrj01Z2YFRSZDf1DMy1n3XViHaxRc/edit?usp=sharing"",""ภูเก็ต!J577"")"),0)</f>
        <v>0</v>
      </c>
      <c r="AS83" s="186">
        <f t="shared" ca="1" si="13"/>
        <v>0</v>
      </c>
      <c r="AT83" s="186">
        <f ca="1">IFERROR(__xludf.DUMMYFUNCTION("IMPORTRANGE(""https://docs.google.com/spreadsheets/d/1o7UZe4_OqlqtLDHrj01Z2YFRSZDf1DMy1n3XViHaxRc/edit?usp=sharing"",""ภูเก็ต!J578"")"),0)</f>
        <v>0</v>
      </c>
      <c r="AU83" s="261">
        <f ca="1">IFERROR(__xludf.DUMMYFUNCTION("IMPORTRANGE(""https://docs.google.com/spreadsheets/d/1o7UZe4_OqlqtLDHrj01Z2YFRSZDf1DMy1n3XViHaxRc/edit?usp=sharing"",""ภูเก็ต!J579"")"),0)</f>
        <v>0</v>
      </c>
      <c r="AV83" s="186">
        <f ca="1">IFERROR(__xludf.DUMMYFUNCTION("IMPORTRANGE(""https://docs.google.com/spreadsheets/d/1o7UZe4_OqlqtLDHrj01Z2YFRSZDf1DMy1n3XViHaxRc/edit?usp=sharing"",""ภูเก็ต!J580"")"),0)</f>
        <v>0</v>
      </c>
      <c r="AW83" s="261">
        <f ca="1">IFERROR(__xludf.DUMMYFUNCTION("IMPORTRANGE(""https://docs.google.com/spreadsheets/d/1o7UZe4_OqlqtLDHrj01Z2YFRSZDf1DMy1n3XViHaxRc/edit?usp=sharing"",""ภูเก็ต!J581"")"),0)</f>
        <v>0</v>
      </c>
      <c r="AX83" s="186">
        <f ca="1">IFERROR(__xludf.DUMMYFUNCTION("IMPORTRANGE(""https://docs.google.com/spreadsheets/d/1o7UZe4_OqlqtLDHrj01Z2YFRSZDf1DMy1n3XViHaxRc/edit?usp=sharing"",""ภูเก็ต!J582"")"),0)</f>
        <v>0</v>
      </c>
      <c r="AY83" s="261">
        <f ca="1">IFERROR(__xludf.DUMMYFUNCTION("IMPORTRANGE(""https://docs.google.com/spreadsheets/d/1o7UZe4_OqlqtLDHrj01Z2YFRSZDf1DMy1n3XViHaxRc/edit?usp=sharing"",""ภูเก็ต!J583"")"),0)</f>
        <v>0</v>
      </c>
      <c r="AZ83" s="262">
        <f ca="1">IFERROR(__xludf.DUMMYFUNCTION("IMPORTRANGE(""https://docs.google.com/spreadsheets/d/1o7UZe4_OqlqtLDHrj01Z2YFRSZDf1DMy1n3XViHaxRc/edit?usp=sharing"",""ภูเก็ต!J584"")"),0)</f>
        <v>0</v>
      </c>
      <c r="BA83" s="261">
        <f ca="1">IFERROR(__xludf.DUMMYFUNCTION("IMPORTRANGE(""https://docs.google.com/spreadsheets/d/1o7UZe4_OqlqtLDHrj01Z2YFRSZDf1DMy1n3XViHaxRc/edit?usp=sharing"",""ภูเก็ต!J585"")"),0)</f>
        <v>0</v>
      </c>
      <c r="BB83" s="262">
        <f ca="1">IFERROR(__xludf.DUMMYFUNCTION("IMPORTRANGE(""https://docs.google.com/spreadsheets/d/1o7UZe4_OqlqtLDHrj01Z2YFRSZDf1DMy1n3XViHaxRc/edit?usp=sharing"",""ภูเก็ต!J586"")"),0)</f>
        <v>0</v>
      </c>
      <c r="BC83" s="261">
        <f ca="1">IFERROR(__xludf.DUMMYFUNCTION("IMPORTRANGE(""https://docs.google.com/spreadsheets/d/1o7UZe4_OqlqtLDHrj01Z2YFRSZDf1DMy1n3XViHaxRc/edit?usp=sharing"",""ภูเก็ต!J587"")"),0)</f>
        <v>0</v>
      </c>
      <c r="BD83" s="186">
        <f ca="1">IFERROR(__xludf.DUMMYFUNCTION("IMPORTRANGE(""https://docs.google.com/spreadsheets/d/1o7UZe4_OqlqtLDHrj01Z2YFRSZDf1DMy1n3XViHaxRc/edit?usp=sharing"",""ภูเก็ต!J588"")"),0)</f>
        <v>0</v>
      </c>
      <c r="BE83" s="261">
        <f ca="1">IFERROR(__xludf.DUMMYFUNCTION("IMPORTRANGE(""https://docs.google.com/spreadsheets/d/1o7UZe4_OqlqtLDHrj01Z2YFRSZDf1DMy1n3XViHaxRc/edit?usp=sharing"",""ภูเก็ต!J589"")"),0)</f>
        <v>0</v>
      </c>
      <c r="BF83" s="186">
        <f ca="1">IFERROR(__xludf.DUMMYFUNCTION("IMPORTRANGE(""https://docs.google.com/spreadsheets/d/1o7UZe4_OqlqtLDHrj01Z2YFRSZDf1DMy1n3XViHaxRc/edit?usp=sharing"",""ภูเก็ต!J590"")"),0)</f>
        <v>0</v>
      </c>
      <c r="BG83" s="261">
        <f ca="1">IFERROR(__xludf.DUMMYFUNCTION("IMPORTRANGE(""https://docs.google.com/spreadsheets/d/1o7UZe4_OqlqtLDHrj01Z2YFRSZDf1DMy1n3XViHaxRc/edit?usp=sharing"",""ภูเก็ต!J591"")"),0)</f>
        <v>0</v>
      </c>
      <c r="BH83" s="181">
        <f ca="1">IFERROR(__xludf.DUMMYFUNCTION("IMPORTRANGE(""https://docs.google.com/spreadsheets/d/1o7UZe4_OqlqtLDHrj01Z2YFRSZDf1DMy1n3XViHaxRc/edit?usp=sharing"",""ภูเก็ต!I593"")"),428.41)</f>
        <v>428.41</v>
      </c>
      <c r="BI83" s="181">
        <f ca="1">IFERROR(__xludf.DUMMYFUNCTION("IMPORTRANGE(""https://docs.google.com/spreadsheets/d/1o7UZe4_OqlqtLDHrj01Z2YFRSZDf1DMy1n3XViHaxRc/edit?usp=sharing"",""ภูเก็ต!I594"")"),31)</f>
        <v>31</v>
      </c>
      <c r="BJ83" s="186">
        <f ca="1">IFERROR(__xludf.DUMMYFUNCTION("IMPORTRANGE(""https://docs.google.com/spreadsheets/d/1o7UZe4_OqlqtLDHrj01Z2YFRSZDf1DMy1n3XViHaxRc/edit?usp=sharing"",""ภูเก็ต!J593"")"),0)</f>
        <v>0</v>
      </c>
      <c r="BK83" s="186">
        <f t="shared" ca="1" si="36"/>
        <v>0</v>
      </c>
      <c r="BL83" s="181">
        <f ca="1">IFERROR(__xludf.DUMMYFUNCTION("IMPORTRANGE(""https://docs.google.com/spreadsheets/d/1o7UZe4_OqlqtLDHrj01Z2YFRSZDf1DMy1n3XViHaxRc/edit?usp=sharing"",""ภูเก็ต!J594"")"),0)</f>
        <v>0</v>
      </c>
      <c r="BM83" s="186">
        <f t="shared" ca="1" si="16"/>
        <v>0</v>
      </c>
      <c r="BN83" s="186">
        <f ca="1">IFERROR(__xludf.DUMMYFUNCTION("IMPORTRANGE(""https://docs.google.com/spreadsheets/d/1o7UZe4_OqlqtLDHrj01Z2YFRSZDf1DMy1n3XViHaxRc/edit?usp=sharing"",""ภูเก็ต!J595"")"),0)</f>
        <v>0</v>
      </c>
      <c r="BO83" s="261">
        <f ca="1">IFERROR(__xludf.DUMMYFUNCTION("IMPORTRANGE(""https://docs.google.com/spreadsheets/d/1o7UZe4_OqlqtLDHrj01Z2YFRSZDf1DMy1n3XViHaxRc/edit?usp=sharing"",""ภูเก็ต!J596"")"),0)</f>
        <v>0</v>
      </c>
      <c r="BP83" s="186">
        <f ca="1">IFERROR(__xludf.DUMMYFUNCTION("IMPORTRANGE(""https://docs.google.com/spreadsheets/d/1o7UZe4_OqlqtLDHrj01Z2YFRSZDf1DMy1n3XViHaxRc/edit?usp=sharing"",""ภูเก็ต!J597"")"),0)</f>
        <v>0</v>
      </c>
      <c r="BQ83" s="261">
        <f ca="1">IFERROR(__xludf.DUMMYFUNCTION("IMPORTRANGE(""https://docs.google.com/spreadsheets/d/1o7UZe4_OqlqtLDHrj01Z2YFRSZDf1DMy1n3XViHaxRc/edit?usp=sharing"",""ภูเก็ต!J598"")"),0)</f>
        <v>0</v>
      </c>
      <c r="BR83" s="186">
        <f ca="1">IFERROR(__xludf.DUMMYFUNCTION("IMPORTRANGE(""https://docs.google.com/spreadsheets/d/1o7UZe4_OqlqtLDHrj01Z2YFRSZDf1DMy1n3XViHaxRc/edit?usp=sharing"",""ภูเก็ต!J599"")"),0)</f>
        <v>0</v>
      </c>
      <c r="BS83" s="261">
        <f ca="1">IFERROR(__xludf.DUMMYFUNCTION("IMPORTRANGE(""https://docs.google.com/spreadsheets/d/1o7UZe4_OqlqtLDHrj01Z2YFRSZDf1DMy1n3XViHaxRc/edit?usp=sharing"",""ภูเก็ต!J600"")"),0)</f>
        <v>0</v>
      </c>
      <c r="BT83" s="262">
        <f ca="1">IFERROR(__xludf.DUMMYFUNCTION("IMPORTRANGE(""https://docs.google.com/spreadsheets/d/1o7UZe4_OqlqtLDHrj01Z2YFRSZDf1DMy1n3XViHaxRc/edit?usp=sharing"",""ภูเก็ต!J601"")"),0)</f>
        <v>0</v>
      </c>
      <c r="BU83" s="261">
        <f ca="1">IFERROR(__xludf.DUMMYFUNCTION("IMPORTRANGE(""https://docs.google.com/spreadsheets/d/1o7UZe4_OqlqtLDHrj01Z2YFRSZDf1DMy1n3XViHaxRc/edit?usp=sharing"",""ภูเก็ต!J602"")"),0)</f>
        <v>0</v>
      </c>
      <c r="BV83" s="186">
        <f ca="1">IFERROR(__xludf.DUMMYFUNCTION("IMPORTRANGE(""https://docs.google.com/spreadsheets/d/1o7UZe4_OqlqtLDHrj01Z2YFRSZDf1DMy1n3XViHaxRc/edit?usp=sharing"",""ภูเก็ต!J603"")"),0)</f>
        <v>0</v>
      </c>
      <c r="BW83" s="261">
        <f ca="1">IFERROR(__xludf.DUMMYFUNCTION("IMPORTRANGE(""https://docs.google.com/spreadsheets/d/1o7UZe4_OqlqtLDHrj01Z2YFRSZDf1DMy1n3XViHaxRc/edit?usp=sharing"",""ภูเก็ต!J604"")"),0)</f>
        <v>0</v>
      </c>
      <c r="BX83" s="186">
        <f ca="1">IFERROR(__xludf.DUMMYFUNCTION("IMPORTRANGE(""https://docs.google.com/spreadsheets/d/1o7UZe4_OqlqtLDHrj01Z2YFRSZDf1DMy1n3XViHaxRc/edit?usp=sharing"",""ภูเก็ต!J605"")"),0)</f>
        <v>0</v>
      </c>
      <c r="BY83" s="261">
        <f ca="1">IFERROR(__xludf.DUMMYFUNCTION("IMPORTRANGE(""https://docs.google.com/spreadsheets/d/1o7UZe4_OqlqtLDHrj01Z2YFRSZDf1DMy1n3XViHaxRc/edit?usp=sharing"",""ภูเก็ต!J606"")"),0)</f>
        <v>0</v>
      </c>
      <c r="BZ83" s="186">
        <f ca="1">IFERROR(__xludf.DUMMYFUNCTION("IMPORTRANGE(""https://docs.google.com/spreadsheets/d/1o7UZe4_OqlqtLDHrj01Z2YFRSZDf1DMy1n3XViHaxRc/edit?usp=sharing"",""ภูเก็ต!J607"")"),0)</f>
        <v>0</v>
      </c>
      <c r="CA83" s="261">
        <f ca="1">IFERROR(__xludf.DUMMYFUNCTION("IMPORTRANGE(""https://docs.google.com/spreadsheets/d/1o7UZe4_OqlqtLDHrj01Z2YFRSZDf1DMy1n3XViHaxRc/edit?usp=sharing"",""ภูเก็ต!J608"")"),0)</f>
        <v>0</v>
      </c>
      <c r="CB83" s="186">
        <f ca="1">IFERROR(__xludf.DUMMYFUNCTION("IMPORTRANGE(""https://docs.google.com/spreadsheets/d/1o7UZe4_OqlqtLDHrj01Z2YFRSZDf1DMy1n3XViHaxRc/edit?usp=sharing"",""ภูเก็ต!J609"")"),0)</f>
        <v>0</v>
      </c>
      <c r="CC83" s="261">
        <f ca="1">IFERROR(__xludf.DUMMYFUNCTION("IMPORTRANGE(""https://docs.google.com/spreadsheets/d/1o7UZe4_OqlqtLDHrj01Z2YFRSZDf1DMy1n3XViHaxRc/edit?usp=sharing"",""ภูเก็ต!J610"")"),0)</f>
        <v>0</v>
      </c>
      <c r="CD83" s="261">
        <f ca="1">IFERROR(__xludf.DUMMYFUNCTION("IMPORTRANGE(""https://docs.google.com/spreadsheets/d/1o7UZe4_OqlqtLDHrj01Z2YFRSZDf1DMy1n3XViHaxRc/edit?usp=sharing"",""ภูเก็ต!I612"")"),0)</f>
        <v>0</v>
      </c>
      <c r="CE83" s="261">
        <f ca="1">IFERROR(__xludf.DUMMYFUNCTION("IMPORTRANGE(""https://docs.google.com/spreadsheets/d/1o7UZe4_OqlqtLDHrj01Z2YFRSZDf1DMy1n3XViHaxRc/edit?usp=sharing"",""ภูเก็ต!I594"")"),31)</f>
        <v>31</v>
      </c>
      <c r="CF83" s="262">
        <f ca="1">IFERROR(__xludf.DUMMYFUNCTION("IMPORTRANGE(""https://docs.google.com/spreadsheets/d/1o7UZe4_OqlqtLDHrj01Z2YFRSZDf1DMy1n3XViHaxRc/edit?usp=sharing"",""ภูเก็ต!J612"")"),0)</f>
        <v>0</v>
      </c>
      <c r="CG83" s="262">
        <f t="shared" ca="1" si="37"/>
        <v>0</v>
      </c>
      <c r="CH83" s="261">
        <f ca="1">IFERROR(__xludf.DUMMYFUNCTION("IMPORTRANGE(""https://docs.google.com/spreadsheets/d/1o7UZe4_OqlqtLDHrj01Z2YFRSZDf1DMy1n3XViHaxRc/edit?usp=sharing"",""ภูเก็ต!J613"")"),0)</f>
        <v>0</v>
      </c>
      <c r="CI83" s="262">
        <f t="shared" ca="1" si="19"/>
        <v>0</v>
      </c>
      <c r="CJ83" s="186">
        <f ca="1">IFERROR(__xludf.DUMMYFUNCTION("IMPORTRANGE(""https://docs.google.com/spreadsheets/d/1o7UZe4_OqlqtLDHrj01Z2YFRSZDf1DMy1n3XViHaxRc/edit?usp=sharing"",""ภูเก็ต!J614"")"),0)</f>
        <v>0</v>
      </c>
      <c r="CK83" s="261">
        <f ca="1">IFERROR(__xludf.DUMMYFUNCTION("IMPORTRANGE(""https://docs.google.com/spreadsheets/d/1o7UZe4_OqlqtLDHrj01Z2YFRSZDf1DMy1n3XViHaxRc/edit?usp=sharing"",""ภูเก็ต!J615"")"),0)</f>
        <v>0</v>
      </c>
      <c r="CL83" s="186">
        <f ca="1">IFERROR(__xludf.DUMMYFUNCTION("IMPORTRANGE(""https://docs.google.com/spreadsheets/d/1o7UZe4_OqlqtLDHrj01Z2YFRSZDf1DMy1n3XViHaxRc/edit?usp=sharing"",""ภูเก็ต!J616"")"),0)</f>
        <v>0</v>
      </c>
      <c r="CM83" s="261">
        <f ca="1">IFERROR(__xludf.DUMMYFUNCTION("IMPORTRANGE(""https://docs.google.com/spreadsheets/d/1o7UZe4_OqlqtLDHrj01Z2YFRSZDf1DMy1n3XViHaxRc/edit?usp=sharing"",""ภูเก็ต!J617"")"),0)</f>
        <v>0</v>
      </c>
      <c r="CN83" s="261">
        <f ca="1">IFERROR(__xludf.DUMMYFUNCTION("IMPORTRANGE(""https://docs.google.com/spreadsheets/d/1o7UZe4_OqlqtLDHrj01Z2YFRSZDf1DMy1n3XViHaxRc/edit?usp=sharing"",""ภูเก็ต!I620"")"),0)</f>
        <v>0</v>
      </c>
      <c r="CO83" s="261">
        <f ca="1">IFERROR(__xludf.DUMMYFUNCTION("IMPORTRANGE(""https://docs.google.com/spreadsheets/d/1o7UZe4_OqlqtLDHrj01Z2YFRSZDf1DMy1n3XViHaxRc/edit?usp=sharing"",""ภูเก็ต!I621"")"),0)</f>
        <v>0</v>
      </c>
      <c r="CP83" s="262">
        <f ca="1">IFERROR(__xludf.DUMMYFUNCTION("IMPORTRANGE(""https://docs.google.com/spreadsheets/d/1o7UZe4_OqlqtLDHrj01Z2YFRSZDf1DMy1n3XViHaxRc/edit?usp=sharing"",""ภูเก็ต!J620"")"),0)</f>
        <v>0</v>
      </c>
      <c r="CQ83" s="262">
        <f t="shared" ca="1" si="38"/>
        <v>0</v>
      </c>
      <c r="CR83" s="261">
        <f ca="1">IFERROR(__xludf.DUMMYFUNCTION("IMPORTRANGE(""https://docs.google.com/spreadsheets/d/1o7UZe4_OqlqtLDHrj01Z2YFRSZDf1DMy1n3XViHaxRc/edit?usp=sharing"",""ภูเก็ต!J621"")"),0)</f>
        <v>0</v>
      </c>
      <c r="CS83" s="262">
        <f t="shared" ca="1" si="22"/>
        <v>0</v>
      </c>
      <c r="CT83" s="186">
        <f ca="1">IFERROR(__xludf.DUMMYFUNCTION("IMPORTRANGE(""https://docs.google.com/spreadsheets/d/1o7UZe4_OqlqtLDHrj01Z2YFRSZDf1DMy1n3XViHaxRc/edit?usp=sharing"",""ภูเก็ต!J622"")"),0)</f>
        <v>0</v>
      </c>
      <c r="CU83" s="261">
        <f ca="1">IFERROR(__xludf.DUMMYFUNCTION("IMPORTRANGE(""https://docs.google.com/spreadsheets/d/1o7UZe4_OqlqtLDHrj01Z2YFRSZDf1DMy1n3XViHaxRc/edit?usp=sharing"",""ภูเก็ต!J623"")"),0)</f>
        <v>0</v>
      </c>
      <c r="CV83" s="186">
        <f ca="1">IFERROR(__xludf.DUMMYFUNCTION("IMPORTRANGE(""https://docs.google.com/spreadsheets/d/1o7UZe4_OqlqtLDHrj01Z2YFRSZDf1DMy1n3XViHaxRc/edit?usp=sharing"",""ภูเก็ต!J624"")"),0)</f>
        <v>0</v>
      </c>
      <c r="CW83" s="261">
        <f ca="1">IFERROR(__xludf.DUMMYFUNCTION("IMPORTRANGE(""https://docs.google.com/spreadsheets/d/1o7UZe4_OqlqtLDHrj01Z2YFRSZDf1DMy1n3XViHaxRc/edit?usp=sharing"",""ภูเก็ต!J625"")"),0)</f>
        <v>0</v>
      </c>
      <c r="CX83" s="186">
        <f ca="1">IFERROR(__xludf.DUMMYFUNCTION("IMPORTRANGE(""https://docs.google.com/spreadsheets/d/1o7UZe4_OqlqtLDHrj01Z2YFRSZDf1DMy1n3XViHaxRc/edit?usp=sharing"",""ภูเก็ต!J626"")"),0)</f>
        <v>0</v>
      </c>
      <c r="CY83" s="261">
        <f ca="1">IFERROR(__xludf.DUMMYFUNCTION("IMPORTRANGE(""https://docs.google.com/spreadsheets/d/1o7UZe4_OqlqtLDHrj01Z2YFRSZDf1DMy1n3XViHaxRc/edit?usp=sharing"",""ภูเก็ต!J627"")"),0)</f>
        <v>0</v>
      </c>
    </row>
    <row r="84" spans="1:103" ht="21" customHeight="1" x14ac:dyDescent="0.3">
      <c r="A84" s="178">
        <v>10</v>
      </c>
      <c r="B84" s="179" t="s">
        <v>101</v>
      </c>
      <c r="C84" s="180">
        <f t="shared" ca="1" si="82"/>
        <v>231097</v>
      </c>
      <c r="D84" s="181">
        <f ca="1">IFERROR(__xludf.DUMMYFUNCTION("IMPORTRANGE(""https://docs.google.com/spreadsheets/d/1ctPm1vUzcUCPuOj9-eoHUD85PqINFqUB0TjdSWmR5-c/edit?usp=sharing"",""ยะลา!L549"")"),231097)</f>
        <v>231097</v>
      </c>
      <c r="E84" s="187">
        <f ca="1">IFERROR(__xludf.DUMMYFUNCTION("IMPORTRANGE(""https://docs.google.com/spreadsheets/d/1ctPm1vUzcUCPuOj9-eoHUD85PqINFqUB0TjdSWmR5-c/edit?usp=sharing"",""ยะลา!L557"")"),0)</f>
        <v>0</v>
      </c>
      <c r="F84" s="182">
        <f t="shared" ca="1" si="1"/>
        <v>51470</v>
      </c>
      <c r="G84" s="183">
        <f t="shared" ca="1" si="2"/>
        <v>22.272032955858361</v>
      </c>
      <c r="H84" s="184">
        <f t="shared" ca="1" si="83"/>
        <v>51470</v>
      </c>
      <c r="I84" s="187">
        <f ca="1">IFERROR(__xludf.DUMMYFUNCTION("IMPORTRANGE(""https://docs.google.com/spreadsheets/d/1ctPm1vUzcUCPuOj9-eoHUD85PqINFqUB0TjdSWmR5-c/edit?usp=sharing"",""ยะลา!N550"")"),0)</f>
        <v>0</v>
      </c>
      <c r="J84" s="187">
        <f ca="1">IFERROR(__xludf.DUMMYFUNCTION("IMPORTRANGE(""https://docs.google.com/spreadsheets/d/1ctPm1vUzcUCPuOj9-eoHUD85PqINFqUB0TjdSWmR5-c/edit?usp=sharing"",""ยะลา!N551"")"),0)</f>
        <v>0</v>
      </c>
      <c r="K84" s="187">
        <f ca="1">IFERROR(__xludf.DUMMYFUNCTION("IMPORTRANGE(""https://docs.google.com/spreadsheets/d/1ctPm1vUzcUCPuOj9-eoHUD85PqINFqUB0TjdSWmR5-c/edit?usp=sharing"",""ยะลา!N552"")"),39000)</f>
        <v>39000</v>
      </c>
      <c r="L84" s="187">
        <f ca="1">IFERROR(__xludf.DUMMYFUNCTION("IMPORTRANGE(""https://docs.google.com/spreadsheets/d/1ctPm1vUzcUCPuOj9-eoHUD85PqINFqUB0TjdSWmR5-c/edit?usp=sharing"",""ยะลา!N553"")"),12470)</f>
        <v>12470</v>
      </c>
      <c r="M84" s="187">
        <f ca="1">IFERROR(__xludf.DUMMYFUNCTION("IMPORTRANGE(""https://docs.google.com/spreadsheets/d/1ctPm1vUzcUCPuOj9-eoHUD85PqINFqUB0TjdSWmR5-c/edit?usp=sharing"",""ยะลา!N554"")"),0)</f>
        <v>0</v>
      </c>
      <c r="N84" s="185">
        <f ca="1">IFERROR(__xludf.DUMMYFUNCTION("IMPORTRANGE(""https://docs.google.com/spreadsheets/d/1ctPm1vUzcUCPuOj9-eoHUD85PqINFqUB0TjdSWmR5-c/edit?usp=sharing"",""ยะลา!N557"")"),0)</f>
        <v>0</v>
      </c>
      <c r="O84" s="185">
        <f t="shared" ca="1" si="41"/>
        <v>0</v>
      </c>
      <c r="P84" s="181">
        <f ca="1">IFERROR(__xludf.DUMMYFUNCTION("IMPORTRANGE(""https://docs.google.com/spreadsheets/d/1ctPm1vUzcUCPuOj9-eoHUD85PqINFqUB0TjdSWmR5-c/edit?usp=sharing"",""ยะลา!I560"")"),6007)</f>
        <v>6007</v>
      </c>
      <c r="Q84" s="181">
        <f ca="1">IFERROR(__xludf.DUMMYFUNCTION("IMPORTRANGE(""https://docs.google.com/spreadsheets/d/1ctPm1vUzcUCPuOj9-eoHUD85PqINFqUB0TjdSWmR5-c/edit?usp=sharing"",""ยะลา!I561"")"),823)</f>
        <v>823</v>
      </c>
      <c r="R84" s="186">
        <f ca="1">IFERROR(__xludf.DUMMYFUNCTION("IMPORTRANGE(""https://docs.google.com/spreadsheets/d/1ctPm1vUzcUCPuOj9-eoHUD85PqINFqUB0TjdSWmR5-c/edit?usp=sharing"",""ยะลา!J560"")"),6007)</f>
        <v>6007</v>
      </c>
      <c r="S84" s="186">
        <f t="shared" ca="1" si="33"/>
        <v>100</v>
      </c>
      <c r="T84" s="181">
        <f ca="1">IFERROR(__xludf.DUMMYFUNCTION("IMPORTRANGE(""https://docs.google.com/spreadsheets/d/1ctPm1vUzcUCPuOj9-eoHUD85PqINFqUB0TjdSWmR5-c/edit?usp=sharing"",""ยะลา!J561"")"),823)</f>
        <v>823</v>
      </c>
      <c r="U84" s="186">
        <f t="shared" ca="1" si="7"/>
        <v>100</v>
      </c>
      <c r="V84" s="186">
        <f ca="1">IFERROR(__xludf.DUMMYFUNCTION("IMPORTRANGE(""https://docs.google.com/spreadsheets/d/1ctPm1vUzcUCPuOj9-eoHUD85PqINFqUB0TjdSWmR5-c/edit?usp=sharing"",""ยะลา!J562"")"),5493)</f>
        <v>5493</v>
      </c>
      <c r="W84" s="261">
        <f ca="1">IFERROR(__xludf.DUMMYFUNCTION("IMPORTRANGE(""https://docs.google.com/spreadsheets/d/1ctPm1vUzcUCPuOj9-eoHUD85PqINFqUB0TjdSWmR5-c/edit?usp=sharing"",""ยะลา!J563"")"),756)</f>
        <v>756</v>
      </c>
      <c r="X84" s="186">
        <f ca="1">IFERROR(__xludf.DUMMYFUNCTION("IMPORTRANGE(""https://docs.google.com/spreadsheets/d/1ctPm1vUzcUCPuOj9-eoHUD85PqINFqUB0TjdSWmR5-c/edit?usp=sharing"",""ยะลา!J564"")"),442)</f>
        <v>442</v>
      </c>
      <c r="Y84" s="261">
        <f ca="1">IFERROR(__xludf.DUMMYFUNCTION("IMPORTRANGE(""https://docs.google.com/spreadsheets/d/1ctPm1vUzcUCPuOj9-eoHUD85PqINFqUB0TjdSWmR5-c/edit?usp=sharing"",""ยะลา!J565"")"),57)</f>
        <v>57</v>
      </c>
      <c r="Z84" s="186">
        <f ca="1">IFERROR(__xludf.DUMMYFUNCTION("IMPORTRANGE(""https://docs.google.com/spreadsheets/d/1ctPm1vUzcUCPuOj9-eoHUD85PqINFqUB0TjdSWmR5-c/edit?usp=sharing"",""ยะลา!J566"")"),72)</f>
        <v>72</v>
      </c>
      <c r="AA84" s="261">
        <f ca="1">IFERROR(__xludf.DUMMYFUNCTION("IMPORTRANGE(""https://docs.google.com/spreadsheets/d/1ctPm1vUzcUCPuOj9-eoHUD85PqINFqUB0TjdSWmR5-c/edit?usp=sharing"",""ยะลา!J567"")"),10)</f>
        <v>10</v>
      </c>
      <c r="AB84" s="181">
        <f ca="1">IFERROR(__xludf.DUMMYFUNCTION("IMPORTRANGE(""https://docs.google.com/spreadsheets/d/1ctPm1vUzcUCPuOj9-eoHUD85PqINFqUB0TjdSWmR5-c/edit?usp=sharing"",""ยะลา!I568"")"),6007)</f>
        <v>6007</v>
      </c>
      <c r="AC84" s="181">
        <f ca="1">IFERROR(__xludf.DUMMYFUNCTION("IMPORTRANGE(""https://docs.google.com/spreadsheets/d/1ctPm1vUzcUCPuOj9-eoHUD85PqINFqUB0TjdSWmR5-c/edit?usp=sharing"",""ยะลา!I569"")"),823)</f>
        <v>823</v>
      </c>
      <c r="AD84" s="186">
        <f ca="1">IFERROR(__xludf.DUMMYFUNCTION("IMPORTRANGE(""https://docs.google.com/spreadsheets/d/1ctPm1vUzcUCPuOj9-eoHUD85PqINFqUB0TjdSWmR5-c/edit?usp=sharing"",""ยะลา!J568"")"),0)</f>
        <v>0</v>
      </c>
      <c r="AE84" s="186">
        <f t="shared" ca="1" si="34"/>
        <v>0</v>
      </c>
      <c r="AF84" s="181">
        <f ca="1">IFERROR(__xludf.DUMMYFUNCTION("IMPORTRANGE(""https://docs.google.com/spreadsheets/d/1ctPm1vUzcUCPuOj9-eoHUD85PqINFqUB0TjdSWmR5-c/edit?usp=sharing"",""ยะลา!J569"")"),0)</f>
        <v>0</v>
      </c>
      <c r="AG84" s="186">
        <f t="shared" ca="1" si="10"/>
        <v>0</v>
      </c>
      <c r="AH84" s="186">
        <f ca="1">IFERROR(__xludf.DUMMYFUNCTION("IMPORTRANGE(""https://docs.google.com/spreadsheets/d/1ctPm1vUzcUCPuOj9-eoHUD85PqINFqUB0TjdSWmR5-c/edit?usp=sharing"",""ยะลา!J570"")"),0)</f>
        <v>0</v>
      </c>
      <c r="AI84" s="261">
        <f ca="1">IFERROR(__xludf.DUMMYFUNCTION("IMPORTRANGE(""https://docs.google.com/spreadsheets/d/1ctPm1vUzcUCPuOj9-eoHUD85PqINFqUB0TjdSWmR5-c/edit?usp=sharing"",""ยะลา!J571"")"),0)</f>
        <v>0</v>
      </c>
      <c r="AJ84" s="186">
        <f ca="1">IFERROR(__xludf.DUMMYFUNCTION("IMPORTRANGE(""https://docs.google.com/spreadsheets/d/1ctPm1vUzcUCPuOj9-eoHUD85PqINFqUB0TjdSWmR5-c/edit?usp=sharing"",""ยะลา!J572"")"),0)</f>
        <v>0</v>
      </c>
      <c r="AK84" s="261">
        <f ca="1">IFERROR(__xludf.DUMMYFUNCTION("IMPORTRANGE(""https://docs.google.com/spreadsheets/d/1ctPm1vUzcUCPuOj9-eoHUD85PqINFqUB0TjdSWmR5-c/edit?usp=sharing"",""ยะลา!J573"")"),0)</f>
        <v>0</v>
      </c>
      <c r="AL84" s="186">
        <f ca="1">IFERROR(__xludf.DUMMYFUNCTION("IMPORTRANGE(""https://docs.google.com/spreadsheets/d/1ctPm1vUzcUCPuOj9-eoHUD85PqINFqUB0TjdSWmR5-c/edit?usp=sharing"",""ยะลา!J574"")"),0)</f>
        <v>0</v>
      </c>
      <c r="AM84" s="261">
        <f ca="1">IFERROR(__xludf.DUMMYFUNCTION("IMPORTRANGE(""https://docs.google.com/spreadsheets/d/1ctPm1vUzcUCPuOj9-eoHUD85PqINFqUB0TjdSWmR5-c/edit?usp=sharing"",""ยะลา!J575"")"),0)</f>
        <v>0</v>
      </c>
      <c r="AN84" s="181">
        <f ca="1">IFERROR(__xludf.DUMMYFUNCTION("IMPORTRANGE(""https://docs.google.com/spreadsheets/d/1ctPm1vUzcUCPuOj9-eoHUD85PqINFqUB0TjdSWmR5-c/edit?usp=sharing"",""ยะลา!I576"")"),6007)</f>
        <v>6007</v>
      </c>
      <c r="AO84" s="181">
        <f ca="1">IFERROR(__xludf.DUMMYFUNCTION("IMPORTRANGE(""https://docs.google.com/spreadsheets/d/1ctPm1vUzcUCPuOj9-eoHUD85PqINFqUB0TjdSWmR5-c/edit?usp=sharing"",""ยะลา!I577"")"),823)</f>
        <v>823</v>
      </c>
      <c r="AP84" s="186">
        <f ca="1">IFERROR(__xludf.DUMMYFUNCTION("IMPORTRANGE(""https://docs.google.com/spreadsheets/d/1ctPm1vUzcUCPuOj9-eoHUD85PqINFqUB0TjdSWmR5-c/edit?usp=sharing"",""ยะลา!J576"")"),0)</f>
        <v>0</v>
      </c>
      <c r="AQ84" s="186">
        <f t="shared" ca="1" si="35"/>
        <v>0</v>
      </c>
      <c r="AR84" s="181">
        <f ca="1">IFERROR(__xludf.DUMMYFUNCTION("IMPORTRANGE(""https://docs.google.com/spreadsheets/d/1ctPm1vUzcUCPuOj9-eoHUD85PqINFqUB0TjdSWmR5-c/edit?usp=sharing"",""ยะลา!J577"")"),0)</f>
        <v>0</v>
      </c>
      <c r="AS84" s="186">
        <f t="shared" ca="1" si="13"/>
        <v>0</v>
      </c>
      <c r="AT84" s="186">
        <f ca="1">IFERROR(__xludf.DUMMYFUNCTION("IMPORTRANGE(""https://docs.google.com/spreadsheets/d/1ctPm1vUzcUCPuOj9-eoHUD85PqINFqUB0TjdSWmR5-c/edit?usp=sharing"",""ยะลา!J578"")"),0)</f>
        <v>0</v>
      </c>
      <c r="AU84" s="261">
        <f ca="1">IFERROR(__xludf.DUMMYFUNCTION("IMPORTRANGE(""https://docs.google.com/spreadsheets/d/1ctPm1vUzcUCPuOj9-eoHUD85PqINFqUB0TjdSWmR5-c/edit?usp=sharing"",""ยะลา!J579"")"),0)</f>
        <v>0</v>
      </c>
      <c r="AV84" s="186">
        <f ca="1">IFERROR(__xludf.DUMMYFUNCTION("IMPORTRANGE(""https://docs.google.com/spreadsheets/d/1ctPm1vUzcUCPuOj9-eoHUD85PqINFqUB0TjdSWmR5-c/edit?usp=sharing"",""ยะลา!J580"")"),0)</f>
        <v>0</v>
      </c>
      <c r="AW84" s="261">
        <f ca="1">IFERROR(__xludf.DUMMYFUNCTION("IMPORTRANGE(""https://docs.google.com/spreadsheets/d/1ctPm1vUzcUCPuOj9-eoHUD85PqINFqUB0TjdSWmR5-c/edit?usp=sharing"",""ยะลา!J581"")"),0)</f>
        <v>0</v>
      </c>
      <c r="AX84" s="186">
        <f ca="1">IFERROR(__xludf.DUMMYFUNCTION("IMPORTRANGE(""https://docs.google.com/spreadsheets/d/1ctPm1vUzcUCPuOj9-eoHUD85PqINFqUB0TjdSWmR5-c/edit?usp=sharing"",""ยะลา!J582"")"),0)</f>
        <v>0</v>
      </c>
      <c r="AY84" s="261">
        <f ca="1">IFERROR(__xludf.DUMMYFUNCTION("IMPORTRANGE(""https://docs.google.com/spreadsheets/d/1ctPm1vUzcUCPuOj9-eoHUD85PqINFqUB0TjdSWmR5-c/edit?usp=sharing"",""ยะลา!J583"")"),0)</f>
        <v>0</v>
      </c>
      <c r="AZ84" s="262">
        <f ca="1">IFERROR(__xludf.DUMMYFUNCTION("IMPORTRANGE(""https://docs.google.com/spreadsheets/d/1ctPm1vUzcUCPuOj9-eoHUD85PqINFqUB0TjdSWmR5-c/edit?usp=sharing"",""ยะลา!J584"")"),0)</f>
        <v>0</v>
      </c>
      <c r="BA84" s="261">
        <f ca="1">IFERROR(__xludf.DUMMYFUNCTION("IMPORTRANGE(""https://docs.google.com/spreadsheets/d/1ctPm1vUzcUCPuOj9-eoHUD85PqINFqUB0TjdSWmR5-c/edit?usp=sharing"",""ยะลา!J585"")"),0)</f>
        <v>0</v>
      </c>
      <c r="BB84" s="262">
        <f ca="1">IFERROR(__xludf.DUMMYFUNCTION("IMPORTRANGE(""https://docs.google.com/spreadsheets/d/1ctPm1vUzcUCPuOj9-eoHUD85PqINFqUB0TjdSWmR5-c/edit?usp=sharing"",""ยะลา!J586"")"),0)</f>
        <v>0</v>
      </c>
      <c r="BC84" s="261">
        <f ca="1">IFERROR(__xludf.DUMMYFUNCTION("IMPORTRANGE(""https://docs.google.com/spreadsheets/d/1ctPm1vUzcUCPuOj9-eoHUD85PqINFqUB0TjdSWmR5-c/edit?usp=sharing"",""ยะลา!J587"")"),0)</f>
        <v>0</v>
      </c>
      <c r="BD84" s="186">
        <f ca="1">IFERROR(__xludf.DUMMYFUNCTION("IMPORTRANGE(""https://docs.google.com/spreadsheets/d/1ctPm1vUzcUCPuOj9-eoHUD85PqINFqUB0TjdSWmR5-c/edit?usp=sharing"",""ยะลา!J588"")"),0)</f>
        <v>0</v>
      </c>
      <c r="BE84" s="261">
        <f ca="1">IFERROR(__xludf.DUMMYFUNCTION("IMPORTRANGE(""https://docs.google.com/spreadsheets/d/1ctPm1vUzcUCPuOj9-eoHUD85PqINFqUB0TjdSWmR5-c/edit?usp=sharing"",""ยะลา!J589"")"),0)</f>
        <v>0</v>
      </c>
      <c r="BF84" s="186">
        <f ca="1">IFERROR(__xludf.DUMMYFUNCTION("IMPORTRANGE(""https://docs.google.com/spreadsheets/d/1ctPm1vUzcUCPuOj9-eoHUD85PqINFqUB0TjdSWmR5-c/edit?usp=sharing"",""ยะลา!J590"")"),0)</f>
        <v>0</v>
      </c>
      <c r="BG84" s="261">
        <f ca="1">IFERROR(__xludf.DUMMYFUNCTION("IMPORTRANGE(""https://docs.google.com/spreadsheets/d/1ctPm1vUzcUCPuOj9-eoHUD85PqINFqUB0TjdSWmR5-c/edit?usp=sharing"",""ยะลา!J591"")"),0)</f>
        <v>0</v>
      </c>
      <c r="BH84" s="181">
        <f ca="1">IFERROR(__xludf.DUMMYFUNCTION("IMPORTRANGE(""https://docs.google.com/spreadsheets/d/1ctPm1vUzcUCPuOj9-eoHUD85PqINFqUB0TjdSWmR5-c/edit?usp=sharing"",""ยะลา!I593"")"),50.42)</f>
        <v>50.42</v>
      </c>
      <c r="BI84" s="181">
        <f ca="1">IFERROR(__xludf.DUMMYFUNCTION("IMPORTRANGE(""https://docs.google.com/spreadsheets/d/1ctPm1vUzcUCPuOj9-eoHUD85PqINFqUB0TjdSWmR5-c/edit?usp=sharing"",""ยะลา!I594"")"),8)</f>
        <v>8</v>
      </c>
      <c r="BJ84" s="186">
        <f ca="1">IFERROR(__xludf.DUMMYFUNCTION("IMPORTRANGE(""https://docs.google.com/spreadsheets/d/1ctPm1vUzcUCPuOj9-eoHUD85PqINFqUB0TjdSWmR5-c/edit?usp=sharing"",""ยะลา!J593"")"),50)</f>
        <v>50</v>
      </c>
      <c r="BK84" s="186">
        <f t="shared" ca="1" si="36"/>
        <v>99.166997223324074</v>
      </c>
      <c r="BL84" s="181">
        <f ca="1">IFERROR(__xludf.DUMMYFUNCTION("IMPORTRANGE(""https://docs.google.com/spreadsheets/d/1ctPm1vUzcUCPuOj9-eoHUD85PqINFqUB0TjdSWmR5-c/edit?usp=sharing"",""ยะลา!J594"")"),8)</f>
        <v>8</v>
      </c>
      <c r="BM84" s="186">
        <f t="shared" ca="1" si="16"/>
        <v>100</v>
      </c>
      <c r="BN84" s="186">
        <f ca="1">IFERROR(__xludf.DUMMYFUNCTION("IMPORTRANGE(""https://docs.google.com/spreadsheets/d/1ctPm1vUzcUCPuOj9-eoHUD85PqINFqUB0TjdSWmR5-c/edit?usp=sharing"",""ยะลา!J595"")"),50)</f>
        <v>50</v>
      </c>
      <c r="BO84" s="261">
        <f ca="1">IFERROR(__xludf.DUMMYFUNCTION("IMPORTRANGE(""https://docs.google.com/spreadsheets/d/1ctPm1vUzcUCPuOj9-eoHUD85PqINFqUB0TjdSWmR5-c/edit?usp=sharing"",""ยะลา!J596"")"),8)</f>
        <v>8</v>
      </c>
      <c r="BP84" s="186">
        <f ca="1">IFERROR(__xludf.DUMMYFUNCTION("IMPORTRANGE(""https://docs.google.com/spreadsheets/d/1ctPm1vUzcUCPuOj9-eoHUD85PqINFqUB0TjdSWmR5-c/edit?usp=sharing"",""ยะลา!J597"")"),50)</f>
        <v>50</v>
      </c>
      <c r="BQ84" s="261">
        <f ca="1">IFERROR(__xludf.DUMMYFUNCTION("IMPORTRANGE(""https://docs.google.com/spreadsheets/d/1ctPm1vUzcUCPuOj9-eoHUD85PqINFqUB0TjdSWmR5-c/edit?usp=sharing"",""ยะลา!J598"")"),8)</f>
        <v>8</v>
      </c>
      <c r="BR84" s="186">
        <f ca="1">IFERROR(__xludf.DUMMYFUNCTION("IMPORTRANGE(""https://docs.google.com/spreadsheets/d/1ctPm1vUzcUCPuOj9-eoHUD85PqINFqUB0TjdSWmR5-c/edit?usp=sharing"",""ยะลา!J599"")"),0)</f>
        <v>0</v>
      </c>
      <c r="BS84" s="261">
        <f ca="1">IFERROR(__xludf.DUMMYFUNCTION("IMPORTRANGE(""https://docs.google.com/spreadsheets/d/1ctPm1vUzcUCPuOj9-eoHUD85PqINFqUB0TjdSWmR5-c/edit?usp=sharing"",""ยะลา!J600"")"),0)</f>
        <v>0</v>
      </c>
      <c r="BT84" s="262">
        <f ca="1">IFERROR(__xludf.DUMMYFUNCTION("IMPORTRANGE(""https://docs.google.com/spreadsheets/d/1ctPm1vUzcUCPuOj9-eoHUD85PqINFqUB0TjdSWmR5-c/edit?usp=sharing"",""ยะลา!J601"")"),0)</f>
        <v>0</v>
      </c>
      <c r="BU84" s="261">
        <f ca="1">IFERROR(__xludf.DUMMYFUNCTION("IMPORTRANGE(""https://docs.google.com/spreadsheets/d/1ctPm1vUzcUCPuOj9-eoHUD85PqINFqUB0TjdSWmR5-c/edit?usp=sharing"",""ยะลา!J602"")"),0)</f>
        <v>0</v>
      </c>
      <c r="BV84" s="186">
        <f ca="1">IFERROR(__xludf.DUMMYFUNCTION("IMPORTRANGE(""https://docs.google.com/spreadsheets/d/1ctPm1vUzcUCPuOj9-eoHUD85PqINFqUB0TjdSWmR5-c/edit?usp=sharing"",""ยะลา!J603"")"),0)</f>
        <v>0</v>
      </c>
      <c r="BW84" s="261">
        <f ca="1">IFERROR(__xludf.DUMMYFUNCTION("IMPORTRANGE(""https://docs.google.com/spreadsheets/d/1ctPm1vUzcUCPuOj9-eoHUD85PqINFqUB0TjdSWmR5-c/edit?usp=sharing"",""ยะลา!J604"")"),0)</f>
        <v>0</v>
      </c>
      <c r="BX84" s="186">
        <f ca="1">IFERROR(__xludf.DUMMYFUNCTION("IMPORTRANGE(""https://docs.google.com/spreadsheets/d/1ctPm1vUzcUCPuOj9-eoHUD85PqINFqUB0TjdSWmR5-c/edit?usp=sharing"",""ยะลา!J605"")"),0)</f>
        <v>0</v>
      </c>
      <c r="BY84" s="261">
        <f ca="1">IFERROR(__xludf.DUMMYFUNCTION("IMPORTRANGE(""https://docs.google.com/spreadsheets/d/1ctPm1vUzcUCPuOj9-eoHUD85PqINFqUB0TjdSWmR5-c/edit?usp=sharing"",""ยะลา!J606"")"),0)</f>
        <v>0</v>
      </c>
      <c r="BZ84" s="186">
        <f ca="1">IFERROR(__xludf.DUMMYFUNCTION("IMPORTRANGE(""https://docs.google.com/spreadsheets/d/1ctPm1vUzcUCPuOj9-eoHUD85PqINFqUB0TjdSWmR5-c/edit?usp=sharing"",""ยะลา!J607"")"),0)</f>
        <v>0</v>
      </c>
      <c r="CA84" s="261">
        <f ca="1">IFERROR(__xludf.DUMMYFUNCTION("IMPORTRANGE(""https://docs.google.com/spreadsheets/d/1ctPm1vUzcUCPuOj9-eoHUD85PqINFqUB0TjdSWmR5-c/edit?usp=sharing"",""ยะลา!J608"")"),0)</f>
        <v>0</v>
      </c>
      <c r="CB84" s="186">
        <f ca="1">IFERROR(__xludf.DUMMYFUNCTION("IMPORTRANGE(""https://docs.google.com/spreadsheets/d/1ctPm1vUzcUCPuOj9-eoHUD85PqINFqUB0TjdSWmR5-c/edit?usp=sharing"",""ยะลา!J609"")"),0)</f>
        <v>0</v>
      </c>
      <c r="CC84" s="261">
        <f ca="1">IFERROR(__xludf.DUMMYFUNCTION("IMPORTRANGE(""https://docs.google.com/spreadsheets/d/1ctPm1vUzcUCPuOj9-eoHUD85PqINFqUB0TjdSWmR5-c/edit?usp=sharing"",""ยะลา!J610"")"),0)</f>
        <v>0</v>
      </c>
      <c r="CD84" s="261">
        <f ca="1">IFERROR(__xludf.DUMMYFUNCTION("IMPORTRANGE(""https://docs.google.com/spreadsheets/d/1ctPm1vUzcUCPuOj9-eoHUD85PqINFqUB0TjdSWmR5-c/edit?usp=sharing"",""ยะลา!I612"")"),0)</f>
        <v>0</v>
      </c>
      <c r="CE84" s="261">
        <f ca="1">IFERROR(__xludf.DUMMYFUNCTION("IMPORTRANGE(""https://docs.google.com/spreadsheets/d/1ctPm1vUzcUCPuOj9-eoHUD85PqINFqUB0TjdSWmR5-c/edit?usp=sharing"",""ยะลา!I594"")"),8)</f>
        <v>8</v>
      </c>
      <c r="CF84" s="262">
        <f ca="1">IFERROR(__xludf.DUMMYFUNCTION("IMPORTRANGE(""https://docs.google.com/spreadsheets/d/1ctPm1vUzcUCPuOj9-eoHUD85PqINFqUB0TjdSWmR5-c/edit?usp=sharing"",""ยะลา!J612"")"),0)</f>
        <v>0</v>
      </c>
      <c r="CG84" s="262">
        <f t="shared" ca="1" si="37"/>
        <v>0</v>
      </c>
      <c r="CH84" s="261">
        <f ca="1">IFERROR(__xludf.DUMMYFUNCTION("IMPORTRANGE(""https://docs.google.com/spreadsheets/d/1ctPm1vUzcUCPuOj9-eoHUD85PqINFqUB0TjdSWmR5-c/edit?usp=sharing"",""ยะลา!J613"")"),0)</f>
        <v>0</v>
      </c>
      <c r="CI84" s="262">
        <f t="shared" ca="1" si="19"/>
        <v>0</v>
      </c>
      <c r="CJ84" s="186">
        <f ca="1">IFERROR(__xludf.DUMMYFUNCTION("IMPORTRANGE(""https://docs.google.com/spreadsheets/d/1ctPm1vUzcUCPuOj9-eoHUD85PqINFqUB0TjdSWmR5-c/edit?usp=sharing"",""ยะลา!J614"")"),0)</f>
        <v>0</v>
      </c>
      <c r="CK84" s="261">
        <f ca="1">IFERROR(__xludf.DUMMYFUNCTION("IMPORTRANGE(""https://docs.google.com/spreadsheets/d/1ctPm1vUzcUCPuOj9-eoHUD85PqINFqUB0TjdSWmR5-c/edit?usp=sharing"",""ยะลา!J615"")"),0)</f>
        <v>0</v>
      </c>
      <c r="CL84" s="186">
        <f ca="1">IFERROR(__xludf.DUMMYFUNCTION("IMPORTRANGE(""https://docs.google.com/spreadsheets/d/1ctPm1vUzcUCPuOj9-eoHUD85PqINFqUB0TjdSWmR5-c/edit?usp=sharing"",""ยะลา!J616"")"),0)</f>
        <v>0</v>
      </c>
      <c r="CM84" s="261">
        <f ca="1">IFERROR(__xludf.DUMMYFUNCTION("IMPORTRANGE(""https://docs.google.com/spreadsheets/d/1ctPm1vUzcUCPuOj9-eoHUD85PqINFqUB0TjdSWmR5-c/edit?usp=sharing"",""ยะลา!J617"")"),0)</f>
        <v>0</v>
      </c>
      <c r="CN84" s="261">
        <f ca="1">IFERROR(__xludf.DUMMYFUNCTION("IMPORTRANGE(""https://docs.google.com/spreadsheets/d/1ctPm1vUzcUCPuOj9-eoHUD85PqINFqUB0TjdSWmR5-c/edit?usp=sharing"",""ยะลา!I620"")"),0)</f>
        <v>0</v>
      </c>
      <c r="CO84" s="261">
        <f ca="1">IFERROR(__xludf.DUMMYFUNCTION("IMPORTRANGE(""https://docs.google.com/spreadsheets/d/1ctPm1vUzcUCPuOj9-eoHUD85PqINFqUB0TjdSWmR5-c/edit?usp=sharing"",""ยะลา!I621"")"),0)</f>
        <v>0</v>
      </c>
      <c r="CP84" s="262">
        <f ca="1">IFERROR(__xludf.DUMMYFUNCTION("IMPORTRANGE(""https://docs.google.com/spreadsheets/d/1ctPm1vUzcUCPuOj9-eoHUD85PqINFqUB0TjdSWmR5-c/edit?usp=sharing"",""ยะลา!J620"")"),0)</f>
        <v>0</v>
      </c>
      <c r="CQ84" s="262">
        <f t="shared" ca="1" si="38"/>
        <v>0</v>
      </c>
      <c r="CR84" s="261">
        <f ca="1">IFERROR(__xludf.DUMMYFUNCTION("IMPORTRANGE(""https://docs.google.com/spreadsheets/d/1ctPm1vUzcUCPuOj9-eoHUD85PqINFqUB0TjdSWmR5-c/edit?usp=sharing"",""ยะลา!J621"")"),0)</f>
        <v>0</v>
      </c>
      <c r="CS84" s="262">
        <f t="shared" ca="1" si="22"/>
        <v>0</v>
      </c>
      <c r="CT84" s="186">
        <f ca="1">IFERROR(__xludf.DUMMYFUNCTION("IMPORTRANGE(""https://docs.google.com/spreadsheets/d/1ctPm1vUzcUCPuOj9-eoHUD85PqINFqUB0TjdSWmR5-c/edit?usp=sharing"",""ยะลา!J622"")"),0)</f>
        <v>0</v>
      </c>
      <c r="CU84" s="261">
        <f ca="1">IFERROR(__xludf.DUMMYFUNCTION("IMPORTRANGE(""https://docs.google.com/spreadsheets/d/1ctPm1vUzcUCPuOj9-eoHUD85PqINFqUB0TjdSWmR5-c/edit?usp=sharing"",""ยะลา!J623"")"),0)</f>
        <v>0</v>
      </c>
      <c r="CV84" s="186">
        <f ca="1">IFERROR(__xludf.DUMMYFUNCTION("IMPORTRANGE(""https://docs.google.com/spreadsheets/d/1ctPm1vUzcUCPuOj9-eoHUD85PqINFqUB0TjdSWmR5-c/edit?usp=sharing"",""ยะลา!J624"")"),0)</f>
        <v>0</v>
      </c>
      <c r="CW84" s="261">
        <f ca="1">IFERROR(__xludf.DUMMYFUNCTION("IMPORTRANGE(""https://docs.google.com/spreadsheets/d/1ctPm1vUzcUCPuOj9-eoHUD85PqINFqUB0TjdSWmR5-c/edit?usp=sharing"",""ยะลา!J625"")"),0)</f>
        <v>0</v>
      </c>
      <c r="CX84" s="186">
        <f ca="1">IFERROR(__xludf.DUMMYFUNCTION("IMPORTRANGE(""https://docs.google.com/spreadsheets/d/1ctPm1vUzcUCPuOj9-eoHUD85PqINFqUB0TjdSWmR5-c/edit?usp=sharing"",""ยะลา!J626"")"),0)</f>
        <v>0</v>
      </c>
      <c r="CY84" s="261">
        <f ca="1">IFERROR(__xludf.DUMMYFUNCTION("IMPORTRANGE(""https://docs.google.com/spreadsheets/d/1ctPm1vUzcUCPuOj9-eoHUD85PqINFqUB0TjdSWmR5-c/edit?usp=sharing"",""ยะลา!J627"")"),0)</f>
        <v>0</v>
      </c>
    </row>
    <row r="85" spans="1:103" ht="21" customHeight="1" x14ac:dyDescent="0.3">
      <c r="A85" s="178">
        <v>11</v>
      </c>
      <c r="B85" s="179" t="s">
        <v>102</v>
      </c>
      <c r="C85" s="180">
        <f t="shared" ca="1" si="82"/>
        <v>218100</v>
      </c>
      <c r="D85" s="181">
        <f ca="1">IFERROR(__xludf.DUMMYFUNCTION("IMPORTRANGE(""https://docs.google.com/spreadsheets/d/1YiDIE7Klmt8osgdapRqYWNr7iPGFSsiJqq46S7PYRE0/edit?usp=sharing"",""ระนอง!L549"")"),218100)</f>
        <v>218100</v>
      </c>
      <c r="E85" s="187">
        <f ca="1">IFERROR(__xludf.DUMMYFUNCTION("IMPORTRANGE(""https://docs.google.com/spreadsheets/d/1YiDIE7Klmt8osgdapRqYWNr7iPGFSsiJqq46S7PYRE0/edit?usp=sharing"",""ระนอง!L557"")"),0)</f>
        <v>0</v>
      </c>
      <c r="F85" s="182">
        <f t="shared" ca="1" si="1"/>
        <v>26687</v>
      </c>
      <c r="G85" s="183">
        <f t="shared" ca="1" si="2"/>
        <v>12.236130215497479</v>
      </c>
      <c r="H85" s="184">
        <f t="shared" ca="1" si="83"/>
        <v>26687</v>
      </c>
      <c r="I85" s="187">
        <f ca="1">IFERROR(__xludf.DUMMYFUNCTION("IMPORTRANGE(""https://docs.google.com/spreadsheets/d/1YiDIE7Klmt8osgdapRqYWNr7iPGFSsiJqq46S7PYRE0/edit?usp=sharing"",""ระนอง!N550"")"),0)</f>
        <v>0</v>
      </c>
      <c r="J85" s="187">
        <f ca="1">IFERROR(__xludf.DUMMYFUNCTION("IMPORTRANGE(""https://docs.google.com/spreadsheets/d/1YiDIE7Klmt8osgdapRqYWNr7iPGFSsiJqq46S7PYRE0/edit?usp=sharing"",""ระนอง!N551"")"),0)</f>
        <v>0</v>
      </c>
      <c r="K85" s="187">
        <f ca="1">IFERROR(__xludf.DUMMYFUNCTION("IMPORTRANGE(""https://docs.google.com/spreadsheets/d/1YiDIE7Klmt8osgdapRqYWNr7iPGFSsiJqq46S7PYRE0/edit?usp=sharing"",""ระนอง!N552"")"),0)</f>
        <v>0</v>
      </c>
      <c r="L85" s="187">
        <f ca="1">IFERROR(__xludf.DUMMYFUNCTION("IMPORTRANGE(""https://docs.google.com/spreadsheets/d/1YiDIE7Klmt8osgdapRqYWNr7iPGFSsiJqq46S7PYRE0/edit?usp=sharing"",""ระนอง!N553"")"),17187)</f>
        <v>17187</v>
      </c>
      <c r="M85" s="187">
        <f ca="1">IFERROR(__xludf.DUMMYFUNCTION("IMPORTRANGE(""https://docs.google.com/spreadsheets/d/1YiDIE7Klmt8osgdapRqYWNr7iPGFSsiJqq46S7PYRE0/edit?usp=sharing"",""ระนอง!N554"")"),9500)</f>
        <v>9500</v>
      </c>
      <c r="N85" s="185">
        <f ca="1">IFERROR(__xludf.DUMMYFUNCTION("IMPORTRANGE(""https://docs.google.com/spreadsheets/d/1YiDIE7Klmt8osgdapRqYWNr7iPGFSsiJqq46S7PYRE0/edit?usp=sharing"",""ระนอง!N557"")"),0)</f>
        <v>0</v>
      </c>
      <c r="O85" s="185">
        <f t="shared" ca="1" si="41"/>
        <v>0</v>
      </c>
      <c r="P85" s="181">
        <f ca="1">IFERROR(__xludf.DUMMYFUNCTION("IMPORTRANGE(""https://docs.google.com/spreadsheets/d/1YiDIE7Klmt8osgdapRqYWNr7iPGFSsiJqq46S7PYRE0/edit?usp=sharing"",""ระนอง!I560"")"),0)</f>
        <v>0</v>
      </c>
      <c r="Q85" s="181">
        <f ca="1">IFERROR(__xludf.DUMMYFUNCTION("IMPORTRANGE(""https://docs.google.com/spreadsheets/d/1YiDIE7Klmt8osgdapRqYWNr7iPGFSsiJqq46S7PYRE0/edit?usp=sharing"",""ระนอง!I561"")"),0)</f>
        <v>0</v>
      </c>
      <c r="R85" s="186">
        <f ca="1">IFERROR(__xludf.DUMMYFUNCTION("IMPORTRANGE(""https://docs.google.com/spreadsheets/d/1YiDIE7Klmt8osgdapRqYWNr7iPGFSsiJqq46S7PYRE0/edit?usp=sharing"",""ระนอง!J560"")"),0)</f>
        <v>0</v>
      </c>
      <c r="S85" s="186">
        <f t="shared" ca="1" si="33"/>
        <v>0</v>
      </c>
      <c r="T85" s="181">
        <f ca="1">IFERROR(__xludf.DUMMYFUNCTION("IMPORTRANGE(""https://docs.google.com/spreadsheets/d/1YiDIE7Klmt8osgdapRqYWNr7iPGFSsiJqq46S7PYRE0/edit?usp=sharing"",""ระนอง!J561"")"),0)</f>
        <v>0</v>
      </c>
      <c r="U85" s="186">
        <f t="shared" ca="1" si="7"/>
        <v>0</v>
      </c>
      <c r="V85" s="186">
        <f ca="1">IFERROR(__xludf.DUMMYFUNCTION("IMPORTRANGE(""https://docs.google.com/spreadsheets/d/1YiDIE7Klmt8osgdapRqYWNr7iPGFSsiJqq46S7PYRE0/edit?usp=sharing"",""ระนอง!J562"")"),0)</f>
        <v>0</v>
      </c>
      <c r="W85" s="261">
        <f ca="1">IFERROR(__xludf.DUMMYFUNCTION("IMPORTRANGE(""https://docs.google.com/spreadsheets/d/1YiDIE7Klmt8osgdapRqYWNr7iPGFSsiJqq46S7PYRE0/edit?usp=sharing"",""ระนอง!J563"")"),0)</f>
        <v>0</v>
      </c>
      <c r="X85" s="186">
        <f ca="1">IFERROR(__xludf.DUMMYFUNCTION("IMPORTRANGE(""https://docs.google.com/spreadsheets/d/1YiDIE7Klmt8osgdapRqYWNr7iPGFSsiJqq46S7PYRE0/edit?usp=sharing"",""ระนอง!J564"")"),0)</f>
        <v>0</v>
      </c>
      <c r="Y85" s="261">
        <f ca="1">IFERROR(__xludf.DUMMYFUNCTION("IMPORTRANGE(""https://docs.google.com/spreadsheets/d/1YiDIE7Klmt8osgdapRqYWNr7iPGFSsiJqq46S7PYRE0/edit?usp=sharing"",""ระนอง!J565"")"),0)</f>
        <v>0</v>
      </c>
      <c r="Z85" s="186">
        <f ca="1">IFERROR(__xludf.DUMMYFUNCTION("IMPORTRANGE(""https://docs.google.com/spreadsheets/d/1YiDIE7Klmt8osgdapRqYWNr7iPGFSsiJqq46S7PYRE0/edit?usp=sharing"",""ระนอง!J566"")"),0)</f>
        <v>0</v>
      </c>
      <c r="AA85" s="261">
        <f ca="1">IFERROR(__xludf.DUMMYFUNCTION("IMPORTRANGE(""https://docs.google.com/spreadsheets/d/1YiDIE7Klmt8osgdapRqYWNr7iPGFSsiJqq46S7PYRE0/edit?usp=sharing"",""ระนอง!J567"")"),0)</f>
        <v>0</v>
      </c>
      <c r="AB85" s="181">
        <f ca="1">IFERROR(__xludf.DUMMYFUNCTION("IMPORTRANGE(""https://docs.google.com/spreadsheets/d/1YiDIE7Klmt8osgdapRqYWNr7iPGFSsiJqq46S7PYRE0/edit?usp=sharing"",""ระนอง!I568"")"),0)</f>
        <v>0</v>
      </c>
      <c r="AC85" s="181">
        <f ca="1">IFERROR(__xludf.DUMMYFUNCTION("IMPORTRANGE(""https://docs.google.com/spreadsheets/d/1YiDIE7Klmt8osgdapRqYWNr7iPGFSsiJqq46S7PYRE0/edit?usp=sharing"",""ระนอง!I569"")"),0)</f>
        <v>0</v>
      </c>
      <c r="AD85" s="186">
        <f ca="1">IFERROR(__xludf.DUMMYFUNCTION("IMPORTRANGE(""https://docs.google.com/spreadsheets/d/1YiDIE7Klmt8osgdapRqYWNr7iPGFSsiJqq46S7PYRE0/edit?usp=sharing"",""ระนอง!J568"")"),0)</f>
        <v>0</v>
      </c>
      <c r="AE85" s="186">
        <f t="shared" ca="1" si="34"/>
        <v>0</v>
      </c>
      <c r="AF85" s="181">
        <f ca="1">IFERROR(__xludf.DUMMYFUNCTION("IMPORTRANGE(""https://docs.google.com/spreadsheets/d/1YiDIE7Klmt8osgdapRqYWNr7iPGFSsiJqq46S7PYRE0/edit?usp=sharing"",""ระนอง!J569"")"),0)</f>
        <v>0</v>
      </c>
      <c r="AG85" s="186">
        <f t="shared" ca="1" si="10"/>
        <v>0</v>
      </c>
      <c r="AH85" s="186">
        <f ca="1">IFERROR(__xludf.DUMMYFUNCTION("IMPORTRANGE(""https://docs.google.com/spreadsheets/d/1YiDIE7Klmt8osgdapRqYWNr7iPGFSsiJqq46S7PYRE0/edit?usp=sharing"",""ระนอง!J570"")"),0)</f>
        <v>0</v>
      </c>
      <c r="AI85" s="261">
        <f ca="1">IFERROR(__xludf.DUMMYFUNCTION("IMPORTRANGE(""https://docs.google.com/spreadsheets/d/1YiDIE7Klmt8osgdapRqYWNr7iPGFSsiJqq46S7PYRE0/edit?usp=sharing"",""ระนอง!J571"")"),0)</f>
        <v>0</v>
      </c>
      <c r="AJ85" s="186">
        <f ca="1">IFERROR(__xludf.DUMMYFUNCTION("IMPORTRANGE(""https://docs.google.com/spreadsheets/d/1YiDIE7Klmt8osgdapRqYWNr7iPGFSsiJqq46S7PYRE0/edit?usp=sharing"",""ระนอง!J572"")"),0)</f>
        <v>0</v>
      </c>
      <c r="AK85" s="261">
        <f ca="1">IFERROR(__xludf.DUMMYFUNCTION("IMPORTRANGE(""https://docs.google.com/spreadsheets/d/1YiDIE7Klmt8osgdapRqYWNr7iPGFSsiJqq46S7PYRE0/edit?usp=sharing"",""ระนอง!J573"")"),0)</f>
        <v>0</v>
      </c>
      <c r="AL85" s="186">
        <f ca="1">IFERROR(__xludf.DUMMYFUNCTION("IMPORTRANGE(""https://docs.google.com/spreadsheets/d/1YiDIE7Klmt8osgdapRqYWNr7iPGFSsiJqq46S7PYRE0/edit?usp=sharing"",""ระนอง!J574"")"),0)</f>
        <v>0</v>
      </c>
      <c r="AM85" s="261">
        <f ca="1">IFERROR(__xludf.DUMMYFUNCTION("IMPORTRANGE(""https://docs.google.com/spreadsheets/d/1YiDIE7Klmt8osgdapRqYWNr7iPGFSsiJqq46S7PYRE0/edit?usp=sharing"",""ระนอง!J575"")"),0)</f>
        <v>0</v>
      </c>
      <c r="AN85" s="181">
        <f ca="1">IFERROR(__xludf.DUMMYFUNCTION("IMPORTRANGE(""https://docs.google.com/spreadsheets/d/1YiDIE7Klmt8osgdapRqYWNr7iPGFSsiJqq46S7PYRE0/edit?usp=sharing"",""ระนอง!I576"")"),0)</f>
        <v>0</v>
      </c>
      <c r="AO85" s="181">
        <f ca="1">IFERROR(__xludf.DUMMYFUNCTION("IMPORTRANGE(""https://docs.google.com/spreadsheets/d/1YiDIE7Klmt8osgdapRqYWNr7iPGFSsiJqq46S7PYRE0/edit?usp=sharing"",""ระนอง!I577"")"),0)</f>
        <v>0</v>
      </c>
      <c r="AP85" s="186">
        <f ca="1">IFERROR(__xludf.DUMMYFUNCTION("IMPORTRANGE(""https://docs.google.com/spreadsheets/d/1YiDIE7Klmt8osgdapRqYWNr7iPGFSsiJqq46S7PYRE0/edit?usp=sharing"",""ระนอง!J576"")"),0)</f>
        <v>0</v>
      </c>
      <c r="AQ85" s="186">
        <f t="shared" ca="1" si="35"/>
        <v>0</v>
      </c>
      <c r="AR85" s="181">
        <f ca="1">IFERROR(__xludf.DUMMYFUNCTION("IMPORTRANGE(""https://docs.google.com/spreadsheets/d/1YiDIE7Klmt8osgdapRqYWNr7iPGFSsiJqq46S7PYRE0/edit?usp=sharing"",""ระนอง!J577"")"),0)</f>
        <v>0</v>
      </c>
      <c r="AS85" s="186">
        <f t="shared" ca="1" si="13"/>
        <v>0</v>
      </c>
      <c r="AT85" s="186">
        <f ca="1">IFERROR(__xludf.DUMMYFUNCTION("IMPORTRANGE(""https://docs.google.com/spreadsheets/d/1YiDIE7Klmt8osgdapRqYWNr7iPGFSsiJqq46S7PYRE0/edit?usp=sharing"",""ระนอง!J578"")"),0)</f>
        <v>0</v>
      </c>
      <c r="AU85" s="261">
        <f ca="1">IFERROR(__xludf.DUMMYFUNCTION("IMPORTRANGE(""https://docs.google.com/spreadsheets/d/1YiDIE7Klmt8osgdapRqYWNr7iPGFSsiJqq46S7PYRE0/edit?usp=sharing"",""ระนอง!J579"")"),0)</f>
        <v>0</v>
      </c>
      <c r="AV85" s="186">
        <f ca="1">IFERROR(__xludf.DUMMYFUNCTION("IMPORTRANGE(""https://docs.google.com/spreadsheets/d/1YiDIE7Klmt8osgdapRqYWNr7iPGFSsiJqq46S7PYRE0/edit?usp=sharing"",""ระนอง!J580"")"),0)</f>
        <v>0</v>
      </c>
      <c r="AW85" s="261">
        <f ca="1">IFERROR(__xludf.DUMMYFUNCTION("IMPORTRANGE(""https://docs.google.com/spreadsheets/d/1YiDIE7Klmt8osgdapRqYWNr7iPGFSsiJqq46S7PYRE0/edit?usp=sharing"",""ระนอง!J581"")"),0)</f>
        <v>0</v>
      </c>
      <c r="AX85" s="186">
        <f ca="1">IFERROR(__xludf.DUMMYFUNCTION("IMPORTRANGE(""https://docs.google.com/spreadsheets/d/1YiDIE7Klmt8osgdapRqYWNr7iPGFSsiJqq46S7PYRE0/edit?usp=sharing"",""ระนอง!J582"")"),0)</f>
        <v>0</v>
      </c>
      <c r="AY85" s="261">
        <f ca="1">IFERROR(__xludf.DUMMYFUNCTION("IMPORTRANGE(""https://docs.google.com/spreadsheets/d/1YiDIE7Klmt8osgdapRqYWNr7iPGFSsiJqq46S7PYRE0/edit?usp=sharing"",""ระนอง!J583"")"),0)</f>
        <v>0</v>
      </c>
      <c r="AZ85" s="262">
        <f ca="1">IFERROR(__xludf.DUMMYFUNCTION("IMPORTRANGE(""https://docs.google.com/spreadsheets/d/1YiDIE7Klmt8osgdapRqYWNr7iPGFSsiJqq46S7PYRE0/edit?usp=sharing"",""ระนอง!J584"")"),0)</f>
        <v>0</v>
      </c>
      <c r="BA85" s="261">
        <f ca="1">IFERROR(__xludf.DUMMYFUNCTION("IMPORTRANGE(""https://docs.google.com/spreadsheets/d/1YiDIE7Klmt8osgdapRqYWNr7iPGFSsiJqq46S7PYRE0/edit?usp=sharing"",""ระนอง!J585"")"),0)</f>
        <v>0</v>
      </c>
      <c r="BB85" s="262">
        <f ca="1">IFERROR(__xludf.DUMMYFUNCTION("IMPORTRANGE(""https://docs.google.com/spreadsheets/d/1YiDIE7Klmt8osgdapRqYWNr7iPGFSsiJqq46S7PYRE0/edit?usp=sharing"",""ระนอง!J586"")"),0)</f>
        <v>0</v>
      </c>
      <c r="BC85" s="261">
        <f ca="1">IFERROR(__xludf.DUMMYFUNCTION("IMPORTRANGE(""https://docs.google.com/spreadsheets/d/1YiDIE7Klmt8osgdapRqYWNr7iPGFSsiJqq46S7PYRE0/edit?usp=sharing"",""ระนอง!J587"")"),0)</f>
        <v>0</v>
      </c>
      <c r="BD85" s="186">
        <f ca="1">IFERROR(__xludf.DUMMYFUNCTION("IMPORTRANGE(""https://docs.google.com/spreadsheets/d/1YiDIE7Klmt8osgdapRqYWNr7iPGFSsiJqq46S7PYRE0/edit?usp=sharing"",""ระนอง!J588"")"),0)</f>
        <v>0</v>
      </c>
      <c r="BE85" s="261">
        <f ca="1">IFERROR(__xludf.DUMMYFUNCTION("IMPORTRANGE(""https://docs.google.com/spreadsheets/d/1YiDIE7Klmt8osgdapRqYWNr7iPGFSsiJqq46S7PYRE0/edit?usp=sharing"",""ระนอง!J589"")"),0)</f>
        <v>0</v>
      </c>
      <c r="BF85" s="186">
        <f ca="1">IFERROR(__xludf.DUMMYFUNCTION("IMPORTRANGE(""https://docs.google.com/spreadsheets/d/1YiDIE7Klmt8osgdapRqYWNr7iPGFSsiJqq46S7PYRE0/edit?usp=sharing"",""ระนอง!J590"")"),0)</f>
        <v>0</v>
      </c>
      <c r="BG85" s="261">
        <f ca="1">IFERROR(__xludf.DUMMYFUNCTION("IMPORTRANGE(""https://docs.google.com/spreadsheets/d/1YiDIE7Klmt8osgdapRqYWNr7iPGFSsiJqq46S7PYRE0/edit?usp=sharing"",""ระนอง!J591"")"),0)</f>
        <v>0</v>
      </c>
      <c r="BH85" s="181">
        <f ca="1">IFERROR(__xludf.DUMMYFUNCTION("IMPORTRANGE(""https://docs.google.com/spreadsheets/d/1YiDIE7Klmt8osgdapRqYWNr7iPGFSsiJqq46S7PYRE0/edit?usp=sharing"",""ระนอง!I593"")"),5413.65)</f>
        <v>5413.65</v>
      </c>
      <c r="BI85" s="181">
        <f ca="1">IFERROR(__xludf.DUMMYFUNCTION("IMPORTRANGE(""https://docs.google.com/spreadsheets/d/1YiDIE7Klmt8osgdapRqYWNr7iPGFSsiJqq46S7PYRE0/edit?usp=sharing"",""ระนอง!I594"")"),507)</f>
        <v>507</v>
      </c>
      <c r="BJ85" s="186">
        <f ca="1">IFERROR(__xludf.DUMMYFUNCTION("IMPORTRANGE(""https://docs.google.com/spreadsheets/d/1YiDIE7Klmt8osgdapRqYWNr7iPGFSsiJqq46S7PYRE0/edit?usp=sharing"",""ระนอง!J593"")"),0)</f>
        <v>0</v>
      </c>
      <c r="BK85" s="186">
        <f t="shared" ca="1" si="36"/>
        <v>0</v>
      </c>
      <c r="BL85" s="181">
        <f ca="1">IFERROR(__xludf.DUMMYFUNCTION("IMPORTRANGE(""https://docs.google.com/spreadsheets/d/1YiDIE7Klmt8osgdapRqYWNr7iPGFSsiJqq46S7PYRE0/edit?usp=sharing"",""ระนอง!J594"")"),0)</f>
        <v>0</v>
      </c>
      <c r="BM85" s="186">
        <f t="shared" ca="1" si="16"/>
        <v>0</v>
      </c>
      <c r="BN85" s="186">
        <f ca="1">IFERROR(__xludf.DUMMYFUNCTION("IMPORTRANGE(""https://docs.google.com/spreadsheets/d/1YiDIE7Klmt8osgdapRqYWNr7iPGFSsiJqq46S7PYRE0/edit?usp=sharing"",""ระนอง!J595"")"),0)</f>
        <v>0</v>
      </c>
      <c r="BO85" s="261">
        <f ca="1">IFERROR(__xludf.DUMMYFUNCTION("IMPORTRANGE(""https://docs.google.com/spreadsheets/d/1YiDIE7Klmt8osgdapRqYWNr7iPGFSsiJqq46S7PYRE0/edit?usp=sharing"",""ระนอง!J596"")"),0)</f>
        <v>0</v>
      </c>
      <c r="BP85" s="186">
        <f ca="1">IFERROR(__xludf.DUMMYFUNCTION("IMPORTRANGE(""https://docs.google.com/spreadsheets/d/1YiDIE7Klmt8osgdapRqYWNr7iPGFSsiJqq46S7PYRE0/edit?usp=sharing"",""ระนอง!J597"")"),0)</f>
        <v>0</v>
      </c>
      <c r="BQ85" s="261">
        <f ca="1">IFERROR(__xludf.DUMMYFUNCTION("IMPORTRANGE(""https://docs.google.com/spreadsheets/d/1YiDIE7Klmt8osgdapRqYWNr7iPGFSsiJqq46S7PYRE0/edit?usp=sharing"",""ระนอง!J598"")"),0)</f>
        <v>0</v>
      </c>
      <c r="BR85" s="186">
        <f ca="1">IFERROR(__xludf.DUMMYFUNCTION("IMPORTRANGE(""https://docs.google.com/spreadsheets/d/1YiDIE7Klmt8osgdapRqYWNr7iPGFSsiJqq46S7PYRE0/edit?usp=sharing"",""ระนอง!J599"")"),0)</f>
        <v>0</v>
      </c>
      <c r="BS85" s="261">
        <f ca="1">IFERROR(__xludf.DUMMYFUNCTION("IMPORTRANGE(""https://docs.google.com/spreadsheets/d/1YiDIE7Klmt8osgdapRqYWNr7iPGFSsiJqq46S7PYRE0/edit?usp=sharing"",""ระนอง!J600"")"),0)</f>
        <v>0</v>
      </c>
      <c r="BT85" s="262">
        <f ca="1">IFERROR(__xludf.DUMMYFUNCTION("IMPORTRANGE(""https://docs.google.com/spreadsheets/d/1YiDIE7Klmt8osgdapRqYWNr7iPGFSsiJqq46S7PYRE0/edit?usp=sharing"",""ระนอง!J601"")"),0)</f>
        <v>0</v>
      </c>
      <c r="BU85" s="261">
        <f ca="1">IFERROR(__xludf.DUMMYFUNCTION("IMPORTRANGE(""https://docs.google.com/spreadsheets/d/1YiDIE7Klmt8osgdapRqYWNr7iPGFSsiJqq46S7PYRE0/edit?usp=sharing"",""ระนอง!J602"")"),0)</f>
        <v>0</v>
      </c>
      <c r="BV85" s="186">
        <f ca="1">IFERROR(__xludf.DUMMYFUNCTION("IMPORTRANGE(""https://docs.google.com/spreadsheets/d/1YiDIE7Klmt8osgdapRqYWNr7iPGFSsiJqq46S7PYRE0/edit?usp=sharing"",""ระนอง!J603"")"),0)</f>
        <v>0</v>
      </c>
      <c r="BW85" s="261">
        <f ca="1">IFERROR(__xludf.DUMMYFUNCTION("IMPORTRANGE(""https://docs.google.com/spreadsheets/d/1YiDIE7Klmt8osgdapRqYWNr7iPGFSsiJqq46S7PYRE0/edit?usp=sharing"",""ระนอง!J604"")"),0)</f>
        <v>0</v>
      </c>
      <c r="BX85" s="186">
        <f ca="1">IFERROR(__xludf.DUMMYFUNCTION("IMPORTRANGE(""https://docs.google.com/spreadsheets/d/1YiDIE7Klmt8osgdapRqYWNr7iPGFSsiJqq46S7PYRE0/edit?usp=sharing"",""ระนอง!J605"")"),0)</f>
        <v>0</v>
      </c>
      <c r="BY85" s="261">
        <f ca="1">IFERROR(__xludf.DUMMYFUNCTION("IMPORTRANGE(""https://docs.google.com/spreadsheets/d/1YiDIE7Klmt8osgdapRqYWNr7iPGFSsiJqq46S7PYRE0/edit?usp=sharing"",""ระนอง!J606"")"),0)</f>
        <v>0</v>
      </c>
      <c r="BZ85" s="186">
        <f ca="1">IFERROR(__xludf.DUMMYFUNCTION("IMPORTRANGE(""https://docs.google.com/spreadsheets/d/1YiDIE7Klmt8osgdapRqYWNr7iPGFSsiJqq46S7PYRE0/edit?usp=sharing"",""ระนอง!J607"")"),0)</f>
        <v>0</v>
      </c>
      <c r="CA85" s="261">
        <f ca="1">IFERROR(__xludf.DUMMYFUNCTION("IMPORTRANGE(""https://docs.google.com/spreadsheets/d/1YiDIE7Klmt8osgdapRqYWNr7iPGFSsiJqq46S7PYRE0/edit?usp=sharing"",""ระนอง!J608"")"),0)</f>
        <v>0</v>
      </c>
      <c r="CB85" s="186">
        <f ca="1">IFERROR(__xludf.DUMMYFUNCTION("IMPORTRANGE(""https://docs.google.com/spreadsheets/d/1YiDIE7Klmt8osgdapRqYWNr7iPGFSsiJqq46S7PYRE0/edit?usp=sharing"",""ระนอง!J609"")"),0)</f>
        <v>0</v>
      </c>
      <c r="CC85" s="261">
        <f ca="1">IFERROR(__xludf.DUMMYFUNCTION("IMPORTRANGE(""https://docs.google.com/spreadsheets/d/1YiDIE7Klmt8osgdapRqYWNr7iPGFSsiJqq46S7PYRE0/edit?usp=sharing"",""ระนอง!J610"")"),0)</f>
        <v>0</v>
      </c>
      <c r="CD85" s="261">
        <f ca="1">IFERROR(__xludf.DUMMYFUNCTION("IMPORTRANGE(""https://docs.google.com/spreadsheets/d/1YiDIE7Klmt8osgdapRqYWNr7iPGFSsiJqq46S7PYRE0/edit?usp=sharing"",""ระนอง!I612"")"),0)</f>
        <v>0</v>
      </c>
      <c r="CE85" s="261">
        <f ca="1">IFERROR(__xludf.DUMMYFUNCTION("IMPORTRANGE(""https://docs.google.com/spreadsheets/d/1YiDIE7Klmt8osgdapRqYWNr7iPGFSsiJqq46S7PYRE0/edit?usp=sharing"",""ระนอง!I594"")"),507)</f>
        <v>507</v>
      </c>
      <c r="CF85" s="262">
        <f ca="1">IFERROR(__xludf.DUMMYFUNCTION("IMPORTRANGE(""https://docs.google.com/spreadsheets/d/1YiDIE7Klmt8osgdapRqYWNr7iPGFSsiJqq46S7PYRE0/edit?usp=sharing"",""ระนอง!J612"")"),0)</f>
        <v>0</v>
      </c>
      <c r="CG85" s="262">
        <f t="shared" ca="1" si="37"/>
        <v>0</v>
      </c>
      <c r="CH85" s="261">
        <f ca="1">IFERROR(__xludf.DUMMYFUNCTION("IMPORTRANGE(""https://docs.google.com/spreadsheets/d/1YiDIE7Klmt8osgdapRqYWNr7iPGFSsiJqq46S7PYRE0/edit?usp=sharing"",""ระนอง!J613"")"),0)</f>
        <v>0</v>
      </c>
      <c r="CI85" s="262">
        <f t="shared" ca="1" si="19"/>
        <v>0</v>
      </c>
      <c r="CJ85" s="186">
        <f ca="1">IFERROR(__xludf.DUMMYFUNCTION("IMPORTRANGE(""https://docs.google.com/spreadsheets/d/1YiDIE7Klmt8osgdapRqYWNr7iPGFSsiJqq46S7PYRE0/edit?usp=sharing"",""ระนอง!J614"")"),0)</f>
        <v>0</v>
      </c>
      <c r="CK85" s="261">
        <f ca="1">IFERROR(__xludf.DUMMYFUNCTION("IMPORTRANGE(""https://docs.google.com/spreadsheets/d/1YiDIE7Klmt8osgdapRqYWNr7iPGFSsiJqq46S7PYRE0/edit?usp=sharing"",""ระนอง!J615"")"),0)</f>
        <v>0</v>
      </c>
      <c r="CL85" s="186">
        <f ca="1">IFERROR(__xludf.DUMMYFUNCTION("IMPORTRANGE(""https://docs.google.com/spreadsheets/d/1YiDIE7Klmt8osgdapRqYWNr7iPGFSsiJqq46S7PYRE0/edit?usp=sharing"",""ระนอง!J616"")"),0)</f>
        <v>0</v>
      </c>
      <c r="CM85" s="261">
        <f ca="1">IFERROR(__xludf.DUMMYFUNCTION("IMPORTRANGE(""https://docs.google.com/spreadsheets/d/1YiDIE7Klmt8osgdapRqYWNr7iPGFSsiJqq46S7PYRE0/edit?usp=sharing"",""ระนอง!J617"")"),0)</f>
        <v>0</v>
      </c>
      <c r="CN85" s="261">
        <f ca="1">IFERROR(__xludf.DUMMYFUNCTION("IMPORTRANGE(""https://docs.google.com/spreadsheets/d/1YiDIE7Klmt8osgdapRqYWNr7iPGFSsiJqq46S7PYRE0/edit?usp=sharing"",""ระนอง!I620"")"),0)</f>
        <v>0</v>
      </c>
      <c r="CO85" s="261">
        <f ca="1">IFERROR(__xludf.DUMMYFUNCTION("IMPORTRANGE(""https://docs.google.com/spreadsheets/d/1YiDIE7Klmt8osgdapRqYWNr7iPGFSsiJqq46S7PYRE0/edit?usp=sharing"",""ระนอง!I621"")"),0)</f>
        <v>0</v>
      </c>
      <c r="CP85" s="262">
        <f ca="1">IFERROR(__xludf.DUMMYFUNCTION("IMPORTRANGE(""https://docs.google.com/spreadsheets/d/1YiDIE7Klmt8osgdapRqYWNr7iPGFSsiJqq46S7PYRE0/edit?usp=sharing"",""ระนอง!J620"")"),0)</f>
        <v>0</v>
      </c>
      <c r="CQ85" s="262">
        <f t="shared" ca="1" si="38"/>
        <v>0</v>
      </c>
      <c r="CR85" s="261">
        <f ca="1">IFERROR(__xludf.DUMMYFUNCTION("IMPORTRANGE(""https://docs.google.com/spreadsheets/d/1YiDIE7Klmt8osgdapRqYWNr7iPGFSsiJqq46S7PYRE0/edit?usp=sharing"",""ระนอง!J621"")"),0)</f>
        <v>0</v>
      </c>
      <c r="CS85" s="262">
        <f t="shared" ca="1" si="22"/>
        <v>0</v>
      </c>
      <c r="CT85" s="186">
        <f ca="1">IFERROR(__xludf.DUMMYFUNCTION("IMPORTRANGE(""https://docs.google.com/spreadsheets/d/1YiDIE7Klmt8osgdapRqYWNr7iPGFSsiJqq46S7PYRE0/edit?usp=sharing"",""ระนอง!J622"")"),0)</f>
        <v>0</v>
      </c>
      <c r="CU85" s="261">
        <f ca="1">IFERROR(__xludf.DUMMYFUNCTION("IMPORTRANGE(""https://docs.google.com/spreadsheets/d/1YiDIE7Klmt8osgdapRqYWNr7iPGFSsiJqq46S7PYRE0/edit?usp=sharing"",""ระนอง!J623"")"),0)</f>
        <v>0</v>
      </c>
      <c r="CV85" s="186">
        <f ca="1">IFERROR(__xludf.DUMMYFUNCTION("IMPORTRANGE(""https://docs.google.com/spreadsheets/d/1YiDIE7Klmt8osgdapRqYWNr7iPGFSsiJqq46S7PYRE0/edit?usp=sharing"",""ระนอง!J624"")"),0)</f>
        <v>0</v>
      </c>
      <c r="CW85" s="261">
        <f ca="1">IFERROR(__xludf.DUMMYFUNCTION("IMPORTRANGE(""https://docs.google.com/spreadsheets/d/1YiDIE7Klmt8osgdapRqYWNr7iPGFSsiJqq46S7PYRE0/edit?usp=sharing"",""ระนอง!J625"")"),0)</f>
        <v>0</v>
      </c>
      <c r="CX85" s="186">
        <f ca="1">IFERROR(__xludf.DUMMYFUNCTION("IMPORTRANGE(""https://docs.google.com/spreadsheets/d/1YiDIE7Klmt8osgdapRqYWNr7iPGFSsiJqq46S7PYRE0/edit?usp=sharing"",""ระนอง!J626"")"),0)</f>
        <v>0</v>
      </c>
      <c r="CY85" s="261">
        <f ca="1">IFERROR(__xludf.DUMMYFUNCTION("IMPORTRANGE(""https://docs.google.com/spreadsheets/d/1YiDIE7Klmt8osgdapRqYWNr7iPGFSsiJqq46S7PYRE0/edit?usp=sharing"",""ระนอง!J627"")"),0)</f>
        <v>0</v>
      </c>
    </row>
    <row r="86" spans="1:103" ht="24" customHeight="1" x14ac:dyDescent="0.3">
      <c r="A86" s="178">
        <v>12</v>
      </c>
      <c r="B86" s="179" t="s">
        <v>103</v>
      </c>
      <c r="C86" s="180">
        <f t="shared" ca="1" si="82"/>
        <v>388395</v>
      </c>
      <c r="D86" s="181">
        <f ca="1">IFERROR(__xludf.DUMMYFUNCTION("IMPORTRANGE(""https://docs.google.com/spreadsheets/d/16o_4B-V7AWw_6E93bSpXj_XxVv1oVQctk-B6z1dNEWU/edit?usp=sharing"",""สงขลา!L549"")"),388395)</f>
        <v>388395</v>
      </c>
      <c r="E86" s="187">
        <f ca="1">IFERROR(__xludf.DUMMYFUNCTION("IMPORTRANGE(""https://docs.google.com/spreadsheets/d/16o_4B-V7AWw_6E93bSpXj_XxVv1oVQctk-B6z1dNEWU/edit?usp=sharing"",""สงขลา!L557"")"),0)</f>
        <v>0</v>
      </c>
      <c r="F86" s="182">
        <f t="shared" ca="1" si="1"/>
        <v>107866</v>
      </c>
      <c r="G86" s="183">
        <f t="shared" ca="1" si="2"/>
        <v>27.772242176135119</v>
      </c>
      <c r="H86" s="184">
        <f t="shared" ca="1" si="83"/>
        <v>107866</v>
      </c>
      <c r="I86" s="187">
        <f ca="1">IFERROR(__xludf.DUMMYFUNCTION("IMPORTRANGE(""https://docs.google.com/spreadsheets/d/16o_4B-V7AWw_6E93bSpXj_XxVv1oVQctk-B6z1dNEWU/edit?usp=sharing"",""สงขลา!N550"")"),0)</f>
        <v>0</v>
      </c>
      <c r="J86" s="187">
        <f ca="1">IFERROR(__xludf.DUMMYFUNCTION("IMPORTRANGE(""https://docs.google.com/spreadsheets/d/16o_4B-V7AWw_6E93bSpXj_XxVv1oVQctk-B6z1dNEWU/edit?usp=sharing"",""สงขลา!N551"")"),0)</f>
        <v>0</v>
      </c>
      <c r="K86" s="187">
        <f ca="1">IFERROR(__xludf.DUMMYFUNCTION("IMPORTRANGE(""https://docs.google.com/spreadsheets/d/16o_4B-V7AWw_6E93bSpXj_XxVv1oVQctk-B6z1dNEWU/edit?usp=sharing"",""สงขลา!N552"")"),52000)</f>
        <v>52000</v>
      </c>
      <c r="L86" s="187">
        <f ca="1">IFERROR(__xludf.DUMMYFUNCTION("IMPORTRANGE(""https://docs.google.com/spreadsheets/d/16o_4B-V7AWw_6E93bSpXj_XxVv1oVQctk-B6z1dNEWU/edit?usp=sharing"",""สงขลา!N553"")"),55866)</f>
        <v>55866</v>
      </c>
      <c r="M86" s="187">
        <f ca="1">IFERROR(__xludf.DUMMYFUNCTION("IMPORTRANGE(""https://docs.google.com/spreadsheets/d/16o_4B-V7AWw_6E93bSpXj_XxVv1oVQctk-B6z1dNEWU/edit?usp=sharing"",""สงขลา!N554"")"),0)</f>
        <v>0</v>
      </c>
      <c r="N86" s="185">
        <f ca="1">IFERROR(__xludf.DUMMYFUNCTION("IMPORTRANGE(""https://docs.google.com/spreadsheets/d/16o_4B-V7AWw_6E93bSpXj_XxVv1oVQctk-B6z1dNEWU/edit?usp=sharing"",""สงขลา!N557"")"),0)</f>
        <v>0</v>
      </c>
      <c r="O86" s="185">
        <f t="shared" ca="1" si="41"/>
        <v>0</v>
      </c>
      <c r="P86" s="181">
        <f ca="1">IFERROR(__xludf.DUMMYFUNCTION("IMPORTRANGE(""https://docs.google.com/spreadsheets/d/16o_4B-V7AWw_6E93bSpXj_XxVv1oVQctk-B6z1dNEWU/edit?usp=sharing"",""สงขลา!I560"")"),32464)</f>
        <v>32464</v>
      </c>
      <c r="Q86" s="181">
        <f ca="1">IFERROR(__xludf.DUMMYFUNCTION("IMPORTRANGE(""https://docs.google.com/spreadsheets/d/16o_4B-V7AWw_6E93bSpXj_XxVv1oVQctk-B6z1dNEWU/edit?usp=sharing"",""สงขลา!I561"")"),4075)</f>
        <v>4075</v>
      </c>
      <c r="R86" s="186">
        <f ca="1">IFERROR(__xludf.DUMMYFUNCTION("IMPORTRANGE(""https://docs.google.com/spreadsheets/d/16o_4B-V7AWw_6E93bSpXj_XxVv1oVQctk-B6z1dNEWU/edit?usp=sharing"",""สงขลา!J560"")"),32464.06)</f>
        <v>32464.06</v>
      </c>
      <c r="S86" s="186">
        <f t="shared" ca="1" si="33"/>
        <v>100.00018482010843</v>
      </c>
      <c r="T86" s="181">
        <f ca="1">IFERROR(__xludf.DUMMYFUNCTION("IMPORTRANGE(""https://docs.google.com/spreadsheets/d/16o_4B-V7AWw_6E93bSpXj_XxVv1oVQctk-B6z1dNEWU/edit?usp=sharing"",""สงขลา!J561"")"),4075)</f>
        <v>4075</v>
      </c>
      <c r="U86" s="186">
        <f t="shared" ca="1" si="7"/>
        <v>100</v>
      </c>
      <c r="V86" s="186">
        <f ca="1">IFERROR(__xludf.DUMMYFUNCTION("IMPORTRANGE(""https://docs.google.com/spreadsheets/d/16o_4B-V7AWw_6E93bSpXj_XxVv1oVQctk-B6z1dNEWU/edit?usp=sharing"",""สงขลา!J562"")"),29538.06)</f>
        <v>29538.06</v>
      </c>
      <c r="W86" s="261">
        <f ca="1">IFERROR(__xludf.DUMMYFUNCTION("IMPORTRANGE(""https://docs.google.com/spreadsheets/d/16o_4B-V7AWw_6E93bSpXj_XxVv1oVQctk-B6z1dNEWU/edit?usp=sharing"",""สงขลา!J563"")"),3715)</f>
        <v>3715</v>
      </c>
      <c r="X86" s="186">
        <f ca="1">IFERROR(__xludf.DUMMYFUNCTION("IMPORTRANGE(""https://docs.google.com/spreadsheets/d/16o_4B-V7AWw_6E93bSpXj_XxVv1oVQctk-B6z1dNEWU/edit?usp=sharing"",""สงขลา!J564"")"),2117)</f>
        <v>2117</v>
      </c>
      <c r="Y86" s="261">
        <f ca="1">IFERROR(__xludf.DUMMYFUNCTION("IMPORTRANGE(""https://docs.google.com/spreadsheets/d/16o_4B-V7AWw_6E93bSpXj_XxVv1oVQctk-B6z1dNEWU/edit?usp=sharing"",""สงขลา!J565"")"),255)</f>
        <v>255</v>
      </c>
      <c r="Z86" s="186">
        <f ca="1">IFERROR(__xludf.DUMMYFUNCTION("IMPORTRANGE(""https://docs.google.com/spreadsheets/d/16o_4B-V7AWw_6E93bSpXj_XxVv1oVQctk-B6z1dNEWU/edit?usp=sharing"",""สงขลา!J566"")"),809)</f>
        <v>809</v>
      </c>
      <c r="AA86" s="261">
        <f ca="1">IFERROR(__xludf.DUMMYFUNCTION("IMPORTRANGE(""https://docs.google.com/spreadsheets/d/16o_4B-V7AWw_6E93bSpXj_XxVv1oVQctk-B6z1dNEWU/edit?usp=sharing"",""สงขลา!J567"")"),105)</f>
        <v>105</v>
      </c>
      <c r="AB86" s="181">
        <f ca="1">IFERROR(__xludf.DUMMYFUNCTION("IMPORTRANGE(""https://docs.google.com/spreadsheets/d/16o_4B-V7AWw_6E93bSpXj_XxVv1oVQctk-B6z1dNEWU/edit?usp=sharing"",""สงขลา!I568"")"),32464)</f>
        <v>32464</v>
      </c>
      <c r="AC86" s="181">
        <f ca="1">IFERROR(__xludf.DUMMYFUNCTION("IMPORTRANGE(""https://docs.google.com/spreadsheets/d/16o_4B-V7AWw_6E93bSpXj_XxVv1oVQctk-B6z1dNEWU/edit?usp=sharing"",""สงขลา!I569"")"),4075)</f>
        <v>4075</v>
      </c>
      <c r="AD86" s="186">
        <f ca="1">IFERROR(__xludf.DUMMYFUNCTION("IMPORTRANGE(""https://docs.google.com/spreadsheets/d/16o_4B-V7AWw_6E93bSpXj_XxVv1oVQctk-B6z1dNEWU/edit?usp=sharing"",""สงขลา!J568"")"),7102)</f>
        <v>7102</v>
      </c>
      <c r="AE86" s="186">
        <f t="shared" ca="1" si="34"/>
        <v>21.87654016757023</v>
      </c>
      <c r="AF86" s="181">
        <f ca="1">IFERROR(__xludf.DUMMYFUNCTION("IMPORTRANGE(""https://docs.google.com/spreadsheets/d/16o_4B-V7AWw_6E93bSpXj_XxVv1oVQctk-B6z1dNEWU/edit?usp=sharing"",""สงขลา!J569"")"),1036)</f>
        <v>1036</v>
      </c>
      <c r="AG86" s="186">
        <f t="shared" ca="1" si="10"/>
        <v>25.423312883435582</v>
      </c>
      <c r="AH86" s="186">
        <f ca="1">IFERROR(__xludf.DUMMYFUNCTION("IMPORTRANGE(""https://docs.google.com/spreadsheets/d/16o_4B-V7AWw_6E93bSpXj_XxVv1oVQctk-B6z1dNEWU/edit?usp=sharing"",""สงขลา!J570"")"),6863)</f>
        <v>6863</v>
      </c>
      <c r="AI86" s="261">
        <f ca="1">IFERROR(__xludf.DUMMYFUNCTION("IMPORTRANGE(""https://docs.google.com/spreadsheets/d/16o_4B-V7AWw_6E93bSpXj_XxVv1oVQctk-B6z1dNEWU/edit?usp=sharing"",""สงขลา!J571"")"),993)</f>
        <v>993</v>
      </c>
      <c r="AJ86" s="186">
        <f ca="1">IFERROR(__xludf.DUMMYFUNCTION("IMPORTRANGE(""https://docs.google.com/spreadsheets/d/16o_4B-V7AWw_6E93bSpXj_XxVv1oVQctk-B6z1dNEWU/edit?usp=sharing"",""สงขลา!J572"")"),112)</f>
        <v>112</v>
      </c>
      <c r="AK86" s="261">
        <f ca="1">IFERROR(__xludf.DUMMYFUNCTION("IMPORTRANGE(""https://docs.google.com/spreadsheets/d/16o_4B-V7AWw_6E93bSpXj_XxVv1oVQctk-B6z1dNEWU/edit?usp=sharing"",""สงขลา!J573"")"),23)</f>
        <v>23</v>
      </c>
      <c r="AL86" s="186">
        <f ca="1">IFERROR(__xludf.DUMMYFUNCTION("IMPORTRANGE(""https://docs.google.com/spreadsheets/d/16o_4B-V7AWw_6E93bSpXj_XxVv1oVQctk-B6z1dNEWU/edit?usp=sharing"",""สงขลา!J574"")"),127)</f>
        <v>127</v>
      </c>
      <c r="AM86" s="261">
        <f ca="1">IFERROR(__xludf.DUMMYFUNCTION("IMPORTRANGE(""https://docs.google.com/spreadsheets/d/16o_4B-V7AWw_6E93bSpXj_XxVv1oVQctk-B6z1dNEWU/edit?usp=sharing"",""สงขลา!J575"")"),20)</f>
        <v>20</v>
      </c>
      <c r="AN86" s="181">
        <f ca="1">IFERROR(__xludf.DUMMYFUNCTION("IMPORTRANGE(""https://docs.google.com/spreadsheets/d/16o_4B-V7AWw_6E93bSpXj_XxVv1oVQctk-B6z1dNEWU/edit?usp=sharing"",""สงขลา!I576"")"),32464)</f>
        <v>32464</v>
      </c>
      <c r="AO86" s="181">
        <f ca="1">IFERROR(__xludf.DUMMYFUNCTION("IMPORTRANGE(""https://docs.google.com/spreadsheets/d/16o_4B-V7AWw_6E93bSpXj_XxVv1oVQctk-B6z1dNEWU/edit?usp=sharing"",""สงขลา!I577"")"),4075)</f>
        <v>4075</v>
      </c>
      <c r="AP86" s="186">
        <f ca="1">IFERROR(__xludf.DUMMYFUNCTION("IMPORTRANGE(""https://docs.google.com/spreadsheets/d/16o_4B-V7AWw_6E93bSpXj_XxVv1oVQctk-B6z1dNEWU/edit?usp=sharing"",""สงขลา!J576"")"),0)</f>
        <v>0</v>
      </c>
      <c r="AQ86" s="186">
        <f t="shared" ca="1" si="35"/>
        <v>0</v>
      </c>
      <c r="AR86" s="181">
        <f ca="1">IFERROR(__xludf.DUMMYFUNCTION("IMPORTRANGE(""https://docs.google.com/spreadsheets/d/16o_4B-V7AWw_6E93bSpXj_XxVv1oVQctk-B6z1dNEWU/edit?usp=sharing"",""สงขลา!J577"")"),0)</f>
        <v>0</v>
      </c>
      <c r="AS86" s="186">
        <f t="shared" ca="1" si="13"/>
        <v>0</v>
      </c>
      <c r="AT86" s="186">
        <f ca="1">IFERROR(__xludf.DUMMYFUNCTION("IMPORTRANGE(""https://docs.google.com/spreadsheets/d/16o_4B-V7AWw_6E93bSpXj_XxVv1oVQctk-B6z1dNEWU/edit?usp=sharing"",""สงขลา!J578"")"),0)</f>
        <v>0</v>
      </c>
      <c r="AU86" s="261">
        <f ca="1">IFERROR(__xludf.DUMMYFUNCTION("IMPORTRANGE(""https://docs.google.com/spreadsheets/d/16o_4B-V7AWw_6E93bSpXj_XxVv1oVQctk-B6z1dNEWU/edit?usp=sharing"",""สงขลา!J579"")"),0)</f>
        <v>0</v>
      </c>
      <c r="AV86" s="186">
        <f ca="1">IFERROR(__xludf.DUMMYFUNCTION("IMPORTRANGE(""https://docs.google.com/spreadsheets/d/16o_4B-V7AWw_6E93bSpXj_XxVv1oVQctk-B6z1dNEWU/edit?usp=sharing"",""สงขลา!J580"")"),0)</f>
        <v>0</v>
      </c>
      <c r="AW86" s="261">
        <f ca="1">IFERROR(__xludf.DUMMYFUNCTION("IMPORTRANGE(""https://docs.google.com/spreadsheets/d/16o_4B-V7AWw_6E93bSpXj_XxVv1oVQctk-B6z1dNEWU/edit?usp=sharing"",""สงขลา!J581"")"),0)</f>
        <v>0</v>
      </c>
      <c r="AX86" s="186">
        <f ca="1">IFERROR(__xludf.DUMMYFUNCTION("IMPORTRANGE(""https://docs.google.com/spreadsheets/d/16o_4B-V7AWw_6E93bSpXj_XxVv1oVQctk-B6z1dNEWU/edit?usp=sharing"",""สงขลา!J582"")"),0)</f>
        <v>0</v>
      </c>
      <c r="AY86" s="261">
        <f ca="1">IFERROR(__xludf.DUMMYFUNCTION("IMPORTRANGE(""https://docs.google.com/spreadsheets/d/16o_4B-V7AWw_6E93bSpXj_XxVv1oVQctk-B6z1dNEWU/edit?usp=sharing"",""สงขลา!J583"")"),0)</f>
        <v>0</v>
      </c>
      <c r="AZ86" s="262">
        <f ca="1">IFERROR(__xludf.DUMMYFUNCTION("IMPORTRANGE(""https://docs.google.com/spreadsheets/d/16o_4B-V7AWw_6E93bSpXj_XxVv1oVQctk-B6z1dNEWU/edit?usp=sharing"",""สงขลา!J584"")"),0)</f>
        <v>0</v>
      </c>
      <c r="BA86" s="261">
        <f ca="1">IFERROR(__xludf.DUMMYFUNCTION("IMPORTRANGE(""https://docs.google.com/spreadsheets/d/16o_4B-V7AWw_6E93bSpXj_XxVv1oVQctk-B6z1dNEWU/edit?usp=sharing"",""สงขลา!J585"")"),0)</f>
        <v>0</v>
      </c>
      <c r="BB86" s="262">
        <f ca="1">IFERROR(__xludf.DUMMYFUNCTION("IMPORTRANGE(""https://docs.google.com/spreadsheets/d/16o_4B-V7AWw_6E93bSpXj_XxVv1oVQctk-B6z1dNEWU/edit?usp=sharing"",""สงขลา!J586"")"),0)</f>
        <v>0</v>
      </c>
      <c r="BC86" s="261">
        <f ca="1">IFERROR(__xludf.DUMMYFUNCTION("IMPORTRANGE(""https://docs.google.com/spreadsheets/d/16o_4B-V7AWw_6E93bSpXj_XxVv1oVQctk-B6z1dNEWU/edit?usp=sharing"",""สงขลา!J587"")"),0)</f>
        <v>0</v>
      </c>
      <c r="BD86" s="186">
        <f ca="1">IFERROR(__xludf.DUMMYFUNCTION("IMPORTRANGE(""https://docs.google.com/spreadsheets/d/16o_4B-V7AWw_6E93bSpXj_XxVv1oVQctk-B6z1dNEWU/edit?usp=sharing"",""สงขลา!J588"")"),0)</f>
        <v>0</v>
      </c>
      <c r="BE86" s="261">
        <f ca="1">IFERROR(__xludf.DUMMYFUNCTION("IMPORTRANGE(""https://docs.google.com/spreadsheets/d/16o_4B-V7AWw_6E93bSpXj_XxVv1oVQctk-B6z1dNEWU/edit?usp=sharing"",""สงขลา!J589"")"),0)</f>
        <v>0</v>
      </c>
      <c r="BF86" s="186">
        <f ca="1">IFERROR(__xludf.DUMMYFUNCTION("IMPORTRANGE(""https://docs.google.com/spreadsheets/d/16o_4B-V7AWw_6E93bSpXj_XxVv1oVQctk-B6z1dNEWU/edit?usp=sharing"",""สงขลา!J590"")"),0)</f>
        <v>0</v>
      </c>
      <c r="BG86" s="261">
        <f ca="1">IFERROR(__xludf.DUMMYFUNCTION("IMPORTRANGE(""https://docs.google.com/spreadsheets/d/16o_4B-V7AWw_6E93bSpXj_XxVv1oVQctk-B6z1dNEWU/edit?usp=sharing"",""สงขลา!J591"")"),0)</f>
        <v>0</v>
      </c>
      <c r="BH86" s="181">
        <f ca="1">IFERROR(__xludf.DUMMYFUNCTION("IMPORTRANGE(""https://docs.google.com/spreadsheets/d/16o_4B-V7AWw_6E93bSpXj_XxVv1oVQctk-B6z1dNEWU/edit?usp=sharing"",""สงขลา!I593"")"),414.26)</f>
        <v>414.26</v>
      </c>
      <c r="BI86" s="181">
        <f ca="1">IFERROR(__xludf.DUMMYFUNCTION("IMPORTRANGE(""https://docs.google.com/spreadsheets/d/16o_4B-V7AWw_6E93bSpXj_XxVv1oVQctk-B6z1dNEWU/edit?usp=sharing"",""สงขลา!I594"")"),47)</f>
        <v>47</v>
      </c>
      <c r="BJ86" s="186">
        <f ca="1">IFERROR(__xludf.DUMMYFUNCTION("IMPORTRANGE(""https://docs.google.com/spreadsheets/d/16o_4B-V7AWw_6E93bSpXj_XxVv1oVQctk-B6z1dNEWU/edit?usp=sharing"",""สงขลา!J593"")"),348)</f>
        <v>348</v>
      </c>
      <c r="BK86" s="186">
        <f t="shared" ca="1" si="36"/>
        <v>84.005214116738287</v>
      </c>
      <c r="BL86" s="181">
        <f ca="1">IFERROR(__xludf.DUMMYFUNCTION("IMPORTRANGE(""https://docs.google.com/spreadsheets/d/16o_4B-V7AWw_6E93bSpXj_XxVv1oVQctk-B6z1dNEWU/edit?usp=sharing"",""สงขลา!J594"")"),36)</f>
        <v>36</v>
      </c>
      <c r="BM86" s="186">
        <f t="shared" ca="1" si="16"/>
        <v>76.59574468085107</v>
      </c>
      <c r="BN86" s="186">
        <f ca="1">IFERROR(__xludf.DUMMYFUNCTION("IMPORTRANGE(""https://docs.google.com/spreadsheets/d/16o_4B-V7AWw_6E93bSpXj_XxVv1oVQctk-B6z1dNEWU/edit?usp=sharing"",""สงขลา!J595"")"),348)</f>
        <v>348</v>
      </c>
      <c r="BO86" s="261">
        <f ca="1">IFERROR(__xludf.DUMMYFUNCTION("IMPORTRANGE(""https://docs.google.com/spreadsheets/d/16o_4B-V7AWw_6E93bSpXj_XxVv1oVQctk-B6z1dNEWU/edit?usp=sharing"",""สงขลา!J596"")"),36)</f>
        <v>36</v>
      </c>
      <c r="BP86" s="186">
        <f ca="1">IFERROR(__xludf.DUMMYFUNCTION("IMPORTRANGE(""https://docs.google.com/spreadsheets/d/16o_4B-V7AWw_6E93bSpXj_XxVv1oVQctk-B6z1dNEWU/edit?usp=sharing"",""สงขลา!J597"")"),348)</f>
        <v>348</v>
      </c>
      <c r="BQ86" s="261">
        <f ca="1">IFERROR(__xludf.DUMMYFUNCTION("IMPORTRANGE(""https://docs.google.com/spreadsheets/d/16o_4B-V7AWw_6E93bSpXj_XxVv1oVQctk-B6z1dNEWU/edit?usp=sharing"",""สงขลา!J598"")"),36)</f>
        <v>36</v>
      </c>
      <c r="BR86" s="186">
        <f ca="1">IFERROR(__xludf.DUMMYFUNCTION("IMPORTRANGE(""https://docs.google.com/spreadsheets/d/16o_4B-V7AWw_6E93bSpXj_XxVv1oVQctk-B6z1dNEWU/edit?usp=sharing"",""สงขลา!J599"")"),0)</f>
        <v>0</v>
      </c>
      <c r="BS86" s="261">
        <f ca="1">IFERROR(__xludf.DUMMYFUNCTION("IMPORTRANGE(""https://docs.google.com/spreadsheets/d/16o_4B-V7AWw_6E93bSpXj_XxVv1oVQctk-B6z1dNEWU/edit?usp=sharing"",""สงขลา!J600"")"),0)</f>
        <v>0</v>
      </c>
      <c r="BT86" s="262">
        <f ca="1">IFERROR(__xludf.DUMMYFUNCTION("IMPORTRANGE(""https://docs.google.com/spreadsheets/d/16o_4B-V7AWw_6E93bSpXj_XxVv1oVQctk-B6z1dNEWU/edit?usp=sharing"",""สงขลา!J601"")"),0)</f>
        <v>0</v>
      </c>
      <c r="BU86" s="261">
        <f ca="1">IFERROR(__xludf.DUMMYFUNCTION("IMPORTRANGE(""https://docs.google.com/spreadsheets/d/16o_4B-V7AWw_6E93bSpXj_XxVv1oVQctk-B6z1dNEWU/edit?usp=sharing"",""สงขลา!J602"")"),0)</f>
        <v>0</v>
      </c>
      <c r="BV86" s="186">
        <f ca="1">IFERROR(__xludf.DUMMYFUNCTION("IMPORTRANGE(""https://docs.google.com/spreadsheets/d/16o_4B-V7AWw_6E93bSpXj_XxVv1oVQctk-B6z1dNEWU/edit?usp=sharing"",""สงขลา!J603"")"),0)</f>
        <v>0</v>
      </c>
      <c r="BW86" s="261">
        <f ca="1">IFERROR(__xludf.DUMMYFUNCTION("IMPORTRANGE(""https://docs.google.com/spreadsheets/d/16o_4B-V7AWw_6E93bSpXj_XxVv1oVQctk-B6z1dNEWU/edit?usp=sharing"",""สงขลา!J604"")"),0)</f>
        <v>0</v>
      </c>
      <c r="BX86" s="186">
        <f ca="1">IFERROR(__xludf.DUMMYFUNCTION("IMPORTRANGE(""https://docs.google.com/spreadsheets/d/16o_4B-V7AWw_6E93bSpXj_XxVv1oVQctk-B6z1dNEWU/edit?usp=sharing"",""สงขลา!J605"")"),0)</f>
        <v>0</v>
      </c>
      <c r="BY86" s="261">
        <f ca="1">IFERROR(__xludf.DUMMYFUNCTION("IMPORTRANGE(""https://docs.google.com/spreadsheets/d/16o_4B-V7AWw_6E93bSpXj_XxVv1oVQctk-B6z1dNEWU/edit?usp=sharing"",""สงขลา!J606"")"),0)</f>
        <v>0</v>
      </c>
      <c r="BZ86" s="186">
        <f ca="1">IFERROR(__xludf.DUMMYFUNCTION("IMPORTRANGE(""https://docs.google.com/spreadsheets/d/16o_4B-V7AWw_6E93bSpXj_XxVv1oVQctk-B6z1dNEWU/edit?usp=sharing"",""สงขลา!J607"")"),0)</f>
        <v>0</v>
      </c>
      <c r="CA86" s="261">
        <f ca="1">IFERROR(__xludf.DUMMYFUNCTION("IMPORTRANGE(""https://docs.google.com/spreadsheets/d/16o_4B-V7AWw_6E93bSpXj_XxVv1oVQctk-B6z1dNEWU/edit?usp=sharing"",""สงขลา!J608"")"),0)</f>
        <v>0</v>
      </c>
      <c r="CB86" s="186">
        <f ca="1">IFERROR(__xludf.DUMMYFUNCTION("IMPORTRANGE(""https://docs.google.com/spreadsheets/d/16o_4B-V7AWw_6E93bSpXj_XxVv1oVQctk-B6z1dNEWU/edit?usp=sharing"",""สงขลา!J609"")"),0)</f>
        <v>0</v>
      </c>
      <c r="CC86" s="261">
        <f ca="1">IFERROR(__xludf.DUMMYFUNCTION("IMPORTRANGE(""https://docs.google.com/spreadsheets/d/16o_4B-V7AWw_6E93bSpXj_XxVv1oVQctk-B6z1dNEWU/edit?usp=sharing"",""สงขลา!J610"")"),0)</f>
        <v>0</v>
      </c>
      <c r="CD86" s="261">
        <f ca="1">IFERROR(__xludf.DUMMYFUNCTION("IMPORTRANGE(""https://docs.google.com/spreadsheets/d/16o_4B-V7AWw_6E93bSpXj_XxVv1oVQctk-B6z1dNEWU/edit?usp=sharing"",""สงขลา!I612"")"),0)</f>
        <v>0</v>
      </c>
      <c r="CE86" s="261">
        <f ca="1">IFERROR(__xludf.DUMMYFUNCTION("IMPORTRANGE(""https://docs.google.com/spreadsheets/d/16o_4B-V7AWw_6E93bSpXj_XxVv1oVQctk-B6z1dNEWU/edit?usp=sharing"",""สงขลา!I594"")"),47)</f>
        <v>47</v>
      </c>
      <c r="CF86" s="262">
        <f ca="1">IFERROR(__xludf.DUMMYFUNCTION("IMPORTRANGE(""https://docs.google.com/spreadsheets/d/16o_4B-V7AWw_6E93bSpXj_XxVv1oVQctk-B6z1dNEWU/edit?usp=sharing"",""สงขลา!J612"")"),0)</f>
        <v>0</v>
      </c>
      <c r="CG86" s="262">
        <f t="shared" ca="1" si="37"/>
        <v>0</v>
      </c>
      <c r="CH86" s="261">
        <f ca="1">IFERROR(__xludf.DUMMYFUNCTION("IMPORTRANGE(""https://docs.google.com/spreadsheets/d/16o_4B-V7AWw_6E93bSpXj_XxVv1oVQctk-B6z1dNEWU/edit?usp=sharing"",""สงขลา!J613"")"),0)</f>
        <v>0</v>
      </c>
      <c r="CI86" s="262">
        <f t="shared" ca="1" si="19"/>
        <v>0</v>
      </c>
      <c r="CJ86" s="186">
        <f ca="1">IFERROR(__xludf.DUMMYFUNCTION("IMPORTRANGE(""https://docs.google.com/spreadsheets/d/16o_4B-V7AWw_6E93bSpXj_XxVv1oVQctk-B6z1dNEWU/edit?usp=sharing"",""สงขลา!J614"")"),0)</f>
        <v>0</v>
      </c>
      <c r="CK86" s="261">
        <f ca="1">IFERROR(__xludf.DUMMYFUNCTION("IMPORTRANGE(""https://docs.google.com/spreadsheets/d/16o_4B-V7AWw_6E93bSpXj_XxVv1oVQctk-B6z1dNEWU/edit?usp=sharing"",""สงขลา!J615"")"),0)</f>
        <v>0</v>
      </c>
      <c r="CL86" s="186">
        <f ca="1">IFERROR(__xludf.DUMMYFUNCTION("IMPORTRANGE(""https://docs.google.com/spreadsheets/d/16o_4B-V7AWw_6E93bSpXj_XxVv1oVQctk-B6z1dNEWU/edit?usp=sharing"",""สงขลา!J616"")"),0)</f>
        <v>0</v>
      </c>
      <c r="CM86" s="261">
        <f ca="1">IFERROR(__xludf.DUMMYFUNCTION("IMPORTRANGE(""https://docs.google.com/spreadsheets/d/16o_4B-V7AWw_6E93bSpXj_XxVv1oVQctk-B6z1dNEWU/edit?usp=sharing"",""สงขลา!J617"")"),0)</f>
        <v>0</v>
      </c>
      <c r="CN86" s="261">
        <f ca="1">IFERROR(__xludf.DUMMYFUNCTION("IMPORTRANGE(""https://docs.google.com/spreadsheets/d/16o_4B-V7AWw_6E93bSpXj_XxVv1oVQctk-B6z1dNEWU/edit?usp=sharing"",""สงขลา!I620"")"),0)</f>
        <v>0</v>
      </c>
      <c r="CO86" s="261">
        <f ca="1">IFERROR(__xludf.DUMMYFUNCTION("IMPORTRANGE(""https://docs.google.com/spreadsheets/d/16o_4B-V7AWw_6E93bSpXj_XxVv1oVQctk-B6z1dNEWU/edit?usp=sharing"",""สงขลา!I621"")"),0)</f>
        <v>0</v>
      </c>
      <c r="CP86" s="262">
        <f ca="1">IFERROR(__xludf.DUMMYFUNCTION("IMPORTRANGE(""https://docs.google.com/spreadsheets/d/16o_4B-V7AWw_6E93bSpXj_XxVv1oVQctk-B6z1dNEWU/edit?usp=sharing"",""สงขลา!J620"")"),0)</f>
        <v>0</v>
      </c>
      <c r="CQ86" s="262">
        <f t="shared" ca="1" si="38"/>
        <v>0</v>
      </c>
      <c r="CR86" s="261">
        <f ca="1">IFERROR(__xludf.DUMMYFUNCTION("IMPORTRANGE(""https://docs.google.com/spreadsheets/d/16o_4B-V7AWw_6E93bSpXj_XxVv1oVQctk-B6z1dNEWU/edit?usp=sharing"",""สงขลา!J621"")"),0)</f>
        <v>0</v>
      </c>
      <c r="CS86" s="262">
        <f t="shared" ca="1" si="22"/>
        <v>0</v>
      </c>
      <c r="CT86" s="186">
        <f ca="1">IFERROR(__xludf.DUMMYFUNCTION("IMPORTRANGE(""https://docs.google.com/spreadsheets/d/16o_4B-V7AWw_6E93bSpXj_XxVv1oVQctk-B6z1dNEWU/edit?usp=sharing"",""สงขลา!J622"")"),0)</f>
        <v>0</v>
      </c>
      <c r="CU86" s="261">
        <f ca="1">IFERROR(__xludf.DUMMYFUNCTION("IMPORTRANGE(""https://docs.google.com/spreadsheets/d/16o_4B-V7AWw_6E93bSpXj_XxVv1oVQctk-B6z1dNEWU/edit?usp=sharing"",""สงขลา!J623"")"),0)</f>
        <v>0</v>
      </c>
      <c r="CV86" s="186">
        <f ca="1">IFERROR(__xludf.DUMMYFUNCTION("IMPORTRANGE(""https://docs.google.com/spreadsheets/d/16o_4B-V7AWw_6E93bSpXj_XxVv1oVQctk-B6z1dNEWU/edit?usp=sharing"",""สงขลา!J624"")"),0)</f>
        <v>0</v>
      </c>
      <c r="CW86" s="261">
        <f ca="1">IFERROR(__xludf.DUMMYFUNCTION("IMPORTRANGE(""https://docs.google.com/spreadsheets/d/16o_4B-V7AWw_6E93bSpXj_XxVv1oVQctk-B6z1dNEWU/edit?usp=sharing"",""สงขลา!J625"")"),0)</f>
        <v>0</v>
      </c>
      <c r="CX86" s="186">
        <f ca="1">IFERROR(__xludf.DUMMYFUNCTION("IMPORTRANGE(""https://docs.google.com/spreadsheets/d/16o_4B-V7AWw_6E93bSpXj_XxVv1oVQctk-B6z1dNEWU/edit?usp=sharing"",""สงขลา!J626"")"),0)</f>
        <v>0</v>
      </c>
      <c r="CY86" s="261">
        <f ca="1">IFERROR(__xludf.DUMMYFUNCTION("IMPORTRANGE(""https://docs.google.com/spreadsheets/d/16o_4B-V7AWw_6E93bSpXj_XxVv1oVQctk-B6z1dNEWU/edit?usp=sharing"",""สงขลา!J627"")"),0)</f>
        <v>0</v>
      </c>
    </row>
    <row r="87" spans="1:103" ht="24" customHeight="1" x14ac:dyDescent="0.3">
      <c r="A87" s="178">
        <v>13</v>
      </c>
      <c r="B87" s="179" t="s">
        <v>104</v>
      </c>
      <c r="C87" s="180">
        <f t="shared" ca="1" si="82"/>
        <v>266693</v>
      </c>
      <c r="D87" s="181">
        <f ca="1">IFERROR(__xludf.DUMMYFUNCTION("IMPORTRANGE(""https://docs.google.com/spreadsheets/d/16cywr71Fj4fA5OGRHsZh30ZG2gwJhMAQv69oVBzYHv0/edit?usp=sharing"",""สตูล!L549"")"),266693)</f>
        <v>266693</v>
      </c>
      <c r="E87" s="187">
        <f ca="1">IFERROR(__xludf.DUMMYFUNCTION("IMPORTRANGE(""https://docs.google.com/spreadsheets/d/16cywr71Fj4fA5OGRHsZh30ZG2gwJhMAQv69oVBzYHv0/edit?usp=sharing"",""สตูล!L557"")"),0)</f>
        <v>0</v>
      </c>
      <c r="F87" s="182">
        <f t="shared" ca="1" si="1"/>
        <v>114192</v>
      </c>
      <c r="G87" s="183">
        <f t="shared" ca="1" si="2"/>
        <v>42.817771745040176</v>
      </c>
      <c r="H87" s="184">
        <f t="shared" ca="1" si="83"/>
        <v>114192</v>
      </c>
      <c r="I87" s="187">
        <f ca="1">IFERROR(__xludf.DUMMYFUNCTION("IMPORTRANGE(""https://docs.google.com/spreadsheets/d/16cywr71Fj4fA5OGRHsZh30ZG2gwJhMAQv69oVBzYHv0/edit?usp=sharing"",""สตูล!N550"")"),0)</f>
        <v>0</v>
      </c>
      <c r="J87" s="187">
        <f ca="1">IFERROR(__xludf.DUMMYFUNCTION("IMPORTRANGE(""https://docs.google.com/spreadsheets/d/16cywr71Fj4fA5OGRHsZh30ZG2gwJhMAQv69oVBzYHv0/edit?usp=sharing"",""สตูล!N551"")"),0)</f>
        <v>0</v>
      </c>
      <c r="K87" s="187">
        <f ca="1">IFERROR(__xludf.DUMMYFUNCTION("IMPORTRANGE(""https://docs.google.com/spreadsheets/d/16cywr71Fj4fA5OGRHsZh30ZG2gwJhMAQv69oVBzYHv0/edit?usp=sharing"",""สตูล!N552"")"),37727)</f>
        <v>37727</v>
      </c>
      <c r="L87" s="187">
        <f ca="1">IFERROR(__xludf.DUMMYFUNCTION("IMPORTRANGE(""https://docs.google.com/spreadsheets/d/16cywr71Fj4fA5OGRHsZh30ZG2gwJhMAQv69oVBzYHv0/edit?usp=sharing"",""สตูล!N553"")"),76465)</f>
        <v>76465</v>
      </c>
      <c r="M87" s="187">
        <f ca="1">IFERROR(__xludf.DUMMYFUNCTION("IMPORTRANGE(""https://docs.google.com/spreadsheets/d/16cywr71Fj4fA5OGRHsZh30ZG2gwJhMAQv69oVBzYHv0/edit?usp=sharing"",""สตูล!N554"")"),0)</f>
        <v>0</v>
      </c>
      <c r="N87" s="185">
        <f ca="1">IFERROR(__xludf.DUMMYFUNCTION("IMPORTRANGE(""https://docs.google.com/spreadsheets/d/16cywr71Fj4fA5OGRHsZh30ZG2gwJhMAQv69oVBzYHv0/edit?usp=sharing"",""สตูล!N557"")"),0)</f>
        <v>0</v>
      </c>
      <c r="O87" s="185">
        <f t="shared" ca="1" si="41"/>
        <v>0</v>
      </c>
      <c r="P87" s="181">
        <f ca="1">IFERROR(__xludf.DUMMYFUNCTION("IMPORTRANGE(""https://docs.google.com/spreadsheets/d/16cywr71Fj4fA5OGRHsZh30ZG2gwJhMAQv69oVBzYHv0/edit?usp=sharing"",""สตูล!I560"")"),10513)</f>
        <v>10513</v>
      </c>
      <c r="Q87" s="181">
        <f ca="1">IFERROR(__xludf.DUMMYFUNCTION("IMPORTRANGE(""https://docs.google.com/spreadsheets/d/16cywr71Fj4fA5OGRHsZh30ZG2gwJhMAQv69oVBzYHv0/edit?usp=sharing"",""สตูล!I561"")"),1831)</f>
        <v>1831</v>
      </c>
      <c r="R87" s="186">
        <f ca="1">IFERROR(__xludf.DUMMYFUNCTION("IMPORTRANGE(""https://docs.google.com/spreadsheets/d/16cywr71Fj4fA5OGRHsZh30ZG2gwJhMAQv69oVBzYHv0/edit?usp=sharing"",""สตูล!J560"")"),10513)</f>
        <v>10513</v>
      </c>
      <c r="S87" s="186">
        <f t="shared" ca="1" si="33"/>
        <v>100</v>
      </c>
      <c r="T87" s="181">
        <f ca="1">IFERROR(__xludf.DUMMYFUNCTION("IMPORTRANGE(""https://docs.google.com/spreadsheets/d/16cywr71Fj4fA5OGRHsZh30ZG2gwJhMAQv69oVBzYHv0/edit?usp=sharing"",""สตูล!J561"")"),1831)</f>
        <v>1831</v>
      </c>
      <c r="U87" s="186">
        <f t="shared" ca="1" si="7"/>
        <v>100</v>
      </c>
      <c r="V87" s="186">
        <f ca="1">IFERROR(__xludf.DUMMYFUNCTION("IMPORTRANGE(""https://docs.google.com/spreadsheets/d/16cywr71Fj4fA5OGRHsZh30ZG2gwJhMAQv69oVBzYHv0/edit?usp=sharing"",""สตูล!J562"")"),9992)</f>
        <v>9992</v>
      </c>
      <c r="W87" s="261">
        <f ca="1">IFERROR(__xludf.DUMMYFUNCTION("IMPORTRANGE(""https://docs.google.com/spreadsheets/d/16cywr71Fj4fA5OGRHsZh30ZG2gwJhMAQv69oVBzYHv0/edit?usp=sharing"",""สตูล!J563"")"),1746)</f>
        <v>1746</v>
      </c>
      <c r="X87" s="186">
        <f ca="1">IFERROR(__xludf.DUMMYFUNCTION("IMPORTRANGE(""https://docs.google.com/spreadsheets/d/16cywr71Fj4fA5OGRHsZh30ZG2gwJhMAQv69oVBzYHv0/edit?usp=sharing"",""สตูล!J564"")"),317)</f>
        <v>317</v>
      </c>
      <c r="Y87" s="261">
        <f ca="1">IFERROR(__xludf.DUMMYFUNCTION("IMPORTRANGE(""https://docs.google.com/spreadsheets/d/16cywr71Fj4fA5OGRHsZh30ZG2gwJhMAQv69oVBzYHv0/edit?usp=sharing"",""สตูล!J565"")"),50)</f>
        <v>50</v>
      </c>
      <c r="Z87" s="186">
        <f ca="1">IFERROR(__xludf.DUMMYFUNCTION("IMPORTRANGE(""https://docs.google.com/spreadsheets/d/16cywr71Fj4fA5OGRHsZh30ZG2gwJhMAQv69oVBzYHv0/edit?usp=sharing"",""สตูล!J566"")"),204)</f>
        <v>204</v>
      </c>
      <c r="AA87" s="261">
        <f ca="1">IFERROR(__xludf.DUMMYFUNCTION("IMPORTRANGE(""https://docs.google.com/spreadsheets/d/16cywr71Fj4fA5OGRHsZh30ZG2gwJhMAQv69oVBzYHv0/edit?usp=sharing"",""สตูล!J567"")"),35)</f>
        <v>35</v>
      </c>
      <c r="AB87" s="181">
        <f ca="1">IFERROR(__xludf.DUMMYFUNCTION("IMPORTRANGE(""https://docs.google.com/spreadsheets/d/16cywr71Fj4fA5OGRHsZh30ZG2gwJhMAQv69oVBzYHv0/edit?usp=sharing"",""สตูล!I568"")"),10513)</f>
        <v>10513</v>
      </c>
      <c r="AC87" s="181">
        <f ca="1">IFERROR(__xludf.DUMMYFUNCTION("IMPORTRANGE(""https://docs.google.com/spreadsheets/d/16cywr71Fj4fA5OGRHsZh30ZG2gwJhMAQv69oVBzYHv0/edit?usp=sharing"",""สตูล!I569"")"),1831)</f>
        <v>1831</v>
      </c>
      <c r="AD87" s="186">
        <f ca="1">IFERROR(__xludf.DUMMYFUNCTION("IMPORTRANGE(""https://docs.google.com/spreadsheets/d/16cywr71Fj4fA5OGRHsZh30ZG2gwJhMAQv69oVBzYHv0/edit?usp=sharing"",""สตูล!J568"")"),10513.2175)</f>
        <v>10513.217500000001</v>
      </c>
      <c r="AE87" s="186">
        <f t="shared" ca="1" si="34"/>
        <v>100.0020688671169</v>
      </c>
      <c r="AF87" s="181">
        <f ca="1">IFERROR(__xludf.DUMMYFUNCTION("IMPORTRANGE(""https://docs.google.com/spreadsheets/d/16cywr71Fj4fA5OGRHsZh30ZG2gwJhMAQv69oVBzYHv0/edit?usp=sharing"",""สตูล!J569"")"),1831)</f>
        <v>1831</v>
      </c>
      <c r="AG87" s="186">
        <f t="shared" ca="1" si="10"/>
        <v>100</v>
      </c>
      <c r="AH87" s="186">
        <f ca="1">IFERROR(__xludf.DUMMYFUNCTION("IMPORTRANGE(""https://docs.google.com/spreadsheets/d/16cywr71Fj4fA5OGRHsZh30ZG2gwJhMAQv69oVBzYHv0/edit?usp=sharing"",""สตูล!J570"")"),9991.2175)</f>
        <v>9991.2175000000007</v>
      </c>
      <c r="AI87" s="261">
        <f ca="1">IFERROR(__xludf.DUMMYFUNCTION("IMPORTRANGE(""https://docs.google.com/spreadsheets/d/16cywr71Fj4fA5OGRHsZh30ZG2gwJhMAQv69oVBzYHv0/edit?usp=sharing"",""สตูล!J571"")"),1748)</f>
        <v>1748</v>
      </c>
      <c r="AJ87" s="186">
        <f ca="1">IFERROR(__xludf.DUMMYFUNCTION("IMPORTRANGE(""https://docs.google.com/spreadsheets/d/16cywr71Fj4fA5OGRHsZh30ZG2gwJhMAQv69oVBzYHv0/edit?usp=sharing"",""สตูล!J572"")"),263)</f>
        <v>263</v>
      </c>
      <c r="AK87" s="261">
        <f ca="1">IFERROR(__xludf.DUMMYFUNCTION("IMPORTRANGE(""https://docs.google.com/spreadsheets/d/16cywr71Fj4fA5OGRHsZh30ZG2gwJhMAQv69oVBzYHv0/edit?usp=sharing"",""สตูล!J573"")"),39)</f>
        <v>39</v>
      </c>
      <c r="AL87" s="186">
        <f ca="1">IFERROR(__xludf.DUMMYFUNCTION("IMPORTRANGE(""https://docs.google.com/spreadsheets/d/16cywr71Fj4fA5OGRHsZh30ZG2gwJhMAQv69oVBzYHv0/edit?usp=sharing"",""สตูล!J574"")"),259)</f>
        <v>259</v>
      </c>
      <c r="AM87" s="261">
        <f ca="1">IFERROR(__xludf.DUMMYFUNCTION("IMPORTRANGE(""https://docs.google.com/spreadsheets/d/16cywr71Fj4fA5OGRHsZh30ZG2gwJhMAQv69oVBzYHv0/edit?usp=sharing"",""สตูล!J575"")"),44)</f>
        <v>44</v>
      </c>
      <c r="AN87" s="181">
        <f ca="1">IFERROR(__xludf.DUMMYFUNCTION("IMPORTRANGE(""https://docs.google.com/spreadsheets/d/16cywr71Fj4fA5OGRHsZh30ZG2gwJhMAQv69oVBzYHv0/edit?usp=sharing"",""สตูล!I576"")"),10513)</f>
        <v>10513</v>
      </c>
      <c r="AO87" s="181">
        <f ca="1">IFERROR(__xludf.DUMMYFUNCTION("IMPORTRANGE(""https://docs.google.com/spreadsheets/d/16cywr71Fj4fA5OGRHsZh30ZG2gwJhMAQv69oVBzYHv0/edit?usp=sharing"",""สตูล!I577"")"),1831)</f>
        <v>1831</v>
      </c>
      <c r="AP87" s="186">
        <f ca="1">IFERROR(__xludf.DUMMYFUNCTION("IMPORTRANGE(""https://docs.google.com/spreadsheets/d/16cywr71Fj4fA5OGRHsZh30ZG2gwJhMAQv69oVBzYHv0/edit?usp=sharing"",""สตูล!J576"")"),10513)</f>
        <v>10513</v>
      </c>
      <c r="AQ87" s="186">
        <f t="shared" ca="1" si="35"/>
        <v>100</v>
      </c>
      <c r="AR87" s="181">
        <f ca="1">IFERROR(__xludf.DUMMYFUNCTION("IMPORTRANGE(""https://docs.google.com/spreadsheets/d/16cywr71Fj4fA5OGRHsZh30ZG2gwJhMAQv69oVBzYHv0/edit?usp=sharing"",""สตูล!J577"")"),1831)</f>
        <v>1831</v>
      </c>
      <c r="AS87" s="186">
        <f t="shared" ca="1" si="13"/>
        <v>100</v>
      </c>
      <c r="AT87" s="186">
        <f ca="1">IFERROR(__xludf.DUMMYFUNCTION("IMPORTRANGE(""https://docs.google.com/spreadsheets/d/16cywr71Fj4fA5OGRHsZh30ZG2gwJhMAQv69oVBzYHv0/edit?usp=sharing"",""สตูล!J578"")"),10055)</f>
        <v>10055</v>
      </c>
      <c r="AU87" s="261">
        <f ca="1">IFERROR(__xludf.DUMMYFUNCTION("IMPORTRANGE(""https://docs.google.com/spreadsheets/d/16cywr71Fj4fA5OGRHsZh30ZG2gwJhMAQv69oVBzYHv0/edit?usp=sharing"",""สตูล!J579"")"),1758)</f>
        <v>1758</v>
      </c>
      <c r="AV87" s="186">
        <f ca="1">IFERROR(__xludf.DUMMYFUNCTION("IMPORTRANGE(""https://docs.google.com/spreadsheets/d/16cywr71Fj4fA5OGRHsZh30ZG2gwJhMAQv69oVBzYHv0/edit?usp=sharing"",""สตูล!J580"")"),199)</f>
        <v>199</v>
      </c>
      <c r="AW87" s="261">
        <f ca="1">IFERROR(__xludf.DUMMYFUNCTION("IMPORTRANGE(""https://docs.google.com/spreadsheets/d/16cywr71Fj4fA5OGRHsZh30ZG2gwJhMAQv69oVBzYHv0/edit?usp=sharing"",""สตูล!J581"")"),29)</f>
        <v>29</v>
      </c>
      <c r="AX87" s="186">
        <f ca="1">IFERROR(__xludf.DUMMYFUNCTION("IMPORTRANGE(""https://docs.google.com/spreadsheets/d/16cywr71Fj4fA5OGRHsZh30ZG2gwJhMAQv69oVBzYHv0/edit?usp=sharing"",""สตูล!J582"")"),259)</f>
        <v>259</v>
      </c>
      <c r="AY87" s="261">
        <f ca="1">IFERROR(__xludf.DUMMYFUNCTION("IMPORTRANGE(""https://docs.google.com/spreadsheets/d/16cywr71Fj4fA5OGRHsZh30ZG2gwJhMAQv69oVBzYHv0/edit?usp=sharing"",""สตูล!J583"")"),44)</f>
        <v>44</v>
      </c>
      <c r="AZ87" s="262">
        <f ca="1">IFERROR(__xludf.DUMMYFUNCTION("IMPORTRANGE(""https://docs.google.com/spreadsheets/d/16cywr71Fj4fA5OGRHsZh30ZG2gwJhMAQv69oVBzYHv0/edit?usp=sharing"",""สตูล!J584"")"),259)</f>
        <v>259</v>
      </c>
      <c r="BA87" s="261">
        <f ca="1">IFERROR(__xludf.DUMMYFUNCTION("IMPORTRANGE(""https://docs.google.com/spreadsheets/d/16cywr71Fj4fA5OGRHsZh30ZG2gwJhMAQv69oVBzYHv0/edit?usp=sharing"",""สตูล!J585"")"),44)</f>
        <v>44</v>
      </c>
      <c r="BB87" s="262">
        <f ca="1">IFERROR(__xludf.DUMMYFUNCTION("IMPORTRANGE(""https://docs.google.com/spreadsheets/d/16cywr71Fj4fA5OGRHsZh30ZG2gwJhMAQv69oVBzYHv0/edit?usp=sharing"",""สตูล!J586"")"),0)</f>
        <v>0</v>
      </c>
      <c r="BC87" s="261">
        <f ca="1">IFERROR(__xludf.DUMMYFUNCTION("IMPORTRANGE(""https://docs.google.com/spreadsheets/d/16cywr71Fj4fA5OGRHsZh30ZG2gwJhMAQv69oVBzYHv0/edit?usp=sharing"",""สตูล!J587"")"),0)</f>
        <v>0</v>
      </c>
      <c r="BD87" s="186">
        <f ca="1">IFERROR(__xludf.DUMMYFUNCTION("IMPORTRANGE(""https://docs.google.com/spreadsheets/d/16cywr71Fj4fA5OGRHsZh30ZG2gwJhMAQv69oVBzYHv0/edit?usp=sharing"",""สตูล!J588"")"),0)</f>
        <v>0</v>
      </c>
      <c r="BE87" s="261">
        <f ca="1">IFERROR(__xludf.DUMMYFUNCTION("IMPORTRANGE(""https://docs.google.com/spreadsheets/d/16cywr71Fj4fA5OGRHsZh30ZG2gwJhMAQv69oVBzYHv0/edit?usp=sharing"",""สตูล!J589"")"),0)</f>
        <v>0</v>
      </c>
      <c r="BF87" s="186">
        <f ca="1">IFERROR(__xludf.DUMMYFUNCTION("IMPORTRANGE(""https://docs.google.com/spreadsheets/d/16cywr71Fj4fA5OGRHsZh30ZG2gwJhMAQv69oVBzYHv0/edit?usp=sharing"",""สตูล!J590"")"),0)</f>
        <v>0</v>
      </c>
      <c r="BG87" s="261">
        <f ca="1">IFERROR(__xludf.DUMMYFUNCTION("IMPORTRANGE(""https://docs.google.com/spreadsheets/d/16cywr71Fj4fA5OGRHsZh30ZG2gwJhMAQv69oVBzYHv0/edit?usp=sharing"",""สตูล!J591"")"),0)</f>
        <v>0</v>
      </c>
      <c r="BH87" s="181">
        <f ca="1">IFERROR(__xludf.DUMMYFUNCTION("IMPORTRANGE(""https://docs.google.com/spreadsheets/d/16cywr71Fj4fA5OGRHsZh30ZG2gwJhMAQv69oVBzYHv0/edit?usp=sharing"",""สตูล!I593"")"),414.92)</f>
        <v>414.92</v>
      </c>
      <c r="BI87" s="181">
        <f ca="1">IFERROR(__xludf.DUMMYFUNCTION("IMPORTRANGE(""https://docs.google.com/spreadsheets/d/16cywr71Fj4fA5OGRHsZh30ZG2gwJhMAQv69oVBzYHv0/edit?usp=sharing"",""สตูล!I594"")"),44)</f>
        <v>44</v>
      </c>
      <c r="BJ87" s="186">
        <f ca="1">IFERROR(__xludf.DUMMYFUNCTION("IMPORTRANGE(""https://docs.google.com/spreadsheets/d/16cywr71Fj4fA5OGRHsZh30ZG2gwJhMAQv69oVBzYHv0/edit?usp=sharing"",""สตูล!J593"")"),1)</f>
        <v>1</v>
      </c>
      <c r="BK87" s="186">
        <f t="shared" ca="1" si="36"/>
        <v>0.24101031524149233</v>
      </c>
      <c r="BL87" s="181">
        <f ca="1">IFERROR(__xludf.DUMMYFUNCTION("IMPORTRANGE(""https://docs.google.com/spreadsheets/d/16cywr71Fj4fA5OGRHsZh30ZG2gwJhMAQv69oVBzYHv0/edit?usp=sharing"",""สตูล!J594"")"),5)</f>
        <v>5</v>
      </c>
      <c r="BM87" s="186">
        <f t="shared" ca="1" si="16"/>
        <v>11.363636363636363</v>
      </c>
      <c r="BN87" s="186">
        <f ca="1">IFERROR(__xludf.DUMMYFUNCTION("IMPORTRANGE(""https://docs.google.com/spreadsheets/d/16cywr71Fj4fA5OGRHsZh30ZG2gwJhMAQv69oVBzYHv0/edit?usp=sharing"",""สตูล!J595"")"),1)</f>
        <v>1</v>
      </c>
      <c r="BO87" s="261">
        <f ca="1">IFERROR(__xludf.DUMMYFUNCTION("IMPORTRANGE(""https://docs.google.com/spreadsheets/d/16cywr71Fj4fA5OGRHsZh30ZG2gwJhMAQv69oVBzYHv0/edit?usp=sharing"",""สตูล!J596"")"),5)</f>
        <v>5</v>
      </c>
      <c r="BP87" s="186">
        <f ca="1">IFERROR(__xludf.DUMMYFUNCTION("IMPORTRANGE(""https://docs.google.com/spreadsheets/d/16cywr71Fj4fA5OGRHsZh30ZG2gwJhMAQv69oVBzYHv0/edit?usp=sharing"",""สตูล!J597"")"),1)</f>
        <v>1</v>
      </c>
      <c r="BQ87" s="261">
        <f ca="1">IFERROR(__xludf.DUMMYFUNCTION("IMPORTRANGE(""https://docs.google.com/spreadsheets/d/16cywr71Fj4fA5OGRHsZh30ZG2gwJhMAQv69oVBzYHv0/edit?usp=sharing"",""สตูล!J598"")"),5)</f>
        <v>5</v>
      </c>
      <c r="BR87" s="186">
        <f ca="1">IFERROR(__xludf.DUMMYFUNCTION("IMPORTRANGE(""https://docs.google.com/spreadsheets/d/16cywr71Fj4fA5OGRHsZh30ZG2gwJhMAQv69oVBzYHv0/edit?usp=sharing"",""สตูล!J599"")"),0)</f>
        <v>0</v>
      </c>
      <c r="BS87" s="261">
        <f ca="1">IFERROR(__xludf.DUMMYFUNCTION("IMPORTRANGE(""https://docs.google.com/spreadsheets/d/16cywr71Fj4fA5OGRHsZh30ZG2gwJhMAQv69oVBzYHv0/edit?usp=sharing"",""สตูล!J600"")"),0)</f>
        <v>0</v>
      </c>
      <c r="BT87" s="262">
        <f ca="1">IFERROR(__xludf.DUMMYFUNCTION("IMPORTRANGE(""https://docs.google.com/spreadsheets/d/16cywr71Fj4fA5OGRHsZh30ZG2gwJhMAQv69oVBzYHv0/edit?usp=sharing"",""สตูล!J601"")"),0)</f>
        <v>0</v>
      </c>
      <c r="BU87" s="261">
        <f ca="1">IFERROR(__xludf.DUMMYFUNCTION("IMPORTRANGE(""https://docs.google.com/spreadsheets/d/16cywr71Fj4fA5OGRHsZh30ZG2gwJhMAQv69oVBzYHv0/edit?usp=sharing"",""สตูล!J602"")"),0)</f>
        <v>0</v>
      </c>
      <c r="BV87" s="186">
        <f ca="1">IFERROR(__xludf.DUMMYFUNCTION("IMPORTRANGE(""https://docs.google.com/spreadsheets/d/16cywr71Fj4fA5OGRHsZh30ZG2gwJhMAQv69oVBzYHv0/edit?usp=sharing"",""สตูล!J603"")"),0)</f>
        <v>0</v>
      </c>
      <c r="BW87" s="261">
        <f ca="1">IFERROR(__xludf.DUMMYFUNCTION("IMPORTRANGE(""https://docs.google.com/spreadsheets/d/16cywr71Fj4fA5OGRHsZh30ZG2gwJhMAQv69oVBzYHv0/edit?usp=sharing"",""สตูล!J604"")"),0)</f>
        <v>0</v>
      </c>
      <c r="BX87" s="186">
        <f ca="1">IFERROR(__xludf.DUMMYFUNCTION("IMPORTRANGE(""https://docs.google.com/spreadsheets/d/16cywr71Fj4fA5OGRHsZh30ZG2gwJhMAQv69oVBzYHv0/edit?usp=sharing"",""สตูล!J605"")"),0)</f>
        <v>0</v>
      </c>
      <c r="BY87" s="261">
        <f ca="1">IFERROR(__xludf.DUMMYFUNCTION("IMPORTRANGE(""https://docs.google.com/spreadsheets/d/16cywr71Fj4fA5OGRHsZh30ZG2gwJhMAQv69oVBzYHv0/edit?usp=sharing"",""สตูล!J606"")"),0)</f>
        <v>0</v>
      </c>
      <c r="BZ87" s="186">
        <f ca="1">IFERROR(__xludf.DUMMYFUNCTION("IMPORTRANGE(""https://docs.google.com/spreadsheets/d/16cywr71Fj4fA5OGRHsZh30ZG2gwJhMAQv69oVBzYHv0/edit?usp=sharing"",""สตูล!J607"")"),0)</f>
        <v>0</v>
      </c>
      <c r="CA87" s="261">
        <f ca="1">IFERROR(__xludf.DUMMYFUNCTION("IMPORTRANGE(""https://docs.google.com/spreadsheets/d/16cywr71Fj4fA5OGRHsZh30ZG2gwJhMAQv69oVBzYHv0/edit?usp=sharing"",""สตูล!J608"")"),0)</f>
        <v>0</v>
      </c>
      <c r="CB87" s="186">
        <f ca="1">IFERROR(__xludf.DUMMYFUNCTION("IMPORTRANGE(""https://docs.google.com/spreadsheets/d/16cywr71Fj4fA5OGRHsZh30ZG2gwJhMAQv69oVBzYHv0/edit?usp=sharing"",""สตูล!J609"")"),0)</f>
        <v>0</v>
      </c>
      <c r="CC87" s="261">
        <f ca="1">IFERROR(__xludf.DUMMYFUNCTION("IMPORTRANGE(""https://docs.google.com/spreadsheets/d/16cywr71Fj4fA5OGRHsZh30ZG2gwJhMAQv69oVBzYHv0/edit?usp=sharing"",""สตูล!J610"")"),0)</f>
        <v>0</v>
      </c>
      <c r="CD87" s="261">
        <f ca="1">IFERROR(__xludf.DUMMYFUNCTION("IMPORTRANGE(""https://docs.google.com/spreadsheets/d/16cywr71Fj4fA5OGRHsZh30ZG2gwJhMAQv69oVBzYHv0/edit?usp=sharing"",""สตูล!I612"")"),0)</f>
        <v>0</v>
      </c>
      <c r="CE87" s="261">
        <f ca="1">IFERROR(__xludf.DUMMYFUNCTION("IMPORTRANGE(""https://docs.google.com/spreadsheets/d/16cywr71Fj4fA5OGRHsZh30ZG2gwJhMAQv69oVBzYHv0/edit?usp=sharing"",""สตูล!I594"")"),44)</f>
        <v>44</v>
      </c>
      <c r="CF87" s="262">
        <f ca="1">IFERROR(__xludf.DUMMYFUNCTION("IMPORTRANGE(""https://docs.google.com/spreadsheets/d/16cywr71Fj4fA5OGRHsZh30ZG2gwJhMAQv69oVBzYHv0/edit?usp=sharing"",""สตูล!J612"")"),0)</f>
        <v>0</v>
      </c>
      <c r="CG87" s="262">
        <f t="shared" ca="1" si="37"/>
        <v>0</v>
      </c>
      <c r="CH87" s="261">
        <f ca="1">IFERROR(__xludf.DUMMYFUNCTION("IMPORTRANGE(""https://docs.google.com/spreadsheets/d/16cywr71Fj4fA5OGRHsZh30ZG2gwJhMAQv69oVBzYHv0/edit?usp=sharing"",""สตูล!J613"")"),0)</f>
        <v>0</v>
      </c>
      <c r="CI87" s="262">
        <f t="shared" ca="1" si="19"/>
        <v>0</v>
      </c>
      <c r="CJ87" s="186">
        <f ca="1">IFERROR(__xludf.DUMMYFUNCTION("IMPORTRANGE(""https://docs.google.com/spreadsheets/d/16cywr71Fj4fA5OGRHsZh30ZG2gwJhMAQv69oVBzYHv0/edit?usp=sharing"",""สตูล!J614"")"),0)</f>
        <v>0</v>
      </c>
      <c r="CK87" s="261">
        <f ca="1">IFERROR(__xludf.DUMMYFUNCTION("IMPORTRANGE(""https://docs.google.com/spreadsheets/d/16cywr71Fj4fA5OGRHsZh30ZG2gwJhMAQv69oVBzYHv0/edit?usp=sharing"",""สตูล!J615"")"),0)</f>
        <v>0</v>
      </c>
      <c r="CL87" s="186">
        <f ca="1">IFERROR(__xludf.DUMMYFUNCTION("IMPORTRANGE(""https://docs.google.com/spreadsheets/d/16cywr71Fj4fA5OGRHsZh30ZG2gwJhMAQv69oVBzYHv0/edit?usp=sharing"",""สตูล!J616"")"),0)</f>
        <v>0</v>
      </c>
      <c r="CM87" s="261">
        <f ca="1">IFERROR(__xludf.DUMMYFUNCTION("IMPORTRANGE(""https://docs.google.com/spreadsheets/d/16cywr71Fj4fA5OGRHsZh30ZG2gwJhMAQv69oVBzYHv0/edit?usp=sharing"",""สตูล!J617"")"),0)</f>
        <v>0</v>
      </c>
      <c r="CN87" s="261">
        <f ca="1">IFERROR(__xludf.DUMMYFUNCTION("IMPORTRANGE(""https://docs.google.com/spreadsheets/d/16cywr71Fj4fA5OGRHsZh30ZG2gwJhMAQv69oVBzYHv0/edit?usp=sharing"",""สตูล!I620"")"),0)</f>
        <v>0</v>
      </c>
      <c r="CO87" s="261">
        <f ca="1">IFERROR(__xludf.DUMMYFUNCTION("IMPORTRANGE(""https://docs.google.com/spreadsheets/d/16cywr71Fj4fA5OGRHsZh30ZG2gwJhMAQv69oVBzYHv0/edit?usp=sharing"",""สตูล!I621"")"),0)</f>
        <v>0</v>
      </c>
      <c r="CP87" s="262">
        <f ca="1">IFERROR(__xludf.DUMMYFUNCTION("IMPORTRANGE(""https://docs.google.com/spreadsheets/d/16cywr71Fj4fA5OGRHsZh30ZG2gwJhMAQv69oVBzYHv0/edit?usp=sharing"",""สตูล!J620"")"),0)</f>
        <v>0</v>
      </c>
      <c r="CQ87" s="262">
        <f t="shared" ca="1" si="38"/>
        <v>0</v>
      </c>
      <c r="CR87" s="261">
        <f ca="1">IFERROR(__xludf.DUMMYFUNCTION("IMPORTRANGE(""https://docs.google.com/spreadsheets/d/16cywr71Fj4fA5OGRHsZh30ZG2gwJhMAQv69oVBzYHv0/edit?usp=sharing"",""สตูล!J621"")"),0)</f>
        <v>0</v>
      </c>
      <c r="CS87" s="262">
        <f t="shared" ca="1" si="22"/>
        <v>0</v>
      </c>
      <c r="CT87" s="186">
        <f ca="1">IFERROR(__xludf.DUMMYFUNCTION("IMPORTRANGE(""https://docs.google.com/spreadsheets/d/16cywr71Fj4fA5OGRHsZh30ZG2gwJhMAQv69oVBzYHv0/edit?usp=sharing"",""สตูล!J622"")"),0)</f>
        <v>0</v>
      </c>
      <c r="CU87" s="261">
        <f ca="1">IFERROR(__xludf.DUMMYFUNCTION("IMPORTRANGE(""https://docs.google.com/spreadsheets/d/16cywr71Fj4fA5OGRHsZh30ZG2gwJhMAQv69oVBzYHv0/edit?usp=sharing"",""สตูล!J623"")"),0)</f>
        <v>0</v>
      </c>
      <c r="CV87" s="186">
        <f ca="1">IFERROR(__xludf.DUMMYFUNCTION("IMPORTRANGE(""https://docs.google.com/spreadsheets/d/16cywr71Fj4fA5OGRHsZh30ZG2gwJhMAQv69oVBzYHv0/edit?usp=sharing"",""สตูล!J624"")"),0)</f>
        <v>0</v>
      </c>
      <c r="CW87" s="261">
        <f ca="1">IFERROR(__xludf.DUMMYFUNCTION("IMPORTRANGE(""https://docs.google.com/spreadsheets/d/16cywr71Fj4fA5OGRHsZh30ZG2gwJhMAQv69oVBzYHv0/edit?usp=sharing"",""สตูล!J625"")"),0)</f>
        <v>0</v>
      </c>
      <c r="CX87" s="186">
        <f ca="1">IFERROR(__xludf.DUMMYFUNCTION("IMPORTRANGE(""https://docs.google.com/spreadsheets/d/16cywr71Fj4fA5OGRHsZh30ZG2gwJhMAQv69oVBzYHv0/edit?usp=sharing"",""สตูล!J626"")"),0)</f>
        <v>0</v>
      </c>
      <c r="CY87" s="261">
        <f ca="1">IFERROR(__xludf.DUMMYFUNCTION("IMPORTRANGE(""https://docs.google.com/spreadsheets/d/16cywr71Fj4fA5OGRHsZh30ZG2gwJhMAQv69oVBzYHv0/edit?usp=sharing"",""สตูล!J627"")"),0)</f>
        <v>0</v>
      </c>
    </row>
    <row r="88" spans="1:103" ht="24" customHeight="1" x14ac:dyDescent="0.3">
      <c r="A88" s="192">
        <v>14</v>
      </c>
      <c r="B88" s="193" t="s">
        <v>105</v>
      </c>
      <c r="C88" s="204">
        <f t="shared" ca="1" si="82"/>
        <v>780665</v>
      </c>
      <c r="D88" s="202">
        <f ca="1">IFERROR(__xludf.DUMMYFUNCTION("IMPORTRANGE(""https://docs.google.com/spreadsheets/d/1vO9Sws6kMtrVtyvrAJptINXjK8TFBoX9xLYOVK_C8bQ/edit?usp=sharing"",""สุราษฎร์ธานี!L549"")"),780665)</f>
        <v>780665</v>
      </c>
      <c r="E88" s="200">
        <f ca="1">IFERROR(__xludf.DUMMYFUNCTION("IMPORTRANGE(""https://docs.google.com/spreadsheets/d/1vO9Sws6kMtrVtyvrAJptINXjK8TFBoX9xLYOVK_C8bQ/edit?usp=sharing"",""สุราษฎร์ธานี!L557"")"),0)</f>
        <v>0</v>
      </c>
      <c r="F88" s="197">
        <f t="shared" ca="1" si="1"/>
        <v>245400.38</v>
      </c>
      <c r="G88" s="205">
        <f t="shared" ca="1" si="2"/>
        <v>31.434787008511975</v>
      </c>
      <c r="H88" s="199">
        <f t="shared" ca="1" si="83"/>
        <v>245400.38</v>
      </c>
      <c r="I88" s="200">
        <f ca="1">IFERROR(__xludf.DUMMYFUNCTION("IMPORTRANGE(""https://docs.google.com/spreadsheets/d/1vO9Sws6kMtrVtyvrAJptINXjK8TFBoX9xLYOVK_C8bQ/edit?usp=sharing"",""สุราษฎร์ธานี!N550"")"),0)</f>
        <v>0</v>
      </c>
      <c r="J88" s="200">
        <f ca="1">IFERROR(__xludf.DUMMYFUNCTION("IMPORTRANGE(""https://docs.google.com/spreadsheets/d/1vO9Sws6kMtrVtyvrAJptINXjK8TFBoX9xLYOVK_C8bQ/edit?usp=sharing"",""สุราษฎร์ธานี!N551"")"),0)</f>
        <v>0</v>
      </c>
      <c r="K88" s="200">
        <f ca="1">IFERROR(__xludf.DUMMYFUNCTION("IMPORTRANGE(""https://docs.google.com/spreadsheets/d/1vO9Sws6kMtrVtyvrAJptINXjK8TFBoX9xLYOVK_C8bQ/edit?usp=sharing"",""สุราษฎร์ธานี!N552"")"),50266.68)</f>
        <v>50266.68</v>
      </c>
      <c r="L88" s="200">
        <f ca="1">IFERROR(__xludf.DUMMYFUNCTION("IMPORTRANGE(""https://docs.google.com/spreadsheets/d/1vO9Sws6kMtrVtyvrAJptINXjK8TFBoX9xLYOVK_C8bQ/edit?usp=sharing"",""สุราษฎร์ธานี!N553"")"),195133.7)</f>
        <v>195133.7</v>
      </c>
      <c r="M88" s="200">
        <f ca="1">IFERROR(__xludf.DUMMYFUNCTION("IMPORTRANGE(""https://docs.google.com/spreadsheets/d/1vO9Sws6kMtrVtyvrAJptINXjK8TFBoX9xLYOVK_C8bQ/edit?usp=sharing"",""สุราษฎร์ธานี!N554"")"),0)</f>
        <v>0</v>
      </c>
      <c r="N88" s="201">
        <f ca="1">IFERROR(__xludf.DUMMYFUNCTION("IMPORTRANGE(""https://docs.google.com/spreadsheets/d/1vO9Sws6kMtrVtyvrAJptINXjK8TFBoX9xLYOVK_C8bQ/edit?usp=sharing"",""สุราษฎร์ธานี!N557"")"),0)</f>
        <v>0</v>
      </c>
      <c r="O88" s="201">
        <f t="shared" ca="1" si="41"/>
        <v>0</v>
      </c>
      <c r="P88" s="202">
        <f ca="1">IFERROR(__xludf.DUMMYFUNCTION("IMPORTRANGE(""https://docs.google.com/spreadsheets/d/1vO9Sws6kMtrVtyvrAJptINXjK8TFBoX9xLYOVK_C8bQ/edit?usp=sharing"",""สุราษฎร์ธานี!I560"")"),89214)</f>
        <v>89214</v>
      </c>
      <c r="Q88" s="202">
        <f ca="1">IFERROR(__xludf.DUMMYFUNCTION("IMPORTRANGE(""https://docs.google.com/spreadsheets/d/1vO9Sws6kMtrVtyvrAJptINXjK8TFBoX9xLYOVK_C8bQ/edit?usp=sharing"",""สุราษฎร์ธานี!I561"")"),7593)</f>
        <v>7593</v>
      </c>
      <c r="R88" s="203">
        <f ca="1">IFERROR(__xludf.DUMMYFUNCTION("IMPORTRANGE(""https://docs.google.com/spreadsheets/d/1vO9Sws6kMtrVtyvrAJptINXjK8TFBoX9xLYOVK_C8bQ/edit?usp=sharing"",""สุราษฎร์ธานี!J560"")"),89216)</f>
        <v>89216</v>
      </c>
      <c r="S88" s="203">
        <f t="shared" ca="1" si="33"/>
        <v>100.00224180061426</v>
      </c>
      <c r="T88" s="202">
        <f ca="1">IFERROR(__xludf.DUMMYFUNCTION("IMPORTRANGE(""https://docs.google.com/spreadsheets/d/1vO9Sws6kMtrVtyvrAJptINXjK8TFBoX9xLYOVK_C8bQ/edit?usp=sharing"",""สุราษฎร์ธานี!J561"")"),7593)</f>
        <v>7593</v>
      </c>
      <c r="U88" s="203">
        <f t="shared" ca="1" si="7"/>
        <v>100</v>
      </c>
      <c r="V88" s="203">
        <f ca="1">IFERROR(__xludf.DUMMYFUNCTION("IMPORTRANGE(""https://docs.google.com/spreadsheets/d/1vO9Sws6kMtrVtyvrAJptINXjK8TFBoX9xLYOVK_C8bQ/edit?usp=sharing"",""สุราษฎร์ธานี!J562"")"),79903)</f>
        <v>79903</v>
      </c>
      <c r="W88" s="263">
        <f ca="1">IFERROR(__xludf.DUMMYFUNCTION("IMPORTRANGE(""https://docs.google.com/spreadsheets/d/1vO9Sws6kMtrVtyvrAJptINXjK8TFBoX9xLYOVK_C8bQ/edit?usp=sharing"",""สุราษฎร์ธานี!J563"")"),6728)</f>
        <v>6728</v>
      </c>
      <c r="X88" s="203">
        <f ca="1">IFERROR(__xludf.DUMMYFUNCTION("IMPORTRANGE(""https://docs.google.com/spreadsheets/d/1vO9Sws6kMtrVtyvrAJptINXjK8TFBoX9xLYOVK_C8bQ/edit?usp=sharing"",""สุราษฎร์ธานี!J564"")"),8439)</f>
        <v>8439</v>
      </c>
      <c r="Y88" s="263">
        <f ca="1">IFERROR(__xludf.DUMMYFUNCTION("IMPORTRANGE(""https://docs.google.com/spreadsheets/d/1vO9Sws6kMtrVtyvrAJptINXjK8TFBoX9xLYOVK_C8bQ/edit?usp=sharing"",""สุราษฎร์ธานี!J565"")"),781)</f>
        <v>781</v>
      </c>
      <c r="Z88" s="203">
        <f ca="1">IFERROR(__xludf.DUMMYFUNCTION("IMPORTRANGE(""https://docs.google.com/spreadsheets/d/1vO9Sws6kMtrVtyvrAJptINXjK8TFBoX9xLYOVK_C8bQ/edit?usp=sharing"",""สุราษฎร์ธานี!J566"")"),874)</f>
        <v>874</v>
      </c>
      <c r="AA88" s="263">
        <f ca="1">IFERROR(__xludf.DUMMYFUNCTION("IMPORTRANGE(""https://docs.google.com/spreadsheets/d/1vO9Sws6kMtrVtyvrAJptINXjK8TFBoX9xLYOVK_C8bQ/edit?usp=sharing"",""สุราษฎร์ธานี!J567"")"),84)</f>
        <v>84</v>
      </c>
      <c r="AB88" s="202">
        <f ca="1">IFERROR(__xludf.DUMMYFUNCTION("IMPORTRANGE(""https://docs.google.com/spreadsheets/d/1vO9Sws6kMtrVtyvrAJptINXjK8TFBoX9xLYOVK_C8bQ/edit?usp=sharing"",""สุราษฎร์ธานี!I568"")"),89214)</f>
        <v>89214</v>
      </c>
      <c r="AC88" s="202">
        <f ca="1">IFERROR(__xludf.DUMMYFUNCTION("IMPORTRANGE(""https://docs.google.com/spreadsheets/d/1vO9Sws6kMtrVtyvrAJptINXjK8TFBoX9xLYOVK_C8bQ/edit?usp=sharing"",""สุราษฎร์ธานี!I569"")"),7593)</f>
        <v>7593</v>
      </c>
      <c r="AD88" s="203">
        <f ca="1">IFERROR(__xludf.DUMMYFUNCTION("IMPORTRANGE(""https://docs.google.com/spreadsheets/d/1vO9Sws6kMtrVtyvrAJptINXjK8TFBoX9xLYOVK_C8bQ/edit?usp=sharing"",""สุราษฎร์ธานี!J568"")"),73460)</f>
        <v>73460</v>
      </c>
      <c r="AE88" s="203">
        <f t="shared" ca="1" si="34"/>
        <v>82.341336561526219</v>
      </c>
      <c r="AF88" s="202">
        <f ca="1">IFERROR(__xludf.DUMMYFUNCTION("IMPORTRANGE(""https://docs.google.com/spreadsheets/d/1vO9Sws6kMtrVtyvrAJptINXjK8TFBoX9xLYOVK_C8bQ/edit?usp=sharing"",""สุราษฎร์ธานี!J569"")"),5510)</f>
        <v>5510</v>
      </c>
      <c r="AG88" s="203">
        <f t="shared" ca="1" si="10"/>
        <v>72.566837876991968</v>
      </c>
      <c r="AH88" s="203">
        <f ca="1">IFERROR(__xludf.DUMMYFUNCTION("IMPORTRANGE(""https://docs.google.com/spreadsheets/d/1vO9Sws6kMtrVtyvrAJptINXjK8TFBoX9xLYOVK_C8bQ/edit?usp=sharing"",""สุราษฎร์ธานี!J570"")"),72373)</f>
        <v>72373</v>
      </c>
      <c r="AI88" s="263">
        <f ca="1">IFERROR(__xludf.DUMMYFUNCTION("IMPORTRANGE(""https://docs.google.com/spreadsheets/d/1vO9Sws6kMtrVtyvrAJptINXjK8TFBoX9xLYOVK_C8bQ/edit?usp=sharing"",""สุราษฎร์ธานี!J571"")"),5359)</f>
        <v>5359</v>
      </c>
      <c r="AJ88" s="203">
        <f ca="1">IFERROR(__xludf.DUMMYFUNCTION("IMPORTRANGE(""https://docs.google.com/spreadsheets/d/1vO9Sws6kMtrVtyvrAJptINXjK8TFBoX9xLYOVK_C8bQ/edit?usp=sharing"",""สุราษฎร์ธานี!J572"")"),334)</f>
        <v>334</v>
      </c>
      <c r="AK88" s="263">
        <f ca="1">IFERROR(__xludf.DUMMYFUNCTION("IMPORTRANGE(""https://docs.google.com/spreadsheets/d/1vO9Sws6kMtrVtyvrAJptINXjK8TFBoX9xLYOVK_C8bQ/edit?usp=sharing"",""สุราษฎร์ธานี!J573"")"),83)</f>
        <v>83</v>
      </c>
      <c r="AL88" s="203">
        <f ca="1">IFERROR(__xludf.DUMMYFUNCTION("IMPORTRANGE(""https://docs.google.com/spreadsheets/d/1vO9Sws6kMtrVtyvrAJptINXjK8TFBoX9xLYOVK_C8bQ/edit?usp=sharing"",""สุราษฎร์ธานี!J574"")"),753)</f>
        <v>753</v>
      </c>
      <c r="AM88" s="263">
        <f ca="1">IFERROR(__xludf.DUMMYFUNCTION("IMPORTRANGE(""https://docs.google.com/spreadsheets/d/1vO9Sws6kMtrVtyvrAJptINXjK8TFBoX9xLYOVK_C8bQ/edit?usp=sharing"",""สุราษฎร์ธานี!J575"")"),68)</f>
        <v>68</v>
      </c>
      <c r="AN88" s="202">
        <f ca="1">IFERROR(__xludf.DUMMYFUNCTION("IMPORTRANGE(""https://docs.google.com/spreadsheets/d/1vO9Sws6kMtrVtyvrAJptINXjK8TFBoX9xLYOVK_C8bQ/edit?usp=sharing"",""สุราษฎร์ธานี!I576"")"),89214)</f>
        <v>89214</v>
      </c>
      <c r="AO88" s="202">
        <f ca="1">IFERROR(__xludf.DUMMYFUNCTION("IMPORTRANGE(""https://docs.google.com/spreadsheets/d/1vO9Sws6kMtrVtyvrAJptINXjK8TFBoX9xLYOVK_C8bQ/edit?usp=sharing"",""สุราษฎร์ธานี!I577"")"),7593)</f>
        <v>7593</v>
      </c>
      <c r="AP88" s="203">
        <f ca="1">IFERROR(__xludf.DUMMYFUNCTION("IMPORTRANGE(""https://docs.google.com/spreadsheets/d/1vO9Sws6kMtrVtyvrAJptINXjK8TFBoX9xLYOVK_C8bQ/edit?usp=sharing"",""สุราษฎร์ธานี!J576"")"),73474)</f>
        <v>73474</v>
      </c>
      <c r="AQ88" s="203">
        <f t="shared" ca="1" si="35"/>
        <v>82.357029165825992</v>
      </c>
      <c r="AR88" s="202">
        <f ca="1">IFERROR(__xludf.DUMMYFUNCTION("IMPORTRANGE(""https://docs.google.com/spreadsheets/d/1vO9Sws6kMtrVtyvrAJptINXjK8TFBoX9xLYOVK_C8bQ/edit?usp=sharing"",""สุราษฎร์ธานี!J577"")"),5476)</f>
        <v>5476</v>
      </c>
      <c r="AS88" s="203">
        <f t="shared" ca="1" si="13"/>
        <v>72.119057026208353</v>
      </c>
      <c r="AT88" s="203">
        <f ca="1">IFERROR(__xludf.DUMMYFUNCTION("IMPORTRANGE(""https://docs.google.com/spreadsheets/d/1vO9Sws6kMtrVtyvrAJptINXjK8TFBoX9xLYOVK_C8bQ/edit?usp=sharing"",""สุราษฎร์ธานี!J578"")"),65176)</f>
        <v>65176</v>
      </c>
      <c r="AU88" s="263">
        <f ca="1">IFERROR(__xludf.DUMMYFUNCTION("IMPORTRANGE(""https://docs.google.com/spreadsheets/d/1vO9Sws6kMtrVtyvrAJptINXjK8TFBoX9xLYOVK_C8bQ/edit?usp=sharing"",""สุราษฎร์ธานี!J579"")"),4765)</f>
        <v>4765</v>
      </c>
      <c r="AV88" s="203">
        <f ca="1">IFERROR(__xludf.DUMMYFUNCTION("IMPORTRANGE(""https://docs.google.com/spreadsheets/d/1vO9Sws6kMtrVtyvrAJptINXjK8TFBoX9xLYOVK_C8bQ/edit?usp=sharing"",""สุราษฎร์ธานี!J580"")"),7545)</f>
        <v>7545</v>
      </c>
      <c r="AW88" s="263">
        <f ca="1">IFERROR(__xludf.DUMMYFUNCTION("IMPORTRANGE(""https://docs.google.com/spreadsheets/d/1vO9Sws6kMtrVtyvrAJptINXjK8TFBoX9xLYOVK_C8bQ/edit?usp=sharing"",""สุราษฎร์ธานี!J581"")"),643)</f>
        <v>643</v>
      </c>
      <c r="AX88" s="203">
        <f ca="1">IFERROR(__xludf.DUMMYFUNCTION("IMPORTRANGE(""https://docs.google.com/spreadsheets/d/1vO9Sws6kMtrVtyvrAJptINXjK8TFBoX9xLYOVK_C8bQ/edit?usp=sharing"",""สุราษฎร์ธานี!J582"")"),753)</f>
        <v>753</v>
      </c>
      <c r="AY88" s="263">
        <f ca="1">IFERROR(__xludf.DUMMYFUNCTION("IMPORTRANGE(""https://docs.google.com/spreadsheets/d/1vO9Sws6kMtrVtyvrAJptINXjK8TFBoX9xLYOVK_C8bQ/edit?usp=sharing"",""สุราษฎร์ธานี!J583"")"),68)</f>
        <v>68</v>
      </c>
      <c r="AZ88" s="264">
        <f ca="1">IFERROR(__xludf.DUMMYFUNCTION("IMPORTRANGE(""https://docs.google.com/spreadsheets/d/1vO9Sws6kMtrVtyvrAJptINXjK8TFBoX9xLYOVK_C8bQ/edit?usp=sharing"",""สุราษฎร์ธานี!J584"")"),753)</f>
        <v>753</v>
      </c>
      <c r="BA88" s="263">
        <f ca="1">IFERROR(__xludf.DUMMYFUNCTION("IMPORTRANGE(""https://docs.google.com/spreadsheets/d/1vO9Sws6kMtrVtyvrAJptINXjK8TFBoX9xLYOVK_C8bQ/edit?usp=sharing"",""สุราษฎร์ธานี!J585"")"),68)</f>
        <v>68</v>
      </c>
      <c r="BB88" s="264">
        <f ca="1">IFERROR(__xludf.DUMMYFUNCTION("IMPORTRANGE(""https://docs.google.com/spreadsheets/d/1vO9Sws6kMtrVtyvrAJptINXjK8TFBoX9xLYOVK_C8bQ/edit?usp=sharing"",""สุราษฎร์ธานี!J586"")"),0)</f>
        <v>0</v>
      </c>
      <c r="BC88" s="263">
        <f ca="1">IFERROR(__xludf.DUMMYFUNCTION("IMPORTRANGE(""https://docs.google.com/spreadsheets/d/1vO9Sws6kMtrVtyvrAJptINXjK8TFBoX9xLYOVK_C8bQ/edit?usp=sharing"",""สุราษฎร์ธานี!J587"")"),0)</f>
        <v>0</v>
      </c>
      <c r="BD88" s="203">
        <f ca="1">IFERROR(__xludf.DUMMYFUNCTION("IMPORTRANGE(""https://docs.google.com/spreadsheets/d/1vO9Sws6kMtrVtyvrAJptINXjK8TFBoX9xLYOVK_C8bQ/edit?usp=sharing"",""สุราษฎร์ธานี!J588"")"),0)</f>
        <v>0</v>
      </c>
      <c r="BE88" s="263">
        <f ca="1">IFERROR(__xludf.DUMMYFUNCTION("IMPORTRANGE(""https://docs.google.com/spreadsheets/d/1vO9Sws6kMtrVtyvrAJptINXjK8TFBoX9xLYOVK_C8bQ/edit?usp=sharing"",""สุราษฎร์ธานี!J589"")"),0)</f>
        <v>0</v>
      </c>
      <c r="BF88" s="203">
        <f ca="1">IFERROR(__xludf.DUMMYFUNCTION("IMPORTRANGE(""https://docs.google.com/spreadsheets/d/1vO9Sws6kMtrVtyvrAJptINXjK8TFBoX9xLYOVK_C8bQ/edit?usp=sharing"",""สุราษฎร์ธานี!J590"")"),0)</f>
        <v>0</v>
      </c>
      <c r="BG88" s="263">
        <f ca="1">IFERROR(__xludf.DUMMYFUNCTION("IMPORTRANGE(""https://docs.google.com/spreadsheets/d/1vO9Sws6kMtrVtyvrAJptINXjK8TFBoX9xLYOVK_C8bQ/edit?usp=sharing"",""สุราษฎร์ธานี!J591"")"),0)</f>
        <v>0</v>
      </c>
      <c r="BH88" s="202">
        <f ca="1">IFERROR(__xludf.DUMMYFUNCTION("IMPORTRANGE(""https://docs.google.com/spreadsheets/d/1vO9Sws6kMtrVtyvrAJptINXjK8TFBoX9xLYOVK_C8bQ/edit?usp=sharing"",""สุราษฎร์ธานี!I593"")"),15712.62)</f>
        <v>15712.62</v>
      </c>
      <c r="BI88" s="202">
        <f ca="1">IFERROR(__xludf.DUMMYFUNCTION("IMPORTRANGE(""https://docs.google.com/spreadsheets/d/1vO9Sws6kMtrVtyvrAJptINXjK8TFBoX9xLYOVK_C8bQ/edit?usp=sharing"",""สุราษฎร์ธานี!I594"")"),1172)</f>
        <v>1172</v>
      </c>
      <c r="BJ88" s="203">
        <f ca="1">IFERROR(__xludf.DUMMYFUNCTION("IMPORTRANGE(""https://docs.google.com/spreadsheets/d/1vO9Sws6kMtrVtyvrAJptINXjK8TFBoX9xLYOVK_C8bQ/edit?usp=sharing"",""สุราษฎร์ธานี!J593"")"),0)</f>
        <v>0</v>
      </c>
      <c r="BK88" s="203">
        <f t="shared" ca="1" si="36"/>
        <v>0</v>
      </c>
      <c r="BL88" s="202">
        <f ca="1">IFERROR(__xludf.DUMMYFUNCTION("IMPORTRANGE(""https://docs.google.com/spreadsheets/d/1vO9Sws6kMtrVtyvrAJptINXjK8TFBoX9xLYOVK_C8bQ/edit?usp=sharing"",""สุราษฎร์ธานี!J594"")"),0)</f>
        <v>0</v>
      </c>
      <c r="BM88" s="203">
        <f t="shared" ca="1" si="16"/>
        <v>0</v>
      </c>
      <c r="BN88" s="203">
        <f ca="1">IFERROR(__xludf.DUMMYFUNCTION("IMPORTRANGE(""https://docs.google.com/spreadsheets/d/1vO9Sws6kMtrVtyvrAJptINXjK8TFBoX9xLYOVK_C8bQ/edit?usp=sharing"",""สุราษฎร์ธานี!J595"")"),0)</f>
        <v>0</v>
      </c>
      <c r="BO88" s="263">
        <f ca="1">IFERROR(__xludf.DUMMYFUNCTION("IMPORTRANGE(""https://docs.google.com/spreadsheets/d/1vO9Sws6kMtrVtyvrAJptINXjK8TFBoX9xLYOVK_C8bQ/edit?usp=sharing"",""สุราษฎร์ธานี!J596"")"),0)</f>
        <v>0</v>
      </c>
      <c r="BP88" s="203">
        <f ca="1">IFERROR(__xludf.DUMMYFUNCTION("IMPORTRANGE(""https://docs.google.com/spreadsheets/d/1vO9Sws6kMtrVtyvrAJptINXjK8TFBoX9xLYOVK_C8bQ/edit?usp=sharing"",""สุราษฎร์ธานี!J597"")"),0)</f>
        <v>0</v>
      </c>
      <c r="BQ88" s="263">
        <f ca="1">IFERROR(__xludf.DUMMYFUNCTION("IMPORTRANGE(""https://docs.google.com/spreadsheets/d/1vO9Sws6kMtrVtyvrAJptINXjK8TFBoX9xLYOVK_C8bQ/edit?usp=sharing"",""สุราษฎร์ธานี!J598"")"),0)</f>
        <v>0</v>
      </c>
      <c r="BR88" s="203">
        <f ca="1">IFERROR(__xludf.DUMMYFUNCTION("IMPORTRANGE(""https://docs.google.com/spreadsheets/d/1vO9Sws6kMtrVtyvrAJptINXjK8TFBoX9xLYOVK_C8bQ/edit?usp=sharing"",""สุราษฎร์ธานี!J599"")"),0)</f>
        <v>0</v>
      </c>
      <c r="BS88" s="263">
        <f ca="1">IFERROR(__xludf.DUMMYFUNCTION("IMPORTRANGE(""https://docs.google.com/spreadsheets/d/1vO9Sws6kMtrVtyvrAJptINXjK8TFBoX9xLYOVK_C8bQ/edit?usp=sharing"",""สุราษฎร์ธานี!J600"")"),0)</f>
        <v>0</v>
      </c>
      <c r="BT88" s="264">
        <f ca="1">IFERROR(__xludf.DUMMYFUNCTION("IMPORTRANGE(""https://docs.google.com/spreadsheets/d/1vO9Sws6kMtrVtyvrAJptINXjK8TFBoX9xLYOVK_C8bQ/edit?usp=sharing"",""สุราษฎร์ธานี!J601"")"),0)</f>
        <v>0</v>
      </c>
      <c r="BU88" s="263">
        <f ca="1">IFERROR(__xludf.DUMMYFUNCTION("IMPORTRANGE(""https://docs.google.com/spreadsheets/d/1vO9Sws6kMtrVtyvrAJptINXjK8TFBoX9xLYOVK_C8bQ/edit?usp=sharing"",""สุราษฎร์ธานี!J602"")"),0)</f>
        <v>0</v>
      </c>
      <c r="BV88" s="203">
        <f ca="1">IFERROR(__xludf.DUMMYFUNCTION("IMPORTRANGE(""https://docs.google.com/spreadsheets/d/1vO9Sws6kMtrVtyvrAJptINXjK8TFBoX9xLYOVK_C8bQ/edit?usp=sharing"",""สุราษฎร์ธานี!J603"")"),0)</f>
        <v>0</v>
      </c>
      <c r="BW88" s="263">
        <f ca="1">IFERROR(__xludf.DUMMYFUNCTION("IMPORTRANGE(""https://docs.google.com/spreadsheets/d/1vO9Sws6kMtrVtyvrAJptINXjK8TFBoX9xLYOVK_C8bQ/edit?usp=sharing"",""สุราษฎร์ธานี!J604"")"),0)</f>
        <v>0</v>
      </c>
      <c r="BX88" s="203">
        <f ca="1">IFERROR(__xludf.DUMMYFUNCTION("IMPORTRANGE(""https://docs.google.com/spreadsheets/d/1vO9Sws6kMtrVtyvrAJptINXjK8TFBoX9xLYOVK_C8bQ/edit?usp=sharing"",""สุราษฎร์ธานี!J605"")"),0)</f>
        <v>0</v>
      </c>
      <c r="BY88" s="263">
        <f ca="1">IFERROR(__xludf.DUMMYFUNCTION("IMPORTRANGE(""https://docs.google.com/spreadsheets/d/1vO9Sws6kMtrVtyvrAJptINXjK8TFBoX9xLYOVK_C8bQ/edit?usp=sharing"",""สุราษฎร์ธานี!J606"")"),0)</f>
        <v>0</v>
      </c>
      <c r="BZ88" s="203">
        <f ca="1">IFERROR(__xludf.DUMMYFUNCTION("IMPORTRANGE(""https://docs.google.com/spreadsheets/d/1vO9Sws6kMtrVtyvrAJptINXjK8TFBoX9xLYOVK_C8bQ/edit?usp=sharing"",""สุราษฎร์ธานี!J607"")"),0)</f>
        <v>0</v>
      </c>
      <c r="CA88" s="263">
        <f ca="1">IFERROR(__xludf.DUMMYFUNCTION("IMPORTRANGE(""https://docs.google.com/spreadsheets/d/1vO9Sws6kMtrVtyvrAJptINXjK8TFBoX9xLYOVK_C8bQ/edit?usp=sharing"",""สุราษฎร์ธานี!J608"")"),0)</f>
        <v>0</v>
      </c>
      <c r="CB88" s="203">
        <f ca="1">IFERROR(__xludf.DUMMYFUNCTION("IMPORTRANGE(""https://docs.google.com/spreadsheets/d/1vO9Sws6kMtrVtyvrAJptINXjK8TFBoX9xLYOVK_C8bQ/edit?usp=sharing"",""สุราษฎร์ธานี!J609"")"),0)</f>
        <v>0</v>
      </c>
      <c r="CC88" s="263">
        <f ca="1">IFERROR(__xludf.DUMMYFUNCTION("IMPORTRANGE(""https://docs.google.com/spreadsheets/d/1vO9Sws6kMtrVtyvrAJptINXjK8TFBoX9xLYOVK_C8bQ/edit?usp=sharing"",""สุราษฎร์ธานี!J610"")"),0)</f>
        <v>0</v>
      </c>
      <c r="CD88" s="263">
        <f ca="1">IFERROR(__xludf.DUMMYFUNCTION("IMPORTRANGE(""https://docs.google.com/spreadsheets/d/1vO9Sws6kMtrVtyvrAJptINXjK8TFBoX9xLYOVK_C8bQ/edit?usp=sharing"",""สุราษฎร์ธานี!I612"")"),0)</f>
        <v>0</v>
      </c>
      <c r="CE88" s="263">
        <f ca="1">IFERROR(__xludf.DUMMYFUNCTION("IMPORTRANGE(""https://docs.google.com/spreadsheets/d/1vO9Sws6kMtrVtyvrAJptINXjK8TFBoX9xLYOVK_C8bQ/edit?usp=sharing"",""สุราษฎร์ธานี!I594"")"),1172)</f>
        <v>1172</v>
      </c>
      <c r="CF88" s="264">
        <f ca="1">IFERROR(__xludf.DUMMYFUNCTION("IMPORTRANGE(""https://docs.google.com/spreadsheets/d/1vO9Sws6kMtrVtyvrAJptINXjK8TFBoX9xLYOVK_C8bQ/edit?usp=sharing"",""สุราษฎร์ธานี!J612"")"),0)</f>
        <v>0</v>
      </c>
      <c r="CG88" s="264">
        <f t="shared" ca="1" si="37"/>
        <v>0</v>
      </c>
      <c r="CH88" s="263">
        <f ca="1">IFERROR(__xludf.DUMMYFUNCTION("IMPORTRANGE(""https://docs.google.com/spreadsheets/d/1vO9Sws6kMtrVtyvrAJptINXjK8TFBoX9xLYOVK_C8bQ/edit?usp=sharing"",""สุราษฎร์ธานี!J613"")"),0)</f>
        <v>0</v>
      </c>
      <c r="CI88" s="264">
        <f t="shared" ca="1" si="19"/>
        <v>0</v>
      </c>
      <c r="CJ88" s="203">
        <f ca="1">IFERROR(__xludf.DUMMYFUNCTION("IMPORTRANGE(""https://docs.google.com/spreadsheets/d/1vO9Sws6kMtrVtyvrAJptINXjK8TFBoX9xLYOVK_C8bQ/edit?usp=sharing"",""สุราษฎร์ธานี!J614"")"),0)</f>
        <v>0</v>
      </c>
      <c r="CK88" s="263">
        <f ca="1">IFERROR(__xludf.DUMMYFUNCTION("IMPORTRANGE(""https://docs.google.com/spreadsheets/d/1vO9Sws6kMtrVtyvrAJptINXjK8TFBoX9xLYOVK_C8bQ/edit?usp=sharing"",""สุราษฎร์ธานี!J615"")"),0)</f>
        <v>0</v>
      </c>
      <c r="CL88" s="203">
        <f ca="1">IFERROR(__xludf.DUMMYFUNCTION("IMPORTRANGE(""https://docs.google.com/spreadsheets/d/1vO9Sws6kMtrVtyvrAJptINXjK8TFBoX9xLYOVK_C8bQ/edit?usp=sharing"",""สุราษฎร์ธานี!J616"")"),0)</f>
        <v>0</v>
      </c>
      <c r="CM88" s="263">
        <f ca="1">IFERROR(__xludf.DUMMYFUNCTION("IMPORTRANGE(""https://docs.google.com/spreadsheets/d/1vO9Sws6kMtrVtyvrAJptINXjK8TFBoX9xLYOVK_C8bQ/edit?usp=sharing"",""สุราษฎร์ธานี!J617"")"),0)</f>
        <v>0</v>
      </c>
      <c r="CN88" s="263">
        <f ca="1">IFERROR(__xludf.DUMMYFUNCTION("IMPORTRANGE(""https://docs.google.com/spreadsheets/d/1vO9Sws6kMtrVtyvrAJptINXjK8TFBoX9xLYOVK_C8bQ/edit?usp=sharing"",""สุราษฎร์ธานี!I620"")"),0)</f>
        <v>0</v>
      </c>
      <c r="CO88" s="263">
        <f ca="1">IFERROR(__xludf.DUMMYFUNCTION("IMPORTRANGE(""https://docs.google.com/spreadsheets/d/1vO9Sws6kMtrVtyvrAJptINXjK8TFBoX9xLYOVK_C8bQ/edit?usp=sharing"",""สุราษฎร์ธานี!I621"")"),0)</f>
        <v>0</v>
      </c>
      <c r="CP88" s="264">
        <f ca="1">IFERROR(__xludf.DUMMYFUNCTION("IMPORTRANGE(""https://docs.google.com/spreadsheets/d/1vO9Sws6kMtrVtyvrAJptINXjK8TFBoX9xLYOVK_C8bQ/edit?usp=sharing"",""สุราษฎร์ธานี!J620"")"),0)</f>
        <v>0</v>
      </c>
      <c r="CQ88" s="264">
        <f t="shared" ca="1" si="38"/>
        <v>0</v>
      </c>
      <c r="CR88" s="263">
        <f ca="1">IFERROR(__xludf.DUMMYFUNCTION("IMPORTRANGE(""https://docs.google.com/spreadsheets/d/1vO9Sws6kMtrVtyvrAJptINXjK8TFBoX9xLYOVK_C8bQ/edit?usp=sharing"",""สุราษฎร์ธานี!J621"")"),0)</f>
        <v>0</v>
      </c>
      <c r="CS88" s="264">
        <f t="shared" ca="1" si="22"/>
        <v>0</v>
      </c>
      <c r="CT88" s="203">
        <f ca="1">IFERROR(__xludf.DUMMYFUNCTION("IMPORTRANGE(""https://docs.google.com/spreadsheets/d/1vO9Sws6kMtrVtyvrAJptINXjK8TFBoX9xLYOVK_C8bQ/edit?usp=sharing"",""สุราษฎร์ธานี!J622"")"),0)</f>
        <v>0</v>
      </c>
      <c r="CU88" s="263">
        <f ca="1">IFERROR(__xludf.DUMMYFUNCTION("IMPORTRANGE(""https://docs.google.com/spreadsheets/d/1vO9Sws6kMtrVtyvrAJptINXjK8TFBoX9xLYOVK_C8bQ/edit?usp=sharing"",""สุราษฎร์ธานี!J623"")"),0)</f>
        <v>0</v>
      </c>
      <c r="CV88" s="203">
        <f ca="1">IFERROR(__xludf.DUMMYFUNCTION("IMPORTRANGE(""https://docs.google.com/spreadsheets/d/1vO9Sws6kMtrVtyvrAJptINXjK8TFBoX9xLYOVK_C8bQ/edit?usp=sharing"",""สุราษฎร์ธานี!J624"")"),0)</f>
        <v>0</v>
      </c>
      <c r="CW88" s="263">
        <f ca="1">IFERROR(__xludf.DUMMYFUNCTION("IMPORTRANGE(""https://docs.google.com/spreadsheets/d/1vO9Sws6kMtrVtyvrAJptINXjK8TFBoX9xLYOVK_C8bQ/edit?usp=sharing"",""สุราษฎร์ธานี!J625"")"),0)</f>
        <v>0</v>
      </c>
      <c r="CX88" s="203">
        <f ca="1">IFERROR(__xludf.DUMMYFUNCTION("IMPORTRANGE(""https://docs.google.com/spreadsheets/d/1vO9Sws6kMtrVtyvrAJptINXjK8TFBoX9xLYOVK_C8bQ/edit?usp=sharing"",""สุราษฎร์ธานี!J626"")"),0)</f>
        <v>0</v>
      </c>
      <c r="CY88" s="263">
        <f ca="1">IFERROR(__xludf.DUMMYFUNCTION("IMPORTRANGE(""https://docs.google.com/spreadsheets/d/1vO9Sws6kMtrVtyvrAJptINXjK8TFBoX9xLYOVK_C8bQ/edit?usp=sharing"",""สุราษฎร์ธานี!J627"")"),0)</f>
        <v>0</v>
      </c>
    </row>
    <row r="89" spans="1:103" ht="21" hidden="1" customHeight="1" x14ac:dyDescent="0.3">
      <c r="A89" s="341" t="s">
        <v>106</v>
      </c>
      <c r="B89" s="339"/>
      <c r="C89" s="207">
        <f>+C90+C91+C92+C93+C94+C95+C96+C97+C98+C99+C100+C101+C102+C103</f>
        <v>0</v>
      </c>
      <c r="D89" s="166"/>
      <c r="E89" s="166"/>
      <c r="F89" s="165">
        <f t="shared" si="1"/>
        <v>0</v>
      </c>
      <c r="G89" s="167">
        <f t="shared" si="2"/>
        <v>0</v>
      </c>
      <c r="H89" s="165">
        <f>+H90+H91+H92+H93+H94+H95+H96+H97+H98+H99+H100+H101+H102+H103</f>
        <v>0</v>
      </c>
      <c r="I89" s="166"/>
      <c r="J89" s="166"/>
      <c r="K89" s="166"/>
      <c r="L89" s="166"/>
      <c r="M89" s="166"/>
      <c r="N89" s="168"/>
      <c r="O89" s="168">
        <f t="shared" si="41"/>
        <v>0</v>
      </c>
      <c r="P89" s="166"/>
      <c r="Q89" s="166"/>
      <c r="R89" s="170"/>
      <c r="S89" s="170"/>
      <c r="T89" s="166"/>
      <c r="U89" s="170"/>
      <c r="V89" s="170"/>
      <c r="W89" s="256"/>
      <c r="X89" s="170"/>
      <c r="Y89" s="256"/>
      <c r="Z89" s="170"/>
      <c r="AA89" s="256"/>
      <c r="AB89" s="166"/>
      <c r="AC89" s="166"/>
      <c r="AD89" s="170"/>
      <c r="AE89" s="170"/>
      <c r="AF89" s="166"/>
      <c r="AG89" s="170"/>
      <c r="AH89" s="170"/>
      <c r="AI89" s="256"/>
      <c r="AJ89" s="170"/>
      <c r="AK89" s="256"/>
      <c r="AL89" s="170"/>
      <c r="AM89" s="256"/>
      <c r="AN89" s="166"/>
      <c r="AO89" s="166"/>
      <c r="AP89" s="170"/>
      <c r="AQ89" s="170"/>
      <c r="AR89" s="166"/>
      <c r="AS89" s="170"/>
      <c r="AT89" s="170"/>
      <c r="AU89" s="256"/>
      <c r="AV89" s="170"/>
      <c r="AW89" s="256"/>
      <c r="AX89" s="170"/>
      <c r="AY89" s="256"/>
      <c r="AZ89" s="257"/>
      <c r="BA89" s="256"/>
      <c r="BB89" s="257"/>
      <c r="BC89" s="256"/>
      <c r="BD89" s="170"/>
      <c r="BE89" s="256"/>
      <c r="BF89" s="170"/>
      <c r="BG89" s="256"/>
      <c r="BH89" s="166"/>
      <c r="BI89" s="166"/>
      <c r="BJ89" s="170"/>
      <c r="BK89" s="170"/>
      <c r="BL89" s="166"/>
      <c r="BM89" s="170"/>
      <c r="BN89" s="170"/>
      <c r="BO89" s="256"/>
      <c r="BP89" s="170"/>
      <c r="BQ89" s="256"/>
      <c r="BR89" s="170"/>
      <c r="BS89" s="256"/>
      <c r="BT89" s="257"/>
      <c r="BU89" s="256"/>
      <c r="BV89" s="170"/>
      <c r="BW89" s="256"/>
      <c r="BX89" s="170"/>
      <c r="BY89" s="256"/>
      <c r="BZ89" s="170"/>
      <c r="CA89" s="256"/>
      <c r="CB89" s="170"/>
      <c r="CC89" s="256"/>
      <c r="CD89" s="170"/>
      <c r="CE89" s="170"/>
      <c r="CF89" s="170"/>
      <c r="CG89" s="170"/>
      <c r="CH89" s="256"/>
      <c r="CI89" s="170"/>
      <c r="CJ89" s="170"/>
      <c r="CK89" s="256"/>
      <c r="CL89" s="170"/>
      <c r="CM89" s="256"/>
      <c r="CN89" s="170"/>
      <c r="CO89" s="170"/>
      <c r="CP89" s="170"/>
      <c r="CQ89" s="170"/>
      <c r="CR89" s="256"/>
      <c r="CS89" s="170"/>
      <c r="CT89" s="170"/>
      <c r="CU89" s="256"/>
      <c r="CV89" s="170"/>
      <c r="CW89" s="256"/>
      <c r="CX89" s="170"/>
      <c r="CY89" s="256"/>
    </row>
    <row r="90" spans="1:103" ht="24" hidden="1" customHeight="1" x14ac:dyDescent="0.3">
      <c r="A90" s="178">
        <v>1</v>
      </c>
      <c r="B90" s="179" t="s">
        <v>107</v>
      </c>
      <c r="C90" s="180">
        <f t="shared" ref="C90:C103" si="84">D90+E90</f>
        <v>0</v>
      </c>
      <c r="D90" s="181">
        <v>0</v>
      </c>
      <c r="E90" s="187">
        <v>0</v>
      </c>
      <c r="F90" s="182">
        <f t="shared" si="1"/>
        <v>0</v>
      </c>
      <c r="G90" s="183">
        <f t="shared" si="2"/>
        <v>0</v>
      </c>
      <c r="H90" s="184">
        <f t="shared" ref="H90:H103" si="85">I90+J90+K90+L90+M90</f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0</v>
      </c>
      <c r="N90" s="185">
        <v>0</v>
      </c>
      <c r="O90" s="185">
        <f t="shared" si="41"/>
        <v>0</v>
      </c>
      <c r="P90" s="208"/>
      <c r="Q90" s="208"/>
      <c r="R90" s="209"/>
      <c r="S90" s="209"/>
      <c r="T90" s="208"/>
      <c r="U90" s="209"/>
      <c r="V90" s="209"/>
      <c r="W90" s="266"/>
      <c r="X90" s="209"/>
      <c r="Y90" s="266"/>
      <c r="Z90" s="209"/>
      <c r="AA90" s="266"/>
      <c r="AB90" s="208"/>
      <c r="AC90" s="208"/>
      <c r="AD90" s="209"/>
      <c r="AE90" s="209"/>
      <c r="AF90" s="208"/>
      <c r="AG90" s="209"/>
      <c r="AH90" s="209"/>
      <c r="AI90" s="266"/>
      <c r="AJ90" s="209"/>
      <c r="AK90" s="266"/>
      <c r="AL90" s="209"/>
      <c r="AM90" s="266"/>
      <c r="AN90" s="208"/>
      <c r="AO90" s="208"/>
      <c r="AP90" s="209"/>
      <c r="AQ90" s="209"/>
      <c r="AR90" s="208"/>
      <c r="AS90" s="209"/>
      <c r="AT90" s="209"/>
      <c r="AU90" s="266"/>
      <c r="AV90" s="209"/>
      <c r="AW90" s="266"/>
      <c r="AX90" s="209"/>
      <c r="AY90" s="266"/>
      <c r="AZ90" s="267"/>
      <c r="BA90" s="266"/>
      <c r="BB90" s="267"/>
      <c r="BC90" s="266"/>
      <c r="BD90" s="209"/>
      <c r="BE90" s="266"/>
      <c r="BF90" s="209"/>
      <c r="BG90" s="266"/>
      <c r="BH90" s="208"/>
      <c r="BI90" s="208"/>
      <c r="BJ90" s="209"/>
      <c r="BK90" s="209"/>
      <c r="BL90" s="208"/>
      <c r="BM90" s="209"/>
      <c r="BN90" s="209"/>
      <c r="BO90" s="266"/>
      <c r="BP90" s="209"/>
      <c r="BQ90" s="266"/>
      <c r="BR90" s="209"/>
      <c r="BS90" s="266"/>
      <c r="BT90" s="267"/>
      <c r="BU90" s="266"/>
      <c r="BV90" s="209"/>
      <c r="BW90" s="266"/>
      <c r="BX90" s="209"/>
      <c r="BY90" s="266"/>
      <c r="BZ90" s="209"/>
      <c r="CA90" s="266"/>
      <c r="CB90" s="209"/>
      <c r="CC90" s="266"/>
      <c r="CD90" s="209"/>
      <c r="CE90" s="209"/>
      <c r="CF90" s="209"/>
      <c r="CG90" s="209"/>
      <c r="CH90" s="266"/>
      <c r="CI90" s="209"/>
      <c r="CJ90" s="209"/>
      <c r="CK90" s="266"/>
      <c r="CL90" s="209"/>
      <c r="CM90" s="266"/>
      <c r="CN90" s="209"/>
      <c r="CO90" s="209"/>
      <c r="CP90" s="209"/>
      <c r="CQ90" s="209"/>
      <c r="CR90" s="266"/>
      <c r="CS90" s="209"/>
      <c r="CT90" s="209"/>
      <c r="CU90" s="266"/>
      <c r="CV90" s="209"/>
      <c r="CW90" s="266"/>
      <c r="CX90" s="209"/>
      <c r="CY90" s="266"/>
    </row>
    <row r="91" spans="1:103" ht="24" hidden="1" customHeight="1" x14ac:dyDescent="0.3">
      <c r="A91" s="178">
        <v>2</v>
      </c>
      <c r="B91" s="179" t="s">
        <v>108</v>
      </c>
      <c r="C91" s="180">
        <f t="shared" si="84"/>
        <v>0</v>
      </c>
      <c r="D91" s="181">
        <v>0</v>
      </c>
      <c r="E91" s="187">
        <v>0</v>
      </c>
      <c r="F91" s="182">
        <f t="shared" si="1"/>
        <v>0</v>
      </c>
      <c r="G91" s="183">
        <f t="shared" si="2"/>
        <v>0</v>
      </c>
      <c r="H91" s="184">
        <f t="shared" si="85"/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0</v>
      </c>
      <c r="N91" s="185">
        <v>0</v>
      </c>
      <c r="O91" s="185">
        <f t="shared" si="41"/>
        <v>0</v>
      </c>
      <c r="P91" s="208"/>
      <c r="Q91" s="208"/>
      <c r="R91" s="209"/>
      <c r="S91" s="209"/>
      <c r="T91" s="208"/>
      <c r="U91" s="209"/>
      <c r="V91" s="209"/>
      <c r="W91" s="266"/>
      <c r="X91" s="209"/>
      <c r="Y91" s="266"/>
      <c r="Z91" s="209"/>
      <c r="AA91" s="266"/>
      <c r="AB91" s="208"/>
      <c r="AC91" s="208"/>
      <c r="AD91" s="209"/>
      <c r="AE91" s="209"/>
      <c r="AF91" s="208"/>
      <c r="AG91" s="209"/>
      <c r="AH91" s="209"/>
      <c r="AI91" s="266"/>
      <c r="AJ91" s="209"/>
      <c r="AK91" s="266"/>
      <c r="AL91" s="209"/>
      <c r="AM91" s="266"/>
      <c r="AN91" s="208"/>
      <c r="AO91" s="208"/>
      <c r="AP91" s="209"/>
      <c r="AQ91" s="209"/>
      <c r="AR91" s="208"/>
      <c r="AS91" s="209"/>
      <c r="AT91" s="209"/>
      <c r="AU91" s="266"/>
      <c r="AV91" s="209"/>
      <c r="AW91" s="266"/>
      <c r="AX91" s="209"/>
      <c r="AY91" s="266"/>
      <c r="AZ91" s="267"/>
      <c r="BA91" s="266"/>
      <c r="BB91" s="267"/>
      <c r="BC91" s="266"/>
      <c r="BD91" s="209"/>
      <c r="BE91" s="266"/>
      <c r="BF91" s="209"/>
      <c r="BG91" s="266"/>
      <c r="BH91" s="208"/>
      <c r="BI91" s="208"/>
      <c r="BJ91" s="209"/>
      <c r="BK91" s="209"/>
      <c r="BL91" s="208"/>
      <c r="BM91" s="209"/>
      <c r="BN91" s="209"/>
      <c r="BO91" s="266"/>
      <c r="BP91" s="209"/>
      <c r="BQ91" s="266"/>
      <c r="BR91" s="209"/>
      <c r="BS91" s="266"/>
      <c r="BT91" s="267"/>
      <c r="BU91" s="266"/>
      <c r="BV91" s="209"/>
      <c r="BW91" s="266"/>
      <c r="BX91" s="209"/>
      <c r="BY91" s="266"/>
      <c r="BZ91" s="209"/>
      <c r="CA91" s="266"/>
      <c r="CB91" s="209"/>
      <c r="CC91" s="266"/>
      <c r="CD91" s="209"/>
      <c r="CE91" s="209"/>
      <c r="CF91" s="209"/>
      <c r="CG91" s="209"/>
      <c r="CH91" s="266"/>
      <c r="CI91" s="209"/>
      <c r="CJ91" s="209"/>
      <c r="CK91" s="266"/>
      <c r="CL91" s="209"/>
      <c r="CM91" s="266"/>
      <c r="CN91" s="209"/>
      <c r="CO91" s="209"/>
      <c r="CP91" s="209"/>
      <c r="CQ91" s="209"/>
      <c r="CR91" s="266"/>
      <c r="CS91" s="209"/>
      <c r="CT91" s="209"/>
      <c r="CU91" s="266"/>
      <c r="CV91" s="209"/>
      <c r="CW91" s="266"/>
      <c r="CX91" s="209"/>
      <c r="CY91" s="266"/>
    </row>
    <row r="92" spans="1:103" ht="24" hidden="1" customHeight="1" x14ac:dyDescent="0.3">
      <c r="A92" s="178">
        <v>3</v>
      </c>
      <c r="B92" s="179" t="s">
        <v>109</v>
      </c>
      <c r="C92" s="180">
        <f t="shared" si="84"/>
        <v>0</v>
      </c>
      <c r="D92" s="181">
        <v>0</v>
      </c>
      <c r="E92" s="187">
        <v>0</v>
      </c>
      <c r="F92" s="182">
        <f t="shared" si="1"/>
        <v>0</v>
      </c>
      <c r="G92" s="183">
        <f t="shared" si="2"/>
        <v>0</v>
      </c>
      <c r="H92" s="184">
        <f t="shared" si="85"/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0</v>
      </c>
      <c r="N92" s="185">
        <v>0</v>
      </c>
      <c r="O92" s="185">
        <f t="shared" si="41"/>
        <v>0</v>
      </c>
      <c r="P92" s="208"/>
      <c r="Q92" s="208"/>
      <c r="R92" s="209"/>
      <c r="S92" s="209"/>
      <c r="T92" s="208"/>
      <c r="U92" s="209"/>
      <c r="V92" s="209"/>
      <c r="W92" s="266"/>
      <c r="X92" s="209"/>
      <c r="Y92" s="266"/>
      <c r="Z92" s="209"/>
      <c r="AA92" s="266"/>
      <c r="AB92" s="208"/>
      <c r="AC92" s="208"/>
      <c r="AD92" s="209"/>
      <c r="AE92" s="209"/>
      <c r="AF92" s="208"/>
      <c r="AG92" s="209"/>
      <c r="AH92" s="209"/>
      <c r="AI92" s="266"/>
      <c r="AJ92" s="209"/>
      <c r="AK92" s="266"/>
      <c r="AL92" s="209"/>
      <c r="AM92" s="266"/>
      <c r="AN92" s="208"/>
      <c r="AO92" s="208"/>
      <c r="AP92" s="209"/>
      <c r="AQ92" s="209"/>
      <c r="AR92" s="208"/>
      <c r="AS92" s="209"/>
      <c r="AT92" s="209"/>
      <c r="AU92" s="266"/>
      <c r="AV92" s="209"/>
      <c r="AW92" s="266"/>
      <c r="AX92" s="209"/>
      <c r="AY92" s="266"/>
      <c r="AZ92" s="267"/>
      <c r="BA92" s="266"/>
      <c r="BB92" s="267"/>
      <c r="BC92" s="266"/>
      <c r="BD92" s="209"/>
      <c r="BE92" s="266"/>
      <c r="BF92" s="209"/>
      <c r="BG92" s="266"/>
      <c r="BH92" s="208"/>
      <c r="BI92" s="208"/>
      <c r="BJ92" s="209"/>
      <c r="BK92" s="209"/>
      <c r="BL92" s="208"/>
      <c r="BM92" s="209"/>
      <c r="BN92" s="209"/>
      <c r="BO92" s="266"/>
      <c r="BP92" s="209"/>
      <c r="BQ92" s="266"/>
      <c r="BR92" s="209"/>
      <c r="BS92" s="266"/>
      <c r="BT92" s="267"/>
      <c r="BU92" s="266"/>
      <c r="BV92" s="209"/>
      <c r="BW92" s="266"/>
      <c r="BX92" s="209"/>
      <c r="BY92" s="266"/>
      <c r="BZ92" s="209"/>
      <c r="CA92" s="266"/>
      <c r="CB92" s="209"/>
      <c r="CC92" s="266"/>
      <c r="CD92" s="209"/>
      <c r="CE92" s="209"/>
      <c r="CF92" s="209"/>
      <c r="CG92" s="209"/>
      <c r="CH92" s="266"/>
      <c r="CI92" s="209"/>
      <c r="CJ92" s="209"/>
      <c r="CK92" s="266"/>
      <c r="CL92" s="209"/>
      <c r="CM92" s="266"/>
      <c r="CN92" s="209"/>
      <c r="CO92" s="209"/>
      <c r="CP92" s="209"/>
      <c r="CQ92" s="209"/>
      <c r="CR92" s="266"/>
      <c r="CS92" s="209"/>
      <c r="CT92" s="209"/>
      <c r="CU92" s="266"/>
      <c r="CV92" s="209"/>
      <c r="CW92" s="266"/>
      <c r="CX92" s="209"/>
      <c r="CY92" s="266"/>
    </row>
    <row r="93" spans="1:103" ht="24" hidden="1" customHeight="1" x14ac:dyDescent="0.3">
      <c r="A93" s="178">
        <f t="shared" ref="A93:A103" si="86">+A92+1</f>
        <v>4</v>
      </c>
      <c r="B93" s="179" t="s">
        <v>110</v>
      </c>
      <c r="C93" s="180">
        <f t="shared" si="84"/>
        <v>0</v>
      </c>
      <c r="D93" s="181">
        <v>0</v>
      </c>
      <c r="E93" s="187">
        <v>0</v>
      </c>
      <c r="F93" s="182">
        <f t="shared" si="1"/>
        <v>0</v>
      </c>
      <c r="G93" s="183">
        <f t="shared" si="2"/>
        <v>0</v>
      </c>
      <c r="H93" s="184">
        <f t="shared" si="85"/>
        <v>0</v>
      </c>
      <c r="I93" s="187">
        <v>0</v>
      </c>
      <c r="J93" s="187">
        <v>0</v>
      </c>
      <c r="K93" s="187">
        <v>0</v>
      </c>
      <c r="L93" s="187">
        <v>0</v>
      </c>
      <c r="M93" s="187">
        <v>0</v>
      </c>
      <c r="N93" s="185">
        <v>0</v>
      </c>
      <c r="O93" s="185">
        <f t="shared" si="41"/>
        <v>0</v>
      </c>
      <c r="P93" s="208"/>
      <c r="Q93" s="208"/>
      <c r="R93" s="209"/>
      <c r="S93" s="209"/>
      <c r="T93" s="208"/>
      <c r="U93" s="209"/>
      <c r="V93" s="209"/>
      <c r="W93" s="266"/>
      <c r="X93" s="209"/>
      <c r="Y93" s="266"/>
      <c r="Z93" s="209"/>
      <c r="AA93" s="266"/>
      <c r="AB93" s="208"/>
      <c r="AC93" s="208"/>
      <c r="AD93" s="209"/>
      <c r="AE93" s="209"/>
      <c r="AF93" s="208"/>
      <c r="AG93" s="209"/>
      <c r="AH93" s="209"/>
      <c r="AI93" s="266"/>
      <c r="AJ93" s="209"/>
      <c r="AK93" s="266"/>
      <c r="AL93" s="209"/>
      <c r="AM93" s="266"/>
      <c r="AN93" s="208"/>
      <c r="AO93" s="208"/>
      <c r="AP93" s="209"/>
      <c r="AQ93" s="209"/>
      <c r="AR93" s="208"/>
      <c r="AS93" s="209"/>
      <c r="AT93" s="209"/>
      <c r="AU93" s="266"/>
      <c r="AV93" s="209"/>
      <c r="AW93" s="266"/>
      <c r="AX93" s="209"/>
      <c r="AY93" s="266"/>
      <c r="AZ93" s="267"/>
      <c r="BA93" s="266"/>
      <c r="BB93" s="267"/>
      <c r="BC93" s="266"/>
      <c r="BD93" s="209"/>
      <c r="BE93" s="266"/>
      <c r="BF93" s="209"/>
      <c r="BG93" s="266"/>
      <c r="BH93" s="208"/>
      <c r="BI93" s="208"/>
      <c r="BJ93" s="209"/>
      <c r="BK93" s="209"/>
      <c r="BL93" s="208"/>
      <c r="BM93" s="209"/>
      <c r="BN93" s="209"/>
      <c r="BO93" s="266"/>
      <c r="BP93" s="209"/>
      <c r="BQ93" s="266"/>
      <c r="BR93" s="209"/>
      <c r="BS93" s="266"/>
      <c r="BT93" s="267"/>
      <c r="BU93" s="266"/>
      <c r="BV93" s="209"/>
      <c r="BW93" s="266"/>
      <c r="BX93" s="209"/>
      <c r="BY93" s="266"/>
      <c r="BZ93" s="209"/>
      <c r="CA93" s="266"/>
      <c r="CB93" s="209"/>
      <c r="CC93" s="266"/>
      <c r="CD93" s="209"/>
      <c r="CE93" s="209"/>
      <c r="CF93" s="209"/>
      <c r="CG93" s="209"/>
      <c r="CH93" s="266"/>
      <c r="CI93" s="209"/>
      <c r="CJ93" s="209"/>
      <c r="CK93" s="266"/>
      <c r="CL93" s="209"/>
      <c r="CM93" s="266"/>
      <c r="CN93" s="209"/>
      <c r="CO93" s="209"/>
      <c r="CP93" s="209"/>
      <c r="CQ93" s="209"/>
      <c r="CR93" s="266"/>
      <c r="CS93" s="209"/>
      <c r="CT93" s="209"/>
      <c r="CU93" s="266"/>
      <c r="CV93" s="209"/>
      <c r="CW93" s="266"/>
      <c r="CX93" s="209"/>
      <c r="CY93" s="266"/>
    </row>
    <row r="94" spans="1:103" ht="24" hidden="1" customHeight="1" x14ac:dyDescent="0.3">
      <c r="A94" s="178">
        <f t="shared" si="86"/>
        <v>5</v>
      </c>
      <c r="B94" s="179" t="s">
        <v>111</v>
      </c>
      <c r="C94" s="180">
        <f t="shared" si="84"/>
        <v>0</v>
      </c>
      <c r="D94" s="181">
        <v>0</v>
      </c>
      <c r="E94" s="187">
        <v>0</v>
      </c>
      <c r="F94" s="182">
        <f t="shared" si="1"/>
        <v>0</v>
      </c>
      <c r="G94" s="183">
        <f t="shared" si="2"/>
        <v>0</v>
      </c>
      <c r="H94" s="184">
        <f t="shared" si="85"/>
        <v>0</v>
      </c>
      <c r="I94" s="187">
        <v>0</v>
      </c>
      <c r="J94" s="187">
        <v>0</v>
      </c>
      <c r="K94" s="187">
        <v>0</v>
      </c>
      <c r="L94" s="187">
        <v>0</v>
      </c>
      <c r="M94" s="187">
        <v>0</v>
      </c>
      <c r="N94" s="185">
        <v>0</v>
      </c>
      <c r="O94" s="185">
        <f t="shared" si="41"/>
        <v>0</v>
      </c>
      <c r="P94" s="208"/>
      <c r="Q94" s="208"/>
      <c r="R94" s="209"/>
      <c r="S94" s="209"/>
      <c r="T94" s="208"/>
      <c r="U94" s="209"/>
      <c r="V94" s="209"/>
      <c r="W94" s="266"/>
      <c r="X94" s="209"/>
      <c r="Y94" s="266"/>
      <c r="Z94" s="209"/>
      <c r="AA94" s="266"/>
      <c r="AB94" s="208"/>
      <c r="AC94" s="208"/>
      <c r="AD94" s="209"/>
      <c r="AE94" s="209"/>
      <c r="AF94" s="208"/>
      <c r="AG94" s="209"/>
      <c r="AH94" s="209"/>
      <c r="AI94" s="266"/>
      <c r="AJ94" s="209"/>
      <c r="AK94" s="266"/>
      <c r="AL94" s="209"/>
      <c r="AM94" s="266"/>
      <c r="AN94" s="208"/>
      <c r="AO94" s="208"/>
      <c r="AP94" s="209"/>
      <c r="AQ94" s="209"/>
      <c r="AR94" s="208"/>
      <c r="AS94" s="209"/>
      <c r="AT94" s="209"/>
      <c r="AU94" s="266"/>
      <c r="AV94" s="209"/>
      <c r="AW94" s="266"/>
      <c r="AX94" s="209"/>
      <c r="AY94" s="266"/>
      <c r="AZ94" s="267"/>
      <c r="BA94" s="266"/>
      <c r="BB94" s="267"/>
      <c r="BC94" s="266"/>
      <c r="BD94" s="209"/>
      <c r="BE94" s="266"/>
      <c r="BF94" s="209"/>
      <c r="BG94" s="266"/>
      <c r="BH94" s="208"/>
      <c r="BI94" s="208"/>
      <c r="BJ94" s="209"/>
      <c r="BK94" s="209"/>
      <c r="BL94" s="208"/>
      <c r="BM94" s="209"/>
      <c r="BN94" s="209"/>
      <c r="BO94" s="266"/>
      <c r="BP94" s="209"/>
      <c r="BQ94" s="266"/>
      <c r="BR94" s="209"/>
      <c r="BS94" s="266"/>
      <c r="BT94" s="267"/>
      <c r="BU94" s="266"/>
      <c r="BV94" s="209"/>
      <c r="BW94" s="266"/>
      <c r="BX94" s="209"/>
      <c r="BY94" s="266"/>
      <c r="BZ94" s="209"/>
      <c r="CA94" s="266"/>
      <c r="CB94" s="209"/>
      <c r="CC94" s="266"/>
      <c r="CD94" s="209"/>
      <c r="CE94" s="209"/>
      <c r="CF94" s="209"/>
      <c r="CG94" s="209"/>
      <c r="CH94" s="266"/>
      <c r="CI94" s="209"/>
      <c r="CJ94" s="209"/>
      <c r="CK94" s="266"/>
      <c r="CL94" s="209"/>
      <c r="CM94" s="266"/>
      <c r="CN94" s="209"/>
      <c r="CO94" s="209"/>
      <c r="CP94" s="209"/>
      <c r="CQ94" s="209"/>
      <c r="CR94" s="266"/>
      <c r="CS94" s="209"/>
      <c r="CT94" s="209"/>
      <c r="CU94" s="266"/>
      <c r="CV94" s="209"/>
      <c r="CW94" s="266"/>
      <c r="CX94" s="209"/>
      <c r="CY94" s="266"/>
    </row>
    <row r="95" spans="1:103" ht="24" hidden="1" customHeight="1" x14ac:dyDescent="0.3">
      <c r="A95" s="178">
        <f t="shared" si="86"/>
        <v>6</v>
      </c>
      <c r="B95" s="179" t="s">
        <v>112</v>
      </c>
      <c r="C95" s="180">
        <f t="shared" si="84"/>
        <v>0</v>
      </c>
      <c r="D95" s="181">
        <v>0</v>
      </c>
      <c r="E95" s="187">
        <v>0</v>
      </c>
      <c r="F95" s="182">
        <f t="shared" si="1"/>
        <v>0</v>
      </c>
      <c r="G95" s="183">
        <f t="shared" si="2"/>
        <v>0</v>
      </c>
      <c r="H95" s="184">
        <f t="shared" si="85"/>
        <v>0</v>
      </c>
      <c r="I95" s="187">
        <v>0</v>
      </c>
      <c r="J95" s="187">
        <v>0</v>
      </c>
      <c r="K95" s="187">
        <v>0</v>
      </c>
      <c r="L95" s="187">
        <v>0</v>
      </c>
      <c r="M95" s="187">
        <v>0</v>
      </c>
      <c r="N95" s="185">
        <v>0</v>
      </c>
      <c r="O95" s="185">
        <f t="shared" si="41"/>
        <v>0</v>
      </c>
      <c r="P95" s="208"/>
      <c r="Q95" s="208"/>
      <c r="R95" s="209"/>
      <c r="S95" s="209"/>
      <c r="T95" s="208"/>
      <c r="U95" s="209"/>
      <c r="V95" s="209"/>
      <c r="W95" s="266"/>
      <c r="X95" s="209"/>
      <c r="Y95" s="266"/>
      <c r="Z95" s="209"/>
      <c r="AA95" s="266"/>
      <c r="AB95" s="208"/>
      <c r="AC95" s="208"/>
      <c r="AD95" s="209"/>
      <c r="AE95" s="209"/>
      <c r="AF95" s="208"/>
      <c r="AG95" s="209"/>
      <c r="AH95" s="209"/>
      <c r="AI95" s="266"/>
      <c r="AJ95" s="209"/>
      <c r="AK95" s="266"/>
      <c r="AL95" s="209"/>
      <c r="AM95" s="266"/>
      <c r="AN95" s="208"/>
      <c r="AO95" s="208"/>
      <c r="AP95" s="209"/>
      <c r="AQ95" s="209"/>
      <c r="AR95" s="208"/>
      <c r="AS95" s="209"/>
      <c r="AT95" s="209"/>
      <c r="AU95" s="266"/>
      <c r="AV95" s="209"/>
      <c r="AW95" s="266"/>
      <c r="AX95" s="209"/>
      <c r="AY95" s="266"/>
      <c r="AZ95" s="267"/>
      <c r="BA95" s="266"/>
      <c r="BB95" s="267"/>
      <c r="BC95" s="266"/>
      <c r="BD95" s="209"/>
      <c r="BE95" s="266"/>
      <c r="BF95" s="209"/>
      <c r="BG95" s="266"/>
      <c r="BH95" s="208"/>
      <c r="BI95" s="208"/>
      <c r="BJ95" s="209"/>
      <c r="BK95" s="209"/>
      <c r="BL95" s="208"/>
      <c r="BM95" s="209"/>
      <c r="BN95" s="209"/>
      <c r="BO95" s="266"/>
      <c r="BP95" s="209"/>
      <c r="BQ95" s="266"/>
      <c r="BR95" s="209"/>
      <c r="BS95" s="266"/>
      <c r="BT95" s="267"/>
      <c r="BU95" s="266"/>
      <c r="BV95" s="209"/>
      <c r="BW95" s="266"/>
      <c r="BX95" s="209"/>
      <c r="BY95" s="266"/>
      <c r="BZ95" s="209"/>
      <c r="CA95" s="266"/>
      <c r="CB95" s="209"/>
      <c r="CC95" s="266"/>
      <c r="CD95" s="209"/>
      <c r="CE95" s="209"/>
      <c r="CF95" s="209"/>
      <c r="CG95" s="209"/>
      <c r="CH95" s="266"/>
      <c r="CI95" s="209"/>
      <c r="CJ95" s="209"/>
      <c r="CK95" s="266"/>
      <c r="CL95" s="209"/>
      <c r="CM95" s="266"/>
      <c r="CN95" s="209"/>
      <c r="CO95" s="209"/>
      <c r="CP95" s="209"/>
      <c r="CQ95" s="209"/>
      <c r="CR95" s="266"/>
      <c r="CS95" s="209"/>
      <c r="CT95" s="209"/>
      <c r="CU95" s="266"/>
      <c r="CV95" s="209"/>
      <c r="CW95" s="266"/>
      <c r="CX95" s="209"/>
      <c r="CY95" s="266"/>
    </row>
    <row r="96" spans="1:103" ht="24" hidden="1" customHeight="1" x14ac:dyDescent="0.3">
      <c r="A96" s="178">
        <f t="shared" si="86"/>
        <v>7</v>
      </c>
      <c r="B96" s="179" t="s">
        <v>113</v>
      </c>
      <c r="C96" s="180">
        <f t="shared" si="84"/>
        <v>0</v>
      </c>
      <c r="D96" s="181">
        <v>0</v>
      </c>
      <c r="E96" s="187">
        <v>0</v>
      </c>
      <c r="F96" s="182">
        <f t="shared" si="1"/>
        <v>0</v>
      </c>
      <c r="G96" s="183">
        <f t="shared" si="2"/>
        <v>0</v>
      </c>
      <c r="H96" s="184">
        <f t="shared" si="85"/>
        <v>0</v>
      </c>
      <c r="I96" s="187">
        <v>0</v>
      </c>
      <c r="J96" s="187">
        <v>0</v>
      </c>
      <c r="K96" s="187">
        <v>0</v>
      </c>
      <c r="L96" s="187">
        <v>0</v>
      </c>
      <c r="M96" s="187">
        <v>0</v>
      </c>
      <c r="N96" s="185">
        <v>0</v>
      </c>
      <c r="O96" s="185">
        <f t="shared" si="41"/>
        <v>0</v>
      </c>
      <c r="P96" s="208"/>
      <c r="Q96" s="208"/>
      <c r="R96" s="209"/>
      <c r="S96" s="209"/>
      <c r="T96" s="208"/>
      <c r="U96" s="209"/>
      <c r="V96" s="209"/>
      <c r="W96" s="266"/>
      <c r="X96" s="209"/>
      <c r="Y96" s="266"/>
      <c r="Z96" s="209"/>
      <c r="AA96" s="266"/>
      <c r="AB96" s="208"/>
      <c r="AC96" s="208"/>
      <c r="AD96" s="209"/>
      <c r="AE96" s="209"/>
      <c r="AF96" s="208"/>
      <c r="AG96" s="209"/>
      <c r="AH96" s="209"/>
      <c r="AI96" s="266"/>
      <c r="AJ96" s="209"/>
      <c r="AK96" s="266"/>
      <c r="AL96" s="209"/>
      <c r="AM96" s="266"/>
      <c r="AN96" s="208"/>
      <c r="AO96" s="208"/>
      <c r="AP96" s="209"/>
      <c r="AQ96" s="209"/>
      <c r="AR96" s="208"/>
      <c r="AS96" s="209"/>
      <c r="AT96" s="209"/>
      <c r="AU96" s="266"/>
      <c r="AV96" s="209"/>
      <c r="AW96" s="266"/>
      <c r="AX96" s="209"/>
      <c r="AY96" s="266"/>
      <c r="AZ96" s="267"/>
      <c r="BA96" s="266"/>
      <c r="BB96" s="267"/>
      <c r="BC96" s="266"/>
      <c r="BD96" s="209"/>
      <c r="BE96" s="266"/>
      <c r="BF96" s="209"/>
      <c r="BG96" s="266"/>
      <c r="BH96" s="208"/>
      <c r="BI96" s="208"/>
      <c r="BJ96" s="209"/>
      <c r="BK96" s="209"/>
      <c r="BL96" s="208"/>
      <c r="BM96" s="209"/>
      <c r="BN96" s="209"/>
      <c r="BO96" s="266"/>
      <c r="BP96" s="209"/>
      <c r="BQ96" s="266"/>
      <c r="BR96" s="209"/>
      <c r="BS96" s="266"/>
      <c r="BT96" s="267"/>
      <c r="BU96" s="266"/>
      <c r="BV96" s="209"/>
      <c r="BW96" s="266"/>
      <c r="BX96" s="209"/>
      <c r="BY96" s="266"/>
      <c r="BZ96" s="209"/>
      <c r="CA96" s="266"/>
      <c r="CB96" s="209"/>
      <c r="CC96" s="266"/>
      <c r="CD96" s="209"/>
      <c r="CE96" s="209"/>
      <c r="CF96" s="209"/>
      <c r="CG96" s="209"/>
      <c r="CH96" s="266"/>
      <c r="CI96" s="209"/>
      <c r="CJ96" s="209"/>
      <c r="CK96" s="266"/>
      <c r="CL96" s="209"/>
      <c r="CM96" s="266"/>
      <c r="CN96" s="209"/>
      <c r="CO96" s="209"/>
      <c r="CP96" s="209"/>
      <c r="CQ96" s="209"/>
      <c r="CR96" s="266"/>
      <c r="CS96" s="209"/>
      <c r="CT96" s="209"/>
      <c r="CU96" s="266"/>
      <c r="CV96" s="209"/>
      <c r="CW96" s="266"/>
      <c r="CX96" s="209"/>
      <c r="CY96" s="266"/>
    </row>
    <row r="97" spans="1:103" ht="24" hidden="1" customHeight="1" x14ac:dyDescent="0.3">
      <c r="A97" s="178">
        <f t="shared" si="86"/>
        <v>8</v>
      </c>
      <c r="B97" s="179" t="s">
        <v>114</v>
      </c>
      <c r="C97" s="180">
        <f t="shared" si="84"/>
        <v>0</v>
      </c>
      <c r="D97" s="181">
        <v>0</v>
      </c>
      <c r="E97" s="187">
        <v>0</v>
      </c>
      <c r="F97" s="182">
        <f t="shared" si="1"/>
        <v>0</v>
      </c>
      <c r="G97" s="183">
        <f t="shared" si="2"/>
        <v>0</v>
      </c>
      <c r="H97" s="184">
        <f t="shared" si="85"/>
        <v>0</v>
      </c>
      <c r="I97" s="187">
        <v>0</v>
      </c>
      <c r="J97" s="187">
        <v>0</v>
      </c>
      <c r="K97" s="187">
        <v>0</v>
      </c>
      <c r="L97" s="187">
        <v>0</v>
      </c>
      <c r="M97" s="187">
        <v>0</v>
      </c>
      <c r="N97" s="185">
        <v>0</v>
      </c>
      <c r="O97" s="185">
        <f t="shared" si="41"/>
        <v>0</v>
      </c>
      <c r="P97" s="208"/>
      <c r="Q97" s="208"/>
      <c r="R97" s="209"/>
      <c r="S97" s="209"/>
      <c r="T97" s="208"/>
      <c r="U97" s="209"/>
      <c r="V97" s="209"/>
      <c r="W97" s="266"/>
      <c r="X97" s="209"/>
      <c r="Y97" s="266"/>
      <c r="Z97" s="209"/>
      <c r="AA97" s="266"/>
      <c r="AB97" s="208"/>
      <c r="AC97" s="208"/>
      <c r="AD97" s="209"/>
      <c r="AE97" s="209"/>
      <c r="AF97" s="208"/>
      <c r="AG97" s="209"/>
      <c r="AH97" s="209"/>
      <c r="AI97" s="266"/>
      <c r="AJ97" s="209"/>
      <c r="AK97" s="266"/>
      <c r="AL97" s="209"/>
      <c r="AM97" s="266"/>
      <c r="AN97" s="208"/>
      <c r="AO97" s="208"/>
      <c r="AP97" s="209"/>
      <c r="AQ97" s="209"/>
      <c r="AR97" s="208"/>
      <c r="AS97" s="209"/>
      <c r="AT97" s="209"/>
      <c r="AU97" s="266"/>
      <c r="AV97" s="209"/>
      <c r="AW97" s="266"/>
      <c r="AX97" s="209"/>
      <c r="AY97" s="266"/>
      <c r="AZ97" s="267"/>
      <c r="BA97" s="266"/>
      <c r="BB97" s="267"/>
      <c r="BC97" s="266"/>
      <c r="BD97" s="209"/>
      <c r="BE97" s="266"/>
      <c r="BF97" s="209"/>
      <c r="BG97" s="266"/>
      <c r="BH97" s="208"/>
      <c r="BI97" s="208"/>
      <c r="BJ97" s="209"/>
      <c r="BK97" s="209"/>
      <c r="BL97" s="208"/>
      <c r="BM97" s="209"/>
      <c r="BN97" s="209"/>
      <c r="BO97" s="266"/>
      <c r="BP97" s="209"/>
      <c r="BQ97" s="266"/>
      <c r="BR97" s="209"/>
      <c r="BS97" s="266"/>
      <c r="BT97" s="267"/>
      <c r="BU97" s="266"/>
      <c r="BV97" s="209"/>
      <c r="BW97" s="266"/>
      <c r="BX97" s="209"/>
      <c r="BY97" s="266"/>
      <c r="BZ97" s="209"/>
      <c r="CA97" s="266"/>
      <c r="CB97" s="209"/>
      <c r="CC97" s="266"/>
      <c r="CD97" s="209"/>
      <c r="CE97" s="209"/>
      <c r="CF97" s="209"/>
      <c r="CG97" s="209"/>
      <c r="CH97" s="266"/>
      <c r="CI97" s="209"/>
      <c r="CJ97" s="209"/>
      <c r="CK97" s="266"/>
      <c r="CL97" s="209"/>
      <c r="CM97" s="266"/>
      <c r="CN97" s="209"/>
      <c r="CO97" s="209"/>
      <c r="CP97" s="209"/>
      <c r="CQ97" s="209"/>
      <c r="CR97" s="266"/>
      <c r="CS97" s="209"/>
      <c r="CT97" s="209"/>
      <c r="CU97" s="266"/>
      <c r="CV97" s="209"/>
      <c r="CW97" s="266"/>
      <c r="CX97" s="209"/>
      <c r="CY97" s="266"/>
    </row>
    <row r="98" spans="1:103" ht="24" hidden="1" customHeight="1" x14ac:dyDescent="0.3">
      <c r="A98" s="178">
        <f t="shared" si="86"/>
        <v>9</v>
      </c>
      <c r="B98" s="179" t="s">
        <v>115</v>
      </c>
      <c r="C98" s="180">
        <f t="shared" si="84"/>
        <v>0</v>
      </c>
      <c r="D98" s="181">
        <v>0</v>
      </c>
      <c r="E98" s="187">
        <v>0</v>
      </c>
      <c r="F98" s="182">
        <f t="shared" si="1"/>
        <v>0</v>
      </c>
      <c r="G98" s="183">
        <f t="shared" si="2"/>
        <v>0</v>
      </c>
      <c r="H98" s="184">
        <f t="shared" si="85"/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0</v>
      </c>
      <c r="N98" s="185">
        <v>0</v>
      </c>
      <c r="O98" s="185">
        <f t="shared" si="41"/>
        <v>0</v>
      </c>
      <c r="P98" s="208"/>
      <c r="Q98" s="208"/>
      <c r="R98" s="209"/>
      <c r="S98" s="209"/>
      <c r="T98" s="208"/>
      <c r="U98" s="209"/>
      <c r="V98" s="209"/>
      <c r="W98" s="266"/>
      <c r="X98" s="209"/>
      <c r="Y98" s="266"/>
      <c r="Z98" s="209"/>
      <c r="AA98" s="266"/>
      <c r="AB98" s="208"/>
      <c r="AC98" s="208"/>
      <c r="AD98" s="209"/>
      <c r="AE98" s="209"/>
      <c r="AF98" s="208"/>
      <c r="AG98" s="209"/>
      <c r="AH98" s="209"/>
      <c r="AI98" s="266"/>
      <c r="AJ98" s="209"/>
      <c r="AK98" s="266"/>
      <c r="AL98" s="209"/>
      <c r="AM98" s="266"/>
      <c r="AN98" s="208"/>
      <c r="AO98" s="208"/>
      <c r="AP98" s="209"/>
      <c r="AQ98" s="209"/>
      <c r="AR98" s="208"/>
      <c r="AS98" s="209"/>
      <c r="AT98" s="209"/>
      <c r="AU98" s="266"/>
      <c r="AV98" s="209"/>
      <c r="AW98" s="266"/>
      <c r="AX98" s="209"/>
      <c r="AY98" s="266"/>
      <c r="AZ98" s="267"/>
      <c r="BA98" s="266"/>
      <c r="BB98" s="267"/>
      <c r="BC98" s="266"/>
      <c r="BD98" s="209"/>
      <c r="BE98" s="266"/>
      <c r="BF98" s="209"/>
      <c r="BG98" s="266"/>
      <c r="BH98" s="208"/>
      <c r="BI98" s="208"/>
      <c r="BJ98" s="209"/>
      <c r="BK98" s="209"/>
      <c r="BL98" s="208"/>
      <c r="BM98" s="209"/>
      <c r="BN98" s="209"/>
      <c r="BO98" s="266"/>
      <c r="BP98" s="209"/>
      <c r="BQ98" s="266"/>
      <c r="BR98" s="209"/>
      <c r="BS98" s="266"/>
      <c r="BT98" s="267"/>
      <c r="BU98" s="266"/>
      <c r="BV98" s="209"/>
      <c r="BW98" s="266"/>
      <c r="BX98" s="209"/>
      <c r="BY98" s="266"/>
      <c r="BZ98" s="209"/>
      <c r="CA98" s="266"/>
      <c r="CB98" s="209"/>
      <c r="CC98" s="266"/>
      <c r="CD98" s="209"/>
      <c r="CE98" s="209"/>
      <c r="CF98" s="209"/>
      <c r="CG98" s="209"/>
      <c r="CH98" s="266"/>
      <c r="CI98" s="209"/>
      <c r="CJ98" s="209"/>
      <c r="CK98" s="266"/>
      <c r="CL98" s="209"/>
      <c r="CM98" s="266"/>
      <c r="CN98" s="209"/>
      <c r="CO98" s="209"/>
      <c r="CP98" s="209"/>
      <c r="CQ98" s="209"/>
      <c r="CR98" s="266"/>
      <c r="CS98" s="209"/>
      <c r="CT98" s="209"/>
      <c r="CU98" s="266"/>
      <c r="CV98" s="209"/>
      <c r="CW98" s="266"/>
      <c r="CX98" s="209"/>
      <c r="CY98" s="266"/>
    </row>
    <row r="99" spans="1:103" ht="24" hidden="1" customHeight="1" x14ac:dyDescent="0.3">
      <c r="A99" s="178">
        <f t="shared" si="86"/>
        <v>10</v>
      </c>
      <c r="B99" s="179" t="s">
        <v>116</v>
      </c>
      <c r="C99" s="180">
        <f t="shared" si="84"/>
        <v>0</v>
      </c>
      <c r="D99" s="181">
        <v>0</v>
      </c>
      <c r="E99" s="187">
        <v>0</v>
      </c>
      <c r="F99" s="182">
        <f t="shared" si="1"/>
        <v>0</v>
      </c>
      <c r="G99" s="183">
        <f t="shared" si="2"/>
        <v>0</v>
      </c>
      <c r="H99" s="184">
        <f t="shared" si="85"/>
        <v>0</v>
      </c>
      <c r="I99" s="187">
        <v>0</v>
      </c>
      <c r="J99" s="187">
        <v>0</v>
      </c>
      <c r="K99" s="187">
        <v>0</v>
      </c>
      <c r="L99" s="187">
        <v>0</v>
      </c>
      <c r="M99" s="187">
        <v>0</v>
      </c>
      <c r="N99" s="185">
        <v>0</v>
      </c>
      <c r="O99" s="185">
        <f t="shared" si="41"/>
        <v>0</v>
      </c>
      <c r="P99" s="208"/>
      <c r="Q99" s="208"/>
      <c r="R99" s="209"/>
      <c r="S99" s="209"/>
      <c r="T99" s="208"/>
      <c r="U99" s="209"/>
      <c r="V99" s="209"/>
      <c r="W99" s="266"/>
      <c r="X99" s="209"/>
      <c r="Y99" s="266"/>
      <c r="Z99" s="209"/>
      <c r="AA99" s="266"/>
      <c r="AB99" s="208"/>
      <c r="AC99" s="208"/>
      <c r="AD99" s="209"/>
      <c r="AE99" s="209"/>
      <c r="AF99" s="208"/>
      <c r="AG99" s="209"/>
      <c r="AH99" s="209"/>
      <c r="AI99" s="266"/>
      <c r="AJ99" s="209"/>
      <c r="AK99" s="266"/>
      <c r="AL99" s="209"/>
      <c r="AM99" s="266"/>
      <c r="AN99" s="208"/>
      <c r="AO99" s="208"/>
      <c r="AP99" s="209"/>
      <c r="AQ99" s="209"/>
      <c r="AR99" s="208"/>
      <c r="AS99" s="209"/>
      <c r="AT99" s="209"/>
      <c r="AU99" s="266"/>
      <c r="AV99" s="209"/>
      <c r="AW99" s="266"/>
      <c r="AX99" s="209"/>
      <c r="AY99" s="266"/>
      <c r="AZ99" s="267"/>
      <c r="BA99" s="266"/>
      <c r="BB99" s="267"/>
      <c r="BC99" s="266"/>
      <c r="BD99" s="209"/>
      <c r="BE99" s="266"/>
      <c r="BF99" s="209"/>
      <c r="BG99" s="266"/>
      <c r="BH99" s="208"/>
      <c r="BI99" s="208"/>
      <c r="BJ99" s="209"/>
      <c r="BK99" s="209"/>
      <c r="BL99" s="208"/>
      <c r="BM99" s="209"/>
      <c r="BN99" s="209"/>
      <c r="BO99" s="266"/>
      <c r="BP99" s="209"/>
      <c r="BQ99" s="266"/>
      <c r="BR99" s="209"/>
      <c r="BS99" s="266"/>
      <c r="BT99" s="267"/>
      <c r="BU99" s="266"/>
      <c r="BV99" s="209"/>
      <c r="BW99" s="266"/>
      <c r="BX99" s="209"/>
      <c r="BY99" s="266"/>
      <c r="BZ99" s="209"/>
      <c r="CA99" s="266"/>
      <c r="CB99" s="209"/>
      <c r="CC99" s="266"/>
      <c r="CD99" s="209"/>
      <c r="CE99" s="209"/>
      <c r="CF99" s="209"/>
      <c r="CG99" s="209"/>
      <c r="CH99" s="266"/>
      <c r="CI99" s="209"/>
      <c r="CJ99" s="209"/>
      <c r="CK99" s="266"/>
      <c r="CL99" s="209"/>
      <c r="CM99" s="266"/>
      <c r="CN99" s="209"/>
      <c r="CO99" s="209"/>
      <c r="CP99" s="209"/>
      <c r="CQ99" s="209"/>
      <c r="CR99" s="266"/>
      <c r="CS99" s="209"/>
      <c r="CT99" s="209"/>
      <c r="CU99" s="266"/>
      <c r="CV99" s="209"/>
      <c r="CW99" s="266"/>
      <c r="CX99" s="209"/>
      <c r="CY99" s="266"/>
    </row>
    <row r="100" spans="1:103" ht="24" hidden="1" customHeight="1" x14ac:dyDescent="0.3">
      <c r="A100" s="178">
        <f t="shared" si="86"/>
        <v>11</v>
      </c>
      <c r="B100" s="179" t="s">
        <v>117</v>
      </c>
      <c r="C100" s="180">
        <f t="shared" si="84"/>
        <v>0</v>
      </c>
      <c r="D100" s="181">
        <v>0</v>
      </c>
      <c r="E100" s="187">
        <v>0</v>
      </c>
      <c r="F100" s="182">
        <f t="shared" si="1"/>
        <v>0</v>
      </c>
      <c r="G100" s="183">
        <f t="shared" si="2"/>
        <v>0</v>
      </c>
      <c r="H100" s="184">
        <f t="shared" si="85"/>
        <v>0</v>
      </c>
      <c r="I100" s="187">
        <v>0</v>
      </c>
      <c r="J100" s="187">
        <v>0</v>
      </c>
      <c r="K100" s="187">
        <v>0</v>
      </c>
      <c r="L100" s="187">
        <v>0</v>
      </c>
      <c r="M100" s="187">
        <v>0</v>
      </c>
      <c r="N100" s="185">
        <v>0</v>
      </c>
      <c r="O100" s="185">
        <f t="shared" si="41"/>
        <v>0</v>
      </c>
      <c r="P100" s="208"/>
      <c r="Q100" s="208"/>
      <c r="R100" s="209"/>
      <c r="S100" s="209"/>
      <c r="T100" s="208"/>
      <c r="U100" s="209"/>
      <c r="V100" s="209"/>
      <c r="W100" s="266"/>
      <c r="X100" s="209"/>
      <c r="Y100" s="266"/>
      <c r="Z100" s="209"/>
      <c r="AA100" s="266"/>
      <c r="AB100" s="208"/>
      <c r="AC100" s="208"/>
      <c r="AD100" s="209"/>
      <c r="AE100" s="209"/>
      <c r="AF100" s="208"/>
      <c r="AG100" s="209"/>
      <c r="AH100" s="209"/>
      <c r="AI100" s="266"/>
      <c r="AJ100" s="209"/>
      <c r="AK100" s="266"/>
      <c r="AL100" s="209"/>
      <c r="AM100" s="266"/>
      <c r="AN100" s="208"/>
      <c r="AO100" s="208"/>
      <c r="AP100" s="209"/>
      <c r="AQ100" s="209"/>
      <c r="AR100" s="208"/>
      <c r="AS100" s="209"/>
      <c r="AT100" s="209"/>
      <c r="AU100" s="266"/>
      <c r="AV100" s="209"/>
      <c r="AW100" s="266"/>
      <c r="AX100" s="209"/>
      <c r="AY100" s="266"/>
      <c r="AZ100" s="267"/>
      <c r="BA100" s="266"/>
      <c r="BB100" s="267"/>
      <c r="BC100" s="266"/>
      <c r="BD100" s="209"/>
      <c r="BE100" s="266"/>
      <c r="BF100" s="209"/>
      <c r="BG100" s="266"/>
      <c r="BH100" s="208"/>
      <c r="BI100" s="208"/>
      <c r="BJ100" s="209"/>
      <c r="BK100" s="209"/>
      <c r="BL100" s="208"/>
      <c r="BM100" s="209"/>
      <c r="BN100" s="209"/>
      <c r="BO100" s="266"/>
      <c r="BP100" s="209"/>
      <c r="BQ100" s="266"/>
      <c r="BR100" s="209"/>
      <c r="BS100" s="266"/>
      <c r="BT100" s="267"/>
      <c r="BU100" s="266"/>
      <c r="BV100" s="209"/>
      <c r="BW100" s="266"/>
      <c r="BX100" s="209"/>
      <c r="BY100" s="266"/>
      <c r="BZ100" s="209"/>
      <c r="CA100" s="266"/>
      <c r="CB100" s="209"/>
      <c r="CC100" s="266"/>
      <c r="CD100" s="209"/>
      <c r="CE100" s="209"/>
      <c r="CF100" s="209"/>
      <c r="CG100" s="209"/>
      <c r="CH100" s="266"/>
      <c r="CI100" s="209"/>
      <c r="CJ100" s="209"/>
      <c r="CK100" s="266"/>
      <c r="CL100" s="209"/>
      <c r="CM100" s="266"/>
      <c r="CN100" s="209"/>
      <c r="CO100" s="209"/>
      <c r="CP100" s="209"/>
      <c r="CQ100" s="209"/>
      <c r="CR100" s="266"/>
      <c r="CS100" s="209"/>
      <c r="CT100" s="209"/>
      <c r="CU100" s="266"/>
      <c r="CV100" s="209"/>
      <c r="CW100" s="266"/>
      <c r="CX100" s="209"/>
      <c r="CY100" s="266"/>
    </row>
    <row r="101" spans="1:103" ht="24" hidden="1" customHeight="1" x14ac:dyDescent="0.3">
      <c r="A101" s="178">
        <f t="shared" si="86"/>
        <v>12</v>
      </c>
      <c r="B101" s="179" t="s">
        <v>118</v>
      </c>
      <c r="C101" s="180">
        <f t="shared" si="84"/>
        <v>0</v>
      </c>
      <c r="D101" s="181">
        <v>0</v>
      </c>
      <c r="E101" s="187">
        <v>0</v>
      </c>
      <c r="F101" s="182">
        <f t="shared" si="1"/>
        <v>0</v>
      </c>
      <c r="G101" s="183">
        <f t="shared" si="2"/>
        <v>0</v>
      </c>
      <c r="H101" s="184">
        <f t="shared" si="85"/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0</v>
      </c>
      <c r="N101" s="185">
        <v>0</v>
      </c>
      <c r="O101" s="185">
        <f t="shared" si="41"/>
        <v>0</v>
      </c>
      <c r="P101" s="208"/>
      <c r="Q101" s="208"/>
      <c r="R101" s="209"/>
      <c r="S101" s="209"/>
      <c r="T101" s="208"/>
      <c r="U101" s="209"/>
      <c r="V101" s="209"/>
      <c r="W101" s="266"/>
      <c r="X101" s="209"/>
      <c r="Y101" s="266"/>
      <c r="Z101" s="209"/>
      <c r="AA101" s="266"/>
      <c r="AB101" s="208"/>
      <c r="AC101" s="208"/>
      <c r="AD101" s="209"/>
      <c r="AE101" s="209"/>
      <c r="AF101" s="208"/>
      <c r="AG101" s="209"/>
      <c r="AH101" s="209"/>
      <c r="AI101" s="266"/>
      <c r="AJ101" s="209"/>
      <c r="AK101" s="266"/>
      <c r="AL101" s="209"/>
      <c r="AM101" s="266"/>
      <c r="AN101" s="208"/>
      <c r="AO101" s="208"/>
      <c r="AP101" s="209"/>
      <c r="AQ101" s="209"/>
      <c r="AR101" s="208"/>
      <c r="AS101" s="209"/>
      <c r="AT101" s="209"/>
      <c r="AU101" s="266"/>
      <c r="AV101" s="209"/>
      <c r="AW101" s="266"/>
      <c r="AX101" s="209"/>
      <c r="AY101" s="266"/>
      <c r="AZ101" s="267"/>
      <c r="BA101" s="266"/>
      <c r="BB101" s="267"/>
      <c r="BC101" s="266"/>
      <c r="BD101" s="209"/>
      <c r="BE101" s="266"/>
      <c r="BF101" s="209"/>
      <c r="BG101" s="266"/>
      <c r="BH101" s="208"/>
      <c r="BI101" s="208"/>
      <c r="BJ101" s="209"/>
      <c r="BK101" s="209"/>
      <c r="BL101" s="208"/>
      <c r="BM101" s="209"/>
      <c r="BN101" s="209"/>
      <c r="BO101" s="266"/>
      <c r="BP101" s="209"/>
      <c r="BQ101" s="266"/>
      <c r="BR101" s="209"/>
      <c r="BS101" s="266"/>
      <c r="BT101" s="267"/>
      <c r="BU101" s="266"/>
      <c r="BV101" s="209"/>
      <c r="BW101" s="266"/>
      <c r="BX101" s="209"/>
      <c r="BY101" s="266"/>
      <c r="BZ101" s="209"/>
      <c r="CA101" s="266"/>
      <c r="CB101" s="209"/>
      <c r="CC101" s="266"/>
      <c r="CD101" s="209"/>
      <c r="CE101" s="209"/>
      <c r="CF101" s="209"/>
      <c r="CG101" s="209"/>
      <c r="CH101" s="266"/>
      <c r="CI101" s="209"/>
      <c r="CJ101" s="209"/>
      <c r="CK101" s="266"/>
      <c r="CL101" s="209"/>
      <c r="CM101" s="266"/>
      <c r="CN101" s="209"/>
      <c r="CO101" s="209"/>
      <c r="CP101" s="209"/>
      <c r="CQ101" s="209"/>
      <c r="CR101" s="266"/>
      <c r="CS101" s="209"/>
      <c r="CT101" s="209"/>
      <c r="CU101" s="266"/>
      <c r="CV101" s="209"/>
      <c r="CW101" s="266"/>
      <c r="CX101" s="209"/>
      <c r="CY101" s="266"/>
    </row>
    <row r="102" spans="1:103" ht="24" hidden="1" customHeight="1" x14ac:dyDescent="0.3">
      <c r="A102" s="178">
        <f t="shared" si="86"/>
        <v>13</v>
      </c>
      <c r="B102" s="179" t="s">
        <v>119</v>
      </c>
      <c r="C102" s="180">
        <f t="shared" si="84"/>
        <v>0</v>
      </c>
      <c r="D102" s="181">
        <v>0</v>
      </c>
      <c r="E102" s="187">
        <v>0</v>
      </c>
      <c r="F102" s="182">
        <f t="shared" si="1"/>
        <v>0</v>
      </c>
      <c r="G102" s="183">
        <f t="shared" si="2"/>
        <v>0</v>
      </c>
      <c r="H102" s="184">
        <f t="shared" si="85"/>
        <v>0</v>
      </c>
      <c r="I102" s="187">
        <v>0</v>
      </c>
      <c r="J102" s="187">
        <v>0</v>
      </c>
      <c r="K102" s="187">
        <v>0</v>
      </c>
      <c r="L102" s="187">
        <v>0</v>
      </c>
      <c r="M102" s="187">
        <v>0</v>
      </c>
      <c r="N102" s="185">
        <v>0</v>
      </c>
      <c r="O102" s="185">
        <f t="shared" si="41"/>
        <v>0</v>
      </c>
      <c r="P102" s="208"/>
      <c r="Q102" s="208"/>
      <c r="R102" s="209"/>
      <c r="S102" s="209"/>
      <c r="T102" s="208"/>
      <c r="U102" s="209"/>
      <c r="V102" s="209"/>
      <c r="W102" s="266"/>
      <c r="X102" s="209"/>
      <c r="Y102" s="266"/>
      <c r="Z102" s="209"/>
      <c r="AA102" s="266"/>
      <c r="AB102" s="208"/>
      <c r="AC102" s="208"/>
      <c r="AD102" s="209"/>
      <c r="AE102" s="209"/>
      <c r="AF102" s="208"/>
      <c r="AG102" s="209"/>
      <c r="AH102" s="209"/>
      <c r="AI102" s="266"/>
      <c r="AJ102" s="209"/>
      <c r="AK102" s="266"/>
      <c r="AL102" s="209"/>
      <c r="AM102" s="266"/>
      <c r="AN102" s="208"/>
      <c r="AO102" s="208"/>
      <c r="AP102" s="209"/>
      <c r="AQ102" s="209"/>
      <c r="AR102" s="208"/>
      <c r="AS102" s="209"/>
      <c r="AT102" s="209"/>
      <c r="AU102" s="266"/>
      <c r="AV102" s="209"/>
      <c r="AW102" s="266"/>
      <c r="AX102" s="209"/>
      <c r="AY102" s="266"/>
      <c r="AZ102" s="267"/>
      <c r="BA102" s="266"/>
      <c r="BB102" s="267"/>
      <c r="BC102" s="266"/>
      <c r="BD102" s="209"/>
      <c r="BE102" s="266"/>
      <c r="BF102" s="209"/>
      <c r="BG102" s="266"/>
      <c r="BH102" s="208"/>
      <c r="BI102" s="208"/>
      <c r="BJ102" s="209"/>
      <c r="BK102" s="209"/>
      <c r="BL102" s="208"/>
      <c r="BM102" s="209"/>
      <c r="BN102" s="209"/>
      <c r="BO102" s="266"/>
      <c r="BP102" s="209"/>
      <c r="BQ102" s="266"/>
      <c r="BR102" s="209"/>
      <c r="BS102" s="266"/>
      <c r="BT102" s="267"/>
      <c r="BU102" s="266"/>
      <c r="BV102" s="209"/>
      <c r="BW102" s="266"/>
      <c r="BX102" s="209"/>
      <c r="BY102" s="266"/>
      <c r="BZ102" s="209"/>
      <c r="CA102" s="266"/>
      <c r="CB102" s="209"/>
      <c r="CC102" s="266"/>
      <c r="CD102" s="209"/>
      <c r="CE102" s="209"/>
      <c r="CF102" s="209"/>
      <c r="CG102" s="209"/>
      <c r="CH102" s="266"/>
      <c r="CI102" s="209"/>
      <c r="CJ102" s="209"/>
      <c r="CK102" s="266"/>
      <c r="CL102" s="209"/>
      <c r="CM102" s="266"/>
      <c r="CN102" s="209"/>
      <c r="CO102" s="209"/>
      <c r="CP102" s="209"/>
      <c r="CQ102" s="209"/>
      <c r="CR102" s="266"/>
      <c r="CS102" s="209"/>
      <c r="CT102" s="209"/>
      <c r="CU102" s="266"/>
      <c r="CV102" s="209"/>
      <c r="CW102" s="266"/>
      <c r="CX102" s="209"/>
      <c r="CY102" s="266"/>
    </row>
    <row r="103" spans="1:103" ht="24" hidden="1" customHeight="1" x14ac:dyDescent="0.3">
      <c r="A103" s="192">
        <f t="shared" si="86"/>
        <v>14</v>
      </c>
      <c r="B103" s="193" t="s">
        <v>120</v>
      </c>
      <c r="C103" s="204">
        <f t="shared" si="84"/>
        <v>0</v>
      </c>
      <c r="D103" s="202">
        <v>0</v>
      </c>
      <c r="E103" s="200">
        <v>0</v>
      </c>
      <c r="F103" s="197">
        <f t="shared" si="1"/>
        <v>0</v>
      </c>
      <c r="G103" s="205">
        <f t="shared" si="2"/>
        <v>0</v>
      </c>
      <c r="H103" s="199">
        <f t="shared" si="85"/>
        <v>0</v>
      </c>
      <c r="I103" s="200">
        <v>0</v>
      </c>
      <c r="J103" s="200">
        <v>0</v>
      </c>
      <c r="K103" s="200">
        <v>0</v>
      </c>
      <c r="L103" s="200">
        <v>0</v>
      </c>
      <c r="M103" s="200">
        <v>0</v>
      </c>
      <c r="N103" s="201">
        <v>0</v>
      </c>
      <c r="O103" s="201">
        <f t="shared" si="41"/>
        <v>0</v>
      </c>
      <c r="P103" s="210"/>
      <c r="Q103" s="210"/>
      <c r="R103" s="211"/>
      <c r="S103" s="211"/>
      <c r="T103" s="210"/>
      <c r="U103" s="211"/>
      <c r="V103" s="211"/>
      <c r="W103" s="268"/>
      <c r="X103" s="211"/>
      <c r="Y103" s="268"/>
      <c r="Z103" s="211"/>
      <c r="AA103" s="268"/>
      <c r="AB103" s="210"/>
      <c r="AC103" s="210"/>
      <c r="AD103" s="211"/>
      <c r="AE103" s="211"/>
      <c r="AF103" s="210"/>
      <c r="AG103" s="211"/>
      <c r="AH103" s="211"/>
      <c r="AI103" s="268"/>
      <c r="AJ103" s="211"/>
      <c r="AK103" s="268"/>
      <c r="AL103" s="211"/>
      <c r="AM103" s="268"/>
      <c r="AN103" s="210"/>
      <c r="AO103" s="210"/>
      <c r="AP103" s="211"/>
      <c r="AQ103" s="211"/>
      <c r="AR103" s="210"/>
      <c r="AS103" s="211"/>
      <c r="AT103" s="211"/>
      <c r="AU103" s="268"/>
      <c r="AV103" s="211"/>
      <c r="AW103" s="268"/>
      <c r="AX103" s="211"/>
      <c r="AY103" s="268"/>
      <c r="AZ103" s="269"/>
      <c r="BA103" s="268"/>
      <c r="BB103" s="269"/>
      <c r="BC103" s="268"/>
      <c r="BD103" s="211"/>
      <c r="BE103" s="268"/>
      <c r="BF103" s="211"/>
      <c r="BG103" s="268"/>
      <c r="BH103" s="210"/>
      <c r="BI103" s="210"/>
      <c r="BJ103" s="211"/>
      <c r="BK103" s="211"/>
      <c r="BL103" s="210"/>
      <c r="BM103" s="211"/>
      <c r="BN103" s="211"/>
      <c r="BO103" s="268"/>
      <c r="BP103" s="211"/>
      <c r="BQ103" s="268"/>
      <c r="BR103" s="211"/>
      <c r="BS103" s="268"/>
      <c r="BT103" s="269"/>
      <c r="BU103" s="268"/>
      <c r="BV103" s="211"/>
      <c r="BW103" s="268"/>
      <c r="BX103" s="211"/>
      <c r="BY103" s="268"/>
      <c r="BZ103" s="211"/>
      <c r="CA103" s="268"/>
      <c r="CB103" s="211"/>
      <c r="CC103" s="268"/>
      <c r="CD103" s="211"/>
      <c r="CE103" s="211"/>
      <c r="CF103" s="211"/>
      <c r="CG103" s="211"/>
      <c r="CH103" s="268"/>
      <c r="CI103" s="211"/>
      <c r="CJ103" s="211"/>
      <c r="CK103" s="268"/>
      <c r="CL103" s="211"/>
      <c r="CM103" s="268"/>
      <c r="CN103" s="211"/>
      <c r="CO103" s="211"/>
      <c r="CP103" s="211"/>
      <c r="CQ103" s="211"/>
      <c r="CR103" s="268"/>
      <c r="CS103" s="211"/>
      <c r="CT103" s="211"/>
      <c r="CU103" s="268"/>
      <c r="CV103" s="211"/>
      <c r="CW103" s="268"/>
      <c r="CX103" s="211"/>
      <c r="CY103" s="268"/>
    </row>
    <row r="104" spans="1:103" ht="21" hidden="1" customHeight="1" x14ac:dyDescent="0.3">
      <c r="A104" s="341" t="s">
        <v>121</v>
      </c>
      <c r="B104" s="339"/>
      <c r="C104" s="207">
        <f>SUM(C105:C116)</f>
        <v>0</v>
      </c>
      <c r="D104" s="166"/>
      <c r="E104" s="166"/>
      <c r="F104" s="165">
        <f t="shared" si="1"/>
        <v>0</v>
      </c>
      <c r="G104" s="167">
        <f t="shared" si="2"/>
        <v>0</v>
      </c>
      <c r="H104" s="165">
        <f>SUM(H105:H116)</f>
        <v>0</v>
      </c>
      <c r="I104" s="166"/>
      <c r="J104" s="166"/>
      <c r="K104" s="166"/>
      <c r="L104" s="166"/>
      <c r="M104" s="166"/>
      <c r="N104" s="166"/>
      <c r="O104" s="165">
        <f t="shared" si="41"/>
        <v>0</v>
      </c>
      <c r="P104" s="166"/>
      <c r="Q104" s="166"/>
      <c r="R104" s="166"/>
      <c r="S104" s="166"/>
      <c r="T104" s="166"/>
      <c r="U104" s="166"/>
      <c r="V104" s="166"/>
      <c r="W104" s="256"/>
      <c r="X104" s="166"/>
      <c r="Y104" s="256"/>
      <c r="Z104" s="166"/>
      <c r="AA104" s="256"/>
      <c r="AB104" s="166"/>
      <c r="AC104" s="166"/>
      <c r="AD104" s="166"/>
      <c r="AE104" s="166"/>
      <c r="AF104" s="166"/>
      <c r="AG104" s="166"/>
      <c r="AH104" s="166"/>
      <c r="AI104" s="256"/>
      <c r="AJ104" s="166"/>
      <c r="AK104" s="256"/>
      <c r="AL104" s="166"/>
      <c r="AM104" s="256"/>
      <c r="AN104" s="166"/>
      <c r="AO104" s="166"/>
      <c r="AP104" s="166"/>
      <c r="AQ104" s="166"/>
      <c r="AR104" s="166"/>
      <c r="AS104" s="166"/>
      <c r="AT104" s="166"/>
      <c r="AU104" s="256"/>
      <c r="AV104" s="166"/>
      <c r="AW104" s="256"/>
      <c r="AX104" s="166"/>
      <c r="AY104" s="256"/>
      <c r="AZ104" s="256"/>
      <c r="BA104" s="256"/>
      <c r="BB104" s="256"/>
      <c r="BC104" s="256"/>
      <c r="BD104" s="166"/>
      <c r="BE104" s="256"/>
      <c r="BF104" s="166"/>
      <c r="BG104" s="256"/>
      <c r="BH104" s="166"/>
      <c r="BI104" s="166"/>
      <c r="BJ104" s="166"/>
      <c r="BK104" s="166"/>
      <c r="BL104" s="166"/>
      <c r="BM104" s="166"/>
      <c r="BN104" s="166"/>
      <c r="BO104" s="256"/>
      <c r="BP104" s="166"/>
      <c r="BQ104" s="256"/>
      <c r="BR104" s="166"/>
      <c r="BS104" s="256"/>
      <c r="BT104" s="256"/>
      <c r="BU104" s="256"/>
      <c r="BV104" s="166"/>
      <c r="BW104" s="256"/>
      <c r="BX104" s="166"/>
      <c r="BY104" s="256"/>
      <c r="BZ104" s="166"/>
      <c r="CA104" s="256"/>
      <c r="CB104" s="166"/>
      <c r="CC104" s="256"/>
      <c r="CD104" s="166"/>
      <c r="CE104" s="166"/>
      <c r="CF104" s="166"/>
      <c r="CG104" s="166"/>
      <c r="CH104" s="256"/>
      <c r="CI104" s="166"/>
      <c r="CJ104" s="166"/>
      <c r="CK104" s="256"/>
      <c r="CL104" s="166"/>
      <c r="CM104" s="256"/>
      <c r="CN104" s="166"/>
      <c r="CO104" s="166"/>
      <c r="CP104" s="166"/>
      <c r="CQ104" s="166"/>
      <c r="CR104" s="256"/>
      <c r="CS104" s="166"/>
      <c r="CT104" s="166"/>
      <c r="CU104" s="256"/>
      <c r="CV104" s="166"/>
      <c r="CW104" s="256"/>
      <c r="CX104" s="166"/>
      <c r="CY104" s="256"/>
    </row>
    <row r="105" spans="1:103" ht="24" hidden="1" customHeight="1" x14ac:dyDescent="0.3">
      <c r="A105" s="178">
        <v>1</v>
      </c>
      <c r="B105" s="212" t="s">
        <v>122</v>
      </c>
      <c r="C105" s="180">
        <f t="shared" ref="C105:C116" si="87">D105+E105</f>
        <v>0</v>
      </c>
      <c r="D105" s="181">
        <v>0</v>
      </c>
      <c r="E105" s="187">
        <v>0</v>
      </c>
      <c r="F105" s="182">
        <f t="shared" si="1"/>
        <v>0</v>
      </c>
      <c r="G105" s="183">
        <f t="shared" si="2"/>
        <v>0</v>
      </c>
      <c r="H105" s="184">
        <f t="shared" ref="H105:H116" si="88">I105+J105+K105+L105+M105</f>
        <v>0</v>
      </c>
      <c r="I105" s="187">
        <v>0</v>
      </c>
      <c r="J105" s="187">
        <v>0</v>
      </c>
      <c r="K105" s="187">
        <v>0</v>
      </c>
      <c r="L105" s="187">
        <v>0</v>
      </c>
      <c r="M105" s="187">
        <v>0</v>
      </c>
      <c r="N105" s="185">
        <v>0</v>
      </c>
      <c r="O105" s="185">
        <f t="shared" si="41"/>
        <v>0</v>
      </c>
      <c r="P105" s="208"/>
      <c r="Q105" s="208"/>
      <c r="R105" s="208"/>
      <c r="S105" s="208"/>
      <c r="T105" s="208"/>
      <c r="U105" s="208"/>
      <c r="V105" s="208"/>
      <c r="W105" s="266"/>
      <c r="X105" s="208"/>
      <c r="Y105" s="266"/>
      <c r="Z105" s="208"/>
      <c r="AA105" s="266"/>
      <c r="AB105" s="208"/>
      <c r="AC105" s="208"/>
      <c r="AD105" s="208"/>
      <c r="AE105" s="208"/>
      <c r="AF105" s="208"/>
      <c r="AG105" s="208"/>
      <c r="AH105" s="208"/>
      <c r="AI105" s="266"/>
      <c r="AJ105" s="208"/>
      <c r="AK105" s="266"/>
      <c r="AL105" s="208"/>
      <c r="AM105" s="266"/>
      <c r="AN105" s="208"/>
      <c r="AO105" s="208"/>
      <c r="AP105" s="208"/>
      <c r="AQ105" s="208"/>
      <c r="AR105" s="208"/>
      <c r="AS105" s="208"/>
      <c r="AT105" s="208"/>
      <c r="AU105" s="266"/>
      <c r="AV105" s="208"/>
      <c r="AW105" s="266"/>
      <c r="AX105" s="208"/>
      <c r="AY105" s="266"/>
      <c r="AZ105" s="266"/>
      <c r="BA105" s="266"/>
      <c r="BB105" s="266"/>
      <c r="BC105" s="266"/>
      <c r="BD105" s="208"/>
      <c r="BE105" s="266"/>
      <c r="BF105" s="208"/>
      <c r="BG105" s="266"/>
      <c r="BH105" s="208"/>
      <c r="BI105" s="208"/>
      <c r="BJ105" s="208"/>
      <c r="BK105" s="208"/>
      <c r="BL105" s="208"/>
      <c r="BM105" s="208"/>
      <c r="BN105" s="208"/>
      <c r="BO105" s="266"/>
      <c r="BP105" s="208"/>
      <c r="BQ105" s="266"/>
      <c r="BR105" s="208"/>
      <c r="BS105" s="266"/>
      <c r="BT105" s="266"/>
      <c r="BU105" s="266"/>
      <c r="BV105" s="208"/>
      <c r="BW105" s="266"/>
      <c r="BX105" s="208"/>
      <c r="BY105" s="266"/>
      <c r="BZ105" s="208"/>
      <c r="CA105" s="266"/>
      <c r="CB105" s="208"/>
      <c r="CC105" s="266"/>
      <c r="CD105" s="208"/>
      <c r="CE105" s="208"/>
      <c r="CF105" s="208"/>
      <c r="CG105" s="208"/>
      <c r="CH105" s="266"/>
      <c r="CI105" s="208"/>
      <c r="CJ105" s="208"/>
      <c r="CK105" s="266"/>
      <c r="CL105" s="208"/>
      <c r="CM105" s="266"/>
      <c r="CN105" s="208"/>
      <c r="CO105" s="208"/>
      <c r="CP105" s="208"/>
      <c r="CQ105" s="208"/>
      <c r="CR105" s="266"/>
      <c r="CS105" s="208"/>
      <c r="CT105" s="208"/>
      <c r="CU105" s="266"/>
      <c r="CV105" s="208"/>
      <c r="CW105" s="266"/>
      <c r="CX105" s="208"/>
      <c r="CY105" s="266"/>
    </row>
    <row r="106" spans="1:103" ht="24" hidden="1" customHeight="1" x14ac:dyDescent="0.3">
      <c r="A106" s="178">
        <v>2</v>
      </c>
      <c r="B106" s="212" t="s">
        <v>123</v>
      </c>
      <c r="C106" s="180">
        <f t="shared" si="87"/>
        <v>0</v>
      </c>
      <c r="D106" s="181">
        <v>0</v>
      </c>
      <c r="E106" s="187">
        <v>0</v>
      </c>
      <c r="F106" s="182">
        <f t="shared" si="1"/>
        <v>0</v>
      </c>
      <c r="G106" s="183">
        <f t="shared" si="2"/>
        <v>0</v>
      </c>
      <c r="H106" s="184">
        <f t="shared" si="88"/>
        <v>0</v>
      </c>
      <c r="I106" s="187">
        <v>0</v>
      </c>
      <c r="J106" s="187">
        <v>0</v>
      </c>
      <c r="K106" s="187">
        <v>0</v>
      </c>
      <c r="L106" s="187">
        <v>0</v>
      </c>
      <c r="M106" s="187">
        <v>0</v>
      </c>
      <c r="N106" s="185">
        <v>0</v>
      </c>
      <c r="O106" s="185">
        <f t="shared" si="41"/>
        <v>0</v>
      </c>
      <c r="P106" s="208"/>
      <c r="Q106" s="208"/>
      <c r="R106" s="208"/>
      <c r="S106" s="208"/>
      <c r="T106" s="208"/>
      <c r="U106" s="208"/>
      <c r="V106" s="208"/>
      <c r="W106" s="266"/>
      <c r="X106" s="208"/>
      <c r="Y106" s="266"/>
      <c r="Z106" s="208"/>
      <c r="AA106" s="266"/>
      <c r="AB106" s="208"/>
      <c r="AC106" s="208"/>
      <c r="AD106" s="208"/>
      <c r="AE106" s="208"/>
      <c r="AF106" s="208"/>
      <c r="AG106" s="208"/>
      <c r="AH106" s="208"/>
      <c r="AI106" s="266"/>
      <c r="AJ106" s="208"/>
      <c r="AK106" s="266"/>
      <c r="AL106" s="208"/>
      <c r="AM106" s="266"/>
      <c r="AN106" s="208"/>
      <c r="AO106" s="208"/>
      <c r="AP106" s="208"/>
      <c r="AQ106" s="208"/>
      <c r="AR106" s="208"/>
      <c r="AS106" s="208"/>
      <c r="AT106" s="208"/>
      <c r="AU106" s="266"/>
      <c r="AV106" s="208"/>
      <c r="AW106" s="266"/>
      <c r="AX106" s="208"/>
      <c r="AY106" s="266"/>
      <c r="AZ106" s="266"/>
      <c r="BA106" s="266"/>
      <c r="BB106" s="266"/>
      <c r="BC106" s="266"/>
      <c r="BD106" s="208"/>
      <c r="BE106" s="266"/>
      <c r="BF106" s="208"/>
      <c r="BG106" s="266"/>
      <c r="BH106" s="208"/>
      <c r="BI106" s="208"/>
      <c r="BJ106" s="208"/>
      <c r="BK106" s="208"/>
      <c r="BL106" s="208"/>
      <c r="BM106" s="208"/>
      <c r="BN106" s="208"/>
      <c r="BO106" s="266"/>
      <c r="BP106" s="208"/>
      <c r="BQ106" s="266"/>
      <c r="BR106" s="208"/>
      <c r="BS106" s="266"/>
      <c r="BT106" s="266"/>
      <c r="BU106" s="266"/>
      <c r="BV106" s="208"/>
      <c r="BW106" s="266"/>
      <c r="BX106" s="208"/>
      <c r="BY106" s="266"/>
      <c r="BZ106" s="208"/>
      <c r="CA106" s="266"/>
      <c r="CB106" s="208"/>
      <c r="CC106" s="266"/>
      <c r="CD106" s="208"/>
      <c r="CE106" s="208"/>
      <c r="CF106" s="208"/>
      <c r="CG106" s="208"/>
      <c r="CH106" s="266"/>
      <c r="CI106" s="208"/>
      <c r="CJ106" s="208"/>
      <c r="CK106" s="266"/>
      <c r="CL106" s="208"/>
      <c r="CM106" s="266"/>
      <c r="CN106" s="208"/>
      <c r="CO106" s="208"/>
      <c r="CP106" s="208"/>
      <c r="CQ106" s="208"/>
      <c r="CR106" s="266"/>
      <c r="CS106" s="208"/>
      <c r="CT106" s="208"/>
      <c r="CU106" s="266"/>
      <c r="CV106" s="208"/>
      <c r="CW106" s="266"/>
      <c r="CX106" s="208"/>
      <c r="CY106" s="266"/>
    </row>
    <row r="107" spans="1:103" ht="24" hidden="1" customHeight="1" x14ac:dyDescent="0.3">
      <c r="A107" s="178">
        <v>3</v>
      </c>
      <c r="B107" s="212" t="s">
        <v>124</v>
      </c>
      <c r="C107" s="180">
        <f t="shared" si="87"/>
        <v>0</v>
      </c>
      <c r="D107" s="181">
        <v>0</v>
      </c>
      <c r="E107" s="187">
        <v>0</v>
      </c>
      <c r="F107" s="182">
        <f t="shared" si="1"/>
        <v>0</v>
      </c>
      <c r="G107" s="183">
        <f t="shared" si="2"/>
        <v>0</v>
      </c>
      <c r="H107" s="184">
        <f t="shared" si="88"/>
        <v>0</v>
      </c>
      <c r="I107" s="187">
        <v>0</v>
      </c>
      <c r="J107" s="187">
        <v>0</v>
      </c>
      <c r="K107" s="187">
        <v>0</v>
      </c>
      <c r="L107" s="187">
        <v>0</v>
      </c>
      <c r="M107" s="187">
        <v>0</v>
      </c>
      <c r="N107" s="185">
        <v>0</v>
      </c>
      <c r="O107" s="185">
        <f t="shared" si="41"/>
        <v>0</v>
      </c>
      <c r="P107" s="208"/>
      <c r="Q107" s="208"/>
      <c r="R107" s="208"/>
      <c r="S107" s="208"/>
      <c r="T107" s="208"/>
      <c r="U107" s="208"/>
      <c r="V107" s="208"/>
      <c r="W107" s="266"/>
      <c r="X107" s="208"/>
      <c r="Y107" s="266"/>
      <c r="Z107" s="208"/>
      <c r="AA107" s="266"/>
      <c r="AB107" s="208"/>
      <c r="AC107" s="208"/>
      <c r="AD107" s="208"/>
      <c r="AE107" s="208"/>
      <c r="AF107" s="208"/>
      <c r="AG107" s="208"/>
      <c r="AH107" s="208"/>
      <c r="AI107" s="266"/>
      <c r="AJ107" s="208"/>
      <c r="AK107" s="266"/>
      <c r="AL107" s="208"/>
      <c r="AM107" s="266"/>
      <c r="AN107" s="208"/>
      <c r="AO107" s="208"/>
      <c r="AP107" s="208"/>
      <c r="AQ107" s="208"/>
      <c r="AR107" s="208"/>
      <c r="AS107" s="208"/>
      <c r="AT107" s="208"/>
      <c r="AU107" s="266"/>
      <c r="AV107" s="208"/>
      <c r="AW107" s="266"/>
      <c r="AX107" s="208"/>
      <c r="AY107" s="266"/>
      <c r="AZ107" s="266"/>
      <c r="BA107" s="266"/>
      <c r="BB107" s="266"/>
      <c r="BC107" s="266"/>
      <c r="BD107" s="208"/>
      <c r="BE107" s="266"/>
      <c r="BF107" s="208"/>
      <c r="BG107" s="266"/>
      <c r="BH107" s="208"/>
      <c r="BI107" s="208"/>
      <c r="BJ107" s="208"/>
      <c r="BK107" s="208"/>
      <c r="BL107" s="208"/>
      <c r="BM107" s="208"/>
      <c r="BN107" s="208"/>
      <c r="BO107" s="266"/>
      <c r="BP107" s="208"/>
      <c r="BQ107" s="266"/>
      <c r="BR107" s="208"/>
      <c r="BS107" s="266"/>
      <c r="BT107" s="266"/>
      <c r="BU107" s="266"/>
      <c r="BV107" s="208"/>
      <c r="BW107" s="266"/>
      <c r="BX107" s="208"/>
      <c r="BY107" s="266"/>
      <c r="BZ107" s="208"/>
      <c r="CA107" s="266"/>
      <c r="CB107" s="208"/>
      <c r="CC107" s="266"/>
      <c r="CD107" s="208"/>
      <c r="CE107" s="208"/>
      <c r="CF107" s="208"/>
      <c r="CG107" s="208"/>
      <c r="CH107" s="266"/>
      <c r="CI107" s="208"/>
      <c r="CJ107" s="208"/>
      <c r="CK107" s="266"/>
      <c r="CL107" s="208"/>
      <c r="CM107" s="266"/>
      <c r="CN107" s="208"/>
      <c r="CO107" s="208"/>
      <c r="CP107" s="208"/>
      <c r="CQ107" s="208"/>
      <c r="CR107" s="266"/>
      <c r="CS107" s="208"/>
      <c r="CT107" s="208"/>
      <c r="CU107" s="266"/>
      <c r="CV107" s="208"/>
      <c r="CW107" s="266"/>
      <c r="CX107" s="208"/>
      <c r="CY107" s="266"/>
    </row>
    <row r="108" spans="1:103" ht="24" hidden="1" customHeight="1" x14ac:dyDescent="0.3">
      <c r="A108" s="213">
        <v>4</v>
      </c>
      <c r="B108" s="212" t="s">
        <v>125</v>
      </c>
      <c r="C108" s="180">
        <f t="shared" si="87"/>
        <v>0</v>
      </c>
      <c r="D108" s="181">
        <v>0</v>
      </c>
      <c r="E108" s="187">
        <v>0</v>
      </c>
      <c r="F108" s="182">
        <f t="shared" si="1"/>
        <v>0</v>
      </c>
      <c r="G108" s="183">
        <f t="shared" si="2"/>
        <v>0</v>
      </c>
      <c r="H108" s="184">
        <f t="shared" si="88"/>
        <v>0</v>
      </c>
      <c r="I108" s="187">
        <v>0</v>
      </c>
      <c r="J108" s="187">
        <v>0</v>
      </c>
      <c r="K108" s="187">
        <v>0</v>
      </c>
      <c r="L108" s="187">
        <v>0</v>
      </c>
      <c r="M108" s="187">
        <v>0</v>
      </c>
      <c r="N108" s="185">
        <v>0</v>
      </c>
      <c r="O108" s="185">
        <f t="shared" si="41"/>
        <v>0</v>
      </c>
      <c r="P108" s="208"/>
      <c r="Q108" s="208"/>
      <c r="R108" s="208"/>
      <c r="S108" s="208"/>
      <c r="T108" s="208"/>
      <c r="U108" s="208"/>
      <c r="V108" s="208"/>
      <c r="W108" s="266"/>
      <c r="X108" s="208"/>
      <c r="Y108" s="266"/>
      <c r="Z108" s="208"/>
      <c r="AA108" s="266"/>
      <c r="AB108" s="208"/>
      <c r="AC108" s="208"/>
      <c r="AD108" s="208"/>
      <c r="AE108" s="208"/>
      <c r="AF108" s="208"/>
      <c r="AG108" s="208"/>
      <c r="AH108" s="208"/>
      <c r="AI108" s="266"/>
      <c r="AJ108" s="208"/>
      <c r="AK108" s="266"/>
      <c r="AL108" s="208"/>
      <c r="AM108" s="266"/>
      <c r="AN108" s="208"/>
      <c r="AO108" s="208"/>
      <c r="AP108" s="208"/>
      <c r="AQ108" s="208"/>
      <c r="AR108" s="208"/>
      <c r="AS108" s="208"/>
      <c r="AT108" s="208"/>
      <c r="AU108" s="266"/>
      <c r="AV108" s="208"/>
      <c r="AW108" s="266"/>
      <c r="AX108" s="208"/>
      <c r="AY108" s="266"/>
      <c r="AZ108" s="266"/>
      <c r="BA108" s="266"/>
      <c r="BB108" s="266"/>
      <c r="BC108" s="266"/>
      <c r="BD108" s="208"/>
      <c r="BE108" s="266"/>
      <c r="BF108" s="208"/>
      <c r="BG108" s="266"/>
      <c r="BH108" s="208"/>
      <c r="BI108" s="208"/>
      <c r="BJ108" s="208"/>
      <c r="BK108" s="208"/>
      <c r="BL108" s="208"/>
      <c r="BM108" s="208"/>
      <c r="BN108" s="208"/>
      <c r="BO108" s="266"/>
      <c r="BP108" s="208"/>
      <c r="BQ108" s="266"/>
      <c r="BR108" s="208"/>
      <c r="BS108" s="266"/>
      <c r="BT108" s="266"/>
      <c r="BU108" s="266"/>
      <c r="BV108" s="208"/>
      <c r="BW108" s="266"/>
      <c r="BX108" s="208"/>
      <c r="BY108" s="266"/>
      <c r="BZ108" s="208"/>
      <c r="CA108" s="266"/>
      <c r="CB108" s="208"/>
      <c r="CC108" s="266"/>
      <c r="CD108" s="208"/>
      <c r="CE108" s="208"/>
      <c r="CF108" s="208"/>
      <c r="CG108" s="208"/>
      <c r="CH108" s="266"/>
      <c r="CI108" s="208"/>
      <c r="CJ108" s="208"/>
      <c r="CK108" s="266"/>
      <c r="CL108" s="208"/>
      <c r="CM108" s="266"/>
      <c r="CN108" s="208"/>
      <c r="CO108" s="208"/>
      <c r="CP108" s="208"/>
      <c r="CQ108" s="208"/>
      <c r="CR108" s="266"/>
      <c r="CS108" s="208"/>
      <c r="CT108" s="208"/>
      <c r="CU108" s="266"/>
      <c r="CV108" s="208"/>
      <c r="CW108" s="266"/>
      <c r="CX108" s="208"/>
      <c r="CY108" s="266"/>
    </row>
    <row r="109" spans="1:103" ht="24" hidden="1" customHeight="1" x14ac:dyDescent="0.3">
      <c r="A109" s="213">
        <v>5</v>
      </c>
      <c r="B109" s="212" t="s">
        <v>126</v>
      </c>
      <c r="C109" s="180">
        <f t="shared" si="87"/>
        <v>0</v>
      </c>
      <c r="D109" s="181">
        <v>0</v>
      </c>
      <c r="E109" s="187">
        <v>0</v>
      </c>
      <c r="F109" s="182">
        <f t="shared" si="1"/>
        <v>0</v>
      </c>
      <c r="G109" s="183">
        <f t="shared" si="2"/>
        <v>0</v>
      </c>
      <c r="H109" s="184">
        <f t="shared" si="88"/>
        <v>0</v>
      </c>
      <c r="I109" s="187">
        <v>0</v>
      </c>
      <c r="J109" s="187">
        <v>0</v>
      </c>
      <c r="K109" s="187">
        <v>0</v>
      </c>
      <c r="L109" s="187">
        <v>0</v>
      </c>
      <c r="M109" s="187">
        <v>0</v>
      </c>
      <c r="N109" s="185">
        <v>0</v>
      </c>
      <c r="O109" s="185">
        <f t="shared" si="41"/>
        <v>0</v>
      </c>
      <c r="P109" s="208"/>
      <c r="Q109" s="208"/>
      <c r="R109" s="208"/>
      <c r="S109" s="208"/>
      <c r="T109" s="208"/>
      <c r="U109" s="208"/>
      <c r="V109" s="208"/>
      <c r="W109" s="266"/>
      <c r="X109" s="208"/>
      <c r="Y109" s="266"/>
      <c r="Z109" s="208"/>
      <c r="AA109" s="266"/>
      <c r="AB109" s="208"/>
      <c r="AC109" s="208"/>
      <c r="AD109" s="208"/>
      <c r="AE109" s="208"/>
      <c r="AF109" s="208"/>
      <c r="AG109" s="208"/>
      <c r="AH109" s="208"/>
      <c r="AI109" s="266"/>
      <c r="AJ109" s="208"/>
      <c r="AK109" s="266"/>
      <c r="AL109" s="208"/>
      <c r="AM109" s="266"/>
      <c r="AN109" s="208"/>
      <c r="AO109" s="208"/>
      <c r="AP109" s="208"/>
      <c r="AQ109" s="208"/>
      <c r="AR109" s="208"/>
      <c r="AS109" s="208"/>
      <c r="AT109" s="208"/>
      <c r="AU109" s="266"/>
      <c r="AV109" s="208"/>
      <c r="AW109" s="266"/>
      <c r="AX109" s="208"/>
      <c r="AY109" s="266"/>
      <c r="AZ109" s="266"/>
      <c r="BA109" s="266"/>
      <c r="BB109" s="266"/>
      <c r="BC109" s="266"/>
      <c r="BD109" s="208"/>
      <c r="BE109" s="266"/>
      <c r="BF109" s="208"/>
      <c r="BG109" s="266"/>
      <c r="BH109" s="208"/>
      <c r="BI109" s="208"/>
      <c r="BJ109" s="208"/>
      <c r="BK109" s="208"/>
      <c r="BL109" s="208"/>
      <c r="BM109" s="208"/>
      <c r="BN109" s="208"/>
      <c r="BO109" s="266"/>
      <c r="BP109" s="208"/>
      <c r="BQ109" s="266"/>
      <c r="BR109" s="208"/>
      <c r="BS109" s="266"/>
      <c r="BT109" s="266"/>
      <c r="BU109" s="266"/>
      <c r="BV109" s="208"/>
      <c r="BW109" s="266"/>
      <c r="BX109" s="208"/>
      <c r="BY109" s="266"/>
      <c r="BZ109" s="208"/>
      <c r="CA109" s="266"/>
      <c r="CB109" s="208"/>
      <c r="CC109" s="266"/>
      <c r="CD109" s="208"/>
      <c r="CE109" s="208"/>
      <c r="CF109" s="208"/>
      <c r="CG109" s="208"/>
      <c r="CH109" s="266"/>
      <c r="CI109" s="208"/>
      <c r="CJ109" s="208"/>
      <c r="CK109" s="266"/>
      <c r="CL109" s="208"/>
      <c r="CM109" s="266"/>
      <c r="CN109" s="208"/>
      <c r="CO109" s="208"/>
      <c r="CP109" s="208"/>
      <c r="CQ109" s="208"/>
      <c r="CR109" s="266"/>
      <c r="CS109" s="208"/>
      <c r="CT109" s="208"/>
      <c r="CU109" s="266"/>
      <c r="CV109" s="208"/>
      <c r="CW109" s="266"/>
      <c r="CX109" s="208"/>
      <c r="CY109" s="266"/>
    </row>
    <row r="110" spans="1:103" ht="24" hidden="1" customHeight="1" x14ac:dyDescent="0.3">
      <c r="A110" s="213">
        <v>6</v>
      </c>
      <c r="B110" s="212" t="s">
        <v>127</v>
      </c>
      <c r="C110" s="180">
        <f t="shared" si="87"/>
        <v>0</v>
      </c>
      <c r="D110" s="181">
        <v>0</v>
      </c>
      <c r="E110" s="187">
        <v>0</v>
      </c>
      <c r="F110" s="182">
        <f t="shared" si="1"/>
        <v>0</v>
      </c>
      <c r="G110" s="183">
        <f t="shared" si="2"/>
        <v>0</v>
      </c>
      <c r="H110" s="184">
        <f t="shared" si="88"/>
        <v>0</v>
      </c>
      <c r="I110" s="187">
        <v>0</v>
      </c>
      <c r="J110" s="187">
        <v>0</v>
      </c>
      <c r="K110" s="187">
        <v>0</v>
      </c>
      <c r="L110" s="187">
        <v>0</v>
      </c>
      <c r="M110" s="187">
        <v>0</v>
      </c>
      <c r="N110" s="185">
        <v>0</v>
      </c>
      <c r="O110" s="185">
        <f t="shared" si="41"/>
        <v>0</v>
      </c>
      <c r="P110" s="208"/>
      <c r="Q110" s="208"/>
      <c r="R110" s="208"/>
      <c r="S110" s="208"/>
      <c r="T110" s="208"/>
      <c r="U110" s="208"/>
      <c r="V110" s="208"/>
      <c r="W110" s="266"/>
      <c r="X110" s="208"/>
      <c r="Y110" s="266"/>
      <c r="Z110" s="208"/>
      <c r="AA110" s="266"/>
      <c r="AB110" s="208"/>
      <c r="AC110" s="208"/>
      <c r="AD110" s="208"/>
      <c r="AE110" s="208"/>
      <c r="AF110" s="208"/>
      <c r="AG110" s="208"/>
      <c r="AH110" s="208"/>
      <c r="AI110" s="266"/>
      <c r="AJ110" s="208"/>
      <c r="AK110" s="266"/>
      <c r="AL110" s="208"/>
      <c r="AM110" s="266"/>
      <c r="AN110" s="208"/>
      <c r="AO110" s="208"/>
      <c r="AP110" s="208"/>
      <c r="AQ110" s="208"/>
      <c r="AR110" s="208"/>
      <c r="AS110" s="208"/>
      <c r="AT110" s="208"/>
      <c r="AU110" s="266"/>
      <c r="AV110" s="208"/>
      <c r="AW110" s="266"/>
      <c r="AX110" s="208"/>
      <c r="AY110" s="266"/>
      <c r="AZ110" s="266"/>
      <c r="BA110" s="266"/>
      <c r="BB110" s="266"/>
      <c r="BC110" s="266"/>
      <c r="BD110" s="208"/>
      <c r="BE110" s="266"/>
      <c r="BF110" s="208"/>
      <c r="BG110" s="266"/>
      <c r="BH110" s="208"/>
      <c r="BI110" s="208"/>
      <c r="BJ110" s="208"/>
      <c r="BK110" s="208"/>
      <c r="BL110" s="208"/>
      <c r="BM110" s="208"/>
      <c r="BN110" s="208"/>
      <c r="BO110" s="266"/>
      <c r="BP110" s="208"/>
      <c r="BQ110" s="266"/>
      <c r="BR110" s="208"/>
      <c r="BS110" s="266"/>
      <c r="BT110" s="266"/>
      <c r="BU110" s="266"/>
      <c r="BV110" s="208"/>
      <c r="BW110" s="266"/>
      <c r="BX110" s="208"/>
      <c r="BY110" s="266"/>
      <c r="BZ110" s="208"/>
      <c r="CA110" s="266"/>
      <c r="CB110" s="208"/>
      <c r="CC110" s="266"/>
      <c r="CD110" s="208"/>
      <c r="CE110" s="208"/>
      <c r="CF110" s="208"/>
      <c r="CG110" s="208"/>
      <c r="CH110" s="266"/>
      <c r="CI110" s="208"/>
      <c r="CJ110" s="208"/>
      <c r="CK110" s="266"/>
      <c r="CL110" s="208"/>
      <c r="CM110" s="266"/>
      <c r="CN110" s="208"/>
      <c r="CO110" s="208"/>
      <c r="CP110" s="208"/>
      <c r="CQ110" s="208"/>
      <c r="CR110" s="266"/>
      <c r="CS110" s="208"/>
      <c r="CT110" s="208"/>
      <c r="CU110" s="266"/>
      <c r="CV110" s="208"/>
      <c r="CW110" s="266"/>
      <c r="CX110" s="208"/>
      <c r="CY110" s="266"/>
    </row>
    <row r="111" spans="1:103" ht="24" hidden="1" customHeight="1" x14ac:dyDescent="0.3">
      <c r="A111" s="213">
        <v>7</v>
      </c>
      <c r="B111" s="212" t="s">
        <v>128</v>
      </c>
      <c r="C111" s="180">
        <f t="shared" si="87"/>
        <v>0</v>
      </c>
      <c r="D111" s="181">
        <v>0</v>
      </c>
      <c r="E111" s="187">
        <v>0</v>
      </c>
      <c r="F111" s="182">
        <f t="shared" si="1"/>
        <v>0</v>
      </c>
      <c r="G111" s="183">
        <f t="shared" si="2"/>
        <v>0</v>
      </c>
      <c r="H111" s="184">
        <f t="shared" si="88"/>
        <v>0</v>
      </c>
      <c r="I111" s="187">
        <v>0</v>
      </c>
      <c r="J111" s="187">
        <v>0</v>
      </c>
      <c r="K111" s="187">
        <v>0</v>
      </c>
      <c r="L111" s="187">
        <v>0</v>
      </c>
      <c r="M111" s="187">
        <v>0</v>
      </c>
      <c r="N111" s="185">
        <v>0</v>
      </c>
      <c r="O111" s="185">
        <f t="shared" si="41"/>
        <v>0</v>
      </c>
      <c r="P111" s="208"/>
      <c r="Q111" s="208"/>
      <c r="R111" s="208"/>
      <c r="S111" s="208"/>
      <c r="T111" s="208"/>
      <c r="U111" s="208"/>
      <c r="V111" s="208"/>
      <c r="W111" s="266"/>
      <c r="X111" s="208"/>
      <c r="Y111" s="266"/>
      <c r="Z111" s="208"/>
      <c r="AA111" s="266"/>
      <c r="AB111" s="208"/>
      <c r="AC111" s="208"/>
      <c r="AD111" s="208"/>
      <c r="AE111" s="208"/>
      <c r="AF111" s="208"/>
      <c r="AG111" s="208"/>
      <c r="AH111" s="208"/>
      <c r="AI111" s="266"/>
      <c r="AJ111" s="208"/>
      <c r="AK111" s="266"/>
      <c r="AL111" s="208"/>
      <c r="AM111" s="266"/>
      <c r="AN111" s="208"/>
      <c r="AO111" s="208"/>
      <c r="AP111" s="208"/>
      <c r="AQ111" s="208"/>
      <c r="AR111" s="208"/>
      <c r="AS111" s="208"/>
      <c r="AT111" s="208"/>
      <c r="AU111" s="266"/>
      <c r="AV111" s="208"/>
      <c r="AW111" s="266"/>
      <c r="AX111" s="208"/>
      <c r="AY111" s="266"/>
      <c r="AZ111" s="266"/>
      <c r="BA111" s="266"/>
      <c r="BB111" s="266"/>
      <c r="BC111" s="266"/>
      <c r="BD111" s="208"/>
      <c r="BE111" s="266"/>
      <c r="BF111" s="208"/>
      <c r="BG111" s="266"/>
      <c r="BH111" s="208"/>
      <c r="BI111" s="208"/>
      <c r="BJ111" s="208"/>
      <c r="BK111" s="208"/>
      <c r="BL111" s="208"/>
      <c r="BM111" s="208"/>
      <c r="BN111" s="208"/>
      <c r="BO111" s="266"/>
      <c r="BP111" s="208"/>
      <c r="BQ111" s="266"/>
      <c r="BR111" s="208"/>
      <c r="BS111" s="266"/>
      <c r="BT111" s="266"/>
      <c r="BU111" s="266"/>
      <c r="BV111" s="208"/>
      <c r="BW111" s="266"/>
      <c r="BX111" s="208"/>
      <c r="BY111" s="266"/>
      <c r="BZ111" s="208"/>
      <c r="CA111" s="266"/>
      <c r="CB111" s="208"/>
      <c r="CC111" s="266"/>
      <c r="CD111" s="208"/>
      <c r="CE111" s="208"/>
      <c r="CF111" s="208"/>
      <c r="CG111" s="208"/>
      <c r="CH111" s="266"/>
      <c r="CI111" s="208"/>
      <c r="CJ111" s="208"/>
      <c r="CK111" s="266"/>
      <c r="CL111" s="208"/>
      <c r="CM111" s="266"/>
      <c r="CN111" s="208"/>
      <c r="CO111" s="208"/>
      <c r="CP111" s="208"/>
      <c r="CQ111" s="208"/>
      <c r="CR111" s="266"/>
      <c r="CS111" s="208"/>
      <c r="CT111" s="208"/>
      <c r="CU111" s="266"/>
      <c r="CV111" s="208"/>
      <c r="CW111" s="266"/>
      <c r="CX111" s="208"/>
      <c r="CY111" s="266"/>
    </row>
    <row r="112" spans="1:103" ht="24" hidden="1" customHeight="1" x14ac:dyDescent="0.3">
      <c r="A112" s="213">
        <v>8</v>
      </c>
      <c r="B112" s="212" t="s">
        <v>129</v>
      </c>
      <c r="C112" s="180">
        <f t="shared" si="87"/>
        <v>0</v>
      </c>
      <c r="D112" s="181">
        <v>0</v>
      </c>
      <c r="E112" s="187">
        <v>0</v>
      </c>
      <c r="F112" s="182">
        <f t="shared" si="1"/>
        <v>0</v>
      </c>
      <c r="G112" s="183">
        <f t="shared" si="2"/>
        <v>0</v>
      </c>
      <c r="H112" s="184">
        <f t="shared" si="88"/>
        <v>0</v>
      </c>
      <c r="I112" s="187">
        <v>0</v>
      </c>
      <c r="J112" s="187">
        <v>0</v>
      </c>
      <c r="K112" s="187">
        <v>0</v>
      </c>
      <c r="L112" s="187">
        <v>0</v>
      </c>
      <c r="M112" s="187">
        <v>0</v>
      </c>
      <c r="N112" s="185">
        <v>0</v>
      </c>
      <c r="O112" s="185">
        <f t="shared" si="41"/>
        <v>0</v>
      </c>
      <c r="P112" s="208"/>
      <c r="Q112" s="208"/>
      <c r="R112" s="208"/>
      <c r="S112" s="208"/>
      <c r="T112" s="208"/>
      <c r="U112" s="208"/>
      <c r="V112" s="208"/>
      <c r="W112" s="266"/>
      <c r="X112" s="208"/>
      <c r="Y112" s="266"/>
      <c r="Z112" s="208"/>
      <c r="AA112" s="266"/>
      <c r="AB112" s="208"/>
      <c r="AC112" s="208"/>
      <c r="AD112" s="208"/>
      <c r="AE112" s="208"/>
      <c r="AF112" s="208"/>
      <c r="AG112" s="208"/>
      <c r="AH112" s="208"/>
      <c r="AI112" s="266"/>
      <c r="AJ112" s="208"/>
      <c r="AK112" s="266"/>
      <c r="AL112" s="208"/>
      <c r="AM112" s="266"/>
      <c r="AN112" s="208"/>
      <c r="AO112" s="208"/>
      <c r="AP112" s="208"/>
      <c r="AQ112" s="208"/>
      <c r="AR112" s="208"/>
      <c r="AS112" s="208"/>
      <c r="AT112" s="208"/>
      <c r="AU112" s="266"/>
      <c r="AV112" s="208"/>
      <c r="AW112" s="266"/>
      <c r="AX112" s="208"/>
      <c r="AY112" s="266"/>
      <c r="AZ112" s="266"/>
      <c r="BA112" s="266"/>
      <c r="BB112" s="266"/>
      <c r="BC112" s="266"/>
      <c r="BD112" s="208"/>
      <c r="BE112" s="266"/>
      <c r="BF112" s="208"/>
      <c r="BG112" s="266"/>
      <c r="BH112" s="208"/>
      <c r="BI112" s="208"/>
      <c r="BJ112" s="208"/>
      <c r="BK112" s="208"/>
      <c r="BL112" s="208"/>
      <c r="BM112" s="208"/>
      <c r="BN112" s="208"/>
      <c r="BO112" s="266"/>
      <c r="BP112" s="208"/>
      <c r="BQ112" s="266"/>
      <c r="BR112" s="208"/>
      <c r="BS112" s="266"/>
      <c r="BT112" s="266"/>
      <c r="BU112" s="266"/>
      <c r="BV112" s="208"/>
      <c r="BW112" s="266"/>
      <c r="BX112" s="208"/>
      <c r="BY112" s="266"/>
      <c r="BZ112" s="208"/>
      <c r="CA112" s="266"/>
      <c r="CB112" s="208"/>
      <c r="CC112" s="266"/>
      <c r="CD112" s="208"/>
      <c r="CE112" s="208"/>
      <c r="CF112" s="208"/>
      <c r="CG112" s="208"/>
      <c r="CH112" s="266"/>
      <c r="CI112" s="208"/>
      <c r="CJ112" s="208"/>
      <c r="CK112" s="266"/>
      <c r="CL112" s="208"/>
      <c r="CM112" s="266"/>
      <c r="CN112" s="208"/>
      <c r="CO112" s="208"/>
      <c r="CP112" s="208"/>
      <c r="CQ112" s="208"/>
      <c r="CR112" s="266"/>
      <c r="CS112" s="208"/>
      <c r="CT112" s="208"/>
      <c r="CU112" s="266"/>
      <c r="CV112" s="208"/>
      <c r="CW112" s="266"/>
      <c r="CX112" s="208"/>
      <c r="CY112" s="266"/>
    </row>
    <row r="113" spans="1:103" ht="24" hidden="1" customHeight="1" x14ac:dyDescent="0.3">
      <c r="A113" s="213">
        <v>9</v>
      </c>
      <c r="B113" s="212" t="s">
        <v>130</v>
      </c>
      <c r="C113" s="180">
        <f t="shared" si="87"/>
        <v>0</v>
      </c>
      <c r="D113" s="181">
        <v>0</v>
      </c>
      <c r="E113" s="187">
        <v>0</v>
      </c>
      <c r="F113" s="182">
        <f t="shared" si="1"/>
        <v>0</v>
      </c>
      <c r="G113" s="183">
        <f t="shared" si="2"/>
        <v>0</v>
      </c>
      <c r="H113" s="184">
        <f t="shared" si="88"/>
        <v>0</v>
      </c>
      <c r="I113" s="187">
        <v>0</v>
      </c>
      <c r="J113" s="187">
        <v>0</v>
      </c>
      <c r="K113" s="187">
        <v>0</v>
      </c>
      <c r="L113" s="187">
        <v>0</v>
      </c>
      <c r="M113" s="187">
        <v>0</v>
      </c>
      <c r="N113" s="185">
        <v>0</v>
      </c>
      <c r="O113" s="185">
        <f t="shared" si="41"/>
        <v>0</v>
      </c>
      <c r="P113" s="208"/>
      <c r="Q113" s="208"/>
      <c r="R113" s="208"/>
      <c r="S113" s="208"/>
      <c r="T113" s="208"/>
      <c r="U113" s="208"/>
      <c r="V113" s="208"/>
      <c r="W113" s="266"/>
      <c r="X113" s="208"/>
      <c r="Y113" s="266"/>
      <c r="Z113" s="208"/>
      <c r="AA113" s="266"/>
      <c r="AB113" s="208"/>
      <c r="AC113" s="208"/>
      <c r="AD113" s="208"/>
      <c r="AE113" s="208"/>
      <c r="AF113" s="208"/>
      <c r="AG113" s="208"/>
      <c r="AH113" s="208"/>
      <c r="AI113" s="266"/>
      <c r="AJ113" s="208"/>
      <c r="AK113" s="266"/>
      <c r="AL113" s="208"/>
      <c r="AM113" s="266"/>
      <c r="AN113" s="208"/>
      <c r="AO113" s="208"/>
      <c r="AP113" s="208"/>
      <c r="AQ113" s="208"/>
      <c r="AR113" s="208"/>
      <c r="AS113" s="208"/>
      <c r="AT113" s="208"/>
      <c r="AU113" s="266"/>
      <c r="AV113" s="208"/>
      <c r="AW113" s="266"/>
      <c r="AX113" s="208"/>
      <c r="AY113" s="266"/>
      <c r="AZ113" s="266"/>
      <c r="BA113" s="266"/>
      <c r="BB113" s="266"/>
      <c r="BC113" s="266"/>
      <c r="BD113" s="208"/>
      <c r="BE113" s="266"/>
      <c r="BF113" s="208"/>
      <c r="BG113" s="266"/>
      <c r="BH113" s="208"/>
      <c r="BI113" s="208"/>
      <c r="BJ113" s="208"/>
      <c r="BK113" s="208"/>
      <c r="BL113" s="208"/>
      <c r="BM113" s="208"/>
      <c r="BN113" s="208"/>
      <c r="BO113" s="266"/>
      <c r="BP113" s="208"/>
      <c r="BQ113" s="266"/>
      <c r="BR113" s="208"/>
      <c r="BS113" s="266"/>
      <c r="BT113" s="266"/>
      <c r="BU113" s="266"/>
      <c r="BV113" s="208"/>
      <c r="BW113" s="266"/>
      <c r="BX113" s="208"/>
      <c r="BY113" s="266"/>
      <c r="BZ113" s="208"/>
      <c r="CA113" s="266"/>
      <c r="CB113" s="208"/>
      <c r="CC113" s="266"/>
      <c r="CD113" s="208"/>
      <c r="CE113" s="208"/>
      <c r="CF113" s="208"/>
      <c r="CG113" s="208"/>
      <c r="CH113" s="266"/>
      <c r="CI113" s="208"/>
      <c r="CJ113" s="208"/>
      <c r="CK113" s="266"/>
      <c r="CL113" s="208"/>
      <c r="CM113" s="266"/>
      <c r="CN113" s="208"/>
      <c r="CO113" s="208"/>
      <c r="CP113" s="208"/>
      <c r="CQ113" s="208"/>
      <c r="CR113" s="266"/>
      <c r="CS113" s="208"/>
      <c r="CT113" s="208"/>
      <c r="CU113" s="266"/>
      <c r="CV113" s="208"/>
      <c r="CW113" s="266"/>
      <c r="CX113" s="208"/>
      <c r="CY113" s="266"/>
    </row>
    <row r="114" spans="1:103" ht="24" hidden="1" customHeight="1" x14ac:dyDescent="0.3">
      <c r="A114" s="213">
        <v>10</v>
      </c>
      <c r="B114" s="212" t="s">
        <v>131</v>
      </c>
      <c r="C114" s="180">
        <f t="shared" si="87"/>
        <v>0</v>
      </c>
      <c r="D114" s="181">
        <v>0</v>
      </c>
      <c r="E114" s="187">
        <v>0</v>
      </c>
      <c r="F114" s="182">
        <f t="shared" si="1"/>
        <v>0</v>
      </c>
      <c r="G114" s="183">
        <f t="shared" si="2"/>
        <v>0</v>
      </c>
      <c r="H114" s="184">
        <f t="shared" si="88"/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0</v>
      </c>
      <c r="N114" s="185">
        <v>0</v>
      </c>
      <c r="O114" s="185">
        <f t="shared" si="41"/>
        <v>0</v>
      </c>
      <c r="P114" s="208"/>
      <c r="Q114" s="208"/>
      <c r="R114" s="208"/>
      <c r="S114" s="208"/>
      <c r="T114" s="208"/>
      <c r="U114" s="208"/>
      <c r="V114" s="208"/>
      <c r="W114" s="266"/>
      <c r="X114" s="208"/>
      <c r="Y114" s="266"/>
      <c r="Z114" s="208"/>
      <c r="AA114" s="266"/>
      <c r="AB114" s="208"/>
      <c r="AC114" s="208"/>
      <c r="AD114" s="208"/>
      <c r="AE114" s="208"/>
      <c r="AF114" s="208"/>
      <c r="AG114" s="208"/>
      <c r="AH114" s="208"/>
      <c r="AI114" s="266"/>
      <c r="AJ114" s="208"/>
      <c r="AK114" s="266"/>
      <c r="AL114" s="208"/>
      <c r="AM114" s="266"/>
      <c r="AN114" s="208"/>
      <c r="AO114" s="208"/>
      <c r="AP114" s="208"/>
      <c r="AQ114" s="208"/>
      <c r="AR114" s="208"/>
      <c r="AS114" s="208"/>
      <c r="AT114" s="208"/>
      <c r="AU114" s="266"/>
      <c r="AV114" s="208"/>
      <c r="AW114" s="266"/>
      <c r="AX114" s="208"/>
      <c r="AY114" s="266"/>
      <c r="AZ114" s="266"/>
      <c r="BA114" s="266"/>
      <c r="BB114" s="266"/>
      <c r="BC114" s="266"/>
      <c r="BD114" s="208"/>
      <c r="BE114" s="266"/>
      <c r="BF114" s="208"/>
      <c r="BG114" s="266"/>
      <c r="BH114" s="208"/>
      <c r="BI114" s="208"/>
      <c r="BJ114" s="208"/>
      <c r="BK114" s="208"/>
      <c r="BL114" s="208"/>
      <c r="BM114" s="208"/>
      <c r="BN114" s="208"/>
      <c r="BO114" s="266"/>
      <c r="BP114" s="208"/>
      <c r="BQ114" s="266"/>
      <c r="BR114" s="208"/>
      <c r="BS114" s="266"/>
      <c r="BT114" s="266"/>
      <c r="BU114" s="266"/>
      <c r="BV114" s="208"/>
      <c r="BW114" s="266"/>
      <c r="BX114" s="208"/>
      <c r="BY114" s="266"/>
      <c r="BZ114" s="208"/>
      <c r="CA114" s="266"/>
      <c r="CB114" s="208"/>
      <c r="CC114" s="266"/>
      <c r="CD114" s="208"/>
      <c r="CE114" s="208"/>
      <c r="CF114" s="208"/>
      <c r="CG114" s="208"/>
      <c r="CH114" s="266"/>
      <c r="CI114" s="208"/>
      <c r="CJ114" s="208"/>
      <c r="CK114" s="266"/>
      <c r="CL114" s="208"/>
      <c r="CM114" s="266"/>
      <c r="CN114" s="208"/>
      <c r="CO114" s="208"/>
      <c r="CP114" s="208"/>
      <c r="CQ114" s="208"/>
      <c r="CR114" s="266"/>
      <c r="CS114" s="208"/>
      <c r="CT114" s="208"/>
      <c r="CU114" s="266"/>
      <c r="CV114" s="208"/>
      <c r="CW114" s="266"/>
      <c r="CX114" s="208"/>
      <c r="CY114" s="266"/>
    </row>
    <row r="115" spans="1:103" ht="24" hidden="1" customHeight="1" x14ac:dyDescent="0.3">
      <c r="A115" s="213">
        <v>11</v>
      </c>
      <c r="B115" s="212" t="s">
        <v>132</v>
      </c>
      <c r="C115" s="180">
        <f t="shared" si="87"/>
        <v>0</v>
      </c>
      <c r="D115" s="181">
        <v>0</v>
      </c>
      <c r="E115" s="187">
        <v>0</v>
      </c>
      <c r="F115" s="182">
        <f t="shared" si="1"/>
        <v>0</v>
      </c>
      <c r="G115" s="183">
        <f t="shared" si="2"/>
        <v>0</v>
      </c>
      <c r="H115" s="184">
        <f t="shared" si="88"/>
        <v>0</v>
      </c>
      <c r="I115" s="187">
        <v>0</v>
      </c>
      <c r="J115" s="187">
        <v>0</v>
      </c>
      <c r="K115" s="187">
        <v>0</v>
      </c>
      <c r="L115" s="187">
        <v>0</v>
      </c>
      <c r="M115" s="187">
        <v>0</v>
      </c>
      <c r="N115" s="185">
        <v>0</v>
      </c>
      <c r="O115" s="185">
        <f t="shared" si="41"/>
        <v>0</v>
      </c>
      <c r="P115" s="208"/>
      <c r="Q115" s="208"/>
      <c r="R115" s="208"/>
      <c r="S115" s="208"/>
      <c r="T115" s="208"/>
      <c r="U115" s="208"/>
      <c r="V115" s="208"/>
      <c r="W115" s="266"/>
      <c r="X115" s="208"/>
      <c r="Y115" s="266"/>
      <c r="Z115" s="208"/>
      <c r="AA115" s="266"/>
      <c r="AB115" s="208"/>
      <c r="AC115" s="208"/>
      <c r="AD115" s="208"/>
      <c r="AE115" s="208"/>
      <c r="AF115" s="208"/>
      <c r="AG115" s="208"/>
      <c r="AH115" s="208"/>
      <c r="AI115" s="266"/>
      <c r="AJ115" s="208"/>
      <c r="AK115" s="266"/>
      <c r="AL115" s="208"/>
      <c r="AM115" s="266"/>
      <c r="AN115" s="208"/>
      <c r="AO115" s="208"/>
      <c r="AP115" s="208"/>
      <c r="AQ115" s="208"/>
      <c r="AR115" s="208"/>
      <c r="AS115" s="208"/>
      <c r="AT115" s="208"/>
      <c r="AU115" s="266"/>
      <c r="AV115" s="208"/>
      <c r="AW115" s="266"/>
      <c r="AX115" s="208"/>
      <c r="AY115" s="266"/>
      <c r="AZ115" s="266"/>
      <c r="BA115" s="266"/>
      <c r="BB115" s="266"/>
      <c r="BC115" s="266"/>
      <c r="BD115" s="208"/>
      <c r="BE115" s="266"/>
      <c r="BF115" s="208"/>
      <c r="BG115" s="266"/>
      <c r="BH115" s="208"/>
      <c r="BI115" s="208"/>
      <c r="BJ115" s="208"/>
      <c r="BK115" s="208"/>
      <c r="BL115" s="208"/>
      <c r="BM115" s="208"/>
      <c r="BN115" s="208"/>
      <c r="BO115" s="266"/>
      <c r="BP115" s="208"/>
      <c r="BQ115" s="266"/>
      <c r="BR115" s="208"/>
      <c r="BS115" s="266"/>
      <c r="BT115" s="266"/>
      <c r="BU115" s="266"/>
      <c r="BV115" s="208"/>
      <c r="BW115" s="266"/>
      <c r="BX115" s="208"/>
      <c r="BY115" s="266"/>
      <c r="BZ115" s="208"/>
      <c r="CA115" s="266"/>
      <c r="CB115" s="208"/>
      <c r="CC115" s="266"/>
      <c r="CD115" s="208"/>
      <c r="CE115" s="208"/>
      <c r="CF115" s="208"/>
      <c r="CG115" s="208"/>
      <c r="CH115" s="266"/>
      <c r="CI115" s="208"/>
      <c r="CJ115" s="208"/>
      <c r="CK115" s="266"/>
      <c r="CL115" s="208"/>
      <c r="CM115" s="266"/>
      <c r="CN115" s="208"/>
      <c r="CO115" s="208"/>
      <c r="CP115" s="208"/>
      <c r="CQ115" s="208"/>
      <c r="CR115" s="266"/>
      <c r="CS115" s="208"/>
      <c r="CT115" s="208"/>
      <c r="CU115" s="266"/>
      <c r="CV115" s="208"/>
      <c r="CW115" s="266"/>
      <c r="CX115" s="208"/>
      <c r="CY115" s="266"/>
    </row>
    <row r="116" spans="1:103" ht="24" hidden="1" customHeight="1" x14ac:dyDescent="0.3">
      <c r="A116" s="213">
        <v>12</v>
      </c>
      <c r="B116" s="212" t="s">
        <v>133</v>
      </c>
      <c r="C116" s="180">
        <f t="shared" si="87"/>
        <v>0</v>
      </c>
      <c r="D116" s="181">
        <v>0</v>
      </c>
      <c r="E116" s="187">
        <v>0</v>
      </c>
      <c r="F116" s="182">
        <f t="shared" si="1"/>
        <v>0</v>
      </c>
      <c r="G116" s="183">
        <f t="shared" si="2"/>
        <v>0</v>
      </c>
      <c r="H116" s="184">
        <f t="shared" si="88"/>
        <v>0</v>
      </c>
      <c r="I116" s="187">
        <v>0</v>
      </c>
      <c r="J116" s="187">
        <v>0</v>
      </c>
      <c r="K116" s="187">
        <v>0</v>
      </c>
      <c r="L116" s="187">
        <v>0</v>
      </c>
      <c r="M116" s="187">
        <v>0</v>
      </c>
      <c r="N116" s="185">
        <v>0</v>
      </c>
      <c r="O116" s="185">
        <f t="shared" si="41"/>
        <v>0</v>
      </c>
      <c r="P116" s="208"/>
      <c r="Q116" s="208"/>
      <c r="R116" s="208"/>
      <c r="S116" s="208"/>
      <c r="T116" s="208"/>
      <c r="U116" s="208"/>
      <c r="V116" s="208"/>
      <c r="W116" s="266"/>
      <c r="X116" s="208"/>
      <c r="Y116" s="266"/>
      <c r="Z116" s="208"/>
      <c r="AA116" s="266"/>
      <c r="AB116" s="208"/>
      <c r="AC116" s="208"/>
      <c r="AD116" s="208"/>
      <c r="AE116" s="208"/>
      <c r="AF116" s="208"/>
      <c r="AG116" s="208"/>
      <c r="AH116" s="208"/>
      <c r="AI116" s="266"/>
      <c r="AJ116" s="208"/>
      <c r="AK116" s="266"/>
      <c r="AL116" s="208"/>
      <c r="AM116" s="266"/>
      <c r="AN116" s="208"/>
      <c r="AO116" s="208"/>
      <c r="AP116" s="208"/>
      <c r="AQ116" s="208"/>
      <c r="AR116" s="208"/>
      <c r="AS116" s="208"/>
      <c r="AT116" s="208"/>
      <c r="AU116" s="266"/>
      <c r="AV116" s="208"/>
      <c r="AW116" s="266"/>
      <c r="AX116" s="208"/>
      <c r="AY116" s="266"/>
      <c r="AZ116" s="266"/>
      <c r="BA116" s="266"/>
      <c r="BB116" s="266"/>
      <c r="BC116" s="266"/>
      <c r="BD116" s="208"/>
      <c r="BE116" s="266"/>
      <c r="BF116" s="208"/>
      <c r="BG116" s="266"/>
      <c r="BH116" s="208"/>
      <c r="BI116" s="208"/>
      <c r="BJ116" s="208"/>
      <c r="BK116" s="208"/>
      <c r="BL116" s="208"/>
      <c r="BM116" s="208"/>
      <c r="BN116" s="208"/>
      <c r="BO116" s="266"/>
      <c r="BP116" s="208"/>
      <c r="BQ116" s="266"/>
      <c r="BR116" s="208"/>
      <c r="BS116" s="266"/>
      <c r="BT116" s="266"/>
      <c r="BU116" s="266"/>
      <c r="BV116" s="208"/>
      <c r="BW116" s="266"/>
      <c r="BX116" s="208"/>
      <c r="BY116" s="266"/>
      <c r="BZ116" s="208"/>
      <c r="CA116" s="266"/>
      <c r="CB116" s="208"/>
      <c r="CC116" s="266"/>
      <c r="CD116" s="208"/>
      <c r="CE116" s="208"/>
      <c r="CF116" s="208"/>
      <c r="CG116" s="208"/>
      <c r="CH116" s="266"/>
      <c r="CI116" s="208"/>
      <c r="CJ116" s="208"/>
      <c r="CK116" s="266"/>
      <c r="CL116" s="208"/>
      <c r="CM116" s="266"/>
      <c r="CN116" s="208"/>
      <c r="CO116" s="208"/>
      <c r="CP116" s="208"/>
      <c r="CQ116" s="208"/>
      <c r="CR116" s="266"/>
      <c r="CS116" s="208"/>
      <c r="CT116" s="208"/>
      <c r="CU116" s="266"/>
      <c r="CV116" s="208"/>
      <c r="CW116" s="266"/>
      <c r="CX116" s="208"/>
      <c r="CY116" s="266"/>
    </row>
    <row r="117" spans="1:103" ht="24" customHeight="1" x14ac:dyDescent="0.2">
      <c r="A117" s="214"/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4"/>
      <c r="N117" s="215"/>
      <c r="O117" s="215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1:103" ht="24" customHeight="1" x14ac:dyDescent="0.2">
      <c r="A118" s="214"/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4"/>
      <c r="N118" s="215"/>
      <c r="O118" s="215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1:103" ht="24" customHeight="1" x14ac:dyDescent="0.2">
      <c r="A119" s="214"/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4"/>
      <c r="N119" s="215"/>
      <c r="O119" s="215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1:103" ht="24" customHeight="1" x14ac:dyDescent="0.2">
      <c r="A120" s="214"/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4"/>
      <c r="N120" s="215"/>
      <c r="O120" s="215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1:103" ht="24" customHeight="1" x14ac:dyDescent="0.2">
      <c r="A121" s="214"/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4"/>
      <c r="N121" s="215"/>
      <c r="O121" s="215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1:103" ht="24" customHeight="1" x14ac:dyDescent="0.2">
      <c r="A122" s="214"/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4"/>
      <c r="N122" s="215"/>
      <c r="O122" s="215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1:103" ht="24" customHeight="1" x14ac:dyDescent="0.2">
      <c r="A123" s="214"/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4"/>
      <c r="N123" s="215"/>
      <c r="O123" s="215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1:103" ht="24" customHeight="1" x14ac:dyDescent="0.2">
      <c r="A124" s="214"/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4"/>
      <c r="N124" s="215"/>
      <c r="O124" s="215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1:103" ht="24" customHeight="1" x14ac:dyDescent="0.2">
      <c r="A125" s="214"/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4"/>
      <c r="N125" s="215"/>
      <c r="O125" s="215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1:103" ht="24" customHeight="1" x14ac:dyDescent="0.2">
      <c r="A126" s="214"/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4"/>
      <c r="N126" s="215"/>
      <c r="O126" s="215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1:103" ht="24" customHeight="1" x14ac:dyDescent="0.2">
      <c r="A127" s="214"/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5"/>
      <c r="O127" s="215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1:103" ht="24" customHeight="1" x14ac:dyDescent="0.2">
      <c r="A128" s="214"/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5"/>
      <c r="O128" s="215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1:103" ht="24" customHeight="1" x14ac:dyDescent="0.2">
      <c r="A129" s="214"/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4"/>
      <c r="N129" s="215"/>
      <c r="O129" s="215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1:103" ht="24" customHeight="1" x14ac:dyDescent="0.2">
      <c r="A130" s="214"/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4"/>
      <c r="N130" s="215"/>
      <c r="O130" s="215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1:103" ht="24" customHeight="1" x14ac:dyDescent="0.2">
      <c r="A131" s="214"/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4"/>
      <c r="N131" s="215"/>
      <c r="O131" s="215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1:103" ht="24" customHeight="1" x14ac:dyDescent="0.2">
      <c r="A132" s="214"/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4"/>
      <c r="N132" s="215"/>
      <c r="O132" s="215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1:103" ht="24" customHeight="1" x14ac:dyDescent="0.2">
      <c r="A133" s="214"/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4"/>
      <c r="N133" s="215"/>
      <c r="O133" s="215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1:103" ht="24" customHeight="1" x14ac:dyDescent="0.2">
      <c r="A134" s="214"/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4"/>
      <c r="N134" s="215"/>
      <c r="O134" s="215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1:103" ht="24" customHeight="1" x14ac:dyDescent="0.2">
      <c r="A135" s="214"/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4"/>
      <c r="N135" s="215"/>
      <c r="O135" s="215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1:103" ht="24" customHeight="1" x14ac:dyDescent="0.2">
      <c r="A136" s="214"/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4"/>
      <c r="N136" s="215"/>
      <c r="O136" s="215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1:103" ht="24" customHeight="1" x14ac:dyDescent="0.2">
      <c r="A137" s="214"/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4"/>
      <c r="N137" s="215"/>
      <c r="O137" s="215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1:103" ht="24" customHeight="1" x14ac:dyDescent="0.2">
      <c r="A138" s="214"/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4"/>
      <c r="N138" s="215"/>
      <c r="O138" s="215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1:103" ht="24" customHeight="1" x14ac:dyDescent="0.2">
      <c r="A139" s="214"/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4"/>
      <c r="N139" s="215"/>
      <c r="O139" s="215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1:103" ht="24" customHeight="1" x14ac:dyDescent="0.2">
      <c r="A140" s="214"/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4"/>
      <c r="N140" s="215"/>
      <c r="O140" s="215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1:103" ht="24" customHeight="1" x14ac:dyDescent="0.2">
      <c r="A141" s="214"/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4"/>
      <c r="N141" s="215"/>
      <c r="O141" s="215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1:103" ht="24" customHeight="1" x14ac:dyDescent="0.2">
      <c r="A142" s="214"/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4"/>
      <c r="N142" s="215"/>
      <c r="O142" s="215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1:103" ht="24" customHeight="1" x14ac:dyDescent="0.2">
      <c r="A143" s="214"/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4"/>
      <c r="N143" s="215"/>
      <c r="O143" s="215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1:103" ht="24" customHeight="1" x14ac:dyDescent="0.2">
      <c r="A144" s="214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4"/>
      <c r="N144" s="215"/>
      <c r="O144" s="215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1:103" ht="24" customHeight="1" x14ac:dyDescent="0.2">
      <c r="A145" s="214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4"/>
      <c r="N145" s="215"/>
      <c r="O145" s="215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1:103" ht="24" customHeight="1" x14ac:dyDescent="0.2">
      <c r="A146" s="214"/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4"/>
      <c r="N146" s="215"/>
      <c r="O146" s="215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1:103" ht="24" customHeight="1" x14ac:dyDescent="0.2">
      <c r="A147" s="214"/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4"/>
      <c r="N147" s="215"/>
      <c r="O147" s="215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1:103" ht="24" customHeight="1" x14ac:dyDescent="0.2">
      <c r="A148" s="214"/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4"/>
      <c r="N148" s="215"/>
      <c r="O148" s="215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1:103" ht="24" customHeight="1" x14ac:dyDescent="0.2">
      <c r="A149" s="214"/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4"/>
      <c r="N149" s="215"/>
      <c r="O149" s="215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1:103" ht="24" customHeight="1" x14ac:dyDescent="0.2">
      <c r="A150" s="214"/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4"/>
      <c r="N150" s="215"/>
      <c r="O150" s="215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1:103" ht="24" customHeight="1" x14ac:dyDescent="0.2">
      <c r="A151" s="214"/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4"/>
      <c r="N151" s="215"/>
      <c r="O151" s="215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1:103" ht="24" customHeight="1" x14ac:dyDescent="0.2">
      <c r="A152" s="214"/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4"/>
      <c r="N152" s="215"/>
      <c r="O152" s="215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1:103" ht="24" customHeight="1" x14ac:dyDescent="0.2">
      <c r="A153" s="214"/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4"/>
      <c r="N153" s="215"/>
      <c r="O153" s="215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1:103" ht="24" customHeight="1" x14ac:dyDescent="0.2">
      <c r="A154" s="214"/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4"/>
      <c r="N154" s="215"/>
      <c r="O154" s="215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1:103" ht="24" customHeight="1" x14ac:dyDescent="0.2">
      <c r="A155" s="214"/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4"/>
      <c r="N155" s="215"/>
      <c r="O155" s="215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1:103" ht="24" customHeight="1" x14ac:dyDescent="0.2">
      <c r="A156" s="214"/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4"/>
      <c r="N156" s="215"/>
      <c r="O156" s="215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1:103" ht="24" customHeight="1" x14ac:dyDescent="0.2">
      <c r="A157" s="214"/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4"/>
      <c r="N157" s="215"/>
      <c r="O157" s="215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1:103" ht="24" customHeight="1" x14ac:dyDescent="0.2">
      <c r="A158" s="214"/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4"/>
      <c r="N158" s="215"/>
      <c r="O158" s="215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1:103" ht="24" customHeight="1" x14ac:dyDescent="0.2">
      <c r="A159" s="214"/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4"/>
      <c r="N159" s="215"/>
      <c r="O159" s="215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1:103" ht="24" customHeight="1" x14ac:dyDescent="0.2">
      <c r="A160" s="214"/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4"/>
      <c r="N160" s="215"/>
      <c r="O160" s="215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1:103" ht="24" customHeight="1" x14ac:dyDescent="0.2">
      <c r="A161" s="214"/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4"/>
      <c r="N161" s="215"/>
      <c r="O161" s="215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1:103" ht="24" customHeight="1" x14ac:dyDescent="0.2">
      <c r="A162" s="214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4"/>
      <c r="N162" s="215"/>
      <c r="O162" s="215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1:103" ht="24" customHeight="1" x14ac:dyDescent="0.2">
      <c r="A163" s="214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4"/>
      <c r="N163" s="215"/>
      <c r="O163" s="215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1:103" ht="24" customHeight="1" x14ac:dyDescent="0.2">
      <c r="A164" s="214"/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4"/>
      <c r="N164" s="215"/>
      <c r="O164" s="215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1:103" ht="24" customHeight="1" x14ac:dyDescent="0.2">
      <c r="A165" s="214"/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4"/>
      <c r="N165" s="215"/>
      <c r="O165" s="215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1:103" ht="24" customHeight="1" x14ac:dyDescent="0.2">
      <c r="A166" s="214"/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4"/>
      <c r="N166" s="215"/>
      <c r="O166" s="215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1:103" ht="24" customHeight="1" x14ac:dyDescent="0.2">
      <c r="A167" s="214"/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4"/>
      <c r="N167" s="215"/>
      <c r="O167" s="215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1:103" ht="24" customHeight="1" x14ac:dyDescent="0.2">
      <c r="A168" s="214"/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4"/>
      <c r="N168" s="215"/>
      <c r="O168" s="215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1:103" ht="24" customHeight="1" x14ac:dyDescent="0.2">
      <c r="A169" s="214"/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4"/>
      <c r="N169" s="215"/>
      <c r="O169" s="215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1:103" ht="24" customHeight="1" x14ac:dyDescent="0.2">
      <c r="A170" s="214"/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4"/>
      <c r="N170" s="215"/>
      <c r="O170" s="215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6"/>
      <c r="BM170" s="216"/>
      <c r="BN170" s="216"/>
      <c r="BO170" s="216"/>
      <c r="BP170" s="216"/>
      <c r="BQ170" s="216"/>
      <c r="BR170" s="216"/>
      <c r="BS170" s="216"/>
      <c r="BT170" s="216"/>
      <c r="BU170" s="216"/>
      <c r="BV170" s="216"/>
      <c r="BW170" s="216"/>
      <c r="BX170" s="216"/>
      <c r="BY170" s="216"/>
      <c r="BZ170" s="216"/>
      <c r="CA170" s="216"/>
      <c r="CB170" s="216"/>
      <c r="CC170" s="216"/>
      <c r="CD170" s="216"/>
      <c r="CE170" s="216"/>
      <c r="CF170" s="216"/>
      <c r="CG170" s="216"/>
      <c r="CH170" s="216"/>
      <c r="CI170" s="216"/>
      <c r="CJ170" s="216"/>
      <c r="CK170" s="216"/>
      <c r="CL170" s="216"/>
      <c r="CM170" s="216"/>
      <c r="CN170" s="216"/>
      <c r="CO170" s="216"/>
      <c r="CP170" s="216"/>
      <c r="CQ170" s="216"/>
      <c r="CR170" s="216"/>
      <c r="CS170" s="216"/>
      <c r="CT170" s="216"/>
      <c r="CU170" s="216"/>
      <c r="CV170" s="216"/>
      <c r="CW170" s="216"/>
      <c r="CX170" s="216"/>
      <c r="CY170" s="216"/>
    </row>
    <row r="171" spans="1:103" ht="24" customHeight="1" x14ac:dyDescent="0.2">
      <c r="A171" s="214"/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4"/>
      <c r="N171" s="215"/>
      <c r="O171" s="215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  <c r="BS171" s="216"/>
      <c r="BT171" s="216"/>
      <c r="BU171" s="216"/>
      <c r="BV171" s="216"/>
      <c r="BW171" s="216"/>
      <c r="BX171" s="216"/>
      <c r="BY171" s="216"/>
      <c r="BZ171" s="216"/>
      <c r="CA171" s="216"/>
      <c r="CB171" s="216"/>
      <c r="CC171" s="216"/>
      <c r="CD171" s="216"/>
      <c r="CE171" s="216"/>
      <c r="CF171" s="216"/>
      <c r="CG171" s="216"/>
      <c r="CH171" s="216"/>
      <c r="CI171" s="216"/>
      <c r="CJ171" s="216"/>
      <c r="CK171" s="216"/>
      <c r="CL171" s="216"/>
      <c r="CM171" s="216"/>
      <c r="CN171" s="216"/>
      <c r="CO171" s="216"/>
      <c r="CP171" s="216"/>
      <c r="CQ171" s="216"/>
      <c r="CR171" s="216"/>
      <c r="CS171" s="216"/>
      <c r="CT171" s="216"/>
      <c r="CU171" s="216"/>
      <c r="CV171" s="216"/>
      <c r="CW171" s="216"/>
      <c r="CX171" s="216"/>
      <c r="CY171" s="216"/>
    </row>
    <row r="172" spans="1:103" ht="24" customHeight="1" x14ac:dyDescent="0.2">
      <c r="A172" s="214"/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4"/>
      <c r="N172" s="215"/>
      <c r="O172" s="215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  <c r="BS172" s="216"/>
      <c r="BT172" s="216"/>
      <c r="BU172" s="216"/>
      <c r="BV172" s="216"/>
      <c r="BW172" s="216"/>
      <c r="BX172" s="216"/>
      <c r="BY172" s="216"/>
      <c r="BZ172" s="216"/>
      <c r="CA172" s="216"/>
      <c r="CB172" s="216"/>
      <c r="CC172" s="216"/>
      <c r="CD172" s="216"/>
      <c r="CE172" s="216"/>
      <c r="CF172" s="216"/>
      <c r="CG172" s="216"/>
      <c r="CH172" s="216"/>
      <c r="CI172" s="216"/>
      <c r="CJ172" s="216"/>
      <c r="CK172" s="216"/>
      <c r="CL172" s="216"/>
      <c r="CM172" s="216"/>
      <c r="CN172" s="216"/>
      <c r="CO172" s="216"/>
      <c r="CP172" s="216"/>
      <c r="CQ172" s="216"/>
      <c r="CR172" s="216"/>
      <c r="CS172" s="216"/>
      <c r="CT172" s="216"/>
      <c r="CU172" s="216"/>
      <c r="CV172" s="216"/>
      <c r="CW172" s="216"/>
      <c r="CX172" s="216"/>
      <c r="CY172" s="216"/>
    </row>
    <row r="173" spans="1:103" ht="24" customHeight="1" x14ac:dyDescent="0.2">
      <c r="A173" s="214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4"/>
      <c r="N173" s="215"/>
      <c r="O173" s="215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  <c r="BS173" s="216"/>
      <c r="BT173" s="216"/>
      <c r="BU173" s="216"/>
      <c r="BV173" s="216"/>
      <c r="BW173" s="216"/>
      <c r="BX173" s="216"/>
      <c r="BY173" s="216"/>
      <c r="BZ173" s="216"/>
      <c r="CA173" s="216"/>
      <c r="CB173" s="216"/>
      <c r="CC173" s="216"/>
      <c r="CD173" s="216"/>
      <c r="CE173" s="216"/>
      <c r="CF173" s="216"/>
      <c r="CG173" s="216"/>
      <c r="CH173" s="216"/>
      <c r="CI173" s="216"/>
      <c r="CJ173" s="216"/>
      <c r="CK173" s="216"/>
      <c r="CL173" s="216"/>
      <c r="CM173" s="216"/>
      <c r="CN173" s="216"/>
      <c r="CO173" s="216"/>
      <c r="CP173" s="216"/>
      <c r="CQ173" s="216"/>
      <c r="CR173" s="216"/>
      <c r="CS173" s="216"/>
      <c r="CT173" s="216"/>
      <c r="CU173" s="216"/>
      <c r="CV173" s="216"/>
      <c r="CW173" s="216"/>
      <c r="CX173" s="216"/>
      <c r="CY173" s="216"/>
    </row>
    <row r="174" spans="1:103" ht="24" customHeight="1" x14ac:dyDescent="0.2">
      <c r="A174" s="214"/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5"/>
      <c r="O174" s="215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  <c r="BS174" s="216"/>
      <c r="BT174" s="216"/>
      <c r="BU174" s="216"/>
      <c r="BV174" s="216"/>
      <c r="BW174" s="216"/>
      <c r="BX174" s="216"/>
      <c r="BY174" s="216"/>
      <c r="BZ174" s="216"/>
      <c r="CA174" s="216"/>
      <c r="CB174" s="216"/>
      <c r="CC174" s="216"/>
      <c r="CD174" s="216"/>
      <c r="CE174" s="216"/>
      <c r="CF174" s="216"/>
      <c r="CG174" s="216"/>
      <c r="CH174" s="216"/>
      <c r="CI174" s="216"/>
      <c r="CJ174" s="216"/>
      <c r="CK174" s="216"/>
      <c r="CL174" s="216"/>
      <c r="CM174" s="216"/>
      <c r="CN174" s="216"/>
      <c r="CO174" s="216"/>
      <c r="CP174" s="216"/>
      <c r="CQ174" s="216"/>
      <c r="CR174" s="216"/>
      <c r="CS174" s="216"/>
      <c r="CT174" s="216"/>
      <c r="CU174" s="216"/>
      <c r="CV174" s="216"/>
      <c r="CW174" s="216"/>
      <c r="CX174" s="216"/>
      <c r="CY174" s="216"/>
    </row>
    <row r="175" spans="1:103" ht="24" customHeight="1" x14ac:dyDescent="0.2">
      <c r="A175" s="214"/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4"/>
      <c r="N175" s="215"/>
      <c r="O175" s="215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6"/>
      <c r="BN175" s="216"/>
      <c r="BO175" s="216"/>
      <c r="BP175" s="216"/>
      <c r="BQ175" s="216"/>
      <c r="BR175" s="216"/>
      <c r="BS175" s="216"/>
      <c r="BT175" s="216"/>
      <c r="BU175" s="216"/>
      <c r="BV175" s="216"/>
      <c r="BW175" s="216"/>
      <c r="BX175" s="216"/>
      <c r="BY175" s="216"/>
      <c r="BZ175" s="216"/>
      <c r="CA175" s="216"/>
      <c r="CB175" s="216"/>
      <c r="CC175" s="216"/>
      <c r="CD175" s="216"/>
      <c r="CE175" s="216"/>
      <c r="CF175" s="216"/>
      <c r="CG175" s="216"/>
      <c r="CH175" s="216"/>
      <c r="CI175" s="216"/>
      <c r="CJ175" s="216"/>
      <c r="CK175" s="216"/>
      <c r="CL175" s="216"/>
      <c r="CM175" s="216"/>
      <c r="CN175" s="216"/>
      <c r="CO175" s="216"/>
      <c r="CP175" s="216"/>
      <c r="CQ175" s="216"/>
      <c r="CR175" s="216"/>
      <c r="CS175" s="216"/>
      <c r="CT175" s="216"/>
      <c r="CU175" s="216"/>
      <c r="CV175" s="216"/>
      <c r="CW175" s="216"/>
      <c r="CX175" s="216"/>
      <c r="CY175" s="216"/>
    </row>
    <row r="176" spans="1:103" ht="24" customHeight="1" x14ac:dyDescent="0.2">
      <c r="A176" s="214"/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4"/>
      <c r="N176" s="215"/>
      <c r="O176" s="215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6"/>
      <c r="BN176" s="216"/>
      <c r="BO176" s="216"/>
      <c r="BP176" s="216"/>
      <c r="BQ176" s="216"/>
      <c r="BR176" s="216"/>
      <c r="BS176" s="216"/>
      <c r="BT176" s="216"/>
      <c r="BU176" s="216"/>
      <c r="BV176" s="216"/>
      <c r="BW176" s="216"/>
      <c r="BX176" s="216"/>
      <c r="BY176" s="216"/>
      <c r="BZ176" s="216"/>
      <c r="CA176" s="216"/>
      <c r="CB176" s="216"/>
      <c r="CC176" s="216"/>
      <c r="CD176" s="216"/>
      <c r="CE176" s="216"/>
      <c r="CF176" s="216"/>
      <c r="CG176" s="216"/>
      <c r="CH176" s="216"/>
      <c r="CI176" s="216"/>
      <c r="CJ176" s="216"/>
      <c r="CK176" s="216"/>
      <c r="CL176" s="216"/>
      <c r="CM176" s="216"/>
      <c r="CN176" s="216"/>
      <c r="CO176" s="216"/>
      <c r="CP176" s="216"/>
      <c r="CQ176" s="216"/>
      <c r="CR176" s="216"/>
      <c r="CS176" s="216"/>
      <c r="CT176" s="216"/>
      <c r="CU176" s="216"/>
      <c r="CV176" s="216"/>
      <c r="CW176" s="216"/>
      <c r="CX176" s="216"/>
      <c r="CY176" s="216"/>
    </row>
    <row r="177" spans="1:103" ht="24" customHeight="1" x14ac:dyDescent="0.2">
      <c r="A177" s="214"/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4"/>
      <c r="N177" s="215"/>
      <c r="O177" s="215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6"/>
      <c r="BS177" s="216"/>
      <c r="BT177" s="216"/>
      <c r="BU177" s="216"/>
      <c r="BV177" s="216"/>
      <c r="BW177" s="216"/>
      <c r="BX177" s="216"/>
      <c r="BY177" s="216"/>
      <c r="BZ177" s="216"/>
      <c r="CA177" s="216"/>
      <c r="CB177" s="216"/>
      <c r="CC177" s="216"/>
      <c r="CD177" s="216"/>
      <c r="CE177" s="216"/>
      <c r="CF177" s="216"/>
      <c r="CG177" s="216"/>
      <c r="CH177" s="216"/>
      <c r="CI177" s="216"/>
      <c r="CJ177" s="216"/>
      <c r="CK177" s="216"/>
      <c r="CL177" s="216"/>
      <c r="CM177" s="216"/>
      <c r="CN177" s="216"/>
      <c r="CO177" s="216"/>
      <c r="CP177" s="216"/>
      <c r="CQ177" s="216"/>
      <c r="CR177" s="216"/>
      <c r="CS177" s="216"/>
      <c r="CT177" s="216"/>
      <c r="CU177" s="216"/>
      <c r="CV177" s="216"/>
      <c r="CW177" s="216"/>
      <c r="CX177" s="216"/>
      <c r="CY177" s="216"/>
    </row>
    <row r="178" spans="1:103" ht="24" customHeight="1" x14ac:dyDescent="0.2">
      <c r="A178" s="214"/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4"/>
      <c r="N178" s="215"/>
      <c r="O178" s="215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6"/>
      <c r="BN178" s="216"/>
      <c r="BO178" s="216"/>
      <c r="BP178" s="216"/>
      <c r="BQ178" s="216"/>
      <c r="BR178" s="216"/>
      <c r="BS178" s="216"/>
      <c r="BT178" s="216"/>
      <c r="BU178" s="216"/>
      <c r="BV178" s="216"/>
      <c r="BW178" s="216"/>
      <c r="BX178" s="216"/>
      <c r="BY178" s="216"/>
      <c r="BZ178" s="216"/>
      <c r="CA178" s="216"/>
      <c r="CB178" s="216"/>
      <c r="CC178" s="216"/>
      <c r="CD178" s="216"/>
      <c r="CE178" s="216"/>
      <c r="CF178" s="216"/>
      <c r="CG178" s="216"/>
      <c r="CH178" s="216"/>
      <c r="CI178" s="216"/>
      <c r="CJ178" s="216"/>
      <c r="CK178" s="216"/>
      <c r="CL178" s="216"/>
      <c r="CM178" s="216"/>
      <c r="CN178" s="216"/>
      <c r="CO178" s="216"/>
      <c r="CP178" s="216"/>
      <c r="CQ178" s="216"/>
      <c r="CR178" s="216"/>
      <c r="CS178" s="216"/>
      <c r="CT178" s="216"/>
      <c r="CU178" s="216"/>
      <c r="CV178" s="216"/>
      <c r="CW178" s="216"/>
      <c r="CX178" s="216"/>
      <c r="CY178" s="216"/>
    </row>
    <row r="179" spans="1:103" ht="24" customHeight="1" x14ac:dyDescent="0.2">
      <c r="A179" s="214"/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4"/>
      <c r="N179" s="215"/>
      <c r="O179" s="215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  <c r="BS179" s="216"/>
      <c r="BT179" s="216"/>
      <c r="BU179" s="216"/>
      <c r="BV179" s="216"/>
      <c r="BW179" s="216"/>
      <c r="BX179" s="216"/>
      <c r="BY179" s="216"/>
      <c r="BZ179" s="216"/>
      <c r="CA179" s="216"/>
      <c r="CB179" s="216"/>
      <c r="CC179" s="216"/>
      <c r="CD179" s="216"/>
      <c r="CE179" s="216"/>
      <c r="CF179" s="216"/>
      <c r="CG179" s="216"/>
      <c r="CH179" s="216"/>
      <c r="CI179" s="216"/>
      <c r="CJ179" s="216"/>
      <c r="CK179" s="216"/>
      <c r="CL179" s="216"/>
      <c r="CM179" s="216"/>
      <c r="CN179" s="216"/>
      <c r="CO179" s="216"/>
      <c r="CP179" s="216"/>
      <c r="CQ179" s="216"/>
      <c r="CR179" s="216"/>
      <c r="CS179" s="216"/>
      <c r="CT179" s="216"/>
      <c r="CU179" s="216"/>
      <c r="CV179" s="216"/>
      <c r="CW179" s="216"/>
      <c r="CX179" s="216"/>
      <c r="CY179" s="216"/>
    </row>
    <row r="180" spans="1:103" ht="24" customHeight="1" x14ac:dyDescent="0.2">
      <c r="A180" s="214"/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4"/>
      <c r="N180" s="215"/>
      <c r="O180" s="215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  <c r="BS180" s="216"/>
      <c r="BT180" s="216"/>
      <c r="BU180" s="216"/>
      <c r="BV180" s="216"/>
      <c r="BW180" s="216"/>
      <c r="BX180" s="216"/>
      <c r="BY180" s="216"/>
      <c r="BZ180" s="216"/>
      <c r="CA180" s="216"/>
      <c r="CB180" s="216"/>
      <c r="CC180" s="216"/>
      <c r="CD180" s="216"/>
      <c r="CE180" s="216"/>
      <c r="CF180" s="216"/>
      <c r="CG180" s="216"/>
      <c r="CH180" s="216"/>
      <c r="CI180" s="216"/>
      <c r="CJ180" s="216"/>
      <c r="CK180" s="216"/>
      <c r="CL180" s="216"/>
      <c r="CM180" s="216"/>
      <c r="CN180" s="216"/>
      <c r="CO180" s="216"/>
      <c r="CP180" s="216"/>
      <c r="CQ180" s="216"/>
      <c r="CR180" s="216"/>
      <c r="CS180" s="216"/>
      <c r="CT180" s="216"/>
      <c r="CU180" s="216"/>
      <c r="CV180" s="216"/>
      <c r="CW180" s="216"/>
      <c r="CX180" s="216"/>
      <c r="CY180" s="216"/>
    </row>
    <row r="181" spans="1:103" ht="24" customHeight="1" x14ac:dyDescent="0.2">
      <c r="A181" s="214"/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4"/>
      <c r="N181" s="215"/>
      <c r="O181" s="215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  <c r="BS181" s="216"/>
      <c r="BT181" s="216"/>
      <c r="BU181" s="216"/>
      <c r="BV181" s="216"/>
      <c r="BW181" s="216"/>
      <c r="BX181" s="216"/>
      <c r="BY181" s="216"/>
      <c r="BZ181" s="216"/>
      <c r="CA181" s="216"/>
      <c r="CB181" s="216"/>
      <c r="CC181" s="216"/>
      <c r="CD181" s="216"/>
      <c r="CE181" s="216"/>
      <c r="CF181" s="216"/>
      <c r="CG181" s="216"/>
      <c r="CH181" s="216"/>
      <c r="CI181" s="216"/>
      <c r="CJ181" s="216"/>
      <c r="CK181" s="216"/>
      <c r="CL181" s="216"/>
      <c r="CM181" s="216"/>
      <c r="CN181" s="216"/>
      <c r="CO181" s="216"/>
      <c r="CP181" s="216"/>
      <c r="CQ181" s="216"/>
      <c r="CR181" s="216"/>
      <c r="CS181" s="216"/>
      <c r="CT181" s="216"/>
      <c r="CU181" s="216"/>
      <c r="CV181" s="216"/>
      <c r="CW181" s="216"/>
      <c r="CX181" s="216"/>
      <c r="CY181" s="216"/>
    </row>
    <row r="182" spans="1:103" ht="24" customHeight="1" x14ac:dyDescent="0.2">
      <c r="A182" s="214"/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4"/>
      <c r="N182" s="215"/>
      <c r="O182" s="215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6"/>
      <c r="BM182" s="216"/>
      <c r="BN182" s="216"/>
      <c r="BO182" s="216"/>
      <c r="BP182" s="216"/>
      <c r="BQ182" s="216"/>
      <c r="BR182" s="216"/>
      <c r="BS182" s="216"/>
      <c r="BT182" s="216"/>
      <c r="BU182" s="216"/>
      <c r="BV182" s="216"/>
      <c r="BW182" s="216"/>
      <c r="BX182" s="216"/>
      <c r="BY182" s="216"/>
      <c r="BZ182" s="216"/>
      <c r="CA182" s="216"/>
      <c r="CB182" s="216"/>
      <c r="CC182" s="216"/>
      <c r="CD182" s="216"/>
      <c r="CE182" s="216"/>
      <c r="CF182" s="216"/>
      <c r="CG182" s="216"/>
      <c r="CH182" s="216"/>
      <c r="CI182" s="216"/>
      <c r="CJ182" s="216"/>
      <c r="CK182" s="216"/>
      <c r="CL182" s="216"/>
      <c r="CM182" s="216"/>
      <c r="CN182" s="216"/>
      <c r="CO182" s="216"/>
      <c r="CP182" s="216"/>
      <c r="CQ182" s="216"/>
      <c r="CR182" s="216"/>
      <c r="CS182" s="216"/>
      <c r="CT182" s="216"/>
      <c r="CU182" s="216"/>
      <c r="CV182" s="216"/>
      <c r="CW182" s="216"/>
      <c r="CX182" s="216"/>
      <c r="CY182" s="216"/>
    </row>
    <row r="183" spans="1:103" ht="24" customHeight="1" x14ac:dyDescent="0.2">
      <c r="A183" s="214"/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4"/>
      <c r="N183" s="215"/>
      <c r="O183" s="215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  <c r="BS183" s="216"/>
      <c r="BT183" s="216"/>
      <c r="BU183" s="216"/>
      <c r="BV183" s="216"/>
      <c r="BW183" s="216"/>
      <c r="BX183" s="216"/>
      <c r="BY183" s="216"/>
      <c r="BZ183" s="216"/>
      <c r="CA183" s="216"/>
      <c r="CB183" s="216"/>
      <c r="CC183" s="216"/>
      <c r="CD183" s="216"/>
      <c r="CE183" s="216"/>
      <c r="CF183" s="216"/>
      <c r="CG183" s="216"/>
      <c r="CH183" s="216"/>
      <c r="CI183" s="216"/>
      <c r="CJ183" s="216"/>
      <c r="CK183" s="216"/>
      <c r="CL183" s="216"/>
      <c r="CM183" s="216"/>
      <c r="CN183" s="216"/>
      <c r="CO183" s="216"/>
      <c r="CP183" s="216"/>
      <c r="CQ183" s="216"/>
      <c r="CR183" s="216"/>
      <c r="CS183" s="216"/>
      <c r="CT183" s="216"/>
      <c r="CU183" s="216"/>
      <c r="CV183" s="216"/>
      <c r="CW183" s="216"/>
      <c r="CX183" s="216"/>
      <c r="CY183" s="216"/>
    </row>
    <row r="184" spans="1:103" ht="24" customHeight="1" x14ac:dyDescent="0.2">
      <c r="A184" s="214"/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4"/>
      <c r="N184" s="215"/>
      <c r="O184" s="215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  <c r="BS184" s="216"/>
      <c r="BT184" s="216"/>
      <c r="BU184" s="216"/>
      <c r="BV184" s="216"/>
      <c r="BW184" s="216"/>
      <c r="BX184" s="216"/>
      <c r="BY184" s="216"/>
      <c r="BZ184" s="216"/>
      <c r="CA184" s="216"/>
      <c r="CB184" s="216"/>
      <c r="CC184" s="216"/>
      <c r="CD184" s="216"/>
      <c r="CE184" s="216"/>
      <c r="CF184" s="216"/>
      <c r="CG184" s="216"/>
      <c r="CH184" s="216"/>
      <c r="CI184" s="216"/>
      <c r="CJ184" s="216"/>
      <c r="CK184" s="216"/>
      <c r="CL184" s="216"/>
      <c r="CM184" s="216"/>
      <c r="CN184" s="216"/>
      <c r="CO184" s="216"/>
      <c r="CP184" s="216"/>
      <c r="CQ184" s="216"/>
      <c r="CR184" s="216"/>
      <c r="CS184" s="216"/>
      <c r="CT184" s="216"/>
      <c r="CU184" s="216"/>
      <c r="CV184" s="216"/>
      <c r="CW184" s="216"/>
      <c r="CX184" s="216"/>
      <c r="CY184" s="216"/>
    </row>
    <row r="185" spans="1:103" ht="24" customHeight="1" x14ac:dyDescent="0.2">
      <c r="A185" s="214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4"/>
      <c r="N185" s="215"/>
      <c r="O185" s="215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  <c r="BS185" s="216"/>
      <c r="BT185" s="216"/>
      <c r="BU185" s="216"/>
      <c r="BV185" s="216"/>
      <c r="BW185" s="216"/>
      <c r="BX185" s="216"/>
      <c r="BY185" s="216"/>
      <c r="BZ185" s="216"/>
      <c r="CA185" s="216"/>
      <c r="CB185" s="216"/>
      <c r="CC185" s="216"/>
      <c r="CD185" s="216"/>
      <c r="CE185" s="216"/>
      <c r="CF185" s="216"/>
      <c r="CG185" s="216"/>
      <c r="CH185" s="216"/>
      <c r="CI185" s="216"/>
      <c r="CJ185" s="216"/>
      <c r="CK185" s="216"/>
      <c r="CL185" s="216"/>
      <c r="CM185" s="216"/>
      <c r="CN185" s="216"/>
      <c r="CO185" s="216"/>
      <c r="CP185" s="216"/>
      <c r="CQ185" s="216"/>
      <c r="CR185" s="216"/>
      <c r="CS185" s="216"/>
      <c r="CT185" s="216"/>
      <c r="CU185" s="216"/>
      <c r="CV185" s="216"/>
      <c r="CW185" s="216"/>
      <c r="CX185" s="216"/>
      <c r="CY185" s="216"/>
    </row>
    <row r="186" spans="1:103" ht="24" customHeight="1" x14ac:dyDescent="0.2">
      <c r="A186" s="214"/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4"/>
      <c r="N186" s="215"/>
      <c r="O186" s="215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  <c r="BS186" s="216"/>
      <c r="BT186" s="216"/>
      <c r="BU186" s="216"/>
      <c r="BV186" s="216"/>
      <c r="BW186" s="216"/>
      <c r="BX186" s="216"/>
      <c r="BY186" s="216"/>
      <c r="BZ186" s="216"/>
      <c r="CA186" s="216"/>
      <c r="CB186" s="216"/>
      <c r="CC186" s="216"/>
      <c r="CD186" s="216"/>
      <c r="CE186" s="216"/>
      <c r="CF186" s="216"/>
      <c r="CG186" s="216"/>
      <c r="CH186" s="216"/>
      <c r="CI186" s="216"/>
      <c r="CJ186" s="216"/>
      <c r="CK186" s="216"/>
      <c r="CL186" s="216"/>
      <c r="CM186" s="216"/>
      <c r="CN186" s="216"/>
      <c r="CO186" s="216"/>
      <c r="CP186" s="216"/>
      <c r="CQ186" s="216"/>
      <c r="CR186" s="216"/>
      <c r="CS186" s="216"/>
      <c r="CT186" s="216"/>
      <c r="CU186" s="216"/>
      <c r="CV186" s="216"/>
      <c r="CW186" s="216"/>
      <c r="CX186" s="216"/>
      <c r="CY186" s="216"/>
    </row>
    <row r="187" spans="1:103" ht="24" customHeight="1" x14ac:dyDescent="0.2">
      <c r="A187" s="214"/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5"/>
      <c r="O187" s="215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  <c r="BS187" s="216"/>
      <c r="BT187" s="216"/>
      <c r="BU187" s="216"/>
      <c r="BV187" s="216"/>
      <c r="BW187" s="216"/>
      <c r="BX187" s="216"/>
      <c r="BY187" s="216"/>
      <c r="BZ187" s="216"/>
      <c r="CA187" s="216"/>
      <c r="CB187" s="216"/>
      <c r="CC187" s="216"/>
      <c r="CD187" s="216"/>
      <c r="CE187" s="216"/>
      <c r="CF187" s="216"/>
      <c r="CG187" s="216"/>
      <c r="CH187" s="216"/>
      <c r="CI187" s="216"/>
      <c r="CJ187" s="216"/>
      <c r="CK187" s="216"/>
      <c r="CL187" s="216"/>
      <c r="CM187" s="216"/>
      <c r="CN187" s="216"/>
      <c r="CO187" s="216"/>
      <c r="CP187" s="216"/>
      <c r="CQ187" s="216"/>
      <c r="CR187" s="216"/>
      <c r="CS187" s="216"/>
      <c r="CT187" s="216"/>
      <c r="CU187" s="216"/>
      <c r="CV187" s="216"/>
      <c r="CW187" s="216"/>
      <c r="CX187" s="216"/>
      <c r="CY187" s="216"/>
    </row>
    <row r="188" spans="1:103" ht="24" customHeight="1" x14ac:dyDescent="0.2">
      <c r="A188" s="214"/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4"/>
      <c r="N188" s="215"/>
      <c r="O188" s="215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6"/>
      <c r="BN188" s="216"/>
      <c r="BO188" s="216"/>
      <c r="BP188" s="216"/>
      <c r="BQ188" s="216"/>
      <c r="BR188" s="216"/>
      <c r="BS188" s="216"/>
      <c r="BT188" s="216"/>
      <c r="BU188" s="216"/>
      <c r="BV188" s="216"/>
      <c r="BW188" s="216"/>
      <c r="BX188" s="216"/>
      <c r="BY188" s="216"/>
      <c r="BZ188" s="216"/>
      <c r="CA188" s="216"/>
      <c r="CB188" s="216"/>
      <c r="CC188" s="216"/>
      <c r="CD188" s="216"/>
      <c r="CE188" s="216"/>
      <c r="CF188" s="216"/>
      <c r="CG188" s="216"/>
      <c r="CH188" s="216"/>
      <c r="CI188" s="216"/>
      <c r="CJ188" s="216"/>
      <c r="CK188" s="216"/>
      <c r="CL188" s="216"/>
      <c r="CM188" s="216"/>
      <c r="CN188" s="216"/>
      <c r="CO188" s="216"/>
      <c r="CP188" s="216"/>
      <c r="CQ188" s="216"/>
      <c r="CR188" s="216"/>
      <c r="CS188" s="216"/>
      <c r="CT188" s="216"/>
      <c r="CU188" s="216"/>
      <c r="CV188" s="216"/>
      <c r="CW188" s="216"/>
      <c r="CX188" s="216"/>
      <c r="CY188" s="216"/>
    </row>
    <row r="189" spans="1:103" ht="24" customHeight="1" x14ac:dyDescent="0.2">
      <c r="A189" s="214"/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4"/>
      <c r="N189" s="215"/>
      <c r="O189" s="215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  <c r="BS189" s="216"/>
      <c r="BT189" s="216"/>
      <c r="BU189" s="216"/>
      <c r="BV189" s="216"/>
      <c r="BW189" s="216"/>
      <c r="BX189" s="216"/>
      <c r="BY189" s="216"/>
      <c r="BZ189" s="216"/>
      <c r="CA189" s="216"/>
      <c r="CB189" s="216"/>
      <c r="CC189" s="216"/>
      <c r="CD189" s="216"/>
      <c r="CE189" s="216"/>
      <c r="CF189" s="216"/>
      <c r="CG189" s="216"/>
      <c r="CH189" s="216"/>
      <c r="CI189" s="216"/>
      <c r="CJ189" s="216"/>
      <c r="CK189" s="216"/>
      <c r="CL189" s="216"/>
      <c r="CM189" s="216"/>
      <c r="CN189" s="216"/>
      <c r="CO189" s="216"/>
      <c r="CP189" s="216"/>
      <c r="CQ189" s="216"/>
      <c r="CR189" s="216"/>
      <c r="CS189" s="216"/>
      <c r="CT189" s="216"/>
      <c r="CU189" s="216"/>
      <c r="CV189" s="216"/>
      <c r="CW189" s="216"/>
      <c r="CX189" s="216"/>
      <c r="CY189" s="216"/>
    </row>
    <row r="190" spans="1:103" ht="24" customHeight="1" x14ac:dyDescent="0.2">
      <c r="A190" s="214"/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4"/>
      <c r="N190" s="215"/>
      <c r="O190" s="215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  <c r="BS190" s="216"/>
      <c r="BT190" s="216"/>
      <c r="BU190" s="216"/>
      <c r="BV190" s="216"/>
      <c r="BW190" s="216"/>
      <c r="BX190" s="216"/>
      <c r="BY190" s="216"/>
      <c r="BZ190" s="216"/>
      <c r="CA190" s="216"/>
      <c r="CB190" s="216"/>
      <c r="CC190" s="216"/>
      <c r="CD190" s="216"/>
      <c r="CE190" s="216"/>
      <c r="CF190" s="216"/>
      <c r="CG190" s="216"/>
      <c r="CH190" s="216"/>
      <c r="CI190" s="216"/>
      <c r="CJ190" s="216"/>
      <c r="CK190" s="216"/>
      <c r="CL190" s="216"/>
      <c r="CM190" s="216"/>
      <c r="CN190" s="216"/>
      <c r="CO190" s="216"/>
      <c r="CP190" s="216"/>
      <c r="CQ190" s="216"/>
      <c r="CR190" s="216"/>
      <c r="CS190" s="216"/>
      <c r="CT190" s="216"/>
      <c r="CU190" s="216"/>
      <c r="CV190" s="216"/>
      <c r="CW190" s="216"/>
      <c r="CX190" s="216"/>
      <c r="CY190" s="216"/>
    </row>
    <row r="191" spans="1:103" ht="24" customHeight="1" x14ac:dyDescent="0.2">
      <c r="A191" s="214"/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4"/>
      <c r="N191" s="215"/>
      <c r="O191" s="215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  <c r="BS191" s="216"/>
      <c r="BT191" s="216"/>
      <c r="BU191" s="216"/>
      <c r="BV191" s="216"/>
      <c r="BW191" s="216"/>
      <c r="BX191" s="216"/>
      <c r="BY191" s="216"/>
      <c r="BZ191" s="216"/>
      <c r="CA191" s="216"/>
      <c r="CB191" s="216"/>
      <c r="CC191" s="216"/>
      <c r="CD191" s="216"/>
      <c r="CE191" s="216"/>
      <c r="CF191" s="216"/>
      <c r="CG191" s="216"/>
      <c r="CH191" s="216"/>
      <c r="CI191" s="216"/>
      <c r="CJ191" s="216"/>
      <c r="CK191" s="216"/>
      <c r="CL191" s="216"/>
      <c r="CM191" s="216"/>
      <c r="CN191" s="216"/>
      <c r="CO191" s="216"/>
      <c r="CP191" s="216"/>
      <c r="CQ191" s="216"/>
      <c r="CR191" s="216"/>
      <c r="CS191" s="216"/>
      <c r="CT191" s="216"/>
      <c r="CU191" s="216"/>
      <c r="CV191" s="216"/>
      <c r="CW191" s="216"/>
      <c r="CX191" s="216"/>
      <c r="CY191" s="216"/>
    </row>
    <row r="192" spans="1:103" ht="24" customHeight="1" x14ac:dyDescent="0.2">
      <c r="A192" s="214"/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4"/>
      <c r="N192" s="215"/>
      <c r="O192" s="215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  <c r="BS192" s="216"/>
      <c r="BT192" s="216"/>
      <c r="BU192" s="216"/>
      <c r="BV192" s="216"/>
      <c r="BW192" s="216"/>
      <c r="BX192" s="216"/>
      <c r="BY192" s="216"/>
      <c r="BZ192" s="216"/>
      <c r="CA192" s="216"/>
      <c r="CB192" s="216"/>
      <c r="CC192" s="216"/>
      <c r="CD192" s="216"/>
      <c r="CE192" s="216"/>
      <c r="CF192" s="216"/>
      <c r="CG192" s="216"/>
      <c r="CH192" s="216"/>
      <c r="CI192" s="216"/>
      <c r="CJ192" s="216"/>
      <c r="CK192" s="216"/>
      <c r="CL192" s="216"/>
      <c r="CM192" s="216"/>
      <c r="CN192" s="216"/>
      <c r="CO192" s="216"/>
      <c r="CP192" s="216"/>
      <c r="CQ192" s="216"/>
      <c r="CR192" s="216"/>
      <c r="CS192" s="216"/>
      <c r="CT192" s="216"/>
      <c r="CU192" s="216"/>
      <c r="CV192" s="216"/>
      <c r="CW192" s="216"/>
      <c r="CX192" s="216"/>
      <c r="CY192" s="216"/>
    </row>
    <row r="193" spans="1:103" ht="24" customHeight="1" x14ac:dyDescent="0.2">
      <c r="A193" s="214"/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4"/>
      <c r="N193" s="215"/>
      <c r="O193" s="215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  <c r="BS193" s="216"/>
      <c r="BT193" s="216"/>
      <c r="BU193" s="216"/>
      <c r="BV193" s="216"/>
      <c r="BW193" s="216"/>
      <c r="BX193" s="216"/>
      <c r="BY193" s="216"/>
      <c r="BZ193" s="216"/>
      <c r="CA193" s="216"/>
      <c r="CB193" s="216"/>
      <c r="CC193" s="216"/>
      <c r="CD193" s="216"/>
      <c r="CE193" s="216"/>
      <c r="CF193" s="216"/>
      <c r="CG193" s="216"/>
      <c r="CH193" s="216"/>
      <c r="CI193" s="216"/>
      <c r="CJ193" s="216"/>
      <c r="CK193" s="216"/>
      <c r="CL193" s="216"/>
      <c r="CM193" s="216"/>
      <c r="CN193" s="216"/>
      <c r="CO193" s="216"/>
      <c r="CP193" s="216"/>
      <c r="CQ193" s="216"/>
      <c r="CR193" s="216"/>
      <c r="CS193" s="216"/>
      <c r="CT193" s="216"/>
      <c r="CU193" s="216"/>
      <c r="CV193" s="216"/>
      <c r="CW193" s="216"/>
      <c r="CX193" s="216"/>
      <c r="CY193" s="216"/>
    </row>
    <row r="194" spans="1:103" ht="24" customHeight="1" x14ac:dyDescent="0.2">
      <c r="A194" s="214"/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4"/>
      <c r="N194" s="215"/>
      <c r="O194" s="215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  <c r="BS194" s="216"/>
      <c r="BT194" s="216"/>
      <c r="BU194" s="216"/>
      <c r="BV194" s="216"/>
      <c r="BW194" s="216"/>
      <c r="BX194" s="216"/>
      <c r="BY194" s="216"/>
      <c r="BZ194" s="216"/>
      <c r="CA194" s="216"/>
      <c r="CB194" s="216"/>
      <c r="CC194" s="216"/>
      <c r="CD194" s="216"/>
      <c r="CE194" s="216"/>
      <c r="CF194" s="216"/>
      <c r="CG194" s="216"/>
      <c r="CH194" s="216"/>
      <c r="CI194" s="216"/>
      <c r="CJ194" s="216"/>
      <c r="CK194" s="216"/>
      <c r="CL194" s="216"/>
      <c r="CM194" s="216"/>
      <c r="CN194" s="216"/>
      <c r="CO194" s="216"/>
      <c r="CP194" s="216"/>
      <c r="CQ194" s="216"/>
      <c r="CR194" s="216"/>
      <c r="CS194" s="216"/>
      <c r="CT194" s="216"/>
      <c r="CU194" s="216"/>
      <c r="CV194" s="216"/>
      <c r="CW194" s="216"/>
      <c r="CX194" s="216"/>
      <c r="CY194" s="216"/>
    </row>
    <row r="195" spans="1:103" ht="24" customHeight="1" x14ac:dyDescent="0.2">
      <c r="A195" s="214"/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4"/>
      <c r="N195" s="215"/>
      <c r="O195" s="215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  <c r="BS195" s="216"/>
      <c r="BT195" s="216"/>
      <c r="BU195" s="216"/>
      <c r="BV195" s="216"/>
      <c r="BW195" s="216"/>
      <c r="BX195" s="216"/>
      <c r="BY195" s="216"/>
      <c r="BZ195" s="216"/>
      <c r="CA195" s="216"/>
      <c r="CB195" s="216"/>
      <c r="CC195" s="216"/>
      <c r="CD195" s="216"/>
      <c r="CE195" s="216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  <c r="CR195" s="216"/>
      <c r="CS195" s="216"/>
      <c r="CT195" s="216"/>
      <c r="CU195" s="216"/>
      <c r="CV195" s="216"/>
      <c r="CW195" s="216"/>
      <c r="CX195" s="216"/>
      <c r="CY195" s="216"/>
    </row>
    <row r="196" spans="1:103" ht="24" customHeight="1" x14ac:dyDescent="0.2">
      <c r="A196" s="214"/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4"/>
      <c r="N196" s="215"/>
      <c r="O196" s="215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  <c r="BS196" s="216"/>
      <c r="BT196" s="216"/>
      <c r="BU196" s="216"/>
      <c r="BV196" s="216"/>
      <c r="BW196" s="216"/>
      <c r="BX196" s="216"/>
      <c r="BY196" s="216"/>
      <c r="BZ196" s="216"/>
      <c r="CA196" s="216"/>
      <c r="CB196" s="216"/>
      <c r="CC196" s="216"/>
      <c r="CD196" s="216"/>
      <c r="CE196" s="216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  <c r="CR196" s="216"/>
      <c r="CS196" s="216"/>
      <c r="CT196" s="216"/>
      <c r="CU196" s="216"/>
      <c r="CV196" s="216"/>
      <c r="CW196" s="216"/>
      <c r="CX196" s="216"/>
      <c r="CY196" s="216"/>
    </row>
    <row r="197" spans="1:103" ht="24" customHeight="1" x14ac:dyDescent="0.2">
      <c r="A197" s="214"/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4"/>
      <c r="N197" s="215"/>
      <c r="O197" s="215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  <c r="BS197" s="216"/>
      <c r="BT197" s="216"/>
      <c r="BU197" s="216"/>
      <c r="BV197" s="216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  <c r="CR197" s="216"/>
      <c r="CS197" s="216"/>
      <c r="CT197" s="216"/>
      <c r="CU197" s="216"/>
      <c r="CV197" s="216"/>
      <c r="CW197" s="216"/>
      <c r="CX197" s="216"/>
      <c r="CY197" s="216"/>
    </row>
    <row r="198" spans="1:103" ht="24" customHeight="1" x14ac:dyDescent="0.2">
      <c r="A198" s="214"/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4"/>
      <c r="N198" s="215"/>
      <c r="O198" s="215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  <c r="BS198" s="216"/>
      <c r="BT198" s="216"/>
      <c r="BU198" s="216"/>
      <c r="BV198" s="216"/>
      <c r="BW198" s="216"/>
      <c r="BX198" s="216"/>
      <c r="BY198" s="216"/>
      <c r="BZ198" s="216"/>
      <c r="CA198" s="216"/>
      <c r="CB198" s="216"/>
      <c r="CC198" s="216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  <c r="CR198" s="216"/>
      <c r="CS198" s="216"/>
      <c r="CT198" s="216"/>
      <c r="CU198" s="216"/>
      <c r="CV198" s="216"/>
      <c r="CW198" s="216"/>
      <c r="CX198" s="216"/>
      <c r="CY198" s="216"/>
    </row>
    <row r="199" spans="1:103" ht="24" customHeight="1" x14ac:dyDescent="0.2">
      <c r="A199" s="214"/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4"/>
      <c r="N199" s="215"/>
      <c r="O199" s="215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  <c r="BS199" s="216"/>
      <c r="BT199" s="216"/>
      <c r="BU199" s="216"/>
      <c r="BV199" s="216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  <c r="CR199" s="216"/>
      <c r="CS199" s="216"/>
      <c r="CT199" s="216"/>
      <c r="CU199" s="216"/>
      <c r="CV199" s="216"/>
      <c r="CW199" s="216"/>
      <c r="CX199" s="216"/>
      <c r="CY199" s="216"/>
    </row>
    <row r="200" spans="1:103" ht="24" customHeight="1" x14ac:dyDescent="0.2">
      <c r="A200" s="214"/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5"/>
      <c r="O200" s="215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6"/>
      <c r="BM200" s="216"/>
      <c r="BN200" s="216"/>
      <c r="BO200" s="216"/>
      <c r="BP200" s="216"/>
      <c r="BQ200" s="216"/>
      <c r="BR200" s="216"/>
      <c r="BS200" s="216"/>
      <c r="BT200" s="216"/>
      <c r="BU200" s="216"/>
      <c r="BV200" s="216"/>
      <c r="BW200" s="216"/>
      <c r="BX200" s="216"/>
      <c r="BY200" s="216"/>
      <c r="BZ200" s="216"/>
      <c r="CA200" s="216"/>
      <c r="CB200" s="216"/>
      <c r="CC200" s="216"/>
      <c r="CD200" s="216"/>
      <c r="CE200" s="216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  <c r="CR200" s="216"/>
      <c r="CS200" s="216"/>
      <c r="CT200" s="216"/>
      <c r="CU200" s="216"/>
      <c r="CV200" s="216"/>
      <c r="CW200" s="216"/>
      <c r="CX200" s="216"/>
      <c r="CY200" s="216"/>
    </row>
    <row r="201" spans="1:103" ht="24" customHeight="1" x14ac:dyDescent="0.2">
      <c r="A201" s="214"/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4"/>
      <c r="N201" s="215"/>
      <c r="O201" s="215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  <c r="BI201" s="216"/>
      <c r="BJ201" s="216"/>
      <c r="BK201" s="216"/>
      <c r="BL201" s="216"/>
      <c r="BM201" s="216"/>
      <c r="BN201" s="216"/>
      <c r="BO201" s="216"/>
      <c r="BP201" s="216"/>
      <c r="BQ201" s="216"/>
      <c r="BR201" s="216"/>
      <c r="BS201" s="216"/>
      <c r="BT201" s="216"/>
      <c r="BU201" s="216"/>
      <c r="BV201" s="216"/>
      <c r="BW201" s="216"/>
      <c r="BX201" s="216"/>
      <c r="BY201" s="216"/>
      <c r="BZ201" s="216"/>
      <c r="CA201" s="216"/>
      <c r="CB201" s="216"/>
      <c r="CC201" s="216"/>
      <c r="CD201" s="216"/>
      <c r="CE201" s="216"/>
      <c r="CF201" s="216"/>
      <c r="CG201" s="216"/>
      <c r="CH201" s="216"/>
      <c r="CI201" s="216"/>
      <c r="CJ201" s="216"/>
      <c r="CK201" s="216"/>
      <c r="CL201" s="216"/>
      <c r="CM201" s="216"/>
      <c r="CN201" s="216"/>
      <c r="CO201" s="216"/>
      <c r="CP201" s="216"/>
      <c r="CQ201" s="216"/>
      <c r="CR201" s="216"/>
      <c r="CS201" s="216"/>
      <c r="CT201" s="216"/>
      <c r="CU201" s="216"/>
      <c r="CV201" s="216"/>
      <c r="CW201" s="216"/>
      <c r="CX201" s="216"/>
      <c r="CY201" s="216"/>
    </row>
    <row r="202" spans="1:103" ht="24" customHeight="1" x14ac:dyDescent="0.2">
      <c r="A202" s="214"/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4"/>
      <c r="N202" s="215"/>
      <c r="O202" s="215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6"/>
      <c r="BN202" s="216"/>
      <c r="BO202" s="216"/>
      <c r="BP202" s="216"/>
      <c r="BQ202" s="216"/>
      <c r="BR202" s="216"/>
      <c r="BS202" s="216"/>
      <c r="BT202" s="216"/>
      <c r="BU202" s="216"/>
      <c r="BV202" s="216"/>
      <c r="BW202" s="216"/>
      <c r="BX202" s="216"/>
      <c r="BY202" s="216"/>
      <c r="BZ202" s="216"/>
      <c r="CA202" s="216"/>
      <c r="CB202" s="216"/>
      <c r="CC202" s="216"/>
      <c r="CD202" s="216"/>
      <c r="CE202" s="216"/>
      <c r="CF202" s="216"/>
      <c r="CG202" s="216"/>
      <c r="CH202" s="216"/>
      <c r="CI202" s="216"/>
      <c r="CJ202" s="216"/>
      <c r="CK202" s="216"/>
      <c r="CL202" s="216"/>
      <c r="CM202" s="216"/>
      <c r="CN202" s="216"/>
      <c r="CO202" s="216"/>
      <c r="CP202" s="216"/>
      <c r="CQ202" s="216"/>
      <c r="CR202" s="216"/>
      <c r="CS202" s="216"/>
      <c r="CT202" s="216"/>
      <c r="CU202" s="216"/>
      <c r="CV202" s="216"/>
      <c r="CW202" s="216"/>
      <c r="CX202" s="216"/>
      <c r="CY202" s="216"/>
    </row>
    <row r="203" spans="1:103" ht="24" customHeight="1" x14ac:dyDescent="0.2">
      <c r="A203" s="214"/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4"/>
      <c r="N203" s="215"/>
      <c r="O203" s="215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  <c r="BS203" s="216"/>
      <c r="BT203" s="216"/>
      <c r="BU203" s="216"/>
      <c r="BV203" s="216"/>
      <c r="BW203" s="216"/>
      <c r="BX203" s="216"/>
      <c r="BY203" s="216"/>
      <c r="BZ203" s="216"/>
      <c r="CA203" s="216"/>
      <c r="CB203" s="216"/>
      <c r="CC203" s="216"/>
      <c r="CD203" s="216"/>
      <c r="CE203" s="216"/>
      <c r="CF203" s="216"/>
      <c r="CG203" s="216"/>
      <c r="CH203" s="216"/>
      <c r="CI203" s="216"/>
      <c r="CJ203" s="216"/>
      <c r="CK203" s="216"/>
      <c r="CL203" s="216"/>
      <c r="CM203" s="216"/>
      <c r="CN203" s="216"/>
      <c r="CO203" s="216"/>
      <c r="CP203" s="216"/>
      <c r="CQ203" s="216"/>
      <c r="CR203" s="216"/>
      <c r="CS203" s="216"/>
      <c r="CT203" s="216"/>
      <c r="CU203" s="216"/>
      <c r="CV203" s="216"/>
      <c r="CW203" s="216"/>
      <c r="CX203" s="216"/>
      <c r="CY203" s="216"/>
    </row>
    <row r="204" spans="1:103" ht="24" customHeight="1" x14ac:dyDescent="0.2">
      <c r="A204" s="214"/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4"/>
      <c r="N204" s="215"/>
      <c r="O204" s="215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6"/>
      <c r="BN204" s="216"/>
      <c r="BO204" s="216"/>
      <c r="BP204" s="216"/>
      <c r="BQ204" s="216"/>
      <c r="BR204" s="216"/>
      <c r="BS204" s="216"/>
      <c r="BT204" s="216"/>
      <c r="BU204" s="216"/>
      <c r="BV204" s="216"/>
      <c r="BW204" s="216"/>
      <c r="BX204" s="216"/>
      <c r="BY204" s="216"/>
      <c r="BZ204" s="216"/>
      <c r="CA204" s="216"/>
      <c r="CB204" s="216"/>
      <c r="CC204" s="216"/>
      <c r="CD204" s="216"/>
      <c r="CE204" s="216"/>
      <c r="CF204" s="216"/>
      <c r="CG204" s="216"/>
      <c r="CH204" s="216"/>
      <c r="CI204" s="216"/>
      <c r="CJ204" s="216"/>
      <c r="CK204" s="216"/>
      <c r="CL204" s="216"/>
      <c r="CM204" s="216"/>
      <c r="CN204" s="216"/>
      <c r="CO204" s="216"/>
      <c r="CP204" s="216"/>
      <c r="CQ204" s="216"/>
      <c r="CR204" s="216"/>
      <c r="CS204" s="216"/>
      <c r="CT204" s="216"/>
      <c r="CU204" s="216"/>
      <c r="CV204" s="216"/>
      <c r="CW204" s="216"/>
      <c r="CX204" s="216"/>
      <c r="CY204" s="216"/>
    </row>
    <row r="205" spans="1:103" ht="24" customHeight="1" x14ac:dyDescent="0.2">
      <c r="A205" s="214"/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4"/>
      <c r="N205" s="215"/>
      <c r="O205" s="215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  <c r="BS205" s="216"/>
      <c r="BT205" s="216"/>
      <c r="BU205" s="216"/>
      <c r="BV205" s="216"/>
      <c r="BW205" s="216"/>
      <c r="BX205" s="216"/>
      <c r="BY205" s="216"/>
      <c r="BZ205" s="216"/>
      <c r="CA205" s="216"/>
      <c r="CB205" s="216"/>
      <c r="CC205" s="216"/>
      <c r="CD205" s="216"/>
      <c r="CE205" s="216"/>
      <c r="CF205" s="216"/>
      <c r="CG205" s="216"/>
      <c r="CH205" s="216"/>
      <c r="CI205" s="216"/>
      <c r="CJ205" s="216"/>
      <c r="CK205" s="216"/>
      <c r="CL205" s="216"/>
      <c r="CM205" s="216"/>
      <c r="CN205" s="216"/>
      <c r="CO205" s="216"/>
      <c r="CP205" s="216"/>
      <c r="CQ205" s="216"/>
      <c r="CR205" s="216"/>
      <c r="CS205" s="216"/>
      <c r="CT205" s="216"/>
      <c r="CU205" s="216"/>
      <c r="CV205" s="216"/>
      <c r="CW205" s="216"/>
      <c r="CX205" s="216"/>
      <c r="CY205" s="216"/>
    </row>
    <row r="206" spans="1:103" ht="24" customHeight="1" x14ac:dyDescent="0.2">
      <c r="A206" s="214"/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4"/>
      <c r="N206" s="215"/>
      <c r="O206" s="215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  <c r="BS206" s="216"/>
      <c r="BT206" s="216"/>
      <c r="BU206" s="216"/>
      <c r="BV206" s="216"/>
      <c r="BW206" s="216"/>
      <c r="BX206" s="216"/>
      <c r="BY206" s="216"/>
      <c r="BZ206" s="216"/>
      <c r="CA206" s="216"/>
      <c r="CB206" s="216"/>
      <c r="CC206" s="216"/>
      <c r="CD206" s="216"/>
      <c r="CE206" s="216"/>
      <c r="CF206" s="216"/>
      <c r="CG206" s="216"/>
      <c r="CH206" s="216"/>
      <c r="CI206" s="216"/>
      <c r="CJ206" s="216"/>
      <c r="CK206" s="216"/>
      <c r="CL206" s="216"/>
      <c r="CM206" s="216"/>
      <c r="CN206" s="216"/>
      <c r="CO206" s="216"/>
      <c r="CP206" s="216"/>
      <c r="CQ206" s="216"/>
      <c r="CR206" s="216"/>
      <c r="CS206" s="216"/>
      <c r="CT206" s="216"/>
      <c r="CU206" s="216"/>
      <c r="CV206" s="216"/>
      <c r="CW206" s="216"/>
      <c r="CX206" s="216"/>
      <c r="CY206" s="216"/>
    </row>
    <row r="207" spans="1:103" ht="24" customHeight="1" x14ac:dyDescent="0.2">
      <c r="A207" s="214"/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4"/>
      <c r="N207" s="215"/>
      <c r="O207" s="215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6"/>
      <c r="BM207" s="216"/>
      <c r="BN207" s="216"/>
      <c r="BO207" s="216"/>
      <c r="BP207" s="216"/>
      <c r="BQ207" s="216"/>
      <c r="BR207" s="216"/>
      <c r="BS207" s="216"/>
      <c r="BT207" s="216"/>
      <c r="BU207" s="216"/>
      <c r="BV207" s="216"/>
      <c r="BW207" s="216"/>
      <c r="BX207" s="216"/>
      <c r="BY207" s="216"/>
      <c r="BZ207" s="216"/>
      <c r="CA207" s="216"/>
      <c r="CB207" s="216"/>
      <c r="CC207" s="216"/>
      <c r="CD207" s="216"/>
      <c r="CE207" s="216"/>
      <c r="CF207" s="216"/>
      <c r="CG207" s="216"/>
      <c r="CH207" s="216"/>
      <c r="CI207" s="216"/>
      <c r="CJ207" s="216"/>
      <c r="CK207" s="216"/>
      <c r="CL207" s="216"/>
      <c r="CM207" s="216"/>
      <c r="CN207" s="216"/>
      <c r="CO207" s="216"/>
      <c r="CP207" s="216"/>
      <c r="CQ207" s="216"/>
      <c r="CR207" s="216"/>
      <c r="CS207" s="216"/>
      <c r="CT207" s="216"/>
      <c r="CU207" s="216"/>
      <c r="CV207" s="216"/>
      <c r="CW207" s="216"/>
      <c r="CX207" s="216"/>
      <c r="CY207" s="216"/>
    </row>
    <row r="208" spans="1:103" ht="24" customHeight="1" x14ac:dyDescent="0.2">
      <c r="A208" s="214"/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4"/>
      <c r="N208" s="215"/>
      <c r="O208" s="215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6"/>
      <c r="BN208" s="216"/>
      <c r="BO208" s="216"/>
      <c r="BP208" s="216"/>
      <c r="BQ208" s="216"/>
      <c r="BR208" s="216"/>
      <c r="BS208" s="216"/>
      <c r="BT208" s="216"/>
      <c r="BU208" s="216"/>
      <c r="BV208" s="216"/>
      <c r="BW208" s="216"/>
      <c r="BX208" s="216"/>
      <c r="BY208" s="216"/>
      <c r="BZ208" s="216"/>
      <c r="CA208" s="216"/>
      <c r="CB208" s="216"/>
      <c r="CC208" s="216"/>
      <c r="CD208" s="216"/>
      <c r="CE208" s="216"/>
      <c r="CF208" s="216"/>
      <c r="CG208" s="216"/>
      <c r="CH208" s="216"/>
      <c r="CI208" s="216"/>
      <c r="CJ208" s="216"/>
      <c r="CK208" s="216"/>
      <c r="CL208" s="216"/>
      <c r="CM208" s="216"/>
      <c r="CN208" s="216"/>
      <c r="CO208" s="216"/>
      <c r="CP208" s="216"/>
      <c r="CQ208" s="216"/>
      <c r="CR208" s="216"/>
      <c r="CS208" s="216"/>
      <c r="CT208" s="216"/>
      <c r="CU208" s="216"/>
      <c r="CV208" s="216"/>
      <c r="CW208" s="216"/>
      <c r="CX208" s="216"/>
      <c r="CY208" s="216"/>
    </row>
    <row r="209" spans="1:103" ht="24" customHeight="1" x14ac:dyDescent="0.2">
      <c r="A209" s="214"/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5"/>
      <c r="O209" s="215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6"/>
      <c r="BN209" s="216"/>
      <c r="BO209" s="216"/>
      <c r="BP209" s="216"/>
      <c r="BQ209" s="216"/>
      <c r="BR209" s="216"/>
      <c r="BS209" s="216"/>
      <c r="BT209" s="216"/>
      <c r="BU209" s="216"/>
      <c r="BV209" s="216"/>
      <c r="BW209" s="216"/>
      <c r="BX209" s="216"/>
      <c r="BY209" s="216"/>
      <c r="BZ209" s="216"/>
      <c r="CA209" s="216"/>
      <c r="CB209" s="216"/>
      <c r="CC209" s="216"/>
      <c r="CD209" s="216"/>
      <c r="CE209" s="216"/>
      <c r="CF209" s="216"/>
      <c r="CG209" s="216"/>
      <c r="CH209" s="216"/>
      <c r="CI209" s="216"/>
      <c r="CJ209" s="216"/>
      <c r="CK209" s="216"/>
      <c r="CL209" s="216"/>
      <c r="CM209" s="216"/>
      <c r="CN209" s="216"/>
      <c r="CO209" s="216"/>
      <c r="CP209" s="216"/>
      <c r="CQ209" s="216"/>
      <c r="CR209" s="216"/>
      <c r="CS209" s="216"/>
      <c r="CT209" s="216"/>
      <c r="CU209" s="216"/>
      <c r="CV209" s="216"/>
      <c r="CW209" s="216"/>
      <c r="CX209" s="216"/>
      <c r="CY209" s="216"/>
    </row>
    <row r="210" spans="1:103" ht="24" customHeight="1" x14ac:dyDescent="0.2">
      <c r="A210" s="214"/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4"/>
      <c r="N210" s="215"/>
      <c r="O210" s="215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  <c r="BS210" s="216"/>
      <c r="BT210" s="216"/>
      <c r="BU210" s="216"/>
      <c r="BV210" s="216"/>
      <c r="BW210" s="216"/>
      <c r="BX210" s="216"/>
      <c r="BY210" s="216"/>
      <c r="BZ210" s="216"/>
      <c r="CA210" s="216"/>
      <c r="CB210" s="216"/>
      <c r="CC210" s="216"/>
      <c r="CD210" s="216"/>
      <c r="CE210" s="216"/>
      <c r="CF210" s="216"/>
      <c r="CG210" s="216"/>
      <c r="CH210" s="216"/>
      <c r="CI210" s="216"/>
      <c r="CJ210" s="216"/>
      <c r="CK210" s="216"/>
      <c r="CL210" s="216"/>
      <c r="CM210" s="216"/>
      <c r="CN210" s="216"/>
      <c r="CO210" s="216"/>
      <c r="CP210" s="216"/>
      <c r="CQ210" s="216"/>
      <c r="CR210" s="216"/>
      <c r="CS210" s="216"/>
      <c r="CT210" s="216"/>
      <c r="CU210" s="216"/>
      <c r="CV210" s="216"/>
      <c r="CW210" s="216"/>
      <c r="CX210" s="216"/>
      <c r="CY210" s="216"/>
    </row>
    <row r="211" spans="1:103" ht="24" customHeight="1" x14ac:dyDescent="0.2">
      <c r="A211" s="214"/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4"/>
      <c r="N211" s="215"/>
      <c r="O211" s="215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6"/>
      <c r="BN211" s="216"/>
      <c r="BO211" s="216"/>
      <c r="BP211" s="216"/>
      <c r="BQ211" s="216"/>
      <c r="BR211" s="216"/>
      <c r="BS211" s="216"/>
      <c r="BT211" s="216"/>
      <c r="BU211" s="216"/>
      <c r="BV211" s="216"/>
      <c r="BW211" s="216"/>
      <c r="BX211" s="216"/>
      <c r="BY211" s="216"/>
      <c r="BZ211" s="216"/>
      <c r="CA211" s="216"/>
      <c r="CB211" s="216"/>
      <c r="CC211" s="216"/>
      <c r="CD211" s="216"/>
      <c r="CE211" s="216"/>
      <c r="CF211" s="216"/>
      <c r="CG211" s="216"/>
      <c r="CH211" s="216"/>
      <c r="CI211" s="216"/>
      <c r="CJ211" s="216"/>
      <c r="CK211" s="216"/>
      <c r="CL211" s="216"/>
      <c r="CM211" s="216"/>
      <c r="CN211" s="216"/>
      <c r="CO211" s="216"/>
      <c r="CP211" s="216"/>
      <c r="CQ211" s="216"/>
      <c r="CR211" s="216"/>
      <c r="CS211" s="216"/>
      <c r="CT211" s="216"/>
      <c r="CU211" s="216"/>
      <c r="CV211" s="216"/>
      <c r="CW211" s="216"/>
      <c r="CX211" s="216"/>
      <c r="CY211" s="216"/>
    </row>
    <row r="212" spans="1:103" ht="24" customHeight="1" x14ac:dyDescent="0.2">
      <c r="A212" s="214"/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4"/>
      <c r="N212" s="215"/>
      <c r="O212" s="215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6"/>
      <c r="BN212" s="216"/>
      <c r="BO212" s="216"/>
      <c r="BP212" s="216"/>
      <c r="BQ212" s="216"/>
      <c r="BR212" s="216"/>
      <c r="BS212" s="216"/>
      <c r="BT212" s="216"/>
      <c r="BU212" s="216"/>
      <c r="BV212" s="216"/>
      <c r="BW212" s="216"/>
      <c r="BX212" s="216"/>
      <c r="BY212" s="216"/>
      <c r="BZ212" s="216"/>
      <c r="CA212" s="216"/>
      <c r="CB212" s="216"/>
      <c r="CC212" s="216"/>
      <c r="CD212" s="216"/>
      <c r="CE212" s="216"/>
      <c r="CF212" s="216"/>
      <c r="CG212" s="216"/>
      <c r="CH212" s="216"/>
      <c r="CI212" s="216"/>
      <c r="CJ212" s="216"/>
      <c r="CK212" s="216"/>
      <c r="CL212" s="216"/>
      <c r="CM212" s="216"/>
      <c r="CN212" s="216"/>
      <c r="CO212" s="216"/>
      <c r="CP212" s="216"/>
      <c r="CQ212" s="216"/>
      <c r="CR212" s="216"/>
      <c r="CS212" s="216"/>
      <c r="CT212" s="216"/>
      <c r="CU212" s="216"/>
      <c r="CV212" s="216"/>
      <c r="CW212" s="216"/>
      <c r="CX212" s="216"/>
      <c r="CY212" s="216"/>
    </row>
    <row r="213" spans="1:103" ht="24" customHeight="1" x14ac:dyDescent="0.2">
      <c r="A213" s="214"/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4"/>
      <c r="N213" s="215"/>
      <c r="O213" s="215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6"/>
      <c r="BN213" s="216"/>
      <c r="BO213" s="216"/>
      <c r="BP213" s="216"/>
      <c r="BQ213" s="216"/>
      <c r="BR213" s="216"/>
      <c r="BS213" s="216"/>
      <c r="BT213" s="216"/>
      <c r="BU213" s="216"/>
      <c r="BV213" s="216"/>
      <c r="BW213" s="216"/>
      <c r="BX213" s="216"/>
      <c r="BY213" s="216"/>
      <c r="BZ213" s="216"/>
      <c r="CA213" s="216"/>
      <c r="CB213" s="216"/>
      <c r="CC213" s="216"/>
      <c r="CD213" s="216"/>
      <c r="CE213" s="216"/>
      <c r="CF213" s="216"/>
      <c r="CG213" s="216"/>
      <c r="CH213" s="216"/>
      <c r="CI213" s="216"/>
      <c r="CJ213" s="216"/>
      <c r="CK213" s="216"/>
      <c r="CL213" s="216"/>
      <c r="CM213" s="216"/>
      <c r="CN213" s="216"/>
      <c r="CO213" s="216"/>
      <c r="CP213" s="216"/>
      <c r="CQ213" s="216"/>
      <c r="CR213" s="216"/>
      <c r="CS213" s="216"/>
      <c r="CT213" s="216"/>
      <c r="CU213" s="216"/>
      <c r="CV213" s="216"/>
      <c r="CW213" s="216"/>
      <c r="CX213" s="216"/>
      <c r="CY213" s="216"/>
    </row>
    <row r="214" spans="1:103" ht="24" customHeight="1" x14ac:dyDescent="0.2">
      <c r="A214" s="214"/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4"/>
      <c r="N214" s="215"/>
      <c r="O214" s="215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16"/>
      <c r="BN214" s="216"/>
      <c r="BO214" s="216"/>
      <c r="BP214" s="216"/>
      <c r="BQ214" s="216"/>
      <c r="BR214" s="216"/>
      <c r="BS214" s="216"/>
      <c r="BT214" s="216"/>
      <c r="BU214" s="216"/>
      <c r="BV214" s="216"/>
      <c r="BW214" s="216"/>
      <c r="BX214" s="216"/>
      <c r="BY214" s="216"/>
      <c r="BZ214" s="216"/>
      <c r="CA214" s="216"/>
      <c r="CB214" s="216"/>
      <c r="CC214" s="216"/>
      <c r="CD214" s="216"/>
      <c r="CE214" s="216"/>
      <c r="CF214" s="216"/>
      <c r="CG214" s="216"/>
      <c r="CH214" s="216"/>
      <c r="CI214" s="216"/>
      <c r="CJ214" s="216"/>
      <c r="CK214" s="216"/>
      <c r="CL214" s="216"/>
      <c r="CM214" s="216"/>
      <c r="CN214" s="216"/>
      <c r="CO214" s="216"/>
      <c r="CP214" s="216"/>
      <c r="CQ214" s="216"/>
      <c r="CR214" s="216"/>
      <c r="CS214" s="216"/>
      <c r="CT214" s="216"/>
      <c r="CU214" s="216"/>
      <c r="CV214" s="216"/>
      <c r="CW214" s="216"/>
      <c r="CX214" s="216"/>
      <c r="CY214" s="216"/>
    </row>
    <row r="215" spans="1:103" ht="24" customHeight="1" x14ac:dyDescent="0.2">
      <c r="A215" s="214"/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4"/>
      <c r="N215" s="215"/>
      <c r="O215" s="215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16"/>
      <c r="BN215" s="216"/>
      <c r="BO215" s="216"/>
      <c r="BP215" s="216"/>
      <c r="BQ215" s="216"/>
      <c r="BR215" s="216"/>
      <c r="BS215" s="216"/>
      <c r="BT215" s="216"/>
      <c r="BU215" s="216"/>
      <c r="BV215" s="216"/>
      <c r="BW215" s="216"/>
      <c r="BX215" s="216"/>
      <c r="BY215" s="216"/>
      <c r="BZ215" s="216"/>
      <c r="CA215" s="216"/>
      <c r="CB215" s="216"/>
      <c r="CC215" s="216"/>
      <c r="CD215" s="216"/>
      <c r="CE215" s="216"/>
      <c r="CF215" s="216"/>
      <c r="CG215" s="216"/>
      <c r="CH215" s="216"/>
      <c r="CI215" s="216"/>
      <c r="CJ215" s="216"/>
      <c r="CK215" s="216"/>
      <c r="CL215" s="216"/>
      <c r="CM215" s="216"/>
      <c r="CN215" s="216"/>
      <c r="CO215" s="216"/>
      <c r="CP215" s="216"/>
      <c r="CQ215" s="216"/>
      <c r="CR215" s="216"/>
      <c r="CS215" s="216"/>
      <c r="CT215" s="216"/>
      <c r="CU215" s="216"/>
      <c r="CV215" s="216"/>
      <c r="CW215" s="216"/>
      <c r="CX215" s="216"/>
      <c r="CY215" s="216"/>
    </row>
    <row r="216" spans="1:103" ht="24" customHeight="1" x14ac:dyDescent="0.2">
      <c r="A216" s="214"/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4"/>
      <c r="N216" s="215"/>
      <c r="O216" s="215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6"/>
      <c r="BN216" s="216"/>
      <c r="BO216" s="216"/>
      <c r="BP216" s="216"/>
      <c r="BQ216" s="216"/>
      <c r="BR216" s="216"/>
      <c r="BS216" s="216"/>
      <c r="BT216" s="216"/>
      <c r="BU216" s="216"/>
      <c r="BV216" s="216"/>
      <c r="BW216" s="216"/>
      <c r="BX216" s="216"/>
      <c r="BY216" s="216"/>
      <c r="BZ216" s="216"/>
      <c r="CA216" s="216"/>
      <c r="CB216" s="216"/>
      <c r="CC216" s="216"/>
      <c r="CD216" s="216"/>
      <c r="CE216" s="216"/>
      <c r="CF216" s="216"/>
      <c r="CG216" s="216"/>
      <c r="CH216" s="216"/>
      <c r="CI216" s="216"/>
      <c r="CJ216" s="216"/>
      <c r="CK216" s="216"/>
      <c r="CL216" s="216"/>
      <c r="CM216" s="216"/>
      <c r="CN216" s="216"/>
      <c r="CO216" s="216"/>
      <c r="CP216" s="216"/>
      <c r="CQ216" s="216"/>
      <c r="CR216" s="216"/>
      <c r="CS216" s="216"/>
      <c r="CT216" s="216"/>
      <c r="CU216" s="216"/>
      <c r="CV216" s="216"/>
      <c r="CW216" s="216"/>
      <c r="CX216" s="216"/>
      <c r="CY216" s="216"/>
    </row>
    <row r="217" spans="1:103" ht="24" customHeight="1" x14ac:dyDescent="0.2">
      <c r="A217" s="214"/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5"/>
      <c r="O217" s="215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6"/>
      <c r="BN217" s="216"/>
      <c r="BO217" s="216"/>
      <c r="BP217" s="216"/>
      <c r="BQ217" s="216"/>
      <c r="BR217" s="216"/>
      <c r="BS217" s="216"/>
      <c r="BT217" s="216"/>
      <c r="BU217" s="216"/>
      <c r="BV217" s="216"/>
      <c r="BW217" s="216"/>
      <c r="BX217" s="216"/>
      <c r="BY217" s="216"/>
      <c r="BZ217" s="216"/>
      <c r="CA217" s="216"/>
      <c r="CB217" s="216"/>
      <c r="CC217" s="216"/>
      <c r="CD217" s="216"/>
      <c r="CE217" s="216"/>
      <c r="CF217" s="216"/>
      <c r="CG217" s="216"/>
      <c r="CH217" s="216"/>
      <c r="CI217" s="216"/>
      <c r="CJ217" s="216"/>
      <c r="CK217" s="216"/>
      <c r="CL217" s="216"/>
      <c r="CM217" s="216"/>
      <c r="CN217" s="216"/>
      <c r="CO217" s="216"/>
      <c r="CP217" s="216"/>
      <c r="CQ217" s="216"/>
      <c r="CR217" s="216"/>
      <c r="CS217" s="216"/>
      <c r="CT217" s="216"/>
      <c r="CU217" s="216"/>
      <c r="CV217" s="216"/>
      <c r="CW217" s="216"/>
      <c r="CX217" s="216"/>
      <c r="CY217" s="216"/>
    </row>
    <row r="218" spans="1:103" ht="24" customHeight="1" x14ac:dyDescent="0.2">
      <c r="A218" s="214"/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4"/>
      <c r="N218" s="215"/>
      <c r="O218" s="215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16"/>
      <c r="BN218" s="216"/>
      <c r="BO218" s="216"/>
      <c r="BP218" s="216"/>
      <c r="BQ218" s="216"/>
      <c r="BR218" s="216"/>
      <c r="BS218" s="216"/>
      <c r="BT218" s="216"/>
      <c r="BU218" s="216"/>
      <c r="BV218" s="216"/>
      <c r="BW218" s="216"/>
      <c r="BX218" s="216"/>
      <c r="BY218" s="216"/>
      <c r="BZ218" s="216"/>
      <c r="CA218" s="216"/>
      <c r="CB218" s="216"/>
      <c r="CC218" s="216"/>
      <c r="CD218" s="216"/>
      <c r="CE218" s="216"/>
      <c r="CF218" s="216"/>
      <c r="CG218" s="216"/>
      <c r="CH218" s="216"/>
      <c r="CI218" s="216"/>
      <c r="CJ218" s="216"/>
      <c r="CK218" s="216"/>
      <c r="CL218" s="216"/>
      <c r="CM218" s="216"/>
      <c r="CN218" s="216"/>
      <c r="CO218" s="216"/>
      <c r="CP218" s="216"/>
      <c r="CQ218" s="216"/>
      <c r="CR218" s="216"/>
      <c r="CS218" s="216"/>
      <c r="CT218" s="216"/>
      <c r="CU218" s="216"/>
      <c r="CV218" s="216"/>
      <c r="CW218" s="216"/>
      <c r="CX218" s="216"/>
      <c r="CY218" s="216"/>
    </row>
    <row r="219" spans="1:103" ht="24" customHeight="1" x14ac:dyDescent="0.2">
      <c r="A219" s="214"/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4"/>
      <c r="N219" s="215"/>
      <c r="O219" s="215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6"/>
      <c r="BN219" s="216"/>
      <c r="BO219" s="216"/>
      <c r="BP219" s="216"/>
      <c r="BQ219" s="216"/>
      <c r="BR219" s="216"/>
      <c r="BS219" s="216"/>
      <c r="BT219" s="216"/>
      <c r="BU219" s="216"/>
      <c r="BV219" s="216"/>
      <c r="BW219" s="216"/>
      <c r="BX219" s="216"/>
      <c r="BY219" s="216"/>
      <c r="BZ219" s="216"/>
      <c r="CA219" s="216"/>
      <c r="CB219" s="216"/>
      <c r="CC219" s="216"/>
      <c r="CD219" s="216"/>
      <c r="CE219" s="216"/>
      <c r="CF219" s="216"/>
      <c r="CG219" s="216"/>
      <c r="CH219" s="216"/>
      <c r="CI219" s="216"/>
      <c r="CJ219" s="216"/>
      <c r="CK219" s="216"/>
      <c r="CL219" s="216"/>
      <c r="CM219" s="216"/>
      <c r="CN219" s="216"/>
      <c r="CO219" s="216"/>
      <c r="CP219" s="216"/>
      <c r="CQ219" s="216"/>
      <c r="CR219" s="216"/>
      <c r="CS219" s="216"/>
      <c r="CT219" s="216"/>
      <c r="CU219" s="216"/>
      <c r="CV219" s="216"/>
      <c r="CW219" s="216"/>
      <c r="CX219" s="216"/>
      <c r="CY219" s="216"/>
    </row>
    <row r="220" spans="1:103" ht="24" customHeight="1" x14ac:dyDescent="0.2">
      <c r="A220" s="214"/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4"/>
      <c r="N220" s="215"/>
      <c r="O220" s="215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6"/>
      <c r="BM220" s="216"/>
      <c r="BN220" s="216"/>
      <c r="BO220" s="216"/>
      <c r="BP220" s="216"/>
      <c r="BQ220" s="216"/>
      <c r="BR220" s="216"/>
      <c r="BS220" s="216"/>
      <c r="BT220" s="216"/>
      <c r="BU220" s="216"/>
      <c r="BV220" s="216"/>
      <c r="BW220" s="216"/>
      <c r="BX220" s="216"/>
      <c r="BY220" s="216"/>
      <c r="BZ220" s="216"/>
      <c r="CA220" s="216"/>
      <c r="CB220" s="216"/>
      <c r="CC220" s="216"/>
      <c r="CD220" s="216"/>
      <c r="CE220" s="216"/>
      <c r="CF220" s="216"/>
      <c r="CG220" s="216"/>
      <c r="CH220" s="216"/>
      <c r="CI220" s="216"/>
      <c r="CJ220" s="216"/>
      <c r="CK220" s="216"/>
      <c r="CL220" s="216"/>
      <c r="CM220" s="216"/>
      <c r="CN220" s="216"/>
      <c r="CO220" s="216"/>
      <c r="CP220" s="216"/>
      <c r="CQ220" s="216"/>
      <c r="CR220" s="216"/>
      <c r="CS220" s="216"/>
      <c r="CT220" s="216"/>
      <c r="CU220" s="216"/>
      <c r="CV220" s="216"/>
      <c r="CW220" s="216"/>
      <c r="CX220" s="216"/>
      <c r="CY220" s="216"/>
    </row>
    <row r="221" spans="1:103" ht="24" customHeight="1" x14ac:dyDescent="0.2">
      <c r="A221" s="214"/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4"/>
      <c r="N221" s="215"/>
      <c r="O221" s="215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  <c r="BI221" s="216"/>
      <c r="BJ221" s="216"/>
      <c r="BK221" s="216"/>
      <c r="BL221" s="216"/>
      <c r="BM221" s="216"/>
      <c r="BN221" s="216"/>
      <c r="BO221" s="216"/>
      <c r="BP221" s="216"/>
      <c r="BQ221" s="216"/>
      <c r="BR221" s="216"/>
      <c r="BS221" s="216"/>
      <c r="BT221" s="216"/>
      <c r="BU221" s="216"/>
      <c r="BV221" s="216"/>
      <c r="BW221" s="216"/>
      <c r="BX221" s="216"/>
      <c r="BY221" s="216"/>
      <c r="BZ221" s="216"/>
      <c r="CA221" s="216"/>
      <c r="CB221" s="216"/>
      <c r="CC221" s="216"/>
      <c r="CD221" s="216"/>
      <c r="CE221" s="216"/>
      <c r="CF221" s="216"/>
      <c r="CG221" s="216"/>
      <c r="CH221" s="216"/>
      <c r="CI221" s="216"/>
      <c r="CJ221" s="216"/>
      <c r="CK221" s="216"/>
      <c r="CL221" s="216"/>
      <c r="CM221" s="216"/>
      <c r="CN221" s="216"/>
      <c r="CO221" s="216"/>
      <c r="CP221" s="216"/>
      <c r="CQ221" s="216"/>
      <c r="CR221" s="216"/>
      <c r="CS221" s="216"/>
      <c r="CT221" s="216"/>
      <c r="CU221" s="216"/>
      <c r="CV221" s="216"/>
      <c r="CW221" s="216"/>
      <c r="CX221" s="216"/>
      <c r="CY221" s="216"/>
    </row>
    <row r="222" spans="1:103" ht="24" customHeight="1" x14ac:dyDescent="0.2">
      <c r="A222" s="214"/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4"/>
      <c r="N222" s="215"/>
      <c r="O222" s="215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  <c r="BI222" s="216"/>
      <c r="BJ222" s="216"/>
      <c r="BK222" s="216"/>
      <c r="BL222" s="216"/>
      <c r="BM222" s="216"/>
      <c r="BN222" s="216"/>
      <c r="BO222" s="216"/>
      <c r="BP222" s="216"/>
      <c r="BQ222" s="216"/>
      <c r="BR222" s="216"/>
      <c r="BS222" s="216"/>
      <c r="BT222" s="216"/>
      <c r="BU222" s="216"/>
      <c r="BV222" s="216"/>
      <c r="BW222" s="216"/>
      <c r="BX222" s="216"/>
      <c r="BY222" s="216"/>
      <c r="BZ222" s="216"/>
      <c r="CA222" s="216"/>
      <c r="CB222" s="216"/>
      <c r="CC222" s="216"/>
      <c r="CD222" s="216"/>
      <c r="CE222" s="216"/>
      <c r="CF222" s="216"/>
      <c r="CG222" s="216"/>
      <c r="CH222" s="216"/>
      <c r="CI222" s="216"/>
      <c r="CJ222" s="216"/>
      <c r="CK222" s="216"/>
      <c r="CL222" s="216"/>
      <c r="CM222" s="216"/>
      <c r="CN222" s="216"/>
      <c r="CO222" s="216"/>
      <c r="CP222" s="216"/>
      <c r="CQ222" s="216"/>
      <c r="CR222" s="216"/>
      <c r="CS222" s="216"/>
      <c r="CT222" s="216"/>
      <c r="CU222" s="216"/>
      <c r="CV222" s="216"/>
      <c r="CW222" s="216"/>
      <c r="CX222" s="216"/>
      <c r="CY222" s="216"/>
    </row>
    <row r="223" spans="1:103" ht="24" customHeight="1" x14ac:dyDescent="0.2">
      <c r="A223" s="214"/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4"/>
      <c r="N223" s="215"/>
      <c r="O223" s="215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  <c r="BI223" s="216"/>
      <c r="BJ223" s="216"/>
      <c r="BK223" s="216"/>
      <c r="BL223" s="216"/>
      <c r="BM223" s="216"/>
      <c r="BN223" s="216"/>
      <c r="BO223" s="216"/>
      <c r="BP223" s="216"/>
      <c r="BQ223" s="216"/>
      <c r="BR223" s="216"/>
      <c r="BS223" s="216"/>
      <c r="BT223" s="216"/>
      <c r="BU223" s="216"/>
      <c r="BV223" s="216"/>
      <c r="BW223" s="216"/>
      <c r="BX223" s="216"/>
      <c r="BY223" s="216"/>
      <c r="BZ223" s="216"/>
      <c r="CA223" s="216"/>
      <c r="CB223" s="216"/>
      <c r="CC223" s="216"/>
      <c r="CD223" s="216"/>
      <c r="CE223" s="216"/>
      <c r="CF223" s="216"/>
      <c r="CG223" s="216"/>
      <c r="CH223" s="216"/>
      <c r="CI223" s="216"/>
      <c r="CJ223" s="216"/>
      <c r="CK223" s="216"/>
      <c r="CL223" s="216"/>
      <c r="CM223" s="216"/>
      <c r="CN223" s="216"/>
      <c r="CO223" s="216"/>
      <c r="CP223" s="216"/>
      <c r="CQ223" s="216"/>
      <c r="CR223" s="216"/>
      <c r="CS223" s="216"/>
      <c r="CT223" s="216"/>
      <c r="CU223" s="216"/>
      <c r="CV223" s="216"/>
      <c r="CW223" s="216"/>
      <c r="CX223" s="216"/>
      <c r="CY223" s="216"/>
    </row>
    <row r="224" spans="1:103" ht="24" customHeight="1" x14ac:dyDescent="0.2">
      <c r="A224" s="214"/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4"/>
      <c r="N224" s="215"/>
      <c r="O224" s="215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  <c r="BI224" s="216"/>
      <c r="BJ224" s="216"/>
      <c r="BK224" s="216"/>
      <c r="BL224" s="216"/>
      <c r="BM224" s="216"/>
      <c r="BN224" s="216"/>
      <c r="BO224" s="216"/>
      <c r="BP224" s="216"/>
      <c r="BQ224" s="216"/>
      <c r="BR224" s="216"/>
      <c r="BS224" s="216"/>
      <c r="BT224" s="216"/>
      <c r="BU224" s="216"/>
      <c r="BV224" s="216"/>
      <c r="BW224" s="216"/>
      <c r="BX224" s="216"/>
      <c r="BY224" s="216"/>
      <c r="BZ224" s="216"/>
      <c r="CA224" s="216"/>
      <c r="CB224" s="216"/>
      <c r="CC224" s="216"/>
      <c r="CD224" s="216"/>
      <c r="CE224" s="216"/>
      <c r="CF224" s="216"/>
      <c r="CG224" s="216"/>
      <c r="CH224" s="216"/>
      <c r="CI224" s="216"/>
      <c r="CJ224" s="216"/>
      <c r="CK224" s="216"/>
      <c r="CL224" s="216"/>
      <c r="CM224" s="216"/>
      <c r="CN224" s="216"/>
      <c r="CO224" s="216"/>
      <c r="CP224" s="216"/>
      <c r="CQ224" s="216"/>
      <c r="CR224" s="216"/>
      <c r="CS224" s="216"/>
      <c r="CT224" s="216"/>
      <c r="CU224" s="216"/>
      <c r="CV224" s="216"/>
      <c r="CW224" s="216"/>
      <c r="CX224" s="216"/>
      <c r="CY224" s="216"/>
    </row>
    <row r="225" spans="1:103" ht="24" customHeight="1" x14ac:dyDescent="0.2">
      <c r="A225" s="214"/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4"/>
      <c r="N225" s="215"/>
      <c r="O225" s="215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  <c r="BI225" s="216"/>
      <c r="BJ225" s="216"/>
      <c r="BK225" s="216"/>
      <c r="BL225" s="216"/>
      <c r="BM225" s="216"/>
      <c r="BN225" s="216"/>
      <c r="BO225" s="216"/>
      <c r="BP225" s="216"/>
      <c r="BQ225" s="216"/>
      <c r="BR225" s="216"/>
      <c r="BS225" s="216"/>
      <c r="BT225" s="216"/>
      <c r="BU225" s="216"/>
      <c r="BV225" s="216"/>
      <c r="BW225" s="216"/>
      <c r="BX225" s="216"/>
      <c r="BY225" s="216"/>
      <c r="BZ225" s="216"/>
      <c r="CA225" s="216"/>
      <c r="CB225" s="216"/>
      <c r="CC225" s="216"/>
      <c r="CD225" s="216"/>
      <c r="CE225" s="216"/>
      <c r="CF225" s="216"/>
      <c r="CG225" s="216"/>
      <c r="CH225" s="216"/>
      <c r="CI225" s="216"/>
      <c r="CJ225" s="216"/>
      <c r="CK225" s="216"/>
      <c r="CL225" s="216"/>
      <c r="CM225" s="216"/>
      <c r="CN225" s="216"/>
      <c r="CO225" s="216"/>
      <c r="CP225" s="216"/>
      <c r="CQ225" s="216"/>
      <c r="CR225" s="216"/>
      <c r="CS225" s="216"/>
      <c r="CT225" s="216"/>
      <c r="CU225" s="216"/>
      <c r="CV225" s="216"/>
      <c r="CW225" s="216"/>
      <c r="CX225" s="216"/>
      <c r="CY225" s="216"/>
    </row>
    <row r="226" spans="1:103" ht="24" customHeight="1" x14ac:dyDescent="0.2">
      <c r="A226" s="214"/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4"/>
      <c r="N226" s="215"/>
      <c r="O226" s="215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6"/>
      <c r="BN226" s="216"/>
      <c r="BO226" s="216"/>
      <c r="BP226" s="216"/>
      <c r="BQ226" s="216"/>
      <c r="BR226" s="216"/>
      <c r="BS226" s="216"/>
      <c r="BT226" s="216"/>
      <c r="BU226" s="216"/>
      <c r="BV226" s="216"/>
      <c r="BW226" s="216"/>
      <c r="BX226" s="216"/>
      <c r="BY226" s="216"/>
      <c r="BZ226" s="216"/>
      <c r="CA226" s="216"/>
      <c r="CB226" s="216"/>
      <c r="CC226" s="216"/>
      <c r="CD226" s="216"/>
      <c r="CE226" s="216"/>
      <c r="CF226" s="216"/>
      <c r="CG226" s="216"/>
      <c r="CH226" s="216"/>
      <c r="CI226" s="216"/>
      <c r="CJ226" s="216"/>
      <c r="CK226" s="216"/>
      <c r="CL226" s="216"/>
      <c r="CM226" s="216"/>
      <c r="CN226" s="216"/>
      <c r="CO226" s="216"/>
      <c r="CP226" s="216"/>
      <c r="CQ226" s="216"/>
      <c r="CR226" s="216"/>
      <c r="CS226" s="216"/>
      <c r="CT226" s="216"/>
      <c r="CU226" s="216"/>
      <c r="CV226" s="216"/>
      <c r="CW226" s="216"/>
      <c r="CX226" s="216"/>
      <c r="CY226" s="216"/>
    </row>
    <row r="227" spans="1:103" ht="24" customHeight="1" x14ac:dyDescent="0.2">
      <c r="A227" s="214"/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4"/>
      <c r="N227" s="215"/>
      <c r="O227" s="215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6"/>
      <c r="BN227" s="216"/>
      <c r="BO227" s="216"/>
      <c r="BP227" s="216"/>
      <c r="BQ227" s="216"/>
      <c r="BR227" s="216"/>
      <c r="BS227" s="216"/>
      <c r="BT227" s="216"/>
      <c r="BU227" s="216"/>
      <c r="BV227" s="216"/>
      <c r="BW227" s="216"/>
      <c r="BX227" s="216"/>
      <c r="BY227" s="216"/>
      <c r="BZ227" s="216"/>
      <c r="CA227" s="216"/>
      <c r="CB227" s="216"/>
      <c r="CC227" s="216"/>
      <c r="CD227" s="216"/>
      <c r="CE227" s="216"/>
      <c r="CF227" s="216"/>
      <c r="CG227" s="216"/>
      <c r="CH227" s="216"/>
      <c r="CI227" s="216"/>
      <c r="CJ227" s="216"/>
      <c r="CK227" s="216"/>
      <c r="CL227" s="216"/>
      <c r="CM227" s="216"/>
      <c r="CN227" s="216"/>
      <c r="CO227" s="216"/>
      <c r="CP227" s="216"/>
      <c r="CQ227" s="216"/>
      <c r="CR227" s="216"/>
      <c r="CS227" s="216"/>
      <c r="CT227" s="216"/>
      <c r="CU227" s="216"/>
      <c r="CV227" s="216"/>
      <c r="CW227" s="216"/>
      <c r="CX227" s="216"/>
      <c r="CY227" s="216"/>
    </row>
    <row r="228" spans="1:103" ht="24" customHeight="1" x14ac:dyDescent="0.2">
      <c r="A228" s="214"/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4"/>
      <c r="N228" s="215"/>
      <c r="O228" s="215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6"/>
      <c r="BN228" s="216"/>
      <c r="BO228" s="216"/>
      <c r="BP228" s="216"/>
      <c r="BQ228" s="216"/>
      <c r="BR228" s="216"/>
      <c r="BS228" s="216"/>
      <c r="BT228" s="216"/>
      <c r="BU228" s="216"/>
      <c r="BV228" s="216"/>
      <c r="BW228" s="216"/>
      <c r="BX228" s="216"/>
      <c r="BY228" s="216"/>
      <c r="BZ228" s="216"/>
      <c r="CA228" s="216"/>
      <c r="CB228" s="216"/>
      <c r="CC228" s="216"/>
      <c r="CD228" s="216"/>
      <c r="CE228" s="216"/>
      <c r="CF228" s="216"/>
      <c r="CG228" s="216"/>
      <c r="CH228" s="216"/>
      <c r="CI228" s="216"/>
      <c r="CJ228" s="216"/>
      <c r="CK228" s="216"/>
      <c r="CL228" s="216"/>
      <c r="CM228" s="216"/>
      <c r="CN228" s="216"/>
      <c r="CO228" s="216"/>
      <c r="CP228" s="216"/>
      <c r="CQ228" s="216"/>
      <c r="CR228" s="216"/>
      <c r="CS228" s="216"/>
      <c r="CT228" s="216"/>
      <c r="CU228" s="216"/>
      <c r="CV228" s="216"/>
      <c r="CW228" s="216"/>
      <c r="CX228" s="216"/>
      <c r="CY228" s="216"/>
    </row>
    <row r="229" spans="1:103" ht="24" customHeight="1" x14ac:dyDescent="0.2">
      <c r="A229" s="214"/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4"/>
      <c r="N229" s="215"/>
      <c r="O229" s="215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6"/>
      <c r="BN229" s="216"/>
      <c r="BO229" s="216"/>
      <c r="BP229" s="216"/>
      <c r="BQ229" s="216"/>
      <c r="BR229" s="216"/>
      <c r="BS229" s="216"/>
      <c r="BT229" s="216"/>
      <c r="BU229" s="216"/>
      <c r="BV229" s="216"/>
      <c r="BW229" s="216"/>
      <c r="BX229" s="216"/>
      <c r="BY229" s="216"/>
      <c r="BZ229" s="216"/>
      <c r="CA229" s="216"/>
      <c r="CB229" s="216"/>
      <c r="CC229" s="216"/>
      <c r="CD229" s="216"/>
      <c r="CE229" s="216"/>
      <c r="CF229" s="216"/>
      <c r="CG229" s="216"/>
      <c r="CH229" s="216"/>
      <c r="CI229" s="216"/>
      <c r="CJ229" s="216"/>
      <c r="CK229" s="216"/>
      <c r="CL229" s="216"/>
      <c r="CM229" s="216"/>
      <c r="CN229" s="216"/>
      <c r="CO229" s="216"/>
      <c r="CP229" s="216"/>
      <c r="CQ229" s="216"/>
      <c r="CR229" s="216"/>
      <c r="CS229" s="216"/>
      <c r="CT229" s="216"/>
      <c r="CU229" s="216"/>
      <c r="CV229" s="216"/>
      <c r="CW229" s="216"/>
      <c r="CX229" s="216"/>
      <c r="CY229" s="216"/>
    </row>
    <row r="230" spans="1:103" ht="24" customHeight="1" x14ac:dyDescent="0.2">
      <c r="A230" s="214"/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4"/>
      <c r="N230" s="215"/>
      <c r="O230" s="215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6"/>
      <c r="BN230" s="216"/>
      <c r="BO230" s="216"/>
      <c r="BP230" s="216"/>
      <c r="BQ230" s="216"/>
      <c r="BR230" s="216"/>
      <c r="BS230" s="216"/>
      <c r="BT230" s="216"/>
      <c r="BU230" s="216"/>
      <c r="BV230" s="216"/>
      <c r="BW230" s="216"/>
      <c r="BX230" s="216"/>
      <c r="BY230" s="216"/>
      <c r="BZ230" s="216"/>
      <c r="CA230" s="216"/>
      <c r="CB230" s="216"/>
      <c r="CC230" s="216"/>
      <c r="CD230" s="216"/>
      <c r="CE230" s="216"/>
      <c r="CF230" s="216"/>
      <c r="CG230" s="216"/>
      <c r="CH230" s="216"/>
      <c r="CI230" s="216"/>
      <c r="CJ230" s="216"/>
      <c r="CK230" s="216"/>
      <c r="CL230" s="216"/>
      <c r="CM230" s="216"/>
      <c r="CN230" s="216"/>
      <c r="CO230" s="216"/>
      <c r="CP230" s="216"/>
      <c r="CQ230" s="216"/>
      <c r="CR230" s="216"/>
      <c r="CS230" s="216"/>
      <c r="CT230" s="216"/>
      <c r="CU230" s="216"/>
      <c r="CV230" s="216"/>
      <c r="CW230" s="216"/>
      <c r="CX230" s="216"/>
      <c r="CY230" s="216"/>
    </row>
    <row r="231" spans="1:103" ht="24" customHeight="1" x14ac:dyDescent="0.2">
      <c r="A231" s="214"/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4"/>
      <c r="N231" s="215"/>
      <c r="O231" s="215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6"/>
      <c r="BN231" s="216"/>
      <c r="BO231" s="216"/>
      <c r="BP231" s="216"/>
      <c r="BQ231" s="216"/>
      <c r="BR231" s="216"/>
      <c r="BS231" s="216"/>
      <c r="BT231" s="216"/>
      <c r="BU231" s="216"/>
      <c r="BV231" s="216"/>
      <c r="BW231" s="216"/>
      <c r="BX231" s="216"/>
      <c r="BY231" s="216"/>
      <c r="BZ231" s="216"/>
      <c r="CA231" s="216"/>
      <c r="CB231" s="216"/>
      <c r="CC231" s="216"/>
      <c r="CD231" s="216"/>
      <c r="CE231" s="216"/>
      <c r="CF231" s="216"/>
      <c r="CG231" s="216"/>
      <c r="CH231" s="216"/>
      <c r="CI231" s="216"/>
      <c r="CJ231" s="216"/>
      <c r="CK231" s="216"/>
      <c r="CL231" s="216"/>
      <c r="CM231" s="216"/>
      <c r="CN231" s="216"/>
      <c r="CO231" s="216"/>
      <c r="CP231" s="216"/>
      <c r="CQ231" s="216"/>
      <c r="CR231" s="216"/>
      <c r="CS231" s="216"/>
      <c r="CT231" s="216"/>
      <c r="CU231" s="216"/>
      <c r="CV231" s="216"/>
      <c r="CW231" s="216"/>
      <c r="CX231" s="216"/>
      <c r="CY231" s="216"/>
    </row>
    <row r="232" spans="1:103" ht="24" customHeight="1" x14ac:dyDescent="0.2">
      <c r="A232" s="214"/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4"/>
      <c r="N232" s="215"/>
      <c r="O232" s="215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216"/>
      <c r="BO232" s="216"/>
      <c r="BP232" s="216"/>
      <c r="BQ232" s="216"/>
      <c r="BR232" s="216"/>
      <c r="BS232" s="216"/>
      <c r="BT232" s="216"/>
      <c r="BU232" s="216"/>
      <c r="BV232" s="216"/>
      <c r="BW232" s="216"/>
      <c r="BX232" s="216"/>
      <c r="BY232" s="216"/>
      <c r="BZ232" s="216"/>
      <c r="CA232" s="216"/>
      <c r="CB232" s="216"/>
      <c r="CC232" s="216"/>
      <c r="CD232" s="216"/>
      <c r="CE232" s="216"/>
      <c r="CF232" s="216"/>
      <c r="CG232" s="216"/>
      <c r="CH232" s="216"/>
      <c r="CI232" s="216"/>
      <c r="CJ232" s="216"/>
      <c r="CK232" s="216"/>
      <c r="CL232" s="216"/>
      <c r="CM232" s="216"/>
      <c r="CN232" s="216"/>
      <c r="CO232" s="216"/>
      <c r="CP232" s="216"/>
      <c r="CQ232" s="216"/>
      <c r="CR232" s="216"/>
      <c r="CS232" s="216"/>
      <c r="CT232" s="216"/>
      <c r="CU232" s="216"/>
      <c r="CV232" s="216"/>
      <c r="CW232" s="216"/>
      <c r="CX232" s="216"/>
      <c r="CY232" s="216"/>
    </row>
    <row r="233" spans="1:103" ht="24" customHeight="1" x14ac:dyDescent="0.2">
      <c r="A233" s="214"/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4"/>
      <c r="N233" s="215"/>
      <c r="O233" s="215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216"/>
      <c r="BO233" s="216"/>
      <c r="BP233" s="216"/>
      <c r="BQ233" s="216"/>
      <c r="BR233" s="216"/>
      <c r="BS233" s="216"/>
      <c r="BT233" s="216"/>
      <c r="BU233" s="216"/>
      <c r="BV233" s="216"/>
      <c r="BW233" s="216"/>
      <c r="BX233" s="216"/>
      <c r="BY233" s="216"/>
      <c r="BZ233" s="216"/>
      <c r="CA233" s="216"/>
      <c r="CB233" s="216"/>
      <c r="CC233" s="216"/>
      <c r="CD233" s="216"/>
      <c r="CE233" s="216"/>
      <c r="CF233" s="216"/>
      <c r="CG233" s="216"/>
      <c r="CH233" s="216"/>
      <c r="CI233" s="216"/>
      <c r="CJ233" s="216"/>
      <c r="CK233" s="216"/>
      <c r="CL233" s="216"/>
      <c r="CM233" s="216"/>
      <c r="CN233" s="216"/>
      <c r="CO233" s="216"/>
      <c r="CP233" s="216"/>
      <c r="CQ233" s="216"/>
      <c r="CR233" s="216"/>
      <c r="CS233" s="216"/>
      <c r="CT233" s="216"/>
      <c r="CU233" s="216"/>
      <c r="CV233" s="216"/>
      <c r="CW233" s="216"/>
      <c r="CX233" s="216"/>
      <c r="CY233" s="216"/>
    </row>
    <row r="234" spans="1:103" ht="24" customHeight="1" x14ac:dyDescent="0.2">
      <c r="A234" s="214"/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4"/>
      <c r="N234" s="215"/>
      <c r="O234" s="215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6"/>
      <c r="BN234" s="216"/>
      <c r="BO234" s="216"/>
      <c r="BP234" s="216"/>
      <c r="BQ234" s="216"/>
      <c r="BR234" s="216"/>
      <c r="BS234" s="216"/>
      <c r="BT234" s="216"/>
      <c r="BU234" s="216"/>
      <c r="BV234" s="216"/>
      <c r="BW234" s="216"/>
      <c r="BX234" s="216"/>
      <c r="BY234" s="216"/>
      <c r="BZ234" s="216"/>
      <c r="CA234" s="216"/>
      <c r="CB234" s="216"/>
      <c r="CC234" s="216"/>
      <c r="CD234" s="216"/>
      <c r="CE234" s="216"/>
      <c r="CF234" s="216"/>
      <c r="CG234" s="216"/>
      <c r="CH234" s="216"/>
      <c r="CI234" s="216"/>
      <c r="CJ234" s="216"/>
      <c r="CK234" s="216"/>
      <c r="CL234" s="216"/>
      <c r="CM234" s="216"/>
      <c r="CN234" s="216"/>
      <c r="CO234" s="216"/>
      <c r="CP234" s="216"/>
      <c r="CQ234" s="216"/>
      <c r="CR234" s="216"/>
      <c r="CS234" s="216"/>
      <c r="CT234" s="216"/>
      <c r="CU234" s="216"/>
      <c r="CV234" s="216"/>
      <c r="CW234" s="216"/>
      <c r="CX234" s="216"/>
      <c r="CY234" s="216"/>
    </row>
    <row r="235" spans="1:103" ht="24" customHeight="1" x14ac:dyDescent="0.2">
      <c r="A235" s="214"/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4"/>
      <c r="N235" s="215"/>
      <c r="O235" s="215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6"/>
      <c r="BM235" s="216"/>
      <c r="BN235" s="216"/>
      <c r="BO235" s="216"/>
      <c r="BP235" s="216"/>
      <c r="BQ235" s="216"/>
      <c r="BR235" s="216"/>
      <c r="BS235" s="216"/>
      <c r="BT235" s="216"/>
      <c r="BU235" s="216"/>
      <c r="BV235" s="216"/>
      <c r="BW235" s="216"/>
      <c r="BX235" s="216"/>
      <c r="BY235" s="216"/>
      <c r="BZ235" s="216"/>
      <c r="CA235" s="216"/>
      <c r="CB235" s="216"/>
      <c r="CC235" s="216"/>
      <c r="CD235" s="216"/>
      <c r="CE235" s="216"/>
      <c r="CF235" s="216"/>
      <c r="CG235" s="216"/>
      <c r="CH235" s="216"/>
      <c r="CI235" s="216"/>
      <c r="CJ235" s="216"/>
      <c r="CK235" s="216"/>
      <c r="CL235" s="216"/>
      <c r="CM235" s="216"/>
      <c r="CN235" s="216"/>
      <c r="CO235" s="216"/>
      <c r="CP235" s="216"/>
      <c r="CQ235" s="216"/>
      <c r="CR235" s="216"/>
      <c r="CS235" s="216"/>
      <c r="CT235" s="216"/>
      <c r="CU235" s="216"/>
      <c r="CV235" s="216"/>
      <c r="CW235" s="216"/>
      <c r="CX235" s="216"/>
      <c r="CY235" s="216"/>
    </row>
    <row r="236" spans="1:103" ht="24" customHeight="1" x14ac:dyDescent="0.2">
      <c r="A236" s="214"/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4"/>
      <c r="N236" s="215"/>
      <c r="O236" s="215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6"/>
      <c r="BM236" s="216"/>
      <c r="BN236" s="216"/>
      <c r="BO236" s="216"/>
      <c r="BP236" s="216"/>
      <c r="BQ236" s="216"/>
      <c r="BR236" s="216"/>
      <c r="BS236" s="216"/>
      <c r="BT236" s="216"/>
      <c r="BU236" s="216"/>
      <c r="BV236" s="216"/>
      <c r="BW236" s="216"/>
      <c r="BX236" s="216"/>
      <c r="BY236" s="216"/>
      <c r="BZ236" s="216"/>
      <c r="CA236" s="216"/>
      <c r="CB236" s="216"/>
      <c r="CC236" s="216"/>
      <c r="CD236" s="216"/>
      <c r="CE236" s="216"/>
      <c r="CF236" s="216"/>
      <c r="CG236" s="216"/>
      <c r="CH236" s="216"/>
      <c r="CI236" s="216"/>
      <c r="CJ236" s="216"/>
      <c r="CK236" s="216"/>
      <c r="CL236" s="216"/>
      <c r="CM236" s="216"/>
      <c r="CN236" s="216"/>
      <c r="CO236" s="216"/>
      <c r="CP236" s="216"/>
      <c r="CQ236" s="216"/>
      <c r="CR236" s="216"/>
      <c r="CS236" s="216"/>
      <c r="CT236" s="216"/>
      <c r="CU236" s="216"/>
      <c r="CV236" s="216"/>
      <c r="CW236" s="216"/>
      <c r="CX236" s="216"/>
      <c r="CY236" s="216"/>
    </row>
    <row r="237" spans="1:103" ht="24" customHeight="1" x14ac:dyDescent="0.2">
      <c r="A237" s="214"/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4"/>
      <c r="N237" s="215"/>
      <c r="O237" s="215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  <c r="BI237" s="216"/>
      <c r="BJ237" s="216"/>
      <c r="BK237" s="216"/>
      <c r="BL237" s="216"/>
      <c r="BM237" s="216"/>
      <c r="BN237" s="216"/>
      <c r="BO237" s="216"/>
      <c r="BP237" s="216"/>
      <c r="BQ237" s="216"/>
      <c r="BR237" s="216"/>
      <c r="BS237" s="216"/>
      <c r="BT237" s="216"/>
      <c r="BU237" s="216"/>
      <c r="BV237" s="216"/>
      <c r="BW237" s="216"/>
      <c r="BX237" s="216"/>
      <c r="BY237" s="216"/>
      <c r="BZ237" s="216"/>
      <c r="CA237" s="216"/>
      <c r="CB237" s="216"/>
      <c r="CC237" s="216"/>
      <c r="CD237" s="216"/>
      <c r="CE237" s="216"/>
      <c r="CF237" s="216"/>
      <c r="CG237" s="216"/>
      <c r="CH237" s="216"/>
      <c r="CI237" s="216"/>
      <c r="CJ237" s="216"/>
      <c r="CK237" s="216"/>
      <c r="CL237" s="216"/>
      <c r="CM237" s="216"/>
      <c r="CN237" s="216"/>
      <c r="CO237" s="216"/>
      <c r="CP237" s="216"/>
      <c r="CQ237" s="216"/>
      <c r="CR237" s="216"/>
      <c r="CS237" s="216"/>
      <c r="CT237" s="216"/>
      <c r="CU237" s="216"/>
      <c r="CV237" s="216"/>
      <c r="CW237" s="216"/>
      <c r="CX237" s="216"/>
      <c r="CY237" s="216"/>
    </row>
    <row r="238" spans="1:103" ht="24" customHeight="1" x14ac:dyDescent="0.2">
      <c r="A238" s="214"/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4"/>
      <c r="N238" s="215"/>
      <c r="O238" s="215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  <c r="BI238" s="216"/>
      <c r="BJ238" s="216"/>
      <c r="BK238" s="216"/>
      <c r="BL238" s="216"/>
      <c r="BM238" s="216"/>
      <c r="BN238" s="216"/>
      <c r="BO238" s="216"/>
      <c r="BP238" s="216"/>
      <c r="BQ238" s="216"/>
      <c r="BR238" s="216"/>
      <c r="BS238" s="216"/>
      <c r="BT238" s="216"/>
      <c r="BU238" s="216"/>
      <c r="BV238" s="216"/>
      <c r="BW238" s="216"/>
      <c r="BX238" s="216"/>
      <c r="BY238" s="216"/>
      <c r="BZ238" s="216"/>
      <c r="CA238" s="216"/>
      <c r="CB238" s="216"/>
      <c r="CC238" s="216"/>
      <c r="CD238" s="216"/>
      <c r="CE238" s="216"/>
      <c r="CF238" s="216"/>
      <c r="CG238" s="216"/>
      <c r="CH238" s="216"/>
      <c r="CI238" s="216"/>
      <c r="CJ238" s="216"/>
      <c r="CK238" s="216"/>
      <c r="CL238" s="216"/>
      <c r="CM238" s="216"/>
      <c r="CN238" s="216"/>
      <c r="CO238" s="216"/>
      <c r="CP238" s="216"/>
      <c r="CQ238" s="216"/>
      <c r="CR238" s="216"/>
      <c r="CS238" s="216"/>
      <c r="CT238" s="216"/>
      <c r="CU238" s="216"/>
      <c r="CV238" s="216"/>
      <c r="CW238" s="216"/>
      <c r="CX238" s="216"/>
      <c r="CY238" s="216"/>
    </row>
    <row r="239" spans="1:103" ht="24" customHeight="1" x14ac:dyDescent="0.2">
      <c r="A239" s="214"/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4"/>
      <c r="N239" s="215"/>
      <c r="O239" s="215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6"/>
      <c r="BJ239" s="216"/>
      <c r="BK239" s="216"/>
      <c r="BL239" s="216"/>
      <c r="BM239" s="216"/>
      <c r="BN239" s="216"/>
      <c r="BO239" s="216"/>
      <c r="BP239" s="216"/>
      <c r="BQ239" s="216"/>
      <c r="BR239" s="216"/>
      <c r="BS239" s="216"/>
      <c r="BT239" s="216"/>
      <c r="BU239" s="216"/>
      <c r="BV239" s="216"/>
      <c r="BW239" s="216"/>
      <c r="BX239" s="216"/>
      <c r="BY239" s="216"/>
      <c r="BZ239" s="216"/>
      <c r="CA239" s="216"/>
      <c r="CB239" s="216"/>
      <c r="CC239" s="216"/>
      <c r="CD239" s="216"/>
      <c r="CE239" s="216"/>
      <c r="CF239" s="216"/>
      <c r="CG239" s="216"/>
      <c r="CH239" s="216"/>
      <c r="CI239" s="216"/>
      <c r="CJ239" s="216"/>
      <c r="CK239" s="216"/>
      <c r="CL239" s="216"/>
      <c r="CM239" s="216"/>
      <c r="CN239" s="216"/>
      <c r="CO239" s="216"/>
      <c r="CP239" s="216"/>
      <c r="CQ239" s="216"/>
      <c r="CR239" s="216"/>
      <c r="CS239" s="216"/>
      <c r="CT239" s="216"/>
      <c r="CU239" s="216"/>
      <c r="CV239" s="216"/>
      <c r="CW239" s="216"/>
      <c r="CX239" s="216"/>
      <c r="CY239" s="216"/>
    </row>
    <row r="240" spans="1:103" ht="24" customHeight="1" x14ac:dyDescent="0.2">
      <c r="A240" s="214"/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4"/>
      <c r="N240" s="215"/>
      <c r="O240" s="215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  <c r="BI240" s="216"/>
      <c r="BJ240" s="216"/>
      <c r="BK240" s="216"/>
      <c r="BL240" s="216"/>
      <c r="BM240" s="216"/>
      <c r="BN240" s="216"/>
      <c r="BO240" s="216"/>
      <c r="BP240" s="216"/>
      <c r="BQ240" s="216"/>
      <c r="BR240" s="216"/>
      <c r="BS240" s="216"/>
      <c r="BT240" s="216"/>
      <c r="BU240" s="216"/>
      <c r="BV240" s="216"/>
      <c r="BW240" s="216"/>
      <c r="BX240" s="216"/>
      <c r="BY240" s="216"/>
      <c r="BZ240" s="216"/>
      <c r="CA240" s="216"/>
      <c r="CB240" s="216"/>
      <c r="CC240" s="216"/>
      <c r="CD240" s="216"/>
      <c r="CE240" s="216"/>
      <c r="CF240" s="216"/>
      <c r="CG240" s="216"/>
      <c r="CH240" s="216"/>
      <c r="CI240" s="216"/>
      <c r="CJ240" s="216"/>
      <c r="CK240" s="216"/>
      <c r="CL240" s="216"/>
      <c r="CM240" s="216"/>
      <c r="CN240" s="216"/>
      <c r="CO240" s="216"/>
      <c r="CP240" s="216"/>
      <c r="CQ240" s="216"/>
      <c r="CR240" s="216"/>
      <c r="CS240" s="216"/>
      <c r="CT240" s="216"/>
      <c r="CU240" s="216"/>
      <c r="CV240" s="216"/>
      <c r="CW240" s="216"/>
      <c r="CX240" s="216"/>
      <c r="CY240" s="216"/>
    </row>
    <row r="241" spans="1:103" ht="24" customHeight="1" x14ac:dyDescent="0.2">
      <c r="A241" s="214"/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4"/>
      <c r="N241" s="215"/>
      <c r="O241" s="215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  <c r="BI241" s="216"/>
      <c r="BJ241" s="216"/>
      <c r="BK241" s="216"/>
      <c r="BL241" s="216"/>
      <c r="BM241" s="216"/>
      <c r="BN241" s="216"/>
      <c r="BO241" s="216"/>
      <c r="BP241" s="216"/>
      <c r="BQ241" s="216"/>
      <c r="BR241" s="216"/>
      <c r="BS241" s="216"/>
      <c r="BT241" s="216"/>
      <c r="BU241" s="216"/>
      <c r="BV241" s="216"/>
      <c r="BW241" s="216"/>
      <c r="BX241" s="216"/>
      <c r="BY241" s="216"/>
      <c r="BZ241" s="216"/>
      <c r="CA241" s="216"/>
      <c r="CB241" s="216"/>
      <c r="CC241" s="216"/>
      <c r="CD241" s="216"/>
      <c r="CE241" s="216"/>
      <c r="CF241" s="216"/>
      <c r="CG241" s="216"/>
      <c r="CH241" s="216"/>
      <c r="CI241" s="216"/>
      <c r="CJ241" s="216"/>
      <c r="CK241" s="216"/>
      <c r="CL241" s="216"/>
      <c r="CM241" s="216"/>
      <c r="CN241" s="216"/>
      <c r="CO241" s="216"/>
      <c r="CP241" s="216"/>
      <c r="CQ241" s="216"/>
      <c r="CR241" s="216"/>
      <c r="CS241" s="216"/>
      <c r="CT241" s="216"/>
      <c r="CU241" s="216"/>
      <c r="CV241" s="216"/>
      <c r="CW241" s="216"/>
      <c r="CX241" s="216"/>
      <c r="CY241" s="216"/>
    </row>
    <row r="242" spans="1:103" ht="24" customHeight="1" x14ac:dyDescent="0.2">
      <c r="A242" s="214"/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4"/>
      <c r="N242" s="215"/>
      <c r="O242" s="215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  <c r="BI242" s="216"/>
      <c r="BJ242" s="216"/>
      <c r="BK242" s="216"/>
      <c r="BL242" s="216"/>
      <c r="BM242" s="216"/>
      <c r="BN242" s="216"/>
      <c r="BO242" s="216"/>
      <c r="BP242" s="216"/>
      <c r="BQ242" s="216"/>
      <c r="BR242" s="216"/>
      <c r="BS242" s="216"/>
      <c r="BT242" s="216"/>
      <c r="BU242" s="216"/>
      <c r="BV242" s="216"/>
      <c r="BW242" s="216"/>
      <c r="BX242" s="216"/>
      <c r="BY242" s="216"/>
      <c r="BZ242" s="216"/>
      <c r="CA242" s="216"/>
      <c r="CB242" s="216"/>
      <c r="CC242" s="216"/>
      <c r="CD242" s="216"/>
      <c r="CE242" s="216"/>
      <c r="CF242" s="216"/>
      <c r="CG242" s="216"/>
      <c r="CH242" s="216"/>
      <c r="CI242" s="216"/>
      <c r="CJ242" s="216"/>
      <c r="CK242" s="216"/>
      <c r="CL242" s="216"/>
      <c r="CM242" s="216"/>
      <c r="CN242" s="216"/>
      <c r="CO242" s="216"/>
      <c r="CP242" s="216"/>
      <c r="CQ242" s="216"/>
      <c r="CR242" s="216"/>
      <c r="CS242" s="216"/>
      <c r="CT242" s="216"/>
      <c r="CU242" s="216"/>
      <c r="CV242" s="216"/>
      <c r="CW242" s="216"/>
      <c r="CX242" s="216"/>
      <c r="CY242" s="216"/>
    </row>
    <row r="243" spans="1:103" ht="24" customHeight="1" x14ac:dyDescent="0.2">
      <c r="A243" s="214"/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4"/>
      <c r="N243" s="215"/>
      <c r="O243" s="215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6"/>
      <c r="BM243" s="216"/>
      <c r="BN243" s="216"/>
      <c r="BO243" s="216"/>
      <c r="BP243" s="216"/>
      <c r="BQ243" s="216"/>
      <c r="BR243" s="216"/>
      <c r="BS243" s="216"/>
      <c r="BT243" s="216"/>
      <c r="BU243" s="216"/>
      <c r="BV243" s="216"/>
      <c r="BW243" s="216"/>
      <c r="BX243" s="216"/>
      <c r="BY243" s="216"/>
      <c r="BZ243" s="216"/>
      <c r="CA243" s="216"/>
      <c r="CB243" s="216"/>
      <c r="CC243" s="216"/>
      <c r="CD243" s="216"/>
      <c r="CE243" s="216"/>
      <c r="CF243" s="216"/>
      <c r="CG243" s="216"/>
      <c r="CH243" s="216"/>
      <c r="CI243" s="216"/>
      <c r="CJ243" s="216"/>
      <c r="CK243" s="216"/>
      <c r="CL243" s="216"/>
      <c r="CM243" s="216"/>
      <c r="CN243" s="216"/>
      <c r="CO243" s="216"/>
      <c r="CP243" s="216"/>
      <c r="CQ243" s="216"/>
      <c r="CR243" s="216"/>
      <c r="CS243" s="216"/>
      <c r="CT243" s="216"/>
      <c r="CU243" s="216"/>
      <c r="CV243" s="216"/>
      <c r="CW243" s="216"/>
      <c r="CX243" s="216"/>
      <c r="CY243" s="216"/>
    </row>
    <row r="244" spans="1:103" ht="24" customHeight="1" x14ac:dyDescent="0.2">
      <c r="A244" s="214"/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4"/>
      <c r="N244" s="215"/>
      <c r="O244" s="215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6"/>
      <c r="BN244" s="216"/>
      <c r="BO244" s="216"/>
      <c r="BP244" s="216"/>
      <c r="BQ244" s="216"/>
      <c r="BR244" s="216"/>
      <c r="BS244" s="216"/>
      <c r="BT244" s="216"/>
      <c r="BU244" s="216"/>
      <c r="BV244" s="216"/>
      <c r="BW244" s="216"/>
      <c r="BX244" s="216"/>
      <c r="BY244" s="216"/>
      <c r="BZ244" s="216"/>
      <c r="CA244" s="216"/>
      <c r="CB244" s="216"/>
      <c r="CC244" s="216"/>
      <c r="CD244" s="216"/>
      <c r="CE244" s="216"/>
      <c r="CF244" s="216"/>
      <c r="CG244" s="216"/>
      <c r="CH244" s="216"/>
      <c r="CI244" s="216"/>
      <c r="CJ244" s="216"/>
      <c r="CK244" s="216"/>
      <c r="CL244" s="216"/>
      <c r="CM244" s="216"/>
      <c r="CN244" s="216"/>
      <c r="CO244" s="216"/>
      <c r="CP244" s="216"/>
      <c r="CQ244" s="216"/>
      <c r="CR244" s="216"/>
      <c r="CS244" s="216"/>
      <c r="CT244" s="216"/>
      <c r="CU244" s="216"/>
      <c r="CV244" s="216"/>
      <c r="CW244" s="216"/>
      <c r="CX244" s="216"/>
      <c r="CY244" s="216"/>
    </row>
    <row r="245" spans="1:103" ht="24" customHeight="1" x14ac:dyDescent="0.2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5"/>
      <c r="O245" s="215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6"/>
      <c r="BN245" s="216"/>
      <c r="BO245" s="216"/>
      <c r="BP245" s="216"/>
      <c r="BQ245" s="216"/>
      <c r="BR245" s="216"/>
      <c r="BS245" s="216"/>
      <c r="BT245" s="216"/>
      <c r="BU245" s="216"/>
      <c r="BV245" s="216"/>
      <c r="BW245" s="216"/>
      <c r="BX245" s="216"/>
      <c r="BY245" s="216"/>
      <c r="BZ245" s="216"/>
      <c r="CA245" s="216"/>
      <c r="CB245" s="216"/>
      <c r="CC245" s="216"/>
      <c r="CD245" s="216"/>
      <c r="CE245" s="216"/>
      <c r="CF245" s="216"/>
      <c r="CG245" s="216"/>
      <c r="CH245" s="216"/>
      <c r="CI245" s="216"/>
      <c r="CJ245" s="216"/>
      <c r="CK245" s="216"/>
      <c r="CL245" s="216"/>
      <c r="CM245" s="216"/>
      <c r="CN245" s="216"/>
      <c r="CO245" s="216"/>
      <c r="CP245" s="216"/>
      <c r="CQ245" s="216"/>
      <c r="CR245" s="216"/>
      <c r="CS245" s="216"/>
      <c r="CT245" s="216"/>
      <c r="CU245" s="216"/>
      <c r="CV245" s="216"/>
      <c r="CW245" s="216"/>
      <c r="CX245" s="216"/>
      <c r="CY245" s="216"/>
    </row>
    <row r="246" spans="1:103" ht="24" customHeight="1" x14ac:dyDescent="0.2">
      <c r="A246" s="214"/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4"/>
      <c r="N246" s="215"/>
      <c r="O246" s="215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6"/>
      <c r="BN246" s="216"/>
      <c r="BO246" s="216"/>
      <c r="BP246" s="216"/>
      <c r="BQ246" s="216"/>
      <c r="BR246" s="216"/>
      <c r="BS246" s="216"/>
      <c r="BT246" s="216"/>
      <c r="BU246" s="216"/>
      <c r="BV246" s="216"/>
      <c r="BW246" s="216"/>
      <c r="BX246" s="216"/>
      <c r="BY246" s="216"/>
      <c r="BZ246" s="216"/>
      <c r="CA246" s="216"/>
      <c r="CB246" s="216"/>
      <c r="CC246" s="216"/>
      <c r="CD246" s="216"/>
      <c r="CE246" s="216"/>
      <c r="CF246" s="216"/>
      <c r="CG246" s="216"/>
      <c r="CH246" s="216"/>
      <c r="CI246" s="216"/>
      <c r="CJ246" s="216"/>
      <c r="CK246" s="216"/>
      <c r="CL246" s="216"/>
      <c r="CM246" s="216"/>
      <c r="CN246" s="216"/>
      <c r="CO246" s="216"/>
      <c r="CP246" s="216"/>
      <c r="CQ246" s="216"/>
      <c r="CR246" s="216"/>
      <c r="CS246" s="216"/>
      <c r="CT246" s="216"/>
      <c r="CU246" s="216"/>
      <c r="CV246" s="216"/>
      <c r="CW246" s="216"/>
      <c r="CX246" s="216"/>
      <c r="CY246" s="216"/>
    </row>
    <row r="247" spans="1:103" ht="24" customHeight="1" x14ac:dyDescent="0.2">
      <c r="A247" s="214"/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4"/>
      <c r="N247" s="215"/>
      <c r="O247" s="215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6"/>
      <c r="BN247" s="216"/>
      <c r="BO247" s="216"/>
      <c r="BP247" s="216"/>
      <c r="BQ247" s="216"/>
      <c r="BR247" s="216"/>
      <c r="BS247" s="216"/>
      <c r="BT247" s="216"/>
      <c r="BU247" s="216"/>
      <c r="BV247" s="216"/>
      <c r="BW247" s="216"/>
      <c r="BX247" s="216"/>
      <c r="BY247" s="216"/>
      <c r="BZ247" s="216"/>
      <c r="CA247" s="216"/>
      <c r="CB247" s="216"/>
      <c r="CC247" s="216"/>
      <c r="CD247" s="216"/>
      <c r="CE247" s="216"/>
      <c r="CF247" s="216"/>
      <c r="CG247" s="216"/>
      <c r="CH247" s="216"/>
      <c r="CI247" s="216"/>
      <c r="CJ247" s="216"/>
      <c r="CK247" s="216"/>
      <c r="CL247" s="216"/>
      <c r="CM247" s="216"/>
      <c r="CN247" s="216"/>
      <c r="CO247" s="216"/>
      <c r="CP247" s="216"/>
      <c r="CQ247" s="216"/>
      <c r="CR247" s="216"/>
      <c r="CS247" s="216"/>
      <c r="CT247" s="216"/>
      <c r="CU247" s="216"/>
      <c r="CV247" s="216"/>
      <c r="CW247" s="216"/>
      <c r="CX247" s="216"/>
      <c r="CY247" s="216"/>
    </row>
    <row r="248" spans="1:103" ht="24" customHeight="1" x14ac:dyDescent="0.2">
      <c r="A248" s="214"/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4"/>
      <c r="N248" s="215"/>
      <c r="O248" s="215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6"/>
      <c r="BN248" s="216"/>
      <c r="BO248" s="216"/>
      <c r="BP248" s="216"/>
      <c r="BQ248" s="216"/>
      <c r="BR248" s="216"/>
      <c r="BS248" s="216"/>
      <c r="BT248" s="216"/>
      <c r="BU248" s="216"/>
      <c r="BV248" s="216"/>
      <c r="BW248" s="216"/>
      <c r="BX248" s="216"/>
      <c r="BY248" s="216"/>
      <c r="BZ248" s="216"/>
      <c r="CA248" s="216"/>
      <c r="CB248" s="216"/>
      <c r="CC248" s="216"/>
      <c r="CD248" s="216"/>
      <c r="CE248" s="216"/>
      <c r="CF248" s="216"/>
      <c r="CG248" s="216"/>
      <c r="CH248" s="216"/>
      <c r="CI248" s="216"/>
      <c r="CJ248" s="216"/>
      <c r="CK248" s="216"/>
      <c r="CL248" s="216"/>
      <c r="CM248" s="216"/>
      <c r="CN248" s="216"/>
      <c r="CO248" s="216"/>
      <c r="CP248" s="216"/>
      <c r="CQ248" s="216"/>
      <c r="CR248" s="216"/>
      <c r="CS248" s="216"/>
      <c r="CT248" s="216"/>
      <c r="CU248" s="216"/>
      <c r="CV248" s="216"/>
      <c r="CW248" s="216"/>
      <c r="CX248" s="216"/>
      <c r="CY248" s="216"/>
    </row>
    <row r="249" spans="1:103" ht="24" customHeight="1" x14ac:dyDescent="0.2">
      <c r="A249" s="214"/>
      <c r="B249" s="214"/>
      <c r="C249" s="214"/>
      <c r="D249" s="214"/>
      <c r="E249" s="214"/>
      <c r="F249" s="214"/>
      <c r="G249" s="214"/>
      <c r="H249" s="214"/>
      <c r="I249" s="214"/>
      <c r="J249" s="214"/>
      <c r="K249" s="214"/>
      <c r="L249" s="214"/>
      <c r="M249" s="214"/>
      <c r="N249" s="215"/>
      <c r="O249" s="215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6"/>
      <c r="BN249" s="216"/>
      <c r="BO249" s="216"/>
      <c r="BP249" s="216"/>
      <c r="BQ249" s="216"/>
      <c r="BR249" s="216"/>
      <c r="BS249" s="216"/>
      <c r="BT249" s="216"/>
      <c r="BU249" s="216"/>
      <c r="BV249" s="216"/>
      <c r="BW249" s="216"/>
      <c r="BX249" s="216"/>
      <c r="BY249" s="216"/>
      <c r="BZ249" s="216"/>
      <c r="CA249" s="216"/>
      <c r="CB249" s="216"/>
      <c r="CC249" s="216"/>
      <c r="CD249" s="216"/>
      <c r="CE249" s="216"/>
      <c r="CF249" s="216"/>
      <c r="CG249" s="216"/>
      <c r="CH249" s="216"/>
      <c r="CI249" s="216"/>
      <c r="CJ249" s="216"/>
      <c r="CK249" s="216"/>
      <c r="CL249" s="216"/>
      <c r="CM249" s="216"/>
      <c r="CN249" s="216"/>
      <c r="CO249" s="216"/>
      <c r="CP249" s="216"/>
      <c r="CQ249" s="216"/>
      <c r="CR249" s="216"/>
      <c r="CS249" s="216"/>
      <c r="CT249" s="216"/>
      <c r="CU249" s="216"/>
      <c r="CV249" s="216"/>
      <c r="CW249" s="216"/>
      <c r="CX249" s="216"/>
      <c r="CY249" s="216"/>
    </row>
    <row r="250" spans="1:103" ht="24" customHeight="1" x14ac:dyDescent="0.2">
      <c r="A250" s="214"/>
      <c r="B250" s="214"/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5"/>
      <c r="O250" s="215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6"/>
      <c r="BN250" s="216"/>
      <c r="BO250" s="216"/>
      <c r="BP250" s="216"/>
      <c r="BQ250" s="216"/>
      <c r="BR250" s="216"/>
      <c r="BS250" s="216"/>
      <c r="BT250" s="216"/>
      <c r="BU250" s="216"/>
      <c r="BV250" s="216"/>
      <c r="BW250" s="216"/>
      <c r="BX250" s="216"/>
      <c r="BY250" s="216"/>
      <c r="BZ250" s="216"/>
      <c r="CA250" s="216"/>
      <c r="CB250" s="216"/>
      <c r="CC250" s="216"/>
      <c r="CD250" s="216"/>
      <c r="CE250" s="216"/>
      <c r="CF250" s="216"/>
      <c r="CG250" s="216"/>
      <c r="CH250" s="216"/>
      <c r="CI250" s="216"/>
      <c r="CJ250" s="216"/>
      <c r="CK250" s="216"/>
      <c r="CL250" s="216"/>
      <c r="CM250" s="216"/>
      <c r="CN250" s="216"/>
      <c r="CO250" s="216"/>
      <c r="CP250" s="216"/>
      <c r="CQ250" s="216"/>
      <c r="CR250" s="216"/>
      <c r="CS250" s="216"/>
      <c r="CT250" s="216"/>
      <c r="CU250" s="216"/>
      <c r="CV250" s="216"/>
      <c r="CW250" s="216"/>
      <c r="CX250" s="216"/>
      <c r="CY250" s="216"/>
    </row>
    <row r="251" spans="1:103" ht="24" customHeight="1" x14ac:dyDescent="0.2">
      <c r="A251" s="214"/>
      <c r="B251" s="214"/>
      <c r="C251" s="214"/>
      <c r="D251" s="214"/>
      <c r="E251" s="214"/>
      <c r="F251" s="214"/>
      <c r="G251" s="214"/>
      <c r="H251" s="214"/>
      <c r="I251" s="214"/>
      <c r="J251" s="214"/>
      <c r="K251" s="214"/>
      <c r="L251" s="214"/>
      <c r="M251" s="214"/>
      <c r="N251" s="215"/>
      <c r="O251" s="215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6"/>
      <c r="BN251" s="216"/>
      <c r="BO251" s="216"/>
      <c r="BP251" s="216"/>
      <c r="BQ251" s="216"/>
      <c r="BR251" s="216"/>
      <c r="BS251" s="216"/>
      <c r="BT251" s="216"/>
      <c r="BU251" s="216"/>
      <c r="BV251" s="216"/>
      <c r="BW251" s="216"/>
      <c r="BX251" s="216"/>
      <c r="BY251" s="216"/>
      <c r="BZ251" s="216"/>
      <c r="CA251" s="216"/>
      <c r="CB251" s="216"/>
      <c r="CC251" s="216"/>
      <c r="CD251" s="216"/>
      <c r="CE251" s="216"/>
      <c r="CF251" s="216"/>
      <c r="CG251" s="216"/>
      <c r="CH251" s="216"/>
      <c r="CI251" s="216"/>
      <c r="CJ251" s="216"/>
      <c r="CK251" s="216"/>
      <c r="CL251" s="216"/>
      <c r="CM251" s="216"/>
      <c r="CN251" s="216"/>
      <c r="CO251" s="216"/>
      <c r="CP251" s="216"/>
      <c r="CQ251" s="216"/>
      <c r="CR251" s="216"/>
      <c r="CS251" s="216"/>
      <c r="CT251" s="216"/>
      <c r="CU251" s="216"/>
      <c r="CV251" s="216"/>
      <c r="CW251" s="216"/>
      <c r="CX251" s="216"/>
      <c r="CY251" s="216"/>
    </row>
    <row r="252" spans="1:103" ht="24" customHeight="1" x14ac:dyDescent="0.2">
      <c r="A252" s="214"/>
      <c r="B252" s="214"/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4"/>
      <c r="N252" s="215"/>
      <c r="O252" s="215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6"/>
      <c r="BN252" s="216"/>
      <c r="BO252" s="216"/>
      <c r="BP252" s="216"/>
      <c r="BQ252" s="216"/>
      <c r="BR252" s="216"/>
      <c r="BS252" s="216"/>
      <c r="BT252" s="216"/>
      <c r="BU252" s="216"/>
      <c r="BV252" s="216"/>
      <c r="BW252" s="216"/>
      <c r="BX252" s="216"/>
      <c r="BY252" s="216"/>
      <c r="BZ252" s="216"/>
      <c r="CA252" s="216"/>
      <c r="CB252" s="216"/>
      <c r="CC252" s="216"/>
      <c r="CD252" s="216"/>
      <c r="CE252" s="216"/>
      <c r="CF252" s="216"/>
      <c r="CG252" s="216"/>
      <c r="CH252" s="216"/>
      <c r="CI252" s="216"/>
      <c r="CJ252" s="216"/>
      <c r="CK252" s="216"/>
      <c r="CL252" s="216"/>
      <c r="CM252" s="216"/>
      <c r="CN252" s="216"/>
      <c r="CO252" s="216"/>
      <c r="CP252" s="216"/>
      <c r="CQ252" s="216"/>
      <c r="CR252" s="216"/>
      <c r="CS252" s="216"/>
      <c r="CT252" s="216"/>
      <c r="CU252" s="216"/>
      <c r="CV252" s="216"/>
      <c r="CW252" s="216"/>
      <c r="CX252" s="216"/>
      <c r="CY252" s="216"/>
    </row>
    <row r="253" spans="1:103" ht="24" customHeight="1" x14ac:dyDescent="0.2">
      <c r="A253" s="214"/>
      <c r="B253" s="214"/>
      <c r="C253" s="214"/>
      <c r="D253" s="214"/>
      <c r="E253" s="214"/>
      <c r="F253" s="214"/>
      <c r="G253" s="214"/>
      <c r="H253" s="214"/>
      <c r="I253" s="214"/>
      <c r="J253" s="214"/>
      <c r="K253" s="214"/>
      <c r="L253" s="214"/>
      <c r="M253" s="214"/>
      <c r="N253" s="215"/>
      <c r="O253" s="215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16"/>
      <c r="BN253" s="216"/>
      <c r="BO253" s="216"/>
      <c r="BP253" s="216"/>
      <c r="BQ253" s="216"/>
      <c r="BR253" s="216"/>
      <c r="BS253" s="216"/>
      <c r="BT253" s="216"/>
      <c r="BU253" s="216"/>
      <c r="BV253" s="216"/>
      <c r="BW253" s="216"/>
      <c r="BX253" s="216"/>
      <c r="BY253" s="216"/>
      <c r="BZ253" s="216"/>
      <c r="CA253" s="216"/>
      <c r="CB253" s="216"/>
      <c r="CC253" s="216"/>
      <c r="CD253" s="216"/>
      <c r="CE253" s="216"/>
      <c r="CF253" s="216"/>
      <c r="CG253" s="216"/>
      <c r="CH253" s="216"/>
      <c r="CI253" s="216"/>
      <c r="CJ253" s="216"/>
      <c r="CK253" s="216"/>
      <c r="CL253" s="216"/>
      <c r="CM253" s="216"/>
      <c r="CN253" s="216"/>
      <c r="CO253" s="216"/>
      <c r="CP253" s="216"/>
      <c r="CQ253" s="216"/>
      <c r="CR253" s="216"/>
      <c r="CS253" s="216"/>
      <c r="CT253" s="216"/>
      <c r="CU253" s="216"/>
      <c r="CV253" s="216"/>
      <c r="CW253" s="216"/>
      <c r="CX253" s="216"/>
      <c r="CY253" s="216"/>
    </row>
    <row r="254" spans="1:103" ht="24" customHeight="1" x14ac:dyDescent="0.2">
      <c r="A254" s="214"/>
      <c r="B254" s="214"/>
      <c r="C254" s="214"/>
      <c r="D254" s="214"/>
      <c r="E254" s="214"/>
      <c r="F254" s="214"/>
      <c r="G254" s="214"/>
      <c r="H254" s="214"/>
      <c r="I254" s="214"/>
      <c r="J254" s="214"/>
      <c r="K254" s="214"/>
      <c r="L254" s="214"/>
      <c r="M254" s="214"/>
      <c r="N254" s="215"/>
      <c r="O254" s="215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16"/>
      <c r="BN254" s="216"/>
      <c r="BO254" s="216"/>
      <c r="BP254" s="216"/>
      <c r="BQ254" s="216"/>
      <c r="BR254" s="216"/>
      <c r="BS254" s="216"/>
      <c r="BT254" s="216"/>
      <c r="BU254" s="216"/>
      <c r="BV254" s="216"/>
      <c r="BW254" s="216"/>
      <c r="BX254" s="216"/>
      <c r="BY254" s="216"/>
      <c r="BZ254" s="216"/>
      <c r="CA254" s="216"/>
      <c r="CB254" s="216"/>
      <c r="CC254" s="216"/>
      <c r="CD254" s="216"/>
      <c r="CE254" s="216"/>
      <c r="CF254" s="216"/>
      <c r="CG254" s="216"/>
      <c r="CH254" s="216"/>
      <c r="CI254" s="216"/>
      <c r="CJ254" s="216"/>
      <c r="CK254" s="216"/>
      <c r="CL254" s="216"/>
      <c r="CM254" s="216"/>
      <c r="CN254" s="216"/>
      <c r="CO254" s="216"/>
      <c r="CP254" s="216"/>
      <c r="CQ254" s="216"/>
      <c r="CR254" s="216"/>
      <c r="CS254" s="216"/>
      <c r="CT254" s="216"/>
      <c r="CU254" s="216"/>
      <c r="CV254" s="216"/>
      <c r="CW254" s="216"/>
      <c r="CX254" s="216"/>
      <c r="CY254" s="216"/>
    </row>
    <row r="255" spans="1:103" ht="24" customHeight="1" x14ac:dyDescent="0.2">
      <c r="A255" s="214"/>
      <c r="B255" s="214"/>
      <c r="C255" s="214"/>
      <c r="D255" s="214"/>
      <c r="E255" s="214"/>
      <c r="F255" s="214"/>
      <c r="G255" s="214"/>
      <c r="H255" s="214"/>
      <c r="I255" s="214"/>
      <c r="J255" s="214"/>
      <c r="K255" s="214"/>
      <c r="L255" s="214"/>
      <c r="M255" s="214"/>
      <c r="N255" s="215"/>
      <c r="O255" s="215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6"/>
      <c r="BM255" s="216"/>
      <c r="BN255" s="216"/>
      <c r="BO255" s="216"/>
      <c r="BP255" s="216"/>
      <c r="BQ255" s="216"/>
      <c r="BR255" s="216"/>
      <c r="BS255" s="216"/>
      <c r="BT255" s="216"/>
      <c r="BU255" s="216"/>
      <c r="BV255" s="216"/>
      <c r="BW255" s="216"/>
      <c r="BX255" s="216"/>
      <c r="BY255" s="216"/>
      <c r="BZ255" s="216"/>
      <c r="CA255" s="216"/>
      <c r="CB255" s="216"/>
      <c r="CC255" s="216"/>
      <c r="CD255" s="216"/>
      <c r="CE255" s="216"/>
      <c r="CF255" s="216"/>
      <c r="CG255" s="216"/>
      <c r="CH255" s="216"/>
      <c r="CI255" s="216"/>
      <c r="CJ255" s="216"/>
      <c r="CK255" s="216"/>
      <c r="CL255" s="216"/>
      <c r="CM255" s="216"/>
      <c r="CN255" s="216"/>
      <c r="CO255" s="216"/>
      <c r="CP255" s="216"/>
      <c r="CQ255" s="216"/>
      <c r="CR255" s="216"/>
      <c r="CS255" s="216"/>
      <c r="CT255" s="216"/>
      <c r="CU255" s="216"/>
      <c r="CV255" s="216"/>
      <c r="CW255" s="216"/>
      <c r="CX255" s="216"/>
      <c r="CY255" s="216"/>
    </row>
    <row r="256" spans="1:103" ht="24" customHeight="1" x14ac:dyDescent="0.2">
      <c r="A256" s="214"/>
      <c r="B256" s="214"/>
      <c r="C256" s="214"/>
      <c r="D256" s="214"/>
      <c r="E256" s="214"/>
      <c r="F256" s="214"/>
      <c r="G256" s="214"/>
      <c r="H256" s="214"/>
      <c r="I256" s="214"/>
      <c r="J256" s="214"/>
      <c r="K256" s="214"/>
      <c r="L256" s="214"/>
      <c r="M256" s="214"/>
      <c r="N256" s="215"/>
      <c r="O256" s="215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  <c r="BI256" s="216"/>
      <c r="BJ256" s="216"/>
      <c r="BK256" s="216"/>
      <c r="BL256" s="216"/>
      <c r="BM256" s="216"/>
      <c r="BN256" s="216"/>
      <c r="BO256" s="216"/>
      <c r="BP256" s="216"/>
      <c r="BQ256" s="216"/>
      <c r="BR256" s="216"/>
      <c r="BS256" s="216"/>
      <c r="BT256" s="216"/>
      <c r="BU256" s="216"/>
      <c r="BV256" s="216"/>
      <c r="BW256" s="216"/>
      <c r="BX256" s="216"/>
      <c r="BY256" s="216"/>
      <c r="BZ256" s="216"/>
      <c r="CA256" s="216"/>
      <c r="CB256" s="216"/>
      <c r="CC256" s="216"/>
      <c r="CD256" s="216"/>
      <c r="CE256" s="216"/>
      <c r="CF256" s="216"/>
      <c r="CG256" s="216"/>
      <c r="CH256" s="216"/>
      <c r="CI256" s="216"/>
      <c r="CJ256" s="216"/>
      <c r="CK256" s="216"/>
      <c r="CL256" s="216"/>
      <c r="CM256" s="216"/>
      <c r="CN256" s="216"/>
      <c r="CO256" s="216"/>
      <c r="CP256" s="216"/>
      <c r="CQ256" s="216"/>
      <c r="CR256" s="216"/>
      <c r="CS256" s="216"/>
      <c r="CT256" s="216"/>
      <c r="CU256" s="216"/>
      <c r="CV256" s="216"/>
      <c r="CW256" s="216"/>
      <c r="CX256" s="216"/>
      <c r="CY256" s="216"/>
    </row>
    <row r="257" spans="1:103" ht="24" customHeight="1" x14ac:dyDescent="0.2">
      <c r="A257" s="214"/>
      <c r="B257" s="214"/>
      <c r="C257" s="214"/>
      <c r="D257" s="214"/>
      <c r="E257" s="214"/>
      <c r="F257" s="214"/>
      <c r="G257" s="214"/>
      <c r="H257" s="214"/>
      <c r="I257" s="214"/>
      <c r="J257" s="214"/>
      <c r="K257" s="214"/>
      <c r="L257" s="214"/>
      <c r="M257" s="214"/>
      <c r="N257" s="215"/>
      <c r="O257" s="215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  <c r="BI257" s="216"/>
      <c r="BJ257" s="216"/>
      <c r="BK257" s="216"/>
      <c r="BL257" s="216"/>
      <c r="BM257" s="216"/>
      <c r="BN257" s="216"/>
      <c r="BO257" s="216"/>
      <c r="BP257" s="216"/>
      <c r="BQ257" s="216"/>
      <c r="BR257" s="216"/>
      <c r="BS257" s="216"/>
      <c r="BT257" s="216"/>
      <c r="BU257" s="216"/>
      <c r="BV257" s="216"/>
      <c r="BW257" s="216"/>
      <c r="BX257" s="216"/>
      <c r="BY257" s="216"/>
      <c r="BZ257" s="216"/>
      <c r="CA257" s="216"/>
      <c r="CB257" s="216"/>
      <c r="CC257" s="216"/>
      <c r="CD257" s="216"/>
      <c r="CE257" s="216"/>
      <c r="CF257" s="216"/>
      <c r="CG257" s="216"/>
      <c r="CH257" s="216"/>
      <c r="CI257" s="216"/>
      <c r="CJ257" s="216"/>
      <c r="CK257" s="216"/>
      <c r="CL257" s="216"/>
      <c r="CM257" s="216"/>
      <c r="CN257" s="216"/>
      <c r="CO257" s="216"/>
      <c r="CP257" s="216"/>
      <c r="CQ257" s="216"/>
      <c r="CR257" s="216"/>
      <c r="CS257" s="216"/>
      <c r="CT257" s="216"/>
      <c r="CU257" s="216"/>
      <c r="CV257" s="216"/>
      <c r="CW257" s="216"/>
      <c r="CX257" s="216"/>
      <c r="CY257" s="216"/>
    </row>
    <row r="258" spans="1:103" ht="24" customHeight="1" x14ac:dyDescent="0.2">
      <c r="A258" s="214"/>
      <c r="B258" s="214"/>
      <c r="C258" s="214"/>
      <c r="D258" s="214"/>
      <c r="E258" s="214"/>
      <c r="F258" s="214"/>
      <c r="G258" s="214"/>
      <c r="H258" s="214"/>
      <c r="I258" s="214"/>
      <c r="J258" s="214"/>
      <c r="K258" s="214"/>
      <c r="L258" s="214"/>
      <c r="M258" s="214"/>
      <c r="N258" s="215"/>
      <c r="O258" s="215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6"/>
      <c r="BN258" s="216"/>
      <c r="BO258" s="216"/>
      <c r="BP258" s="216"/>
      <c r="BQ258" s="216"/>
      <c r="BR258" s="216"/>
      <c r="BS258" s="216"/>
      <c r="BT258" s="216"/>
      <c r="BU258" s="216"/>
      <c r="BV258" s="216"/>
      <c r="BW258" s="216"/>
      <c r="BX258" s="216"/>
      <c r="BY258" s="216"/>
      <c r="BZ258" s="216"/>
      <c r="CA258" s="216"/>
      <c r="CB258" s="216"/>
      <c r="CC258" s="216"/>
      <c r="CD258" s="216"/>
      <c r="CE258" s="216"/>
      <c r="CF258" s="216"/>
      <c r="CG258" s="216"/>
      <c r="CH258" s="216"/>
      <c r="CI258" s="216"/>
      <c r="CJ258" s="216"/>
      <c r="CK258" s="216"/>
      <c r="CL258" s="216"/>
      <c r="CM258" s="216"/>
      <c r="CN258" s="216"/>
      <c r="CO258" s="216"/>
      <c r="CP258" s="216"/>
      <c r="CQ258" s="216"/>
      <c r="CR258" s="216"/>
      <c r="CS258" s="216"/>
      <c r="CT258" s="216"/>
      <c r="CU258" s="216"/>
      <c r="CV258" s="216"/>
      <c r="CW258" s="216"/>
      <c r="CX258" s="216"/>
      <c r="CY258" s="216"/>
    </row>
    <row r="259" spans="1:103" ht="24" customHeight="1" x14ac:dyDescent="0.2">
      <c r="A259" s="214"/>
      <c r="B259" s="214"/>
      <c r="C259" s="214"/>
      <c r="D259" s="214"/>
      <c r="E259" s="214"/>
      <c r="F259" s="214"/>
      <c r="G259" s="214"/>
      <c r="H259" s="214"/>
      <c r="I259" s="214"/>
      <c r="J259" s="214"/>
      <c r="K259" s="214"/>
      <c r="L259" s="214"/>
      <c r="M259" s="214"/>
      <c r="N259" s="215"/>
      <c r="O259" s="215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216"/>
      <c r="BQ259" s="216"/>
      <c r="BR259" s="216"/>
      <c r="BS259" s="216"/>
      <c r="BT259" s="216"/>
      <c r="BU259" s="216"/>
      <c r="BV259" s="216"/>
      <c r="BW259" s="216"/>
      <c r="BX259" s="216"/>
      <c r="BY259" s="216"/>
      <c r="BZ259" s="216"/>
      <c r="CA259" s="216"/>
      <c r="CB259" s="216"/>
      <c r="CC259" s="216"/>
      <c r="CD259" s="216"/>
      <c r="CE259" s="216"/>
      <c r="CF259" s="216"/>
      <c r="CG259" s="216"/>
      <c r="CH259" s="216"/>
      <c r="CI259" s="216"/>
      <c r="CJ259" s="216"/>
      <c r="CK259" s="216"/>
      <c r="CL259" s="216"/>
      <c r="CM259" s="216"/>
      <c r="CN259" s="216"/>
      <c r="CO259" s="216"/>
      <c r="CP259" s="216"/>
      <c r="CQ259" s="216"/>
      <c r="CR259" s="216"/>
      <c r="CS259" s="216"/>
      <c r="CT259" s="216"/>
      <c r="CU259" s="216"/>
      <c r="CV259" s="216"/>
      <c r="CW259" s="216"/>
      <c r="CX259" s="216"/>
      <c r="CY259" s="216"/>
    </row>
    <row r="260" spans="1:103" ht="24" customHeight="1" x14ac:dyDescent="0.2">
      <c r="A260" s="214"/>
      <c r="B260" s="214"/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4"/>
      <c r="N260" s="215"/>
      <c r="O260" s="215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216"/>
      <c r="BQ260" s="216"/>
      <c r="BR260" s="216"/>
      <c r="BS260" s="216"/>
      <c r="BT260" s="216"/>
      <c r="BU260" s="216"/>
      <c r="BV260" s="216"/>
      <c r="BW260" s="216"/>
      <c r="BX260" s="216"/>
      <c r="BY260" s="216"/>
      <c r="BZ260" s="216"/>
      <c r="CA260" s="216"/>
      <c r="CB260" s="216"/>
      <c r="CC260" s="216"/>
      <c r="CD260" s="216"/>
      <c r="CE260" s="216"/>
      <c r="CF260" s="216"/>
      <c r="CG260" s="216"/>
      <c r="CH260" s="216"/>
      <c r="CI260" s="216"/>
      <c r="CJ260" s="216"/>
      <c r="CK260" s="216"/>
      <c r="CL260" s="216"/>
      <c r="CM260" s="216"/>
      <c r="CN260" s="216"/>
      <c r="CO260" s="216"/>
      <c r="CP260" s="216"/>
      <c r="CQ260" s="216"/>
      <c r="CR260" s="216"/>
      <c r="CS260" s="216"/>
      <c r="CT260" s="216"/>
      <c r="CU260" s="216"/>
      <c r="CV260" s="216"/>
      <c r="CW260" s="216"/>
      <c r="CX260" s="216"/>
      <c r="CY260" s="216"/>
    </row>
    <row r="261" spans="1:103" ht="24" customHeight="1" x14ac:dyDescent="0.2">
      <c r="A261" s="214"/>
      <c r="B261" s="214"/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5"/>
      <c r="O261" s="215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216"/>
      <c r="BQ261" s="216"/>
      <c r="BR261" s="216"/>
      <c r="BS261" s="216"/>
      <c r="BT261" s="216"/>
      <c r="BU261" s="216"/>
      <c r="BV261" s="216"/>
      <c r="BW261" s="216"/>
      <c r="BX261" s="216"/>
      <c r="BY261" s="216"/>
      <c r="BZ261" s="216"/>
      <c r="CA261" s="216"/>
      <c r="CB261" s="216"/>
      <c r="CC261" s="216"/>
      <c r="CD261" s="216"/>
      <c r="CE261" s="216"/>
      <c r="CF261" s="216"/>
      <c r="CG261" s="216"/>
      <c r="CH261" s="216"/>
      <c r="CI261" s="216"/>
      <c r="CJ261" s="216"/>
      <c r="CK261" s="216"/>
      <c r="CL261" s="216"/>
      <c r="CM261" s="216"/>
      <c r="CN261" s="216"/>
      <c r="CO261" s="216"/>
      <c r="CP261" s="216"/>
      <c r="CQ261" s="216"/>
      <c r="CR261" s="216"/>
      <c r="CS261" s="216"/>
      <c r="CT261" s="216"/>
      <c r="CU261" s="216"/>
      <c r="CV261" s="216"/>
      <c r="CW261" s="216"/>
      <c r="CX261" s="216"/>
      <c r="CY261" s="216"/>
    </row>
    <row r="262" spans="1:103" ht="24" customHeight="1" x14ac:dyDescent="0.2">
      <c r="A262" s="214"/>
      <c r="B262" s="214"/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4"/>
      <c r="N262" s="215"/>
      <c r="O262" s="215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  <c r="BS262" s="216"/>
      <c r="BT262" s="216"/>
      <c r="BU262" s="216"/>
      <c r="BV262" s="216"/>
      <c r="BW262" s="216"/>
      <c r="BX262" s="216"/>
      <c r="BY262" s="216"/>
      <c r="BZ262" s="216"/>
      <c r="CA262" s="216"/>
      <c r="CB262" s="216"/>
      <c r="CC262" s="216"/>
      <c r="CD262" s="216"/>
      <c r="CE262" s="216"/>
      <c r="CF262" s="216"/>
      <c r="CG262" s="216"/>
      <c r="CH262" s="216"/>
      <c r="CI262" s="216"/>
      <c r="CJ262" s="216"/>
      <c r="CK262" s="216"/>
      <c r="CL262" s="216"/>
      <c r="CM262" s="216"/>
      <c r="CN262" s="216"/>
      <c r="CO262" s="216"/>
      <c r="CP262" s="216"/>
      <c r="CQ262" s="216"/>
      <c r="CR262" s="216"/>
      <c r="CS262" s="216"/>
      <c r="CT262" s="216"/>
      <c r="CU262" s="216"/>
      <c r="CV262" s="216"/>
      <c r="CW262" s="216"/>
      <c r="CX262" s="216"/>
      <c r="CY262" s="216"/>
    </row>
    <row r="263" spans="1:103" ht="24" customHeight="1" x14ac:dyDescent="0.2">
      <c r="A263" s="214"/>
      <c r="B263" s="214"/>
      <c r="C263" s="214"/>
      <c r="D263" s="214"/>
      <c r="E263" s="214"/>
      <c r="F263" s="214"/>
      <c r="G263" s="214"/>
      <c r="H263" s="214"/>
      <c r="I263" s="214"/>
      <c r="J263" s="214"/>
      <c r="K263" s="214"/>
      <c r="L263" s="214"/>
      <c r="M263" s="214"/>
      <c r="N263" s="215"/>
      <c r="O263" s="215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  <c r="BI263" s="216"/>
      <c r="BJ263" s="216"/>
      <c r="BK263" s="216"/>
      <c r="BL263" s="216"/>
      <c r="BM263" s="216"/>
      <c r="BN263" s="216"/>
      <c r="BO263" s="216"/>
      <c r="BP263" s="216"/>
      <c r="BQ263" s="216"/>
      <c r="BR263" s="216"/>
      <c r="BS263" s="216"/>
      <c r="BT263" s="216"/>
      <c r="BU263" s="216"/>
      <c r="BV263" s="216"/>
      <c r="BW263" s="216"/>
      <c r="BX263" s="216"/>
      <c r="BY263" s="216"/>
      <c r="BZ263" s="216"/>
      <c r="CA263" s="216"/>
      <c r="CB263" s="216"/>
      <c r="CC263" s="216"/>
      <c r="CD263" s="216"/>
      <c r="CE263" s="216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  <c r="CR263" s="216"/>
      <c r="CS263" s="216"/>
      <c r="CT263" s="216"/>
      <c r="CU263" s="216"/>
      <c r="CV263" s="216"/>
      <c r="CW263" s="216"/>
      <c r="CX263" s="216"/>
      <c r="CY263" s="216"/>
    </row>
    <row r="264" spans="1:103" ht="24" customHeight="1" x14ac:dyDescent="0.2">
      <c r="A264" s="214"/>
      <c r="B264" s="214"/>
      <c r="C264" s="214"/>
      <c r="D264" s="214"/>
      <c r="E264" s="214"/>
      <c r="F264" s="214"/>
      <c r="G264" s="214"/>
      <c r="H264" s="214"/>
      <c r="I264" s="214"/>
      <c r="J264" s="214"/>
      <c r="K264" s="214"/>
      <c r="L264" s="214"/>
      <c r="M264" s="214"/>
      <c r="N264" s="215"/>
      <c r="O264" s="215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  <c r="BI264" s="216"/>
      <c r="BJ264" s="216"/>
      <c r="BK264" s="216"/>
      <c r="BL264" s="216"/>
      <c r="BM264" s="216"/>
      <c r="BN264" s="216"/>
      <c r="BO264" s="216"/>
      <c r="BP264" s="216"/>
      <c r="BQ264" s="216"/>
      <c r="BR264" s="216"/>
      <c r="BS264" s="216"/>
      <c r="BT264" s="216"/>
      <c r="BU264" s="216"/>
      <c r="BV264" s="216"/>
      <c r="BW264" s="216"/>
      <c r="BX264" s="216"/>
      <c r="BY264" s="216"/>
      <c r="BZ264" s="216"/>
      <c r="CA264" s="216"/>
      <c r="CB264" s="216"/>
      <c r="CC264" s="216"/>
      <c r="CD264" s="216"/>
      <c r="CE264" s="216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  <c r="CR264" s="216"/>
      <c r="CS264" s="216"/>
      <c r="CT264" s="216"/>
      <c r="CU264" s="216"/>
      <c r="CV264" s="216"/>
      <c r="CW264" s="216"/>
      <c r="CX264" s="216"/>
      <c r="CY264" s="216"/>
    </row>
    <row r="265" spans="1:103" ht="24" customHeight="1" x14ac:dyDescent="0.2">
      <c r="A265" s="214"/>
      <c r="B265" s="214"/>
      <c r="C265" s="214"/>
      <c r="D265" s="214"/>
      <c r="E265" s="214"/>
      <c r="F265" s="214"/>
      <c r="G265" s="214"/>
      <c r="H265" s="214"/>
      <c r="I265" s="214"/>
      <c r="J265" s="214"/>
      <c r="K265" s="214"/>
      <c r="L265" s="214"/>
      <c r="M265" s="214"/>
      <c r="N265" s="215"/>
      <c r="O265" s="215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  <c r="BI265" s="216"/>
      <c r="BJ265" s="216"/>
      <c r="BK265" s="216"/>
      <c r="BL265" s="216"/>
      <c r="BM265" s="216"/>
      <c r="BN265" s="216"/>
      <c r="BO265" s="216"/>
      <c r="BP265" s="216"/>
      <c r="BQ265" s="216"/>
      <c r="BR265" s="216"/>
      <c r="BS265" s="216"/>
      <c r="BT265" s="216"/>
      <c r="BU265" s="216"/>
      <c r="BV265" s="216"/>
      <c r="BW265" s="216"/>
      <c r="BX265" s="216"/>
      <c r="BY265" s="216"/>
      <c r="BZ265" s="216"/>
      <c r="CA265" s="216"/>
      <c r="CB265" s="216"/>
      <c r="CC265" s="216"/>
      <c r="CD265" s="216"/>
      <c r="CE265" s="216"/>
      <c r="CF265" s="216"/>
      <c r="CG265" s="216"/>
      <c r="CH265" s="216"/>
      <c r="CI265" s="216"/>
      <c r="CJ265" s="216"/>
      <c r="CK265" s="216"/>
      <c r="CL265" s="216"/>
      <c r="CM265" s="216"/>
      <c r="CN265" s="216"/>
      <c r="CO265" s="216"/>
      <c r="CP265" s="216"/>
      <c r="CQ265" s="216"/>
      <c r="CR265" s="216"/>
      <c r="CS265" s="216"/>
      <c r="CT265" s="216"/>
      <c r="CU265" s="216"/>
      <c r="CV265" s="216"/>
      <c r="CW265" s="216"/>
      <c r="CX265" s="216"/>
      <c r="CY265" s="216"/>
    </row>
    <row r="266" spans="1:103" ht="24" customHeight="1" x14ac:dyDescent="0.2">
      <c r="A266" s="214"/>
      <c r="B266" s="214"/>
      <c r="C266" s="214"/>
      <c r="D266" s="214"/>
      <c r="E266" s="214"/>
      <c r="F266" s="214"/>
      <c r="G266" s="214"/>
      <c r="H266" s="214"/>
      <c r="I266" s="214"/>
      <c r="J266" s="214"/>
      <c r="K266" s="214"/>
      <c r="L266" s="214"/>
      <c r="M266" s="214"/>
      <c r="N266" s="215"/>
      <c r="O266" s="215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  <c r="BI266" s="216"/>
      <c r="BJ266" s="216"/>
      <c r="BK266" s="216"/>
      <c r="BL266" s="216"/>
      <c r="BM266" s="216"/>
      <c r="BN266" s="216"/>
      <c r="BO266" s="216"/>
      <c r="BP266" s="216"/>
      <c r="BQ266" s="216"/>
      <c r="BR266" s="216"/>
      <c r="BS266" s="216"/>
      <c r="BT266" s="216"/>
      <c r="BU266" s="216"/>
      <c r="BV266" s="216"/>
      <c r="BW266" s="216"/>
      <c r="BX266" s="216"/>
      <c r="BY266" s="216"/>
      <c r="BZ266" s="216"/>
      <c r="CA266" s="216"/>
      <c r="CB266" s="216"/>
      <c r="CC266" s="216"/>
      <c r="CD266" s="216"/>
      <c r="CE266" s="216"/>
      <c r="CF266" s="216"/>
      <c r="CG266" s="216"/>
      <c r="CH266" s="216"/>
      <c r="CI266" s="216"/>
      <c r="CJ266" s="216"/>
      <c r="CK266" s="216"/>
      <c r="CL266" s="216"/>
      <c r="CM266" s="216"/>
      <c r="CN266" s="216"/>
      <c r="CO266" s="216"/>
      <c r="CP266" s="216"/>
      <c r="CQ266" s="216"/>
      <c r="CR266" s="216"/>
      <c r="CS266" s="216"/>
      <c r="CT266" s="216"/>
      <c r="CU266" s="216"/>
      <c r="CV266" s="216"/>
      <c r="CW266" s="216"/>
      <c r="CX266" s="216"/>
      <c r="CY266" s="216"/>
    </row>
    <row r="267" spans="1:103" ht="24" customHeight="1" x14ac:dyDescent="0.2">
      <c r="A267" s="214"/>
      <c r="B267" s="214"/>
      <c r="C267" s="214"/>
      <c r="D267" s="214"/>
      <c r="E267" s="214"/>
      <c r="F267" s="214"/>
      <c r="G267" s="214"/>
      <c r="H267" s="214"/>
      <c r="I267" s="214"/>
      <c r="J267" s="214"/>
      <c r="K267" s="214"/>
      <c r="L267" s="214"/>
      <c r="M267" s="214"/>
      <c r="N267" s="215"/>
      <c r="O267" s="215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  <c r="BI267" s="216"/>
      <c r="BJ267" s="216"/>
      <c r="BK267" s="216"/>
      <c r="BL267" s="216"/>
      <c r="BM267" s="216"/>
      <c r="BN267" s="216"/>
      <c r="BO267" s="216"/>
      <c r="BP267" s="216"/>
      <c r="BQ267" s="216"/>
      <c r="BR267" s="216"/>
      <c r="BS267" s="216"/>
      <c r="BT267" s="216"/>
      <c r="BU267" s="216"/>
      <c r="BV267" s="216"/>
      <c r="BW267" s="216"/>
      <c r="BX267" s="216"/>
      <c r="BY267" s="216"/>
      <c r="BZ267" s="216"/>
      <c r="CA267" s="216"/>
      <c r="CB267" s="216"/>
      <c r="CC267" s="216"/>
      <c r="CD267" s="216"/>
      <c r="CE267" s="216"/>
      <c r="CF267" s="216"/>
      <c r="CG267" s="216"/>
      <c r="CH267" s="216"/>
      <c r="CI267" s="216"/>
      <c r="CJ267" s="216"/>
      <c r="CK267" s="216"/>
      <c r="CL267" s="216"/>
      <c r="CM267" s="216"/>
      <c r="CN267" s="216"/>
      <c r="CO267" s="216"/>
      <c r="CP267" s="216"/>
      <c r="CQ267" s="216"/>
      <c r="CR267" s="216"/>
      <c r="CS267" s="216"/>
      <c r="CT267" s="216"/>
      <c r="CU267" s="216"/>
      <c r="CV267" s="216"/>
      <c r="CW267" s="216"/>
      <c r="CX267" s="216"/>
      <c r="CY267" s="216"/>
    </row>
    <row r="268" spans="1:103" ht="24" customHeight="1" x14ac:dyDescent="0.2">
      <c r="A268" s="214"/>
      <c r="B268" s="214"/>
      <c r="C268" s="214"/>
      <c r="D268" s="214"/>
      <c r="E268" s="214"/>
      <c r="F268" s="214"/>
      <c r="G268" s="214"/>
      <c r="H268" s="214"/>
      <c r="I268" s="214"/>
      <c r="J268" s="214"/>
      <c r="K268" s="214"/>
      <c r="L268" s="214"/>
      <c r="M268" s="214"/>
      <c r="N268" s="215"/>
      <c r="O268" s="215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  <c r="BI268" s="216"/>
      <c r="BJ268" s="216"/>
      <c r="BK268" s="216"/>
      <c r="BL268" s="216"/>
      <c r="BM268" s="216"/>
      <c r="BN268" s="216"/>
      <c r="BO268" s="216"/>
      <c r="BP268" s="216"/>
      <c r="BQ268" s="216"/>
      <c r="BR268" s="216"/>
      <c r="BS268" s="216"/>
      <c r="BT268" s="216"/>
      <c r="BU268" s="216"/>
      <c r="BV268" s="216"/>
      <c r="BW268" s="216"/>
      <c r="BX268" s="216"/>
      <c r="BY268" s="216"/>
      <c r="BZ268" s="216"/>
      <c r="CA268" s="216"/>
      <c r="CB268" s="216"/>
      <c r="CC268" s="216"/>
      <c r="CD268" s="216"/>
      <c r="CE268" s="216"/>
      <c r="CF268" s="216"/>
      <c r="CG268" s="216"/>
      <c r="CH268" s="216"/>
      <c r="CI268" s="216"/>
      <c r="CJ268" s="216"/>
      <c r="CK268" s="216"/>
      <c r="CL268" s="216"/>
      <c r="CM268" s="216"/>
      <c r="CN268" s="216"/>
      <c r="CO268" s="216"/>
      <c r="CP268" s="216"/>
      <c r="CQ268" s="216"/>
      <c r="CR268" s="216"/>
      <c r="CS268" s="216"/>
      <c r="CT268" s="216"/>
      <c r="CU268" s="216"/>
      <c r="CV268" s="216"/>
      <c r="CW268" s="216"/>
      <c r="CX268" s="216"/>
      <c r="CY268" s="216"/>
    </row>
    <row r="269" spans="1:103" ht="24" customHeight="1" x14ac:dyDescent="0.2">
      <c r="A269" s="214"/>
      <c r="B269" s="214"/>
      <c r="C269" s="214"/>
      <c r="D269" s="214"/>
      <c r="E269" s="214"/>
      <c r="F269" s="214"/>
      <c r="G269" s="214"/>
      <c r="H269" s="214"/>
      <c r="I269" s="214"/>
      <c r="J269" s="214"/>
      <c r="K269" s="214"/>
      <c r="L269" s="214"/>
      <c r="M269" s="214"/>
      <c r="N269" s="215"/>
      <c r="O269" s="215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  <c r="BI269" s="216"/>
      <c r="BJ269" s="216"/>
      <c r="BK269" s="216"/>
      <c r="BL269" s="216"/>
      <c r="BM269" s="216"/>
      <c r="BN269" s="216"/>
      <c r="BO269" s="216"/>
      <c r="BP269" s="216"/>
      <c r="BQ269" s="216"/>
      <c r="BR269" s="216"/>
      <c r="BS269" s="216"/>
      <c r="BT269" s="216"/>
      <c r="BU269" s="216"/>
      <c r="BV269" s="216"/>
      <c r="BW269" s="216"/>
      <c r="BX269" s="216"/>
      <c r="BY269" s="216"/>
      <c r="BZ269" s="216"/>
      <c r="CA269" s="216"/>
      <c r="CB269" s="216"/>
      <c r="CC269" s="216"/>
      <c r="CD269" s="216"/>
      <c r="CE269" s="216"/>
      <c r="CF269" s="216"/>
      <c r="CG269" s="216"/>
      <c r="CH269" s="216"/>
      <c r="CI269" s="216"/>
      <c r="CJ269" s="216"/>
      <c r="CK269" s="216"/>
      <c r="CL269" s="216"/>
      <c r="CM269" s="216"/>
      <c r="CN269" s="216"/>
      <c r="CO269" s="216"/>
      <c r="CP269" s="216"/>
      <c r="CQ269" s="216"/>
      <c r="CR269" s="216"/>
      <c r="CS269" s="216"/>
      <c r="CT269" s="216"/>
      <c r="CU269" s="216"/>
      <c r="CV269" s="216"/>
      <c r="CW269" s="216"/>
      <c r="CX269" s="216"/>
      <c r="CY269" s="216"/>
    </row>
    <row r="270" spans="1:103" ht="24" customHeight="1" x14ac:dyDescent="0.2">
      <c r="A270" s="214"/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4"/>
      <c r="M270" s="214"/>
      <c r="N270" s="215"/>
      <c r="O270" s="215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  <c r="BI270" s="216"/>
      <c r="BJ270" s="216"/>
      <c r="BK270" s="216"/>
      <c r="BL270" s="216"/>
      <c r="BM270" s="216"/>
      <c r="BN270" s="216"/>
      <c r="BO270" s="216"/>
      <c r="BP270" s="216"/>
      <c r="BQ270" s="216"/>
      <c r="BR270" s="216"/>
      <c r="BS270" s="216"/>
      <c r="BT270" s="216"/>
      <c r="BU270" s="216"/>
      <c r="BV270" s="216"/>
      <c r="BW270" s="216"/>
      <c r="BX270" s="216"/>
      <c r="BY270" s="216"/>
      <c r="BZ270" s="216"/>
      <c r="CA270" s="216"/>
      <c r="CB270" s="216"/>
      <c r="CC270" s="216"/>
      <c r="CD270" s="216"/>
      <c r="CE270" s="216"/>
      <c r="CF270" s="216"/>
      <c r="CG270" s="216"/>
      <c r="CH270" s="216"/>
      <c r="CI270" s="216"/>
      <c r="CJ270" s="216"/>
      <c r="CK270" s="216"/>
      <c r="CL270" s="216"/>
      <c r="CM270" s="216"/>
      <c r="CN270" s="216"/>
      <c r="CO270" s="216"/>
      <c r="CP270" s="216"/>
      <c r="CQ270" s="216"/>
      <c r="CR270" s="216"/>
      <c r="CS270" s="216"/>
      <c r="CT270" s="216"/>
      <c r="CU270" s="216"/>
      <c r="CV270" s="216"/>
      <c r="CW270" s="216"/>
      <c r="CX270" s="216"/>
      <c r="CY270" s="216"/>
    </row>
    <row r="271" spans="1:103" ht="24" customHeight="1" x14ac:dyDescent="0.2">
      <c r="A271" s="214"/>
      <c r="B271" s="214"/>
      <c r="C271" s="214"/>
      <c r="D271" s="214"/>
      <c r="E271" s="214"/>
      <c r="F271" s="214"/>
      <c r="G271" s="214"/>
      <c r="H271" s="214"/>
      <c r="I271" s="214"/>
      <c r="J271" s="214"/>
      <c r="K271" s="214"/>
      <c r="L271" s="214"/>
      <c r="M271" s="214"/>
      <c r="N271" s="215"/>
      <c r="O271" s="215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  <c r="BI271" s="216"/>
      <c r="BJ271" s="216"/>
      <c r="BK271" s="216"/>
      <c r="BL271" s="216"/>
      <c r="BM271" s="216"/>
      <c r="BN271" s="216"/>
      <c r="BO271" s="216"/>
      <c r="BP271" s="216"/>
      <c r="BQ271" s="216"/>
      <c r="BR271" s="216"/>
      <c r="BS271" s="216"/>
      <c r="BT271" s="216"/>
      <c r="BU271" s="216"/>
      <c r="BV271" s="216"/>
      <c r="BW271" s="216"/>
      <c r="BX271" s="216"/>
      <c r="BY271" s="216"/>
      <c r="BZ271" s="216"/>
      <c r="CA271" s="216"/>
      <c r="CB271" s="216"/>
      <c r="CC271" s="216"/>
      <c r="CD271" s="216"/>
      <c r="CE271" s="216"/>
      <c r="CF271" s="216"/>
      <c r="CG271" s="216"/>
      <c r="CH271" s="216"/>
      <c r="CI271" s="216"/>
      <c r="CJ271" s="216"/>
      <c r="CK271" s="216"/>
      <c r="CL271" s="216"/>
      <c r="CM271" s="216"/>
      <c r="CN271" s="216"/>
      <c r="CO271" s="216"/>
      <c r="CP271" s="216"/>
      <c r="CQ271" s="216"/>
      <c r="CR271" s="216"/>
      <c r="CS271" s="216"/>
      <c r="CT271" s="216"/>
      <c r="CU271" s="216"/>
      <c r="CV271" s="216"/>
      <c r="CW271" s="216"/>
      <c r="CX271" s="216"/>
      <c r="CY271" s="216"/>
    </row>
    <row r="272" spans="1:103" ht="24" customHeight="1" x14ac:dyDescent="0.2">
      <c r="A272" s="214"/>
      <c r="B272" s="214"/>
      <c r="C272" s="214"/>
      <c r="D272" s="214"/>
      <c r="E272" s="214"/>
      <c r="F272" s="214"/>
      <c r="G272" s="214"/>
      <c r="H272" s="214"/>
      <c r="I272" s="214"/>
      <c r="J272" s="214"/>
      <c r="K272" s="214"/>
      <c r="L272" s="214"/>
      <c r="M272" s="214"/>
      <c r="N272" s="215"/>
      <c r="O272" s="215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6"/>
      <c r="BN272" s="216"/>
      <c r="BO272" s="216"/>
      <c r="BP272" s="216"/>
      <c r="BQ272" s="216"/>
      <c r="BR272" s="216"/>
      <c r="BS272" s="216"/>
      <c r="BT272" s="216"/>
      <c r="BU272" s="216"/>
      <c r="BV272" s="216"/>
      <c r="BW272" s="216"/>
      <c r="BX272" s="216"/>
      <c r="BY272" s="216"/>
      <c r="BZ272" s="216"/>
      <c r="CA272" s="216"/>
      <c r="CB272" s="216"/>
      <c r="CC272" s="216"/>
      <c r="CD272" s="216"/>
      <c r="CE272" s="216"/>
      <c r="CF272" s="216"/>
      <c r="CG272" s="216"/>
      <c r="CH272" s="216"/>
      <c r="CI272" s="216"/>
      <c r="CJ272" s="216"/>
      <c r="CK272" s="216"/>
      <c r="CL272" s="216"/>
      <c r="CM272" s="216"/>
      <c r="CN272" s="216"/>
      <c r="CO272" s="216"/>
      <c r="CP272" s="216"/>
      <c r="CQ272" s="216"/>
      <c r="CR272" s="216"/>
      <c r="CS272" s="216"/>
      <c r="CT272" s="216"/>
      <c r="CU272" s="216"/>
      <c r="CV272" s="216"/>
      <c r="CW272" s="216"/>
      <c r="CX272" s="216"/>
      <c r="CY272" s="216"/>
    </row>
    <row r="273" spans="1:103" ht="24" customHeight="1" x14ac:dyDescent="0.2">
      <c r="A273" s="214"/>
      <c r="B273" s="214"/>
      <c r="C273" s="214"/>
      <c r="D273" s="214"/>
      <c r="E273" s="214"/>
      <c r="F273" s="214"/>
      <c r="G273" s="214"/>
      <c r="H273" s="214"/>
      <c r="I273" s="214"/>
      <c r="J273" s="214"/>
      <c r="K273" s="214"/>
      <c r="L273" s="214"/>
      <c r="M273" s="214"/>
      <c r="N273" s="215"/>
      <c r="O273" s="215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6"/>
      <c r="BN273" s="216"/>
      <c r="BO273" s="216"/>
      <c r="BP273" s="216"/>
      <c r="BQ273" s="216"/>
      <c r="BR273" s="216"/>
      <c r="BS273" s="216"/>
      <c r="BT273" s="216"/>
      <c r="BU273" s="216"/>
      <c r="BV273" s="216"/>
      <c r="BW273" s="216"/>
      <c r="BX273" s="216"/>
      <c r="BY273" s="216"/>
      <c r="BZ273" s="216"/>
      <c r="CA273" s="216"/>
      <c r="CB273" s="216"/>
      <c r="CC273" s="216"/>
      <c r="CD273" s="216"/>
      <c r="CE273" s="216"/>
      <c r="CF273" s="216"/>
      <c r="CG273" s="216"/>
      <c r="CH273" s="216"/>
      <c r="CI273" s="216"/>
      <c r="CJ273" s="216"/>
      <c r="CK273" s="216"/>
      <c r="CL273" s="216"/>
      <c r="CM273" s="216"/>
      <c r="CN273" s="216"/>
      <c r="CO273" s="216"/>
      <c r="CP273" s="216"/>
      <c r="CQ273" s="216"/>
      <c r="CR273" s="216"/>
      <c r="CS273" s="216"/>
      <c r="CT273" s="216"/>
      <c r="CU273" s="216"/>
      <c r="CV273" s="216"/>
      <c r="CW273" s="216"/>
      <c r="CX273" s="216"/>
      <c r="CY273" s="216"/>
    </row>
    <row r="274" spans="1:103" ht="24" customHeight="1" x14ac:dyDescent="0.2">
      <c r="A274" s="214"/>
      <c r="B274" s="214"/>
      <c r="C274" s="214"/>
      <c r="D274" s="214"/>
      <c r="E274" s="214"/>
      <c r="F274" s="214"/>
      <c r="G274" s="214"/>
      <c r="H274" s="214"/>
      <c r="I274" s="214"/>
      <c r="J274" s="214"/>
      <c r="K274" s="214"/>
      <c r="L274" s="214"/>
      <c r="M274" s="214"/>
      <c r="N274" s="215"/>
      <c r="O274" s="215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6"/>
      <c r="BN274" s="216"/>
      <c r="BO274" s="216"/>
      <c r="BP274" s="216"/>
      <c r="BQ274" s="216"/>
      <c r="BR274" s="216"/>
      <c r="BS274" s="216"/>
      <c r="BT274" s="216"/>
      <c r="BU274" s="216"/>
      <c r="BV274" s="216"/>
      <c r="BW274" s="216"/>
      <c r="BX274" s="216"/>
      <c r="BY274" s="216"/>
      <c r="BZ274" s="216"/>
      <c r="CA274" s="216"/>
      <c r="CB274" s="216"/>
      <c r="CC274" s="216"/>
      <c r="CD274" s="216"/>
      <c r="CE274" s="216"/>
      <c r="CF274" s="216"/>
      <c r="CG274" s="216"/>
      <c r="CH274" s="216"/>
      <c r="CI274" s="216"/>
      <c r="CJ274" s="216"/>
      <c r="CK274" s="216"/>
      <c r="CL274" s="216"/>
      <c r="CM274" s="216"/>
      <c r="CN274" s="216"/>
      <c r="CO274" s="216"/>
      <c r="CP274" s="216"/>
      <c r="CQ274" s="216"/>
      <c r="CR274" s="216"/>
      <c r="CS274" s="216"/>
      <c r="CT274" s="216"/>
      <c r="CU274" s="216"/>
      <c r="CV274" s="216"/>
      <c r="CW274" s="216"/>
      <c r="CX274" s="216"/>
      <c r="CY274" s="216"/>
    </row>
    <row r="275" spans="1:103" ht="24" customHeight="1" x14ac:dyDescent="0.2">
      <c r="A275" s="214"/>
      <c r="B275" s="214"/>
      <c r="C275" s="214"/>
      <c r="D275" s="214"/>
      <c r="E275" s="214"/>
      <c r="F275" s="214"/>
      <c r="G275" s="214"/>
      <c r="H275" s="214"/>
      <c r="I275" s="214"/>
      <c r="J275" s="214"/>
      <c r="K275" s="214"/>
      <c r="L275" s="214"/>
      <c r="M275" s="214"/>
      <c r="N275" s="215"/>
      <c r="O275" s="215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6"/>
      <c r="BM275" s="216"/>
      <c r="BN275" s="216"/>
      <c r="BO275" s="216"/>
      <c r="BP275" s="216"/>
      <c r="BQ275" s="216"/>
      <c r="BR275" s="216"/>
      <c r="BS275" s="216"/>
      <c r="BT275" s="216"/>
      <c r="BU275" s="216"/>
      <c r="BV275" s="216"/>
      <c r="BW275" s="216"/>
      <c r="BX275" s="216"/>
      <c r="BY275" s="216"/>
      <c r="BZ275" s="216"/>
      <c r="CA275" s="216"/>
      <c r="CB275" s="216"/>
      <c r="CC275" s="216"/>
      <c r="CD275" s="216"/>
      <c r="CE275" s="216"/>
      <c r="CF275" s="216"/>
      <c r="CG275" s="216"/>
      <c r="CH275" s="216"/>
      <c r="CI275" s="216"/>
      <c r="CJ275" s="216"/>
      <c r="CK275" s="216"/>
      <c r="CL275" s="216"/>
      <c r="CM275" s="216"/>
      <c r="CN275" s="216"/>
      <c r="CO275" s="216"/>
      <c r="CP275" s="216"/>
      <c r="CQ275" s="216"/>
      <c r="CR275" s="216"/>
      <c r="CS275" s="216"/>
      <c r="CT275" s="216"/>
      <c r="CU275" s="216"/>
      <c r="CV275" s="216"/>
      <c r="CW275" s="216"/>
      <c r="CX275" s="216"/>
      <c r="CY275" s="216"/>
    </row>
    <row r="276" spans="1:103" ht="24" customHeight="1" x14ac:dyDescent="0.2">
      <c r="A276" s="214"/>
      <c r="B276" s="214"/>
      <c r="C276" s="214"/>
      <c r="D276" s="214"/>
      <c r="E276" s="214"/>
      <c r="F276" s="214"/>
      <c r="G276" s="214"/>
      <c r="H276" s="214"/>
      <c r="I276" s="214"/>
      <c r="J276" s="214"/>
      <c r="K276" s="214"/>
      <c r="L276" s="214"/>
      <c r="M276" s="214"/>
      <c r="N276" s="215"/>
      <c r="O276" s="215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6"/>
      <c r="BN276" s="216"/>
      <c r="BO276" s="216"/>
      <c r="BP276" s="216"/>
      <c r="BQ276" s="216"/>
      <c r="BR276" s="216"/>
      <c r="BS276" s="216"/>
      <c r="BT276" s="216"/>
      <c r="BU276" s="216"/>
      <c r="BV276" s="216"/>
      <c r="BW276" s="216"/>
      <c r="BX276" s="216"/>
      <c r="BY276" s="216"/>
      <c r="BZ276" s="216"/>
      <c r="CA276" s="216"/>
      <c r="CB276" s="216"/>
      <c r="CC276" s="216"/>
      <c r="CD276" s="216"/>
      <c r="CE276" s="216"/>
      <c r="CF276" s="216"/>
      <c r="CG276" s="216"/>
      <c r="CH276" s="216"/>
      <c r="CI276" s="216"/>
      <c r="CJ276" s="216"/>
      <c r="CK276" s="216"/>
      <c r="CL276" s="216"/>
      <c r="CM276" s="216"/>
      <c r="CN276" s="216"/>
      <c r="CO276" s="216"/>
      <c r="CP276" s="216"/>
      <c r="CQ276" s="216"/>
      <c r="CR276" s="216"/>
      <c r="CS276" s="216"/>
      <c r="CT276" s="216"/>
      <c r="CU276" s="216"/>
      <c r="CV276" s="216"/>
      <c r="CW276" s="216"/>
      <c r="CX276" s="216"/>
      <c r="CY276" s="216"/>
    </row>
    <row r="277" spans="1:103" ht="24" customHeight="1" x14ac:dyDescent="0.2">
      <c r="A277" s="214"/>
      <c r="B277" s="214"/>
      <c r="C277" s="214"/>
      <c r="D277" s="214"/>
      <c r="E277" s="214"/>
      <c r="F277" s="214"/>
      <c r="G277" s="214"/>
      <c r="H277" s="214"/>
      <c r="I277" s="214"/>
      <c r="J277" s="214"/>
      <c r="K277" s="214"/>
      <c r="L277" s="214"/>
      <c r="M277" s="214"/>
      <c r="N277" s="215"/>
      <c r="O277" s="215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  <c r="BI277" s="216"/>
      <c r="BJ277" s="216"/>
      <c r="BK277" s="216"/>
      <c r="BL277" s="216"/>
      <c r="BM277" s="216"/>
      <c r="BN277" s="216"/>
      <c r="BO277" s="216"/>
      <c r="BP277" s="216"/>
      <c r="BQ277" s="216"/>
      <c r="BR277" s="216"/>
      <c r="BS277" s="216"/>
      <c r="BT277" s="216"/>
      <c r="BU277" s="216"/>
      <c r="BV277" s="216"/>
      <c r="BW277" s="216"/>
      <c r="BX277" s="216"/>
      <c r="BY277" s="216"/>
      <c r="BZ277" s="216"/>
      <c r="CA277" s="216"/>
      <c r="CB277" s="216"/>
      <c r="CC277" s="216"/>
      <c r="CD277" s="216"/>
      <c r="CE277" s="216"/>
      <c r="CF277" s="216"/>
      <c r="CG277" s="216"/>
      <c r="CH277" s="216"/>
      <c r="CI277" s="216"/>
      <c r="CJ277" s="216"/>
      <c r="CK277" s="216"/>
      <c r="CL277" s="216"/>
      <c r="CM277" s="216"/>
      <c r="CN277" s="216"/>
      <c r="CO277" s="216"/>
      <c r="CP277" s="216"/>
      <c r="CQ277" s="216"/>
      <c r="CR277" s="216"/>
      <c r="CS277" s="216"/>
      <c r="CT277" s="216"/>
      <c r="CU277" s="216"/>
      <c r="CV277" s="216"/>
      <c r="CW277" s="216"/>
      <c r="CX277" s="216"/>
      <c r="CY277" s="216"/>
    </row>
    <row r="278" spans="1:103" ht="24" customHeight="1" x14ac:dyDescent="0.2">
      <c r="A278" s="214"/>
      <c r="B278" s="214"/>
      <c r="C278" s="214"/>
      <c r="D278" s="214"/>
      <c r="E278" s="214"/>
      <c r="F278" s="214"/>
      <c r="G278" s="214"/>
      <c r="H278" s="214"/>
      <c r="I278" s="214"/>
      <c r="J278" s="214"/>
      <c r="K278" s="214"/>
      <c r="L278" s="214"/>
      <c r="M278" s="214"/>
      <c r="N278" s="215"/>
      <c r="O278" s="215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6"/>
      <c r="BM278" s="216"/>
      <c r="BN278" s="216"/>
      <c r="BO278" s="216"/>
      <c r="BP278" s="216"/>
      <c r="BQ278" s="216"/>
      <c r="BR278" s="216"/>
      <c r="BS278" s="216"/>
      <c r="BT278" s="216"/>
      <c r="BU278" s="216"/>
      <c r="BV278" s="216"/>
      <c r="BW278" s="216"/>
      <c r="BX278" s="216"/>
      <c r="BY278" s="216"/>
      <c r="BZ278" s="216"/>
      <c r="CA278" s="216"/>
      <c r="CB278" s="216"/>
      <c r="CC278" s="216"/>
      <c r="CD278" s="216"/>
      <c r="CE278" s="216"/>
      <c r="CF278" s="216"/>
      <c r="CG278" s="216"/>
      <c r="CH278" s="216"/>
      <c r="CI278" s="216"/>
      <c r="CJ278" s="216"/>
      <c r="CK278" s="216"/>
      <c r="CL278" s="216"/>
      <c r="CM278" s="216"/>
      <c r="CN278" s="216"/>
      <c r="CO278" s="216"/>
      <c r="CP278" s="216"/>
      <c r="CQ278" s="216"/>
      <c r="CR278" s="216"/>
      <c r="CS278" s="216"/>
      <c r="CT278" s="216"/>
      <c r="CU278" s="216"/>
      <c r="CV278" s="216"/>
      <c r="CW278" s="216"/>
      <c r="CX278" s="216"/>
      <c r="CY278" s="216"/>
    </row>
    <row r="279" spans="1:103" ht="24" customHeight="1" x14ac:dyDescent="0.2">
      <c r="A279" s="214"/>
      <c r="B279" s="214"/>
      <c r="C279" s="214"/>
      <c r="D279" s="214"/>
      <c r="E279" s="214"/>
      <c r="F279" s="214"/>
      <c r="G279" s="214"/>
      <c r="H279" s="214"/>
      <c r="I279" s="214"/>
      <c r="J279" s="214"/>
      <c r="K279" s="214"/>
      <c r="L279" s="214"/>
      <c r="M279" s="214"/>
      <c r="N279" s="215"/>
      <c r="O279" s="215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6"/>
      <c r="BM279" s="216"/>
      <c r="BN279" s="216"/>
      <c r="BO279" s="216"/>
      <c r="BP279" s="216"/>
      <c r="BQ279" s="216"/>
      <c r="BR279" s="216"/>
      <c r="BS279" s="216"/>
      <c r="BT279" s="216"/>
      <c r="BU279" s="216"/>
      <c r="BV279" s="216"/>
      <c r="BW279" s="216"/>
      <c r="BX279" s="216"/>
      <c r="BY279" s="216"/>
      <c r="BZ279" s="216"/>
      <c r="CA279" s="216"/>
      <c r="CB279" s="216"/>
      <c r="CC279" s="216"/>
      <c r="CD279" s="216"/>
      <c r="CE279" s="216"/>
      <c r="CF279" s="216"/>
      <c r="CG279" s="216"/>
      <c r="CH279" s="216"/>
      <c r="CI279" s="216"/>
      <c r="CJ279" s="216"/>
      <c r="CK279" s="216"/>
      <c r="CL279" s="216"/>
      <c r="CM279" s="216"/>
      <c r="CN279" s="216"/>
      <c r="CO279" s="216"/>
      <c r="CP279" s="216"/>
      <c r="CQ279" s="216"/>
      <c r="CR279" s="216"/>
      <c r="CS279" s="216"/>
      <c r="CT279" s="216"/>
      <c r="CU279" s="216"/>
      <c r="CV279" s="216"/>
      <c r="CW279" s="216"/>
      <c r="CX279" s="216"/>
      <c r="CY279" s="216"/>
    </row>
    <row r="280" spans="1:103" ht="24" customHeight="1" x14ac:dyDescent="0.2">
      <c r="A280" s="214"/>
      <c r="B280" s="214"/>
      <c r="C280" s="214"/>
      <c r="D280" s="214"/>
      <c r="E280" s="214"/>
      <c r="F280" s="214"/>
      <c r="G280" s="214"/>
      <c r="H280" s="214"/>
      <c r="I280" s="214"/>
      <c r="J280" s="214"/>
      <c r="K280" s="214"/>
      <c r="L280" s="214"/>
      <c r="M280" s="214"/>
      <c r="N280" s="215"/>
      <c r="O280" s="215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  <c r="BI280" s="216"/>
      <c r="BJ280" s="216"/>
      <c r="BK280" s="216"/>
      <c r="BL280" s="216"/>
      <c r="BM280" s="216"/>
      <c r="BN280" s="216"/>
      <c r="BO280" s="216"/>
      <c r="BP280" s="216"/>
      <c r="BQ280" s="216"/>
      <c r="BR280" s="216"/>
      <c r="BS280" s="216"/>
      <c r="BT280" s="216"/>
      <c r="BU280" s="216"/>
      <c r="BV280" s="216"/>
      <c r="BW280" s="216"/>
      <c r="BX280" s="216"/>
      <c r="BY280" s="216"/>
      <c r="BZ280" s="216"/>
      <c r="CA280" s="216"/>
      <c r="CB280" s="216"/>
      <c r="CC280" s="216"/>
      <c r="CD280" s="216"/>
      <c r="CE280" s="216"/>
      <c r="CF280" s="216"/>
      <c r="CG280" s="216"/>
      <c r="CH280" s="216"/>
      <c r="CI280" s="216"/>
      <c r="CJ280" s="216"/>
      <c r="CK280" s="216"/>
      <c r="CL280" s="216"/>
      <c r="CM280" s="216"/>
      <c r="CN280" s="216"/>
      <c r="CO280" s="216"/>
      <c r="CP280" s="216"/>
      <c r="CQ280" s="216"/>
      <c r="CR280" s="216"/>
      <c r="CS280" s="216"/>
      <c r="CT280" s="216"/>
      <c r="CU280" s="216"/>
      <c r="CV280" s="216"/>
      <c r="CW280" s="216"/>
      <c r="CX280" s="216"/>
      <c r="CY280" s="216"/>
    </row>
    <row r="281" spans="1:103" ht="24" customHeight="1" x14ac:dyDescent="0.2">
      <c r="A281" s="214"/>
      <c r="B281" s="214"/>
      <c r="C281" s="214"/>
      <c r="D281" s="214"/>
      <c r="E281" s="214"/>
      <c r="F281" s="214"/>
      <c r="G281" s="214"/>
      <c r="H281" s="214"/>
      <c r="I281" s="214"/>
      <c r="J281" s="214"/>
      <c r="K281" s="214"/>
      <c r="L281" s="214"/>
      <c r="M281" s="214"/>
      <c r="N281" s="215"/>
      <c r="O281" s="215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  <c r="BI281" s="216"/>
      <c r="BJ281" s="216"/>
      <c r="BK281" s="216"/>
      <c r="BL281" s="216"/>
      <c r="BM281" s="216"/>
      <c r="BN281" s="216"/>
      <c r="BO281" s="216"/>
      <c r="BP281" s="216"/>
      <c r="BQ281" s="216"/>
      <c r="BR281" s="216"/>
      <c r="BS281" s="216"/>
      <c r="BT281" s="216"/>
      <c r="BU281" s="216"/>
      <c r="BV281" s="216"/>
      <c r="BW281" s="216"/>
      <c r="BX281" s="216"/>
      <c r="BY281" s="216"/>
      <c r="BZ281" s="216"/>
      <c r="CA281" s="216"/>
      <c r="CB281" s="216"/>
      <c r="CC281" s="216"/>
      <c r="CD281" s="216"/>
      <c r="CE281" s="216"/>
      <c r="CF281" s="216"/>
      <c r="CG281" s="216"/>
      <c r="CH281" s="216"/>
      <c r="CI281" s="216"/>
      <c r="CJ281" s="216"/>
      <c r="CK281" s="216"/>
      <c r="CL281" s="216"/>
      <c r="CM281" s="216"/>
      <c r="CN281" s="216"/>
      <c r="CO281" s="216"/>
      <c r="CP281" s="216"/>
      <c r="CQ281" s="216"/>
      <c r="CR281" s="216"/>
      <c r="CS281" s="216"/>
      <c r="CT281" s="216"/>
      <c r="CU281" s="216"/>
      <c r="CV281" s="216"/>
      <c r="CW281" s="216"/>
      <c r="CX281" s="216"/>
      <c r="CY281" s="216"/>
    </row>
    <row r="282" spans="1:103" ht="24" customHeight="1" x14ac:dyDescent="0.2">
      <c r="A282" s="214"/>
      <c r="B282" s="214"/>
      <c r="C282" s="214"/>
      <c r="D282" s="214"/>
      <c r="E282" s="214"/>
      <c r="F282" s="214"/>
      <c r="G282" s="214"/>
      <c r="H282" s="214"/>
      <c r="I282" s="214"/>
      <c r="J282" s="214"/>
      <c r="K282" s="214"/>
      <c r="L282" s="214"/>
      <c r="M282" s="214"/>
      <c r="N282" s="215"/>
      <c r="O282" s="215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  <c r="BI282" s="216"/>
      <c r="BJ282" s="216"/>
      <c r="BK282" s="216"/>
      <c r="BL282" s="216"/>
      <c r="BM282" s="216"/>
      <c r="BN282" s="216"/>
      <c r="BO282" s="216"/>
      <c r="BP282" s="216"/>
      <c r="BQ282" s="216"/>
      <c r="BR282" s="216"/>
      <c r="BS282" s="216"/>
      <c r="BT282" s="216"/>
      <c r="BU282" s="216"/>
      <c r="BV282" s="216"/>
      <c r="BW282" s="216"/>
      <c r="BX282" s="216"/>
      <c r="BY282" s="216"/>
      <c r="BZ282" s="216"/>
      <c r="CA282" s="216"/>
      <c r="CB282" s="216"/>
      <c r="CC282" s="216"/>
      <c r="CD282" s="216"/>
      <c r="CE282" s="216"/>
      <c r="CF282" s="216"/>
      <c r="CG282" s="216"/>
      <c r="CH282" s="216"/>
      <c r="CI282" s="216"/>
      <c r="CJ282" s="216"/>
      <c r="CK282" s="216"/>
      <c r="CL282" s="216"/>
      <c r="CM282" s="216"/>
      <c r="CN282" s="216"/>
      <c r="CO282" s="216"/>
      <c r="CP282" s="216"/>
      <c r="CQ282" s="216"/>
      <c r="CR282" s="216"/>
      <c r="CS282" s="216"/>
      <c r="CT282" s="216"/>
      <c r="CU282" s="216"/>
      <c r="CV282" s="216"/>
      <c r="CW282" s="216"/>
      <c r="CX282" s="216"/>
      <c r="CY282" s="216"/>
    </row>
    <row r="283" spans="1:103" ht="24" customHeight="1" x14ac:dyDescent="0.2">
      <c r="A283" s="214"/>
      <c r="B283" s="214"/>
      <c r="C283" s="214"/>
      <c r="D283" s="214"/>
      <c r="E283" s="214"/>
      <c r="F283" s="214"/>
      <c r="G283" s="214"/>
      <c r="H283" s="214"/>
      <c r="I283" s="214"/>
      <c r="J283" s="214"/>
      <c r="K283" s="214"/>
      <c r="L283" s="214"/>
      <c r="M283" s="214"/>
      <c r="N283" s="215"/>
      <c r="O283" s="215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  <c r="BI283" s="216"/>
      <c r="BJ283" s="216"/>
      <c r="BK283" s="216"/>
      <c r="BL283" s="216"/>
      <c r="BM283" s="216"/>
      <c r="BN283" s="216"/>
      <c r="BO283" s="216"/>
      <c r="BP283" s="216"/>
      <c r="BQ283" s="216"/>
      <c r="BR283" s="216"/>
      <c r="BS283" s="216"/>
      <c r="BT283" s="216"/>
      <c r="BU283" s="216"/>
      <c r="BV283" s="216"/>
      <c r="BW283" s="216"/>
      <c r="BX283" s="216"/>
      <c r="BY283" s="216"/>
      <c r="BZ283" s="216"/>
      <c r="CA283" s="216"/>
      <c r="CB283" s="216"/>
      <c r="CC283" s="216"/>
      <c r="CD283" s="216"/>
      <c r="CE283" s="216"/>
      <c r="CF283" s="216"/>
      <c r="CG283" s="216"/>
      <c r="CH283" s="216"/>
      <c r="CI283" s="216"/>
      <c r="CJ283" s="216"/>
      <c r="CK283" s="216"/>
      <c r="CL283" s="216"/>
      <c r="CM283" s="216"/>
      <c r="CN283" s="216"/>
      <c r="CO283" s="216"/>
      <c r="CP283" s="216"/>
      <c r="CQ283" s="216"/>
      <c r="CR283" s="216"/>
      <c r="CS283" s="216"/>
      <c r="CT283" s="216"/>
      <c r="CU283" s="216"/>
      <c r="CV283" s="216"/>
      <c r="CW283" s="216"/>
      <c r="CX283" s="216"/>
      <c r="CY283" s="216"/>
    </row>
    <row r="284" spans="1:103" ht="24" customHeight="1" x14ac:dyDescent="0.2">
      <c r="A284" s="214"/>
      <c r="B284" s="214"/>
      <c r="C284" s="214"/>
      <c r="D284" s="214"/>
      <c r="E284" s="214"/>
      <c r="F284" s="214"/>
      <c r="G284" s="214"/>
      <c r="H284" s="214"/>
      <c r="I284" s="214"/>
      <c r="J284" s="214"/>
      <c r="K284" s="214"/>
      <c r="L284" s="214"/>
      <c r="M284" s="214"/>
      <c r="N284" s="215"/>
      <c r="O284" s="215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  <c r="BI284" s="216"/>
      <c r="BJ284" s="216"/>
      <c r="BK284" s="216"/>
      <c r="BL284" s="216"/>
      <c r="BM284" s="216"/>
      <c r="BN284" s="216"/>
      <c r="BO284" s="216"/>
      <c r="BP284" s="216"/>
      <c r="BQ284" s="216"/>
      <c r="BR284" s="216"/>
      <c r="BS284" s="216"/>
      <c r="BT284" s="216"/>
      <c r="BU284" s="216"/>
      <c r="BV284" s="216"/>
      <c r="BW284" s="216"/>
      <c r="BX284" s="216"/>
      <c r="BY284" s="216"/>
      <c r="BZ284" s="216"/>
      <c r="CA284" s="216"/>
      <c r="CB284" s="216"/>
      <c r="CC284" s="216"/>
      <c r="CD284" s="216"/>
      <c r="CE284" s="216"/>
      <c r="CF284" s="216"/>
      <c r="CG284" s="216"/>
      <c r="CH284" s="216"/>
      <c r="CI284" s="216"/>
      <c r="CJ284" s="216"/>
      <c r="CK284" s="216"/>
      <c r="CL284" s="216"/>
      <c r="CM284" s="216"/>
      <c r="CN284" s="216"/>
      <c r="CO284" s="216"/>
      <c r="CP284" s="216"/>
      <c r="CQ284" s="216"/>
      <c r="CR284" s="216"/>
      <c r="CS284" s="216"/>
      <c r="CT284" s="216"/>
      <c r="CU284" s="216"/>
      <c r="CV284" s="216"/>
      <c r="CW284" s="216"/>
      <c r="CX284" s="216"/>
      <c r="CY284" s="216"/>
    </row>
    <row r="285" spans="1:103" ht="24" customHeight="1" x14ac:dyDescent="0.2">
      <c r="A285" s="214"/>
      <c r="B285" s="214"/>
      <c r="C285" s="214"/>
      <c r="D285" s="214"/>
      <c r="E285" s="214"/>
      <c r="F285" s="214"/>
      <c r="G285" s="214"/>
      <c r="H285" s="214"/>
      <c r="I285" s="214"/>
      <c r="J285" s="214"/>
      <c r="K285" s="214"/>
      <c r="L285" s="214"/>
      <c r="M285" s="214"/>
      <c r="N285" s="215"/>
      <c r="O285" s="215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  <c r="BI285" s="216"/>
      <c r="BJ285" s="216"/>
      <c r="BK285" s="216"/>
      <c r="BL285" s="216"/>
      <c r="BM285" s="216"/>
      <c r="BN285" s="216"/>
      <c r="BO285" s="216"/>
      <c r="BP285" s="216"/>
      <c r="BQ285" s="216"/>
      <c r="BR285" s="216"/>
      <c r="BS285" s="216"/>
      <c r="BT285" s="216"/>
      <c r="BU285" s="216"/>
      <c r="BV285" s="216"/>
      <c r="BW285" s="216"/>
      <c r="BX285" s="216"/>
      <c r="BY285" s="216"/>
      <c r="BZ285" s="216"/>
      <c r="CA285" s="216"/>
      <c r="CB285" s="216"/>
      <c r="CC285" s="216"/>
      <c r="CD285" s="216"/>
      <c r="CE285" s="216"/>
      <c r="CF285" s="216"/>
      <c r="CG285" s="216"/>
      <c r="CH285" s="216"/>
      <c r="CI285" s="216"/>
      <c r="CJ285" s="216"/>
      <c r="CK285" s="216"/>
      <c r="CL285" s="216"/>
      <c r="CM285" s="216"/>
      <c r="CN285" s="216"/>
      <c r="CO285" s="216"/>
      <c r="CP285" s="216"/>
      <c r="CQ285" s="216"/>
      <c r="CR285" s="216"/>
      <c r="CS285" s="216"/>
      <c r="CT285" s="216"/>
      <c r="CU285" s="216"/>
      <c r="CV285" s="216"/>
      <c r="CW285" s="216"/>
      <c r="CX285" s="216"/>
      <c r="CY285" s="216"/>
    </row>
    <row r="286" spans="1:103" ht="24" customHeight="1" x14ac:dyDescent="0.2">
      <c r="A286" s="214"/>
      <c r="B286" s="214"/>
      <c r="C286" s="214"/>
      <c r="D286" s="214"/>
      <c r="E286" s="214"/>
      <c r="F286" s="214"/>
      <c r="G286" s="214"/>
      <c r="H286" s="214"/>
      <c r="I286" s="214"/>
      <c r="J286" s="214"/>
      <c r="K286" s="214"/>
      <c r="L286" s="214"/>
      <c r="M286" s="214"/>
      <c r="N286" s="215"/>
      <c r="O286" s="215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6"/>
      <c r="BN286" s="216"/>
      <c r="BO286" s="216"/>
      <c r="BP286" s="216"/>
      <c r="BQ286" s="216"/>
      <c r="BR286" s="216"/>
      <c r="BS286" s="216"/>
      <c r="BT286" s="216"/>
      <c r="BU286" s="216"/>
      <c r="BV286" s="216"/>
      <c r="BW286" s="216"/>
      <c r="BX286" s="216"/>
      <c r="BY286" s="216"/>
      <c r="BZ286" s="216"/>
      <c r="CA286" s="216"/>
      <c r="CB286" s="216"/>
      <c r="CC286" s="216"/>
      <c r="CD286" s="216"/>
      <c r="CE286" s="216"/>
      <c r="CF286" s="216"/>
      <c r="CG286" s="216"/>
      <c r="CH286" s="216"/>
      <c r="CI286" s="216"/>
      <c r="CJ286" s="216"/>
      <c r="CK286" s="216"/>
      <c r="CL286" s="216"/>
      <c r="CM286" s="216"/>
      <c r="CN286" s="216"/>
      <c r="CO286" s="216"/>
      <c r="CP286" s="216"/>
      <c r="CQ286" s="216"/>
      <c r="CR286" s="216"/>
      <c r="CS286" s="216"/>
      <c r="CT286" s="216"/>
      <c r="CU286" s="216"/>
      <c r="CV286" s="216"/>
      <c r="CW286" s="216"/>
      <c r="CX286" s="216"/>
      <c r="CY286" s="216"/>
    </row>
    <row r="287" spans="1:103" ht="24" customHeight="1" x14ac:dyDescent="0.2">
      <c r="A287" s="214"/>
      <c r="B287" s="214"/>
      <c r="C287" s="214"/>
      <c r="D287" s="214"/>
      <c r="E287" s="214"/>
      <c r="F287" s="214"/>
      <c r="G287" s="214"/>
      <c r="H287" s="214"/>
      <c r="I287" s="214"/>
      <c r="J287" s="214"/>
      <c r="K287" s="214"/>
      <c r="L287" s="214"/>
      <c r="M287" s="214"/>
      <c r="N287" s="215"/>
      <c r="O287" s="215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6"/>
      <c r="BN287" s="216"/>
      <c r="BO287" s="216"/>
      <c r="BP287" s="216"/>
      <c r="BQ287" s="216"/>
      <c r="BR287" s="216"/>
      <c r="BS287" s="216"/>
      <c r="BT287" s="216"/>
      <c r="BU287" s="216"/>
      <c r="BV287" s="216"/>
      <c r="BW287" s="216"/>
      <c r="BX287" s="216"/>
      <c r="BY287" s="216"/>
      <c r="BZ287" s="216"/>
      <c r="CA287" s="216"/>
      <c r="CB287" s="216"/>
      <c r="CC287" s="216"/>
      <c r="CD287" s="216"/>
      <c r="CE287" s="216"/>
      <c r="CF287" s="216"/>
      <c r="CG287" s="216"/>
      <c r="CH287" s="216"/>
      <c r="CI287" s="216"/>
      <c r="CJ287" s="216"/>
      <c r="CK287" s="216"/>
      <c r="CL287" s="216"/>
      <c r="CM287" s="216"/>
      <c r="CN287" s="216"/>
      <c r="CO287" s="216"/>
      <c r="CP287" s="216"/>
      <c r="CQ287" s="216"/>
      <c r="CR287" s="216"/>
      <c r="CS287" s="216"/>
      <c r="CT287" s="216"/>
      <c r="CU287" s="216"/>
      <c r="CV287" s="216"/>
      <c r="CW287" s="216"/>
      <c r="CX287" s="216"/>
      <c r="CY287" s="216"/>
    </row>
    <row r="288" spans="1:103" ht="24" customHeight="1" x14ac:dyDescent="0.2">
      <c r="A288" s="214"/>
      <c r="B288" s="214"/>
      <c r="C288" s="214"/>
      <c r="D288" s="214"/>
      <c r="E288" s="214"/>
      <c r="F288" s="214"/>
      <c r="G288" s="214"/>
      <c r="H288" s="214"/>
      <c r="I288" s="214"/>
      <c r="J288" s="214"/>
      <c r="K288" s="214"/>
      <c r="L288" s="214"/>
      <c r="M288" s="214"/>
      <c r="N288" s="215"/>
      <c r="O288" s="215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6"/>
      <c r="BN288" s="216"/>
      <c r="BO288" s="216"/>
      <c r="BP288" s="216"/>
      <c r="BQ288" s="216"/>
      <c r="BR288" s="216"/>
      <c r="BS288" s="216"/>
      <c r="BT288" s="216"/>
      <c r="BU288" s="216"/>
      <c r="BV288" s="216"/>
      <c r="BW288" s="216"/>
      <c r="BX288" s="216"/>
      <c r="BY288" s="216"/>
      <c r="BZ288" s="216"/>
      <c r="CA288" s="216"/>
      <c r="CB288" s="216"/>
      <c r="CC288" s="216"/>
      <c r="CD288" s="216"/>
      <c r="CE288" s="216"/>
      <c r="CF288" s="216"/>
      <c r="CG288" s="216"/>
      <c r="CH288" s="216"/>
      <c r="CI288" s="216"/>
      <c r="CJ288" s="216"/>
      <c r="CK288" s="216"/>
      <c r="CL288" s="216"/>
      <c r="CM288" s="216"/>
      <c r="CN288" s="216"/>
      <c r="CO288" s="216"/>
      <c r="CP288" s="216"/>
      <c r="CQ288" s="216"/>
      <c r="CR288" s="216"/>
      <c r="CS288" s="216"/>
      <c r="CT288" s="216"/>
      <c r="CU288" s="216"/>
      <c r="CV288" s="216"/>
      <c r="CW288" s="216"/>
      <c r="CX288" s="216"/>
      <c r="CY288" s="216"/>
    </row>
    <row r="289" spans="1:103" ht="24" customHeight="1" x14ac:dyDescent="0.2">
      <c r="A289" s="214"/>
      <c r="B289" s="214"/>
      <c r="C289" s="214"/>
      <c r="D289" s="214"/>
      <c r="E289" s="214"/>
      <c r="F289" s="214"/>
      <c r="G289" s="214"/>
      <c r="H289" s="214"/>
      <c r="I289" s="214"/>
      <c r="J289" s="214"/>
      <c r="K289" s="214"/>
      <c r="L289" s="214"/>
      <c r="M289" s="214"/>
      <c r="N289" s="215"/>
      <c r="O289" s="215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6"/>
      <c r="BN289" s="216"/>
      <c r="BO289" s="216"/>
      <c r="BP289" s="216"/>
      <c r="BQ289" s="216"/>
      <c r="BR289" s="216"/>
      <c r="BS289" s="216"/>
      <c r="BT289" s="216"/>
      <c r="BU289" s="216"/>
      <c r="BV289" s="216"/>
      <c r="BW289" s="216"/>
      <c r="BX289" s="216"/>
      <c r="BY289" s="216"/>
      <c r="BZ289" s="216"/>
      <c r="CA289" s="216"/>
      <c r="CB289" s="216"/>
      <c r="CC289" s="216"/>
      <c r="CD289" s="216"/>
      <c r="CE289" s="216"/>
      <c r="CF289" s="216"/>
      <c r="CG289" s="216"/>
      <c r="CH289" s="216"/>
      <c r="CI289" s="216"/>
      <c r="CJ289" s="216"/>
      <c r="CK289" s="216"/>
      <c r="CL289" s="216"/>
      <c r="CM289" s="216"/>
      <c r="CN289" s="216"/>
      <c r="CO289" s="216"/>
      <c r="CP289" s="216"/>
      <c r="CQ289" s="216"/>
      <c r="CR289" s="216"/>
      <c r="CS289" s="216"/>
      <c r="CT289" s="216"/>
      <c r="CU289" s="216"/>
      <c r="CV289" s="216"/>
      <c r="CW289" s="216"/>
      <c r="CX289" s="216"/>
      <c r="CY289" s="216"/>
    </row>
    <row r="290" spans="1:103" ht="24" customHeight="1" x14ac:dyDescent="0.2">
      <c r="A290" s="214"/>
      <c r="B290" s="214"/>
      <c r="C290" s="214"/>
      <c r="D290" s="214"/>
      <c r="E290" s="214"/>
      <c r="F290" s="214"/>
      <c r="G290" s="214"/>
      <c r="H290" s="214"/>
      <c r="I290" s="214"/>
      <c r="J290" s="214"/>
      <c r="K290" s="214"/>
      <c r="L290" s="214"/>
      <c r="M290" s="214"/>
      <c r="N290" s="215"/>
      <c r="O290" s="215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6"/>
      <c r="BN290" s="216"/>
      <c r="BO290" s="216"/>
      <c r="BP290" s="216"/>
      <c r="BQ290" s="216"/>
      <c r="BR290" s="216"/>
      <c r="BS290" s="216"/>
      <c r="BT290" s="216"/>
      <c r="BU290" s="216"/>
      <c r="BV290" s="216"/>
      <c r="BW290" s="216"/>
      <c r="BX290" s="216"/>
      <c r="BY290" s="216"/>
      <c r="BZ290" s="216"/>
      <c r="CA290" s="216"/>
      <c r="CB290" s="216"/>
      <c r="CC290" s="216"/>
      <c r="CD290" s="216"/>
      <c r="CE290" s="216"/>
      <c r="CF290" s="216"/>
      <c r="CG290" s="216"/>
      <c r="CH290" s="216"/>
      <c r="CI290" s="216"/>
      <c r="CJ290" s="216"/>
      <c r="CK290" s="216"/>
      <c r="CL290" s="216"/>
      <c r="CM290" s="216"/>
      <c r="CN290" s="216"/>
      <c r="CO290" s="216"/>
      <c r="CP290" s="216"/>
      <c r="CQ290" s="216"/>
      <c r="CR290" s="216"/>
      <c r="CS290" s="216"/>
      <c r="CT290" s="216"/>
      <c r="CU290" s="216"/>
      <c r="CV290" s="216"/>
      <c r="CW290" s="216"/>
      <c r="CX290" s="216"/>
      <c r="CY290" s="216"/>
    </row>
    <row r="291" spans="1:103" ht="24" customHeight="1" x14ac:dyDescent="0.2">
      <c r="A291" s="214"/>
      <c r="B291" s="214"/>
      <c r="C291" s="214"/>
      <c r="D291" s="214"/>
      <c r="E291" s="214"/>
      <c r="F291" s="214"/>
      <c r="G291" s="214"/>
      <c r="H291" s="214"/>
      <c r="I291" s="214"/>
      <c r="J291" s="214"/>
      <c r="K291" s="214"/>
      <c r="L291" s="214"/>
      <c r="M291" s="214"/>
      <c r="N291" s="215"/>
      <c r="O291" s="215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  <c r="BI291" s="216"/>
      <c r="BJ291" s="216"/>
      <c r="BK291" s="216"/>
      <c r="BL291" s="216"/>
      <c r="BM291" s="216"/>
      <c r="BN291" s="216"/>
      <c r="BO291" s="216"/>
      <c r="BP291" s="216"/>
      <c r="BQ291" s="216"/>
      <c r="BR291" s="216"/>
      <c r="BS291" s="216"/>
      <c r="BT291" s="216"/>
      <c r="BU291" s="216"/>
      <c r="BV291" s="216"/>
      <c r="BW291" s="216"/>
      <c r="BX291" s="216"/>
      <c r="BY291" s="216"/>
      <c r="BZ291" s="216"/>
      <c r="CA291" s="216"/>
      <c r="CB291" s="216"/>
      <c r="CC291" s="216"/>
      <c r="CD291" s="216"/>
      <c r="CE291" s="216"/>
      <c r="CF291" s="216"/>
      <c r="CG291" s="216"/>
      <c r="CH291" s="216"/>
      <c r="CI291" s="216"/>
      <c r="CJ291" s="216"/>
      <c r="CK291" s="216"/>
      <c r="CL291" s="216"/>
      <c r="CM291" s="216"/>
      <c r="CN291" s="216"/>
      <c r="CO291" s="216"/>
      <c r="CP291" s="216"/>
      <c r="CQ291" s="216"/>
      <c r="CR291" s="216"/>
      <c r="CS291" s="216"/>
      <c r="CT291" s="216"/>
      <c r="CU291" s="216"/>
      <c r="CV291" s="216"/>
      <c r="CW291" s="216"/>
      <c r="CX291" s="216"/>
      <c r="CY291" s="216"/>
    </row>
    <row r="292" spans="1:103" ht="24" customHeight="1" x14ac:dyDescent="0.2">
      <c r="A292" s="214"/>
      <c r="B292" s="214"/>
      <c r="C292" s="214"/>
      <c r="D292" s="214"/>
      <c r="E292" s="214"/>
      <c r="F292" s="214"/>
      <c r="G292" s="214"/>
      <c r="H292" s="214"/>
      <c r="I292" s="214"/>
      <c r="J292" s="214"/>
      <c r="K292" s="214"/>
      <c r="L292" s="214"/>
      <c r="M292" s="214"/>
      <c r="N292" s="215"/>
      <c r="O292" s="215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  <c r="AZ292" s="216"/>
      <c r="BA292" s="216"/>
      <c r="BB292" s="216"/>
      <c r="BC292" s="216"/>
      <c r="BD292" s="216"/>
      <c r="BE292" s="216"/>
      <c r="BF292" s="216"/>
      <c r="BG292" s="216"/>
      <c r="BH292" s="216"/>
      <c r="BI292" s="216"/>
      <c r="BJ292" s="216"/>
      <c r="BK292" s="216"/>
      <c r="BL292" s="216"/>
      <c r="BM292" s="216"/>
      <c r="BN292" s="216"/>
      <c r="BO292" s="216"/>
      <c r="BP292" s="216"/>
      <c r="BQ292" s="216"/>
      <c r="BR292" s="216"/>
      <c r="BS292" s="216"/>
      <c r="BT292" s="216"/>
      <c r="BU292" s="216"/>
      <c r="BV292" s="216"/>
      <c r="BW292" s="216"/>
      <c r="BX292" s="216"/>
      <c r="BY292" s="216"/>
      <c r="BZ292" s="216"/>
      <c r="CA292" s="216"/>
      <c r="CB292" s="216"/>
      <c r="CC292" s="216"/>
      <c r="CD292" s="216"/>
      <c r="CE292" s="216"/>
      <c r="CF292" s="216"/>
      <c r="CG292" s="216"/>
      <c r="CH292" s="216"/>
      <c r="CI292" s="216"/>
      <c r="CJ292" s="216"/>
      <c r="CK292" s="216"/>
      <c r="CL292" s="216"/>
      <c r="CM292" s="216"/>
      <c r="CN292" s="216"/>
      <c r="CO292" s="216"/>
      <c r="CP292" s="216"/>
      <c r="CQ292" s="216"/>
      <c r="CR292" s="216"/>
      <c r="CS292" s="216"/>
      <c r="CT292" s="216"/>
      <c r="CU292" s="216"/>
      <c r="CV292" s="216"/>
      <c r="CW292" s="216"/>
      <c r="CX292" s="216"/>
      <c r="CY292" s="216"/>
    </row>
    <row r="293" spans="1:103" ht="24" customHeight="1" x14ac:dyDescent="0.2">
      <c r="A293" s="214"/>
      <c r="B293" s="214"/>
      <c r="C293" s="214"/>
      <c r="D293" s="214"/>
      <c r="E293" s="214"/>
      <c r="F293" s="214"/>
      <c r="G293" s="214"/>
      <c r="H293" s="214"/>
      <c r="I293" s="214"/>
      <c r="J293" s="214"/>
      <c r="K293" s="214"/>
      <c r="L293" s="214"/>
      <c r="M293" s="214"/>
      <c r="N293" s="215"/>
      <c r="O293" s="215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  <c r="BI293" s="216"/>
      <c r="BJ293" s="216"/>
      <c r="BK293" s="216"/>
      <c r="BL293" s="216"/>
      <c r="BM293" s="216"/>
      <c r="BN293" s="216"/>
      <c r="BO293" s="216"/>
      <c r="BP293" s="216"/>
      <c r="BQ293" s="216"/>
      <c r="BR293" s="216"/>
      <c r="BS293" s="216"/>
      <c r="BT293" s="216"/>
      <c r="BU293" s="216"/>
      <c r="BV293" s="216"/>
      <c r="BW293" s="216"/>
      <c r="BX293" s="216"/>
      <c r="BY293" s="216"/>
      <c r="BZ293" s="216"/>
      <c r="CA293" s="216"/>
      <c r="CB293" s="216"/>
      <c r="CC293" s="216"/>
      <c r="CD293" s="216"/>
      <c r="CE293" s="216"/>
      <c r="CF293" s="216"/>
      <c r="CG293" s="216"/>
      <c r="CH293" s="216"/>
      <c r="CI293" s="216"/>
      <c r="CJ293" s="216"/>
      <c r="CK293" s="216"/>
      <c r="CL293" s="216"/>
      <c r="CM293" s="216"/>
      <c r="CN293" s="216"/>
      <c r="CO293" s="216"/>
      <c r="CP293" s="216"/>
      <c r="CQ293" s="216"/>
      <c r="CR293" s="216"/>
      <c r="CS293" s="216"/>
      <c r="CT293" s="216"/>
      <c r="CU293" s="216"/>
      <c r="CV293" s="216"/>
      <c r="CW293" s="216"/>
      <c r="CX293" s="216"/>
      <c r="CY293" s="216"/>
    </row>
    <row r="294" spans="1:103" ht="24" customHeight="1" x14ac:dyDescent="0.2">
      <c r="A294" s="214"/>
      <c r="B294" s="214"/>
      <c r="C294" s="214"/>
      <c r="D294" s="214"/>
      <c r="E294" s="214"/>
      <c r="F294" s="214"/>
      <c r="G294" s="214"/>
      <c r="H294" s="214"/>
      <c r="I294" s="214"/>
      <c r="J294" s="214"/>
      <c r="K294" s="214"/>
      <c r="L294" s="214"/>
      <c r="M294" s="214"/>
      <c r="N294" s="215"/>
      <c r="O294" s="215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  <c r="BI294" s="216"/>
      <c r="BJ294" s="216"/>
      <c r="BK294" s="216"/>
      <c r="BL294" s="216"/>
      <c r="BM294" s="216"/>
      <c r="BN294" s="216"/>
      <c r="BO294" s="216"/>
      <c r="BP294" s="216"/>
      <c r="BQ294" s="216"/>
      <c r="BR294" s="216"/>
      <c r="BS294" s="216"/>
      <c r="BT294" s="216"/>
      <c r="BU294" s="216"/>
      <c r="BV294" s="216"/>
      <c r="BW294" s="216"/>
      <c r="BX294" s="216"/>
      <c r="BY294" s="216"/>
      <c r="BZ294" s="216"/>
      <c r="CA294" s="216"/>
      <c r="CB294" s="216"/>
      <c r="CC294" s="216"/>
      <c r="CD294" s="216"/>
      <c r="CE294" s="216"/>
      <c r="CF294" s="216"/>
      <c r="CG294" s="216"/>
      <c r="CH294" s="216"/>
      <c r="CI294" s="216"/>
      <c r="CJ294" s="216"/>
      <c r="CK294" s="216"/>
      <c r="CL294" s="216"/>
      <c r="CM294" s="216"/>
      <c r="CN294" s="216"/>
      <c r="CO294" s="216"/>
      <c r="CP294" s="216"/>
      <c r="CQ294" s="216"/>
      <c r="CR294" s="216"/>
      <c r="CS294" s="216"/>
      <c r="CT294" s="216"/>
      <c r="CU294" s="216"/>
      <c r="CV294" s="216"/>
      <c r="CW294" s="216"/>
      <c r="CX294" s="216"/>
      <c r="CY294" s="216"/>
    </row>
    <row r="295" spans="1:103" ht="24" customHeight="1" x14ac:dyDescent="0.2">
      <c r="A295" s="214"/>
      <c r="B295" s="214"/>
      <c r="C295" s="214"/>
      <c r="D295" s="214"/>
      <c r="E295" s="214"/>
      <c r="F295" s="214"/>
      <c r="G295" s="214"/>
      <c r="H295" s="214"/>
      <c r="I295" s="214"/>
      <c r="J295" s="214"/>
      <c r="K295" s="214"/>
      <c r="L295" s="214"/>
      <c r="M295" s="214"/>
      <c r="N295" s="215"/>
      <c r="O295" s="215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  <c r="BI295" s="216"/>
      <c r="BJ295" s="216"/>
      <c r="BK295" s="216"/>
      <c r="BL295" s="216"/>
      <c r="BM295" s="216"/>
      <c r="BN295" s="216"/>
      <c r="BO295" s="216"/>
      <c r="BP295" s="216"/>
      <c r="BQ295" s="216"/>
      <c r="BR295" s="216"/>
      <c r="BS295" s="216"/>
      <c r="BT295" s="216"/>
      <c r="BU295" s="216"/>
      <c r="BV295" s="216"/>
      <c r="BW295" s="216"/>
      <c r="BX295" s="216"/>
      <c r="BY295" s="216"/>
      <c r="BZ295" s="216"/>
      <c r="CA295" s="216"/>
      <c r="CB295" s="216"/>
      <c r="CC295" s="216"/>
      <c r="CD295" s="216"/>
      <c r="CE295" s="216"/>
      <c r="CF295" s="216"/>
      <c r="CG295" s="216"/>
      <c r="CH295" s="216"/>
      <c r="CI295" s="216"/>
      <c r="CJ295" s="216"/>
      <c r="CK295" s="216"/>
      <c r="CL295" s="216"/>
      <c r="CM295" s="216"/>
      <c r="CN295" s="216"/>
      <c r="CO295" s="216"/>
      <c r="CP295" s="216"/>
      <c r="CQ295" s="216"/>
      <c r="CR295" s="216"/>
      <c r="CS295" s="216"/>
      <c r="CT295" s="216"/>
      <c r="CU295" s="216"/>
      <c r="CV295" s="216"/>
      <c r="CW295" s="216"/>
      <c r="CX295" s="216"/>
      <c r="CY295" s="216"/>
    </row>
    <row r="296" spans="1:103" ht="24" customHeight="1" x14ac:dyDescent="0.2">
      <c r="A296" s="214"/>
      <c r="B296" s="214"/>
      <c r="C296" s="214"/>
      <c r="D296" s="214"/>
      <c r="E296" s="214"/>
      <c r="F296" s="214"/>
      <c r="G296" s="214"/>
      <c r="H296" s="214"/>
      <c r="I296" s="214"/>
      <c r="J296" s="214"/>
      <c r="K296" s="214"/>
      <c r="L296" s="214"/>
      <c r="M296" s="214"/>
      <c r="N296" s="215"/>
      <c r="O296" s="215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  <c r="BI296" s="216"/>
      <c r="BJ296" s="216"/>
      <c r="BK296" s="216"/>
      <c r="BL296" s="216"/>
      <c r="BM296" s="216"/>
      <c r="BN296" s="216"/>
      <c r="BO296" s="216"/>
      <c r="BP296" s="216"/>
      <c r="BQ296" s="216"/>
      <c r="BR296" s="216"/>
      <c r="BS296" s="216"/>
      <c r="BT296" s="216"/>
      <c r="BU296" s="216"/>
      <c r="BV296" s="216"/>
      <c r="BW296" s="216"/>
      <c r="BX296" s="216"/>
      <c r="BY296" s="216"/>
      <c r="BZ296" s="216"/>
      <c r="CA296" s="216"/>
      <c r="CB296" s="216"/>
      <c r="CC296" s="216"/>
      <c r="CD296" s="216"/>
      <c r="CE296" s="216"/>
      <c r="CF296" s="216"/>
      <c r="CG296" s="216"/>
      <c r="CH296" s="216"/>
      <c r="CI296" s="216"/>
      <c r="CJ296" s="216"/>
      <c r="CK296" s="216"/>
      <c r="CL296" s="216"/>
      <c r="CM296" s="216"/>
      <c r="CN296" s="216"/>
      <c r="CO296" s="216"/>
      <c r="CP296" s="216"/>
      <c r="CQ296" s="216"/>
      <c r="CR296" s="216"/>
      <c r="CS296" s="216"/>
      <c r="CT296" s="216"/>
      <c r="CU296" s="216"/>
      <c r="CV296" s="216"/>
      <c r="CW296" s="216"/>
      <c r="CX296" s="216"/>
      <c r="CY296" s="216"/>
    </row>
    <row r="297" spans="1:103" ht="24" customHeight="1" x14ac:dyDescent="0.2">
      <c r="A297" s="214"/>
      <c r="B297" s="214"/>
      <c r="C297" s="214"/>
      <c r="D297" s="214"/>
      <c r="E297" s="214"/>
      <c r="F297" s="214"/>
      <c r="G297" s="214"/>
      <c r="H297" s="214"/>
      <c r="I297" s="214"/>
      <c r="J297" s="214"/>
      <c r="K297" s="214"/>
      <c r="L297" s="214"/>
      <c r="M297" s="214"/>
      <c r="N297" s="215"/>
      <c r="O297" s="215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  <c r="BI297" s="216"/>
      <c r="BJ297" s="216"/>
      <c r="BK297" s="216"/>
      <c r="BL297" s="216"/>
      <c r="BM297" s="216"/>
      <c r="BN297" s="216"/>
      <c r="BO297" s="216"/>
      <c r="BP297" s="216"/>
      <c r="BQ297" s="216"/>
      <c r="BR297" s="216"/>
      <c r="BS297" s="216"/>
      <c r="BT297" s="216"/>
      <c r="BU297" s="216"/>
      <c r="BV297" s="216"/>
      <c r="BW297" s="216"/>
      <c r="BX297" s="216"/>
      <c r="BY297" s="216"/>
      <c r="BZ297" s="216"/>
      <c r="CA297" s="216"/>
      <c r="CB297" s="216"/>
      <c r="CC297" s="216"/>
      <c r="CD297" s="216"/>
      <c r="CE297" s="216"/>
      <c r="CF297" s="216"/>
      <c r="CG297" s="216"/>
      <c r="CH297" s="216"/>
      <c r="CI297" s="216"/>
      <c r="CJ297" s="216"/>
      <c r="CK297" s="216"/>
      <c r="CL297" s="216"/>
      <c r="CM297" s="216"/>
      <c r="CN297" s="216"/>
      <c r="CO297" s="216"/>
      <c r="CP297" s="216"/>
      <c r="CQ297" s="216"/>
      <c r="CR297" s="216"/>
      <c r="CS297" s="216"/>
      <c r="CT297" s="216"/>
      <c r="CU297" s="216"/>
      <c r="CV297" s="216"/>
      <c r="CW297" s="216"/>
      <c r="CX297" s="216"/>
      <c r="CY297" s="216"/>
    </row>
    <row r="298" spans="1:103" ht="24" customHeight="1" x14ac:dyDescent="0.2">
      <c r="A298" s="214"/>
      <c r="B298" s="214"/>
      <c r="C298" s="214"/>
      <c r="D298" s="214"/>
      <c r="E298" s="214"/>
      <c r="F298" s="214"/>
      <c r="G298" s="214"/>
      <c r="H298" s="214"/>
      <c r="I298" s="214"/>
      <c r="J298" s="214"/>
      <c r="K298" s="214"/>
      <c r="L298" s="214"/>
      <c r="M298" s="214"/>
      <c r="N298" s="215"/>
      <c r="O298" s="215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  <c r="AZ298" s="216"/>
      <c r="BA298" s="216"/>
      <c r="BB298" s="216"/>
      <c r="BC298" s="216"/>
      <c r="BD298" s="216"/>
      <c r="BE298" s="216"/>
      <c r="BF298" s="216"/>
      <c r="BG298" s="216"/>
      <c r="BH298" s="216"/>
      <c r="BI298" s="216"/>
      <c r="BJ298" s="216"/>
      <c r="BK298" s="216"/>
      <c r="BL298" s="216"/>
      <c r="BM298" s="216"/>
      <c r="BN298" s="216"/>
      <c r="BO298" s="216"/>
      <c r="BP298" s="216"/>
      <c r="BQ298" s="216"/>
      <c r="BR298" s="216"/>
      <c r="BS298" s="216"/>
      <c r="BT298" s="216"/>
      <c r="BU298" s="216"/>
      <c r="BV298" s="216"/>
      <c r="BW298" s="216"/>
      <c r="BX298" s="216"/>
      <c r="BY298" s="216"/>
      <c r="BZ298" s="216"/>
      <c r="CA298" s="216"/>
      <c r="CB298" s="216"/>
      <c r="CC298" s="216"/>
      <c r="CD298" s="216"/>
      <c r="CE298" s="216"/>
      <c r="CF298" s="216"/>
      <c r="CG298" s="216"/>
      <c r="CH298" s="216"/>
      <c r="CI298" s="216"/>
      <c r="CJ298" s="216"/>
      <c r="CK298" s="216"/>
      <c r="CL298" s="216"/>
      <c r="CM298" s="216"/>
      <c r="CN298" s="216"/>
      <c r="CO298" s="216"/>
      <c r="CP298" s="216"/>
      <c r="CQ298" s="216"/>
      <c r="CR298" s="216"/>
      <c r="CS298" s="216"/>
      <c r="CT298" s="216"/>
      <c r="CU298" s="216"/>
      <c r="CV298" s="216"/>
      <c r="CW298" s="216"/>
      <c r="CX298" s="216"/>
      <c r="CY298" s="216"/>
    </row>
    <row r="299" spans="1:103" ht="24" customHeight="1" x14ac:dyDescent="0.2">
      <c r="A299" s="214"/>
      <c r="B299" s="214"/>
      <c r="C299" s="214"/>
      <c r="D299" s="214"/>
      <c r="E299" s="214"/>
      <c r="F299" s="214"/>
      <c r="G299" s="214"/>
      <c r="H299" s="214"/>
      <c r="I299" s="214"/>
      <c r="J299" s="214"/>
      <c r="K299" s="214"/>
      <c r="L299" s="214"/>
      <c r="M299" s="214"/>
      <c r="N299" s="215"/>
      <c r="O299" s="215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  <c r="BI299" s="216"/>
      <c r="BJ299" s="216"/>
      <c r="BK299" s="216"/>
      <c r="BL299" s="216"/>
      <c r="BM299" s="216"/>
      <c r="BN299" s="216"/>
      <c r="BO299" s="216"/>
      <c r="BP299" s="216"/>
      <c r="BQ299" s="216"/>
      <c r="BR299" s="216"/>
      <c r="BS299" s="216"/>
      <c r="BT299" s="216"/>
      <c r="BU299" s="216"/>
      <c r="BV299" s="216"/>
      <c r="BW299" s="216"/>
      <c r="BX299" s="216"/>
      <c r="BY299" s="216"/>
      <c r="BZ299" s="216"/>
      <c r="CA299" s="216"/>
      <c r="CB299" s="216"/>
      <c r="CC299" s="216"/>
      <c r="CD299" s="216"/>
      <c r="CE299" s="216"/>
      <c r="CF299" s="216"/>
      <c r="CG299" s="216"/>
      <c r="CH299" s="216"/>
      <c r="CI299" s="216"/>
      <c r="CJ299" s="216"/>
      <c r="CK299" s="216"/>
      <c r="CL299" s="216"/>
      <c r="CM299" s="216"/>
      <c r="CN299" s="216"/>
      <c r="CO299" s="216"/>
      <c r="CP299" s="216"/>
      <c r="CQ299" s="216"/>
      <c r="CR299" s="216"/>
      <c r="CS299" s="216"/>
      <c r="CT299" s="216"/>
      <c r="CU299" s="216"/>
      <c r="CV299" s="216"/>
      <c r="CW299" s="216"/>
      <c r="CX299" s="216"/>
      <c r="CY299" s="216"/>
    </row>
    <row r="300" spans="1:103" ht="24" customHeight="1" x14ac:dyDescent="0.2">
      <c r="A300" s="214"/>
      <c r="B300" s="214"/>
      <c r="C300" s="214"/>
      <c r="D300" s="214"/>
      <c r="E300" s="214"/>
      <c r="F300" s="214"/>
      <c r="G300" s="214"/>
      <c r="H300" s="214"/>
      <c r="I300" s="214"/>
      <c r="J300" s="214"/>
      <c r="K300" s="214"/>
      <c r="L300" s="214"/>
      <c r="M300" s="214"/>
      <c r="N300" s="215"/>
      <c r="O300" s="215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  <c r="BI300" s="216"/>
      <c r="BJ300" s="216"/>
      <c r="BK300" s="216"/>
      <c r="BL300" s="216"/>
      <c r="BM300" s="216"/>
      <c r="BN300" s="216"/>
      <c r="BO300" s="216"/>
      <c r="BP300" s="216"/>
      <c r="BQ300" s="216"/>
      <c r="BR300" s="216"/>
      <c r="BS300" s="216"/>
      <c r="BT300" s="216"/>
      <c r="BU300" s="216"/>
      <c r="BV300" s="216"/>
      <c r="BW300" s="216"/>
      <c r="BX300" s="216"/>
      <c r="BY300" s="216"/>
      <c r="BZ300" s="216"/>
      <c r="CA300" s="216"/>
      <c r="CB300" s="216"/>
      <c r="CC300" s="216"/>
      <c r="CD300" s="216"/>
      <c r="CE300" s="216"/>
      <c r="CF300" s="216"/>
      <c r="CG300" s="216"/>
      <c r="CH300" s="216"/>
      <c r="CI300" s="216"/>
      <c r="CJ300" s="216"/>
      <c r="CK300" s="216"/>
      <c r="CL300" s="216"/>
      <c r="CM300" s="216"/>
      <c r="CN300" s="216"/>
      <c r="CO300" s="216"/>
      <c r="CP300" s="216"/>
      <c r="CQ300" s="216"/>
      <c r="CR300" s="216"/>
      <c r="CS300" s="216"/>
      <c r="CT300" s="216"/>
      <c r="CU300" s="216"/>
      <c r="CV300" s="216"/>
      <c r="CW300" s="216"/>
      <c r="CX300" s="216"/>
      <c r="CY300" s="216"/>
    </row>
    <row r="301" spans="1:103" ht="24" customHeight="1" x14ac:dyDescent="0.2">
      <c r="A301" s="214"/>
      <c r="B301" s="214"/>
      <c r="C301" s="214"/>
      <c r="D301" s="214"/>
      <c r="E301" s="214"/>
      <c r="F301" s="214"/>
      <c r="G301" s="214"/>
      <c r="H301" s="214"/>
      <c r="I301" s="214"/>
      <c r="J301" s="214"/>
      <c r="K301" s="214"/>
      <c r="L301" s="214"/>
      <c r="M301" s="214"/>
      <c r="N301" s="215"/>
      <c r="O301" s="215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  <c r="BI301" s="216"/>
      <c r="BJ301" s="216"/>
      <c r="BK301" s="216"/>
      <c r="BL301" s="216"/>
      <c r="BM301" s="216"/>
      <c r="BN301" s="216"/>
      <c r="BO301" s="216"/>
      <c r="BP301" s="216"/>
      <c r="BQ301" s="216"/>
      <c r="BR301" s="216"/>
      <c r="BS301" s="216"/>
      <c r="BT301" s="216"/>
      <c r="BU301" s="216"/>
      <c r="BV301" s="216"/>
      <c r="BW301" s="216"/>
      <c r="BX301" s="216"/>
      <c r="BY301" s="216"/>
      <c r="BZ301" s="216"/>
      <c r="CA301" s="216"/>
      <c r="CB301" s="216"/>
      <c r="CC301" s="216"/>
      <c r="CD301" s="216"/>
      <c r="CE301" s="216"/>
      <c r="CF301" s="216"/>
      <c r="CG301" s="216"/>
      <c r="CH301" s="216"/>
      <c r="CI301" s="216"/>
      <c r="CJ301" s="216"/>
      <c r="CK301" s="216"/>
      <c r="CL301" s="216"/>
      <c r="CM301" s="216"/>
      <c r="CN301" s="216"/>
      <c r="CO301" s="216"/>
      <c r="CP301" s="216"/>
      <c r="CQ301" s="216"/>
      <c r="CR301" s="216"/>
      <c r="CS301" s="216"/>
      <c r="CT301" s="216"/>
      <c r="CU301" s="216"/>
      <c r="CV301" s="216"/>
      <c r="CW301" s="216"/>
      <c r="CX301" s="216"/>
      <c r="CY301" s="216"/>
    </row>
    <row r="302" spans="1:103" ht="24" customHeight="1" x14ac:dyDescent="0.2">
      <c r="A302" s="214"/>
      <c r="B302" s="214"/>
      <c r="C302" s="214"/>
      <c r="D302" s="214"/>
      <c r="E302" s="214"/>
      <c r="F302" s="214"/>
      <c r="G302" s="214"/>
      <c r="H302" s="214"/>
      <c r="I302" s="214"/>
      <c r="J302" s="214"/>
      <c r="K302" s="214"/>
      <c r="L302" s="214"/>
      <c r="M302" s="214"/>
      <c r="N302" s="215"/>
      <c r="O302" s="215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  <c r="BI302" s="216"/>
      <c r="BJ302" s="216"/>
      <c r="BK302" s="216"/>
      <c r="BL302" s="216"/>
      <c r="BM302" s="216"/>
      <c r="BN302" s="216"/>
      <c r="BO302" s="216"/>
      <c r="BP302" s="216"/>
      <c r="BQ302" s="216"/>
      <c r="BR302" s="216"/>
      <c r="BS302" s="216"/>
      <c r="BT302" s="216"/>
      <c r="BU302" s="216"/>
      <c r="BV302" s="216"/>
      <c r="BW302" s="216"/>
      <c r="BX302" s="216"/>
      <c r="BY302" s="216"/>
      <c r="BZ302" s="216"/>
      <c r="CA302" s="216"/>
      <c r="CB302" s="216"/>
      <c r="CC302" s="216"/>
      <c r="CD302" s="216"/>
      <c r="CE302" s="216"/>
      <c r="CF302" s="216"/>
      <c r="CG302" s="216"/>
      <c r="CH302" s="216"/>
      <c r="CI302" s="216"/>
      <c r="CJ302" s="216"/>
      <c r="CK302" s="216"/>
      <c r="CL302" s="216"/>
      <c r="CM302" s="216"/>
      <c r="CN302" s="216"/>
      <c r="CO302" s="216"/>
      <c r="CP302" s="216"/>
      <c r="CQ302" s="216"/>
      <c r="CR302" s="216"/>
      <c r="CS302" s="216"/>
      <c r="CT302" s="216"/>
      <c r="CU302" s="216"/>
      <c r="CV302" s="216"/>
      <c r="CW302" s="216"/>
      <c r="CX302" s="216"/>
      <c r="CY302" s="216"/>
    </row>
    <row r="303" spans="1:103" ht="24" customHeight="1" x14ac:dyDescent="0.2">
      <c r="A303" s="214"/>
      <c r="B303" s="214"/>
      <c r="C303" s="214"/>
      <c r="D303" s="214"/>
      <c r="E303" s="214"/>
      <c r="F303" s="214"/>
      <c r="G303" s="214"/>
      <c r="H303" s="214"/>
      <c r="I303" s="214"/>
      <c r="J303" s="214"/>
      <c r="K303" s="214"/>
      <c r="L303" s="214"/>
      <c r="M303" s="214"/>
      <c r="N303" s="215"/>
      <c r="O303" s="215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  <c r="BI303" s="216"/>
      <c r="BJ303" s="216"/>
      <c r="BK303" s="216"/>
      <c r="BL303" s="216"/>
      <c r="BM303" s="216"/>
      <c r="BN303" s="216"/>
      <c r="BO303" s="216"/>
      <c r="BP303" s="216"/>
      <c r="BQ303" s="216"/>
      <c r="BR303" s="216"/>
      <c r="BS303" s="216"/>
      <c r="BT303" s="216"/>
      <c r="BU303" s="216"/>
      <c r="BV303" s="216"/>
      <c r="BW303" s="216"/>
      <c r="BX303" s="216"/>
      <c r="BY303" s="216"/>
      <c r="BZ303" s="216"/>
      <c r="CA303" s="216"/>
      <c r="CB303" s="216"/>
      <c r="CC303" s="216"/>
      <c r="CD303" s="216"/>
      <c r="CE303" s="216"/>
      <c r="CF303" s="216"/>
      <c r="CG303" s="216"/>
      <c r="CH303" s="216"/>
      <c r="CI303" s="216"/>
      <c r="CJ303" s="216"/>
      <c r="CK303" s="216"/>
      <c r="CL303" s="216"/>
      <c r="CM303" s="216"/>
      <c r="CN303" s="216"/>
      <c r="CO303" s="216"/>
      <c r="CP303" s="216"/>
      <c r="CQ303" s="216"/>
      <c r="CR303" s="216"/>
      <c r="CS303" s="216"/>
      <c r="CT303" s="216"/>
      <c r="CU303" s="216"/>
      <c r="CV303" s="216"/>
      <c r="CW303" s="216"/>
      <c r="CX303" s="216"/>
      <c r="CY303" s="216"/>
    </row>
    <row r="304" spans="1:103" ht="24" customHeight="1" x14ac:dyDescent="0.2">
      <c r="A304" s="214"/>
      <c r="B304" s="214"/>
      <c r="C304" s="214"/>
      <c r="D304" s="214"/>
      <c r="E304" s="214"/>
      <c r="F304" s="214"/>
      <c r="G304" s="214"/>
      <c r="H304" s="214"/>
      <c r="I304" s="214"/>
      <c r="J304" s="214"/>
      <c r="K304" s="214"/>
      <c r="L304" s="214"/>
      <c r="M304" s="214"/>
      <c r="N304" s="215"/>
      <c r="O304" s="215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  <c r="BI304" s="216"/>
      <c r="BJ304" s="216"/>
      <c r="BK304" s="216"/>
      <c r="BL304" s="216"/>
      <c r="BM304" s="216"/>
      <c r="BN304" s="216"/>
      <c r="BO304" s="216"/>
      <c r="BP304" s="216"/>
      <c r="BQ304" s="216"/>
      <c r="BR304" s="216"/>
      <c r="BS304" s="216"/>
      <c r="BT304" s="216"/>
      <c r="BU304" s="216"/>
      <c r="BV304" s="216"/>
      <c r="BW304" s="216"/>
      <c r="BX304" s="216"/>
      <c r="BY304" s="216"/>
      <c r="BZ304" s="216"/>
      <c r="CA304" s="216"/>
      <c r="CB304" s="216"/>
      <c r="CC304" s="216"/>
      <c r="CD304" s="216"/>
      <c r="CE304" s="216"/>
      <c r="CF304" s="216"/>
      <c r="CG304" s="216"/>
      <c r="CH304" s="216"/>
      <c r="CI304" s="216"/>
      <c r="CJ304" s="216"/>
      <c r="CK304" s="216"/>
      <c r="CL304" s="216"/>
      <c r="CM304" s="216"/>
      <c r="CN304" s="216"/>
      <c r="CO304" s="216"/>
      <c r="CP304" s="216"/>
      <c r="CQ304" s="216"/>
      <c r="CR304" s="216"/>
      <c r="CS304" s="216"/>
      <c r="CT304" s="216"/>
      <c r="CU304" s="216"/>
      <c r="CV304" s="216"/>
      <c r="CW304" s="216"/>
      <c r="CX304" s="216"/>
      <c r="CY304" s="216"/>
    </row>
    <row r="305" spans="1:103" ht="24" customHeight="1" x14ac:dyDescent="0.2">
      <c r="A305" s="214"/>
      <c r="B305" s="214"/>
      <c r="C305" s="214"/>
      <c r="D305" s="214"/>
      <c r="E305" s="214"/>
      <c r="F305" s="214"/>
      <c r="G305" s="214"/>
      <c r="H305" s="214"/>
      <c r="I305" s="214"/>
      <c r="J305" s="214"/>
      <c r="K305" s="214"/>
      <c r="L305" s="214"/>
      <c r="M305" s="214"/>
      <c r="N305" s="215"/>
      <c r="O305" s="215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  <c r="AZ305" s="216"/>
      <c r="BA305" s="216"/>
      <c r="BB305" s="216"/>
      <c r="BC305" s="216"/>
      <c r="BD305" s="216"/>
      <c r="BE305" s="216"/>
      <c r="BF305" s="216"/>
      <c r="BG305" s="216"/>
      <c r="BH305" s="216"/>
      <c r="BI305" s="216"/>
      <c r="BJ305" s="216"/>
      <c r="BK305" s="216"/>
      <c r="BL305" s="216"/>
      <c r="BM305" s="216"/>
      <c r="BN305" s="216"/>
      <c r="BO305" s="216"/>
      <c r="BP305" s="216"/>
      <c r="BQ305" s="216"/>
      <c r="BR305" s="216"/>
      <c r="BS305" s="216"/>
      <c r="BT305" s="216"/>
      <c r="BU305" s="216"/>
      <c r="BV305" s="216"/>
      <c r="BW305" s="216"/>
      <c r="BX305" s="216"/>
      <c r="BY305" s="216"/>
      <c r="BZ305" s="216"/>
      <c r="CA305" s="216"/>
      <c r="CB305" s="216"/>
      <c r="CC305" s="216"/>
      <c r="CD305" s="216"/>
      <c r="CE305" s="216"/>
      <c r="CF305" s="216"/>
      <c r="CG305" s="216"/>
      <c r="CH305" s="216"/>
      <c r="CI305" s="216"/>
      <c r="CJ305" s="216"/>
      <c r="CK305" s="216"/>
      <c r="CL305" s="216"/>
      <c r="CM305" s="216"/>
      <c r="CN305" s="216"/>
      <c r="CO305" s="216"/>
      <c r="CP305" s="216"/>
      <c r="CQ305" s="216"/>
      <c r="CR305" s="216"/>
      <c r="CS305" s="216"/>
      <c r="CT305" s="216"/>
      <c r="CU305" s="216"/>
      <c r="CV305" s="216"/>
      <c r="CW305" s="216"/>
      <c r="CX305" s="216"/>
      <c r="CY305" s="216"/>
    </row>
    <row r="306" spans="1:103" ht="24" customHeight="1" x14ac:dyDescent="0.2">
      <c r="A306" s="214"/>
      <c r="B306" s="214"/>
      <c r="C306" s="214"/>
      <c r="D306" s="214"/>
      <c r="E306" s="214"/>
      <c r="F306" s="214"/>
      <c r="G306" s="214"/>
      <c r="H306" s="214"/>
      <c r="I306" s="214"/>
      <c r="J306" s="214"/>
      <c r="K306" s="214"/>
      <c r="L306" s="214"/>
      <c r="M306" s="214"/>
      <c r="N306" s="215"/>
      <c r="O306" s="215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  <c r="AZ306" s="216"/>
      <c r="BA306" s="216"/>
      <c r="BB306" s="216"/>
      <c r="BC306" s="216"/>
      <c r="BD306" s="216"/>
      <c r="BE306" s="216"/>
      <c r="BF306" s="216"/>
      <c r="BG306" s="216"/>
      <c r="BH306" s="216"/>
      <c r="BI306" s="216"/>
      <c r="BJ306" s="216"/>
      <c r="BK306" s="216"/>
      <c r="BL306" s="216"/>
      <c r="BM306" s="216"/>
      <c r="BN306" s="216"/>
      <c r="BO306" s="216"/>
      <c r="BP306" s="216"/>
      <c r="BQ306" s="216"/>
      <c r="BR306" s="216"/>
      <c r="BS306" s="216"/>
      <c r="BT306" s="216"/>
      <c r="BU306" s="216"/>
      <c r="BV306" s="216"/>
      <c r="BW306" s="216"/>
      <c r="BX306" s="216"/>
      <c r="BY306" s="216"/>
      <c r="BZ306" s="216"/>
      <c r="CA306" s="216"/>
      <c r="CB306" s="216"/>
      <c r="CC306" s="216"/>
      <c r="CD306" s="216"/>
      <c r="CE306" s="216"/>
      <c r="CF306" s="216"/>
      <c r="CG306" s="216"/>
      <c r="CH306" s="216"/>
      <c r="CI306" s="216"/>
      <c r="CJ306" s="216"/>
      <c r="CK306" s="216"/>
      <c r="CL306" s="216"/>
      <c r="CM306" s="216"/>
      <c r="CN306" s="216"/>
      <c r="CO306" s="216"/>
      <c r="CP306" s="216"/>
      <c r="CQ306" s="216"/>
      <c r="CR306" s="216"/>
      <c r="CS306" s="216"/>
      <c r="CT306" s="216"/>
      <c r="CU306" s="216"/>
      <c r="CV306" s="216"/>
      <c r="CW306" s="216"/>
      <c r="CX306" s="216"/>
      <c r="CY306" s="216"/>
    </row>
    <row r="307" spans="1:103" ht="24" customHeight="1" x14ac:dyDescent="0.2">
      <c r="A307" s="214"/>
      <c r="B307" s="214"/>
      <c r="C307" s="214"/>
      <c r="D307" s="214"/>
      <c r="E307" s="214"/>
      <c r="F307" s="214"/>
      <c r="G307" s="214"/>
      <c r="H307" s="214"/>
      <c r="I307" s="214"/>
      <c r="J307" s="214"/>
      <c r="K307" s="214"/>
      <c r="L307" s="214"/>
      <c r="M307" s="214"/>
      <c r="N307" s="215"/>
      <c r="O307" s="215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  <c r="BI307" s="216"/>
      <c r="BJ307" s="216"/>
      <c r="BK307" s="216"/>
      <c r="BL307" s="216"/>
      <c r="BM307" s="216"/>
      <c r="BN307" s="216"/>
      <c r="BO307" s="216"/>
      <c r="BP307" s="216"/>
      <c r="BQ307" s="216"/>
      <c r="BR307" s="216"/>
      <c r="BS307" s="216"/>
      <c r="BT307" s="216"/>
      <c r="BU307" s="216"/>
      <c r="BV307" s="216"/>
      <c r="BW307" s="216"/>
      <c r="BX307" s="216"/>
      <c r="BY307" s="216"/>
      <c r="BZ307" s="216"/>
      <c r="CA307" s="216"/>
      <c r="CB307" s="216"/>
      <c r="CC307" s="216"/>
      <c r="CD307" s="216"/>
      <c r="CE307" s="216"/>
      <c r="CF307" s="216"/>
      <c r="CG307" s="216"/>
      <c r="CH307" s="216"/>
      <c r="CI307" s="216"/>
      <c r="CJ307" s="216"/>
      <c r="CK307" s="216"/>
      <c r="CL307" s="216"/>
      <c r="CM307" s="216"/>
      <c r="CN307" s="216"/>
      <c r="CO307" s="216"/>
      <c r="CP307" s="216"/>
      <c r="CQ307" s="216"/>
      <c r="CR307" s="216"/>
      <c r="CS307" s="216"/>
      <c r="CT307" s="216"/>
      <c r="CU307" s="216"/>
      <c r="CV307" s="216"/>
      <c r="CW307" s="216"/>
      <c r="CX307" s="216"/>
      <c r="CY307" s="216"/>
    </row>
    <row r="308" spans="1:103" ht="24" customHeight="1" x14ac:dyDescent="0.2">
      <c r="A308" s="214"/>
      <c r="B308" s="214"/>
      <c r="C308" s="214"/>
      <c r="D308" s="214"/>
      <c r="E308" s="214"/>
      <c r="F308" s="214"/>
      <c r="G308" s="214"/>
      <c r="H308" s="214"/>
      <c r="I308" s="214"/>
      <c r="J308" s="214"/>
      <c r="K308" s="214"/>
      <c r="L308" s="214"/>
      <c r="M308" s="214"/>
      <c r="N308" s="215"/>
      <c r="O308" s="215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  <c r="BI308" s="216"/>
      <c r="BJ308" s="216"/>
      <c r="BK308" s="216"/>
      <c r="BL308" s="216"/>
      <c r="BM308" s="216"/>
      <c r="BN308" s="216"/>
      <c r="BO308" s="216"/>
      <c r="BP308" s="216"/>
      <c r="BQ308" s="216"/>
      <c r="BR308" s="216"/>
      <c r="BS308" s="216"/>
      <c r="BT308" s="216"/>
      <c r="BU308" s="216"/>
      <c r="BV308" s="216"/>
      <c r="BW308" s="216"/>
      <c r="BX308" s="216"/>
      <c r="BY308" s="216"/>
      <c r="BZ308" s="216"/>
      <c r="CA308" s="216"/>
      <c r="CB308" s="216"/>
      <c r="CC308" s="216"/>
      <c r="CD308" s="216"/>
      <c r="CE308" s="216"/>
      <c r="CF308" s="216"/>
      <c r="CG308" s="216"/>
      <c r="CH308" s="216"/>
      <c r="CI308" s="216"/>
      <c r="CJ308" s="216"/>
      <c r="CK308" s="216"/>
      <c r="CL308" s="216"/>
      <c r="CM308" s="216"/>
      <c r="CN308" s="216"/>
      <c r="CO308" s="216"/>
      <c r="CP308" s="216"/>
      <c r="CQ308" s="216"/>
      <c r="CR308" s="216"/>
      <c r="CS308" s="216"/>
      <c r="CT308" s="216"/>
      <c r="CU308" s="216"/>
      <c r="CV308" s="216"/>
      <c r="CW308" s="216"/>
      <c r="CX308" s="216"/>
      <c r="CY308" s="216"/>
    </row>
    <row r="309" spans="1:103" ht="24" customHeight="1" x14ac:dyDescent="0.2">
      <c r="A309" s="214"/>
      <c r="B309" s="214"/>
      <c r="C309" s="214"/>
      <c r="D309" s="214"/>
      <c r="E309" s="214"/>
      <c r="F309" s="214"/>
      <c r="G309" s="214"/>
      <c r="H309" s="214"/>
      <c r="I309" s="214"/>
      <c r="J309" s="214"/>
      <c r="K309" s="214"/>
      <c r="L309" s="214"/>
      <c r="M309" s="214"/>
      <c r="N309" s="215"/>
      <c r="O309" s="215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  <c r="AZ309" s="216"/>
      <c r="BA309" s="216"/>
      <c r="BB309" s="216"/>
      <c r="BC309" s="216"/>
      <c r="BD309" s="216"/>
      <c r="BE309" s="216"/>
      <c r="BF309" s="216"/>
      <c r="BG309" s="216"/>
      <c r="BH309" s="216"/>
      <c r="BI309" s="216"/>
      <c r="BJ309" s="216"/>
      <c r="BK309" s="216"/>
      <c r="BL309" s="216"/>
      <c r="BM309" s="216"/>
      <c r="BN309" s="216"/>
      <c r="BO309" s="216"/>
      <c r="BP309" s="216"/>
      <c r="BQ309" s="216"/>
      <c r="BR309" s="216"/>
      <c r="BS309" s="216"/>
      <c r="BT309" s="216"/>
      <c r="BU309" s="216"/>
      <c r="BV309" s="216"/>
      <c r="BW309" s="216"/>
      <c r="BX309" s="216"/>
      <c r="BY309" s="216"/>
      <c r="BZ309" s="216"/>
      <c r="CA309" s="216"/>
      <c r="CB309" s="216"/>
      <c r="CC309" s="216"/>
      <c r="CD309" s="216"/>
      <c r="CE309" s="216"/>
      <c r="CF309" s="216"/>
      <c r="CG309" s="216"/>
      <c r="CH309" s="216"/>
      <c r="CI309" s="216"/>
      <c r="CJ309" s="216"/>
      <c r="CK309" s="216"/>
      <c r="CL309" s="216"/>
      <c r="CM309" s="216"/>
      <c r="CN309" s="216"/>
      <c r="CO309" s="216"/>
      <c r="CP309" s="216"/>
      <c r="CQ309" s="216"/>
      <c r="CR309" s="216"/>
      <c r="CS309" s="216"/>
      <c r="CT309" s="216"/>
      <c r="CU309" s="216"/>
      <c r="CV309" s="216"/>
      <c r="CW309" s="216"/>
      <c r="CX309" s="216"/>
      <c r="CY309" s="216"/>
    </row>
    <row r="310" spans="1:103" ht="24" customHeight="1" x14ac:dyDescent="0.2">
      <c r="A310" s="214"/>
      <c r="B310" s="214"/>
      <c r="C310" s="214"/>
      <c r="D310" s="214"/>
      <c r="E310" s="214"/>
      <c r="F310" s="214"/>
      <c r="G310" s="214"/>
      <c r="H310" s="214"/>
      <c r="I310" s="214"/>
      <c r="J310" s="214"/>
      <c r="K310" s="214"/>
      <c r="L310" s="214"/>
      <c r="M310" s="214"/>
      <c r="N310" s="215"/>
      <c r="O310" s="215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216"/>
      <c r="BC310" s="216"/>
      <c r="BD310" s="216"/>
      <c r="BE310" s="216"/>
      <c r="BF310" s="216"/>
      <c r="BG310" s="216"/>
      <c r="BH310" s="216"/>
      <c r="BI310" s="216"/>
      <c r="BJ310" s="216"/>
      <c r="BK310" s="216"/>
      <c r="BL310" s="216"/>
      <c r="BM310" s="216"/>
      <c r="BN310" s="216"/>
      <c r="BO310" s="216"/>
      <c r="BP310" s="216"/>
      <c r="BQ310" s="216"/>
      <c r="BR310" s="216"/>
      <c r="BS310" s="216"/>
      <c r="BT310" s="216"/>
      <c r="BU310" s="216"/>
      <c r="BV310" s="216"/>
      <c r="BW310" s="216"/>
      <c r="BX310" s="216"/>
      <c r="BY310" s="216"/>
      <c r="BZ310" s="216"/>
      <c r="CA310" s="216"/>
      <c r="CB310" s="216"/>
      <c r="CC310" s="216"/>
      <c r="CD310" s="216"/>
      <c r="CE310" s="216"/>
      <c r="CF310" s="216"/>
      <c r="CG310" s="216"/>
      <c r="CH310" s="216"/>
      <c r="CI310" s="216"/>
      <c r="CJ310" s="216"/>
      <c r="CK310" s="216"/>
      <c r="CL310" s="216"/>
      <c r="CM310" s="216"/>
      <c r="CN310" s="216"/>
      <c r="CO310" s="216"/>
      <c r="CP310" s="216"/>
      <c r="CQ310" s="216"/>
      <c r="CR310" s="216"/>
      <c r="CS310" s="216"/>
      <c r="CT310" s="216"/>
      <c r="CU310" s="216"/>
      <c r="CV310" s="216"/>
      <c r="CW310" s="216"/>
      <c r="CX310" s="216"/>
      <c r="CY310" s="216"/>
    </row>
    <row r="311" spans="1:103" ht="24" customHeight="1" x14ac:dyDescent="0.2">
      <c r="A311" s="214"/>
      <c r="B311" s="214"/>
      <c r="C311" s="214"/>
      <c r="D311" s="214"/>
      <c r="E311" s="214"/>
      <c r="F311" s="214"/>
      <c r="G311" s="214"/>
      <c r="H311" s="214"/>
      <c r="I311" s="214"/>
      <c r="J311" s="214"/>
      <c r="K311" s="214"/>
      <c r="L311" s="214"/>
      <c r="M311" s="214"/>
      <c r="N311" s="215"/>
      <c r="O311" s="215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  <c r="AZ311" s="216"/>
      <c r="BA311" s="216"/>
      <c r="BB311" s="216"/>
      <c r="BC311" s="216"/>
      <c r="BD311" s="216"/>
      <c r="BE311" s="216"/>
      <c r="BF311" s="216"/>
      <c r="BG311" s="216"/>
      <c r="BH311" s="216"/>
      <c r="BI311" s="216"/>
      <c r="BJ311" s="216"/>
      <c r="BK311" s="216"/>
      <c r="BL311" s="216"/>
      <c r="BM311" s="216"/>
      <c r="BN311" s="216"/>
      <c r="BO311" s="216"/>
      <c r="BP311" s="216"/>
      <c r="BQ311" s="216"/>
      <c r="BR311" s="216"/>
      <c r="BS311" s="216"/>
      <c r="BT311" s="216"/>
      <c r="BU311" s="216"/>
      <c r="BV311" s="216"/>
      <c r="BW311" s="216"/>
      <c r="BX311" s="216"/>
      <c r="BY311" s="216"/>
      <c r="BZ311" s="216"/>
      <c r="CA311" s="216"/>
      <c r="CB311" s="216"/>
      <c r="CC311" s="216"/>
      <c r="CD311" s="216"/>
      <c r="CE311" s="216"/>
      <c r="CF311" s="216"/>
      <c r="CG311" s="216"/>
      <c r="CH311" s="216"/>
      <c r="CI311" s="216"/>
      <c r="CJ311" s="216"/>
      <c r="CK311" s="216"/>
      <c r="CL311" s="216"/>
      <c r="CM311" s="216"/>
      <c r="CN311" s="216"/>
      <c r="CO311" s="216"/>
      <c r="CP311" s="216"/>
      <c r="CQ311" s="216"/>
      <c r="CR311" s="216"/>
      <c r="CS311" s="216"/>
      <c r="CT311" s="216"/>
      <c r="CU311" s="216"/>
      <c r="CV311" s="216"/>
      <c r="CW311" s="216"/>
      <c r="CX311" s="216"/>
      <c r="CY311" s="216"/>
    </row>
    <row r="312" spans="1:103" ht="24" customHeight="1" x14ac:dyDescent="0.2">
      <c r="A312" s="214"/>
      <c r="B312" s="214"/>
      <c r="C312" s="214"/>
      <c r="D312" s="214"/>
      <c r="E312" s="214"/>
      <c r="F312" s="214"/>
      <c r="G312" s="214"/>
      <c r="H312" s="214"/>
      <c r="I312" s="214"/>
      <c r="J312" s="214"/>
      <c r="K312" s="214"/>
      <c r="L312" s="214"/>
      <c r="M312" s="214"/>
      <c r="N312" s="215"/>
      <c r="O312" s="215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  <c r="AZ312" s="216"/>
      <c r="BA312" s="216"/>
      <c r="BB312" s="216"/>
      <c r="BC312" s="216"/>
      <c r="BD312" s="216"/>
      <c r="BE312" s="216"/>
      <c r="BF312" s="216"/>
      <c r="BG312" s="216"/>
      <c r="BH312" s="216"/>
      <c r="BI312" s="216"/>
      <c r="BJ312" s="216"/>
      <c r="BK312" s="216"/>
      <c r="BL312" s="216"/>
      <c r="BM312" s="216"/>
      <c r="BN312" s="216"/>
      <c r="BO312" s="216"/>
      <c r="BP312" s="216"/>
      <c r="BQ312" s="216"/>
      <c r="BR312" s="216"/>
      <c r="BS312" s="216"/>
      <c r="BT312" s="216"/>
      <c r="BU312" s="216"/>
      <c r="BV312" s="216"/>
      <c r="BW312" s="216"/>
      <c r="BX312" s="216"/>
      <c r="BY312" s="216"/>
      <c r="BZ312" s="216"/>
      <c r="CA312" s="216"/>
      <c r="CB312" s="216"/>
      <c r="CC312" s="216"/>
      <c r="CD312" s="216"/>
      <c r="CE312" s="216"/>
      <c r="CF312" s="216"/>
      <c r="CG312" s="216"/>
      <c r="CH312" s="216"/>
      <c r="CI312" s="216"/>
      <c r="CJ312" s="216"/>
      <c r="CK312" s="216"/>
      <c r="CL312" s="216"/>
      <c r="CM312" s="216"/>
      <c r="CN312" s="216"/>
      <c r="CO312" s="216"/>
      <c r="CP312" s="216"/>
      <c r="CQ312" s="216"/>
      <c r="CR312" s="216"/>
      <c r="CS312" s="216"/>
      <c r="CT312" s="216"/>
      <c r="CU312" s="216"/>
      <c r="CV312" s="216"/>
      <c r="CW312" s="216"/>
      <c r="CX312" s="216"/>
      <c r="CY312" s="216"/>
    </row>
    <row r="313" spans="1:103" ht="24" customHeight="1" x14ac:dyDescent="0.2">
      <c r="A313" s="214"/>
      <c r="B313" s="214"/>
      <c r="C313" s="214"/>
      <c r="D313" s="214"/>
      <c r="E313" s="214"/>
      <c r="F313" s="214"/>
      <c r="G313" s="214"/>
      <c r="H313" s="214"/>
      <c r="I313" s="214"/>
      <c r="J313" s="214"/>
      <c r="K313" s="214"/>
      <c r="L313" s="214"/>
      <c r="M313" s="214"/>
      <c r="N313" s="215"/>
      <c r="O313" s="215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  <c r="AZ313" s="216"/>
      <c r="BA313" s="216"/>
      <c r="BB313" s="216"/>
      <c r="BC313" s="216"/>
      <c r="BD313" s="216"/>
      <c r="BE313" s="216"/>
      <c r="BF313" s="216"/>
      <c r="BG313" s="216"/>
      <c r="BH313" s="216"/>
      <c r="BI313" s="216"/>
      <c r="BJ313" s="216"/>
      <c r="BK313" s="216"/>
      <c r="BL313" s="216"/>
      <c r="BM313" s="216"/>
      <c r="BN313" s="216"/>
      <c r="BO313" s="216"/>
      <c r="BP313" s="216"/>
      <c r="BQ313" s="216"/>
      <c r="BR313" s="216"/>
      <c r="BS313" s="216"/>
      <c r="BT313" s="216"/>
      <c r="BU313" s="216"/>
      <c r="BV313" s="216"/>
      <c r="BW313" s="216"/>
      <c r="BX313" s="216"/>
      <c r="BY313" s="216"/>
      <c r="BZ313" s="216"/>
      <c r="CA313" s="216"/>
      <c r="CB313" s="216"/>
      <c r="CC313" s="216"/>
      <c r="CD313" s="216"/>
      <c r="CE313" s="216"/>
      <c r="CF313" s="216"/>
      <c r="CG313" s="216"/>
      <c r="CH313" s="216"/>
      <c r="CI313" s="216"/>
      <c r="CJ313" s="216"/>
      <c r="CK313" s="216"/>
      <c r="CL313" s="216"/>
      <c r="CM313" s="216"/>
      <c r="CN313" s="216"/>
      <c r="CO313" s="216"/>
      <c r="CP313" s="216"/>
      <c r="CQ313" s="216"/>
      <c r="CR313" s="216"/>
      <c r="CS313" s="216"/>
      <c r="CT313" s="216"/>
      <c r="CU313" s="216"/>
      <c r="CV313" s="216"/>
      <c r="CW313" s="216"/>
      <c r="CX313" s="216"/>
      <c r="CY313" s="216"/>
    </row>
    <row r="314" spans="1:103" ht="12.75" x14ac:dyDescent="0.2">
      <c r="A314" s="214"/>
      <c r="B314" s="214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/>
      <c r="M314" s="214"/>
      <c r="N314" s="215"/>
      <c r="O314" s="215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  <c r="BI314" s="216"/>
      <c r="BJ314" s="216"/>
      <c r="BK314" s="216"/>
      <c r="BL314" s="216"/>
      <c r="BM314" s="216"/>
      <c r="BN314" s="216"/>
      <c r="BO314" s="216"/>
      <c r="BP314" s="216"/>
      <c r="BQ314" s="216"/>
      <c r="BR314" s="216"/>
      <c r="BS314" s="216"/>
      <c r="BT314" s="216"/>
      <c r="BU314" s="216"/>
      <c r="BV314" s="216"/>
      <c r="BW314" s="216"/>
      <c r="BX314" s="216"/>
      <c r="BY314" s="216"/>
      <c r="BZ314" s="216"/>
      <c r="CA314" s="216"/>
      <c r="CB314" s="216"/>
      <c r="CC314" s="216"/>
      <c r="CD314" s="216"/>
      <c r="CE314" s="216"/>
      <c r="CF314" s="216"/>
      <c r="CG314" s="216"/>
      <c r="CH314" s="216"/>
      <c r="CI314" s="216"/>
      <c r="CJ314" s="216"/>
      <c r="CK314" s="216"/>
      <c r="CL314" s="216"/>
      <c r="CM314" s="216"/>
      <c r="CN314" s="216"/>
      <c r="CO314" s="216"/>
      <c r="CP314" s="216"/>
      <c r="CQ314" s="216"/>
      <c r="CR314" s="216"/>
      <c r="CS314" s="216"/>
      <c r="CT314" s="216"/>
      <c r="CU314" s="216"/>
      <c r="CV314" s="216"/>
      <c r="CW314" s="216"/>
      <c r="CX314" s="216"/>
      <c r="CY314" s="216"/>
    </row>
    <row r="315" spans="1:103" ht="12.75" x14ac:dyDescent="0.2">
      <c r="A315" s="214"/>
      <c r="B315" s="214"/>
      <c r="C315" s="214"/>
      <c r="D315" s="214"/>
      <c r="E315" s="214"/>
      <c r="F315" s="214"/>
      <c r="G315" s="214"/>
      <c r="H315" s="214"/>
      <c r="I315" s="214"/>
      <c r="J315" s="214"/>
      <c r="K315" s="214"/>
      <c r="L315" s="214"/>
      <c r="M315" s="214"/>
      <c r="N315" s="215"/>
      <c r="O315" s="215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6"/>
      <c r="BN315" s="216"/>
      <c r="BO315" s="216"/>
      <c r="BP315" s="216"/>
      <c r="BQ315" s="216"/>
      <c r="BR315" s="216"/>
      <c r="BS315" s="216"/>
      <c r="BT315" s="216"/>
      <c r="BU315" s="216"/>
      <c r="BV315" s="216"/>
      <c r="BW315" s="216"/>
      <c r="BX315" s="216"/>
      <c r="BY315" s="216"/>
      <c r="BZ315" s="216"/>
      <c r="CA315" s="216"/>
      <c r="CB315" s="216"/>
      <c r="CC315" s="216"/>
      <c r="CD315" s="216"/>
      <c r="CE315" s="216"/>
      <c r="CF315" s="216"/>
      <c r="CG315" s="216"/>
      <c r="CH315" s="216"/>
      <c r="CI315" s="216"/>
      <c r="CJ315" s="216"/>
      <c r="CK315" s="216"/>
      <c r="CL315" s="216"/>
      <c r="CM315" s="216"/>
      <c r="CN315" s="216"/>
      <c r="CO315" s="216"/>
      <c r="CP315" s="216"/>
      <c r="CQ315" s="216"/>
      <c r="CR315" s="216"/>
      <c r="CS315" s="216"/>
      <c r="CT315" s="216"/>
      <c r="CU315" s="216"/>
      <c r="CV315" s="216"/>
      <c r="CW315" s="216"/>
      <c r="CX315" s="216"/>
      <c r="CY315" s="216"/>
    </row>
    <row r="316" spans="1:103" ht="12.75" x14ac:dyDescent="0.2">
      <c r="A316" s="214"/>
      <c r="B316" s="214"/>
      <c r="C316" s="214"/>
      <c r="D316" s="214"/>
      <c r="E316" s="214"/>
      <c r="F316" s="214"/>
      <c r="G316" s="214"/>
      <c r="H316" s="214"/>
      <c r="I316" s="214"/>
      <c r="J316" s="214"/>
      <c r="K316" s="214"/>
      <c r="L316" s="214"/>
      <c r="M316" s="214"/>
      <c r="N316" s="215"/>
      <c r="O316" s="215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6"/>
      <c r="BN316" s="216"/>
      <c r="BO316" s="216"/>
      <c r="BP316" s="216"/>
      <c r="BQ316" s="216"/>
      <c r="BR316" s="216"/>
      <c r="BS316" s="216"/>
      <c r="BT316" s="216"/>
      <c r="BU316" s="216"/>
      <c r="BV316" s="216"/>
      <c r="BW316" s="216"/>
      <c r="BX316" s="216"/>
      <c r="BY316" s="216"/>
      <c r="BZ316" s="216"/>
      <c r="CA316" s="216"/>
      <c r="CB316" s="216"/>
      <c r="CC316" s="216"/>
      <c r="CD316" s="216"/>
      <c r="CE316" s="216"/>
      <c r="CF316" s="216"/>
      <c r="CG316" s="216"/>
      <c r="CH316" s="216"/>
      <c r="CI316" s="216"/>
      <c r="CJ316" s="216"/>
      <c r="CK316" s="216"/>
      <c r="CL316" s="216"/>
      <c r="CM316" s="216"/>
      <c r="CN316" s="216"/>
      <c r="CO316" s="216"/>
      <c r="CP316" s="216"/>
      <c r="CQ316" s="216"/>
      <c r="CR316" s="216"/>
      <c r="CS316" s="216"/>
      <c r="CT316" s="216"/>
      <c r="CU316" s="216"/>
      <c r="CV316" s="216"/>
      <c r="CW316" s="216"/>
      <c r="CX316" s="216"/>
      <c r="CY316" s="216"/>
    </row>
    <row r="317" spans="1:103" ht="12.75" x14ac:dyDescent="0.2">
      <c r="A317" s="214"/>
      <c r="B317" s="214"/>
      <c r="C317" s="214"/>
      <c r="D317" s="214"/>
      <c r="E317" s="214"/>
      <c r="F317" s="214"/>
      <c r="G317" s="214"/>
      <c r="H317" s="214"/>
      <c r="I317" s="214"/>
      <c r="J317" s="214"/>
      <c r="K317" s="214"/>
      <c r="L317" s="214"/>
      <c r="M317" s="214"/>
      <c r="N317" s="215"/>
      <c r="O317" s="215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6"/>
      <c r="BN317" s="216"/>
      <c r="BO317" s="216"/>
      <c r="BP317" s="216"/>
      <c r="BQ317" s="216"/>
      <c r="BR317" s="216"/>
      <c r="BS317" s="216"/>
      <c r="BT317" s="216"/>
      <c r="BU317" s="216"/>
      <c r="BV317" s="216"/>
      <c r="BW317" s="216"/>
      <c r="BX317" s="216"/>
      <c r="BY317" s="216"/>
      <c r="BZ317" s="216"/>
      <c r="CA317" s="216"/>
      <c r="CB317" s="216"/>
      <c r="CC317" s="216"/>
      <c r="CD317" s="216"/>
      <c r="CE317" s="216"/>
      <c r="CF317" s="216"/>
      <c r="CG317" s="216"/>
      <c r="CH317" s="216"/>
      <c r="CI317" s="216"/>
      <c r="CJ317" s="216"/>
      <c r="CK317" s="216"/>
      <c r="CL317" s="216"/>
      <c r="CM317" s="216"/>
      <c r="CN317" s="216"/>
      <c r="CO317" s="216"/>
      <c r="CP317" s="216"/>
      <c r="CQ317" s="216"/>
      <c r="CR317" s="216"/>
      <c r="CS317" s="216"/>
      <c r="CT317" s="216"/>
      <c r="CU317" s="216"/>
      <c r="CV317" s="216"/>
      <c r="CW317" s="216"/>
      <c r="CX317" s="216"/>
      <c r="CY317" s="216"/>
    </row>
    <row r="318" spans="1:103" ht="12.75" x14ac:dyDescent="0.2">
      <c r="A318" s="214"/>
      <c r="B318" s="214"/>
      <c r="C318" s="214"/>
      <c r="D318" s="214"/>
      <c r="E318" s="214"/>
      <c r="F318" s="214"/>
      <c r="G318" s="214"/>
      <c r="H318" s="214"/>
      <c r="I318" s="214"/>
      <c r="J318" s="214"/>
      <c r="K318" s="214"/>
      <c r="L318" s="214"/>
      <c r="M318" s="214"/>
      <c r="N318" s="215"/>
      <c r="O318" s="215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6"/>
      <c r="BN318" s="216"/>
      <c r="BO318" s="216"/>
      <c r="BP318" s="216"/>
      <c r="BQ318" s="216"/>
      <c r="BR318" s="216"/>
      <c r="BS318" s="216"/>
      <c r="BT318" s="216"/>
      <c r="BU318" s="216"/>
      <c r="BV318" s="216"/>
      <c r="BW318" s="216"/>
      <c r="BX318" s="216"/>
      <c r="BY318" s="216"/>
      <c r="BZ318" s="216"/>
      <c r="CA318" s="216"/>
      <c r="CB318" s="216"/>
      <c r="CC318" s="216"/>
      <c r="CD318" s="216"/>
      <c r="CE318" s="216"/>
      <c r="CF318" s="216"/>
      <c r="CG318" s="216"/>
      <c r="CH318" s="216"/>
      <c r="CI318" s="216"/>
      <c r="CJ318" s="216"/>
      <c r="CK318" s="216"/>
      <c r="CL318" s="216"/>
      <c r="CM318" s="216"/>
      <c r="CN318" s="216"/>
      <c r="CO318" s="216"/>
      <c r="CP318" s="216"/>
      <c r="CQ318" s="216"/>
      <c r="CR318" s="216"/>
      <c r="CS318" s="216"/>
      <c r="CT318" s="216"/>
      <c r="CU318" s="216"/>
      <c r="CV318" s="216"/>
      <c r="CW318" s="216"/>
      <c r="CX318" s="216"/>
      <c r="CY318" s="216"/>
    </row>
    <row r="319" spans="1:103" ht="12.75" x14ac:dyDescent="0.2">
      <c r="A319" s="214"/>
      <c r="B319" s="214"/>
      <c r="C319" s="214"/>
      <c r="D319" s="214"/>
      <c r="E319" s="214"/>
      <c r="F319" s="214"/>
      <c r="G319" s="214"/>
      <c r="H319" s="214"/>
      <c r="I319" s="214"/>
      <c r="J319" s="214"/>
      <c r="K319" s="214"/>
      <c r="L319" s="214"/>
      <c r="M319" s="214"/>
      <c r="N319" s="215"/>
      <c r="O319" s="215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6"/>
      <c r="BN319" s="216"/>
      <c r="BO319" s="216"/>
      <c r="BP319" s="216"/>
      <c r="BQ319" s="216"/>
      <c r="BR319" s="216"/>
      <c r="BS319" s="216"/>
      <c r="BT319" s="216"/>
      <c r="BU319" s="216"/>
      <c r="BV319" s="216"/>
      <c r="BW319" s="216"/>
      <c r="BX319" s="216"/>
      <c r="BY319" s="216"/>
      <c r="BZ319" s="216"/>
      <c r="CA319" s="216"/>
      <c r="CB319" s="216"/>
      <c r="CC319" s="216"/>
      <c r="CD319" s="216"/>
      <c r="CE319" s="216"/>
      <c r="CF319" s="216"/>
      <c r="CG319" s="216"/>
      <c r="CH319" s="216"/>
      <c r="CI319" s="216"/>
      <c r="CJ319" s="216"/>
      <c r="CK319" s="216"/>
      <c r="CL319" s="216"/>
      <c r="CM319" s="216"/>
      <c r="CN319" s="216"/>
      <c r="CO319" s="216"/>
      <c r="CP319" s="216"/>
      <c r="CQ319" s="216"/>
      <c r="CR319" s="216"/>
      <c r="CS319" s="216"/>
      <c r="CT319" s="216"/>
      <c r="CU319" s="216"/>
      <c r="CV319" s="216"/>
      <c r="CW319" s="216"/>
      <c r="CX319" s="216"/>
      <c r="CY319" s="216"/>
    </row>
    <row r="320" spans="1:103" ht="12.75" x14ac:dyDescent="0.2">
      <c r="A320" s="214"/>
      <c r="B320" s="214"/>
      <c r="C320" s="214"/>
      <c r="D320" s="214"/>
      <c r="E320" s="214"/>
      <c r="F320" s="214"/>
      <c r="G320" s="214"/>
      <c r="H320" s="214"/>
      <c r="I320" s="214"/>
      <c r="J320" s="214"/>
      <c r="K320" s="214"/>
      <c r="L320" s="214"/>
      <c r="M320" s="214"/>
      <c r="N320" s="215"/>
      <c r="O320" s="215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6"/>
      <c r="BN320" s="216"/>
      <c r="BO320" s="216"/>
      <c r="BP320" s="216"/>
      <c r="BQ320" s="216"/>
      <c r="BR320" s="216"/>
      <c r="BS320" s="216"/>
      <c r="BT320" s="216"/>
      <c r="BU320" s="216"/>
      <c r="BV320" s="216"/>
      <c r="BW320" s="216"/>
      <c r="BX320" s="216"/>
      <c r="BY320" s="216"/>
      <c r="BZ320" s="216"/>
      <c r="CA320" s="216"/>
      <c r="CB320" s="216"/>
      <c r="CC320" s="216"/>
      <c r="CD320" s="216"/>
      <c r="CE320" s="216"/>
      <c r="CF320" s="216"/>
      <c r="CG320" s="216"/>
      <c r="CH320" s="216"/>
      <c r="CI320" s="216"/>
      <c r="CJ320" s="216"/>
      <c r="CK320" s="216"/>
      <c r="CL320" s="216"/>
      <c r="CM320" s="216"/>
      <c r="CN320" s="216"/>
      <c r="CO320" s="216"/>
      <c r="CP320" s="216"/>
      <c r="CQ320" s="216"/>
      <c r="CR320" s="216"/>
      <c r="CS320" s="216"/>
      <c r="CT320" s="216"/>
      <c r="CU320" s="216"/>
      <c r="CV320" s="216"/>
      <c r="CW320" s="216"/>
      <c r="CX320" s="216"/>
      <c r="CY320" s="216"/>
    </row>
    <row r="321" spans="1:103" ht="12.75" x14ac:dyDescent="0.2">
      <c r="A321" s="214"/>
      <c r="B321" s="214"/>
      <c r="C321" s="214"/>
      <c r="D321" s="214"/>
      <c r="E321" s="214"/>
      <c r="F321" s="214"/>
      <c r="G321" s="214"/>
      <c r="H321" s="214"/>
      <c r="I321" s="214"/>
      <c r="J321" s="214"/>
      <c r="K321" s="214"/>
      <c r="L321" s="214"/>
      <c r="M321" s="214"/>
      <c r="N321" s="215"/>
      <c r="O321" s="215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16"/>
      <c r="BN321" s="216"/>
      <c r="BO321" s="216"/>
      <c r="BP321" s="216"/>
      <c r="BQ321" s="216"/>
      <c r="BR321" s="216"/>
      <c r="BS321" s="216"/>
      <c r="BT321" s="216"/>
      <c r="BU321" s="216"/>
      <c r="BV321" s="216"/>
      <c r="BW321" s="216"/>
      <c r="BX321" s="216"/>
      <c r="BY321" s="216"/>
      <c r="BZ321" s="216"/>
      <c r="CA321" s="216"/>
      <c r="CB321" s="216"/>
      <c r="CC321" s="216"/>
      <c r="CD321" s="216"/>
      <c r="CE321" s="216"/>
      <c r="CF321" s="216"/>
      <c r="CG321" s="216"/>
      <c r="CH321" s="216"/>
      <c r="CI321" s="216"/>
      <c r="CJ321" s="216"/>
      <c r="CK321" s="216"/>
      <c r="CL321" s="216"/>
      <c r="CM321" s="216"/>
      <c r="CN321" s="216"/>
      <c r="CO321" s="216"/>
      <c r="CP321" s="216"/>
      <c r="CQ321" s="216"/>
      <c r="CR321" s="216"/>
      <c r="CS321" s="216"/>
      <c r="CT321" s="216"/>
      <c r="CU321" s="216"/>
      <c r="CV321" s="216"/>
      <c r="CW321" s="216"/>
      <c r="CX321" s="216"/>
      <c r="CY321" s="216"/>
    </row>
    <row r="322" spans="1:103" ht="12.75" x14ac:dyDescent="0.2">
      <c r="A322" s="214"/>
      <c r="B322" s="214"/>
      <c r="C322" s="214"/>
      <c r="D322" s="214"/>
      <c r="E322" s="214"/>
      <c r="F322" s="214"/>
      <c r="G322" s="214"/>
      <c r="H322" s="214"/>
      <c r="I322" s="214"/>
      <c r="J322" s="214"/>
      <c r="K322" s="214"/>
      <c r="L322" s="214"/>
      <c r="M322" s="214"/>
      <c r="N322" s="215"/>
      <c r="O322" s="215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6"/>
      <c r="BN322" s="216"/>
      <c r="BO322" s="216"/>
      <c r="BP322" s="216"/>
      <c r="BQ322" s="216"/>
      <c r="BR322" s="216"/>
      <c r="BS322" s="216"/>
      <c r="BT322" s="216"/>
      <c r="BU322" s="216"/>
      <c r="BV322" s="216"/>
      <c r="BW322" s="216"/>
      <c r="BX322" s="216"/>
      <c r="BY322" s="216"/>
      <c r="BZ322" s="216"/>
      <c r="CA322" s="216"/>
      <c r="CB322" s="216"/>
      <c r="CC322" s="216"/>
      <c r="CD322" s="216"/>
      <c r="CE322" s="216"/>
      <c r="CF322" s="216"/>
      <c r="CG322" s="216"/>
      <c r="CH322" s="216"/>
      <c r="CI322" s="216"/>
      <c r="CJ322" s="216"/>
      <c r="CK322" s="216"/>
      <c r="CL322" s="216"/>
      <c r="CM322" s="216"/>
      <c r="CN322" s="216"/>
      <c r="CO322" s="216"/>
      <c r="CP322" s="216"/>
      <c r="CQ322" s="216"/>
      <c r="CR322" s="216"/>
      <c r="CS322" s="216"/>
      <c r="CT322" s="216"/>
      <c r="CU322" s="216"/>
      <c r="CV322" s="216"/>
      <c r="CW322" s="216"/>
      <c r="CX322" s="216"/>
      <c r="CY322" s="216"/>
    </row>
    <row r="323" spans="1:103" ht="12.75" x14ac:dyDescent="0.2">
      <c r="A323" s="214"/>
      <c r="B323" s="214"/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4"/>
      <c r="N323" s="215"/>
      <c r="O323" s="215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16"/>
      <c r="BN323" s="216"/>
      <c r="BO323" s="216"/>
      <c r="BP323" s="216"/>
      <c r="BQ323" s="216"/>
      <c r="BR323" s="216"/>
      <c r="BS323" s="216"/>
      <c r="BT323" s="216"/>
      <c r="BU323" s="216"/>
      <c r="BV323" s="216"/>
      <c r="BW323" s="216"/>
      <c r="BX323" s="216"/>
      <c r="BY323" s="216"/>
      <c r="BZ323" s="216"/>
      <c r="CA323" s="216"/>
      <c r="CB323" s="216"/>
      <c r="CC323" s="216"/>
      <c r="CD323" s="216"/>
      <c r="CE323" s="216"/>
      <c r="CF323" s="216"/>
      <c r="CG323" s="216"/>
      <c r="CH323" s="216"/>
      <c r="CI323" s="216"/>
      <c r="CJ323" s="216"/>
      <c r="CK323" s="216"/>
      <c r="CL323" s="216"/>
      <c r="CM323" s="216"/>
      <c r="CN323" s="216"/>
      <c r="CO323" s="216"/>
      <c r="CP323" s="216"/>
      <c r="CQ323" s="216"/>
      <c r="CR323" s="216"/>
      <c r="CS323" s="216"/>
      <c r="CT323" s="216"/>
      <c r="CU323" s="216"/>
      <c r="CV323" s="216"/>
      <c r="CW323" s="216"/>
      <c r="CX323" s="216"/>
      <c r="CY323" s="216"/>
    </row>
    <row r="324" spans="1:103" ht="12.75" x14ac:dyDescent="0.2">
      <c r="A324" s="214"/>
      <c r="B324" s="214"/>
      <c r="C324" s="214"/>
      <c r="D324" s="214"/>
      <c r="E324" s="214"/>
      <c r="F324" s="214"/>
      <c r="G324" s="214"/>
      <c r="H324" s="214"/>
      <c r="I324" s="214"/>
      <c r="J324" s="214"/>
      <c r="K324" s="214"/>
      <c r="L324" s="214"/>
      <c r="M324" s="214"/>
      <c r="N324" s="215"/>
      <c r="O324" s="215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  <c r="BI324" s="216"/>
      <c r="BJ324" s="216"/>
      <c r="BK324" s="216"/>
      <c r="BL324" s="216"/>
      <c r="BM324" s="216"/>
      <c r="BN324" s="216"/>
      <c r="BO324" s="216"/>
      <c r="BP324" s="216"/>
      <c r="BQ324" s="216"/>
      <c r="BR324" s="216"/>
      <c r="BS324" s="216"/>
      <c r="BT324" s="216"/>
      <c r="BU324" s="216"/>
      <c r="BV324" s="216"/>
      <c r="BW324" s="216"/>
      <c r="BX324" s="216"/>
      <c r="BY324" s="216"/>
      <c r="BZ324" s="216"/>
      <c r="CA324" s="216"/>
      <c r="CB324" s="216"/>
      <c r="CC324" s="216"/>
      <c r="CD324" s="216"/>
      <c r="CE324" s="216"/>
      <c r="CF324" s="216"/>
      <c r="CG324" s="216"/>
      <c r="CH324" s="216"/>
      <c r="CI324" s="216"/>
      <c r="CJ324" s="216"/>
      <c r="CK324" s="216"/>
      <c r="CL324" s="216"/>
      <c r="CM324" s="216"/>
      <c r="CN324" s="216"/>
      <c r="CO324" s="216"/>
      <c r="CP324" s="216"/>
      <c r="CQ324" s="216"/>
      <c r="CR324" s="216"/>
      <c r="CS324" s="216"/>
      <c r="CT324" s="216"/>
      <c r="CU324" s="216"/>
      <c r="CV324" s="216"/>
      <c r="CW324" s="216"/>
      <c r="CX324" s="216"/>
      <c r="CY324" s="216"/>
    </row>
    <row r="325" spans="1:103" ht="12.75" x14ac:dyDescent="0.2">
      <c r="A325" s="214"/>
      <c r="B325" s="214"/>
      <c r="C325" s="214"/>
      <c r="D325" s="214"/>
      <c r="E325" s="214"/>
      <c r="F325" s="214"/>
      <c r="G325" s="214"/>
      <c r="H325" s="214"/>
      <c r="I325" s="214"/>
      <c r="J325" s="214"/>
      <c r="K325" s="214"/>
      <c r="L325" s="214"/>
      <c r="M325" s="214"/>
      <c r="N325" s="215"/>
      <c r="O325" s="215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16"/>
      <c r="BN325" s="216"/>
      <c r="BO325" s="216"/>
      <c r="BP325" s="216"/>
      <c r="BQ325" s="216"/>
      <c r="BR325" s="216"/>
      <c r="BS325" s="216"/>
      <c r="BT325" s="216"/>
      <c r="BU325" s="216"/>
      <c r="BV325" s="216"/>
      <c r="BW325" s="216"/>
      <c r="BX325" s="216"/>
      <c r="BY325" s="216"/>
      <c r="BZ325" s="216"/>
      <c r="CA325" s="216"/>
      <c r="CB325" s="216"/>
      <c r="CC325" s="216"/>
      <c r="CD325" s="216"/>
      <c r="CE325" s="216"/>
      <c r="CF325" s="216"/>
      <c r="CG325" s="216"/>
      <c r="CH325" s="216"/>
      <c r="CI325" s="216"/>
      <c r="CJ325" s="216"/>
      <c r="CK325" s="216"/>
      <c r="CL325" s="216"/>
      <c r="CM325" s="216"/>
      <c r="CN325" s="216"/>
      <c r="CO325" s="216"/>
      <c r="CP325" s="216"/>
      <c r="CQ325" s="216"/>
      <c r="CR325" s="216"/>
      <c r="CS325" s="216"/>
      <c r="CT325" s="216"/>
      <c r="CU325" s="216"/>
      <c r="CV325" s="216"/>
      <c r="CW325" s="216"/>
      <c r="CX325" s="216"/>
      <c r="CY325" s="216"/>
    </row>
    <row r="326" spans="1:103" ht="12.75" x14ac:dyDescent="0.2">
      <c r="A326" s="214"/>
      <c r="B326" s="214"/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4"/>
      <c r="N326" s="215"/>
      <c r="O326" s="215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  <c r="BI326" s="216"/>
      <c r="BJ326" s="216"/>
      <c r="BK326" s="216"/>
      <c r="BL326" s="216"/>
      <c r="BM326" s="216"/>
      <c r="BN326" s="216"/>
      <c r="BO326" s="216"/>
      <c r="BP326" s="216"/>
      <c r="BQ326" s="216"/>
      <c r="BR326" s="216"/>
      <c r="BS326" s="216"/>
      <c r="BT326" s="216"/>
      <c r="BU326" s="216"/>
      <c r="BV326" s="216"/>
      <c r="BW326" s="216"/>
      <c r="BX326" s="216"/>
      <c r="BY326" s="216"/>
      <c r="BZ326" s="216"/>
      <c r="CA326" s="216"/>
      <c r="CB326" s="216"/>
      <c r="CC326" s="216"/>
      <c r="CD326" s="216"/>
      <c r="CE326" s="216"/>
      <c r="CF326" s="216"/>
      <c r="CG326" s="216"/>
      <c r="CH326" s="216"/>
      <c r="CI326" s="216"/>
      <c r="CJ326" s="216"/>
      <c r="CK326" s="216"/>
      <c r="CL326" s="216"/>
      <c r="CM326" s="216"/>
      <c r="CN326" s="216"/>
      <c r="CO326" s="216"/>
      <c r="CP326" s="216"/>
      <c r="CQ326" s="216"/>
      <c r="CR326" s="216"/>
      <c r="CS326" s="216"/>
      <c r="CT326" s="216"/>
      <c r="CU326" s="216"/>
      <c r="CV326" s="216"/>
      <c r="CW326" s="216"/>
      <c r="CX326" s="216"/>
      <c r="CY326" s="216"/>
    </row>
    <row r="327" spans="1:103" ht="12.75" x14ac:dyDescent="0.2">
      <c r="A327" s="214"/>
      <c r="B327" s="214"/>
      <c r="C327" s="214"/>
      <c r="D327" s="214"/>
      <c r="E327" s="214"/>
      <c r="F327" s="214"/>
      <c r="G327" s="214"/>
      <c r="H327" s="214"/>
      <c r="I327" s="214"/>
      <c r="J327" s="214"/>
      <c r="K327" s="214"/>
      <c r="L327" s="214"/>
      <c r="M327" s="214"/>
      <c r="N327" s="215"/>
      <c r="O327" s="215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  <c r="BI327" s="216"/>
      <c r="BJ327" s="216"/>
      <c r="BK327" s="216"/>
      <c r="BL327" s="216"/>
      <c r="BM327" s="216"/>
      <c r="BN327" s="216"/>
      <c r="BO327" s="216"/>
      <c r="BP327" s="216"/>
      <c r="BQ327" s="216"/>
      <c r="BR327" s="216"/>
      <c r="BS327" s="216"/>
      <c r="BT327" s="216"/>
      <c r="BU327" s="216"/>
      <c r="BV327" s="216"/>
      <c r="BW327" s="216"/>
      <c r="BX327" s="216"/>
      <c r="BY327" s="216"/>
      <c r="BZ327" s="216"/>
      <c r="CA327" s="216"/>
      <c r="CB327" s="216"/>
      <c r="CC327" s="216"/>
      <c r="CD327" s="216"/>
      <c r="CE327" s="216"/>
      <c r="CF327" s="216"/>
      <c r="CG327" s="216"/>
      <c r="CH327" s="216"/>
      <c r="CI327" s="216"/>
      <c r="CJ327" s="216"/>
      <c r="CK327" s="216"/>
      <c r="CL327" s="216"/>
      <c r="CM327" s="216"/>
      <c r="CN327" s="216"/>
      <c r="CO327" s="216"/>
      <c r="CP327" s="216"/>
      <c r="CQ327" s="216"/>
      <c r="CR327" s="216"/>
      <c r="CS327" s="216"/>
      <c r="CT327" s="216"/>
      <c r="CU327" s="216"/>
      <c r="CV327" s="216"/>
      <c r="CW327" s="216"/>
      <c r="CX327" s="216"/>
      <c r="CY327" s="216"/>
    </row>
    <row r="328" spans="1:103" ht="12.75" x14ac:dyDescent="0.2">
      <c r="A328" s="214"/>
      <c r="B328" s="214"/>
      <c r="C328" s="214"/>
      <c r="D328" s="214"/>
      <c r="E328" s="214"/>
      <c r="F328" s="214"/>
      <c r="G328" s="214"/>
      <c r="H328" s="214"/>
      <c r="I328" s="214"/>
      <c r="J328" s="214"/>
      <c r="K328" s="214"/>
      <c r="L328" s="214"/>
      <c r="M328" s="214"/>
      <c r="N328" s="215"/>
      <c r="O328" s="215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  <c r="BI328" s="216"/>
      <c r="BJ328" s="216"/>
      <c r="BK328" s="216"/>
      <c r="BL328" s="216"/>
      <c r="BM328" s="216"/>
      <c r="BN328" s="216"/>
      <c r="BO328" s="216"/>
      <c r="BP328" s="216"/>
      <c r="BQ328" s="216"/>
      <c r="BR328" s="216"/>
      <c r="BS328" s="216"/>
      <c r="BT328" s="216"/>
      <c r="BU328" s="216"/>
      <c r="BV328" s="216"/>
      <c r="BW328" s="216"/>
      <c r="BX328" s="216"/>
      <c r="BY328" s="216"/>
      <c r="BZ328" s="216"/>
      <c r="CA328" s="216"/>
      <c r="CB328" s="216"/>
      <c r="CC328" s="216"/>
      <c r="CD328" s="216"/>
      <c r="CE328" s="216"/>
      <c r="CF328" s="216"/>
      <c r="CG328" s="216"/>
      <c r="CH328" s="216"/>
      <c r="CI328" s="216"/>
      <c r="CJ328" s="216"/>
      <c r="CK328" s="216"/>
      <c r="CL328" s="216"/>
      <c r="CM328" s="216"/>
      <c r="CN328" s="216"/>
      <c r="CO328" s="216"/>
      <c r="CP328" s="216"/>
      <c r="CQ328" s="216"/>
      <c r="CR328" s="216"/>
      <c r="CS328" s="216"/>
      <c r="CT328" s="216"/>
      <c r="CU328" s="216"/>
      <c r="CV328" s="216"/>
      <c r="CW328" s="216"/>
      <c r="CX328" s="216"/>
      <c r="CY328" s="216"/>
    </row>
    <row r="329" spans="1:103" ht="12.75" x14ac:dyDescent="0.2">
      <c r="A329" s="214"/>
      <c r="B329" s="214"/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4"/>
      <c r="N329" s="215"/>
      <c r="O329" s="215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  <c r="BI329" s="216"/>
      <c r="BJ329" s="216"/>
      <c r="BK329" s="216"/>
      <c r="BL329" s="216"/>
      <c r="BM329" s="216"/>
      <c r="BN329" s="216"/>
      <c r="BO329" s="216"/>
      <c r="BP329" s="216"/>
      <c r="BQ329" s="216"/>
      <c r="BR329" s="216"/>
      <c r="BS329" s="216"/>
      <c r="BT329" s="216"/>
      <c r="BU329" s="216"/>
      <c r="BV329" s="216"/>
      <c r="BW329" s="216"/>
      <c r="BX329" s="216"/>
      <c r="BY329" s="216"/>
      <c r="BZ329" s="216"/>
      <c r="CA329" s="216"/>
      <c r="CB329" s="216"/>
      <c r="CC329" s="216"/>
      <c r="CD329" s="216"/>
      <c r="CE329" s="216"/>
      <c r="CF329" s="216"/>
      <c r="CG329" s="216"/>
      <c r="CH329" s="216"/>
      <c r="CI329" s="216"/>
      <c r="CJ329" s="216"/>
      <c r="CK329" s="216"/>
      <c r="CL329" s="216"/>
      <c r="CM329" s="216"/>
      <c r="CN329" s="216"/>
      <c r="CO329" s="216"/>
      <c r="CP329" s="216"/>
      <c r="CQ329" s="216"/>
      <c r="CR329" s="216"/>
      <c r="CS329" s="216"/>
      <c r="CT329" s="216"/>
      <c r="CU329" s="216"/>
      <c r="CV329" s="216"/>
      <c r="CW329" s="216"/>
      <c r="CX329" s="216"/>
      <c r="CY329" s="216"/>
    </row>
    <row r="330" spans="1:103" ht="12.75" x14ac:dyDescent="0.2">
      <c r="A330" s="214"/>
      <c r="B330" s="214"/>
      <c r="C330" s="214"/>
      <c r="D330" s="214"/>
      <c r="E330" s="214"/>
      <c r="F330" s="214"/>
      <c r="G330" s="214"/>
      <c r="H330" s="214"/>
      <c r="I330" s="214"/>
      <c r="J330" s="214"/>
      <c r="K330" s="214"/>
      <c r="L330" s="214"/>
      <c r="M330" s="214"/>
      <c r="N330" s="215"/>
      <c r="O330" s="215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  <c r="BI330" s="216"/>
      <c r="BJ330" s="216"/>
      <c r="BK330" s="216"/>
      <c r="BL330" s="216"/>
      <c r="BM330" s="216"/>
      <c r="BN330" s="216"/>
      <c r="BO330" s="216"/>
      <c r="BP330" s="216"/>
      <c r="BQ330" s="216"/>
      <c r="BR330" s="216"/>
      <c r="BS330" s="216"/>
      <c r="BT330" s="216"/>
      <c r="BU330" s="216"/>
      <c r="BV330" s="216"/>
      <c r="BW330" s="216"/>
      <c r="BX330" s="216"/>
      <c r="BY330" s="216"/>
      <c r="BZ330" s="216"/>
      <c r="CA330" s="216"/>
      <c r="CB330" s="216"/>
      <c r="CC330" s="216"/>
      <c r="CD330" s="216"/>
      <c r="CE330" s="216"/>
      <c r="CF330" s="216"/>
      <c r="CG330" s="216"/>
      <c r="CH330" s="216"/>
      <c r="CI330" s="216"/>
      <c r="CJ330" s="216"/>
      <c r="CK330" s="216"/>
      <c r="CL330" s="216"/>
      <c r="CM330" s="216"/>
      <c r="CN330" s="216"/>
      <c r="CO330" s="216"/>
      <c r="CP330" s="216"/>
      <c r="CQ330" s="216"/>
      <c r="CR330" s="216"/>
      <c r="CS330" s="216"/>
      <c r="CT330" s="216"/>
      <c r="CU330" s="216"/>
      <c r="CV330" s="216"/>
      <c r="CW330" s="216"/>
      <c r="CX330" s="216"/>
      <c r="CY330" s="216"/>
    </row>
    <row r="331" spans="1:103" ht="12.75" x14ac:dyDescent="0.2">
      <c r="A331" s="214"/>
      <c r="B331" s="214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4"/>
      <c r="N331" s="215"/>
      <c r="O331" s="215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  <c r="BI331" s="216"/>
      <c r="BJ331" s="216"/>
      <c r="BK331" s="216"/>
      <c r="BL331" s="216"/>
      <c r="BM331" s="216"/>
      <c r="BN331" s="216"/>
      <c r="BO331" s="216"/>
      <c r="BP331" s="216"/>
      <c r="BQ331" s="216"/>
      <c r="BR331" s="216"/>
      <c r="BS331" s="216"/>
      <c r="BT331" s="216"/>
      <c r="BU331" s="216"/>
      <c r="BV331" s="216"/>
      <c r="BW331" s="216"/>
      <c r="BX331" s="216"/>
      <c r="BY331" s="216"/>
      <c r="BZ331" s="216"/>
      <c r="CA331" s="216"/>
      <c r="CB331" s="216"/>
      <c r="CC331" s="216"/>
      <c r="CD331" s="216"/>
      <c r="CE331" s="216"/>
      <c r="CF331" s="216"/>
      <c r="CG331" s="216"/>
      <c r="CH331" s="216"/>
      <c r="CI331" s="216"/>
      <c r="CJ331" s="216"/>
      <c r="CK331" s="216"/>
      <c r="CL331" s="216"/>
      <c r="CM331" s="216"/>
      <c r="CN331" s="216"/>
      <c r="CO331" s="216"/>
      <c r="CP331" s="216"/>
      <c r="CQ331" s="216"/>
      <c r="CR331" s="216"/>
      <c r="CS331" s="216"/>
      <c r="CT331" s="216"/>
      <c r="CU331" s="216"/>
      <c r="CV331" s="216"/>
      <c r="CW331" s="216"/>
      <c r="CX331" s="216"/>
      <c r="CY331" s="216"/>
    </row>
    <row r="332" spans="1:103" ht="12.75" x14ac:dyDescent="0.2">
      <c r="A332" s="214"/>
      <c r="B332" s="214"/>
      <c r="C332" s="214"/>
      <c r="D332" s="214"/>
      <c r="E332" s="214"/>
      <c r="F332" s="214"/>
      <c r="G332" s="214"/>
      <c r="H332" s="214"/>
      <c r="I332" s="214"/>
      <c r="J332" s="214"/>
      <c r="K332" s="214"/>
      <c r="L332" s="214"/>
      <c r="M332" s="214"/>
      <c r="N332" s="215"/>
      <c r="O332" s="215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  <c r="BI332" s="216"/>
      <c r="BJ332" s="216"/>
      <c r="BK332" s="216"/>
      <c r="BL332" s="216"/>
      <c r="BM332" s="216"/>
      <c r="BN332" s="216"/>
      <c r="BO332" s="216"/>
      <c r="BP332" s="216"/>
      <c r="BQ332" s="216"/>
      <c r="BR332" s="216"/>
      <c r="BS332" s="216"/>
      <c r="BT332" s="216"/>
      <c r="BU332" s="216"/>
      <c r="BV332" s="216"/>
      <c r="BW332" s="216"/>
      <c r="BX332" s="216"/>
      <c r="BY332" s="216"/>
      <c r="BZ332" s="216"/>
      <c r="CA332" s="216"/>
      <c r="CB332" s="216"/>
      <c r="CC332" s="216"/>
      <c r="CD332" s="216"/>
      <c r="CE332" s="216"/>
      <c r="CF332" s="216"/>
      <c r="CG332" s="216"/>
      <c r="CH332" s="216"/>
      <c r="CI332" s="216"/>
      <c r="CJ332" s="216"/>
      <c r="CK332" s="216"/>
      <c r="CL332" s="216"/>
      <c r="CM332" s="216"/>
      <c r="CN332" s="216"/>
      <c r="CO332" s="216"/>
      <c r="CP332" s="216"/>
      <c r="CQ332" s="216"/>
      <c r="CR332" s="216"/>
      <c r="CS332" s="216"/>
      <c r="CT332" s="216"/>
      <c r="CU332" s="216"/>
      <c r="CV332" s="216"/>
      <c r="CW332" s="216"/>
      <c r="CX332" s="216"/>
      <c r="CY332" s="216"/>
    </row>
    <row r="333" spans="1:103" ht="12.75" x14ac:dyDescent="0.2">
      <c r="A333" s="214"/>
      <c r="B333" s="214"/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4"/>
      <c r="N333" s="215"/>
      <c r="O333" s="215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  <c r="BI333" s="216"/>
      <c r="BJ333" s="216"/>
      <c r="BK333" s="216"/>
      <c r="BL333" s="216"/>
      <c r="BM333" s="216"/>
      <c r="BN333" s="216"/>
      <c r="BO333" s="216"/>
      <c r="BP333" s="216"/>
      <c r="BQ333" s="216"/>
      <c r="BR333" s="216"/>
      <c r="BS333" s="216"/>
      <c r="BT333" s="216"/>
      <c r="BU333" s="216"/>
      <c r="BV333" s="216"/>
      <c r="BW333" s="216"/>
      <c r="BX333" s="216"/>
      <c r="BY333" s="216"/>
      <c r="BZ333" s="216"/>
      <c r="CA333" s="216"/>
      <c r="CB333" s="216"/>
      <c r="CC333" s="216"/>
      <c r="CD333" s="216"/>
      <c r="CE333" s="216"/>
      <c r="CF333" s="216"/>
      <c r="CG333" s="216"/>
      <c r="CH333" s="216"/>
      <c r="CI333" s="216"/>
      <c r="CJ333" s="216"/>
      <c r="CK333" s="216"/>
      <c r="CL333" s="216"/>
      <c r="CM333" s="216"/>
      <c r="CN333" s="216"/>
      <c r="CO333" s="216"/>
      <c r="CP333" s="216"/>
      <c r="CQ333" s="216"/>
      <c r="CR333" s="216"/>
      <c r="CS333" s="216"/>
      <c r="CT333" s="216"/>
      <c r="CU333" s="216"/>
      <c r="CV333" s="216"/>
      <c r="CW333" s="216"/>
      <c r="CX333" s="216"/>
      <c r="CY333" s="216"/>
    </row>
    <row r="334" spans="1:103" ht="12.75" x14ac:dyDescent="0.2">
      <c r="A334" s="214"/>
      <c r="B334" s="214"/>
      <c r="C334" s="214"/>
      <c r="D334" s="214"/>
      <c r="E334" s="214"/>
      <c r="F334" s="214"/>
      <c r="G334" s="214"/>
      <c r="H334" s="214"/>
      <c r="I334" s="214"/>
      <c r="J334" s="214"/>
      <c r="K334" s="214"/>
      <c r="L334" s="214"/>
      <c r="M334" s="214"/>
      <c r="N334" s="215"/>
      <c r="O334" s="215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  <c r="BI334" s="216"/>
      <c r="BJ334" s="216"/>
      <c r="BK334" s="216"/>
      <c r="BL334" s="216"/>
      <c r="BM334" s="216"/>
      <c r="BN334" s="216"/>
      <c r="BO334" s="216"/>
      <c r="BP334" s="216"/>
      <c r="BQ334" s="216"/>
      <c r="BR334" s="216"/>
      <c r="BS334" s="216"/>
      <c r="BT334" s="216"/>
      <c r="BU334" s="216"/>
      <c r="BV334" s="216"/>
      <c r="BW334" s="216"/>
      <c r="BX334" s="216"/>
      <c r="BY334" s="216"/>
      <c r="BZ334" s="216"/>
      <c r="CA334" s="216"/>
      <c r="CB334" s="216"/>
      <c r="CC334" s="216"/>
      <c r="CD334" s="216"/>
      <c r="CE334" s="216"/>
      <c r="CF334" s="216"/>
      <c r="CG334" s="216"/>
      <c r="CH334" s="216"/>
      <c r="CI334" s="216"/>
      <c r="CJ334" s="216"/>
      <c r="CK334" s="216"/>
      <c r="CL334" s="216"/>
      <c r="CM334" s="216"/>
      <c r="CN334" s="216"/>
      <c r="CO334" s="216"/>
      <c r="CP334" s="216"/>
      <c r="CQ334" s="216"/>
      <c r="CR334" s="216"/>
      <c r="CS334" s="216"/>
      <c r="CT334" s="216"/>
      <c r="CU334" s="216"/>
      <c r="CV334" s="216"/>
      <c r="CW334" s="216"/>
      <c r="CX334" s="216"/>
      <c r="CY334" s="216"/>
    </row>
    <row r="335" spans="1:103" ht="12.75" x14ac:dyDescent="0.2">
      <c r="A335" s="214"/>
      <c r="B335" s="214"/>
      <c r="C335" s="214"/>
      <c r="D335" s="214"/>
      <c r="E335" s="214"/>
      <c r="F335" s="214"/>
      <c r="G335" s="214"/>
      <c r="H335" s="214"/>
      <c r="I335" s="214"/>
      <c r="J335" s="214"/>
      <c r="K335" s="214"/>
      <c r="L335" s="214"/>
      <c r="M335" s="214"/>
      <c r="N335" s="215"/>
      <c r="O335" s="215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6"/>
      <c r="BC335" s="216"/>
      <c r="BD335" s="216"/>
      <c r="BE335" s="216"/>
      <c r="BF335" s="216"/>
      <c r="BG335" s="216"/>
      <c r="BH335" s="216"/>
      <c r="BI335" s="216"/>
      <c r="BJ335" s="216"/>
      <c r="BK335" s="216"/>
      <c r="BL335" s="216"/>
      <c r="BM335" s="216"/>
      <c r="BN335" s="216"/>
      <c r="BO335" s="216"/>
      <c r="BP335" s="216"/>
      <c r="BQ335" s="216"/>
      <c r="BR335" s="216"/>
      <c r="BS335" s="216"/>
      <c r="BT335" s="216"/>
      <c r="BU335" s="216"/>
      <c r="BV335" s="216"/>
      <c r="BW335" s="216"/>
      <c r="BX335" s="216"/>
      <c r="BY335" s="216"/>
      <c r="BZ335" s="216"/>
      <c r="CA335" s="216"/>
      <c r="CB335" s="216"/>
      <c r="CC335" s="216"/>
      <c r="CD335" s="216"/>
      <c r="CE335" s="216"/>
      <c r="CF335" s="216"/>
      <c r="CG335" s="216"/>
      <c r="CH335" s="216"/>
      <c r="CI335" s="216"/>
      <c r="CJ335" s="216"/>
      <c r="CK335" s="216"/>
      <c r="CL335" s="216"/>
      <c r="CM335" s="216"/>
      <c r="CN335" s="216"/>
      <c r="CO335" s="216"/>
      <c r="CP335" s="216"/>
      <c r="CQ335" s="216"/>
      <c r="CR335" s="216"/>
      <c r="CS335" s="216"/>
      <c r="CT335" s="216"/>
      <c r="CU335" s="216"/>
      <c r="CV335" s="216"/>
      <c r="CW335" s="216"/>
      <c r="CX335" s="216"/>
      <c r="CY335" s="216"/>
    </row>
    <row r="336" spans="1:103" ht="12.75" x14ac:dyDescent="0.2">
      <c r="A336" s="214"/>
      <c r="B336" s="214"/>
      <c r="C336" s="214"/>
      <c r="D336" s="214"/>
      <c r="E336" s="214"/>
      <c r="F336" s="214"/>
      <c r="G336" s="214"/>
      <c r="H336" s="214"/>
      <c r="I336" s="214"/>
      <c r="J336" s="214"/>
      <c r="K336" s="214"/>
      <c r="L336" s="214"/>
      <c r="M336" s="214"/>
      <c r="N336" s="215"/>
      <c r="O336" s="215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6"/>
      <c r="BC336" s="216"/>
      <c r="BD336" s="216"/>
      <c r="BE336" s="216"/>
      <c r="BF336" s="216"/>
      <c r="BG336" s="216"/>
      <c r="BH336" s="216"/>
      <c r="BI336" s="216"/>
      <c r="BJ336" s="216"/>
      <c r="BK336" s="216"/>
      <c r="BL336" s="216"/>
      <c r="BM336" s="216"/>
      <c r="BN336" s="216"/>
      <c r="BO336" s="216"/>
      <c r="BP336" s="216"/>
      <c r="BQ336" s="216"/>
      <c r="BR336" s="216"/>
      <c r="BS336" s="216"/>
      <c r="BT336" s="216"/>
      <c r="BU336" s="216"/>
      <c r="BV336" s="216"/>
      <c r="BW336" s="216"/>
      <c r="BX336" s="216"/>
      <c r="BY336" s="216"/>
      <c r="BZ336" s="216"/>
      <c r="CA336" s="216"/>
      <c r="CB336" s="216"/>
      <c r="CC336" s="216"/>
      <c r="CD336" s="216"/>
      <c r="CE336" s="216"/>
      <c r="CF336" s="216"/>
      <c r="CG336" s="216"/>
      <c r="CH336" s="216"/>
      <c r="CI336" s="216"/>
      <c r="CJ336" s="216"/>
      <c r="CK336" s="216"/>
      <c r="CL336" s="216"/>
      <c r="CM336" s="216"/>
      <c r="CN336" s="216"/>
      <c r="CO336" s="216"/>
      <c r="CP336" s="216"/>
      <c r="CQ336" s="216"/>
      <c r="CR336" s="216"/>
      <c r="CS336" s="216"/>
      <c r="CT336" s="216"/>
      <c r="CU336" s="216"/>
      <c r="CV336" s="216"/>
      <c r="CW336" s="216"/>
      <c r="CX336" s="216"/>
      <c r="CY336" s="216"/>
    </row>
    <row r="337" spans="1:103" ht="12.75" x14ac:dyDescent="0.2">
      <c r="A337" s="214"/>
      <c r="B337" s="214"/>
      <c r="C337" s="214"/>
      <c r="D337" s="214"/>
      <c r="E337" s="214"/>
      <c r="F337" s="214"/>
      <c r="G337" s="214"/>
      <c r="H337" s="214"/>
      <c r="I337" s="214"/>
      <c r="J337" s="214"/>
      <c r="K337" s="214"/>
      <c r="L337" s="214"/>
      <c r="M337" s="214"/>
      <c r="N337" s="215"/>
      <c r="O337" s="215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  <c r="BI337" s="216"/>
      <c r="BJ337" s="216"/>
      <c r="BK337" s="216"/>
      <c r="BL337" s="216"/>
      <c r="BM337" s="216"/>
      <c r="BN337" s="216"/>
      <c r="BO337" s="216"/>
      <c r="BP337" s="216"/>
      <c r="BQ337" s="216"/>
      <c r="BR337" s="216"/>
      <c r="BS337" s="216"/>
      <c r="BT337" s="216"/>
      <c r="BU337" s="216"/>
      <c r="BV337" s="216"/>
      <c r="BW337" s="216"/>
      <c r="BX337" s="216"/>
      <c r="BY337" s="216"/>
      <c r="BZ337" s="216"/>
      <c r="CA337" s="216"/>
      <c r="CB337" s="216"/>
      <c r="CC337" s="216"/>
      <c r="CD337" s="216"/>
      <c r="CE337" s="216"/>
      <c r="CF337" s="216"/>
      <c r="CG337" s="216"/>
      <c r="CH337" s="216"/>
      <c r="CI337" s="216"/>
      <c r="CJ337" s="216"/>
      <c r="CK337" s="216"/>
      <c r="CL337" s="216"/>
      <c r="CM337" s="216"/>
      <c r="CN337" s="216"/>
      <c r="CO337" s="216"/>
      <c r="CP337" s="216"/>
      <c r="CQ337" s="216"/>
      <c r="CR337" s="216"/>
      <c r="CS337" s="216"/>
      <c r="CT337" s="216"/>
      <c r="CU337" s="216"/>
      <c r="CV337" s="216"/>
      <c r="CW337" s="216"/>
      <c r="CX337" s="216"/>
      <c r="CY337" s="216"/>
    </row>
    <row r="338" spans="1:103" ht="12.75" x14ac:dyDescent="0.2">
      <c r="A338" s="214"/>
      <c r="B338" s="214"/>
      <c r="C338" s="214"/>
      <c r="D338" s="214"/>
      <c r="E338" s="214"/>
      <c r="F338" s="214"/>
      <c r="G338" s="214"/>
      <c r="H338" s="214"/>
      <c r="I338" s="214"/>
      <c r="J338" s="214"/>
      <c r="K338" s="214"/>
      <c r="L338" s="214"/>
      <c r="M338" s="214"/>
      <c r="N338" s="215"/>
      <c r="O338" s="215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  <c r="BI338" s="216"/>
      <c r="BJ338" s="216"/>
      <c r="BK338" s="216"/>
      <c r="BL338" s="216"/>
      <c r="BM338" s="216"/>
      <c r="BN338" s="216"/>
      <c r="BO338" s="216"/>
      <c r="BP338" s="216"/>
      <c r="BQ338" s="216"/>
      <c r="BR338" s="216"/>
      <c r="BS338" s="216"/>
      <c r="BT338" s="216"/>
      <c r="BU338" s="216"/>
      <c r="BV338" s="216"/>
      <c r="BW338" s="216"/>
      <c r="BX338" s="216"/>
      <c r="BY338" s="216"/>
      <c r="BZ338" s="216"/>
      <c r="CA338" s="216"/>
      <c r="CB338" s="216"/>
      <c r="CC338" s="216"/>
      <c r="CD338" s="216"/>
      <c r="CE338" s="216"/>
      <c r="CF338" s="216"/>
      <c r="CG338" s="216"/>
      <c r="CH338" s="216"/>
      <c r="CI338" s="216"/>
      <c r="CJ338" s="216"/>
      <c r="CK338" s="216"/>
      <c r="CL338" s="216"/>
      <c r="CM338" s="216"/>
      <c r="CN338" s="216"/>
      <c r="CO338" s="216"/>
      <c r="CP338" s="216"/>
      <c r="CQ338" s="216"/>
      <c r="CR338" s="216"/>
      <c r="CS338" s="216"/>
      <c r="CT338" s="216"/>
      <c r="CU338" s="216"/>
      <c r="CV338" s="216"/>
      <c r="CW338" s="216"/>
      <c r="CX338" s="216"/>
      <c r="CY338" s="216"/>
    </row>
    <row r="339" spans="1:103" ht="12.75" x14ac:dyDescent="0.2">
      <c r="A339" s="214"/>
      <c r="B339" s="214"/>
      <c r="C339" s="214"/>
      <c r="D339" s="214"/>
      <c r="E339" s="214"/>
      <c r="F339" s="214"/>
      <c r="G339" s="214"/>
      <c r="H339" s="214"/>
      <c r="I339" s="214"/>
      <c r="J339" s="214"/>
      <c r="K339" s="214"/>
      <c r="L339" s="214"/>
      <c r="M339" s="214"/>
      <c r="N339" s="215"/>
      <c r="O339" s="215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  <c r="BI339" s="216"/>
      <c r="BJ339" s="216"/>
      <c r="BK339" s="216"/>
      <c r="BL339" s="216"/>
      <c r="BM339" s="216"/>
      <c r="BN339" s="216"/>
      <c r="BO339" s="216"/>
      <c r="BP339" s="216"/>
      <c r="BQ339" s="216"/>
      <c r="BR339" s="216"/>
      <c r="BS339" s="216"/>
      <c r="BT339" s="216"/>
      <c r="BU339" s="216"/>
      <c r="BV339" s="216"/>
      <c r="BW339" s="216"/>
      <c r="BX339" s="216"/>
      <c r="BY339" s="216"/>
      <c r="BZ339" s="216"/>
      <c r="CA339" s="216"/>
      <c r="CB339" s="216"/>
      <c r="CC339" s="216"/>
      <c r="CD339" s="216"/>
      <c r="CE339" s="216"/>
      <c r="CF339" s="216"/>
      <c r="CG339" s="216"/>
      <c r="CH339" s="216"/>
      <c r="CI339" s="216"/>
      <c r="CJ339" s="216"/>
      <c r="CK339" s="216"/>
      <c r="CL339" s="216"/>
      <c r="CM339" s="216"/>
      <c r="CN339" s="216"/>
      <c r="CO339" s="216"/>
      <c r="CP339" s="216"/>
      <c r="CQ339" s="216"/>
      <c r="CR339" s="216"/>
      <c r="CS339" s="216"/>
      <c r="CT339" s="216"/>
      <c r="CU339" s="216"/>
      <c r="CV339" s="216"/>
      <c r="CW339" s="216"/>
      <c r="CX339" s="216"/>
      <c r="CY339" s="216"/>
    </row>
    <row r="340" spans="1:103" ht="12.75" x14ac:dyDescent="0.2">
      <c r="A340" s="214"/>
      <c r="B340" s="214"/>
      <c r="C340" s="214"/>
      <c r="D340" s="214"/>
      <c r="E340" s="214"/>
      <c r="F340" s="214"/>
      <c r="G340" s="214"/>
      <c r="H340" s="214"/>
      <c r="I340" s="214"/>
      <c r="J340" s="214"/>
      <c r="K340" s="214"/>
      <c r="L340" s="214"/>
      <c r="M340" s="214"/>
      <c r="N340" s="215"/>
      <c r="O340" s="215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  <c r="BI340" s="216"/>
      <c r="BJ340" s="216"/>
      <c r="BK340" s="216"/>
      <c r="BL340" s="216"/>
      <c r="BM340" s="216"/>
      <c r="BN340" s="216"/>
      <c r="BO340" s="216"/>
      <c r="BP340" s="216"/>
      <c r="BQ340" s="216"/>
      <c r="BR340" s="216"/>
      <c r="BS340" s="216"/>
      <c r="BT340" s="216"/>
      <c r="BU340" s="216"/>
      <c r="BV340" s="216"/>
      <c r="BW340" s="216"/>
      <c r="BX340" s="216"/>
      <c r="BY340" s="216"/>
      <c r="BZ340" s="216"/>
      <c r="CA340" s="216"/>
      <c r="CB340" s="216"/>
      <c r="CC340" s="216"/>
      <c r="CD340" s="216"/>
      <c r="CE340" s="216"/>
      <c r="CF340" s="216"/>
      <c r="CG340" s="216"/>
      <c r="CH340" s="216"/>
      <c r="CI340" s="216"/>
      <c r="CJ340" s="216"/>
      <c r="CK340" s="216"/>
      <c r="CL340" s="216"/>
      <c r="CM340" s="216"/>
      <c r="CN340" s="216"/>
      <c r="CO340" s="216"/>
      <c r="CP340" s="216"/>
      <c r="CQ340" s="216"/>
      <c r="CR340" s="216"/>
      <c r="CS340" s="216"/>
      <c r="CT340" s="216"/>
      <c r="CU340" s="216"/>
      <c r="CV340" s="216"/>
      <c r="CW340" s="216"/>
      <c r="CX340" s="216"/>
      <c r="CY340" s="216"/>
    </row>
    <row r="341" spans="1:103" ht="12.75" x14ac:dyDescent="0.2">
      <c r="A341" s="214"/>
      <c r="B341" s="214"/>
      <c r="C341" s="214"/>
      <c r="D341" s="214"/>
      <c r="E341" s="214"/>
      <c r="F341" s="214"/>
      <c r="G341" s="214"/>
      <c r="H341" s="214"/>
      <c r="I341" s="214"/>
      <c r="J341" s="214"/>
      <c r="K341" s="214"/>
      <c r="L341" s="214"/>
      <c r="M341" s="214"/>
      <c r="N341" s="215"/>
      <c r="O341" s="215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  <c r="BI341" s="216"/>
      <c r="BJ341" s="216"/>
      <c r="BK341" s="216"/>
      <c r="BL341" s="216"/>
      <c r="BM341" s="216"/>
      <c r="BN341" s="216"/>
      <c r="BO341" s="216"/>
      <c r="BP341" s="216"/>
      <c r="BQ341" s="216"/>
      <c r="BR341" s="216"/>
      <c r="BS341" s="216"/>
      <c r="BT341" s="216"/>
      <c r="BU341" s="216"/>
      <c r="BV341" s="216"/>
      <c r="BW341" s="216"/>
      <c r="BX341" s="216"/>
      <c r="BY341" s="216"/>
      <c r="BZ341" s="216"/>
      <c r="CA341" s="216"/>
      <c r="CB341" s="216"/>
      <c r="CC341" s="216"/>
      <c r="CD341" s="216"/>
      <c r="CE341" s="216"/>
      <c r="CF341" s="216"/>
      <c r="CG341" s="216"/>
      <c r="CH341" s="216"/>
      <c r="CI341" s="216"/>
      <c r="CJ341" s="216"/>
      <c r="CK341" s="216"/>
      <c r="CL341" s="216"/>
      <c r="CM341" s="216"/>
      <c r="CN341" s="216"/>
      <c r="CO341" s="216"/>
      <c r="CP341" s="216"/>
      <c r="CQ341" s="216"/>
      <c r="CR341" s="216"/>
      <c r="CS341" s="216"/>
      <c r="CT341" s="216"/>
      <c r="CU341" s="216"/>
      <c r="CV341" s="216"/>
      <c r="CW341" s="216"/>
      <c r="CX341" s="216"/>
      <c r="CY341" s="216"/>
    </row>
    <row r="342" spans="1:103" ht="12.75" x14ac:dyDescent="0.2">
      <c r="A342" s="214"/>
      <c r="B342" s="214"/>
      <c r="C342" s="214"/>
      <c r="D342" s="214"/>
      <c r="E342" s="214"/>
      <c r="F342" s="214"/>
      <c r="G342" s="214"/>
      <c r="H342" s="214"/>
      <c r="I342" s="214"/>
      <c r="J342" s="214"/>
      <c r="K342" s="214"/>
      <c r="L342" s="214"/>
      <c r="M342" s="214"/>
      <c r="N342" s="215"/>
      <c r="O342" s="215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6"/>
      <c r="BN342" s="216"/>
      <c r="BO342" s="216"/>
      <c r="BP342" s="216"/>
      <c r="BQ342" s="216"/>
      <c r="BR342" s="216"/>
      <c r="BS342" s="216"/>
      <c r="BT342" s="216"/>
      <c r="BU342" s="216"/>
      <c r="BV342" s="216"/>
      <c r="BW342" s="216"/>
      <c r="BX342" s="216"/>
      <c r="BY342" s="216"/>
      <c r="BZ342" s="216"/>
      <c r="CA342" s="216"/>
      <c r="CB342" s="216"/>
      <c r="CC342" s="216"/>
      <c r="CD342" s="216"/>
      <c r="CE342" s="216"/>
      <c r="CF342" s="216"/>
      <c r="CG342" s="216"/>
      <c r="CH342" s="216"/>
      <c r="CI342" s="216"/>
      <c r="CJ342" s="216"/>
      <c r="CK342" s="216"/>
      <c r="CL342" s="216"/>
      <c r="CM342" s="216"/>
      <c r="CN342" s="216"/>
      <c r="CO342" s="216"/>
      <c r="CP342" s="216"/>
      <c r="CQ342" s="216"/>
      <c r="CR342" s="216"/>
      <c r="CS342" s="216"/>
      <c r="CT342" s="216"/>
      <c r="CU342" s="216"/>
      <c r="CV342" s="216"/>
      <c r="CW342" s="216"/>
      <c r="CX342" s="216"/>
      <c r="CY342" s="216"/>
    </row>
    <row r="343" spans="1:103" ht="12.75" x14ac:dyDescent="0.2">
      <c r="A343" s="214"/>
      <c r="B343" s="214"/>
      <c r="C343" s="214"/>
      <c r="D343" s="214"/>
      <c r="E343" s="214"/>
      <c r="F343" s="214"/>
      <c r="G343" s="214"/>
      <c r="H343" s="214"/>
      <c r="I343" s="214"/>
      <c r="J343" s="214"/>
      <c r="K343" s="214"/>
      <c r="L343" s="214"/>
      <c r="M343" s="214"/>
      <c r="N343" s="215"/>
      <c r="O343" s="215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6"/>
      <c r="BN343" s="216"/>
      <c r="BO343" s="216"/>
      <c r="BP343" s="216"/>
      <c r="BQ343" s="216"/>
      <c r="BR343" s="216"/>
      <c r="BS343" s="216"/>
      <c r="BT343" s="216"/>
      <c r="BU343" s="216"/>
      <c r="BV343" s="216"/>
      <c r="BW343" s="216"/>
      <c r="BX343" s="216"/>
      <c r="BY343" s="216"/>
      <c r="BZ343" s="216"/>
      <c r="CA343" s="216"/>
      <c r="CB343" s="216"/>
      <c r="CC343" s="216"/>
      <c r="CD343" s="216"/>
      <c r="CE343" s="216"/>
      <c r="CF343" s="216"/>
      <c r="CG343" s="216"/>
      <c r="CH343" s="216"/>
      <c r="CI343" s="216"/>
      <c r="CJ343" s="216"/>
      <c r="CK343" s="216"/>
      <c r="CL343" s="216"/>
      <c r="CM343" s="216"/>
      <c r="CN343" s="216"/>
      <c r="CO343" s="216"/>
      <c r="CP343" s="216"/>
      <c r="CQ343" s="216"/>
      <c r="CR343" s="216"/>
      <c r="CS343" s="216"/>
      <c r="CT343" s="216"/>
      <c r="CU343" s="216"/>
      <c r="CV343" s="216"/>
      <c r="CW343" s="216"/>
      <c r="CX343" s="216"/>
      <c r="CY343" s="216"/>
    </row>
    <row r="344" spans="1:103" ht="12.75" x14ac:dyDescent="0.2">
      <c r="A344" s="214"/>
      <c r="B344" s="214"/>
      <c r="C344" s="214"/>
      <c r="D344" s="214"/>
      <c r="E344" s="214"/>
      <c r="F344" s="214"/>
      <c r="G344" s="214"/>
      <c r="H344" s="214"/>
      <c r="I344" s="214"/>
      <c r="J344" s="214"/>
      <c r="K344" s="214"/>
      <c r="L344" s="214"/>
      <c r="M344" s="214"/>
      <c r="N344" s="215"/>
      <c r="O344" s="215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6"/>
      <c r="BN344" s="216"/>
      <c r="BO344" s="216"/>
      <c r="BP344" s="216"/>
      <c r="BQ344" s="216"/>
      <c r="BR344" s="216"/>
      <c r="BS344" s="216"/>
      <c r="BT344" s="216"/>
      <c r="BU344" s="216"/>
      <c r="BV344" s="216"/>
      <c r="BW344" s="216"/>
      <c r="BX344" s="216"/>
      <c r="BY344" s="216"/>
      <c r="BZ344" s="216"/>
      <c r="CA344" s="216"/>
      <c r="CB344" s="216"/>
      <c r="CC344" s="216"/>
      <c r="CD344" s="216"/>
      <c r="CE344" s="216"/>
      <c r="CF344" s="216"/>
      <c r="CG344" s="216"/>
      <c r="CH344" s="216"/>
      <c r="CI344" s="216"/>
      <c r="CJ344" s="216"/>
      <c r="CK344" s="216"/>
      <c r="CL344" s="216"/>
      <c r="CM344" s="216"/>
      <c r="CN344" s="216"/>
      <c r="CO344" s="216"/>
      <c r="CP344" s="216"/>
      <c r="CQ344" s="216"/>
      <c r="CR344" s="216"/>
      <c r="CS344" s="216"/>
      <c r="CT344" s="216"/>
      <c r="CU344" s="216"/>
      <c r="CV344" s="216"/>
      <c r="CW344" s="216"/>
      <c r="CX344" s="216"/>
      <c r="CY344" s="216"/>
    </row>
    <row r="345" spans="1:103" ht="12.75" x14ac:dyDescent="0.2">
      <c r="A345" s="214"/>
      <c r="B345" s="214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4"/>
      <c r="N345" s="215"/>
      <c r="O345" s="215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6"/>
      <c r="BN345" s="216"/>
      <c r="BO345" s="216"/>
      <c r="BP345" s="216"/>
      <c r="BQ345" s="216"/>
      <c r="BR345" s="216"/>
      <c r="BS345" s="216"/>
      <c r="BT345" s="216"/>
      <c r="BU345" s="216"/>
      <c r="BV345" s="216"/>
      <c r="BW345" s="216"/>
      <c r="BX345" s="216"/>
      <c r="BY345" s="216"/>
      <c r="BZ345" s="216"/>
      <c r="CA345" s="216"/>
      <c r="CB345" s="216"/>
      <c r="CC345" s="216"/>
      <c r="CD345" s="216"/>
      <c r="CE345" s="216"/>
      <c r="CF345" s="216"/>
      <c r="CG345" s="216"/>
      <c r="CH345" s="216"/>
      <c r="CI345" s="216"/>
      <c r="CJ345" s="216"/>
      <c r="CK345" s="216"/>
      <c r="CL345" s="216"/>
      <c r="CM345" s="216"/>
      <c r="CN345" s="216"/>
      <c r="CO345" s="216"/>
      <c r="CP345" s="216"/>
      <c r="CQ345" s="216"/>
      <c r="CR345" s="216"/>
      <c r="CS345" s="216"/>
      <c r="CT345" s="216"/>
      <c r="CU345" s="216"/>
      <c r="CV345" s="216"/>
      <c r="CW345" s="216"/>
      <c r="CX345" s="216"/>
      <c r="CY345" s="216"/>
    </row>
    <row r="346" spans="1:103" ht="12.75" x14ac:dyDescent="0.2">
      <c r="A346" s="214"/>
      <c r="B346" s="214"/>
      <c r="C346" s="214"/>
      <c r="D346" s="214"/>
      <c r="E346" s="214"/>
      <c r="F346" s="214"/>
      <c r="G346" s="214"/>
      <c r="H346" s="214"/>
      <c r="I346" s="214"/>
      <c r="J346" s="214"/>
      <c r="K346" s="214"/>
      <c r="L346" s="214"/>
      <c r="M346" s="214"/>
      <c r="N346" s="215"/>
      <c r="O346" s="215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6"/>
      <c r="BN346" s="216"/>
      <c r="BO346" s="216"/>
      <c r="BP346" s="216"/>
      <c r="BQ346" s="216"/>
      <c r="BR346" s="216"/>
      <c r="BS346" s="216"/>
      <c r="BT346" s="216"/>
      <c r="BU346" s="216"/>
      <c r="BV346" s="216"/>
      <c r="BW346" s="216"/>
      <c r="BX346" s="216"/>
      <c r="BY346" s="216"/>
      <c r="BZ346" s="216"/>
      <c r="CA346" s="216"/>
      <c r="CB346" s="216"/>
      <c r="CC346" s="216"/>
      <c r="CD346" s="216"/>
      <c r="CE346" s="216"/>
      <c r="CF346" s="216"/>
      <c r="CG346" s="216"/>
      <c r="CH346" s="216"/>
      <c r="CI346" s="216"/>
      <c r="CJ346" s="216"/>
      <c r="CK346" s="216"/>
      <c r="CL346" s="216"/>
      <c r="CM346" s="216"/>
      <c r="CN346" s="216"/>
      <c r="CO346" s="216"/>
      <c r="CP346" s="216"/>
      <c r="CQ346" s="216"/>
      <c r="CR346" s="216"/>
      <c r="CS346" s="216"/>
      <c r="CT346" s="216"/>
      <c r="CU346" s="216"/>
      <c r="CV346" s="216"/>
      <c r="CW346" s="216"/>
      <c r="CX346" s="216"/>
      <c r="CY346" s="216"/>
    </row>
    <row r="347" spans="1:103" ht="12.75" x14ac:dyDescent="0.2">
      <c r="A347" s="214"/>
      <c r="B347" s="214"/>
      <c r="C347" s="214"/>
      <c r="D347" s="214"/>
      <c r="E347" s="214"/>
      <c r="F347" s="214"/>
      <c r="G347" s="214"/>
      <c r="H347" s="214"/>
      <c r="I347" s="214"/>
      <c r="J347" s="214"/>
      <c r="K347" s="214"/>
      <c r="L347" s="214"/>
      <c r="M347" s="214"/>
      <c r="N347" s="215"/>
      <c r="O347" s="215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6"/>
      <c r="AX347" s="216"/>
      <c r="AY347" s="216"/>
      <c r="AZ347" s="216"/>
      <c r="BA347" s="216"/>
      <c r="BB347" s="216"/>
      <c r="BC347" s="216"/>
      <c r="BD347" s="216"/>
      <c r="BE347" s="216"/>
      <c r="BF347" s="216"/>
      <c r="BG347" s="216"/>
      <c r="BH347" s="216"/>
      <c r="BI347" s="216"/>
      <c r="BJ347" s="216"/>
      <c r="BK347" s="216"/>
      <c r="BL347" s="216"/>
      <c r="BM347" s="216"/>
      <c r="BN347" s="216"/>
      <c r="BO347" s="216"/>
      <c r="BP347" s="216"/>
      <c r="BQ347" s="216"/>
      <c r="BR347" s="216"/>
      <c r="BS347" s="216"/>
      <c r="BT347" s="216"/>
      <c r="BU347" s="216"/>
      <c r="BV347" s="216"/>
      <c r="BW347" s="216"/>
      <c r="BX347" s="216"/>
      <c r="BY347" s="216"/>
      <c r="BZ347" s="216"/>
      <c r="CA347" s="216"/>
      <c r="CB347" s="216"/>
      <c r="CC347" s="216"/>
      <c r="CD347" s="216"/>
      <c r="CE347" s="216"/>
      <c r="CF347" s="216"/>
      <c r="CG347" s="216"/>
      <c r="CH347" s="216"/>
      <c r="CI347" s="216"/>
      <c r="CJ347" s="216"/>
      <c r="CK347" s="216"/>
      <c r="CL347" s="216"/>
      <c r="CM347" s="216"/>
      <c r="CN347" s="216"/>
      <c r="CO347" s="216"/>
      <c r="CP347" s="216"/>
      <c r="CQ347" s="216"/>
      <c r="CR347" s="216"/>
      <c r="CS347" s="216"/>
      <c r="CT347" s="216"/>
      <c r="CU347" s="216"/>
      <c r="CV347" s="216"/>
      <c r="CW347" s="216"/>
      <c r="CX347" s="216"/>
      <c r="CY347" s="216"/>
    </row>
    <row r="348" spans="1:103" ht="12.75" x14ac:dyDescent="0.2">
      <c r="A348" s="214"/>
      <c r="B348" s="214"/>
      <c r="C348" s="214"/>
      <c r="D348" s="214"/>
      <c r="E348" s="214"/>
      <c r="F348" s="214"/>
      <c r="G348" s="214"/>
      <c r="H348" s="214"/>
      <c r="I348" s="214"/>
      <c r="J348" s="214"/>
      <c r="K348" s="214"/>
      <c r="L348" s="214"/>
      <c r="M348" s="214"/>
      <c r="N348" s="215"/>
      <c r="O348" s="215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  <c r="AU348" s="216"/>
      <c r="AV348" s="216"/>
      <c r="AW348" s="216"/>
      <c r="AX348" s="216"/>
      <c r="AY348" s="216"/>
      <c r="AZ348" s="216"/>
      <c r="BA348" s="216"/>
      <c r="BB348" s="216"/>
      <c r="BC348" s="216"/>
      <c r="BD348" s="216"/>
      <c r="BE348" s="216"/>
      <c r="BF348" s="216"/>
      <c r="BG348" s="216"/>
      <c r="BH348" s="216"/>
      <c r="BI348" s="216"/>
      <c r="BJ348" s="216"/>
      <c r="BK348" s="216"/>
      <c r="BL348" s="216"/>
      <c r="BM348" s="216"/>
      <c r="BN348" s="216"/>
      <c r="BO348" s="216"/>
      <c r="BP348" s="216"/>
      <c r="BQ348" s="216"/>
      <c r="BR348" s="216"/>
      <c r="BS348" s="216"/>
      <c r="BT348" s="216"/>
      <c r="BU348" s="216"/>
      <c r="BV348" s="216"/>
      <c r="BW348" s="216"/>
      <c r="BX348" s="216"/>
      <c r="BY348" s="216"/>
      <c r="BZ348" s="216"/>
      <c r="CA348" s="216"/>
      <c r="CB348" s="216"/>
      <c r="CC348" s="216"/>
      <c r="CD348" s="216"/>
      <c r="CE348" s="216"/>
      <c r="CF348" s="216"/>
      <c r="CG348" s="216"/>
      <c r="CH348" s="216"/>
      <c r="CI348" s="216"/>
      <c r="CJ348" s="216"/>
      <c r="CK348" s="216"/>
      <c r="CL348" s="216"/>
      <c r="CM348" s="216"/>
      <c r="CN348" s="216"/>
      <c r="CO348" s="216"/>
      <c r="CP348" s="216"/>
      <c r="CQ348" s="216"/>
      <c r="CR348" s="216"/>
      <c r="CS348" s="216"/>
      <c r="CT348" s="216"/>
      <c r="CU348" s="216"/>
      <c r="CV348" s="216"/>
      <c r="CW348" s="216"/>
      <c r="CX348" s="216"/>
      <c r="CY348" s="216"/>
    </row>
    <row r="349" spans="1:103" ht="12.75" x14ac:dyDescent="0.2">
      <c r="A349" s="214"/>
      <c r="B349" s="214"/>
      <c r="C349" s="214"/>
      <c r="D349" s="214"/>
      <c r="E349" s="214"/>
      <c r="F349" s="214"/>
      <c r="G349" s="214"/>
      <c r="H349" s="214"/>
      <c r="I349" s="214"/>
      <c r="J349" s="214"/>
      <c r="K349" s="214"/>
      <c r="L349" s="214"/>
      <c r="M349" s="214"/>
      <c r="N349" s="215"/>
      <c r="O349" s="215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  <c r="BI349" s="216"/>
      <c r="BJ349" s="216"/>
      <c r="BK349" s="216"/>
      <c r="BL349" s="216"/>
      <c r="BM349" s="216"/>
      <c r="BN349" s="216"/>
      <c r="BO349" s="216"/>
      <c r="BP349" s="216"/>
      <c r="BQ349" s="216"/>
      <c r="BR349" s="216"/>
      <c r="BS349" s="216"/>
      <c r="BT349" s="216"/>
      <c r="BU349" s="216"/>
      <c r="BV349" s="216"/>
      <c r="BW349" s="216"/>
      <c r="BX349" s="216"/>
      <c r="BY349" s="216"/>
      <c r="BZ349" s="216"/>
      <c r="CA349" s="216"/>
      <c r="CB349" s="216"/>
      <c r="CC349" s="216"/>
      <c r="CD349" s="216"/>
      <c r="CE349" s="216"/>
      <c r="CF349" s="216"/>
      <c r="CG349" s="216"/>
      <c r="CH349" s="216"/>
      <c r="CI349" s="216"/>
      <c r="CJ349" s="216"/>
      <c r="CK349" s="216"/>
      <c r="CL349" s="216"/>
      <c r="CM349" s="216"/>
      <c r="CN349" s="216"/>
      <c r="CO349" s="216"/>
      <c r="CP349" s="216"/>
      <c r="CQ349" s="216"/>
      <c r="CR349" s="216"/>
      <c r="CS349" s="216"/>
      <c r="CT349" s="216"/>
      <c r="CU349" s="216"/>
      <c r="CV349" s="216"/>
      <c r="CW349" s="216"/>
      <c r="CX349" s="216"/>
      <c r="CY349" s="216"/>
    </row>
    <row r="350" spans="1:103" ht="12.75" x14ac:dyDescent="0.2">
      <c r="A350" s="214"/>
      <c r="B350" s="214"/>
      <c r="C350" s="214"/>
      <c r="D350" s="214"/>
      <c r="E350" s="214"/>
      <c r="F350" s="214"/>
      <c r="G350" s="214"/>
      <c r="H350" s="214"/>
      <c r="I350" s="214"/>
      <c r="J350" s="214"/>
      <c r="K350" s="214"/>
      <c r="L350" s="214"/>
      <c r="M350" s="214"/>
      <c r="N350" s="215"/>
      <c r="O350" s="215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  <c r="BI350" s="216"/>
      <c r="BJ350" s="216"/>
      <c r="BK350" s="216"/>
      <c r="BL350" s="216"/>
      <c r="BM350" s="216"/>
      <c r="BN350" s="216"/>
      <c r="BO350" s="216"/>
      <c r="BP350" s="216"/>
      <c r="BQ350" s="216"/>
      <c r="BR350" s="216"/>
      <c r="BS350" s="216"/>
      <c r="BT350" s="216"/>
      <c r="BU350" s="216"/>
      <c r="BV350" s="216"/>
      <c r="BW350" s="216"/>
      <c r="BX350" s="216"/>
      <c r="BY350" s="216"/>
      <c r="BZ350" s="216"/>
      <c r="CA350" s="216"/>
      <c r="CB350" s="216"/>
      <c r="CC350" s="216"/>
      <c r="CD350" s="216"/>
      <c r="CE350" s="216"/>
      <c r="CF350" s="216"/>
      <c r="CG350" s="216"/>
      <c r="CH350" s="216"/>
      <c r="CI350" s="216"/>
      <c r="CJ350" s="216"/>
      <c r="CK350" s="216"/>
      <c r="CL350" s="216"/>
      <c r="CM350" s="216"/>
      <c r="CN350" s="216"/>
      <c r="CO350" s="216"/>
      <c r="CP350" s="216"/>
      <c r="CQ350" s="216"/>
      <c r="CR350" s="216"/>
      <c r="CS350" s="216"/>
      <c r="CT350" s="216"/>
      <c r="CU350" s="216"/>
      <c r="CV350" s="216"/>
      <c r="CW350" s="216"/>
      <c r="CX350" s="216"/>
      <c r="CY350" s="216"/>
    </row>
    <row r="351" spans="1:103" ht="12.75" x14ac:dyDescent="0.2">
      <c r="A351" s="214"/>
      <c r="B351" s="214"/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4"/>
      <c r="N351" s="215"/>
      <c r="O351" s="215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6"/>
      <c r="BA351" s="216"/>
      <c r="BB351" s="216"/>
      <c r="BC351" s="216"/>
      <c r="BD351" s="216"/>
      <c r="BE351" s="216"/>
      <c r="BF351" s="216"/>
      <c r="BG351" s="216"/>
      <c r="BH351" s="216"/>
      <c r="BI351" s="216"/>
      <c r="BJ351" s="216"/>
      <c r="BK351" s="216"/>
      <c r="BL351" s="216"/>
      <c r="BM351" s="216"/>
      <c r="BN351" s="216"/>
      <c r="BO351" s="216"/>
      <c r="BP351" s="216"/>
      <c r="BQ351" s="216"/>
      <c r="BR351" s="216"/>
      <c r="BS351" s="216"/>
      <c r="BT351" s="216"/>
      <c r="BU351" s="216"/>
      <c r="BV351" s="216"/>
      <c r="BW351" s="216"/>
      <c r="BX351" s="216"/>
      <c r="BY351" s="216"/>
      <c r="BZ351" s="216"/>
      <c r="CA351" s="216"/>
      <c r="CB351" s="216"/>
      <c r="CC351" s="216"/>
      <c r="CD351" s="216"/>
      <c r="CE351" s="216"/>
      <c r="CF351" s="216"/>
      <c r="CG351" s="216"/>
      <c r="CH351" s="216"/>
      <c r="CI351" s="216"/>
      <c r="CJ351" s="216"/>
      <c r="CK351" s="216"/>
      <c r="CL351" s="216"/>
      <c r="CM351" s="216"/>
      <c r="CN351" s="216"/>
      <c r="CO351" s="216"/>
      <c r="CP351" s="216"/>
      <c r="CQ351" s="216"/>
      <c r="CR351" s="216"/>
      <c r="CS351" s="216"/>
      <c r="CT351" s="216"/>
      <c r="CU351" s="216"/>
      <c r="CV351" s="216"/>
      <c r="CW351" s="216"/>
      <c r="CX351" s="216"/>
      <c r="CY351" s="216"/>
    </row>
    <row r="352" spans="1:103" ht="12.75" x14ac:dyDescent="0.2">
      <c r="A352" s="214"/>
      <c r="B352" s="214"/>
      <c r="C352" s="214"/>
      <c r="D352" s="214"/>
      <c r="E352" s="214"/>
      <c r="F352" s="214"/>
      <c r="G352" s="214"/>
      <c r="H352" s="214"/>
      <c r="I352" s="214"/>
      <c r="J352" s="214"/>
      <c r="K352" s="214"/>
      <c r="L352" s="214"/>
      <c r="M352" s="214"/>
      <c r="N352" s="215"/>
      <c r="O352" s="215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16"/>
      <c r="BB352" s="216"/>
      <c r="BC352" s="216"/>
      <c r="BD352" s="216"/>
      <c r="BE352" s="216"/>
      <c r="BF352" s="216"/>
      <c r="BG352" s="216"/>
      <c r="BH352" s="216"/>
      <c r="BI352" s="216"/>
      <c r="BJ352" s="216"/>
      <c r="BK352" s="216"/>
      <c r="BL352" s="216"/>
      <c r="BM352" s="216"/>
      <c r="BN352" s="216"/>
      <c r="BO352" s="216"/>
      <c r="BP352" s="216"/>
      <c r="BQ352" s="216"/>
      <c r="BR352" s="216"/>
      <c r="BS352" s="216"/>
      <c r="BT352" s="216"/>
      <c r="BU352" s="216"/>
      <c r="BV352" s="216"/>
      <c r="BW352" s="216"/>
      <c r="BX352" s="216"/>
      <c r="BY352" s="216"/>
      <c r="BZ352" s="216"/>
      <c r="CA352" s="216"/>
      <c r="CB352" s="216"/>
      <c r="CC352" s="216"/>
      <c r="CD352" s="216"/>
      <c r="CE352" s="216"/>
      <c r="CF352" s="216"/>
      <c r="CG352" s="216"/>
      <c r="CH352" s="216"/>
      <c r="CI352" s="216"/>
      <c r="CJ352" s="216"/>
      <c r="CK352" s="216"/>
      <c r="CL352" s="216"/>
      <c r="CM352" s="216"/>
      <c r="CN352" s="216"/>
      <c r="CO352" s="216"/>
      <c r="CP352" s="216"/>
      <c r="CQ352" s="216"/>
      <c r="CR352" s="216"/>
      <c r="CS352" s="216"/>
      <c r="CT352" s="216"/>
      <c r="CU352" s="216"/>
      <c r="CV352" s="216"/>
      <c r="CW352" s="216"/>
      <c r="CX352" s="216"/>
      <c r="CY352" s="216"/>
    </row>
    <row r="353" spans="1:103" ht="12.75" x14ac:dyDescent="0.2">
      <c r="A353" s="214"/>
      <c r="B353" s="214"/>
      <c r="C353" s="214"/>
      <c r="D353" s="214"/>
      <c r="E353" s="214"/>
      <c r="F353" s="214"/>
      <c r="G353" s="214"/>
      <c r="H353" s="214"/>
      <c r="I353" s="214"/>
      <c r="J353" s="214"/>
      <c r="K353" s="214"/>
      <c r="L353" s="214"/>
      <c r="M353" s="214"/>
      <c r="N353" s="215"/>
      <c r="O353" s="215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  <c r="AM353" s="216"/>
      <c r="AN353" s="216"/>
      <c r="AO353" s="216"/>
      <c r="AP353" s="216"/>
      <c r="AQ353" s="216"/>
      <c r="AR353" s="216"/>
      <c r="AS353" s="216"/>
      <c r="AT353" s="216"/>
      <c r="AU353" s="216"/>
      <c r="AV353" s="216"/>
      <c r="AW353" s="216"/>
      <c r="AX353" s="216"/>
      <c r="AY353" s="216"/>
      <c r="AZ353" s="216"/>
      <c r="BA353" s="216"/>
      <c r="BB353" s="216"/>
      <c r="BC353" s="216"/>
      <c r="BD353" s="216"/>
      <c r="BE353" s="216"/>
      <c r="BF353" s="216"/>
      <c r="BG353" s="216"/>
      <c r="BH353" s="216"/>
      <c r="BI353" s="216"/>
      <c r="BJ353" s="216"/>
      <c r="BK353" s="216"/>
      <c r="BL353" s="216"/>
      <c r="BM353" s="216"/>
      <c r="BN353" s="216"/>
      <c r="BO353" s="216"/>
      <c r="BP353" s="216"/>
      <c r="BQ353" s="216"/>
      <c r="BR353" s="216"/>
      <c r="BS353" s="216"/>
      <c r="BT353" s="216"/>
      <c r="BU353" s="216"/>
      <c r="BV353" s="216"/>
      <c r="BW353" s="216"/>
      <c r="BX353" s="216"/>
      <c r="BY353" s="216"/>
      <c r="BZ353" s="216"/>
      <c r="CA353" s="216"/>
      <c r="CB353" s="216"/>
      <c r="CC353" s="216"/>
      <c r="CD353" s="216"/>
      <c r="CE353" s="216"/>
      <c r="CF353" s="216"/>
      <c r="CG353" s="216"/>
      <c r="CH353" s="216"/>
      <c r="CI353" s="216"/>
      <c r="CJ353" s="216"/>
      <c r="CK353" s="216"/>
      <c r="CL353" s="216"/>
      <c r="CM353" s="216"/>
      <c r="CN353" s="216"/>
      <c r="CO353" s="216"/>
      <c r="CP353" s="216"/>
      <c r="CQ353" s="216"/>
      <c r="CR353" s="216"/>
      <c r="CS353" s="216"/>
      <c r="CT353" s="216"/>
      <c r="CU353" s="216"/>
      <c r="CV353" s="216"/>
      <c r="CW353" s="216"/>
      <c r="CX353" s="216"/>
      <c r="CY353" s="216"/>
    </row>
    <row r="354" spans="1:103" ht="12.75" x14ac:dyDescent="0.2">
      <c r="A354" s="214"/>
      <c r="B354" s="214"/>
      <c r="C354" s="214"/>
      <c r="D354" s="214"/>
      <c r="E354" s="214"/>
      <c r="F354" s="214"/>
      <c r="G354" s="214"/>
      <c r="H354" s="214"/>
      <c r="I354" s="214"/>
      <c r="J354" s="214"/>
      <c r="K354" s="214"/>
      <c r="L354" s="214"/>
      <c r="M354" s="214"/>
      <c r="N354" s="215"/>
      <c r="O354" s="215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6"/>
      <c r="BB354" s="216"/>
      <c r="BC354" s="216"/>
      <c r="BD354" s="216"/>
      <c r="BE354" s="216"/>
      <c r="BF354" s="216"/>
      <c r="BG354" s="216"/>
      <c r="BH354" s="216"/>
      <c r="BI354" s="216"/>
      <c r="BJ354" s="216"/>
      <c r="BK354" s="216"/>
      <c r="BL354" s="216"/>
      <c r="BM354" s="216"/>
      <c r="BN354" s="216"/>
      <c r="BO354" s="216"/>
      <c r="BP354" s="216"/>
      <c r="BQ354" s="216"/>
      <c r="BR354" s="216"/>
      <c r="BS354" s="216"/>
      <c r="BT354" s="216"/>
      <c r="BU354" s="216"/>
      <c r="BV354" s="216"/>
      <c r="BW354" s="216"/>
      <c r="BX354" s="216"/>
      <c r="BY354" s="216"/>
      <c r="BZ354" s="216"/>
      <c r="CA354" s="216"/>
      <c r="CB354" s="216"/>
      <c r="CC354" s="216"/>
      <c r="CD354" s="216"/>
      <c r="CE354" s="216"/>
      <c r="CF354" s="216"/>
      <c r="CG354" s="216"/>
      <c r="CH354" s="216"/>
      <c r="CI354" s="216"/>
      <c r="CJ354" s="216"/>
      <c r="CK354" s="216"/>
      <c r="CL354" s="216"/>
      <c r="CM354" s="216"/>
      <c r="CN354" s="216"/>
      <c r="CO354" s="216"/>
      <c r="CP354" s="216"/>
      <c r="CQ354" s="216"/>
      <c r="CR354" s="216"/>
      <c r="CS354" s="216"/>
      <c r="CT354" s="216"/>
      <c r="CU354" s="216"/>
      <c r="CV354" s="216"/>
      <c r="CW354" s="216"/>
      <c r="CX354" s="216"/>
      <c r="CY354" s="216"/>
    </row>
    <row r="355" spans="1:103" ht="12.75" x14ac:dyDescent="0.2">
      <c r="A355" s="214"/>
      <c r="B355" s="214"/>
      <c r="C355" s="214"/>
      <c r="D355" s="214"/>
      <c r="E355" s="214"/>
      <c r="F355" s="214"/>
      <c r="G355" s="214"/>
      <c r="H355" s="214"/>
      <c r="I355" s="214"/>
      <c r="J355" s="214"/>
      <c r="K355" s="214"/>
      <c r="L355" s="214"/>
      <c r="M355" s="214"/>
      <c r="N355" s="215"/>
      <c r="O355" s="215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  <c r="AM355" s="216"/>
      <c r="AN355" s="216"/>
      <c r="AO355" s="216"/>
      <c r="AP355" s="216"/>
      <c r="AQ355" s="216"/>
      <c r="AR355" s="216"/>
      <c r="AS355" s="216"/>
      <c r="AT355" s="216"/>
      <c r="AU355" s="216"/>
      <c r="AV355" s="216"/>
      <c r="AW355" s="216"/>
      <c r="AX355" s="216"/>
      <c r="AY355" s="216"/>
      <c r="AZ355" s="216"/>
      <c r="BA355" s="216"/>
      <c r="BB355" s="216"/>
      <c r="BC355" s="216"/>
      <c r="BD355" s="216"/>
      <c r="BE355" s="216"/>
      <c r="BF355" s="216"/>
      <c r="BG355" s="216"/>
      <c r="BH355" s="216"/>
      <c r="BI355" s="216"/>
      <c r="BJ355" s="216"/>
      <c r="BK355" s="216"/>
      <c r="BL355" s="216"/>
      <c r="BM355" s="216"/>
      <c r="BN355" s="216"/>
      <c r="BO355" s="216"/>
      <c r="BP355" s="216"/>
      <c r="BQ355" s="216"/>
      <c r="BR355" s="216"/>
      <c r="BS355" s="216"/>
      <c r="BT355" s="216"/>
      <c r="BU355" s="216"/>
      <c r="BV355" s="216"/>
      <c r="BW355" s="216"/>
      <c r="BX355" s="216"/>
      <c r="BY355" s="216"/>
      <c r="BZ355" s="216"/>
      <c r="CA355" s="216"/>
      <c r="CB355" s="216"/>
      <c r="CC355" s="216"/>
      <c r="CD355" s="216"/>
      <c r="CE355" s="216"/>
      <c r="CF355" s="216"/>
      <c r="CG355" s="216"/>
      <c r="CH355" s="216"/>
      <c r="CI355" s="216"/>
      <c r="CJ355" s="216"/>
      <c r="CK355" s="216"/>
      <c r="CL355" s="216"/>
      <c r="CM355" s="216"/>
      <c r="CN355" s="216"/>
      <c r="CO355" s="216"/>
      <c r="CP355" s="216"/>
      <c r="CQ355" s="216"/>
      <c r="CR355" s="216"/>
      <c r="CS355" s="216"/>
      <c r="CT355" s="216"/>
      <c r="CU355" s="216"/>
      <c r="CV355" s="216"/>
      <c r="CW355" s="216"/>
      <c r="CX355" s="216"/>
      <c r="CY355" s="216"/>
    </row>
    <row r="356" spans="1:103" ht="12.75" x14ac:dyDescent="0.2">
      <c r="A356" s="214"/>
      <c r="B356" s="214"/>
      <c r="C356" s="214"/>
      <c r="D356" s="214"/>
      <c r="E356" s="214"/>
      <c r="F356" s="214"/>
      <c r="G356" s="214"/>
      <c r="H356" s="214"/>
      <c r="I356" s="214"/>
      <c r="J356" s="214"/>
      <c r="K356" s="214"/>
      <c r="L356" s="214"/>
      <c r="M356" s="214"/>
      <c r="N356" s="215"/>
      <c r="O356" s="215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6"/>
      <c r="BN356" s="216"/>
      <c r="BO356" s="216"/>
      <c r="BP356" s="216"/>
      <c r="BQ356" s="216"/>
      <c r="BR356" s="216"/>
      <c r="BS356" s="216"/>
      <c r="BT356" s="216"/>
      <c r="BU356" s="216"/>
      <c r="BV356" s="216"/>
      <c r="BW356" s="216"/>
      <c r="BX356" s="216"/>
      <c r="BY356" s="216"/>
      <c r="BZ356" s="216"/>
      <c r="CA356" s="216"/>
      <c r="CB356" s="216"/>
      <c r="CC356" s="216"/>
      <c r="CD356" s="216"/>
      <c r="CE356" s="216"/>
      <c r="CF356" s="216"/>
      <c r="CG356" s="216"/>
      <c r="CH356" s="216"/>
      <c r="CI356" s="216"/>
      <c r="CJ356" s="216"/>
      <c r="CK356" s="216"/>
      <c r="CL356" s="216"/>
      <c r="CM356" s="216"/>
      <c r="CN356" s="216"/>
      <c r="CO356" s="216"/>
      <c r="CP356" s="216"/>
      <c r="CQ356" s="216"/>
      <c r="CR356" s="216"/>
      <c r="CS356" s="216"/>
      <c r="CT356" s="216"/>
      <c r="CU356" s="216"/>
      <c r="CV356" s="216"/>
      <c r="CW356" s="216"/>
      <c r="CX356" s="216"/>
      <c r="CY356" s="216"/>
    </row>
    <row r="357" spans="1:103" ht="12.75" x14ac:dyDescent="0.2">
      <c r="A357" s="214"/>
      <c r="B357" s="214"/>
      <c r="C357" s="214"/>
      <c r="D357" s="214"/>
      <c r="E357" s="214"/>
      <c r="F357" s="214"/>
      <c r="G357" s="214"/>
      <c r="H357" s="214"/>
      <c r="I357" s="214"/>
      <c r="J357" s="214"/>
      <c r="K357" s="214"/>
      <c r="L357" s="214"/>
      <c r="M357" s="214"/>
      <c r="N357" s="215"/>
      <c r="O357" s="215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6"/>
      <c r="BN357" s="216"/>
      <c r="BO357" s="216"/>
      <c r="BP357" s="216"/>
      <c r="BQ357" s="216"/>
      <c r="BR357" s="216"/>
      <c r="BS357" s="216"/>
      <c r="BT357" s="216"/>
      <c r="BU357" s="216"/>
      <c r="BV357" s="216"/>
      <c r="BW357" s="216"/>
      <c r="BX357" s="216"/>
      <c r="BY357" s="216"/>
      <c r="BZ357" s="216"/>
      <c r="CA357" s="216"/>
      <c r="CB357" s="216"/>
      <c r="CC357" s="216"/>
      <c r="CD357" s="216"/>
      <c r="CE357" s="216"/>
      <c r="CF357" s="216"/>
      <c r="CG357" s="216"/>
      <c r="CH357" s="216"/>
      <c r="CI357" s="216"/>
      <c r="CJ357" s="216"/>
      <c r="CK357" s="216"/>
      <c r="CL357" s="216"/>
      <c r="CM357" s="216"/>
      <c r="CN357" s="216"/>
      <c r="CO357" s="216"/>
      <c r="CP357" s="216"/>
      <c r="CQ357" s="216"/>
      <c r="CR357" s="216"/>
      <c r="CS357" s="216"/>
      <c r="CT357" s="216"/>
      <c r="CU357" s="216"/>
      <c r="CV357" s="216"/>
      <c r="CW357" s="216"/>
      <c r="CX357" s="216"/>
      <c r="CY357" s="216"/>
    </row>
    <row r="358" spans="1:103" ht="12.75" x14ac:dyDescent="0.2">
      <c r="A358" s="214"/>
      <c r="B358" s="214"/>
      <c r="C358" s="214"/>
      <c r="D358" s="214"/>
      <c r="E358" s="214"/>
      <c r="F358" s="214"/>
      <c r="G358" s="214"/>
      <c r="H358" s="214"/>
      <c r="I358" s="214"/>
      <c r="J358" s="214"/>
      <c r="K358" s="214"/>
      <c r="L358" s="214"/>
      <c r="M358" s="214"/>
      <c r="N358" s="215"/>
      <c r="O358" s="215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6"/>
      <c r="BN358" s="216"/>
      <c r="BO358" s="216"/>
      <c r="BP358" s="216"/>
      <c r="BQ358" s="216"/>
      <c r="BR358" s="216"/>
      <c r="BS358" s="216"/>
      <c r="BT358" s="216"/>
      <c r="BU358" s="216"/>
      <c r="BV358" s="216"/>
      <c r="BW358" s="216"/>
      <c r="BX358" s="216"/>
      <c r="BY358" s="216"/>
      <c r="BZ358" s="216"/>
      <c r="CA358" s="216"/>
      <c r="CB358" s="216"/>
      <c r="CC358" s="216"/>
      <c r="CD358" s="216"/>
      <c r="CE358" s="216"/>
      <c r="CF358" s="216"/>
      <c r="CG358" s="216"/>
      <c r="CH358" s="216"/>
      <c r="CI358" s="216"/>
      <c r="CJ358" s="216"/>
      <c r="CK358" s="216"/>
      <c r="CL358" s="216"/>
      <c r="CM358" s="216"/>
      <c r="CN358" s="216"/>
      <c r="CO358" s="216"/>
      <c r="CP358" s="216"/>
      <c r="CQ358" s="216"/>
      <c r="CR358" s="216"/>
      <c r="CS358" s="216"/>
      <c r="CT358" s="216"/>
      <c r="CU358" s="216"/>
      <c r="CV358" s="216"/>
      <c r="CW358" s="216"/>
      <c r="CX358" s="216"/>
      <c r="CY358" s="216"/>
    </row>
    <row r="359" spans="1:103" ht="12.75" x14ac:dyDescent="0.2">
      <c r="A359" s="214"/>
      <c r="B359" s="214"/>
      <c r="C359" s="214"/>
      <c r="D359" s="214"/>
      <c r="E359" s="214"/>
      <c r="F359" s="214"/>
      <c r="G359" s="214"/>
      <c r="H359" s="214"/>
      <c r="I359" s="214"/>
      <c r="J359" s="214"/>
      <c r="K359" s="214"/>
      <c r="L359" s="214"/>
      <c r="M359" s="214"/>
      <c r="N359" s="215"/>
      <c r="O359" s="215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6"/>
      <c r="BN359" s="216"/>
      <c r="BO359" s="216"/>
      <c r="BP359" s="216"/>
      <c r="BQ359" s="216"/>
      <c r="BR359" s="216"/>
      <c r="BS359" s="216"/>
      <c r="BT359" s="216"/>
      <c r="BU359" s="216"/>
      <c r="BV359" s="216"/>
      <c r="BW359" s="216"/>
      <c r="BX359" s="216"/>
      <c r="BY359" s="216"/>
      <c r="BZ359" s="216"/>
      <c r="CA359" s="216"/>
      <c r="CB359" s="216"/>
      <c r="CC359" s="216"/>
      <c r="CD359" s="216"/>
      <c r="CE359" s="216"/>
      <c r="CF359" s="216"/>
      <c r="CG359" s="216"/>
      <c r="CH359" s="216"/>
      <c r="CI359" s="216"/>
      <c r="CJ359" s="216"/>
      <c r="CK359" s="216"/>
      <c r="CL359" s="216"/>
      <c r="CM359" s="216"/>
      <c r="CN359" s="216"/>
      <c r="CO359" s="216"/>
      <c r="CP359" s="216"/>
      <c r="CQ359" s="216"/>
      <c r="CR359" s="216"/>
      <c r="CS359" s="216"/>
      <c r="CT359" s="216"/>
      <c r="CU359" s="216"/>
      <c r="CV359" s="216"/>
      <c r="CW359" s="216"/>
      <c r="CX359" s="216"/>
      <c r="CY359" s="216"/>
    </row>
    <row r="360" spans="1:103" ht="12.75" x14ac:dyDescent="0.2">
      <c r="A360" s="214"/>
      <c r="B360" s="214"/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4"/>
      <c r="N360" s="215"/>
      <c r="O360" s="215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6"/>
      <c r="BN360" s="216"/>
      <c r="BO360" s="216"/>
      <c r="BP360" s="216"/>
      <c r="BQ360" s="216"/>
      <c r="BR360" s="216"/>
      <c r="BS360" s="216"/>
      <c r="BT360" s="216"/>
      <c r="BU360" s="216"/>
      <c r="BV360" s="216"/>
      <c r="BW360" s="216"/>
      <c r="BX360" s="216"/>
      <c r="BY360" s="216"/>
      <c r="BZ360" s="216"/>
      <c r="CA360" s="216"/>
      <c r="CB360" s="216"/>
      <c r="CC360" s="216"/>
      <c r="CD360" s="216"/>
      <c r="CE360" s="216"/>
      <c r="CF360" s="216"/>
      <c r="CG360" s="216"/>
      <c r="CH360" s="216"/>
      <c r="CI360" s="216"/>
      <c r="CJ360" s="216"/>
      <c r="CK360" s="216"/>
      <c r="CL360" s="216"/>
      <c r="CM360" s="216"/>
      <c r="CN360" s="216"/>
      <c r="CO360" s="216"/>
      <c r="CP360" s="216"/>
      <c r="CQ360" s="216"/>
      <c r="CR360" s="216"/>
      <c r="CS360" s="216"/>
      <c r="CT360" s="216"/>
      <c r="CU360" s="216"/>
      <c r="CV360" s="216"/>
      <c r="CW360" s="216"/>
      <c r="CX360" s="216"/>
      <c r="CY360" s="216"/>
    </row>
    <row r="361" spans="1:103" ht="12.75" x14ac:dyDescent="0.2">
      <c r="A361" s="214"/>
      <c r="B361" s="214"/>
      <c r="C361" s="214"/>
      <c r="D361" s="214"/>
      <c r="E361" s="214"/>
      <c r="F361" s="214"/>
      <c r="G361" s="214"/>
      <c r="H361" s="214"/>
      <c r="I361" s="214"/>
      <c r="J361" s="214"/>
      <c r="K361" s="214"/>
      <c r="L361" s="214"/>
      <c r="M361" s="214"/>
      <c r="N361" s="215"/>
      <c r="O361" s="215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  <c r="AM361" s="216"/>
      <c r="AN361" s="216"/>
      <c r="AO361" s="216"/>
      <c r="AP361" s="216"/>
      <c r="AQ361" s="216"/>
      <c r="AR361" s="216"/>
      <c r="AS361" s="216"/>
      <c r="AT361" s="216"/>
      <c r="AU361" s="216"/>
      <c r="AV361" s="216"/>
      <c r="AW361" s="216"/>
      <c r="AX361" s="216"/>
      <c r="AY361" s="216"/>
      <c r="AZ361" s="216"/>
      <c r="BA361" s="216"/>
      <c r="BB361" s="216"/>
      <c r="BC361" s="216"/>
      <c r="BD361" s="216"/>
      <c r="BE361" s="216"/>
      <c r="BF361" s="216"/>
      <c r="BG361" s="216"/>
      <c r="BH361" s="216"/>
      <c r="BI361" s="216"/>
      <c r="BJ361" s="216"/>
      <c r="BK361" s="216"/>
      <c r="BL361" s="216"/>
      <c r="BM361" s="216"/>
      <c r="BN361" s="216"/>
      <c r="BO361" s="216"/>
      <c r="BP361" s="216"/>
      <c r="BQ361" s="216"/>
      <c r="BR361" s="216"/>
      <c r="BS361" s="216"/>
      <c r="BT361" s="216"/>
      <c r="BU361" s="216"/>
      <c r="BV361" s="216"/>
      <c r="BW361" s="216"/>
      <c r="BX361" s="216"/>
      <c r="BY361" s="216"/>
      <c r="BZ361" s="216"/>
      <c r="CA361" s="216"/>
      <c r="CB361" s="216"/>
      <c r="CC361" s="216"/>
      <c r="CD361" s="216"/>
      <c r="CE361" s="216"/>
      <c r="CF361" s="216"/>
      <c r="CG361" s="216"/>
      <c r="CH361" s="216"/>
      <c r="CI361" s="216"/>
      <c r="CJ361" s="216"/>
      <c r="CK361" s="216"/>
      <c r="CL361" s="216"/>
      <c r="CM361" s="216"/>
      <c r="CN361" s="216"/>
      <c r="CO361" s="216"/>
      <c r="CP361" s="216"/>
      <c r="CQ361" s="216"/>
      <c r="CR361" s="216"/>
      <c r="CS361" s="216"/>
      <c r="CT361" s="216"/>
      <c r="CU361" s="216"/>
      <c r="CV361" s="216"/>
      <c r="CW361" s="216"/>
      <c r="CX361" s="216"/>
      <c r="CY361" s="216"/>
    </row>
    <row r="362" spans="1:103" ht="12.75" x14ac:dyDescent="0.2">
      <c r="A362" s="214"/>
      <c r="B362" s="214"/>
      <c r="C362" s="214"/>
      <c r="D362" s="214"/>
      <c r="E362" s="214"/>
      <c r="F362" s="214"/>
      <c r="G362" s="214"/>
      <c r="H362" s="214"/>
      <c r="I362" s="214"/>
      <c r="J362" s="214"/>
      <c r="K362" s="214"/>
      <c r="L362" s="214"/>
      <c r="M362" s="214"/>
      <c r="N362" s="215"/>
      <c r="O362" s="215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  <c r="AM362" s="216"/>
      <c r="AN362" s="216"/>
      <c r="AO362" s="216"/>
      <c r="AP362" s="216"/>
      <c r="AQ362" s="216"/>
      <c r="AR362" s="216"/>
      <c r="AS362" s="216"/>
      <c r="AT362" s="216"/>
      <c r="AU362" s="216"/>
      <c r="AV362" s="216"/>
      <c r="AW362" s="216"/>
      <c r="AX362" s="216"/>
      <c r="AY362" s="216"/>
      <c r="AZ362" s="216"/>
      <c r="BA362" s="216"/>
      <c r="BB362" s="216"/>
      <c r="BC362" s="216"/>
      <c r="BD362" s="216"/>
      <c r="BE362" s="216"/>
      <c r="BF362" s="216"/>
      <c r="BG362" s="216"/>
      <c r="BH362" s="216"/>
      <c r="BI362" s="216"/>
      <c r="BJ362" s="216"/>
      <c r="BK362" s="216"/>
      <c r="BL362" s="216"/>
      <c r="BM362" s="216"/>
      <c r="BN362" s="216"/>
      <c r="BO362" s="216"/>
      <c r="BP362" s="216"/>
      <c r="BQ362" s="216"/>
      <c r="BR362" s="216"/>
      <c r="BS362" s="216"/>
      <c r="BT362" s="216"/>
      <c r="BU362" s="216"/>
      <c r="BV362" s="216"/>
      <c r="BW362" s="216"/>
      <c r="BX362" s="216"/>
      <c r="BY362" s="216"/>
      <c r="BZ362" s="216"/>
      <c r="CA362" s="216"/>
      <c r="CB362" s="216"/>
      <c r="CC362" s="216"/>
      <c r="CD362" s="216"/>
      <c r="CE362" s="216"/>
      <c r="CF362" s="216"/>
      <c r="CG362" s="216"/>
      <c r="CH362" s="216"/>
      <c r="CI362" s="216"/>
      <c r="CJ362" s="216"/>
      <c r="CK362" s="216"/>
      <c r="CL362" s="216"/>
      <c r="CM362" s="216"/>
      <c r="CN362" s="216"/>
      <c r="CO362" s="216"/>
      <c r="CP362" s="216"/>
      <c r="CQ362" s="216"/>
      <c r="CR362" s="216"/>
      <c r="CS362" s="216"/>
      <c r="CT362" s="216"/>
      <c r="CU362" s="216"/>
      <c r="CV362" s="216"/>
      <c r="CW362" s="216"/>
      <c r="CX362" s="216"/>
      <c r="CY362" s="216"/>
    </row>
    <row r="363" spans="1:103" ht="12.75" x14ac:dyDescent="0.2">
      <c r="A363" s="214"/>
      <c r="B363" s="214"/>
      <c r="C363" s="214"/>
      <c r="D363" s="214"/>
      <c r="E363" s="214"/>
      <c r="F363" s="214"/>
      <c r="G363" s="214"/>
      <c r="H363" s="214"/>
      <c r="I363" s="214"/>
      <c r="J363" s="214"/>
      <c r="K363" s="214"/>
      <c r="L363" s="214"/>
      <c r="M363" s="214"/>
      <c r="N363" s="215"/>
      <c r="O363" s="215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16"/>
      <c r="AN363" s="216"/>
      <c r="AO363" s="216"/>
      <c r="AP363" s="216"/>
      <c r="AQ363" s="216"/>
      <c r="AR363" s="216"/>
      <c r="AS363" s="216"/>
      <c r="AT363" s="216"/>
      <c r="AU363" s="216"/>
      <c r="AV363" s="216"/>
      <c r="AW363" s="216"/>
      <c r="AX363" s="216"/>
      <c r="AY363" s="216"/>
      <c r="AZ363" s="216"/>
      <c r="BA363" s="216"/>
      <c r="BB363" s="216"/>
      <c r="BC363" s="216"/>
      <c r="BD363" s="216"/>
      <c r="BE363" s="216"/>
      <c r="BF363" s="216"/>
      <c r="BG363" s="216"/>
      <c r="BH363" s="216"/>
      <c r="BI363" s="216"/>
      <c r="BJ363" s="216"/>
      <c r="BK363" s="216"/>
      <c r="BL363" s="216"/>
      <c r="BM363" s="216"/>
      <c r="BN363" s="216"/>
      <c r="BO363" s="216"/>
      <c r="BP363" s="216"/>
      <c r="BQ363" s="216"/>
      <c r="BR363" s="216"/>
      <c r="BS363" s="216"/>
      <c r="BT363" s="216"/>
      <c r="BU363" s="216"/>
      <c r="BV363" s="216"/>
      <c r="BW363" s="216"/>
      <c r="BX363" s="216"/>
      <c r="BY363" s="216"/>
      <c r="BZ363" s="216"/>
      <c r="CA363" s="216"/>
      <c r="CB363" s="216"/>
      <c r="CC363" s="216"/>
      <c r="CD363" s="216"/>
      <c r="CE363" s="216"/>
      <c r="CF363" s="216"/>
      <c r="CG363" s="216"/>
      <c r="CH363" s="216"/>
      <c r="CI363" s="216"/>
      <c r="CJ363" s="216"/>
      <c r="CK363" s="216"/>
      <c r="CL363" s="216"/>
      <c r="CM363" s="216"/>
      <c r="CN363" s="216"/>
      <c r="CO363" s="216"/>
      <c r="CP363" s="216"/>
      <c r="CQ363" s="216"/>
      <c r="CR363" s="216"/>
      <c r="CS363" s="216"/>
      <c r="CT363" s="216"/>
      <c r="CU363" s="216"/>
      <c r="CV363" s="216"/>
      <c r="CW363" s="216"/>
      <c r="CX363" s="216"/>
      <c r="CY363" s="216"/>
    </row>
    <row r="364" spans="1:103" ht="12.75" x14ac:dyDescent="0.2">
      <c r="A364" s="214"/>
      <c r="B364" s="214"/>
      <c r="C364" s="214"/>
      <c r="D364" s="214"/>
      <c r="E364" s="214"/>
      <c r="F364" s="214"/>
      <c r="G364" s="214"/>
      <c r="H364" s="214"/>
      <c r="I364" s="214"/>
      <c r="J364" s="214"/>
      <c r="K364" s="214"/>
      <c r="L364" s="214"/>
      <c r="M364" s="214"/>
      <c r="N364" s="215"/>
      <c r="O364" s="215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  <c r="AM364" s="216"/>
      <c r="AN364" s="216"/>
      <c r="AO364" s="216"/>
      <c r="AP364" s="216"/>
      <c r="AQ364" s="216"/>
      <c r="AR364" s="216"/>
      <c r="AS364" s="216"/>
      <c r="AT364" s="216"/>
      <c r="AU364" s="216"/>
      <c r="AV364" s="216"/>
      <c r="AW364" s="216"/>
      <c r="AX364" s="216"/>
      <c r="AY364" s="216"/>
      <c r="AZ364" s="216"/>
      <c r="BA364" s="216"/>
      <c r="BB364" s="216"/>
      <c r="BC364" s="216"/>
      <c r="BD364" s="216"/>
      <c r="BE364" s="216"/>
      <c r="BF364" s="216"/>
      <c r="BG364" s="216"/>
      <c r="BH364" s="216"/>
      <c r="BI364" s="216"/>
      <c r="BJ364" s="216"/>
      <c r="BK364" s="216"/>
      <c r="BL364" s="216"/>
      <c r="BM364" s="216"/>
      <c r="BN364" s="216"/>
      <c r="BO364" s="216"/>
      <c r="BP364" s="216"/>
      <c r="BQ364" s="216"/>
      <c r="BR364" s="216"/>
      <c r="BS364" s="216"/>
      <c r="BT364" s="216"/>
      <c r="BU364" s="216"/>
      <c r="BV364" s="216"/>
      <c r="BW364" s="216"/>
      <c r="BX364" s="216"/>
      <c r="BY364" s="216"/>
      <c r="BZ364" s="216"/>
      <c r="CA364" s="216"/>
      <c r="CB364" s="216"/>
      <c r="CC364" s="216"/>
      <c r="CD364" s="216"/>
      <c r="CE364" s="216"/>
      <c r="CF364" s="216"/>
      <c r="CG364" s="216"/>
      <c r="CH364" s="216"/>
      <c r="CI364" s="216"/>
      <c r="CJ364" s="216"/>
      <c r="CK364" s="216"/>
      <c r="CL364" s="216"/>
      <c r="CM364" s="216"/>
      <c r="CN364" s="216"/>
      <c r="CO364" s="216"/>
      <c r="CP364" s="216"/>
      <c r="CQ364" s="216"/>
      <c r="CR364" s="216"/>
      <c r="CS364" s="216"/>
      <c r="CT364" s="216"/>
      <c r="CU364" s="216"/>
      <c r="CV364" s="216"/>
      <c r="CW364" s="216"/>
      <c r="CX364" s="216"/>
      <c r="CY364" s="216"/>
    </row>
    <row r="365" spans="1:103" ht="12.75" x14ac:dyDescent="0.2">
      <c r="A365" s="214"/>
      <c r="B365" s="214"/>
      <c r="C365" s="214"/>
      <c r="D365" s="214"/>
      <c r="E365" s="214"/>
      <c r="F365" s="214"/>
      <c r="G365" s="214"/>
      <c r="H365" s="214"/>
      <c r="I365" s="214"/>
      <c r="J365" s="214"/>
      <c r="K365" s="214"/>
      <c r="L365" s="214"/>
      <c r="M365" s="214"/>
      <c r="N365" s="215"/>
      <c r="O365" s="215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16"/>
      <c r="AN365" s="216"/>
      <c r="AO365" s="216"/>
      <c r="AP365" s="216"/>
      <c r="AQ365" s="216"/>
      <c r="AR365" s="216"/>
      <c r="AS365" s="216"/>
      <c r="AT365" s="216"/>
      <c r="AU365" s="216"/>
      <c r="AV365" s="216"/>
      <c r="AW365" s="216"/>
      <c r="AX365" s="216"/>
      <c r="AY365" s="216"/>
      <c r="AZ365" s="216"/>
      <c r="BA365" s="216"/>
      <c r="BB365" s="216"/>
      <c r="BC365" s="216"/>
      <c r="BD365" s="216"/>
      <c r="BE365" s="216"/>
      <c r="BF365" s="216"/>
      <c r="BG365" s="216"/>
      <c r="BH365" s="216"/>
      <c r="BI365" s="216"/>
      <c r="BJ365" s="216"/>
      <c r="BK365" s="216"/>
      <c r="BL365" s="216"/>
      <c r="BM365" s="216"/>
      <c r="BN365" s="216"/>
      <c r="BO365" s="216"/>
      <c r="BP365" s="216"/>
      <c r="BQ365" s="216"/>
      <c r="BR365" s="216"/>
      <c r="BS365" s="216"/>
      <c r="BT365" s="216"/>
      <c r="BU365" s="216"/>
      <c r="BV365" s="216"/>
      <c r="BW365" s="216"/>
      <c r="BX365" s="216"/>
      <c r="BY365" s="216"/>
      <c r="BZ365" s="216"/>
      <c r="CA365" s="216"/>
      <c r="CB365" s="216"/>
      <c r="CC365" s="216"/>
      <c r="CD365" s="216"/>
      <c r="CE365" s="216"/>
      <c r="CF365" s="216"/>
      <c r="CG365" s="216"/>
      <c r="CH365" s="216"/>
      <c r="CI365" s="216"/>
      <c r="CJ365" s="216"/>
      <c r="CK365" s="216"/>
      <c r="CL365" s="216"/>
      <c r="CM365" s="216"/>
      <c r="CN365" s="216"/>
      <c r="CO365" s="216"/>
      <c r="CP365" s="216"/>
      <c r="CQ365" s="216"/>
      <c r="CR365" s="216"/>
      <c r="CS365" s="216"/>
      <c r="CT365" s="216"/>
      <c r="CU365" s="216"/>
      <c r="CV365" s="216"/>
      <c r="CW365" s="216"/>
      <c r="CX365" s="216"/>
      <c r="CY365" s="216"/>
    </row>
    <row r="366" spans="1:103" ht="12.75" x14ac:dyDescent="0.2">
      <c r="A366" s="214"/>
      <c r="B366" s="214"/>
      <c r="C366" s="214"/>
      <c r="D366" s="214"/>
      <c r="E366" s="214"/>
      <c r="F366" s="214"/>
      <c r="G366" s="214"/>
      <c r="H366" s="214"/>
      <c r="I366" s="214"/>
      <c r="J366" s="214"/>
      <c r="K366" s="214"/>
      <c r="L366" s="214"/>
      <c r="M366" s="214"/>
      <c r="N366" s="215"/>
      <c r="O366" s="215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6"/>
      <c r="AV366" s="216"/>
      <c r="AW366" s="216"/>
      <c r="AX366" s="216"/>
      <c r="AY366" s="216"/>
      <c r="AZ366" s="216"/>
      <c r="BA366" s="216"/>
      <c r="BB366" s="216"/>
      <c r="BC366" s="216"/>
      <c r="BD366" s="216"/>
      <c r="BE366" s="216"/>
      <c r="BF366" s="216"/>
      <c r="BG366" s="216"/>
      <c r="BH366" s="216"/>
      <c r="BI366" s="216"/>
      <c r="BJ366" s="216"/>
      <c r="BK366" s="216"/>
      <c r="BL366" s="216"/>
      <c r="BM366" s="216"/>
      <c r="BN366" s="216"/>
      <c r="BO366" s="216"/>
      <c r="BP366" s="216"/>
      <c r="BQ366" s="216"/>
      <c r="BR366" s="216"/>
      <c r="BS366" s="216"/>
      <c r="BT366" s="216"/>
      <c r="BU366" s="216"/>
      <c r="BV366" s="216"/>
      <c r="BW366" s="216"/>
      <c r="BX366" s="216"/>
      <c r="BY366" s="216"/>
      <c r="BZ366" s="216"/>
      <c r="CA366" s="216"/>
      <c r="CB366" s="216"/>
      <c r="CC366" s="216"/>
      <c r="CD366" s="216"/>
      <c r="CE366" s="216"/>
      <c r="CF366" s="216"/>
      <c r="CG366" s="216"/>
      <c r="CH366" s="216"/>
      <c r="CI366" s="216"/>
      <c r="CJ366" s="216"/>
      <c r="CK366" s="216"/>
      <c r="CL366" s="216"/>
      <c r="CM366" s="216"/>
      <c r="CN366" s="216"/>
      <c r="CO366" s="216"/>
      <c r="CP366" s="216"/>
      <c r="CQ366" s="216"/>
      <c r="CR366" s="216"/>
      <c r="CS366" s="216"/>
      <c r="CT366" s="216"/>
      <c r="CU366" s="216"/>
      <c r="CV366" s="216"/>
      <c r="CW366" s="216"/>
      <c r="CX366" s="216"/>
      <c r="CY366" s="216"/>
    </row>
    <row r="367" spans="1:103" ht="12.75" x14ac:dyDescent="0.2">
      <c r="A367" s="214"/>
      <c r="B367" s="214"/>
      <c r="C367" s="214"/>
      <c r="D367" s="214"/>
      <c r="E367" s="214"/>
      <c r="F367" s="214"/>
      <c r="G367" s="214"/>
      <c r="H367" s="214"/>
      <c r="I367" s="214"/>
      <c r="J367" s="214"/>
      <c r="K367" s="214"/>
      <c r="L367" s="214"/>
      <c r="M367" s="214"/>
      <c r="N367" s="215"/>
      <c r="O367" s="215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  <c r="AM367" s="216"/>
      <c r="AN367" s="216"/>
      <c r="AO367" s="216"/>
      <c r="AP367" s="216"/>
      <c r="AQ367" s="216"/>
      <c r="AR367" s="216"/>
      <c r="AS367" s="216"/>
      <c r="AT367" s="216"/>
      <c r="AU367" s="216"/>
      <c r="AV367" s="216"/>
      <c r="AW367" s="216"/>
      <c r="AX367" s="216"/>
      <c r="AY367" s="216"/>
      <c r="AZ367" s="216"/>
      <c r="BA367" s="216"/>
      <c r="BB367" s="216"/>
      <c r="BC367" s="216"/>
      <c r="BD367" s="216"/>
      <c r="BE367" s="216"/>
      <c r="BF367" s="216"/>
      <c r="BG367" s="216"/>
      <c r="BH367" s="216"/>
      <c r="BI367" s="216"/>
      <c r="BJ367" s="216"/>
      <c r="BK367" s="216"/>
      <c r="BL367" s="216"/>
      <c r="BM367" s="216"/>
      <c r="BN367" s="216"/>
      <c r="BO367" s="216"/>
      <c r="BP367" s="216"/>
      <c r="BQ367" s="216"/>
      <c r="BR367" s="216"/>
      <c r="BS367" s="216"/>
      <c r="BT367" s="216"/>
      <c r="BU367" s="216"/>
      <c r="BV367" s="216"/>
      <c r="BW367" s="216"/>
      <c r="BX367" s="216"/>
      <c r="BY367" s="216"/>
      <c r="BZ367" s="216"/>
      <c r="CA367" s="216"/>
      <c r="CB367" s="216"/>
      <c r="CC367" s="216"/>
      <c r="CD367" s="216"/>
      <c r="CE367" s="216"/>
      <c r="CF367" s="216"/>
      <c r="CG367" s="216"/>
      <c r="CH367" s="216"/>
      <c r="CI367" s="216"/>
      <c r="CJ367" s="216"/>
      <c r="CK367" s="216"/>
      <c r="CL367" s="216"/>
      <c r="CM367" s="216"/>
      <c r="CN367" s="216"/>
      <c r="CO367" s="216"/>
      <c r="CP367" s="216"/>
      <c r="CQ367" s="216"/>
      <c r="CR367" s="216"/>
      <c r="CS367" s="216"/>
      <c r="CT367" s="216"/>
      <c r="CU367" s="216"/>
      <c r="CV367" s="216"/>
      <c r="CW367" s="216"/>
      <c r="CX367" s="216"/>
      <c r="CY367" s="216"/>
    </row>
    <row r="368" spans="1:103" ht="12.75" x14ac:dyDescent="0.2">
      <c r="A368" s="214"/>
      <c r="B368" s="214"/>
      <c r="C368" s="214"/>
      <c r="D368" s="214"/>
      <c r="E368" s="214"/>
      <c r="F368" s="214"/>
      <c r="G368" s="214"/>
      <c r="H368" s="214"/>
      <c r="I368" s="214"/>
      <c r="J368" s="214"/>
      <c r="K368" s="214"/>
      <c r="L368" s="214"/>
      <c r="M368" s="214"/>
      <c r="N368" s="215"/>
      <c r="O368" s="215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  <c r="AM368" s="216"/>
      <c r="AN368" s="216"/>
      <c r="AO368" s="216"/>
      <c r="AP368" s="216"/>
      <c r="AQ368" s="216"/>
      <c r="AR368" s="216"/>
      <c r="AS368" s="216"/>
      <c r="AT368" s="216"/>
      <c r="AU368" s="216"/>
      <c r="AV368" s="216"/>
      <c r="AW368" s="216"/>
      <c r="AX368" s="216"/>
      <c r="AY368" s="216"/>
      <c r="AZ368" s="216"/>
      <c r="BA368" s="216"/>
      <c r="BB368" s="216"/>
      <c r="BC368" s="216"/>
      <c r="BD368" s="216"/>
      <c r="BE368" s="216"/>
      <c r="BF368" s="216"/>
      <c r="BG368" s="216"/>
      <c r="BH368" s="216"/>
      <c r="BI368" s="216"/>
      <c r="BJ368" s="216"/>
      <c r="BK368" s="216"/>
      <c r="BL368" s="216"/>
      <c r="BM368" s="216"/>
      <c r="BN368" s="216"/>
      <c r="BO368" s="216"/>
      <c r="BP368" s="216"/>
      <c r="BQ368" s="216"/>
      <c r="BR368" s="216"/>
      <c r="BS368" s="216"/>
      <c r="BT368" s="216"/>
      <c r="BU368" s="216"/>
      <c r="BV368" s="216"/>
      <c r="BW368" s="216"/>
      <c r="BX368" s="216"/>
      <c r="BY368" s="216"/>
      <c r="BZ368" s="216"/>
      <c r="CA368" s="216"/>
      <c r="CB368" s="216"/>
      <c r="CC368" s="216"/>
      <c r="CD368" s="216"/>
      <c r="CE368" s="216"/>
      <c r="CF368" s="216"/>
      <c r="CG368" s="216"/>
      <c r="CH368" s="216"/>
      <c r="CI368" s="216"/>
      <c r="CJ368" s="216"/>
      <c r="CK368" s="216"/>
      <c r="CL368" s="216"/>
      <c r="CM368" s="216"/>
      <c r="CN368" s="216"/>
      <c r="CO368" s="216"/>
      <c r="CP368" s="216"/>
      <c r="CQ368" s="216"/>
      <c r="CR368" s="216"/>
      <c r="CS368" s="216"/>
      <c r="CT368" s="216"/>
      <c r="CU368" s="216"/>
      <c r="CV368" s="216"/>
      <c r="CW368" s="216"/>
      <c r="CX368" s="216"/>
      <c r="CY368" s="216"/>
    </row>
    <row r="369" spans="1:103" ht="12.75" x14ac:dyDescent="0.2">
      <c r="A369" s="214"/>
      <c r="B369" s="214"/>
      <c r="C369" s="214"/>
      <c r="D369" s="214"/>
      <c r="E369" s="214"/>
      <c r="F369" s="214"/>
      <c r="G369" s="214"/>
      <c r="H369" s="214"/>
      <c r="I369" s="214"/>
      <c r="J369" s="214"/>
      <c r="K369" s="214"/>
      <c r="L369" s="214"/>
      <c r="M369" s="214"/>
      <c r="N369" s="215"/>
      <c r="O369" s="215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  <c r="AM369" s="216"/>
      <c r="AN369" s="216"/>
      <c r="AO369" s="216"/>
      <c r="AP369" s="216"/>
      <c r="AQ369" s="216"/>
      <c r="AR369" s="216"/>
      <c r="AS369" s="216"/>
      <c r="AT369" s="216"/>
      <c r="AU369" s="216"/>
      <c r="AV369" s="216"/>
      <c r="AW369" s="216"/>
      <c r="AX369" s="216"/>
      <c r="AY369" s="216"/>
      <c r="AZ369" s="216"/>
      <c r="BA369" s="216"/>
      <c r="BB369" s="216"/>
      <c r="BC369" s="216"/>
      <c r="BD369" s="216"/>
      <c r="BE369" s="216"/>
      <c r="BF369" s="216"/>
      <c r="BG369" s="216"/>
      <c r="BH369" s="216"/>
      <c r="BI369" s="216"/>
      <c r="BJ369" s="216"/>
      <c r="BK369" s="216"/>
      <c r="BL369" s="216"/>
      <c r="BM369" s="216"/>
      <c r="BN369" s="216"/>
      <c r="BO369" s="216"/>
      <c r="BP369" s="216"/>
      <c r="BQ369" s="216"/>
      <c r="BR369" s="216"/>
      <c r="BS369" s="216"/>
      <c r="BT369" s="216"/>
      <c r="BU369" s="216"/>
      <c r="BV369" s="216"/>
      <c r="BW369" s="216"/>
      <c r="BX369" s="216"/>
      <c r="BY369" s="216"/>
      <c r="BZ369" s="216"/>
      <c r="CA369" s="216"/>
      <c r="CB369" s="216"/>
      <c r="CC369" s="216"/>
      <c r="CD369" s="216"/>
      <c r="CE369" s="216"/>
      <c r="CF369" s="216"/>
      <c r="CG369" s="216"/>
      <c r="CH369" s="216"/>
      <c r="CI369" s="216"/>
      <c r="CJ369" s="216"/>
      <c r="CK369" s="216"/>
      <c r="CL369" s="216"/>
      <c r="CM369" s="216"/>
      <c r="CN369" s="216"/>
      <c r="CO369" s="216"/>
      <c r="CP369" s="216"/>
      <c r="CQ369" s="216"/>
      <c r="CR369" s="216"/>
      <c r="CS369" s="216"/>
      <c r="CT369" s="216"/>
      <c r="CU369" s="216"/>
      <c r="CV369" s="216"/>
      <c r="CW369" s="216"/>
      <c r="CX369" s="216"/>
      <c r="CY369" s="216"/>
    </row>
    <row r="370" spans="1:103" ht="12.75" x14ac:dyDescent="0.2">
      <c r="A370" s="214"/>
      <c r="B370" s="214"/>
      <c r="C370" s="214"/>
      <c r="D370" s="214"/>
      <c r="E370" s="214"/>
      <c r="F370" s="214"/>
      <c r="G370" s="214"/>
      <c r="H370" s="214"/>
      <c r="I370" s="214"/>
      <c r="J370" s="214"/>
      <c r="K370" s="214"/>
      <c r="L370" s="214"/>
      <c r="M370" s="214"/>
      <c r="N370" s="215"/>
      <c r="O370" s="215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16"/>
      <c r="BB370" s="216"/>
      <c r="BC370" s="216"/>
      <c r="BD370" s="216"/>
      <c r="BE370" s="216"/>
      <c r="BF370" s="216"/>
      <c r="BG370" s="216"/>
      <c r="BH370" s="216"/>
      <c r="BI370" s="216"/>
      <c r="BJ370" s="216"/>
      <c r="BK370" s="216"/>
      <c r="BL370" s="216"/>
      <c r="BM370" s="216"/>
      <c r="BN370" s="216"/>
      <c r="BO370" s="216"/>
      <c r="BP370" s="216"/>
      <c r="BQ370" s="216"/>
      <c r="BR370" s="216"/>
      <c r="BS370" s="216"/>
      <c r="BT370" s="216"/>
      <c r="BU370" s="216"/>
      <c r="BV370" s="216"/>
      <c r="BW370" s="216"/>
      <c r="BX370" s="216"/>
      <c r="BY370" s="216"/>
      <c r="BZ370" s="216"/>
      <c r="CA370" s="216"/>
      <c r="CB370" s="216"/>
      <c r="CC370" s="216"/>
      <c r="CD370" s="216"/>
      <c r="CE370" s="216"/>
      <c r="CF370" s="216"/>
      <c r="CG370" s="216"/>
      <c r="CH370" s="216"/>
      <c r="CI370" s="216"/>
      <c r="CJ370" s="216"/>
      <c r="CK370" s="216"/>
      <c r="CL370" s="216"/>
      <c r="CM370" s="216"/>
      <c r="CN370" s="216"/>
      <c r="CO370" s="216"/>
      <c r="CP370" s="216"/>
      <c r="CQ370" s="216"/>
      <c r="CR370" s="216"/>
      <c r="CS370" s="216"/>
      <c r="CT370" s="216"/>
      <c r="CU370" s="216"/>
      <c r="CV370" s="216"/>
      <c r="CW370" s="216"/>
      <c r="CX370" s="216"/>
      <c r="CY370" s="216"/>
    </row>
    <row r="371" spans="1:103" ht="12.75" x14ac:dyDescent="0.2">
      <c r="A371" s="214"/>
      <c r="B371" s="214"/>
      <c r="C371" s="214"/>
      <c r="D371" s="214"/>
      <c r="E371" s="214"/>
      <c r="F371" s="214"/>
      <c r="G371" s="214"/>
      <c r="H371" s="214"/>
      <c r="I371" s="214"/>
      <c r="J371" s="214"/>
      <c r="K371" s="214"/>
      <c r="L371" s="214"/>
      <c r="M371" s="214"/>
      <c r="N371" s="215"/>
      <c r="O371" s="215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  <c r="BI371" s="216"/>
      <c r="BJ371" s="216"/>
      <c r="BK371" s="216"/>
      <c r="BL371" s="216"/>
      <c r="BM371" s="216"/>
      <c r="BN371" s="216"/>
      <c r="BO371" s="216"/>
      <c r="BP371" s="216"/>
      <c r="BQ371" s="216"/>
      <c r="BR371" s="216"/>
      <c r="BS371" s="216"/>
      <c r="BT371" s="216"/>
      <c r="BU371" s="216"/>
      <c r="BV371" s="216"/>
      <c r="BW371" s="216"/>
      <c r="BX371" s="216"/>
      <c r="BY371" s="216"/>
      <c r="BZ371" s="216"/>
      <c r="CA371" s="216"/>
      <c r="CB371" s="216"/>
      <c r="CC371" s="216"/>
      <c r="CD371" s="216"/>
      <c r="CE371" s="216"/>
      <c r="CF371" s="216"/>
      <c r="CG371" s="216"/>
      <c r="CH371" s="216"/>
      <c r="CI371" s="216"/>
      <c r="CJ371" s="216"/>
      <c r="CK371" s="216"/>
      <c r="CL371" s="216"/>
      <c r="CM371" s="216"/>
      <c r="CN371" s="216"/>
      <c r="CO371" s="216"/>
      <c r="CP371" s="216"/>
      <c r="CQ371" s="216"/>
      <c r="CR371" s="216"/>
      <c r="CS371" s="216"/>
      <c r="CT371" s="216"/>
      <c r="CU371" s="216"/>
      <c r="CV371" s="216"/>
      <c r="CW371" s="216"/>
      <c r="CX371" s="216"/>
      <c r="CY371" s="216"/>
    </row>
    <row r="372" spans="1:103" ht="12.75" x14ac:dyDescent="0.2">
      <c r="A372" s="214"/>
      <c r="B372" s="214"/>
      <c r="C372" s="214"/>
      <c r="D372" s="214"/>
      <c r="E372" s="214"/>
      <c r="F372" s="214"/>
      <c r="G372" s="214"/>
      <c r="H372" s="214"/>
      <c r="I372" s="214"/>
      <c r="J372" s="214"/>
      <c r="K372" s="214"/>
      <c r="L372" s="214"/>
      <c r="M372" s="214"/>
      <c r="N372" s="215"/>
      <c r="O372" s="215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  <c r="BI372" s="216"/>
      <c r="BJ372" s="216"/>
      <c r="BK372" s="216"/>
      <c r="BL372" s="216"/>
      <c r="BM372" s="216"/>
      <c r="BN372" s="216"/>
      <c r="BO372" s="216"/>
      <c r="BP372" s="216"/>
      <c r="BQ372" s="216"/>
      <c r="BR372" s="216"/>
      <c r="BS372" s="216"/>
      <c r="BT372" s="216"/>
      <c r="BU372" s="216"/>
      <c r="BV372" s="216"/>
      <c r="BW372" s="216"/>
      <c r="BX372" s="216"/>
      <c r="BY372" s="216"/>
      <c r="BZ372" s="216"/>
      <c r="CA372" s="216"/>
      <c r="CB372" s="216"/>
      <c r="CC372" s="216"/>
      <c r="CD372" s="216"/>
      <c r="CE372" s="216"/>
      <c r="CF372" s="216"/>
      <c r="CG372" s="216"/>
      <c r="CH372" s="216"/>
      <c r="CI372" s="216"/>
      <c r="CJ372" s="216"/>
      <c r="CK372" s="216"/>
      <c r="CL372" s="216"/>
      <c r="CM372" s="216"/>
      <c r="CN372" s="216"/>
      <c r="CO372" s="216"/>
      <c r="CP372" s="216"/>
      <c r="CQ372" s="216"/>
      <c r="CR372" s="216"/>
      <c r="CS372" s="216"/>
      <c r="CT372" s="216"/>
      <c r="CU372" s="216"/>
      <c r="CV372" s="216"/>
      <c r="CW372" s="216"/>
      <c r="CX372" s="216"/>
      <c r="CY372" s="216"/>
    </row>
    <row r="373" spans="1:103" ht="12.75" x14ac:dyDescent="0.2">
      <c r="A373" s="214"/>
      <c r="B373" s="214"/>
      <c r="C373" s="214"/>
      <c r="D373" s="214"/>
      <c r="E373" s="214"/>
      <c r="F373" s="214"/>
      <c r="G373" s="214"/>
      <c r="H373" s="214"/>
      <c r="I373" s="214"/>
      <c r="J373" s="214"/>
      <c r="K373" s="214"/>
      <c r="L373" s="214"/>
      <c r="M373" s="214"/>
      <c r="N373" s="215"/>
      <c r="O373" s="215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16"/>
      <c r="BB373" s="216"/>
      <c r="BC373" s="216"/>
      <c r="BD373" s="216"/>
      <c r="BE373" s="216"/>
      <c r="BF373" s="216"/>
      <c r="BG373" s="216"/>
      <c r="BH373" s="216"/>
      <c r="BI373" s="216"/>
      <c r="BJ373" s="216"/>
      <c r="BK373" s="216"/>
      <c r="BL373" s="216"/>
      <c r="BM373" s="216"/>
      <c r="BN373" s="216"/>
      <c r="BO373" s="216"/>
      <c r="BP373" s="216"/>
      <c r="BQ373" s="216"/>
      <c r="BR373" s="216"/>
      <c r="BS373" s="216"/>
      <c r="BT373" s="216"/>
      <c r="BU373" s="216"/>
      <c r="BV373" s="216"/>
      <c r="BW373" s="216"/>
      <c r="BX373" s="216"/>
      <c r="BY373" s="216"/>
      <c r="BZ373" s="216"/>
      <c r="CA373" s="216"/>
      <c r="CB373" s="216"/>
      <c r="CC373" s="216"/>
      <c r="CD373" s="216"/>
      <c r="CE373" s="216"/>
      <c r="CF373" s="216"/>
      <c r="CG373" s="216"/>
      <c r="CH373" s="216"/>
      <c r="CI373" s="216"/>
      <c r="CJ373" s="216"/>
      <c r="CK373" s="216"/>
      <c r="CL373" s="216"/>
      <c r="CM373" s="216"/>
      <c r="CN373" s="216"/>
      <c r="CO373" s="216"/>
      <c r="CP373" s="216"/>
      <c r="CQ373" s="216"/>
      <c r="CR373" s="216"/>
      <c r="CS373" s="216"/>
      <c r="CT373" s="216"/>
      <c r="CU373" s="216"/>
      <c r="CV373" s="216"/>
      <c r="CW373" s="216"/>
      <c r="CX373" s="216"/>
      <c r="CY373" s="216"/>
    </row>
    <row r="374" spans="1:103" ht="12.75" x14ac:dyDescent="0.2">
      <c r="A374" s="214"/>
      <c r="B374" s="214"/>
      <c r="C374" s="214"/>
      <c r="D374" s="214"/>
      <c r="E374" s="214"/>
      <c r="F374" s="214"/>
      <c r="G374" s="214"/>
      <c r="H374" s="214"/>
      <c r="I374" s="214"/>
      <c r="J374" s="214"/>
      <c r="K374" s="214"/>
      <c r="L374" s="214"/>
      <c r="M374" s="214"/>
      <c r="N374" s="215"/>
      <c r="O374" s="215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  <c r="BI374" s="216"/>
      <c r="BJ374" s="216"/>
      <c r="BK374" s="216"/>
      <c r="BL374" s="216"/>
      <c r="BM374" s="216"/>
      <c r="BN374" s="216"/>
      <c r="BO374" s="216"/>
      <c r="BP374" s="216"/>
      <c r="BQ374" s="216"/>
      <c r="BR374" s="216"/>
      <c r="BS374" s="216"/>
      <c r="BT374" s="216"/>
      <c r="BU374" s="216"/>
      <c r="BV374" s="216"/>
      <c r="BW374" s="216"/>
      <c r="BX374" s="216"/>
      <c r="BY374" s="216"/>
      <c r="BZ374" s="216"/>
      <c r="CA374" s="216"/>
      <c r="CB374" s="216"/>
      <c r="CC374" s="216"/>
      <c r="CD374" s="216"/>
      <c r="CE374" s="216"/>
      <c r="CF374" s="216"/>
      <c r="CG374" s="216"/>
      <c r="CH374" s="216"/>
      <c r="CI374" s="216"/>
      <c r="CJ374" s="216"/>
      <c r="CK374" s="216"/>
      <c r="CL374" s="216"/>
      <c r="CM374" s="216"/>
      <c r="CN374" s="216"/>
      <c r="CO374" s="216"/>
      <c r="CP374" s="216"/>
      <c r="CQ374" s="216"/>
      <c r="CR374" s="216"/>
      <c r="CS374" s="216"/>
      <c r="CT374" s="216"/>
      <c r="CU374" s="216"/>
      <c r="CV374" s="216"/>
      <c r="CW374" s="216"/>
      <c r="CX374" s="216"/>
      <c r="CY374" s="216"/>
    </row>
    <row r="375" spans="1:103" ht="12.75" x14ac:dyDescent="0.2">
      <c r="A375" s="214"/>
      <c r="B375" s="214"/>
      <c r="C375" s="214"/>
      <c r="D375" s="214"/>
      <c r="E375" s="214"/>
      <c r="F375" s="214"/>
      <c r="G375" s="214"/>
      <c r="H375" s="214"/>
      <c r="I375" s="214"/>
      <c r="J375" s="214"/>
      <c r="K375" s="214"/>
      <c r="L375" s="214"/>
      <c r="M375" s="214"/>
      <c r="N375" s="215"/>
      <c r="O375" s="215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/>
      <c r="AS375" s="216"/>
      <c r="AT375" s="216"/>
      <c r="AU375" s="216"/>
      <c r="AV375" s="216"/>
      <c r="AW375" s="216"/>
      <c r="AX375" s="216"/>
      <c r="AY375" s="216"/>
      <c r="AZ375" s="216"/>
      <c r="BA375" s="216"/>
      <c r="BB375" s="216"/>
      <c r="BC375" s="216"/>
      <c r="BD375" s="216"/>
      <c r="BE375" s="216"/>
      <c r="BF375" s="216"/>
      <c r="BG375" s="216"/>
      <c r="BH375" s="216"/>
      <c r="BI375" s="216"/>
      <c r="BJ375" s="216"/>
      <c r="BK375" s="216"/>
      <c r="BL375" s="216"/>
      <c r="BM375" s="216"/>
      <c r="BN375" s="216"/>
      <c r="BO375" s="216"/>
      <c r="BP375" s="216"/>
      <c r="BQ375" s="216"/>
      <c r="BR375" s="216"/>
      <c r="BS375" s="216"/>
      <c r="BT375" s="216"/>
      <c r="BU375" s="216"/>
      <c r="BV375" s="216"/>
      <c r="BW375" s="216"/>
      <c r="BX375" s="216"/>
      <c r="BY375" s="216"/>
      <c r="BZ375" s="216"/>
      <c r="CA375" s="216"/>
      <c r="CB375" s="216"/>
      <c r="CC375" s="216"/>
      <c r="CD375" s="216"/>
      <c r="CE375" s="216"/>
      <c r="CF375" s="216"/>
      <c r="CG375" s="216"/>
      <c r="CH375" s="216"/>
      <c r="CI375" s="216"/>
      <c r="CJ375" s="216"/>
      <c r="CK375" s="216"/>
      <c r="CL375" s="216"/>
      <c r="CM375" s="216"/>
      <c r="CN375" s="216"/>
      <c r="CO375" s="216"/>
      <c r="CP375" s="216"/>
      <c r="CQ375" s="216"/>
      <c r="CR375" s="216"/>
      <c r="CS375" s="216"/>
      <c r="CT375" s="216"/>
      <c r="CU375" s="216"/>
      <c r="CV375" s="216"/>
      <c r="CW375" s="216"/>
      <c r="CX375" s="216"/>
      <c r="CY375" s="216"/>
    </row>
    <row r="376" spans="1:103" ht="12.75" x14ac:dyDescent="0.2">
      <c r="A376" s="214"/>
      <c r="B376" s="214"/>
      <c r="C376" s="214"/>
      <c r="D376" s="214"/>
      <c r="E376" s="214"/>
      <c r="F376" s="214"/>
      <c r="G376" s="214"/>
      <c r="H376" s="214"/>
      <c r="I376" s="214"/>
      <c r="J376" s="214"/>
      <c r="K376" s="214"/>
      <c r="L376" s="214"/>
      <c r="M376" s="214"/>
      <c r="N376" s="215"/>
      <c r="O376" s="215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16"/>
      <c r="AN376" s="216"/>
      <c r="AO376" s="216"/>
      <c r="AP376" s="216"/>
      <c r="AQ376" s="216"/>
      <c r="AR376" s="216"/>
      <c r="AS376" s="216"/>
      <c r="AT376" s="216"/>
      <c r="AU376" s="216"/>
      <c r="AV376" s="216"/>
      <c r="AW376" s="216"/>
      <c r="AX376" s="216"/>
      <c r="AY376" s="216"/>
      <c r="AZ376" s="216"/>
      <c r="BA376" s="216"/>
      <c r="BB376" s="216"/>
      <c r="BC376" s="216"/>
      <c r="BD376" s="216"/>
      <c r="BE376" s="216"/>
      <c r="BF376" s="216"/>
      <c r="BG376" s="216"/>
      <c r="BH376" s="216"/>
      <c r="BI376" s="216"/>
      <c r="BJ376" s="216"/>
      <c r="BK376" s="216"/>
      <c r="BL376" s="216"/>
      <c r="BM376" s="216"/>
      <c r="BN376" s="216"/>
      <c r="BO376" s="216"/>
      <c r="BP376" s="216"/>
      <c r="BQ376" s="216"/>
      <c r="BR376" s="216"/>
      <c r="BS376" s="216"/>
      <c r="BT376" s="216"/>
      <c r="BU376" s="216"/>
      <c r="BV376" s="216"/>
      <c r="BW376" s="216"/>
      <c r="BX376" s="216"/>
      <c r="BY376" s="216"/>
      <c r="BZ376" s="216"/>
      <c r="CA376" s="216"/>
      <c r="CB376" s="216"/>
      <c r="CC376" s="216"/>
      <c r="CD376" s="216"/>
      <c r="CE376" s="216"/>
      <c r="CF376" s="216"/>
      <c r="CG376" s="216"/>
      <c r="CH376" s="216"/>
      <c r="CI376" s="216"/>
      <c r="CJ376" s="216"/>
      <c r="CK376" s="216"/>
      <c r="CL376" s="216"/>
      <c r="CM376" s="216"/>
      <c r="CN376" s="216"/>
      <c r="CO376" s="216"/>
      <c r="CP376" s="216"/>
      <c r="CQ376" s="216"/>
      <c r="CR376" s="216"/>
      <c r="CS376" s="216"/>
      <c r="CT376" s="216"/>
      <c r="CU376" s="216"/>
      <c r="CV376" s="216"/>
      <c r="CW376" s="216"/>
      <c r="CX376" s="216"/>
      <c r="CY376" s="216"/>
    </row>
    <row r="377" spans="1:103" ht="12.75" x14ac:dyDescent="0.2">
      <c r="A377" s="214"/>
      <c r="B377" s="214"/>
      <c r="C377" s="214"/>
      <c r="D377" s="214"/>
      <c r="E377" s="214"/>
      <c r="F377" s="214"/>
      <c r="G377" s="214"/>
      <c r="H377" s="214"/>
      <c r="I377" s="214"/>
      <c r="J377" s="214"/>
      <c r="K377" s="214"/>
      <c r="L377" s="214"/>
      <c r="M377" s="214"/>
      <c r="N377" s="215"/>
      <c r="O377" s="215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  <c r="AU377" s="216"/>
      <c r="AV377" s="216"/>
      <c r="AW377" s="216"/>
      <c r="AX377" s="216"/>
      <c r="AY377" s="216"/>
      <c r="AZ377" s="216"/>
      <c r="BA377" s="216"/>
      <c r="BB377" s="216"/>
      <c r="BC377" s="216"/>
      <c r="BD377" s="216"/>
      <c r="BE377" s="216"/>
      <c r="BF377" s="216"/>
      <c r="BG377" s="216"/>
      <c r="BH377" s="216"/>
      <c r="BI377" s="216"/>
      <c r="BJ377" s="216"/>
      <c r="BK377" s="216"/>
      <c r="BL377" s="216"/>
      <c r="BM377" s="216"/>
      <c r="BN377" s="216"/>
      <c r="BO377" s="216"/>
      <c r="BP377" s="216"/>
      <c r="BQ377" s="216"/>
      <c r="BR377" s="216"/>
      <c r="BS377" s="216"/>
      <c r="BT377" s="216"/>
      <c r="BU377" s="216"/>
      <c r="BV377" s="216"/>
      <c r="BW377" s="216"/>
      <c r="BX377" s="216"/>
      <c r="BY377" s="216"/>
      <c r="BZ377" s="216"/>
      <c r="CA377" s="216"/>
      <c r="CB377" s="216"/>
      <c r="CC377" s="216"/>
      <c r="CD377" s="216"/>
      <c r="CE377" s="216"/>
      <c r="CF377" s="216"/>
      <c r="CG377" s="216"/>
      <c r="CH377" s="216"/>
      <c r="CI377" s="216"/>
      <c r="CJ377" s="216"/>
      <c r="CK377" s="216"/>
      <c r="CL377" s="216"/>
      <c r="CM377" s="216"/>
      <c r="CN377" s="216"/>
      <c r="CO377" s="216"/>
      <c r="CP377" s="216"/>
      <c r="CQ377" s="216"/>
      <c r="CR377" s="216"/>
      <c r="CS377" s="216"/>
      <c r="CT377" s="216"/>
      <c r="CU377" s="216"/>
      <c r="CV377" s="216"/>
      <c r="CW377" s="216"/>
      <c r="CX377" s="216"/>
      <c r="CY377" s="216"/>
    </row>
    <row r="378" spans="1:103" ht="12.75" x14ac:dyDescent="0.2">
      <c r="A378" s="214"/>
      <c r="B378" s="214"/>
      <c r="C378" s="214"/>
      <c r="D378" s="214"/>
      <c r="E378" s="214"/>
      <c r="F378" s="214"/>
      <c r="G378" s="214"/>
      <c r="H378" s="214"/>
      <c r="I378" s="214"/>
      <c r="J378" s="214"/>
      <c r="K378" s="214"/>
      <c r="L378" s="214"/>
      <c r="M378" s="214"/>
      <c r="N378" s="215"/>
      <c r="O378" s="215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  <c r="AU378" s="216"/>
      <c r="AV378" s="216"/>
      <c r="AW378" s="216"/>
      <c r="AX378" s="216"/>
      <c r="AY378" s="216"/>
      <c r="AZ378" s="216"/>
      <c r="BA378" s="216"/>
      <c r="BB378" s="216"/>
      <c r="BC378" s="216"/>
      <c r="BD378" s="216"/>
      <c r="BE378" s="216"/>
      <c r="BF378" s="216"/>
      <c r="BG378" s="216"/>
      <c r="BH378" s="216"/>
      <c r="BI378" s="216"/>
      <c r="BJ378" s="216"/>
      <c r="BK378" s="216"/>
      <c r="BL378" s="216"/>
      <c r="BM378" s="216"/>
      <c r="BN378" s="216"/>
      <c r="BO378" s="216"/>
      <c r="BP378" s="216"/>
      <c r="BQ378" s="216"/>
      <c r="BR378" s="216"/>
      <c r="BS378" s="216"/>
      <c r="BT378" s="216"/>
      <c r="BU378" s="216"/>
      <c r="BV378" s="216"/>
      <c r="BW378" s="216"/>
      <c r="BX378" s="216"/>
      <c r="BY378" s="216"/>
      <c r="BZ378" s="216"/>
      <c r="CA378" s="216"/>
      <c r="CB378" s="216"/>
      <c r="CC378" s="216"/>
      <c r="CD378" s="216"/>
      <c r="CE378" s="216"/>
      <c r="CF378" s="216"/>
      <c r="CG378" s="216"/>
      <c r="CH378" s="216"/>
      <c r="CI378" s="216"/>
      <c r="CJ378" s="216"/>
      <c r="CK378" s="216"/>
      <c r="CL378" s="216"/>
      <c r="CM378" s="216"/>
      <c r="CN378" s="216"/>
      <c r="CO378" s="216"/>
      <c r="CP378" s="216"/>
      <c r="CQ378" s="216"/>
      <c r="CR378" s="216"/>
      <c r="CS378" s="216"/>
      <c r="CT378" s="216"/>
      <c r="CU378" s="216"/>
      <c r="CV378" s="216"/>
      <c r="CW378" s="216"/>
      <c r="CX378" s="216"/>
      <c r="CY378" s="216"/>
    </row>
    <row r="379" spans="1:103" ht="12.75" x14ac:dyDescent="0.2">
      <c r="A379" s="214"/>
      <c r="B379" s="214"/>
      <c r="C379" s="214"/>
      <c r="D379" s="214"/>
      <c r="E379" s="214"/>
      <c r="F379" s="214"/>
      <c r="G379" s="214"/>
      <c r="H379" s="214"/>
      <c r="I379" s="214"/>
      <c r="J379" s="214"/>
      <c r="K379" s="214"/>
      <c r="L379" s="214"/>
      <c r="M379" s="214"/>
      <c r="N379" s="215"/>
      <c r="O379" s="215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  <c r="AU379" s="216"/>
      <c r="AV379" s="216"/>
      <c r="AW379" s="216"/>
      <c r="AX379" s="216"/>
      <c r="AY379" s="216"/>
      <c r="AZ379" s="216"/>
      <c r="BA379" s="216"/>
      <c r="BB379" s="216"/>
      <c r="BC379" s="216"/>
      <c r="BD379" s="216"/>
      <c r="BE379" s="216"/>
      <c r="BF379" s="216"/>
      <c r="BG379" s="216"/>
      <c r="BH379" s="216"/>
      <c r="BI379" s="216"/>
      <c r="BJ379" s="216"/>
      <c r="BK379" s="216"/>
      <c r="BL379" s="216"/>
      <c r="BM379" s="216"/>
      <c r="BN379" s="216"/>
      <c r="BO379" s="216"/>
      <c r="BP379" s="216"/>
      <c r="BQ379" s="216"/>
      <c r="BR379" s="216"/>
      <c r="BS379" s="216"/>
      <c r="BT379" s="216"/>
      <c r="BU379" s="216"/>
      <c r="BV379" s="216"/>
      <c r="BW379" s="216"/>
      <c r="BX379" s="216"/>
      <c r="BY379" s="216"/>
      <c r="BZ379" s="216"/>
      <c r="CA379" s="216"/>
      <c r="CB379" s="216"/>
      <c r="CC379" s="216"/>
      <c r="CD379" s="216"/>
      <c r="CE379" s="216"/>
      <c r="CF379" s="216"/>
      <c r="CG379" s="216"/>
      <c r="CH379" s="216"/>
      <c r="CI379" s="216"/>
      <c r="CJ379" s="216"/>
      <c r="CK379" s="216"/>
      <c r="CL379" s="216"/>
      <c r="CM379" s="216"/>
      <c r="CN379" s="216"/>
      <c r="CO379" s="216"/>
      <c r="CP379" s="216"/>
      <c r="CQ379" s="216"/>
      <c r="CR379" s="216"/>
      <c r="CS379" s="216"/>
      <c r="CT379" s="216"/>
      <c r="CU379" s="216"/>
      <c r="CV379" s="216"/>
      <c r="CW379" s="216"/>
      <c r="CX379" s="216"/>
      <c r="CY379" s="216"/>
    </row>
    <row r="380" spans="1:103" ht="12.75" x14ac:dyDescent="0.2">
      <c r="A380" s="214"/>
      <c r="B380" s="214"/>
      <c r="C380" s="214"/>
      <c r="D380" s="214"/>
      <c r="E380" s="214"/>
      <c r="F380" s="214"/>
      <c r="G380" s="214"/>
      <c r="H380" s="214"/>
      <c r="I380" s="214"/>
      <c r="J380" s="214"/>
      <c r="K380" s="214"/>
      <c r="L380" s="214"/>
      <c r="M380" s="214"/>
      <c r="N380" s="215"/>
      <c r="O380" s="215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6"/>
      <c r="AX380" s="216"/>
      <c r="AY380" s="216"/>
      <c r="AZ380" s="216"/>
      <c r="BA380" s="216"/>
      <c r="BB380" s="216"/>
      <c r="BC380" s="216"/>
      <c r="BD380" s="216"/>
      <c r="BE380" s="216"/>
      <c r="BF380" s="216"/>
      <c r="BG380" s="216"/>
      <c r="BH380" s="216"/>
      <c r="BI380" s="216"/>
      <c r="BJ380" s="216"/>
      <c r="BK380" s="216"/>
      <c r="BL380" s="216"/>
      <c r="BM380" s="216"/>
      <c r="BN380" s="216"/>
      <c r="BO380" s="216"/>
      <c r="BP380" s="216"/>
      <c r="BQ380" s="216"/>
      <c r="BR380" s="216"/>
      <c r="BS380" s="216"/>
      <c r="BT380" s="216"/>
      <c r="BU380" s="216"/>
      <c r="BV380" s="216"/>
      <c r="BW380" s="216"/>
      <c r="BX380" s="216"/>
      <c r="BY380" s="216"/>
      <c r="BZ380" s="216"/>
      <c r="CA380" s="216"/>
      <c r="CB380" s="216"/>
      <c r="CC380" s="216"/>
      <c r="CD380" s="216"/>
      <c r="CE380" s="216"/>
      <c r="CF380" s="216"/>
      <c r="CG380" s="216"/>
      <c r="CH380" s="216"/>
      <c r="CI380" s="216"/>
      <c r="CJ380" s="216"/>
      <c r="CK380" s="216"/>
      <c r="CL380" s="216"/>
      <c r="CM380" s="216"/>
      <c r="CN380" s="216"/>
      <c r="CO380" s="216"/>
      <c r="CP380" s="216"/>
      <c r="CQ380" s="216"/>
      <c r="CR380" s="216"/>
      <c r="CS380" s="216"/>
      <c r="CT380" s="216"/>
      <c r="CU380" s="216"/>
      <c r="CV380" s="216"/>
      <c r="CW380" s="216"/>
      <c r="CX380" s="216"/>
      <c r="CY380" s="216"/>
    </row>
    <row r="381" spans="1:103" ht="12.75" x14ac:dyDescent="0.2">
      <c r="A381" s="214"/>
      <c r="B381" s="214"/>
      <c r="C381" s="214"/>
      <c r="D381" s="214"/>
      <c r="E381" s="214"/>
      <c r="F381" s="214"/>
      <c r="G381" s="214"/>
      <c r="H381" s="214"/>
      <c r="I381" s="214"/>
      <c r="J381" s="214"/>
      <c r="K381" s="214"/>
      <c r="L381" s="214"/>
      <c r="M381" s="214"/>
      <c r="N381" s="215"/>
      <c r="O381" s="215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  <c r="AU381" s="216"/>
      <c r="AV381" s="216"/>
      <c r="AW381" s="216"/>
      <c r="AX381" s="216"/>
      <c r="AY381" s="216"/>
      <c r="AZ381" s="216"/>
      <c r="BA381" s="216"/>
      <c r="BB381" s="216"/>
      <c r="BC381" s="216"/>
      <c r="BD381" s="216"/>
      <c r="BE381" s="216"/>
      <c r="BF381" s="216"/>
      <c r="BG381" s="216"/>
      <c r="BH381" s="216"/>
      <c r="BI381" s="216"/>
      <c r="BJ381" s="216"/>
      <c r="BK381" s="216"/>
      <c r="BL381" s="216"/>
      <c r="BM381" s="216"/>
      <c r="BN381" s="216"/>
      <c r="BO381" s="216"/>
      <c r="BP381" s="216"/>
      <c r="BQ381" s="216"/>
      <c r="BR381" s="216"/>
      <c r="BS381" s="216"/>
      <c r="BT381" s="216"/>
      <c r="BU381" s="216"/>
      <c r="BV381" s="216"/>
      <c r="BW381" s="216"/>
      <c r="BX381" s="216"/>
      <c r="BY381" s="216"/>
      <c r="BZ381" s="216"/>
      <c r="CA381" s="216"/>
      <c r="CB381" s="216"/>
      <c r="CC381" s="216"/>
      <c r="CD381" s="216"/>
      <c r="CE381" s="216"/>
      <c r="CF381" s="216"/>
      <c r="CG381" s="216"/>
      <c r="CH381" s="216"/>
      <c r="CI381" s="216"/>
      <c r="CJ381" s="216"/>
      <c r="CK381" s="216"/>
      <c r="CL381" s="216"/>
      <c r="CM381" s="216"/>
      <c r="CN381" s="216"/>
      <c r="CO381" s="216"/>
      <c r="CP381" s="216"/>
      <c r="CQ381" s="216"/>
      <c r="CR381" s="216"/>
      <c r="CS381" s="216"/>
      <c r="CT381" s="216"/>
      <c r="CU381" s="216"/>
      <c r="CV381" s="216"/>
      <c r="CW381" s="216"/>
      <c r="CX381" s="216"/>
      <c r="CY381" s="216"/>
    </row>
    <row r="382" spans="1:103" ht="12.75" x14ac:dyDescent="0.2">
      <c r="A382" s="214"/>
      <c r="B382" s="214"/>
      <c r="C382" s="214"/>
      <c r="D382" s="214"/>
      <c r="E382" s="214"/>
      <c r="F382" s="214"/>
      <c r="G382" s="214"/>
      <c r="H382" s="214"/>
      <c r="I382" s="214"/>
      <c r="J382" s="214"/>
      <c r="K382" s="214"/>
      <c r="L382" s="214"/>
      <c r="M382" s="214"/>
      <c r="N382" s="215"/>
      <c r="O382" s="215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  <c r="AM382" s="216"/>
      <c r="AN382" s="216"/>
      <c r="AO382" s="216"/>
      <c r="AP382" s="216"/>
      <c r="AQ382" s="216"/>
      <c r="AR382" s="216"/>
      <c r="AS382" s="216"/>
      <c r="AT382" s="216"/>
      <c r="AU382" s="216"/>
      <c r="AV382" s="216"/>
      <c r="AW382" s="216"/>
      <c r="AX382" s="216"/>
      <c r="AY382" s="216"/>
      <c r="AZ382" s="216"/>
      <c r="BA382" s="216"/>
      <c r="BB382" s="216"/>
      <c r="BC382" s="216"/>
      <c r="BD382" s="216"/>
      <c r="BE382" s="216"/>
      <c r="BF382" s="216"/>
      <c r="BG382" s="216"/>
      <c r="BH382" s="216"/>
      <c r="BI382" s="216"/>
      <c r="BJ382" s="216"/>
      <c r="BK382" s="216"/>
      <c r="BL382" s="216"/>
      <c r="BM382" s="216"/>
      <c r="BN382" s="216"/>
      <c r="BO382" s="216"/>
      <c r="BP382" s="216"/>
      <c r="BQ382" s="216"/>
      <c r="BR382" s="216"/>
      <c r="BS382" s="216"/>
      <c r="BT382" s="216"/>
      <c r="BU382" s="216"/>
      <c r="BV382" s="216"/>
      <c r="BW382" s="216"/>
      <c r="BX382" s="216"/>
      <c r="BY382" s="216"/>
      <c r="BZ382" s="216"/>
      <c r="CA382" s="216"/>
      <c r="CB382" s="216"/>
      <c r="CC382" s="216"/>
      <c r="CD382" s="216"/>
      <c r="CE382" s="216"/>
      <c r="CF382" s="216"/>
      <c r="CG382" s="216"/>
      <c r="CH382" s="216"/>
      <c r="CI382" s="216"/>
      <c r="CJ382" s="216"/>
      <c r="CK382" s="216"/>
      <c r="CL382" s="216"/>
      <c r="CM382" s="216"/>
      <c r="CN382" s="216"/>
      <c r="CO382" s="216"/>
      <c r="CP382" s="216"/>
      <c r="CQ382" s="216"/>
      <c r="CR382" s="216"/>
      <c r="CS382" s="216"/>
      <c r="CT382" s="216"/>
      <c r="CU382" s="216"/>
      <c r="CV382" s="216"/>
      <c r="CW382" s="216"/>
      <c r="CX382" s="216"/>
      <c r="CY382" s="216"/>
    </row>
    <row r="383" spans="1:103" ht="12.75" x14ac:dyDescent="0.2">
      <c r="A383" s="214"/>
      <c r="B383" s="214"/>
      <c r="C383" s="21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4"/>
      <c r="N383" s="215"/>
      <c r="O383" s="215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  <c r="AM383" s="216"/>
      <c r="AN383" s="216"/>
      <c r="AO383" s="216"/>
      <c r="AP383" s="216"/>
      <c r="AQ383" s="216"/>
      <c r="AR383" s="216"/>
      <c r="AS383" s="216"/>
      <c r="AT383" s="216"/>
      <c r="AU383" s="216"/>
      <c r="AV383" s="216"/>
      <c r="AW383" s="216"/>
      <c r="AX383" s="216"/>
      <c r="AY383" s="216"/>
      <c r="AZ383" s="216"/>
      <c r="BA383" s="216"/>
      <c r="BB383" s="216"/>
      <c r="BC383" s="216"/>
      <c r="BD383" s="216"/>
      <c r="BE383" s="216"/>
      <c r="BF383" s="216"/>
      <c r="BG383" s="216"/>
      <c r="BH383" s="216"/>
      <c r="BI383" s="216"/>
      <c r="BJ383" s="216"/>
      <c r="BK383" s="216"/>
      <c r="BL383" s="216"/>
      <c r="BM383" s="216"/>
      <c r="BN383" s="216"/>
      <c r="BO383" s="216"/>
      <c r="BP383" s="216"/>
      <c r="BQ383" s="216"/>
      <c r="BR383" s="216"/>
      <c r="BS383" s="216"/>
      <c r="BT383" s="216"/>
      <c r="BU383" s="216"/>
      <c r="BV383" s="216"/>
      <c r="BW383" s="216"/>
      <c r="BX383" s="216"/>
      <c r="BY383" s="216"/>
      <c r="BZ383" s="216"/>
      <c r="CA383" s="216"/>
      <c r="CB383" s="216"/>
      <c r="CC383" s="216"/>
      <c r="CD383" s="216"/>
      <c r="CE383" s="216"/>
      <c r="CF383" s="216"/>
      <c r="CG383" s="216"/>
      <c r="CH383" s="216"/>
      <c r="CI383" s="216"/>
      <c r="CJ383" s="216"/>
      <c r="CK383" s="216"/>
      <c r="CL383" s="216"/>
      <c r="CM383" s="216"/>
      <c r="CN383" s="216"/>
      <c r="CO383" s="216"/>
      <c r="CP383" s="216"/>
      <c r="CQ383" s="216"/>
      <c r="CR383" s="216"/>
      <c r="CS383" s="216"/>
      <c r="CT383" s="216"/>
      <c r="CU383" s="216"/>
      <c r="CV383" s="216"/>
      <c r="CW383" s="216"/>
      <c r="CX383" s="216"/>
      <c r="CY383" s="216"/>
    </row>
    <row r="384" spans="1:103" ht="12.75" x14ac:dyDescent="0.2">
      <c r="A384" s="214"/>
      <c r="B384" s="214"/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4"/>
      <c r="N384" s="215"/>
      <c r="O384" s="215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6"/>
      <c r="BN384" s="216"/>
      <c r="BO384" s="216"/>
      <c r="BP384" s="216"/>
      <c r="BQ384" s="216"/>
      <c r="BR384" s="216"/>
      <c r="BS384" s="216"/>
      <c r="BT384" s="216"/>
      <c r="BU384" s="216"/>
      <c r="BV384" s="216"/>
      <c r="BW384" s="216"/>
      <c r="BX384" s="216"/>
      <c r="BY384" s="216"/>
      <c r="BZ384" s="216"/>
      <c r="CA384" s="216"/>
      <c r="CB384" s="216"/>
      <c r="CC384" s="216"/>
      <c r="CD384" s="216"/>
      <c r="CE384" s="216"/>
      <c r="CF384" s="216"/>
      <c r="CG384" s="216"/>
      <c r="CH384" s="216"/>
      <c r="CI384" s="216"/>
      <c r="CJ384" s="216"/>
      <c r="CK384" s="216"/>
      <c r="CL384" s="216"/>
      <c r="CM384" s="216"/>
      <c r="CN384" s="216"/>
      <c r="CO384" s="216"/>
      <c r="CP384" s="216"/>
      <c r="CQ384" s="216"/>
      <c r="CR384" s="216"/>
      <c r="CS384" s="216"/>
      <c r="CT384" s="216"/>
      <c r="CU384" s="216"/>
      <c r="CV384" s="216"/>
      <c r="CW384" s="216"/>
      <c r="CX384" s="216"/>
      <c r="CY384" s="216"/>
    </row>
    <row r="385" spans="1:103" ht="12.75" x14ac:dyDescent="0.2">
      <c r="A385" s="214"/>
      <c r="B385" s="214"/>
      <c r="C385" s="214"/>
      <c r="D385" s="214"/>
      <c r="E385" s="214"/>
      <c r="F385" s="214"/>
      <c r="G385" s="214"/>
      <c r="H385" s="214"/>
      <c r="I385" s="214"/>
      <c r="J385" s="214"/>
      <c r="K385" s="214"/>
      <c r="L385" s="214"/>
      <c r="M385" s="214"/>
      <c r="N385" s="215"/>
      <c r="O385" s="215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6"/>
      <c r="BN385" s="216"/>
      <c r="BO385" s="216"/>
      <c r="BP385" s="216"/>
      <c r="BQ385" s="216"/>
      <c r="BR385" s="216"/>
      <c r="BS385" s="216"/>
      <c r="BT385" s="216"/>
      <c r="BU385" s="216"/>
      <c r="BV385" s="216"/>
      <c r="BW385" s="216"/>
      <c r="BX385" s="216"/>
      <c r="BY385" s="216"/>
      <c r="BZ385" s="216"/>
      <c r="CA385" s="216"/>
      <c r="CB385" s="216"/>
      <c r="CC385" s="216"/>
      <c r="CD385" s="216"/>
      <c r="CE385" s="216"/>
      <c r="CF385" s="216"/>
      <c r="CG385" s="216"/>
      <c r="CH385" s="216"/>
      <c r="CI385" s="216"/>
      <c r="CJ385" s="216"/>
      <c r="CK385" s="216"/>
      <c r="CL385" s="216"/>
      <c r="CM385" s="216"/>
      <c r="CN385" s="216"/>
      <c r="CO385" s="216"/>
      <c r="CP385" s="216"/>
      <c r="CQ385" s="216"/>
      <c r="CR385" s="216"/>
      <c r="CS385" s="216"/>
      <c r="CT385" s="216"/>
      <c r="CU385" s="216"/>
      <c r="CV385" s="216"/>
      <c r="CW385" s="216"/>
      <c r="CX385" s="216"/>
      <c r="CY385" s="216"/>
    </row>
    <row r="386" spans="1:103" ht="12.75" x14ac:dyDescent="0.2">
      <c r="A386" s="214"/>
      <c r="B386" s="214"/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4"/>
      <c r="N386" s="215"/>
      <c r="O386" s="215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6"/>
      <c r="BN386" s="216"/>
      <c r="BO386" s="216"/>
      <c r="BP386" s="216"/>
      <c r="BQ386" s="216"/>
      <c r="BR386" s="216"/>
      <c r="BS386" s="216"/>
      <c r="BT386" s="216"/>
      <c r="BU386" s="216"/>
      <c r="BV386" s="216"/>
      <c r="BW386" s="216"/>
      <c r="BX386" s="216"/>
      <c r="BY386" s="216"/>
      <c r="BZ386" s="216"/>
      <c r="CA386" s="216"/>
      <c r="CB386" s="216"/>
      <c r="CC386" s="216"/>
      <c r="CD386" s="216"/>
      <c r="CE386" s="216"/>
      <c r="CF386" s="216"/>
      <c r="CG386" s="216"/>
      <c r="CH386" s="216"/>
      <c r="CI386" s="216"/>
      <c r="CJ386" s="216"/>
      <c r="CK386" s="216"/>
      <c r="CL386" s="216"/>
      <c r="CM386" s="216"/>
      <c r="CN386" s="216"/>
      <c r="CO386" s="216"/>
      <c r="CP386" s="216"/>
      <c r="CQ386" s="216"/>
      <c r="CR386" s="216"/>
      <c r="CS386" s="216"/>
      <c r="CT386" s="216"/>
      <c r="CU386" s="216"/>
      <c r="CV386" s="216"/>
      <c r="CW386" s="216"/>
      <c r="CX386" s="216"/>
      <c r="CY386" s="216"/>
    </row>
    <row r="387" spans="1:103" ht="12.75" x14ac:dyDescent="0.2">
      <c r="A387" s="214"/>
      <c r="B387" s="214"/>
      <c r="C387" s="214"/>
      <c r="D387" s="214"/>
      <c r="E387" s="214"/>
      <c r="F387" s="214"/>
      <c r="G387" s="214"/>
      <c r="H387" s="214"/>
      <c r="I387" s="214"/>
      <c r="J387" s="214"/>
      <c r="K387" s="214"/>
      <c r="L387" s="214"/>
      <c r="M387" s="214"/>
      <c r="N387" s="215"/>
      <c r="O387" s="215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6"/>
      <c r="BN387" s="216"/>
      <c r="BO387" s="216"/>
      <c r="BP387" s="216"/>
      <c r="BQ387" s="216"/>
      <c r="BR387" s="216"/>
      <c r="BS387" s="216"/>
      <c r="BT387" s="216"/>
      <c r="BU387" s="216"/>
      <c r="BV387" s="216"/>
      <c r="BW387" s="216"/>
      <c r="BX387" s="216"/>
      <c r="BY387" s="216"/>
      <c r="BZ387" s="216"/>
      <c r="CA387" s="216"/>
      <c r="CB387" s="216"/>
      <c r="CC387" s="216"/>
      <c r="CD387" s="216"/>
      <c r="CE387" s="216"/>
      <c r="CF387" s="216"/>
      <c r="CG387" s="216"/>
      <c r="CH387" s="216"/>
      <c r="CI387" s="216"/>
      <c r="CJ387" s="216"/>
      <c r="CK387" s="216"/>
      <c r="CL387" s="216"/>
      <c r="CM387" s="216"/>
      <c r="CN387" s="216"/>
      <c r="CO387" s="216"/>
      <c r="CP387" s="216"/>
      <c r="CQ387" s="216"/>
      <c r="CR387" s="216"/>
      <c r="CS387" s="216"/>
      <c r="CT387" s="216"/>
      <c r="CU387" s="216"/>
      <c r="CV387" s="216"/>
      <c r="CW387" s="216"/>
      <c r="CX387" s="216"/>
      <c r="CY387" s="216"/>
    </row>
    <row r="388" spans="1:103" ht="12.75" x14ac:dyDescent="0.2">
      <c r="A388" s="214"/>
      <c r="B388" s="214"/>
      <c r="C388" s="214"/>
      <c r="D388" s="214"/>
      <c r="E388" s="214"/>
      <c r="F388" s="214"/>
      <c r="G388" s="214"/>
      <c r="H388" s="214"/>
      <c r="I388" s="214"/>
      <c r="J388" s="214"/>
      <c r="K388" s="214"/>
      <c r="L388" s="214"/>
      <c r="M388" s="214"/>
      <c r="N388" s="215"/>
      <c r="O388" s="215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6"/>
      <c r="BN388" s="216"/>
      <c r="BO388" s="216"/>
      <c r="BP388" s="216"/>
      <c r="BQ388" s="216"/>
      <c r="BR388" s="216"/>
      <c r="BS388" s="216"/>
      <c r="BT388" s="216"/>
      <c r="BU388" s="216"/>
      <c r="BV388" s="216"/>
      <c r="BW388" s="216"/>
      <c r="BX388" s="216"/>
      <c r="BY388" s="216"/>
      <c r="BZ388" s="216"/>
      <c r="CA388" s="216"/>
      <c r="CB388" s="216"/>
      <c r="CC388" s="216"/>
      <c r="CD388" s="216"/>
      <c r="CE388" s="216"/>
      <c r="CF388" s="216"/>
      <c r="CG388" s="216"/>
      <c r="CH388" s="216"/>
      <c r="CI388" s="216"/>
      <c r="CJ388" s="216"/>
      <c r="CK388" s="216"/>
      <c r="CL388" s="216"/>
      <c r="CM388" s="216"/>
      <c r="CN388" s="216"/>
      <c r="CO388" s="216"/>
      <c r="CP388" s="216"/>
      <c r="CQ388" s="216"/>
      <c r="CR388" s="216"/>
      <c r="CS388" s="216"/>
      <c r="CT388" s="216"/>
      <c r="CU388" s="216"/>
      <c r="CV388" s="216"/>
      <c r="CW388" s="216"/>
      <c r="CX388" s="216"/>
      <c r="CY388" s="216"/>
    </row>
    <row r="389" spans="1:103" ht="12.75" x14ac:dyDescent="0.2">
      <c r="A389" s="214"/>
      <c r="B389" s="214"/>
      <c r="C389" s="214"/>
      <c r="D389" s="214"/>
      <c r="E389" s="214"/>
      <c r="F389" s="214"/>
      <c r="G389" s="214"/>
      <c r="H389" s="214"/>
      <c r="I389" s="214"/>
      <c r="J389" s="214"/>
      <c r="K389" s="214"/>
      <c r="L389" s="214"/>
      <c r="M389" s="214"/>
      <c r="N389" s="215"/>
      <c r="O389" s="215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16"/>
      <c r="AN389" s="216"/>
      <c r="AO389" s="216"/>
      <c r="AP389" s="216"/>
      <c r="AQ389" s="216"/>
      <c r="AR389" s="216"/>
      <c r="AS389" s="216"/>
      <c r="AT389" s="216"/>
      <c r="AU389" s="216"/>
      <c r="AV389" s="216"/>
      <c r="AW389" s="216"/>
      <c r="AX389" s="216"/>
      <c r="AY389" s="216"/>
      <c r="AZ389" s="216"/>
      <c r="BA389" s="216"/>
      <c r="BB389" s="216"/>
      <c r="BC389" s="216"/>
      <c r="BD389" s="216"/>
      <c r="BE389" s="216"/>
      <c r="BF389" s="216"/>
      <c r="BG389" s="216"/>
      <c r="BH389" s="216"/>
      <c r="BI389" s="216"/>
      <c r="BJ389" s="216"/>
      <c r="BK389" s="216"/>
      <c r="BL389" s="216"/>
      <c r="BM389" s="216"/>
      <c r="BN389" s="216"/>
      <c r="BO389" s="216"/>
      <c r="BP389" s="216"/>
      <c r="BQ389" s="216"/>
      <c r="BR389" s="216"/>
      <c r="BS389" s="216"/>
      <c r="BT389" s="216"/>
      <c r="BU389" s="216"/>
      <c r="BV389" s="216"/>
      <c r="BW389" s="216"/>
      <c r="BX389" s="216"/>
      <c r="BY389" s="216"/>
      <c r="BZ389" s="216"/>
      <c r="CA389" s="216"/>
      <c r="CB389" s="216"/>
      <c r="CC389" s="216"/>
      <c r="CD389" s="216"/>
      <c r="CE389" s="216"/>
      <c r="CF389" s="216"/>
      <c r="CG389" s="216"/>
      <c r="CH389" s="216"/>
      <c r="CI389" s="216"/>
      <c r="CJ389" s="216"/>
      <c r="CK389" s="216"/>
      <c r="CL389" s="216"/>
      <c r="CM389" s="216"/>
      <c r="CN389" s="216"/>
      <c r="CO389" s="216"/>
      <c r="CP389" s="216"/>
      <c r="CQ389" s="216"/>
      <c r="CR389" s="216"/>
      <c r="CS389" s="216"/>
      <c r="CT389" s="216"/>
      <c r="CU389" s="216"/>
      <c r="CV389" s="216"/>
      <c r="CW389" s="216"/>
      <c r="CX389" s="216"/>
      <c r="CY389" s="216"/>
    </row>
    <row r="390" spans="1:103" ht="12.75" x14ac:dyDescent="0.2">
      <c r="A390" s="214"/>
      <c r="B390" s="214"/>
      <c r="C390" s="214"/>
      <c r="D390" s="214"/>
      <c r="E390" s="214"/>
      <c r="F390" s="214"/>
      <c r="G390" s="214"/>
      <c r="H390" s="214"/>
      <c r="I390" s="214"/>
      <c r="J390" s="214"/>
      <c r="K390" s="214"/>
      <c r="L390" s="214"/>
      <c r="M390" s="214"/>
      <c r="N390" s="215"/>
      <c r="O390" s="215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  <c r="AU390" s="216"/>
      <c r="AV390" s="216"/>
      <c r="AW390" s="216"/>
      <c r="AX390" s="216"/>
      <c r="AY390" s="216"/>
      <c r="AZ390" s="216"/>
      <c r="BA390" s="216"/>
      <c r="BB390" s="216"/>
      <c r="BC390" s="216"/>
      <c r="BD390" s="216"/>
      <c r="BE390" s="216"/>
      <c r="BF390" s="216"/>
      <c r="BG390" s="216"/>
      <c r="BH390" s="216"/>
      <c r="BI390" s="216"/>
      <c r="BJ390" s="216"/>
      <c r="BK390" s="216"/>
      <c r="BL390" s="216"/>
      <c r="BM390" s="216"/>
      <c r="BN390" s="216"/>
      <c r="BO390" s="216"/>
      <c r="BP390" s="216"/>
      <c r="BQ390" s="216"/>
      <c r="BR390" s="216"/>
      <c r="BS390" s="216"/>
      <c r="BT390" s="216"/>
      <c r="BU390" s="216"/>
      <c r="BV390" s="216"/>
      <c r="BW390" s="216"/>
      <c r="BX390" s="216"/>
      <c r="BY390" s="216"/>
      <c r="BZ390" s="216"/>
      <c r="CA390" s="216"/>
      <c r="CB390" s="216"/>
      <c r="CC390" s="216"/>
      <c r="CD390" s="216"/>
      <c r="CE390" s="216"/>
      <c r="CF390" s="216"/>
      <c r="CG390" s="216"/>
      <c r="CH390" s="216"/>
      <c r="CI390" s="216"/>
      <c r="CJ390" s="216"/>
      <c r="CK390" s="216"/>
      <c r="CL390" s="216"/>
      <c r="CM390" s="216"/>
      <c r="CN390" s="216"/>
      <c r="CO390" s="216"/>
      <c r="CP390" s="216"/>
      <c r="CQ390" s="216"/>
      <c r="CR390" s="216"/>
      <c r="CS390" s="216"/>
      <c r="CT390" s="216"/>
      <c r="CU390" s="216"/>
      <c r="CV390" s="216"/>
      <c r="CW390" s="216"/>
      <c r="CX390" s="216"/>
      <c r="CY390" s="216"/>
    </row>
    <row r="391" spans="1:103" ht="12.75" x14ac:dyDescent="0.2">
      <c r="A391" s="214"/>
      <c r="B391" s="214"/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4"/>
      <c r="N391" s="215"/>
      <c r="O391" s="215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  <c r="AM391" s="216"/>
      <c r="AN391" s="216"/>
      <c r="AO391" s="216"/>
      <c r="AP391" s="216"/>
      <c r="AQ391" s="216"/>
      <c r="AR391" s="216"/>
      <c r="AS391" s="216"/>
      <c r="AT391" s="216"/>
      <c r="AU391" s="216"/>
      <c r="AV391" s="216"/>
      <c r="AW391" s="216"/>
      <c r="AX391" s="216"/>
      <c r="AY391" s="216"/>
      <c r="AZ391" s="216"/>
      <c r="BA391" s="216"/>
      <c r="BB391" s="216"/>
      <c r="BC391" s="216"/>
      <c r="BD391" s="216"/>
      <c r="BE391" s="216"/>
      <c r="BF391" s="216"/>
      <c r="BG391" s="216"/>
      <c r="BH391" s="216"/>
      <c r="BI391" s="216"/>
      <c r="BJ391" s="216"/>
      <c r="BK391" s="216"/>
      <c r="BL391" s="216"/>
      <c r="BM391" s="216"/>
      <c r="BN391" s="216"/>
      <c r="BO391" s="216"/>
      <c r="BP391" s="216"/>
      <c r="BQ391" s="216"/>
      <c r="BR391" s="216"/>
      <c r="BS391" s="216"/>
      <c r="BT391" s="216"/>
      <c r="BU391" s="216"/>
      <c r="BV391" s="216"/>
      <c r="BW391" s="216"/>
      <c r="BX391" s="216"/>
      <c r="BY391" s="216"/>
      <c r="BZ391" s="216"/>
      <c r="CA391" s="216"/>
      <c r="CB391" s="216"/>
      <c r="CC391" s="216"/>
      <c r="CD391" s="216"/>
      <c r="CE391" s="216"/>
      <c r="CF391" s="216"/>
      <c r="CG391" s="216"/>
      <c r="CH391" s="216"/>
      <c r="CI391" s="216"/>
      <c r="CJ391" s="216"/>
      <c r="CK391" s="216"/>
      <c r="CL391" s="216"/>
      <c r="CM391" s="216"/>
      <c r="CN391" s="216"/>
      <c r="CO391" s="216"/>
      <c r="CP391" s="216"/>
      <c r="CQ391" s="216"/>
      <c r="CR391" s="216"/>
      <c r="CS391" s="216"/>
      <c r="CT391" s="216"/>
      <c r="CU391" s="216"/>
      <c r="CV391" s="216"/>
      <c r="CW391" s="216"/>
      <c r="CX391" s="216"/>
      <c r="CY391" s="216"/>
    </row>
    <row r="392" spans="1:103" ht="12.75" x14ac:dyDescent="0.2">
      <c r="A392" s="214"/>
      <c r="B392" s="214"/>
      <c r="C392" s="214"/>
      <c r="D392" s="214"/>
      <c r="E392" s="214"/>
      <c r="F392" s="214"/>
      <c r="G392" s="214"/>
      <c r="H392" s="214"/>
      <c r="I392" s="214"/>
      <c r="J392" s="214"/>
      <c r="K392" s="214"/>
      <c r="L392" s="214"/>
      <c r="M392" s="214"/>
      <c r="N392" s="215"/>
      <c r="O392" s="215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16"/>
      <c r="AN392" s="216"/>
      <c r="AO392" s="216"/>
      <c r="AP392" s="216"/>
      <c r="AQ392" s="216"/>
      <c r="AR392" s="216"/>
      <c r="AS392" s="216"/>
      <c r="AT392" s="216"/>
      <c r="AU392" s="216"/>
      <c r="AV392" s="216"/>
      <c r="AW392" s="216"/>
      <c r="AX392" s="216"/>
      <c r="AY392" s="216"/>
      <c r="AZ392" s="216"/>
      <c r="BA392" s="216"/>
      <c r="BB392" s="216"/>
      <c r="BC392" s="216"/>
      <c r="BD392" s="216"/>
      <c r="BE392" s="216"/>
      <c r="BF392" s="216"/>
      <c r="BG392" s="216"/>
      <c r="BH392" s="216"/>
      <c r="BI392" s="216"/>
      <c r="BJ392" s="216"/>
      <c r="BK392" s="216"/>
      <c r="BL392" s="216"/>
      <c r="BM392" s="216"/>
      <c r="BN392" s="216"/>
      <c r="BO392" s="216"/>
      <c r="BP392" s="216"/>
      <c r="BQ392" s="216"/>
      <c r="BR392" s="216"/>
      <c r="BS392" s="216"/>
      <c r="BT392" s="216"/>
      <c r="BU392" s="216"/>
      <c r="BV392" s="216"/>
      <c r="BW392" s="216"/>
      <c r="BX392" s="216"/>
      <c r="BY392" s="216"/>
      <c r="BZ392" s="216"/>
      <c r="CA392" s="216"/>
      <c r="CB392" s="216"/>
      <c r="CC392" s="216"/>
      <c r="CD392" s="216"/>
      <c r="CE392" s="216"/>
      <c r="CF392" s="216"/>
      <c r="CG392" s="216"/>
      <c r="CH392" s="216"/>
      <c r="CI392" s="216"/>
      <c r="CJ392" s="216"/>
      <c r="CK392" s="216"/>
      <c r="CL392" s="216"/>
      <c r="CM392" s="216"/>
      <c r="CN392" s="216"/>
      <c r="CO392" s="216"/>
      <c r="CP392" s="216"/>
      <c r="CQ392" s="216"/>
      <c r="CR392" s="216"/>
      <c r="CS392" s="216"/>
      <c r="CT392" s="216"/>
      <c r="CU392" s="216"/>
      <c r="CV392" s="216"/>
      <c r="CW392" s="216"/>
      <c r="CX392" s="216"/>
      <c r="CY392" s="216"/>
    </row>
    <row r="393" spans="1:103" ht="12.75" x14ac:dyDescent="0.2">
      <c r="A393" s="214"/>
      <c r="B393" s="214"/>
      <c r="C393" s="214"/>
      <c r="D393" s="214"/>
      <c r="E393" s="214"/>
      <c r="F393" s="214"/>
      <c r="G393" s="214"/>
      <c r="H393" s="214"/>
      <c r="I393" s="214"/>
      <c r="J393" s="214"/>
      <c r="K393" s="214"/>
      <c r="L393" s="214"/>
      <c r="M393" s="214"/>
      <c r="N393" s="215"/>
      <c r="O393" s="215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16"/>
      <c r="AN393" s="216"/>
      <c r="AO393" s="216"/>
      <c r="AP393" s="216"/>
      <c r="AQ393" s="216"/>
      <c r="AR393" s="216"/>
      <c r="AS393" s="216"/>
      <c r="AT393" s="216"/>
      <c r="AU393" s="216"/>
      <c r="AV393" s="216"/>
      <c r="AW393" s="216"/>
      <c r="AX393" s="216"/>
      <c r="AY393" s="216"/>
      <c r="AZ393" s="216"/>
      <c r="BA393" s="216"/>
      <c r="BB393" s="216"/>
      <c r="BC393" s="216"/>
      <c r="BD393" s="216"/>
      <c r="BE393" s="216"/>
      <c r="BF393" s="216"/>
      <c r="BG393" s="216"/>
      <c r="BH393" s="216"/>
      <c r="BI393" s="216"/>
      <c r="BJ393" s="216"/>
      <c r="BK393" s="216"/>
      <c r="BL393" s="216"/>
      <c r="BM393" s="216"/>
      <c r="BN393" s="216"/>
      <c r="BO393" s="216"/>
      <c r="BP393" s="216"/>
      <c r="BQ393" s="216"/>
      <c r="BR393" s="216"/>
      <c r="BS393" s="216"/>
      <c r="BT393" s="216"/>
      <c r="BU393" s="216"/>
      <c r="BV393" s="216"/>
      <c r="BW393" s="216"/>
      <c r="BX393" s="216"/>
      <c r="BY393" s="216"/>
      <c r="BZ393" s="216"/>
      <c r="CA393" s="216"/>
      <c r="CB393" s="216"/>
      <c r="CC393" s="216"/>
      <c r="CD393" s="216"/>
      <c r="CE393" s="216"/>
      <c r="CF393" s="216"/>
      <c r="CG393" s="216"/>
      <c r="CH393" s="216"/>
      <c r="CI393" s="216"/>
      <c r="CJ393" s="216"/>
      <c r="CK393" s="216"/>
      <c r="CL393" s="216"/>
      <c r="CM393" s="216"/>
      <c r="CN393" s="216"/>
      <c r="CO393" s="216"/>
      <c r="CP393" s="216"/>
      <c r="CQ393" s="216"/>
      <c r="CR393" s="216"/>
      <c r="CS393" s="216"/>
      <c r="CT393" s="216"/>
      <c r="CU393" s="216"/>
      <c r="CV393" s="216"/>
      <c r="CW393" s="216"/>
      <c r="CX393" s="216"/>
      <c r="CY393" s="216"/>
    </row>
    <row r="394" spans="1:103" ht="12.75" x14ac:dyDescent="0.2">
      <c r="A394" s="214"/>
      <c r="B394" s="214"/>
      <c r="C394" s="214"/>
      <c r="D394" s="214"/>
      <c r="E394" s="214"/>
      <c r="F394" s="214"/>
      <c r="G394" s="214"/>
      <c r="H394" s="214"/>
      <c r="I394" s="214"/>
      <c r="J394" s="214"/>
      <c r="K394" s="214"/>
      <c r="L394" s="214"/>
      <c r="M394" s="214"/>
      <c r="N394" s="215"/>
      <c r="O394" s="215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6"/>
      <c r="AX394" s="216"/>
      <c r="AY394" s="216"/>
      <c r="AZ394" s="216"/>
      <c r="BA394" s="216"/>
      <c r="BB394" s="216"/>
      <c r="BC394" s="216"/>
      <c r="BD394" s="216"/>
      <c r="BE394" s="216"/>
      <c r="BF394" s="216"/>
      <c r="BG394" s="216"/>
      <c r="BH394" s="216"/>
      <c r="BI394" s="216"/>
      <c r="BJ394" s="216"/>
      <c r="BK394" s="216"/>
      <c r="BL394" s="216"/>
      <c r="BM394" s="216"/>
      <c r="BN394" s="216"/>
      <c r="BO394" s="216"/>
      <c r="BP394" s="216"/>
      <c r="BQ394" s="216"/>
      <c r="BR394" s="216"/>
      <c r="BS394" s="216"/>
      <c r="BT394" s="216"/>
      <c r="BU394" s="216"/>
      <c r="BV394" s="216"/>
      <c r="BW394" s="216"/>
      <c r="BX394" s="216"/>
      <c r="BY394" s="216"/>
      <c r="BZ394" s="216"/>
      <c r="CA394" s="216"/>
      <c r="CB394" s="216"/>
      <c r="CC394" s="216"/>
      <c r="CD394" s="216"/>
      <c r="CE394" s="216"/>
      <c r="CF394" s="216"/>
      <c r="CG394" s="216"/>
      <c r="CH394" s="216"/>
      <c r="CI394" s="216"/>
      <c r="CJ394" s="216"/>
      <c r="CK394" s="216"/>
      <c r="CL394" s="216"/>
      <c r="CM394" s="216"/>
      <c r="CN394" s="216"/>
      <c r="CO394" s="216"/>
      <c r="CP394" s="216"/>
      <c r="CQ394" s="216"/>
      <c r="CR394" s="216"/>
      <c r="CS394" s="216"/>
      <c r="CT394" s="216"/>
      <c r="CU394" s="216"/>
      <c r="CV394" s="216"/>
      <c r="CW394" s="216"/>
      <c r="CX394" s="216"/>
      <c r="CY394" s="216"/>
    </row>
    <row r="395" spans="1:103" ht="12.75" x14ac:dyDescent="0.2">
      <c r="A395" s="214"/>
      <c r="B395" s="214"/>
      <c r="C395" s="214"/>
      <c r="D395" s="214"/>
      <c r="E395" s="214"/>
      <c r="F395" s="214"/>
      <c r="G395" s="214"/>
      <c r="H395" s="214"/>
      <c r="I395" s="214"/>
      <c r="J395" s="214"/>
      <c r="K395" s="214"/>
      <c r="L395" s="214"/>
      <c r="M395" s="214"/>
      <c r="N395" s="215"/>
      <c r="O395" s="215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  <c r="AM395" s="216"/>
      <c r="AN395" s="216"/>
      <c r="AO395" s="216"/>
      <c r="AP395" s="216"/>
      <c r="AQ395" s="216"/>
      <c r="AR395" s="216"/>
      <c r="AS395" s="216"/>
      <c r="AT395" s="216"/>
      <c r="AU395" s="216"/>
      <c r="AV395" s="216"/>
      <c r="AW395" s="216"/>
      <c r="AX395" s="216"/>
      <c r="AY395" s="216"/>
      <c r="AZ395" s="216"/>
      <c r="BA395" s="216"/>
      <c r="BB395" s="216"/>
      <c r="BC395" s="216"/>
      <c r="BD395" s="216"/>
      <c r="BE395" s="216"/>
      <c r="BF395" s="216"/>
      <c r="BG395" s="216"/>
      <c r="BH395" s="216"/>
      <c r="BI395" s="216"/>
      <c r="BJ395" s="216"/>
      <c r="BK395" s="216"/>
      <c r="BL395" s="216"/>
      <c r="BM395" s="216"/>
      <c r="BN395" s="216"/>
      <c r="BO395" s="216"/>
      <c r="BP395" s="216"/>
      <c r="BQ395" s="216"/>
      <c r="BR395" s="216"/>
      <c r="BS395" s="216"/>
      <c r="BT395" s="216"/>
      <c r="BU395" s="216"/>
      <c r="BV395" s="216"/>
      <c r="BW395" s="216"/>
      <c r="BX395" s="216"/>
      <c r="BY395" s="216"/>
      <c r="BZ395" s="216"/>
      <c r="CA395" s="216"/>
      <c r="CB395" s="216"/>
      <c r="CC395" s="216"/>
      <c r="CD395" s="216"/>
      <c r="CE395" s="216"/>
      <c r="CF395" s="216"/>
      <c r="CG395" s="216"/>
      <c r="CH395" s="216"/>
      <c r="CI395" s="216"/>
      <c r="CJ395" s="216"/>
      <c r="CK395" s="216"/>
      <c r="CL395" s="216"/>
      <c r="CM395" s="216"/>
      <c r="CN395" s="216"/>
      <c r="CO395" s="216"/>
      <c r="CP395" s="216"/>
      <c r="CQ395" s="216"/>
      <c r="CR395" s="216"/>
      <c r="CS395" s="216"/>
      <c r="CT395" s="216"/>
      <c r="CU395" s="216"/>
      <c r="CV395" s="216"/>
      <c r="CW395" s="216"/>
      <c r="CX395" s="216"/>
      <c r="CY395" s="216"/>
    </row>
    <row r="396" spans="1:103" ht="12.75" x14ac:dyDescent="0.2">
      <c r="A396" s="214"/>
      <c r="B396" s="214"/>
      <c r="C396" s="214"/>
      <c r="D396" s="214"/>
      <c r="E396" s="214"/>
      <c r="F396" s="214"/>
      <c r="G396" s="214"/>
      <c r="H396" s="214"/>
      <c r="I396" s="214"/>
      <c r="J396" s="214"/>
      <c r="K396" s="214"/>
      <c r="L396" s="214"/>
      <c r="M396" s="214"/>
      <c r="N396" s="215"/>
      <c r="O396" s="215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  <c r="AM396" s="216"/>
      <c r="AN396" s="216"/>
      <c r="AO396" s="216"/>
      <c r="AP396" s="216"/>
      <c r="AQ396" s="216"/>
      <c r="AR396" s="216"/>
      <c r="AS396" s="216"/>
      <c r="AT396" s="216"/>
      <c r="AU396" s="216"/>
      <c r="AV396" s="216"/>
      <c r="AW396" s="216"/>
      <c r="AX396" s="216"/>
      <c r="AY396" s="216"/>
      <c r="AZ396" s="216"/>
      <c r="BA396" s="216"/>
      <c r="BB396" s="216"/>
      <c r="BC396" s="216"/>
      <c r="BD396" s="216"/>
      <c r="BE396" s="216"/>
      <c r="BF396" s="216"/>
      <c r="BG396" s="216"/>
      <c r="BH396" s="216"/>
      <c r="BI396" s="216"/>
      <c r="BJ396" s="216"/>
      <c r="BK396" s="216"/>
      <c r="BL396" s="216"/>
      <c r="BM396" s="216"/>
      <c r="BN396" s="216"/>
      <c r="BO396" s="216"/>
      <c r="BP396" s="216"/>
      <c r="BQ396" s="216"/>
      <c r="BR396" s="216"/>
      <c r="BS396" s="216"/>
      <c r="BT396" s="216"/>
      <c r="BU396" s="216"/>
      <c r="BV396" s="216"/>
      <c r="BW396" s="216"/>
      <c r="BX396" s="216"/>
      <c r="BY396" s="216"/>
      <c r="BZ396" s="216"/>
      <c r="CA396" s="216"/>
      <c r="CB396" s="216"/>
      <c r="CC396" s="216"/>
      <c r="CD396" s="216"/>
      <c r="CE396" s="216"/>
      <c r="CF396" s="216"/>
      <c r="CG396" s="216"/>
      <c r="CH396" s="216"/>
      <c r="CI396" s="216"/>
      <c r="CJ396" s="216"/>
      <c r="CK396" s="216"/>
      <c r="CL396" s="216"/>
      <c r="CM396" s="216"/>
      <c r="CN396" s="216"/>
      <c r="CO396" s="216"/>
      <c r="CP396" s="216"/>
      <c r="CQ396" s="216"/>
      <c r="CR396" s="216"/>
      <c r="CS396" s="216"/>
      <c r="CT396" s="216"/>
      <c r="CU396" s="216"/>
      <c r="CV396" s="216"/>
      <c r="CW396" s="216"/>
      <c r="CX396" s="216"/>
      <c r="CY396" s="216"/>
    </row>
    <row r="397" spans="1:103" ht="12.75" x14ac:dyDescent="0.2">
      <c r="A397" s="214"/>
      <c r="B397" s="214"/>
      <c r="C397" s="214"/>
      <c r="D397" s="214"/>
      <c r="E397" s="214"/>
      <c r="F397" s="214"/>
      <c r="G397" s="214"/>
      <c r="H397" s="214"/>
      <c r="I397" s="214"/>
      <c r="J397" s="214"/>
      <c r="K397" s="214"/>
      <c r="L397" s="214"/>
      <c r="M397" s="214"/>
      <c r="N397" s="215"/>
      <c r="O397" s="215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  <c r="AM397" s="216"/>
      <c r="AN397" s="216"/>
      <c r="AO397" s="216"/>
      <c r="AP397" s="216"/>
      <c r="AQ397" s="216"/>
      <c r="AR397" s="216"/>
      <c r="AS397" s="216"/>
      <c r="AT397" s="216"/>
      <c r="AU397" s="216"/>
      <c r="AV397" s="216"/>
      <c r="AW397" s="216"/>
      <c r="AX397" s="216"/>
      <c r="AY397" s="216"/>
      <c r="AZ397" s="216"/>
      <c r="BA397" s="216"/>
      <c r="BB397" s="216"/>
      <c r="BC397" s="216"/>
      <c r="BD397" s="216"/>
      <c r="BE397" s="216"/>
      <c r="BF397" s="216"/>
      <c r="BG397" s="216"/>
      <c r="BH397" s="216"/>
      <c r="BI397" s="216"/>
      <c r="BJ397" s="216"/>
      <c r="BK397" s="216"/>
      <c r="BL397" s="216"/>
      <c r="BM397" s="216"/>
      <c r="BN397" s="216"/>
      <c r="BO397" s="216"/>
      <c r="BP397" s="216"/>
      <c r="BQ397" s="216"/>
      <c r="BR397" s="216"/>
      <c r="BS397" s="216"/>
      <c r="BT397" s="216"/>
      <c r="BU397" s="216"/>
      <c r="BV397" s="216"/>
      <c r="BW397" s="216"/>
      <c r="BX397" s="216"/>
      <c r="BY397" s="216"/>
      <c r="BZ397" s="216"/>
      <c r="CA397" s="216"/>
      <c r="CB397" s="216"/>
      <c r="CC397" s="216"/>
      <c r="CD397" s="216"/>
      <c r="CE397" s="216"/>
      <c r="CF397" s="216"/>
      <c r="CG397" s="216"/>
      <c r="CH397" s="216"/>
      <c r="CI397" s="216"/>
      <c r="CJ397" s="216"/>
      <c r="CK397" s="216"/>
      <c r="CL397" s="216"/>
      <c r="CM397" s="216"/>
      <c r="CN397" s="216"/>
      <c r="CO397" s="216"/>
      <c r="CP397" s="216"/>
      <c r="CQ397" s="216"/>
      <c r="CR397" s="216"/>
      <c r="CS397" s="216"/>
      <c r="CT397" s="216"/>
      <c r="CU397" s="216"/>
      <c r="CV397" s="216"/>
      <c r="CW397" s="216"/>
      <c r="CX397" s="216"/>
      <c r="CY397" s="216"/>
    </row>
    <row r="398" spans="1:103" ht="12.75" x14ac:dyDescent="0.2">
      <c r="A398" s="214"/>
      <c r="B398" s="214"/>
      <c r="C398" s="214"/>
      <c r="D398" s="214"/>
      <c r="E398" s="214"/>
      <c r="F398" s="214"/>
      <c r="G398" s="214"/>
      <c r="H398" s="214"/>
      <c r="I398" s="214"/>
      <c r="J398" s="214"/>
      <c r="K398" s="214"/>
      <c r="L398" s="214"/>
      <c r="M398" s="214"/>
      <c r="N398" s="215"/>
      <c r="O398" s="215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16"/>
      <c r="AS398" s="216"/>
      <c r="AT398" s="216"/>
      <c r="AU398" s="216"/>
      <c r="AV398" s="216"/>
      <c r="AW398" s="216"/>
      <c r="AX398" s="216"/>
      <c r="AY398" s="216"/>
      <c r="AZ398" s="216"/>
      <c r="BA398" s="216"/>
      <c r="BB398" s="216"/>
      <c r="BC398" s="216"/>
      <c r="BD398" s="216"/>
      <c r="BE398" s="216"/>
      <c r="BF398" s="216"/>
      <c r="BG398" s="216"/>
      <c r="BH398" s="216"/>
      <c r="BI398" s="216"/>
      <c r="BJ398" s="216"/>
      <c r="BK398" s="216"/>
      <c r="BL398" s="216"/>
      <c r="BM398" s="216"/>
      <c r="BN398" s="216"/>
      <c r="BO398" s="216"/>
      <c r="BP398" s="216"/>
      <c r="BQ398" s="216"/>
      <c r="BR398" s="216"/>
      <c r="BS398" s="216"/>
      <c r="BT398" s="216"/>
      <c r="BU398" s="216"/>
      <c r="BV398" s="216"/>
      <c r="BW398" s="216"/>
      <c r="BX398" s="216"/>
      <c r="BY398" s="216"/>
      <c r="BZ398" s="216"/>
      <c r="CA398" s="216"/>
      <c r="CB398" s="216"/>
      <c r="CC398" s="216"/>
      <c r="CD398" s="216"/>
      <c r="CE398" s="216"/>
      <c r="CF398" s="216"/>
      <c r="CG398" s="216"/>
      <c r="CH398" s="216"/>
      <c r="CI398" s="216"/>
      <c r="CJ398" s="216"/>
      <c r="CK398" s="216"/>
      <c r="CL398" s="216"/>
      <c r="CM398" s="216"/>
      <c r="CN398" s="216"/>
      <c r="CO398" s="216"/>
      <c r="CP398" s="216"/>
      <c r="CQ398" s="216"/>
      <c r="CR398" s="216"/>
      <c r="CS398" s="216"/>
      <c r="CT398" s="216"/>
      <c r="CU398" s="216"/>
      <c r="CV398" s="216"/>
      <c r="CW398" s="216"/>
      <c r="CX398" s="216"/>
      <c r="CY398" s="216"/>
    </row>
    <row r="399" spans="1:103" ht="12.75" x14ac:dyDescent="0.2">
      <c r="A399" s="214"/>
      <c r="B399" s="214"/>
      <c r="C399" s="214"/>
      <c r="D399" s="214"/>
      <c r="E399" s="214"/>
      <c r="F399" s="214"/>
      <c r="G399" s="214"/>
      <c r="H399" s="214"/>
      <c r="I399" s="214"/>
      <c r="J399" s="214"/>
      <c r="K399" s="214"/>
      <c r="L399" s="214"/>
      <c r="M399" s="214"/>
      <c r="N399" s="215"/>
      <c r="O399" s="215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  <c r="AM399" s="216"/>
      <c r="AN399" s="216"/>
      <c r="AO399" s="216"/>
      <c r="AP399" s="216"/>
      <c r="AQ399" s="216"/>
      <c r="AR399" s="216"/>
      <c r="AS399" s="216"/>
      <c r="AT399" s="216"/>
      <c r="AU399" s="216"/>
      <c r="AV399" s="216"/>
      <c r="AW399" s="216"/>
      <c r="AX399" s="216"/>
      <c r="AY399" s="216"/>
      <c r="AZ399" s="216"/>
      <c r="BA399" s="216"/>
      <c r="BB399" s="216"/>
      <c r="BC399" s="216"/>
      <c r="BD399" s="216"/>
      <c r="BE399" s="216"/>
      <c r="BF399" s="216"/>
      <c r="BG399" s="216"/>
      <c r="BH399" s="216"/>
      <c r="BI399" s="216"/>
      <c r="BJ399" s="216"/>
      <c r="BK399" s="216"/>
      <c r="BL399" s="216"/>
      <c r="BM399" s="216"/>
      <c r="BN399" s="216"/>
      <c r="BO399" s="216"/>
      <c r="BP399" s="216"/>
      <c r="BQ399" s="216"/>
      <c r="BR399" s="216"/>
      <c r="BS399" s="216"/>
      <c r="BT399" s="216"/>
      <c r="BU399" s="216"/>
      <c r="BV399" s="216"/>
      <c r="BW399" s="216"/>
      <c r="BX399" s="216"/>
      <c r="BY399" s="216"/>
      <c r="BZ399" s="216"/>
      <c r="CA399" s="216"/>
      <c r="CB399" s="216"/>
      <c r="CC399" s="216"/>
      <c r="CD399" s="216"/>
      <c r="CE399" s="216"/>
      <c r="CF399" s="216"/>
      <c r="CG399" s="216"/>
      <c r="CH399" s="216"/>
      <c r="CI399" s="216"/>
      <c r="CJ399" s="216"/>
      <c r="CK399" s="216"/>
      <c r="CL399" s="216"/>
      <c r="CM399" s="216"/>
      <c r="CN399" s="216"/>
      <c r="CO399" s="216"/>
      <c r="CP399" s="216"/>
      <c r="CQ399" s="216"/>
      <c r="CR399" s="216"/>
      <c r="CS399" s="216"/>
      <c r="CT399" s="216"/>
      <c r="CU399" s="216"/>
      <c r="CV399" s="216"/>
      <c r="CW399" s="216"/>
      <c r="CX399" s="216"/>
      <c r="CY399" s="216"/>
    </row>
    <row r="400" spans="1:103" ht="12.75" x14ac:dyDescent="0.2">
      <c r="A400" s="214"/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4"/>
      <c r="N400" s="215"/>
      <c r="O400" s="215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16"/>
      <c r="AN400" s="216"/>
      <c r="AO400" s="216"/>
      <c r="AP400" s="216"/>
      <c r="AQ400" s="216"/>
      <c r="AR400" s="216"/>
      <c r="AS400" s="216"/>
      <c r="AT400" s="216"/>
      <c r="AU400" s="216"/>
      <c r="AV400" s="216"/>
      <c r="AW400" s="216"/>
      <c r="AX400" s="216"/>
      <c r="AY400" s="216"/>
      <c r="AZ400" s="216"/>
      <c r="BA400" s="216"/>
      <c r="BB400" s="216"/>
      <c r="BC400" s="216"/>
      <c r="BD400" s="216"/>
      <c r="BE400" s="216"/>
      <c r="BF400" s="216"/>
      <c r="BG400" s="216"/>
      <c r="BH400" s="216"/>
      <c r="BI400" s="216"/>
      <c r="BJ400" s="216"/>
      <c r="BK400" s="216"/>
      <c r="BL400" s="216"/>
      <c r="BM400" s="216"/>
      <c r="BN400" s="216"/>
      <c r="BO400" s="216"/>
      <c r="BP400" s="216"/>
      <c r="BQ400" s="216"/>
      <c r="BR400" s="216"/>
      <c r="BS400" s="216"/>
      <c r="BT400" s="216"/>
      <c r="BU400" s="216"/>
      <c r="BV400" s="216"/>
      <c r="BW400" s="216"/>
      <c r="BX400" s="216"/>
      <c r="BY400" s="216"/>
      <c r="BZ400" s="216"/>
      <c r="CA400" s="216"/>
      <c r="CB400" s="216"/>
      <c r="CC400" s="216"/>
      <c r="CD400" s="216"/>
      <c r="CE400" s="216"/>
      <c r="CF400" s="216"/>
      <c r="CG400" s="216"/>
      <c r="CH400" s="216"/>
      <c r="CI400" s="216"/>
      <c r="CJ400" s="216"/>
      <c r="CK400" s="216"/>
      <c r="CL400" s="216"/>
      <c r="CM400" s="216"/>
      <c r="CN400" s="216"/>
      <c r="CO400" s="216"/>
      <c r="CP400" s="216"/>
      <c r="CQ400" s="216"/>
      <c r="CR400" s="216"/>
      <c r="CS400" s="216"/>
      <c r="CT400" s="216"/>
      <c r="CU400" s="216"/>
      <c r="CV400" s="216"/>
      <c r="CW400" s="216"/>
      <c r="CX400" s="216"/>
      <c r="CY400" s="216"/>
    </row>
    <row r="401" spans="1:103" ht="12.75" x14ac:dyDescent="0.2">
      <c r="A401" s="214"/>
      <c r="B401" s="214"/>
      <c r="C401" s="214"/>
      <c r="D401" s="214"/>
      <c r="E401" s="214"/>
      <c r="F401" s="214"/>
      <c r="G401" s="214"/>
      <c r="H401" s="214"/>
      <c r="I401" s="214"/>
      <c r="J401" s="214"/>
      <c r="K401" s="214"/>
      <c r="L401" s="214"/>
      <c r="M401" s="214"/>
      <c r="N401" s="215"/>
      <c r="O401" s="215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  <c r="AM401" s="216"/>
      <c r="AN401" s="216"/>
      <c r="AO401" s="216"/>
      <c r="AP401" s="216"/>
      <c r="AQ401" s="216"/>
      <c r="AR401" s="216"/>
      <c r="AS401" s="216"/>
      <c r="AT401" s="216"/>
      <c r="AU401" s="216"/>
      <c r="AV401" s="216"/>
      <c r="AW401" s="216"/>
      <c r="AX401" s="216"/>
      <c r="AY401" s="216"/>
      <c r="AZ401" s="216"/>
      <c r="BA401" s="216"/>
      <c r="BB401" s="216"/>
      <c r="BC401" s="216"/>
      <c r="BD401" s="216"/>
      <c r="BE401" s="216"/>
      <c r="BF401" s="216"/>
      <c r="BG401" s="216"/>
      <c r="BH401" s="216"/>
      <c r="BI401" s="216"/>
      <c r="BJ401" s="216"/>
      <c r="BK401" s="216"/>
      <c r="BL401" s="216"/>
      <c r="BM401" s="216"/>
      <c r="BN401" s="216"/>
      <c r="BO401" s="216"/>
      <c r="BP401" s="216"/>
      <c r="BQ401" s="216"/>
      <c r="BR401" s="216"/>
      <c r="BS401" s="216"/>
      <c r="BT401" s="216"/>
      <c r="BU401" s="216"/>
      <c r="BV401" s="216"/>
      <c r="BW401" s="216"/>
      <c r="BX401" s="216"/>
      <c r="BY401" s="216"/>
      <c r="BZ401" s="216"/>
      <c r="CA401" s="216"/>
      <c r="CB401" s="216"/>
      <c r="CC401" s="216"/>
      <c r="CD401" s="216"/>
      <c r="CE401" s="216"/>
      <c r="CF401" s="216"/>
      <c r="CG401" s="216"/>
      <c r="CH401" s="216"/>
      <c r="CI401" s="216"/>
      <c r="CJ401" s="216"/>
      <c r="CK401" s="216"/>
      <c r="CL401" s="216"/>
      <c r="CM401" s="216"/>
      <c r="CN401" s="216"/>
      <c r="CO401" s="216"/>
      <c r="CP401" s="216"/>
      <c r="CQ401" s="216"/>
      <c r="CR401" s="216"/>
      <c r="CS401" s="216"/>
      <c r="CT401" s="216"/>
      <c r="CU401" s="216"/>
      <c r="CV401" s="216"/>
      <c r="CW401" s="216"/>
      <c r="CX401" s="216"/>
      <c r="CY401" s="216"/>
    </row>
    <row r="402" spans="1:103" ht="12.75" x14ac:dyDescent="0.2">
      <c r="A402" s="214"/>
      <c r="B402" s="214"/>
      <c r="C402" s="214"/>
      <c r="D402" s="214"/>
      <c r="E402" s="214"/>
      <c r="F402" s="214"/>
      <c r="G402" s="214"/>
      <c r="H402" s="214"/>
      <c r="I402" s="214"/>
      <c r="J402" s="214"/>
      <c r="K402" s="214"/>
      <c r="L402" s="214"/>
      <c r="M402" s="214"/>
      <c r="N402" s="215"/>
      <c r="O402" s="215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16"/>
      <c r="AN402" s="216"/>
      <c r="AO402" s="216"/>
      <c r="AP402" s="216"/>
      <c r="AQ402" s="216"/>
      <c r="AR402" s="216"/>
      <c r="AS402" s="216"/>
      <c r="AT402" s="216"/>
      <c r="AU402" s="216"/>
      <c r="AV402" s="216"/>
      <c r="AW402" s="216"/>
      <c r="AX402" s="216"/>
      <c r="AY402" s="216"/>
      <c r="AZ402" s="216"/>
      <c r="BA402" s="216"/>
      <c r="BB402" s="216"/>
      <c r="BC402" s="216"/>
      <c r="BD402" s="216"/>
      <c r="BE402" s="216"/>
      <c r="BF402" s="216"/>
      <c r="BG402" s="216"/>
      <c r="BH402" s="216"/>
      <c r="BI402" s="216"/>
      <c r="BJ402" s="216"/>
      <c r="BK402" s="216"/>
      <c r="BL402" s="216"/>
      <c r="BM402" s="216"/>
      <c r="BN402" s="216"/>
      <c r="BO402" s="216"/>
      <c r="BP402" s="216"/>
      <c r="BQ402" s="216"/>
      <c r="BR402" s="216"/>
      <c r="BS402" s="216"/>
      <c r="BT402" s="216"/>
      <c r="BU402" s="216"/>
      <c r="BV402" s="216"/>
      <c r="BW402" s="216"/>
      <c r="BX402" s="216"/>
      <c r="BY402" s="216"/>
      <c r="BZ402" s="216"/>
      <c r="CA402" s="216"/>
      <c r="CB402" s="216"/>
      <c r="CC402" s="216"/>
      <c r="CD402" s="216"/>
      <c r="CE402" s="216"/>
      <c r="CF402" s="216"/>
      <c r="CG402" s="216"/>
      <c r="CH402" s="216"/>
      <c r="CI402" s="216"/>
      <c r="CJ402" s="216"/>
      <c r="CK402" s="216"/>
      <c r="CL402" s="216"/>
      <c r="CM402" s="216"/>
      <c r="CN402" s="216"/>
      <c r="CO402" s="216"/>
      <c r="CP402" s="216"/>
      <c r="CQ402" s="216"/>
      <c r="CR402" s="216"/>
      <c r="CS402" s="216"/>
      <c r="CT402" s="216"/>
      <c r="CU402" s="216"/>
      <c r="CV402" s="216"/>
      <c r="CW402" s="216"/>
      <c r="CX402" s="216"/>
      <c r="CY402" s="216"/>
    </row>
    <row r="403" spans="1:103" ht="12.75" x14ac:dyDescent="0.2">
      <c r="A403" s="214"/>
      <c r="B403" s="214"/>
      <c r="C403" s="214"/>
      <c r="D403" s="214"/>
      <c r="E403" s="214"/>
      <c r="F403" s="214"/>
      <c r="G403" s="214"/>
      <c r="H403" s="214"/>
      <c r="I403" s="214"/>
      <c r="J403" s="214"/>
      <c r="K403" s="214"/>
      <c r="L403" s="214"/>
      <c r="M403" s="214"/>
      <c r="N403" s="215"/>
      <c r="O403" s="215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  <c r="AU403" s="216"/>
      <c r="AV403" s="216"/>
      <c r="AW403" s="216"/>
      <c r="AX403" s="216"/>
      <c r="AY403" s="216"/>
      <c r="AZ403" s="216"/>
      <c r="BA403" s="216"/>
      <c r="BB403" s="216"/>
      <c r="BC403" s="216"/>
      <c r="BD403" s="216"/>
      <c r="BE403" s="216"/>
      <c r="BF403" s="216"/>
      <c r="BG403" s="216"/>
      <c r="BH403" s="216"/>
      <c r="BI403" s="216"/>
      <c r="BJ403" s="216"/>
      <c r="BK403" s="216"/>
      <c r="BL403" s="216"/>
      <c r="BM403" s="216"/>
      <c r="BN403" s="216"/>
      <c r="BO403" s="216"/>
      <c r="BP403" s="216"/>
      <c r="BQ403" s="216"/>
      <c r="BR403" s="216"/>
      <c r="BS403" s="216"/>
      <c r="BT403" s="216"/>
      <c r="BU403" s="216"/>
      <c r="BV403" s="216"/>
      <c r="BW403" s="216"/>
      <c r="BX403" s="216"/>
      <c r="BY403" s="216"/>
      <c r="BZ403" s="216"/>
      <c r="CA403" s="216"/>
      <c r="CB403" s="216"/>
      <c r="CC403" s="216"/>
      <c r="CD403" s="216"/>
      <c r="CE403" s="216"/>
      <c r="CF403" s="216"/>
      <c r="CG403" s="216"/>
      <c r="CH403" s="216"/>
      <c r="CI403" s="216"/>
      <c r="CJ403" s="216"/>
      <c r="CK403" s="216"/>
      <c r="CL403" s="216"/>
      <c r="CM403" s="216"/>
      <c r="CN403" s="216"/>
      <c r="CO403" s="216"/>
      <c r="CP403" s="216"/>
      <c r="CQ403" s="216"/>
      <c r="CR403" s="216"/>
      <c r="CS403" s="216"/>
      <c r="CT403" s="216"/>
      <c r="CU403" s="216"/>
      <c r="CV403" s="216"/>
      <c r="CW403" s="216"/>
      <c r="CX403" s="216"/>
      <c r="CY403" s="216"/>
    </row>
    <row r="404" spans="1:103" ht="12.75" x14ac:dyDescent="0.2">
      <c r="A404" s="214"/>
      <c r="B404" s="214"/>
      <c r="C404" s="214"/>
      <c r="D404" s="214"/>
      <c r="E404" s="214"/>
      <c r="F404" s="214"/>
      <c r="G404" s="214"/>
      <c r="H404" s="214"/>
      <c r="I404" s="214"/>
      <c r="J404" s="214"/>
      <c r="K404" s="214"/>
      <c r="L404" s="214"/>
      <c r="M404" s="214"/>
      <c r="N404" s="215"/>
      <c r="O404" s="215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6"/>
      <c r="AX404" s="216"/>
      <c r="AY404" s="216"/>
      <c r="AZ404" s="216"/>
      <c r="BA404" s="216"/>
      <c r="BB404" s="216"/>
      <c r="BC404" s="216"/>
      <c r="BD404" s="216"/>
      <c r="BE404" s="216"/>
      <c r="BF404" s="216"/>
      <c r="BG404" s="216"/>
      <c r="BH404" s="216"/>
      <c r="BI404" s="216"/>
      <c r="BJ404" s="216"/>
      <c r="BK404" s="216"/>
      <c r="BL404" s="216"/>
      <c r="BM404" s="216"/>
      <c r="BN404" s="216"/>
      <c r="BO404" s="216"/>
      <c r="BP404" s="216"/>
      <c r="BQ404" s="216"/>
      <c r="BR404" s="216"/>
      <c r="BS404" s="216"/>
      <c r="BT404" s="216"/>
      <c r="BU404" s="216"/>
      <c r="BV404" s="216"/>
      <c r="BW404" s="216"/>
      <c r="BX404" s="216"/>
      <c r="BY404" s="216"/>
      <c r="BZ404" s="216"/>
      <c r="CA404" s="216"/>
      <c r="CB404" s="216"/>
      <c r="CC404" s="216"/>
      <c r="CD404" s="216"/>
      <c r="CE404" s="216"/>
      <c r="CF404" s="216"/>
      <c r="CG404" s="216"/>
      <c r="CH404" s="216"/>
      <c r="CI404" s="216"/>
      <c r="CJ404" s="216"/>
      <c r="CK404" s="216"/>
      <c r="CL404" s="216"/>
      <c r="CM404" s="216"/>
      <c r="CN404" s="216"/>
      <c r="CO404" s="216"/>
      <c r="CP404" s="216"/>
      <c r="CQ404" s="216"/>
      <c r="CR404" s="216"/>
      <c r="CS404" s="216"/>
      <c r="CT404" s="216"/>
      <c r="CU404" s="216"/>
      <c r="CV404" s="216"/>
      <c r="CW404" s="216"/>
      <c r="CX404" s="216"/>
      <c r="CY404" s="216"/>
    </row>
    <row r="405" spans="1:103" ht="12.75" x14ac:dyDescent="0.2">
      <c r="A405" s="214"/>
      <c r="B405" s="214"/>
      <c r="C405" s="214"/>
      <c r="D405" s="214"/>
      <c r="E405" s="214"/>
      <c r="F405" s="214"/>
      <c r="G405" s="214"/>
      <c r="H405" s="214"/>
      <c r="I405" s="214"/>
      <c r="J405" s="214"/>
      <c r="K405" s="214"/>
      <c r="L405" s="214"/>
      <c r="M405" s="214"/>
      <c r="N405" s="215"/>
      <c r="O405" s="215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16"/>
      <c r="AN405" s="216"/>
      <c r="AO405" s="216"/>
      <c r="AP405" s="216"/>
      <c r="AQ405" s="216"/>
      <c r="AR405" s="216"/>
      <c r="AS405" s="216"/>
      <c r="AT405" s="216"/>
      <c r="AU405" s="216"/>
      <c r="AV405" s="216"/>
      <c r="AW405" s="216"/>
      <c r="AX405" s="216"/>
      <c r="AY405" s="216"/>
      <c r="AZ405" s="216"/>
      <c r="BA405" s="216"/>
      <c r="BB405" s="216"/>
      <c r="BC405" s="216"/>
      <c r="BD405" s="216"/>
      <c r="BE405" s="216"/>
      <c r="BF405" s="216"/>
      <c r="BG405" s="216"/>
      <c r="BH405" s="216"/>
      <c r="BI405" s="216"/>
      <c r="BJ405" s="216"/>
      <c r="BK405" s="216"/>
      <c r="BL405" s="216"/>
      <c r="BM405" s="216"/>
      <c r="BN405" s="216"/>
      <c r="BO405" s="216"/>
      <c r="BP405" s="216"/>
      <c r="BQ405" s="216"/>
      <c r="BR405" s="216"/>
      <c r="BS405" s="216"/>
      <c r="BT405" s="216"/>
      <c r="BU405" s="216"/>
      <c r="BV405" s="216"/>
      <c r="BW405" s="216"/>
      <c r="BX405" s="216"/>
      <c r="BY405" s="216"/>
      <c r="BZ405" s="216"/>
      <c r="CA405" s="216"/>
      <c r="CB405" s="216"/>
      <c r="CC405" s="216"/>
      <c r="CD405" s="216"/>
      <c r="CE405" s="216"/>
      <c r="CF405" s="216"/>
      <c r="CG405" s="216"/>
      <c r="CH405" s="216"/>
      <c r="CI405" s="216"/>
      <c r="CJ405" s="216"/>
      <c r="CK405" s="216"/>
      <c r="CL405" s="216"/>
      <c r="CM405" s="216"/>
      <c r="CN405" s="216"/>
      <c r="CO405" s="216"/>
      <c r="CP405" s="216"/>
      <c r="CQ405" s="216"/>
      <c r="CR405" s="216"/>
      <c r="CS405" s="216"/>
      <c r="CT405" s="216"/>
      <c r="CU405" s="216"/>
      <c r="CV405" s="216"/>
      <c r="CW405" s="216"/>
      <c r="CX405" s="216"/>
      <c r="CY405" s="216"/>
    </row>
    <row r="406" spans="1:103" ht="12.75" x14ac:dyDescent="0.2">
      <c r="A406" s="214"/>
      <c r="B406" s="214"/>
      <c r="C406" s="214"/>
      <c r="D406" s="214"/>
      <c r="E406" s="214"/>
      <c r="F406" s="214"/>
      <c r="G406" s="214"/>
      <c r="H406" s="214"/>
      <c r="I406" s="214"/>
      <c r="J406" s="214"/>
      <c r="K406" s="214"/>
      <c r="L406" s="214"/>
      <c r="M406" s="214"/>
      <c r="N406" s="215"/>
      <c r="O406" s="215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16"/>
      <c r="AN406" s="216"/>
      <c r="AO406" s="216"/>
      <c r="AP406" s="216"/>
      <c r="AQ406" s="216"/>
      <c r="AR406" s="216"/>
      <c r="AS406" s="216"/>
      <c r="AT406" s="216"/>
      <c r="AU406" s="216"/>
      <c r="AV406" s="216"/>
      <c r="AW406" s="216"/>
      <c r="AX406" s="216"/>
      <c r="AY406" s="216"/>
      <c r="AZ406" s="216"/>
      <c r="BA406" s="216"/>
      <c r="BB406" s="216"/>
      <c r="BC406" s="216"/>
      <c r="BD406" s="216"/>
      <c r="BE406" s="216"/>
      <c r="BF406" s="216"/>
      <c r="BG406" s="216"/>
      <c r="BH406" s="216"/>
      <c r="BI406" s="216"/>
      <c r="BJ406" s="216"/>
      <c r="BK406" s="216"/>
      <c r="BL406" s="216"/>
      <c r="BM406" s="216"/>
      <c r="BN406" s="216"/>
      <c r="BO406" s="216"/>
      <c r="BP406" s="216"/>
      <c r="BQ406" s="216"/>
      <c r="BR406" s="216"/>
      <c r="BS406" s="216"/>
      <c r="BT406" s="216"/>
      <c r="BU406" s="216"/>
      <c r="BV406" s="216"/>
      <c r="BW406" s="216"/>
      <c r="BX406" s="216"/>
      <c r="BY406" s="216"/>
      <c r="BZ406" s="216"/>
      <c r="CA406" s="216"/>
      <c r="CB406" s="216"/>
      <c r="CC406" s="216"/>
      <c r="CD406" s="216"/>
      <c r="CE406" s="216"/>
      <c r="CF406" s="216"/>
      <c r="CG406" s="216"/>
      <c r="CH406" s="216"/>
      <c r="CI406" s="216"/>
      <c r="CJ406" s="216"/>
      <c r="CK406" s="216"/>
      <c r="CL406" s="216"/>
      <c r="CM406" s="216"/>
      <c r="CN406" s="216"/>
      <c r="CO406" s="216"/>
      <c r="CP406" s="216"/>
      <c r="CQ406" s="216"/>
      <c r="CR406" s="216"/>
      <c r="CS406" s="216"/>
      <c r="CT406" s="216"/>
      <c r="CU406" s="216"/>
      <c r="CV406" s="216"/>
      <c r="CW406" s="216"/>
      <c r="CX406" s="216"/>
      <c r="CY406" s="216"/>
    </row>
    <row r="407" spans="1:103" ht="12.75" x14ac:dyDescent="0.2">
      <c r="A407" s="214"/>
      <c r="B407" s="214"/>
      <c r="C407" s="214"/>
      <c r="D407" s="214"/>
      <c r="E407" s="214"/>
      <c r="F407" s="214"/>
      <c r="G407" s="214"/>
      <c r="H407" s="214"/>
      <c r="I407" s="214"/>
      <c r="J407" s="214"/>
      <c r="K407" s="214"/>
      <c r="L407" s="214"/>
      <c r="M407" s="214"/>
      <c r="N407" s="215"/>
      <c r="O407" s="215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16"/>
      <c r="AN407" s="216"/>
      <c r="AO407" s="216"/>
      <c r="AP407" s="216"/>
      <c r="AQ407" s="216"/>
      <c r="AR407" s="216"/>
      <c r="AS407" s="216"/>
      <c r="AT407" s="216"/>
      <c r="AU407" s="216"/>
      <c r="AV407" s="216"/>
      <c r="AW407" s="216"/>
      <c r="AX407" s="216"/>
      <c r="AY407" s="216"/>
      <c r="AZ407" s="216"/>
      <c r="BA407" s="216"/>
      <c r="BB407" s="216"/>
      <c r="BC407" s="216"/>
      <c r="BD407" s="216"/>
      <c r="BE407" s="216"/>
      <c r="BF407" s="216"/>
      <c r="BG407" s="216"/>
      <c r="BH407" s="216"/>
      <c r="BI407" s="216"/>
      <c r="BJ407" s="216"/>
      <c r="BK407" s="216"/>
      <c r="BL407" s="216"/>
      <c r="BM407" s="216"/>
      <c r="BN407" s="216"/>
      <c r="BO407" s="216"/>
      <c r="BP407" s="216"/>
      <c r="BQ407" s="216"/>
      <c r="BR407" s="216"/>
      <c r="BS407" s="216"/>
      <c r="BT407" s="216"/>
      <c r="BU407" s="216"/>
      <c r="BV407" s="216"/>
      <c r="BW407" s="216"/>
      <c r="BX407" s="216"/>
      <c r="BY407" s="216"/>
      <c r="BZ407" s="216"/>
      <c r="CA407" s="216"/>
      <c r="CB407" s="216"/>
      <c r="CC407" s="216"/>
      <c r="CD407" s="216"/>
      <c r="CE407" s="216"/>
      <c r="CF407" s="216"/>
      <c r="CG407" s="216"/>
      <c r="CH407" s="216"/>
      <c r="CI407" s="216"/>
      <c r="CJ407" s="216"/>
      <c r="CK407" s="216"/>
      <c r="CL407" s="216"/>
      <c r="CM407" s="216"/>
      <c r="CN407" s="216"/>
      <c r="CO407" s="216"/>
      <c r="CP407" s="216"/>
      <c r="CQ407" s="216"/>
      <c r="CR407" s="216"/>
      <c r="CS407" s="216"/>
      <c r="CT407" s="216"/>
      <c r="CU407" s="216"/>
      <c r="CV407" s="216"/>
      <c r="CW407" s="216"/>
      <c r="CX407" s="216"/>
      <c r="CY407" s="216"/>
    </row>
    <row r="408" spans="1:103" ht="12.75" x14ac:dyDescent="0.2">
      <c r="A408" s="214"/>
      <c r="B408" s="214"/>
      <c r="C408" s="214"/>
      <c r="D408" s="214"/>
      <c r="E408" s="214"/>
      <c r="F408" s="214"/>
      <c r="G408" s="214"/>
      <c r="H408" s="214"/>
      <c r="I408" s="214"/>
      <c r="J408" s="214"/>
      <c r="K408" s="214"/>
      <c r="L408" s="214"/>
      <c r="M408" s="214"/>
      <c r="N408" s="215"/>
      <c r="O408" s="215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16"/>
      <c r="AN408" s="216"/>
      <c r="AO408" s="216"/>
      <c r="AP408" s="216"/>
      <c r="AQ408" s="216"/>
      <c r="AR408" s="216"/>
      <c r="AS408" s="216"/>
      <c r="AT408" s="216"/>
      <c r="AU408" s="216"/>
      <c r="AV408" s="216"/>
      <c r="AW408" s="216"/>
      <c r="AX408" s="216"/>
      <c r="AY408" s="216"/>
      <c r="AZ408" s="216"/>
      <c r="BA408" s="216"/>
      <c r="BB408" s="216"/>
      <c r="BC408" s="216"/>
      <c r="BD408" s="216"/>
      <c r="BE408" s="216"/>
      <c r="BF408" s="216"/>
      <c r="BG408" s="216"/>
      <c r="BH408" s="216"/>
      <c r="BI408" s="216"/>
      <c r="BJ408" s="216"/>
      <c r="BK408" s="216"/>
      <c r="BL408" s="216"/>
      <c r="BM408" s="216"/>
      <c r="BN408" s="216"/>
      <c r="BO408" s="216"/>
      <c r="BP408" s="216"/>
      <c r="BQ408" s="216"/>
      <c r="BR408" s="216"/>
      <c r="BS408" s="216"/>
      <c r="BT408" s="216"/>
      <c r="BU408" s="216"/>
      <c r="BV408" s="216"/>
      <c r="BW408" s="216"/>
      <c r="BX408" s="216"/>
      <c r="BY408" s="216"/>
      <c r="BZ408" s="216"/>
      <c r="CA408" s="216"/>
      <c r="CB408" s="216"/>
      <c r="CC408" s="216"/>
      <c r="CD408" s="216"/>
      <c r="CE408" s="216"/>
      <c r="CF408" s="216"/>
      <c r="CG408" s="216"/>
      <c r="CH408" s="216"/>
      <c r="CI408" s="216"/>
      <c r="CJ408" s="216"/>
      <c r="CK408" s="216"/>
      <c r="CL408" s="216"/>
      <c r="CM408" s="216"/>
      <c r="CN408" s="216"/>
      <c r="CO408" s="216"/>
      <c r="CP408" s="216"/>
      <c r="CQ408" s="216"/>
      <c r="CR408" s="216"/>
      <c r="CS408" s="216"/>
      <c r="CT408" s="216"/>
      <c r="CU408" s="216"/>
      <c r="CV408" s="216"/>
      <c r="CW408" s="216"/>
      <c r="CX408" s="216"/>
      <c r="CY408" s="216"/>
    </row>
    <row r="409" spans="1:103" ht="12.75" x14ac:dyDescent="0.2">
      <c r="A409" s="214"/>
      <c r="B409" s="214"/>
      <c r="C409" s="214"/>
      <c r="D409" s="214"/>
      <c r="E409" s="214"/>
      <c r="F409" s="214"/>
      <c r="G409" s="214"/>
      <c r="H409" s="214"/>
      <c r="I409" s="214"/>
      <c r="J409" s="214"/>
      <c r="K409" s="214"/>
      <c r="L409" s="214"/>
      <c r="M409" s="214"/>
      <c r="N409" s="215"/>
      <c r="O409" s="215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/>
      <c r="AU409" s="216"/>
      <c r="AV409" s="216"/>
      <c r="AW409" s="216"/>
      <c r="AX409" s="216"/>
      <c r="AY409" s="216"/>
      <c r="AZ409" s="216"/>
      <c r="BA409" s="216"/>
      <c r="BB409" s="216"/>
      <c r="BC409" s="216"/>
      <c r="BD409" s="216"/>
      <c r="BE409" s="216"/>
      <c r="BF409" s="216"/>
      <c r="BG409" s="216"/>
      <c r="BH409" s="216"/>
      <c r="BI409" s="216"/>
      <c r="BJ409" s="216"/>
      <c r="BK409" s="216"/>
      <c r="BL409" s="216"/>
      <c r="BM409" s="216"/>
      <c r="BN409" s="216"/>
      <c r="BO409" s="216"/>
      <c r="BP409" s="216"/>
      <c r="BQ409" s="216"/>
      <c r="BR409" s="216"/>
      <c r="BS409" s="216"/>
      <c r="BT409" s="216"/>
      <c r="BU409" s="216"/>
      <c r="BV409" s="216"/>
      <c r="BW409" s="216"/>
      <c r="BX409" s="216"/>
      <c r="BY409" s="216"/>
      <c r="BZ409" s="216"/>
      <c r="CA409" s="216"/>
      <c r="CB409" s="216"/>
      <c r="CC409" s="216"/>
      <c r="CD409" s="216"/>
      <c r="CE409" s="216"/>
      <c r="CF409" s="216"/>
      <c r="CG409" s="216"/>
      <c r="CH409" s="216"/>
      <c r="CI409" s="216"/>
      <c r="CJ409" s="216"/>
      <c r="CK409" s="216"/>
      <c r="CL409" s="216"/>
      <c r="CM409" s="216"/>
      <c r="CN409" s="216"/>
      <c r="CO409" s="216"/>
      <c r="CP409" s="216"/>
      <c r="CQ409" s="216"/>
      <c r="CR409" s="216"/>
      <c r="CS409" s="216"/>
      <c r="CT409" s="216"/>
      <c r="CU409" s="216"/>
      <c r="CV409" s="216"/>
      <c r="CW409" s="216"/>
      <c r="CX409" s="216"/>
      <c r="CY409" s="216"/>
    </row>
    <row r="410" spans="1:103" ht="12.75" x14ac:dyDescent="0.2">
      <c r="A410" s="214"/>
      <c r="B410" s="214"/>
      <c r="C410" s="214"/>
      <c r="D410" s="214"/>
      <c r="E410" s="214"/>
      <c r="F410" s="214"/>
      <c r="G410" s="214"/>
      <c r="H410" s="214"/>
      <c r="I410" s="214"/>
      <c r="J410" s="214"/>
      <c r="K410" s="214"/>
      <c r="L410" s="214"/>
      <c r="M410" s="214"/>
      <c r="N410" s="215"/>
      <c r="O410" s="215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16"/>
      <c r="AN410" s="216"/>
      <c r="AO410" s="216"/>
      <c r="AP410" s="216"/>
      <c r="AQ410" s="216"/>
      <c r="AR410" s="216"/>
      <c r="AS410" s="216"/>
      <c r="AT410" s="216"/>
      <c r="AU410" s="216"/>
      <c r="AV410" s="216"/>
      <c r="AW410" s="216"/>
      <c r="AX410" s="216"/>
      <c r="AY410" s="216"/>
      <c r="AZ410" s="216"/>
      <c r="BA410" s="216"/>
      <c r="BB410" s="216"/>
      <c r="BC410" s="216"/>
      <c r="BD410" s="216"/>
      <c r="BE410" s="216"/>
      <c r="BF410" s="216"/>
      <c r="BG410" s="216"/>
      <c r="BH410" s="216"/>
      <c r="BI410" s="216"/>
      <c r="BJ410" s="216"/>
      <c r="BK410" s="216"/>
      <c r="BL410" s="216"/>
      <c r="BM410" s="216"/>
      <c r="BN410" s="216"/>
      <c r="BO410" s="216"/>
      <c r="BP410" s="216"/>
      <c r="BQ410" s="216"/>
      <c r="BR410" s="216"/>
      <c r="BS410" s="216"/>
      <c r="BT410" s="216"/>
      <c r="BU410" s="216"/>
      <c r="BV410" s="216"/>
      <c r="BW410" s="216"/>
      <c r="BX410" s="216"/>
      <c r="BY410" s="216"/>
      <c r="BZ410" s="216"/>
      <c r="CA410" s="216"/>
      <c r="CB410" s="216"/>
      <c r="CC410" s="216"/>
      <c r="CD410" s="216"/>
      <c r="CE410" s="216"/>
      <c r="CF410" s="216"/>
      <c r="CG410" s="216"/>
      <c r="CH410" s="216"/>
      <c r="CI410" s="216"/>
      <c r="CJ410" s="216"/>
      <c r="CK410" s="216"/>
      <c r="CL410" s="216"/>
      <c r="CM410" s="216"/>
      <c r="CN410" s="216"/>
      <c r="CO410" s="216"/>
      <c r="CP410" s="216"/>
      <c r="CQ410" s="216"/>
      <c r="CR410" s="216"/>
      <c r="CS410" s="216"/>
      <c r="CT410" s="216"/>
      <c r="CU410" s="216"/>
      <c r="CV410" s="216"/>
      <c r="CW410" s="216"/>
      <c r="CX410" s="216"/>
      <c r="CY410" s="216"/>
    </row>
    <row r="411" spans="1:103" ht="12.75" x14ac:dyDescent="0.2">
      <c r="A411" s="214"/>
      <c r="B411" s="214"/>
      <c r="C411" s="214"/>
      <c r="D411" s="214"/>
      <c r="E411" s="214"/>
      <c r="F411" s="214"/>
      <c r="G411" s="214"/>
      <c r="H411" s="214"/>
      <c r="I411" s="214"/>
      <c r="J411" s="214"/>
      <c r="K411" s="214"/>
      <c r="L411" s="214"/>
      <c r="M411" s="214"/>
      <c r="N411" s="215"/>
      <c r="O411" s="215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  <c r="AU411" s="216"/>
      <c r="AV411" s="216"/>
      <c r="AW411" s="216"/>
      <c r="AX411" s="216"/>
      <c r="AY411" s="216"/>
      <c r="AZ411" s="216"/>
      <c r="BA411" s="216"/>
      <c r="BB411" s="216"/>
      <c r="BC411" s="216"/>
      <c r="BD411" s="216"/>
      <c r="BE411" s="216"/>
      <c r="BF411" s="216"/>
      <c r="BG411" s="216"/>
      <c r="BH411" s="216"/>
      <c r="BI411" s="216"/>
      <c r="BJ411" s="216"/>
      <c r="BK411" s="216"/>
      <c r="BL411" s="216"/>
      <c r="BM411" s="216"/>
      <c r="BN411" s="216"/>
      <c r="BO411" s="216"/>
      <c r="BP411" s="216"/>
      <c r="BQ411" s="216"/>
      <c r="BR411" s="216"/>
      <c r="BS411" s="216"/>
      <c r="BT411" s="216"/>
      <c r="BU411" s="216"/>
      <c r="BV411" s="216"/>
      <c r="BW411" s="216"/>
      <c r="BX411" s="216"/>
      <c r="BY411" s="216"/>
      <c r="BZ411" s="216"/>
      <c r="CA411" s="216"/>
      <c r="CB411" s="216"/>
      <c r="CC411" s="216"/>
      <c r="CD411" s="216"/>
      <c r="CE411" s="216"/>
      <c r="CF411" s="216"/>
      <c r="CG411" s="216"/>
      <c r="CH411" s="216"/>
      <c r="CI411" s="216"/>
      <c r="CJ411" s="216"/>
      <c r="CK411" s="216"/>
      <c r="CL411" s="216"/>
      <c r="CM411" s="216"/>
      <c r="CN411" s="216"/>
      <c r="CO411" s="216"/>
      <c r="CP411" s="216"/>
      <c r="CQ411" s="216"/>
      <c r="CR411" s="216"/>
      <c r="CS411" s="216"/>
      <c r="CT411" s="216"/>
      <c r="CU411" s="216"/>
      <c r="CV411" s="216"/>
      <c r="CW411" s="216"/>
      <c r="CX411" s="216"/>
      <c r="CY411" s="216"/>
    </row>
    <row r="412" spans="1:103" ht="12.75" x14ac:dyDescent="0.2">
      <c r="A412" s="214"/>
      <c r="B412" s="214"/>
      <c r="C412" s="214"/>
      <c r="D412" s="214"/>
      <c r="E412" s="214"/>
      <c r="F412" s="214"/>
      <c r="G412" s="214"/>
      <c r="H412" s="214"/>
      <c r="I412" s="214"/>
      <c r="J412" s="214"/>
      <c r="K412" s="214"/>
      <c r="L412" s="214"/>
      <c r="M412" s="214"/>
      <c r="N412" s="215"/>
      <c r="O412" s="215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  <c r="BI412" s="216"/>
      <c r="BJ412" s="216"/>
      <c r="BK412" s="216"/>
      <c r="BL412" s="216"/>
      <c r="BM412" s="216"/>
      <c r="BN412" s="216"/>
      <c r="BO412" s="216"/>
      <c r="BP412" s="216"/>
      <c r="BQ412" s="216"/>
      <c r="BR412" s="216"/>
      <c r="BS412" s="216"/>
      <c r="BT412" s="216"/>
      <c r="BU412" s="216"/>
      <c r="BV412" s="216"/>
      <c r="BW412" s="216"/>
      <c r="BX412" s="216"/>
      <c r="BY412" s="216"/>
      <c r="BZ412" s="216"/>
      <c r="CA412" s="216"/>
      <c r="CB412" s="216"/>
      <c r="CC412" s="216"/>
      <c r="CD412" s="216"/>
      <c r="CE412" s="216"/>
      <c r="CF412" s="216"/>
      <c r="CG412" s="216"/>
      <c r="CH412" s="216"/>
      <c r="CI412" s="216"/>
      <c r="CJ412" s="216"/>
      <c r="CK412" s="216"/>
      <c r="CL412" s="216"/>
      <c r="CM412" s="216"/>
      <c r="CN412" s="216"/>
      <c r="CO412" s="216"/>
      <c r="CP412" s="216"/>
      <c r="CQ412" s="216"/>
      <c r="CR412" s="216"/>
      <c r="CS412" s="216"/>
      <c r="CT412" s="216"/>
      <c r="CU412" s="216"/>
      <c r="CV412" s="216"/>
      <c r="CW412" s="216"/>
      <c r="CX412" s="216"/>
      <c r="CY412" s="216"/>
    </row>
    <row r="413" spans="1:103" ht="12.75" x14ac:dyDescent="0.2">
      <c r="A413" s="214"/>
      <c r="B413" s="214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/>
      <c r="M413" s="214"/>
      <c r="N413" s="215"/>
      <c r="O413" s="215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  <c r="BI413" s="216"/>
      <c r="BJ413" s="216"/>
      <c r="BK413" s="216"/>
      <c r="BL413" s="216"/>
      <c r="BM413" s="216"/>
      <c r="BN413" s="216"/>
      <c r="BO413" s="216"/>
      <c r="BP413" s="216"/>
      <c r="BQ413" s="216"/>
      <c r="BR413" s="216"/>
      <c r="BS413" s="216"/>
      <c r="BT413" s="216"/>
      <c r="BU413" s="216"/>
      <c r="BV413" s="216"/>
      <c r="BW413" s="216"/>
      <c r="BX413" s="216"/>
      <c r="BY413" s="216"/>
      <c r="BZ413" s="216"/>
      <c r="CA413" s="216"/>
      <c r="CB413" s="216"/>
      <c r="CC413" s="216"/>
      <c r="CD413" s="216"/>
      <c r="CE413" s="216"/>
      <c r="CF413" s="216"/>
      <c r="CG413" s="216"/>
      <c r="CH413" s="216"/>
      <c r="CI413" s="216"/>
      <c r="CJ413" s="216"/>
      <c r="CK413" s="216"/>
      <c r="CL413" s="216"/>
      <c r="CM413" s="216"/>
      <c r="CN413" s="216"/>
      <c r="CO413" s="216"/>
      <c r="CP413" s="216"/>
      <c r="CQ413" s="216"/>
      <c r="CR413" s="216"/>
      <c r="CS413" s="216"/>
      <c r="CT413" s="216"/>
      <c r="CU413" s="216"/>
      <c r="CV413" s="216"/>
      <c r="CW413" s="216"/>
      <c r="CX413" s="216"/>
      <c r="CY413" s="216"/>
    </row>
    <row r="414" spans="1:103" ht="12.75" x14ac:dyDescent="0.2">
      <c r="A414" s="214"/>
      <c r="B414" s="214"/>
      <c r="C414" s="214"/>
      <c r="D414" s="214"/>
      <c r="E414" s="214"/>
      <c r="F414" s="214"/>
      <c r="G414" s="214"/>
      <c r="H414" s="214"/>
      <c r="I414" s="214"/>
      <c r="J414" s="214"/>
      <c r="K414" s="214"/>
      <c r="L414" s="214"/>
      <c r="M414" s="214"/>
      <c r="N414" s="215"/>
      <c r="O414" s="215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  <c r="BI414" s="216"/>
      <c r="BJ414" s="216"/>
      <c r="BK414" s="216"/>
      <c r="BL414" s="216"/>
      <c r="BM414" s="216"/>
      <c r="BN414" s="216"/>
      <c r="BO414" s="216"/>
      <c r="BP414" s="216"/>
      <c r="BQ414" s="216"/>
      <c r="BR414" s="216"/>
      <c r="BS414" s="216"/>
      <c r="BT414" s="216"/>
      <c r="BU414" s="216"/>
      <c r="BV414" s="216"/>
      <c r="BW414" s="216"/>
      <c r="BX414" s="216"/>
      <c r="BY414" s="216"/>
      <c r="BZ414" s="216"/>
      <c r="CA414" s="216"/>
      <c r="CB414" s="216"/>
      <c r="CC414" s="216"/>
      <c r="CD414" s="216"/>
      <c r="CE414" s="216"/>
      <c r="CF414" s="216"/>
      <c r="CG414" s="216"/>
      <c r="CH414" s="216"/>
      <c r="CI414" s="216"/>
      <c r="CJ414" s="216"/>
      <c r="CK414" s="216"/>
      <c r="CL414" s="216"/>
      <c r="CM414" s="216"/>
      <c r="CN414" s="216"/>
      <c r="CO414" s="216"/>
      <c r="CP414" s="216"/>
      <c r="CQ414" s="216"/>
      <c r="CR414" s="216"/>
      <c r="CS414" s="216"/>
      <c r="CT414" s="216"/>
      <c r="CU414" s="216"/>
      <c r="CV414" s="216"/>
      <c r="CW414" s="216"/>
      <c r="CX414" s="216"/>
      <c r="CY414" s="216"/>
    </row>
    <row r="415" spans="1:103" ht="12.75" x14ac:dyDescent="0.2">
      <c r="A415" s="214"/>
      <c r="B415" s="214"/>
      <c r="C415" s="214"/>
      <c r="D415" s="214"/>
      <c r="E415" s="214"/>
      <c r="F415" s="214"/>
      <c r="G415" s="214"/>
      <c r="H415" s="214"/>
      <c r="I415" s="214"/>
      <c r="J415" s="214"/>
      <c r="K415" s="214"/>
      <c r="L415" s="214"/>
      <c r="M415" s="214"/>
      <c r="N415" s="215"/>
      <c r="O415" s="215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  <c r="BI415" s="216"/>
      <c r="BJ415" s="216"/>
      <c r="BK415" s="216"/>
      <c r="BL415" s="216"/>
      <c r="BM415" s="216"/>
      <c r="BN415" s="216"/>
      <c r="BO415" s="216"/>
      <c r="BP415" s="216"/>
      <c r="BQ415" s="216"/>
      <c r="BR415" s="216"/>
      <c r="BS415" s="216"/>
      <c r="BT415" s="216"/>
      <c r="BU415" s="216"/>
      <c r="BV415" s="216"/>
      <c r="BW415" s="216"/>
      <c r="BX415" s="216"/>
      <c r="BY415" s="216"/>
      <c r="BZ415" s="216"/>
      <c r="CA415" s="216"/>
      <c r="CB415" s="216"/>
      <c r="CC415" s="216"/>
      <c r="CD415" s="216"/>
      <c r="CE415" s="216"/>
      <c r="CF415" s="216"/>
      <c r="CG415" s="216"/>
      <c r="CH415" s="216"/>
      <c r="CI415" s="216"/>
      <c r="CJ415" s="216"/>
      <c r="CK415" s="216"/>
      <c r="CL415" s="216"/>
      <c r="CM415" s="216"/>
      <c r="CN415" s="216"/>
      <c r="CO415" s="216"/>
      <c r="CP415" s="216"/>
      <c r="CQ415" s="216"/>
      <c r="CR415" s="216"/>
      <c r="CS415" s="216"/>
      <c r="CT415" s="216"/>
      <c r="CU415" s="216"/>
      <c r="CV415" s="216"/>
      <c r="CW415" s="216"/>
      <c r="CX415" s="216"/>
      <c r="CY415" s="216"/>
    </row>
    <row r="416" spans="1:103" ht="12.75" x14ac:dyDescent="0.2">
      <c r="A416" s="214"/>
      <c r="B416" s="214"/>
      <c r="C416" s="214"/>
      <c r="D416" s="214"/>
      <c r="E416" s="214"/>
      <c r="F416" s="214"/>
      <c r="G416" s="214"/>
      <c r="H416" s="214"/>
      <c r="I416" s="214"/>
      <c r="J416" s="214"/>
      <c r="K416" s="214"/>
      <c r="L416" s="214"/>
      <c r="M416" s="214"/>
      <c r="N416" s="215"/>
      <c r="O416" s="215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  <c r="BI416" s="216"/>
      <c r="BJ416" s="216"/>
      <c r="BK416" s="216"/>
      <c r="BL416" s="216"/>
      <c r="BM416" s="216"/>
      <c r="BN416" s="216"/>
      <c r="BO416" s="216"/>
      <c r="BP416" s="216"/>
      <c r="BQ416" s="216"/>
      <c r="BR416" s="216"/>
      <c r="BS416" s="216"/>
      <c r="BT416" s="216"/>
      <c r="BU416" s="216"/>
      <c r="BV416" s="216"/>
      <c r="BW416" s="216"/>
      <c r="BX416" s="216"/>
      <c r="BY416" s="216"/>
      <c r="BZ416" s="216"/>
      <c r="CA416" s="216"/>
      <c r="CB416" s="216"/>
      <c r="CC416" s="216"/>
      <c r="CD416" s="216"/>
      <c r="CE416" s="216"/>
      <c r="CF416" s="216"/>
      <c r="CG416" s="216"/>
      <c r="CH416" s="216"/>
      <c r="CI416" s="216"/>
      <c r="CJ416" s="216"/>
      <c r="CK416" s="216"/>
      <c r="CL416" s="216"/>
      <c r="CM416" s="216"/>
      <c r="CN416" s="216"/>
      <c r="CO416" s="216"/>
      <c r="CP416" s="216"/>
      <c r="CQ416" s="216"/>
      <c r="CR416" s="216"/>
      <c r="CS416" s="216"/>
      <c r="CT416" s="216"/>
      <c r="CU416" s="216"/>
      <c r="CV416" s="216"/>
      <c r="CW416" s="216"/>
      <c r="CX416" s="216"/>
      <c r="CY416" s="216"/>
    </row>
    <row r="417" spans="1:103" ht="12.75" x14ac:dyDescent="0.2">
      <c r="A417" s="214"/>
      <c r="B417" s="214"/>
      <c r="C417" s="214"/>
      <c r="D417" s="214"/>
      <c r="E417" s="214"/>
      <c r="F417" s="214"/>
      <c r="G417" s="214"/>
      <c r="H417" s="214"/>
      <c r="I417" s="214"/>
      <c r="J417" s="214"/>
      <c r="K417" s="214"/>
      <c r="L417" s="214"/>
      <c r="M417" s="214"/>
      <c r="N417" s="215"/>
      <c r="O417" s="215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  <c r="AU417" s="216"/>
      <c r="AV417" s="216"/>
      <c r="AW417" s="216"/>
      <c r="AX417" s="216"/>
      <c r="AY417" s="216"/>
      <c r="AZ417" s="216"/>
      <c r="BA417" s="216"/>
      <c r="BB417" s="216"/>
      <c r="BC417" s="216"/>
      <c r="BD417" s="216"/>
      <c r="BE417" s="216"/>
      <c r="BF417" s="216"/>
      <c r="BG417" s="216"/>
      <c r="BH417" s="216"/>
      <c r="BI417" s="216"/>
      <c r="BJ417" s="216"/>
      <c r="BK417" s="216"/>
      <c r="BL417" s="216"/>
      <c r="BM417" s="216"/>
      <c r="BN417" s="216"/>
      <c r="BO417" s="216"/>
      <c r="BP417" s="216"/>
      <c r="BQ417" s="216"/>
      <c r="BR417" s="216"/>
      <c r="BS417" s="216"/>
      <c r="BT417" s="216"/>
      <c r="BU417" s="216"/>
      <c r="BV417" s="216"/>
      <c r="BW417" s="216"/>
      <c r="BX417" s="216"/>
      <c r="BY417" s="216"/>
      <c r="BZ417" s="216"/>
      <c r="CA417" s="216"/>
      <c r="CB417" s="216"/>
      <c r="CC417" s="216"/>
      <c r="CD417" s="216"/>
      <c r="CE417" s="216"/>
      <c r="CF417" s="216"/>
      <c r="CG417" s="216"/>
      <c r="CH417" s="216"/>
      <c r="CI417" s="216"/>
      <c r="CJ417" s="216"/>
      <c r="CK417" s="216"/>
      <c r="CL417" s="216"/>
      <c r="CM417" s="216"/>
      <c r="CN417" s="216"/>
      <c r="CO417" s="216"/>
      <c r="CP417" s="216"/>
      <c r="CQ417" s="216"/>
      <c r="CR417" s="216"/>
      <c r="CS417" s="216"/>
      <c r="CT417" s="216"/>
      <c r="CU417" s="216"/>
      <c r="CV417" s="216"/>
      <c r="CW417" s="216"/>
      <c r="CX417" s="216"/>
      <c r="CY417" s="216"/>
    </row>
    <row r="418" spans="1:103" ht="12.75" x14ac:dyDescent="0.2">
      <c r="A418" s="214"/>
      <c r="B418" s="214"/>
      <c r="C418" s="214"/>
      <c r="D418" s="214"/>
      <c r="E418" s="214"/>
      <c r="F418" s="214"/>
      <c r="G418" s="214"/>
      <c r="H418" s="214"/>
      <c r="I418" s="214"/>
      <c r="J418" s="214"/>
      <c r="K418" s="214"/>
      <c r="L418" s="214"/>
      <c r="M418" s="214"/>
      <c r="N418" s="215"/>
      <c r="O418" s="215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  <c r="BI418" s="216"/>
      <c r="BJ418" s="216"/>
      <c r="BK418" s="216"/>
      <c r="BL418" s="216"/>
      <c r="BM418" s="216"/>
      <c r="BN418" s="216"/>
      <c r="BO418" s="216"/>
      <c r="BP418" s="216"/>
      <c r="BQ418" s="216"/>
      <c r="BR418" s="216"/>
      <c r="BS418" s="216"/>
      <c r="BT418" s="216"/>
      <c r="BU418" s="216"/>
      <c r="BV418" s="216"/>
      <c r="BW418" s="216"/>
      <c r="BX418" s="216"/>
      <c r="BY418" s="216"/>
      <c r="BZ418" s="216"/>
      <c r="CA418" s="216"/>
      <c r="CB418" s="216"/>
      <c r="CC418" s="216"/>
      <c r="CD418" s="216"/>
      <c r="CE418" s="216"/>
      <c r="CF418" s="216"/>
      <c r="CG418" s="216"/>
      <c r="CH418" s="216"/>
      <c r="CI418" s="216"/>
      <c r="CJ418" s="216"/>
      <c r="CK418" s="216"/>
      <c r="CL418" s="216"/>
      <c r="CM418" s="216"/>
      <c r="CN418" s="216"/>
      <c r="CO418" s="216"/>
      <c r="CP418" s="216"/>
      <c r="CQ418" s="216"/>
      <c r="CR418" s="216"/>
      <c r="CS418" s="216"/>
      <c r="CT418" s="216"/>
      <c r="CU418" s="216"/>
      <c r="CV418" s="216"/>
      <c r="CW418" s="216"/>
      <c r="CX418" s="216"/>
      <c r="CY418" s="216"/>
    </row>
    <row r="419" spans="1:103" ht="12.75" x14ac:dyDescent="0.2">
      <c r="A419" s="214"/>
      <c r="B419" s="214"/>
      <c r="C419" s="214"/>
      <c r="D419" s="214"/>
      <c r="E419" s="214"/>
      <c r="F419" s="214"/>
      <c r="G419" s="214"/>
      <c r="H419" s="214"/>
      <c r="I419" s="214"/>
      <c r="J419" s="214"/>
      <c r="K419" s="214"/>
      <c r="L419" s="214"/>
      <c r="M419" s="214"/>
      <c r="N419" s="215"/>
      <c r="O419" s="215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6"/>
      <c r="AX419" s="216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  <c r="BI419" s="216"/>
      <c r="BJ419" s="216"/>
      <c r="BK419" s="216"/>
      <c r="BL419" s="216"/>
      <c r="BM419" s="216"/>
      <c r="BN419" s="216"/>
      <c r="BO419" s="216"/>
      <c r="BP419" s="216"/>
      <c r="BQ419" s="216"/>
      <c r="BR419" s="216"/>
      <c r="BS419" s="216"/>
      <c r="BT419" s="216"/>
      <c r="BU419" s="216"/>
      <c r="BV419" s="216"/>
      <c r="BW419" s="216"/>
      <c r="BX419" s="216"/>
      <c r="BY419" s="216"/>
      <c r="BZ419" s="216"/>
      <c r="CA419" s="216"/>
      <c r="CB419" s="216"/>
      <c r="CC419" s="216"/>
      <c r="CD419" s="216"/>
      <c r="CE419" s="216"/>
      <c r="CF419" s="216"/>
      <c r="CG419" s="216"/>
      <c r="CH419" s="216"/>
      <c r="CI419" s="216"/>
      <c r="CJ419" s="216"/>
      <c r="CK419" s="216"/>
      <c r="CL419" s="216"/>
      <c r="CM419" s="216"/>
      <c r="CN419" s="216"/>
      <c r="CO419" s="216"/>
      <c r="CP419" s="216"/>
      <c r="CQ419" s="216"/>
      <c r="CR419" s="216"/>
      <c r="CS419" s="216"/>
      <c r="CT419" s="216"/>
      <c r="CU419" s="216"/>
      <c r="CV419" s="216"/>
      <c r="CW419" s="216"/>
      <c r="CX419" s="216"/>
      <c r="CY419" s="216"/>
    </row>
    <row r="420" spans="1:103" ht="12.75" x14ac:dyDescent="0.2">
      <c r="A420" s="214"/>
      <c r="B420" s="214"/>
      <c r="C420" s="214"/>
      <c r="D420" s="214"/>
      <c r="E420" s="214"/>
      <c r="F420" s="214"/>
      <c r="G420" s="214"/>
      <c r="H420" s="214"/>
      <c r="I420" s="214"/>
      <c r="J420" s="214"/>
      <c r="K420" s="214"/>
      <c r="L420" s="214"/>
      <c r="M420" s="214"/>
      <c r="N420" s="215"/>
      <c r="O420" s="215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16"/>
      <c r="AN420" s="216"/>
      <c r="AO420" s="216"/>
      <c r="AP420" s="216"/>
      <c r="AQ420" s="216"/>
      <c r="AR420" s="216"/>
      <c r="AS420" s="216"/>
      <c r="AT420" s="216"/>
      <c r="AU420" s="216"/>
      <c r="AV420" s="216"/>
      <c r="AW420" s="216"/>
      <c r="AX420" s="216"/>
      <c r="AY420" s="216"/>
      <c r="AZ420" s="216"/>
      <c r="BA420" s="216"/>
      <c r="BB420" s="216"/>
      <c r="BC420" s="216"/>
      <c r="BD420" s="216"/>
      <c r="BE420" s="216"/>
      <c r="BF420" s="216"/>
      <c r="BG420" s="216"/>
      <c r="BH420" s="216"/>
      <c r="BI420" s="216"/>
      <c r="BJ420" s="216"/>
      <c r="BK420" s="216"/>
      <c r="BL420" s="216"/>
      <c r="BM420" s="216"/>
      <c r="BN420" s="216"/>
      <c r="BO420" s="216"/>
      <c r="BP420" s="216"/>
      <c r="BQ420" s="216"/>
      <c r="BR420" s="216"/>
      <c r="BS420" s="216"/>
      <c r="BT420" s="216"/>
      <c r="BU420" s="216"/>
      <c r="BV420" s="216"/>
      <c r="BW420" s="216"/>
      <c r="BX420" s="216"/>
      <c r="BY420" s="216"/>
      <c r="BZ420" s="216"/>
      <c r="CA420" s="216"/>
      <c r="CB420" s="216"/>
      <c r="CC420" s="216"/>
      <c r="CD420" s="216"/>
      <c r="CE420" s="216"/>
      <c r="CF420" s="216"/>
      <c r="CG420" s="216"/>
      <c r="CH420" s="216"/>
      <c r="CI420" s="216"/>
      <c r="CJ420" s="216"/>
      <c r="CK420" s="216"/>
      <c r="CL420" s="216"/>
      <c r="CM420" s="216"/>
      <c r="CN420" s="216"/>
      <c r="CO420" s="216"/>
      <c r="CP420" s="216"/>
      <c r="CQ420" s="216"/>
      <c r="CR420" s="216"/>
      <c r="CS420" s="216"/>
      <c r="CT420" s="216"/>
      <c r="CU420" s="216"/>
      <c r="CV420" s="216"/>
      <c r="CW420" s="216"/>
      <c r="CX420" s="216"/>
      <c r="CY420" s="216"/>
    </row>
    <row r="421" spans="1:103" ht="12.75" x14ac:dyDescent="0.2">
      <c r="A421" s="214"/>
      <c r="B421" s="214"/>
      <c r="C421" s="214"/>
      <c r="D421" s="214"/>
      <c r="E421" s="214"/>
      <c r="F421" s="214"/>
      <c r="G421" s="214"/>
      <c r="H421" s="214"/>
      <c r="I421" s="214"/>
      <c r="J421" s="214"/>
      <c r="K421" s="214"/>
      <c r="L421" s="214"/>
      <c r="M421" s="214"/>
      <c r="N421" s="215"/>
      <c r="O421" s="215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216"/>
      <c r="AR421" s="216"/>
      <c r="AS421" s="216"/>
      <c r="AT421" s="216"/>
      <c r="AU421" s="216"/>
      <c r="AV421" s="216"/>
      <c r="AW421" s="216"/>
      <c r="AX421" s="216"/>
      <c r="AY421" s="216"/>
      <c r="AZ421" s="216"/>
      <c r="BA421" s="216"/>
      <c r="BB421" s="216"/>
      <c r="BC421" s="216"/>
      <c r="BD421" s="216"/>
      <c r="BE421" s="216"/>
      <c r="BF421" s="216"/>
      <c r="BG421" s="216"/>
      <c r="BH421" s="216"/>
      <c r="BI421" s="216"/>
      <c r="BJ421" s="216"/>
      <c r="BK421" s="216"/>
      <c r="BL421" s="216"/>
      <c r="BM421" s="216"/>
      <c r="BN421" s="216"/>
      <c r="BO421" s="216"/>
      <c r="BP421" s="216"/>
      <c r="BQ421" s="216"/>
      <c r="BR421" s="216"/>
      <c r="BS421" s="216"/>
      <c r="BT421" s="216"/>
      <c r="BU421" s="216"/>
      <c r="BV421" s="216"/>
      <c r="BW421" s="216"/>
      <c r="BX421" s="216"/>
      <c r="BY421" s="216"/>
      <c r="BZ421" s="216"/>
      <c r="CA421" s="216"/>
      <c r="CB421" s="216"/>
      <c r="CC421" s="216"/>
      <c r="CD421" s="216"/>
      <c r="CE421" s="216"/>
      <c r="CF421" s="216"/>
      <c r="CG421" s="216"/>
      <c r="CH421" s="216"/>
      <c r="CI421" s="216"/>
      <c r="CJ421" s="216"/>
      <c r="CK421" s="216"/>
      <c r="CL421" s="216"/>
      <c r="CM421" s="216"/>
      <c r="CN421" s="216"/>
      <c r="CO421" s="216"/>
      <c r="CP421" s="216"/>
      <c r="CQ421" s="216"/>
      <c r="CR421" s="216"/>
      <c r="CS421" s="216"/>
      <c r="CT421" s="216"/>
      <c r="CU421" s="216"/>
      <c r="CV421" s="216"/>
      <c r="CW421" s="216"/>
      <c r="CX421" s="216"/>
      <c r="CY421" s="216"/>
    </row>
    <row r="422" spans="1:103" ht="12.75" x14ac:dyDescent="0.2">
      <c r="A422" s="214"/>
      <c r="B422" s="214"/>
      <c r="C422" s="214"/>
      <c r="D422" s="214"/>
      <c r="E422" s="214"/>
      <c r="F422" s="214"/>
      <c r="G422" s="214"/>
      <c r="H422" s="214"/>
      <c r="I422" s="214"/>
      <c r="J422" s="214"/>
      <c r="K422" s="214"/>
      <c r="L422" s="214"/>
      <c r="M422" s="214"/>
      <c r="N422" s="215"/>
      <c r="O422" s="215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16"/>
      <c r="AN422" s="216"/>
      <c r="AO422" s="216"/>
      <c r="AP422" s="216"/>
      <c r="AQ422" s="216"/>
      <c r="AR422" s="216"/>
      <c r="AS422" s="216"/>
      <c r="AT422" s="216"/>
      <c r="AU422" s="216"/>
      <c r="AV422" s="216"/>
      <c r="AW422" s="216"/>
      <c r="AX422" s="216"/>
      <c r="AY422" s="216"/>
      <c r="AZ422" s="216"/>
      <c r="BA422" s="216"/>
      <c r="BB422" s="216"/>
      <c r="BC422" s="216"/>
      <c r="BD422" s="216"/>
      <c r="BE422" s="216"/>
      <c r="BF422" s="216"/>
      <c r="BG422" s="216"/>
      <c r="BH422" s="216"/>
      <c r="BI422" s="216"/>
      <c r="BJ422" s="216"/>
      <c r="BK422" s="216"/>
      <c r="BL422" s="216"/>
      <c r="BM422" s="216"/>
      <c r="BN422" s="216"/>
      <c r="BO422" s="216"/>
      <c r="BP422" s="216"/>
      <c r="BQ422" s="216"/>
      <c r="BR422" s="216"/>
      <c r="BS422" s="216"/>
      <c r="BT422" s="216"/>
      <c r="BU422" s="216"/>
      <c r="BV422" s="216"/>
      <c r="BW422" s="216"/>
      <c r="BX422" s="216"/>
      <c r="BY422" s="216"/>
      <c r="BZ422" s="216"/>
      <c r="CA422" s="216"/>
      <c r="CB422" s="216"/>
      <c r="CC422" s="216"/>
      <c r="CD422" s="216"/>
      <c r="CE422" s="216"/>
      <c r="CF422" s="216"/>
      <c r="CG422" s="216"/>
      <c r="CH422" s="216"/>
      <c r="CI422" s="216"/>
      <c r="CJ422" s="216"/>
      <c r="CK422" s="216"/>
      <c r="CL422" s="216"/>
      <c r="CM422" s="216"/>
      <c r="CN422" s="216"/>
      <c r="CO422" s="216"/>
      <c r="CP422" s="216"/>
      <c r="CQ422" s="216"/>
      <c r="CR422" s="216"/>
      <c r="CS422" s="216"/>
      <c r="CT422" s="216"/>
      <c r="CU422" s="216"/>
      <c r="CV422" s="216"/>
      <c r="CW422" s="216"/>
      <c r="CX422" s="216"/>
      <c r="CY422" s="216"/>
    </row>
    <row r="423" spans="1:103" ht="12.75" x14ac:dyDescent="0.2">
      <c r="A423" s="214"/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4"/>
      <c r="N423" s="215"/>
      <c r="O423" s="215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16"/>
      <c r="AN423" s="216"/>
      <c r="AO423" s="216"/>
      <c r="AP423" s="216"/>
      <c r="AQ423" s="216"/>
      <c r="AR423" s="216"/>
      <c r="AS423" s="216"/>
      <c r="AT423" s="216"/>
      <c r="AU423" s="216"/>
      <c r="AV423" s="216"/>
      <c r="AW423" s="216"/>
      <c r="AX423" s="216"/>
      <c r="AY423" s="216"/>
      <c r="AZ423" s="216"/>
      <c r="BA423" s="216"/>
      <c r="BB423" s="216"/>
      <c r="BC423" s="216"/>
      <c r="BD423" s="216"/>
      <c r="BE423" s="216"/>
      <c r="BF423" s="216"/>
      <c r="BG423" s="216"/>
      <c r="BH423" s="216"/>
      <c r="BI423" s="216"/>
      <c r="BJ423" s="216"/>
      <c r="BK423" s="216"/>
      <c r="BL423" s="216"/>
      <c r="BM423" s="216"/>
      <c r="BN423" s="216"/>
      <c r="BO423" s="216"/>
      <c r="BP423" s="216"/>
      <c r="BQ423" s="216"/>
      <c r="BR423" s="216"/>
      <c r="BS423" s="216"/>
      <c r="BT423" s="216"/>
      <c r="BU423" s="216"/>
      <c r="BV423" s="216"/>
      <c r="BW423" s="216"/>
      <c r="BX423" s="216"/>
      <c r="BY423" s="216"/>
      <c r="BZ423" s="216"/>
      <c r="CA423" s="216"/>
      <c r="CB423" s="216"/>
      <c r="CC423" s="216"/>
      <c r="CD423" s="216"/>
      <c r="CE423" s="216"/>
      <c r="CF423" s="216"/>
      <c r="CG423" s="216"/>
      <c r="CH423" s="216"/>
      <c r="CI423" s="216"/>
      <c r="CJ423" s="216"/>
      <c r="CK423" s="216"/>
      <c r="CL423" s="216"/>
      <c r="CM423" s="216"/>
      <c r="CN423" s="216"/>
      <c r="CO423" s="216"/>
      <c r="CP423" s="216"/>
      <c r="CQ423" s="216"/>
      <c r="CR423" s="216"/>
      <c r="CS423" s="216"/>
      <c r="CT423" s="216"/>
      <c r="CU423" s="216"/>
      <c r="CV423" s="216"/>
      <c r="CW423" s="216"/>
      <c r="CX423" s="216"/>
      <c r="CY423" s="216"/>
    </row>
    <row r="424" spans="1:103" ht="12.75" x14ac:dyDescent="0.2">
      <c r="A424" s="214"/>
      <c r="B424" s="214"/>
      <c r="C424" s="214"/>
      <c r="D424" s="214"/>
      <c r="E424" s="214"/>
      <c r="F424" s="214"/>
      <c r="G424" s="214"/>
      <c r="H424" s="214"/>
      <c r="I424" s="214"/>
      <c r="J424" s="214"/>
      <c r="K424" s="214"/>
      <c r="L424" s="214"/>
      <c r="M424" s="214"/>
      <c r="N424" s="215"/>
      <c r="O424" s="215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16"/>
      <c r="AN424" s="216"/>
      <c r="AO424" s="216"/>
      <c r="AP424" s="216"/>
      <c r="AQ424" s="216"/>
      <c r="AR424" s="216"/>
      <c r="AS424" s="216"/>
      <c r="AT424" s="216"/>
      <c r="AU424" s="216"/>
      <c r="AV424" s="216"/>
      <c r="AW424" s="216"/>
      <c r="AX424" s="216"/>
      <c r="AY424" s="216"/>
      <c r="AZ424" s="216"/>
      <c r="BA424" s="216"/>
      <c r="BB424" s="216"/>
      <c r="BC424" s="216"/>
      <c r="BD424" s="216"/>
      <c r="BE424" s="216"/>
      <c r="BF424" s="216"/>
      <c r="BG424" s="216"/>
      <c r="BH424" s="216"/>
      <c r="BI424" s="216"/>
      <c r="BJ424" s="216"/>
      <c r="BK424" s="216"/>
      <c r="BL424" s="216"/>
      <c r="BM424" s="216"/>
      <c r="BN424" s="216"/>
      <c r="BO424" s="216"/>
      <c r="BP424" s="216"/>
      <c r="BQ424" s="216"/>
      <c r="BR424" s="216"/>
      <c r="BS424" s="216"/>
      <c r="BT424" s="216"/>
      <c r="BU424" s="216"/>
      <c r="BV424" s="216"/>
      <c r="BW424" s="216"/>
      <c r="BX424" s="216"/>
      <c r="BY424" s="216"/>
      <c r="BZ424" s="216"/>
      <c r="CA424" s="216"/>
      <c r="CB424" s="216"/>
      <c r="CC424" s="216"/>
      <c r="CD424" s="216"/>
      <c r="CE424" s="216"/>
      <c r="CF424" s="216"/>
      <c r="CG424" s="216"/>
      <c r="CH424" s="216"/>
      <c r="CI424" s="216"/>
      <c r="CJ424" s="216"/>
      <c r="CK424" s="216"/>
      <c r="CL424" s="216"/>
      <c r="CM424" s="216"/>
      <c r="CN424" s="216"/>
      <c r="CO424" s="216"/>
      <c r="CP424" s="216"/>
      <c r="CQ424" s="216"/>
      <c r="CR424" s="216"/>
      <c r="CS424" s="216"/>
      <c r="CT424" s="216"/>
      <c r="CU424" s="216"/>
      <c r="CV424" s="216"/>
      <c r="CW424" s="216"/>
      <c r="CX424" s="216"/>
      <c r="CY424" s="216"/>
    </row>
    <row r="425" spans="1:103" ht="12.75" x14ac:dyDescent="0.2">
      <c r="A425" s="214"/>
      <c r="B425" s="214"/>
      <c r="C425" s="214"/>
      <c r="D425" s="214"/>
      <c r="E425" s="214"/>
      <c r="F425" s="214"/>
      <c r="G425" s="214"/>
      <c r="H425" s="214"/>
      <c r="I425" s="214"/>
      <c r="J425" s="214"/>
      <c r="K425" s="214"/>
      <c r="L425" s="214"/>
      <c r="M425" s="214"/>
      <c r="N425" s="215"/>
      <c r="O425" s="215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16"/>
      <c r="AN425" s="216"/>
      <c r="AO425" s="216"/>
      <c r="AP425" s="216"/>
      <c r="AQ425" s="216"/>
      <c r="AR425" s="216"/>
      <c r="AS425" s="216"/>
      <c r="AT425" s="216"/>
      <c r="AU425" s="216"/>
      <c r="AV425" s="216"/>
      <c r="AW425" s="216"/>
      <c r="AX425" s="216"/>
      <c r="AY425" s="216"/>
      <c r="AZ425" s="216"/>
      <c r="BA425" s="216"/>
      <c r="BB425" s="216"/>
      <c r="BC425" s="216"/>
      <c r="BD425" s="216"/>
      <c r="BE425" s="216"/>
      <c r="BF425" s="216"/>
      <c r="BG425" s="216"/>
      <c r="BH425" s="216"/>
      <c r="BI425" s="216"/>
      <c r="BJ425" s="216"/>
      <c r="BK425" s="216"/>
      <c r="BL425" s="216"/>
      <c r="BM425" s="216"/>
      <c r="BN425" s="216"/>
      <c r="BO425" s="216"/>
      <c r="BP425" s="216"/>
      <c r="BQ425" s="216"/>
      <c r="BR425" s="216"/>
      <c r="BS425" s="216"/>
      <c r="BT425" s="216"/>
      <c r="BU425" s="216"/>
      <c r="BV425" s="216"/>
      <c r="BW425" s="216"/>
      <c r="BX425" s="216"/>
      <c r="BY425" s="216"/>
      <c r="BZ425" s="216"/>
      <c r="CA425" s="216"/>
      <c r="CB425" s="216"/>
      <c r="CC425" s="216"/>
      <c r="CD425" s="216"/>
      <c r="CE425" s="216"/>
      <c r="CF425" s="216"/>
      <c r="CG425" s="216"/>
      <c r="CH425" s="216"/>
      <c r="CI425" s="216"/>
      <c r="CJ425" s="216"/>
      <c r="CK425" s="216"/>
      <c r="CL425" s="216"/>
      <c r="CM425" s="216"/>
      <c r="CN425" s="216"/>
      <c r="CO425" s="216"/>
      <c r="CP425" s="216"/>
      <c r="CQ425" s="216"/>
      <c r="CR425" s="216"/>
      <c r="CS425" s="216"/>
      <c r="CT425" s="216"/>
      <c r="CU425" s="216"/>
      <c r="CV425" s="216"/>
      <c r="CW425" s="216"/>
      <c r="CX425" s="216"/>
      <c r="CY425" s="216"/>
    </row>
    <row r="426" spans="1:103" ht="12.75" x14ac:dyDescent="0.2">
      <c r="A426" s="214"/>
      <c r="B426" s="214"/>
      <c r="C426" s="214"/>
      <c r="D426" s="214"/>
      <c r="E426" s="214"/>
      <c r="F426" s="214"/>
      <c r="G426" s="214"/>
      <c r="H426" s="214"/>
      <c r="I426" s="214"/>
      <c r="J426" s="214"/>
      <c r="K426" s="214"/>
      <c r="L426" s="214"/>
      <c r="M426" s="214"/>
      <c r="N426" s="215"/>
      <c r="O426" s="215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16"/>
      <c r="AN426" s="216"/>
      <c r="AO426" s="216"/>
      <c r="AP426" s="216"/>
      <c r="AQ426" s="216"/>
      <c r="AR426" s="216"/>
      <c r="AS426" s="216"/>
      <c r="AT426" s="216"/>
      <c r="AU426" s="216"/>
      <c r="AV426" s="216"/>
      <c r="AW426" s="216"/>
      <c r="AX426" s="216"/>
      <c r="AY426" s="216"/>
      <c r="AZ426" s="216"/>
      <c r="BA426" s="216"/>
      <c r="BB426" s="216"/>
      <c r="BC426" s="216"/>
      <c r="BD426" s="216"/>
      <c r="BE426" s="216"/>
      <c r="BF426" s="216"/>
      <c r="BG426" s="216"/>
      <c r="BH426" s="216"/>
      <c r="BI426" s="216"/>
      <c r="BJ426" s="216"/>
      <c r="BK426" s="216"/>
      <c r="BL426" s="216"/>
      <c r="BM426" s="216"/>
      <c r="BN426" s="216"/>
      <c r="BO426" s="216"/>
      <c r="BP426" s="216"/>
      <c r="BQ426" s="216"/>
      <c r="BR426" s="216"/>
      <c r="BS426" s="216"/>
      <c r="BT426" s="216"/>
      <c r="BU426" s="216"/>
      <c r="BV426" s="216"/>
      <c r="BW426" s="216"/>
      <c r="BX426" s="216"/>
      <c r="BY426" s="216"/>
      <c r="BZ426" s="216"/>
      <c r="CA426" s="216"/>
      <c r="CB426" s="216"/>
      <c r="CC426" s="216"/>
      <c r="CD426" s="216"/>
      <c r="CE426" s="216"/>
      <c r="CF426" s="216"/>
      <c r="CG426" s="216"/>
      <c r="CH426" s="216"/>
      <c r="CI426" s="216"/>
      <c r="CJ426" s="216"/>
      <c r="CK426" s="216"/>
      <c r="CL426" s="216"/>
      <c r="CM426" s="216"/>
      <c r="CN426" s="216"/>
      <c r="CO426" s="216"/>
      <c r="CP426" s="216"/>
      <c r="CQ426" s="216"/>
      <c r="CR426" s="216"/>
      <c r="CS426" s="216"/>
      <c r="CT426" s="216"/>
      <c r="CU426" s="216"/>
      <c r="CV426" s="216"/>
      <c r="CW426" s="216"/>
      <c r="CX426" s="216"/>
      <c r="CY426" s="216"/>
    </row>
    <row r="427" spans="1:103" ht="12.75" x14ac:dyDescent="0.2">
      <c r="A427" s="214"/>
      <c r="B427" s="214"/>
      <c r="C427" s="214"/>
      <c r="D427" s="214"/>
      <c r="E427" s="214"/>
      <c r="F427" s="214"/>
      <c r="G427" s="214"/>
      <c r="H427" s="214"/>
      <c r="I427" s="214"/>
      <c r="J427" s="214"/>
      <c r="K427" s="214"/>
      <c r="L427" s="214"/>
      <c r="M427" s="214"/>
      <c r="N427" s="215"/>
      <c r="O427" s="215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216"/>
      <c r="AS427" s="216"/>
      <c r="AT427" s="216"/>
      <c r="AU427" s="216"/>
      <c r="AV427" s="216"/>
      <c r="AW427" s="216"/>
      <c r="AX427" s="216"/>
      <c r="AY427" s="216"/>
      <c r="AZ427" s="216"/>
      <c r="BA427" s="216"/>
      <c r="BB427" s="216"/>
      <c r="BC427" s="216"/>
      <c r="BD427" s="216"/>
      <c r="BE427" s="216"/>
      <c r="BF427" s="216"/>
      <c r="BG427" s="216"/>
      <c r="BH427" s="216"/>
      <c r="BI427" s="216"/>
      <c r="BJ427" s="216"/>
      <c r="BK427" s="216"/>
      <c r="BL427" s="216"/>
      <c r="BM427" s="216"/>
      <c r="BN427" s="216"/>
      <c r="BO427" s="216"/>
      <c r="BP427" s="216"/>
      <c r="BQ427" s="216"/>
      <c r="BR427" s="216"/>
      <c r="BS427" s="216"/>
      <c r="BT427" s="216"/>
      <c r="BU427" s="216"/>
      <c r="BV427" s="216"/>
      <c r="BW427" s="216"/>
      <c r="BX427" s="216"/>
      <c r="BY427" s="216"/>
      <c r="BZ427" s="216"/>
      <c r="CA427" s="216"/>
      <c r="CB427" s="216"/>
      <c r="CC427" s="216"/>
      <c r="CD427" s="216"/>
      <c r="CE427" s="216"/>
      <c r="CF427" s="216"/>
      <c r="CG427" s="216"/>
      <c r="CH427" s="216"/>
      <c r="CI427" s="216"/>
      <c r="CJ427" s="216"/>
      <c r="CK427" s="216"/>
      <c r="CL427" s="216"/>
      <c r="CM427" s="216"/>
      <c r="CN427" s="216"/>
      <c r="CO427" s="216"/>
      <c r="CP427" s="216"/>
      <c r="CQ427" s="216"/>
      <c r="CR427" s="216"/>
      <c r="CS427" s="216"/>
      <c r="CT427" s="216"/>
      <c r="CU427" s="216"/>
      <c r="CV427" s="216"/>
      <c r="CW427" s="216"/>
      <c r="CX427" s="216"/>
      <c r="CY427" s="216"/>
    </row>
    <row r="428" spans="1:103" ht="12.75" x14ac:dyDescent="0.2">
      <c r="A428" s="214"/>
      <c r="B428" s="214"/>
      <c r="C428" s="214"/>
      <c r="D428" s="214"/>
      <c r="E428" s="214"/>
      <c r="F428" s="214"/>
      <c r="G428" s="214"/>
      <c r="H428" s="214"/>
      <c r="I428" s="214"/>
      <c r="J428" s="214"/>
      <c r="K428" s="214"/>
      <c r="L428" s="214"/>
      <c r="M428" s="214"/>
      <c r="N428" s="215"/>
      <c r="O428" s="215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216"/>
      <c r="AS428" s="216"/>
      <c r="AT428" s="216"/>
      <c r="AU428" s="216"/>
      <c r="AV428" s="216"/>
      <c r="AW428" s="216"/>
      <c r="AX428" s="216"/>
      <c r="AY428" s="216"/>
      <c r="AZ428" s="216"/>
      <c r="BA428" s="216"/>
      <c r="BB428" s="216"/>
      <c r="BC428" s="216"/>
      <c r="BD428" s="216"/>
      <c r="BE428" s="216"/>
      <c r="BF428" s="216"/>
      <c r="BG428" s="216"/>
      <c r="BH428" s="216"/>
      <c r="BI428" s="216"/>
      <c r="BJ428" s="216"/>
      <c r="BK428" s="216"/>
      <c r="BL428" s="216"/>
      <c r="BM428" s="216"/>
      <c r="BN428" s="216"/>
      <c r="BO428" s="216"/>
      <c r="BP428" s="216"/>
      <c r="BQ428" s="216"/>
      <c r="BR428" s="216"/>
      <c r="BS428" s="216"/>
      <c r="BT428" s="216"/>
      <c r="BU428" s="216"/>
      <c r="BV428" s="216"/>
      <c r="BW428" s="216"/>
      <c r="BX428" s="216"/>
      <c r="BY428" s="216"/>
      <c r="BZ428" s="216"/>
      <c r="CA428" s="216"/>
      <c r="CB428" s="216"/>
      <c r="CC428" s="216"/>
      <c r="CD428" s="216"/>
      <c r="CE428" s="216"/>
      <c r="CF428" s="216"/>
      <c r="CG428" s="216"/>
      <c r="CH428" s="216"/>
      <c r="CI428" s="216"/>
      <c r="CJ428" s="216"/>
      <c r="CK428" s="216"/>
      <c r="CL428" s="216"/>
      <c r="CM428" s="216"/>
      <c r="CN428" s="216"/>
      <c r="CO428" s="216"/>
      <c r="CP428" s="216"/>
      <c r="CQ428" s="216"/>
      <c r="CR428" s="216"/>
      <c r="CS428" s="216"/>
      <c r="CT428" s="216"/>
      <c r="CU428" s="216"/>
      <c r="CV428" s="216"/>
      <c r="CW428" s="216"/>
      <c r="CX428" s="216"/>
      <c r="CY428" s="216"/>
    </row>
    <row r="429" spans="1:103" ht="12.75" x14ac:dyDescent="0.2">
      <c r="A429" s="214"/>
      <c r="B429" s="214"/>
      <c r="C429" s="214"/>
      <c r="D429" s="214"/>
      <c r="E429" s="214"/>
      <c r="F429" s="214"/>
      <c r="G429" s="214"/>
      <c r="H429" s="214"/>
      <c r="I429" s="214"/>
      <c r="J429" s="214"/>
      <c r="K429" s="214"/>
      <c r="L429" s="214"/>
      <c r="M429" s="214"/>
      <c r="N429" s="215"/>
      <c r="O429" s="215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216"/>
      <c r="AS429" s="216"/>
      <c r="AT429" s="216"/>
      <c r="AU429" s="216"/>
      <c r="AV429" s="216"/>
      <c r="AW429" s="216"/>
      <c r="AX429" s="216"/>
      <c r="AY429" s="216"/>
      <c r="AZ429" s="216"/>
      <c r="BA429" s="216"/>
      <c r="BB429" s="216"/>
      <c r="BC429" s="216"/>
      <c r="BD429" s="216"/>
      <c r="BE429" s="216"/>
      <c r="BF429" s="216"/>
      <c r="BG429" s="216"/>
      <c r="BH429" s="216"/>
      <c r="BI429" s="216"/>
      <c r="BJ429" s="216"/>
      <c r="BK429" s="216"/>
      <c r="BL429" s="216"/>
      <c r="BM429" s="216"/>
      <c r="BN429" s="216"/>
      <c r="BO429" s="216"/>
      <c r="BP429" s="216"/>
      <c r="BQ429" s="216"/>
      <c r="BR429" s="216"/>
      <c r="BS429" s="216"/>
      <c r="BT429" s="216"/>
      <c r="BU429" s="216"/>
      <c r="BV429" s="216"/>
      <c r="BW429" s="216"/>
      <c r="BX429" s="216"/>
      <c r="BY429" s="216"/>
      <c r="BZ429" s="216"/>
      <c r="CA429" s="216"/>
      <c r="CB429" s="216"/>
      <c r="CC429" s="216"/>
      <c r="CD429" s="216"/>
      <c r="CE429" s="216"/>
      <c r="CF429" s="216"/>
      <c r="CG429" s="216"/>
      <c r="CH429" s="216"/>
      <c r="CI429" s="216"/>
      <c r="CJ429" s="216"/>
      <c r="CK429" s="216"/>
      <c r="CL429" s="216"/>
      <c r="CM429" s="216"/>
      <c r="CN429" s="216"/>
      <c r="CO429" s="216"/>
      <c r="CP429" s="216"/>
      <c r="CQ429" s="216"/>
      <c r="CR429" s="216"/>
      <c r="CS429" s="216"/>
      <c r="CT429" s="216"/>
      <c r="CU429" s="216"/>
      <c r="CV429" s="216"/>
      <c r="CW429" s="216"/>
      <c r="CX429" s="216"/>
      <c r="CY429" s="216"/>
    </row>
    <row r="430" spans="1:103" ht="12.75" x14ac:dyDescent="0.2">
      <c r="A430" s="214"/>
      <c r="B430" s="214"/>
      <c r="C430" s="214"/>
      <c r="D430" s="214"/>
      <c r="E430" s="214"/>
      <c r="F430" s="214"/>
      <c r="G430" s="214"/>
      <c r="H430" s="214"/>
      <c r="I430" s="214"/>
      <c r="J430" s="214"/>
      <c r="K430" s="214"/>
      <c r="L430" s="214"/>
      <c r="M430" s="214"/>
      <c r="N430" s="215"/>
      <c r="O430" s="215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6"/>
      <c r="AT430" s="216"/>
      <c r="AU430" s="216"/>
      <c r="AV430" s="216"/>
      <c r="AW430" s="216"/>
      <c r="AX430" s="216"/>
      <c r="AY430" s="216"/>
      <c r="AZ430" s="216"/>
      <c r="BA430" s="216"/>
      <c r="BB430" s="216"/>
      <c r="BC430" s="216"/>
      <c r="BD430" s="216"/>
      <c r="BE430" s="216"/>
      <c r="BF430" s="216"/>
      <c r="BG430" s="216"/>
      <c r="BH430" s="216"/>
      <c r="BI430" s="216"/>
      <c r="BJ430" s="216"/>
      <c r="BK430" s="216"/>
      <c r="BL430" s="216"/>
      <c r="BM430" s="216"/>
      <c r="BN430" s="216"/>
      <c r="BO430" s="216"/>
      <c r="BP430" s="216"/>
      <c r="BQ430" s="216"/>
      <c r="BR430" s="216"/>
      <c r="BS430" s="216"/>
      <c r="BT430" s="216"/>
      <c r="BU430" s="216"/>
      <c r="BV430" s="216"/>
      <c r="BW430" s="216"/>
      <c r="BX430" s="216"/>
      <c r="BY430" s="216"/>
      <c r="BZ430" s="216"/>
      <c r="CA430" s="216"/>
      <c r="CB430" s="216"/>
      <c r="CC430" s="216"/>
      <c r="CD430" s="216"/>
      <c r="CE430" s="216"/>
      <c r="CF430" s="216"/>
      <c r="CG430" s="216"/>
      <c r="CH430" s="216"/>
      <c r="CI430" s="216"/>
      <c r="CJ430" s="216"/>
      <c r="CK430" s="216"/>
      <c r="CL430" s="216"/>
      <c r="CM430" s="216"/>
      <c r="CN430" s="216"/>
      <c r="CO430" s="216"/>
      <c r="CP430" s="216"/>
      <c r="CQ430" s="216"/>
      <c r="CR430" s="216"/>
      <c r="CS430" s="216"/>
      <c r="CT430" s="216"/>
      <c r="CU430" s="216"/>
      <c r="CV430" s="216"/>
      <c r="CW430" s="216"/>
      <c r="CX430" s="216"/>
      <c r="CY430" s="216"/>
    </row>
    <row r="431" spans="1:103" ht="12.75" x14ac:dyDescent="0.2">
      <c r="A431" s="214"/>
      <c r="B431" s="214"/>
      <c r="C431" s="214"/>
      <c r="D431" s="214"/>
      <c r="E431" s="214"/>
      <c r="F431" s="214"/>
      <c r="G431" s="214"/>
      <c r="H431" s="214"/>
      <c r="I431" s="214"/>
      <c r="J431" s="214"/>
      <c r="K431" s="214"/>
      <c r="L431" s="214"/>
      <c r="M431" s="214"/>
      <c r="N431" s="215"/>
      <c r="O431" s="215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16"/>
      <c r="AN431" s="216"/>
      <c r="AO431" s="216"/>
      <c r="AP431" s="216"/>
      <c r="AQ431" s="216"/>
      <c r="AR431" s="216"/>
      <c r="AS431" s="216"/>
      <c r="AT431" s="216"/>
      <c r="AU431" s="216"/>
      <c r="AV431" s="216"/>
      <c r="AW431" s="216"/>
      <c r="AX431" s="216"/>
      <c r="AY431" s="216"/>
      <c r="AZ431" s="216"/>
      <c r="BA431" s="216"/>
      <c r="BB431" s="216"/>
      <c r="BC431" s="216"/>
      <c r="BD431" s="216"/>
      <c r="BE431" s="216"/>
      <c r="BF431" s="216"/>
      <c r="BG431" s="216"/>
      <c r="BH431" s="216"/>
      <c r="BI431" s="216"/>
      <c r="BJ431" s="216"/>
      <c r="BK431" s="216"/>
      <c r="BL431" s="216"/>
      <c r="BM431" s="216"/>
      <c r="BN431" s="216"/>
      <c r="BO431" s="216"/>
      <c r="BP431" s="216"/>
      <c r="BQ431" s="216"/>
      <c r="BR431" s="216"/>
      <c r="BS431" s="216"/>
      <c r="BT431" s="216"/>
      <c r="BU431" s="216"/>
      <c r="BV431" s="216"/>
      <c r="BW431" s="216"/>
      <c r="BX431" s="216"/>
      <c r="BY431" s="216"/>
      <c r="BZ431" s="216"/>
      <c r="CA431" s="216"/>
      <c r="CB431" s="216"/>
      <c r="CC431" s="216"/>
      <c r="CD431" s="216"/>
      <c r="CE431" s="216"/>
      <c r="CF431" s="216"/>
      <c r="CG431" s="216"/>
      <c r="CH431" s="216"/>
      <c r="CI431" s="216"/>
      <c r="CJ431" s="216"/>
      <c r="CK431" s="216"/>
      <c r="CL431" s="216"/>
      <c r="CM431" s="216"/>
      <c r="CN431" s="216"/>
      <c r="CO431" s="216"/>
      <c r="CP431" s="216"/>
      <c r="CQ431" s="216"/>
      <c r="CR431" s="216"/>
      <c r="CS431" s="216"/>
      <c r="CT431" s="216"/>
      <c r="CU431" s="216"/>
      <c r="CV431" s="216"/>
      <c r="CW431" s="216"/>
      <c r="CX431" s="216"/>
      <c r="CY431" s="216"/>
    </row>
    <row r="432" spans="1:103" ht="12.75" x14ac:dyDescent="0.2">
      <c r="A432" s="214"/>
      <c r="B432" s="214"/>
      <c r="C432" s="214"/>
      <c r="D432" s="214"/>
      <c r="E432" s="214"/>
      <c r="F432" s="214"/>
      <c r="G432" s="214"/>
      <c r="H432" s="214"/>
      <c r="I432" s="214"/>
      <c r="J432" s="214"/>
      <c r="K432" s="214"/>
      <c r="L432" s="214"/>
      <c r="M432" s="214"/>
      <c r="N432" s="215"/>
      <c r="O432" s="215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16"/>
      <c r="AN432" s="216"/>
      <c r="AO432" s="216"/>
      <c r="AP432" s="216"/>
      <c r="AQ432" s="216"/>
      <c r="AR432" s="216"/>
      <c r="AS432" s="216"/>
      <c r="AT432" s="216"/>
      <c r="AU432" s="216"/>
      <c r="AV432" s="216"/>
      <c r="AW432" s="216"/>
      <c r="AX432" s="216"/>
      <c r="AY432" s="216"/>
      <c r="AZ432" s="216"/>
      <c r="BA432" s="216"/>
      <c r="BB432" s="216"/>
      <c r="BC432" s="216"/>
      <c r="BD432" s="216"/>
      <c r="BE432" s="216"/>
      <c r="BF432" s="216"/>
      <c r="BG432" s="216"/>
      <c r="BH432" s="216"/>
      <c r="BI432" s="216"/>
      <c r="BJ432" s="216"/>
      <c r="BK432" s="216"/>
      <c r="BL432" s="216"/>
      <c r="BM432" s="216"/>
      <c r="BN432" s="216"/>
      <c r="BO432" s="216"/>
      <c r="BP432" s="216"/>
      <c r="BQ432" s="216"/>
      <c r="BR432" s="216"/>
      <c r="BS432" s="216"/>
      <c r="BT432" s="216"/>
      <c r="BU432" s="216"/>
      <c r="BV432" s="216"/>
      <c r="BW432" s="216"/>
      <c r="BX432" s="216"/>
      <c r="BY432" s="216"/>
      <c r="BZ432" s="216"/>
      <c r="CA432" s="216"/>
      <c r="CB432" s="216"/>
      <c r="CC432" s="216"/>
      <c r="CD432" s="216"/>
      <c r="CE432" s="216"/>
      <c r="CF432" s="216"/>
      <c r="CG432" s="216"/>
      <c r="CH432" s="216"/>
      <c r="CI432" s="216"/>
      <c r="CJ432" s="216"/>
      <c r="CK432" s="216"/>
      <c r="CL432" s="216"/>
      <c r="CM432" s="216"/>
      <c r="CN432" s="216"/>
      <c r="CO432" s="216"/>
      <c r="CP432" s="216"/>
      <c r="CQ432" s="216"/>
      <c r="CR432" s="216"/>
      <c r="CS432" s="216"/>
      <c r="CT432" s="216"/>
      <c r="CU432" s="216"/>
      <c r="CV432" s="216"/>
      <c r="CW432" s="216"/>
      <c r="CX432" s="216"/>
      <c r="CY432" s="216"/>
    </row>
    <row r="433" spans="1:103" ht="12.75" x14ac:dyDescent="0.2">
      <c r="A433" s="214"/>
      <c r="B433" s="214"/>
      <c r="C433" s="214"/>
      <c r="D433" s="214"/>
      <c r="E433" s="214"/>
      <c r="F433" s="214"/>
      <c r="G433" s="214"/>
      <c r="H433" s="214"/>
      <c r="I433" s="214"/>
      <c r="J433" s="214"/>
      <c r="K433" s="214"/>
      <c r="L433" s="214"/>
      <c r="M433" s="214"/>
      <c r="N433" s="215"/>
      <c r="O433" s="215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16"/>
      <c r="AN433" s="216"/>
      <c r="AO433" s="216"/>
      <c r="AP433" s="216"/>
      <c r="AQ433" s="216"/>
      <c r="AR433" s="216"/>
      <c r="AS433" s="216"/>
      <c r="AT433" s="216"/>
      <c r="AU433" s="216"/>
      <c r="AV433" s="216"/>
      <c r="AW433" s="216"/>
      <c r="AX433" s="216"/>
      <c r="AY433" s="216"/>
      <c r="AZ433" s="216"/>
      <c r="BA433" s="216"/>
      <c r="BB433" s="216"/>
      <c r="BC433" s="216"/>
      <c r="BD433" s="216"/>
      <c r="BE433" s="216"/>
      <c r="BF433" s="216"/>
      <c r="BG433" s="216"/>
      <c r="BH433" s="216"/>
      <c r="BI433" s="216"/>
      <c r="BJ433" s="216"/>
      <c r="BK433" s="216"/>
      <c r="BL433" s="216"/>
      <c r="BM433" s="216"/>
      <c r="BN433" s="216"/>
      <c r="BO433" s="216"/>
      <c r="BP433" s="216"/>
      <c r="BQ433" s="216"/>
      <c r="BR433" s="216"/>
      <c r="BS433" s="216"/>
      <c r="BT433" s="216"/>
      <c r="BU433" s="216"/>
      <c r="BV433" s="216"/>
      <c r="BW433" s="216"/>
      <c r="BX433" s="216"/>
      <c r="BY433" s="216"/>
      <c r="BZ433" s="216"/>
      <c r="CA433" s="216"/>
      <c r="CB433" s="216"/>
      <c r="CC433" s="216"/>
      <c r="CD433" s="216"/>
      <c r="CE433" s="216"/>
      <c r="CF433" s="216"/>
      <c r="CG433" s="216"/>
      <c r="CH433" s="216"/>
      <c r="CI433" s="216"/>
      <c r="CJ433" s="216"/>
      <c r="CK433" s="216"/>
      <c r="CL433" s="216"/>
      <c r="CM433" s="216"/>
      <c r="CN433" s="216"/>
      <c r="CO433" s="216"/>
      <c r="CP433" s="216"/>
      <c r="CQ433" s="216"/>
      <c r="CR433" s="216"/>
      <c r="CS433" s="216"/>
      <c r="CT433" s="216"/>
      <c r="CU433" s="216"/>
      <c r="CV433" s="216"/>
      <c r="CW433" s="216"/>
      <c r="CX433" s="216"/>
      <c r="CY433" s="216"/>
    </row>
    <row r="434" spans="1:103" ht="12.75" x14ac:dyDescent="0.2">
      <c r="A434" s="214"/>
      <c r="B434" s="214"/>
      <c r="C434" s="214"/>
      <c r="D434" s="214"/>
      <c r="E434" s="214"/>
      <c r="F434" s="214"/>
      <c r="G434" s="214"/>
      <c r="H434" s="214"/>
      <c r="I434" s="214"/>
      <c r="J434" s="214"/>
      <c r="K434" s="214"/>
      <c r="L434" s="214"/>
      <c r="M434" s="214"/>
      <c r="N434" s="215"/>
      <c r="O434" s="215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16"/>
      <c r="AN434" s="216"/>
      <c r="AO434" s="216"/>
      <c r="AP434" s="216"/>
      <c r="AQ434" s="216"/>
      <c r="AR434" s="216"/>
      <c r="AS434" s="216"/>
      <c r="AT434" s="216"/>
      <c r="AU434" s="216"/>
      <c r="AV434" s="216"/>
      <c r="AW434" s="216"/>
      <c r="AX434" s="216"/>
      <c r="AY434" s="216"/>
      <c r="AZ434" s="216"/>
      <c r="BA434" s="216"/>
      <c r="BB434" s="216"/>
      <c r="BC434" s="216"/>
      <c r="BD434" s="216"/>
      <c r="BE434" s="216"/>
      <c r="BF434" s="216"/>
      <c r="BG434" s="216"/>
      <c r="BH434" s="216"/>
      <c r="BI434" s="216"/>
      <c r="BJ434" s="216"/>
      <c r="BK434" s="216"/>
      <c r="BL434" s="216"/>
      <c r="BM434" s="216"/>
      <c r="BN434" s="216"/>
      <c r="BO434" s="216"/>
      <c r="BP434" s="216"/>
      <c r="BQ434" s="216"/>
      <c r="BR434" s="216"/>
      <c r="BS434" s="216"/>
      <c r="BT434" s="216"/>
      <c r="BU434" s="216"/>
      <c r="BV434" s="216"/>
      <c r="BW434" s="216"/>
      <c r="BX434" s="216"/>
      <c r="BY434" s="216"/>
      <c r="BZ434" s="216"/>
      <c r="CA434" s="216"/>
      <c r="CB434" s="216"/>
      <c r="CC434" s="216"/>
      <c r="CD434" s="216"/>
      <c r="CE434" s="216"/>
      <c r="CF434" s="216"/>
      <c r="CG434" s="216"/>
      <c r="CH434" s="216"/>
      <c r="CI434" s="216"/>
      <c r="CJ434" s="216"/>
      <c r="CK434" s="216"/>
      <c r="CL434" s="216"/>
      <c r="CM434" s="216"/>
      <c r="CN434" s="216"/>
      <c r="CO434" s="216"/>
      <c r="CP434" s="216"/>
      <c r="CQ434" s="216"/>
      <c r="CR434" s="216"/>
      <c r="CS434" s="216"/>
      <c r="CT434" s="216"/>
      <c r="CU434" s="216"/>
      <c r="CV434" s="216"/>
      <c r="CW434" s="216"/>
      <c r="CX434" s="216"/>
      <c r="CY434" s="216"/>
    </row>
    <row r="435" spans="1:103" ht="12.75" x14ac:dyDescent="0.2">
      <c r="A435" s="214"/>
      <c r="B435" s="214"/>
      <c r="C435" s="214"/>
      <c r="D435" s="214"/>
      <c r="E435" s="214"/>
      <c r="F435" s="214"/>
      <c r="G435" s="214"/>
      <c r="H435" s="214"/>
      <c r="I435" s="214"/>
      <c r="J435" s="214"/>
      <c r="K435" s="214"/>
      <c r="L435" s="214"/>
      <c r="M435" s="214"/>
      <c r="N435" s="215"/>
      <c r="O435" s="215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16"/>
      <c r="AN435" s="216"/>
      <c r="AO435" s="216"/>
      <c r="AP435" s="216"/>
      <c r="AQ435" s="216"/>
      <c r="AR435" s="216"/>
      <c r="AS435" s="216"/>
      <c r="AT435" s="216"/>
      <c r="AU435" s="216"/>
      <c r="AV435" s="216"/>
      <c r="AW435" s="216"/>
      <c r="AX435" s="216"/>
      <c r="AY435" s="216"/>
      <c r="AZ435" s="216"/>
      <c r="BA435" s="216"/>
      <c r="BB435" s="216"/>
      <c r="BC435" s="216"/>
      <c r="BD435" s="216"/>
      <c r="BE435" s="216"/>
      <c r="BF435" s="216"/>
      <c r="BG435" s="216"/>
      <c r="BH435" s="216"/>
      <c r="BI435" s="216"/>
      <c r="BJ435" s="216"/>
      <c r="BK435" s="216"/>
      <c r="BL435" s="216"/>
      <c r="BM435" s="216"/>
      <c r="BN435" s="216"/>
      <c r="BO435" s="216"/>
      <c r="BP435" s="216"/>
      <c r="BQ435" s="216"/>
      <c r="BR435" s="216"/>
      <c r="BS435" s="216"/>
      <c r="BT435" s="216"/>
      <c r="BU435" s="216"/>
      <c r="BV435" s="216"/>
      <c r="BW435" s="216"/>
      <c r="BX435" s="216"/>
      <c r="BY435" s="216"/>
      <c r="BZ435" s="216"/>
      <c r="CA435" s="216"/>
      <c r="CB435" s="216"/>
      <c r="CC435" s="216"/>
      <c r="CD435" s="216"/>
      <c r="CE435" s="216"/>
      <c r="CF435" s="216"/>
      <c r="CG435" s="216"/>
      <c r="CH435" s="216"/>
      <c r="CI435" s="216"/>
      <c r="CJ435" s="216"/>
      <c r="CK435" s="216"/>
      <c r="CL435" s="216"/>
      <c r="CM435" s="216"/>
      <c r="CN435" s="216"/>
      <c r="CO435" s="216"/>
      <c r="CP435" s="216"/>
      <c r="CQ435" s="216"/>
      <c r="CR435" s="216"/>
      <c r="CS435" s="216"/>
      <c r="CT435" s="216"/>
      <c r="CU435" s="216"/>
      <c r="CV435" s="216"/>
      <c r="CW435" s="216"/>
      <c r="CX435" s="216"/>
      <c r="CY435" s="216"/>
    </row>
    <row r="436" spans="1:103" ht="12.75" x14ac:dyDescent="0.2">
      <c r="A436" s="214"/>
      <c r="B436" s="214"/>
      <c r="C436" s="214"/>
      <c r="D436" s="214"/>
      <c r="E436" s="214"/>
      <c r="F436" s="214"/>
      <c r="G436" s="214"/>
      <c r="H436" s="214"/>
      <c r="I436" s="214"/>
      <c r="J436" s="214"/>
      <c r="K436" s="214"/>
      <c r="L436" s="214"/>
      <c r="M436" s="214"/>
      <c r="N436" s="215"/>
      <c r="O436" s="215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16"/>
      <c r="AN436" s="216"/>
      <c r="AO436" s="216"/>
      <c r="AP436" s="216"/>
      <c r="AQ436" s="216"/>
      <c r="AR436" s="216"/>
      <c r="AS436" s="216"/>
      <c r="AT436" s="216"/>
      <c r="AU436" s="216"/>
      <c r="AV436" s="216"/>
      <c r="AW436" s="216"/>
      <c r="AX436" s="216"/>
      <c r="AY436" s="216"/>
      <c r="AZ436" s="216"/>
      <c r="BA436" s="216"/>
      <c r="BB436" s="216"/>
      <c r="BC436" s="216"/>
      <c r="BD436" s="216"/>
      <c r="BE436" s="216"/>
      <c r="BF436" s="216"/>
      <c r="BG436" s="216"/>
      <c r="BH436" s="216"/>
      <c r="BI436" s="216"/>
      <c r="BJ436" s="216"/>
      <c r="BK436" s="216"/>
      <c r="BL436" s="216"/>
      <c r="BM436" s="216"/>
      <c r="BN436" s="216"/>
      <c r="BO436" s="216"/>
      <c r="BP436" s="216"/>
      <c r="BQ436" s="216"/>
      <c r="BR436" s="216"/>
      <c r="BS436" s="216"/>
      <c r="BT436" s="216"/>
      <c r="BU436" s="216"/>
      <c r="BV436" s="216"/>
      <c r="BW436" s="216"/>
      <c r="BX436" s="216"/>
      <c r="BY436" s="216"/>
      <c r="BZ436" s="216"/>
      <c r="CA436" s="216"/>
      <c r="CB436" s="216"/>
      <c r="CC436" s="216"/>
      <c r="CD436" s="216"/>
      <c r="CE436" s="216"/>
      <c r="CF436" s="216"/>
      <c r="CG436" s="216"/>
      <c r="CH436" s="216"/>
      <c r="CI436" s="216"/>
      <c r="CJ436" s="216"/>
      <c r="CK436" s="216"/>
      <c r="CL436" s="216"/>
      <c r="CM436" s="216"/>
      <c r="CN436" s="216"/>
      <c r="CO436" s="216"/>
      <c r="CP436" s="216"/>
      <c r="CQ436" s="216"/>
      <c r="CR436" s="216"/>
      <c r="CS436" s="216"/>
      <c r="CT436" s="216"/>
      <c r="CU436" s="216"/>
      <c r="CV436" s="216"/>
      <c r="CW436" s="216"/>
      <c r="CX436" s="216"/>
      <c r="CY436" s="216"/>
    </row>
    <row r="437" spans="1:103" ht="12.75" x14ac:dyDescent="0.2">
      <c r="A437" s="214"/>
      <c r="B437" s="214"/>
      <c r="C437" s="214"/>
      <c r="D437" s="214"/>
      <c r="E437" s="214"/>
      <c r="F437" s="214"/>
      <c r="G437" s="214"/>
      <c r="H437" s="214"/>
      <c r="I437" s="214"/>
      <c r="J437" s="214"/>
      <c r="K437" s="214"/>
      <c r="L437" s="214"/>
      <c r="M437" s="214"/>
      <c r="N437" s="215"/>
      <c r="O437" s="215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16"/>
      <c r="AN437" s="216"/>
      <c r="AO437" s="216"/>
      <c r="AP437" s="216"/>
      <c r="AQ437" s="216"/>
      <c r="AR437" s="216"/>
      <c r="AS437" s="216"/>
      <c r="AT437" s="216"/>
      <c r="AU437" s="216"/>
      <c r="AV437" s="216"/>
      <c r="AW437" s="216"/>
      <c r="AX437" s="216"/>
      <c r="AY437" s="216"/>
      <c r="AZ437" s="216"/>
      <c r="BA437" s="216"/>
      <c r="BB437" s="216"/>
      <c r="BC437" s="216"/>
      <c r="BD437" s="216"/>
      <c r="BE437" s="216"/>
      <c r="BF437" s="216"/>
      <c r="BG437" s="216"/>
      <c r="BH437" s="216"/>
      <c r="BI437" s="216"/>
      <c r="BJ437" s="216"/>
      <c r="BK437" s="216"/>
      <c r="BL437" s="216"/>
      <c r="BM437" s="216"/>
      <c r="BN437" s="216"/>
      <c r="BO437" s="216"/>
      <c r="BP437" s="216"/>
      <c r="BQ437" s="216"/>
      <c r="BR437" s="216"/>
      <c r="BS437" s="216"/>
      <c r="BT437" s="216"/>
      <c r="BU437" s="216"/>
      <c r="BV437" s="216"/>
      <c r="BW437" s="216"/>
      <c r="BX437" s="216"/>
      <c r="BY437" s="216"/>
      <c r="BZ437" s="216"/>
      <c r="CA437" s="216"/>
      <c r="CB437" s="216"/>
      <c r="CC437" s="216"/>
      <c r="CD437" s="216"/>
      <c r="CE437" s="216"/>
      <c r="CF437" s="216"/>
      <c r="CG437" s="216"/>
      <c r="CH437" s="216"/>
      <c r="CI437" s="216"/>
      <c r="CJ437" s="216"/>
      <c r="CK437" s="216"/>
      <c r="CL437" s="216"/>
      <c r="CM437" s="216"/>
      <c r="CN437" s="216"/>
      <c r="CO437" s="216"/>
      <c r="CP437" s="216"/>
      <c r="CQ437" s="216"/>
      <c r="CR437" s="216"/>
      <c r="CS437" s="216"/>
      <c r="CT437" s="216"/>
      <c r="CU437" s="216"/>
      <c r="CV437" s="216"/>
      <c r="CW437" s="216"/>
      <c r="CX437" s="216"/>
      <c r="CY437" s="216"/>
    </row>
    <row r="438" spans="1:103" ht="12.75" x14ac:dyDescent="0.2">
      <c r="A438" s="214"/>
      <c r="B438" s="214"/>
      <c r="C438" s="214"/>
      <c r="D438" s="214"/>
      <c r="E438" s="214"/>
      <c r="F438" s="214"/>
      <c r="G438" s="214"/>
      <c r="H438" s="214"/>
      <c r="I438" s="214"/>
      <c r="J438" s="214"/>
      <c r="K438" s="214"/>
      <c r="L438" s="214"/>
      <c r="M438" s="214"/>
      <c r="N438" s="215"/>
      <c r="O438" s="215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16"/>
      <c r="AN438" s="216"/>
      <c r="AO438" s="216"/>
      <c r="AP438" s="216"/>
      <c r="AQ438" s="216"/>
      <c r="AR438" s="216"/>
      <c r="AS438" s="216"/>
      <c r="AT438" s="216"/>
      <c r="AU438" s="216"/>
      <c r="AV438" s="216"/>
      <c r="AW438" s="216"/>
      <c r="AX438" s="216"/>
      <c r="AY438" s="216"/>
      <c r="AZ438" s="216"/>
      <c r="BA438" s="216"/>
      <c r="BB438" s="216"/>
      <c r="BC438" s="216"/>
      <c r="BD438" s="216"/>
      <c r="BE438" s="216"/>
      <c r="BF438" s="216"/>
      <c r="BG438" s="216"/>
      <c r="BH438" s="216"/>
      <c r="BI438" s="216"/>
      <c r="BJ438" s="216"/>
      <c r="BK438" s="216"/>
      <c r="BL438" s="216"/>
      <c r="BM438" s="216"/>
      <c r="BN438" s="216"/>
      <c r="BO438" s="216"/>
      <c r="BP438" s="216"/>
      <c r="BQ438" s="216"/>
      <c r="BR438" s="216"/>
      <c r="BS438" s="216"/>
      <c r="BT438" s="216"/>
      <c r="BU438" s="216"/>
      <c r="BV438" s="216"/>
      <c r="BW438" s="216"/>
      <c r="BX438" s="216"/>
      <c r="BY438" s="216"/>
      <c r="BZ438" s="216"/>
      <c r="CA438" s="216"/>
      <c r="CB438" s="216"/>
      <c r="CC438" s="216"/>
      <c r="CD438" s="216"/>
      <c r="CE438" s="216"/>
      <c r="CF438" s="216"/>
      <c r="CG438" s="216"/>
      <c r="CH438" s="216"/>
      <c r="CI438" s="216"/>
      <c r="CJ438" s="216"/>
      <c r="CK438" s="216"/>
      <c r="CL438" s="216"/>
      <c r="CM438" s="216"/>
      <c r="CN438" s="216"/>
      <c r="CO438" s="216"/>
      <c r="CP438" s="216"/>
      <c r="CQ438" s="216"/>
      <c r="CR438" s="216"/>
      <c r="CS438" s="216"/>
      <c r="CT438" s="216"/>
      <c r="CU438" s="216"/>
      <c r="CV438" s="216"/>
      <c r="CW438" s="216"/>
      <c r="CX438" s="216"/>
      <c r="CY438" s="216"/>
    </row>
    <row r="439" spans="1:103" ht="12.75" x14ac:dyDescent="0.2">
      <c r="A439" s="214"/>
      <c r="B439" s="214"/>
      <c r="C439" s="214"/>
      <c r="D439" s="214"/>
      <c r="E439" s="214"/>
      <c r="F439" s="214"/>
      <c r="G439" s="214"/>
      <c r="H439" s="214"/>
      <c r="I439" s="214"/>
      <c r="J439" s="214"/>
      <c r="K439" s="214"/>
      <c r="L439" s="214"/>
      <c r="M439" s="214"/>
      <c r="N439" s="215"/>
      <c r="O439" s="215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16"/>
      <c r="AN439" s="216"/>
      <c r="AO439" s="216"/>
      <c r="AP439" s="216"/>
      <c r="AQ439" s="216"/>
      <c r="AR439" s="216"/>
      <c r="AS439" s="216"/>
      <c r="AT439" s="216"/>
      <c r="AU439" s="216"/>
      <c r="AV439" s="216"/>
      <c r="AW439" s="216"/>
      <c r="AX439" s="216"/>
      <c r="AY439" s="216"/>
      <c r="AZ439" s="216"/>
      <c r="BA439" s="216"/>
      <c r="BB439" s="216"/>
      <c r="BC439" s="216"/>
      <c r="BD439" s="216"/>
      <c r="BE439" s="216"/>
      <c r="BF439" s="216"/>
      <c r="BG439" s="216"/>
      <c r="BH439" s="216"/>
      <c r="BI439" s="216"/>
      <c r="BJ439" s="216"/>
      <c r="BK439" s="216"/>
      <c r="BL439" s="216"/>
      <c r="BM439" s="216"/>
      <c r="BN439" s="216"/>
      <c r="BO439" s="216"/>
      <c r="BP439" s="216"/>
      <c r="BQ439" s="216"/>
      <c r="BR439" s="216"/>
      <c r="BS439" s="216"/>
      <c r="BT439" s="216"/>
      <c r="BU439" s="216"/>
      <c r="BV439" s="216"/>
      <c r="BW439" s="216"/>
      <c r="BX439" s="216"/>
      <c r="BY439" s="216"/>
      <c r="BZ439" s="216"/>
      <c r="CA439" s="216"/>
      <c r="CB439" s="216"/>
      <c r="CC439" s="216"/>
      <c r="CD439" s="216"/>
      <c r="CE439" s="216"/>
      <c r="CF439" s="216"/>
      <c r="CG439" s="216"/>
      <c r="CH439" s="216"/>
      <c r="CI439" s="216"/>
      <c r="CJ439" s="216"/>
      <c r="CK439" s="216"/>
      <c r="CL439" s="216"/>
      <c r="CM439" s="216"/>
      <c r="CN439" s="216"/>
      <c r="CO439" s="216"/>
      <c r="CP439" s="216"/>
      <c r="CQ439" s="216"/>
      <c r="CR439" s="216"/>
      <c r="CS439" s="216"/>
      <c r="CT439" s="216"/>
      <c r="CU439" s="216"/>
      <c r="CV439" s="216"/>
      <c r="CW439" s="216"/>
      <c r="CX439" s="216"/>
      <c r="CY439" s="216"/>
    </row>
    <row r="440" spans="1:103" ht="12.75" x14ac:dyDescent="0.2">
      <c r="A440" s="214"/>
      <c r="B440" s="214"/>
      <c r="C440" s="214"/>
      <c r="D440" s="214"/>
      <c r="E440" s="214"/>
      <c r="F440" s="214"/>
      <c r="G440" s="214"/>
      <c r="H440" s="214"/>
      <c r="I440" s="214"/>
      <c r="J440" s="214"/>
      <c r="K440" s="214"/>
      <c r="L440" s="214"/>
      <c r="M440" s="214"/>
      <c r="N440" s="215"/>
      <c r="O440" s="215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16"/>
      <c r="AN440" s="216"/>
      <c r="AO440" s="216"/>
      <c r="AP440" s="216"/>
      <c r="AQ440" s="216"/>
      <c r="AR440" s="216"/>
      <c r="AS440" s="216"/>
      <c r="AT440" s="216"/>
      <c r="AU440" s="216"/>
      <c r="AV440" s="216"/>
      <c r="AW440" s="216"/>
      <c r="AX440" s="216"/>
      <c r="AY440" s="216"/>
      <c r="AZ440" s="216"/>
      <c r="BA440" s="216"/>
      <c r="BB440" s="216"/>
      <c r="BC440" s="216"/>
      <c r="BD440" s="216"/>
      <c r="BE440" s="216"/>
      <c r="BF440" s="216"/>
      <c r="BG440" s="216"/>
      <c r="BH440" s="216"/>
      <c r="BI440" s="216"/>
      <c r="BJ440" s="216"/>
      <c r="BK440" s="216"/>
      <c r="BL440" s="216"/>
      <c r="BM440" s="216"/>
      <c r="BN440" s="216"/>
      <c r="BO440" s="216"/>
      <c r="BP440" s="216"/>
      <c r="BQ440" s="216"/>
      <c r="BR440" s="216"/>
      <c r="BS440" s="216"/>
      <c r="BT440" s="216"/>
      <c r="BU440" s="216"/>
      <c r="BV440" s="216"/>
      <c r="BW440" s="216"/>
      <c r="BX440" s="216"/>
      <c r="BY440" s="216"/>
      <c r="BZ440" s="216"/>
      <c r="CA440" s="216"/>
      <c r="CB440" s="216"/>
      <c r="CC440" s="216"/>
      <c r="CD440" s="216"/>
      <c r="CE440" s="216"/>
      <c r="CF440" s="216"/>
      <c r="CG440" s="216"/>
      <c r="CH440" s="216"/>
      <c r="CI440" s="216"/>
      <c r="CJ440" s="216"/>
      <c r="CK440" s="216"/>
      <c r="CL440" s="216"/>
      <c r="CM440" s="216"/>
      <c r="CN440" s="216"/>
      <c r="CO440" s="216"/>
      <c r="CP440" s="216"/>
      <c r="CQ440" s="216"/>
      <c r="CR440" s="216"/>
      <c r="CS440" s="216"/>
      <c r="CT440" s="216"/>
      <c r="CU440" s="216"/>
      <c r="CV440" s="216"/>
      <c r="CW440" s="216"/>
      <c r="CX440" s="216"/>
      <c r="CY440" s="216"/>
    </row>
    <row r="441" spans="1:103" ht="12.75" x14ac:dyDescent="0.2">
      <c r="A441" s="214"/>
      <c r="B441" s="214"/>
      <c r="C441" s="214"/>
      <c r="D441" s="214"/>
      <c r="E441" s="214"/>
      <c r="F441" s="214"/>
      <c r="G441" s="214"/>
      <c r="H441" s="214"/>
      <c r="I441" s="214"/>
      <c r="J441" s="214"/>
      <c r="K441" s="214"/>
      <c r="L441" s="214"/>
      <c r="M441" s="214"/>
      <c r="N441" s="215"/>
      <c r="O441" s="215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16"/>
      <c r="AN441" s="216"/>
      <c r="AO441" s="216"/>
      <c r="AP441" s="216"/>
      <c r="AQ441" s="216"/>
      <c r="AR441" s="216"/>
      <c r="AS441" s="216"/>
      <c r="AT441" s="216"/>
      <c r="AU441" s="216"/>
      <c r="AV441" s="216"/>
      <c r="AW441" s="216"/>
      <c r="AX441" s="216"/>
      <c r="AY441" s="216"/>
      <c r="AZ441" s="216"/>
      <c r="BA441" s="216"/>
      <c r="BB441" s="216"/>
      <c r="BC441" s="216"/>
      <c r="BD441" s="216"/>
      <c r="BE441" s="216"/>
      <c r="BF441" s="216"/>
      <c r="BG441" s="216"/>
      <c r="BH441" s="216"/>
      <c r="BI441" s="216"/>
      <c r="BJ441" s="216"/>
      <c r="BK441" s="216"/>
      <c r="BL441" s="216"/>
      <c r="BM441" s="216"/>
      <c r="BN441" s="216"/>
      <c r="BO441" s="216"/>
      <c r="BP441" s="216"/>
      <c r="BQ441" s="216"/>
      <c r="BR441" s="216"/>
      <c r="BS441" s="216"/>
      <c r="BT441" s="216"/>
      <c r="BU441" s="216"/>
      <c r="BV441" s="216"/>
      <c r="BW441" s="216"/>
      <c r="BX441" s="216"/>
      <c r="BY441" s="216"/>
      <c r="BZ441" s="216"/>
      <c r="CA441" s="216"/>
      <c r="CB441" s="216"/>
      <c r="CC441" s="216"/>
      <c r="CD441" s="216"/>
      <c r="CE441" s="216"/>
      <c r="CF441" s="216"/>
      <c r="CG441" s="216"/>
      <c r="CH441" s="216"/>
      <c r="CI441" s="216"/>
      <c r="CJ441" s="216"/>
      <c r="CK441" s="216"/>
      <c r="CL441" s="216"/>
      <c r="CM441" s="216"/>
      <c r="CN441" s="216"/>
      <c r="CO441" s="216"/>
      <c r="CP441" s="216"/>
      <c r="CQ441" s="216"/>
      <c r="CR441" s="216"/>
      <c r="CS441" s="216"/>
      <c r="CT441" s="216"/>
      <c r="CU441" s="216"/>
      <c r="CV441" s="216"/>
      <c r="CW441" s="216"/>
      <c r="CX441" s="216"/>
      <c r="CY441" s="216"/>
    </row>
    <row r="442" spans="1:103" ht="12.75" x14ac:dyDescent="0.2">
      <c r="A442" s="214"/>
      <c r="B442" s="214"/>
      <c r="C442" s="214"/>
      <c r="D442" s="214"/>
      <c r="E442" s="214"/>
      <c r="F442" s="214"/>
      <c r="G442" s="214"/>
      <c r="H442" s="214"/>
      <c r="I442" s="214"/>
      <c r="J442" s="214"/>
      <c r="K442" s="214"/>
      <c r="L442" s="214"/>
      <c r="M442" s="214"/>
      <c r="N442" s="215"/>
      <c r="O442" s="215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16"/>
      <c r="AN442" s="216"/>
      <c r="AO442" s="216"/>
      <c r="AP442" s="216"/>
      <c r="AQ442" s="216"/>
      <c r="AR442" s="216"/>
      <c r="AS442" s="216"/>
      <c r="AT442" s="216"/>
      <c r="AU442" s="216"/>
      <c r="AV442" s="216"/>
      <c r="AW442" s="216"/>
      <c r="AX442" s="216"/>
      <c r="AY442" s="216"/>
      <c r="AZ442" s="216"/>
      <c r="BA442" s="216"/>
      <c r="BB442" s="216"/>
      <c r="BC442" s="216"/>
      <c r="BD442" s="216"/>
      <c r="BE442" s="216"/>
      <c r="BF442" s="216"/>
      <c r="BG442" s="216"/>
      <c r="BH442" s="216"/>
      <c r="BI442" s="216"/>
      <c r="BJ442" s="216"/>
      <c r="BK442" s="216"/>
      <c r="BL442" s="216"/>
      <c r="BM442" s="216"/>
      <c r="BN442" s="216"/>
      <c r="BO442" s="216"/>
      <c r="BP442" s="216"/>
      <c r="BQ442" s="216"/>
      <c r="BR442" s="216"/>
      <c r="BS442" s="216"/>
      <c r="BT442" s="216"/>
      <c r="BU442" s="216"/>
      <c r="BV442" s="216"/>
      <c r="BW442" s="216"/>
      <c r="BX442" s="216"/>
      <c r="BY442" s="216"/>
      <c r="BZ442" s="216"/>
      <c r="CA442" s="216"/>
      <c r="CB442" s="216"/>
      <c r="CC442" s="216"/>
      <c r="CD442" s="216"/>
      <c r="CE442" s="216"/>
      <c r="CF442" s="216"/>
      <c r="CG442" s="216"/>
      <c r="CH442" s="216"/>
      <c r="CI442" s="216"/>
      <c r="CJ442" s="216"/>
      <c r="CK442" s="216"/>
      <c r="CL442" s="216"/>
      <c r="CM442" s="216"/>
      <c r="CN442" s="216"/>
      <c r="CO442" s="216"/>
      <c r="CP442" s="216"/>
      <c r="CQ442" s="216"/>
      <c r="CR442" s="216"/>
      <c r="CS442" s="216"/>
      <c r="CT442" s="216"/>
      <c r="CU442" s="216"/>
      <c r="CV442" s="216"/>
      <c r="CW442" s="216"/>
      <c r="CX442" s="216"/>
      <c r="CY442" s="216"/>
    </row>
    <row r="443" spans="1:103" ht="12.75" x14ac:dyDescent="0.2">
      <c r="A443" s="214"/>
      <c r="B443" s="214"/>
      <c r="C443" s="214"/>
      <c r="D443" s="214"/>
      <c r="E443" s="214"/>
      <c r="F443" s="214"/>
      <c r="G443" s="214"/>
      <c r="H443" s="214"/>
      <c r="I443" s="214"/>
      <c r="J443" s="214"/>
      <c r="K443" s="214"/>
      <c r="L443" s="214"/>
      <c r="M443" s="214"/>
      <c r="N443" s="215"/>
      <c r="O443" s="215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16"/>
      <c r="AN443" s="216"/>
      <c r="AO443" s="216"/>
      <c r="AP443" s="216"/>
      <c r="AQ443" s="216"/>
      <c r="AR443" s="216"/>
      <c r="AS443" s="216"/>
      <c r="AT443" s="216"/>
      <c r="AU443" s="216"/>
      <c r="AV443" s="216"/>
      <c r="AW443" s="216"/>
      <c r="AX443" s="216"/>
      <c r="AY443" s="216"/>
      <c r="AZ443" s="216"/>
      <c r="BA443" s="216"/>
      <c r="BB443" s="216"/>
      <c r="BC443" s="216"/>
      <c r="BD443" s="216"/>
      <c r="BE443" s="216"/>
      <c r="BF443" s="216"/>
      <c r="BG443" s="216"/>
      <c r="BH443" s="216"/>
      <c r="BI443" s="216"/>
      <c r="BJ443" s="216"/>
      <c r="BK443" s="216"/>
      <c r="BL443" s="216"/>
      <c r="BM443" s="216"/>
      <c r="BN443" s="216"/>
      <c r="BO443" s="216"/>
      <c r="BP443" s="216"/>
      <c r="BQ443" s="216"/>
      <c r="BR443" s="216"/>
      <c r="BS443" s="216"/>
      <c r="BT443" s="216"/>
      <c r="BU443" s="216"/>
      <c r="BV443" s="216"/>
      <c r="BW443" s="216"/>
      <c r="BX443" s="216"/>
      <c r="BY443" s="216"/>
      <c r="BZ443" s="216"/>
      <c r="CA443" s="216"/>
      <c r="CB443" s="216"/>
      <c r="CC443" s="216"/>
      <c r="CD443" s="216"/>
      <c r="CE443" s="216"/>
      <c r="CF443" s="216"/>
      <c r="CG443" s="216"/>
      <c r="CH443" s="216"/>
      <c r="CI443" s="216"/>
      <c r="CJ443" s="216"/>
      <c r="CK443" s="216"/>
      <c r="CL443" s="216"/>
      <c r="CM443" s="216"/>
      <c r="CN443" s="216"/>
      <c r="CO443" s="216"/>
      <c r="CP443" s="216"/>
      <c r="CQ443" s="216"/>
      <c r="CR443" s="216"/>
      <c r="CS443" s="216"/>
      <c r="CT443" s="216"/>
      <c r="CU443" s="216"/>
      <c r="CV443" s="216"/>
      <c r="CW443" s="216"/>
      <c r="CX443" s="216"/>
      <c r="CY443" s="216"/>
    </row>
    <row r="444" spans="1:103" ht="12.75" x14ac:dyDescent="0.2">
      <c r="A444" s="214"/>
      <c r="B444" s="214"/>
      <c r="C444" s="214"/>
      <c r="D444" s="214"/>
      <c r="E444" s="214"/>
      <c r="F444" s="214"/>
      <c r="G444" s="214"/>
      <c r="H444" s="214"/>
      <c r="I444" s="214"/>
      <c r="J444" s="214"/>
      <c r="K444" s="214"/>
      <c r="L444" s="214"/>
      <c r="M444" s="214"/>
      <c r="N444" s="215"/>
      <c r="O444" s="215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16"/>
      <c r="AN444" s="216"/>
      <c r="AO444" s="216"/>
      <c r="AP444" s="216"/>
      <c r="AQ444" s="216"/>
      <c r="AR444" s="216"/>
      <c r="AS444" s="216"/>
      <c r="AT444" s="216"/>
      <c r="AU444" s="216"/>
      <c r="AV444" s="216"/>
      <c r="AW444" s="216"/>
      <c r="AX444" s="216"/>
      <c r="AY444" s="216"/>
      <c r="AZ444" s="216"/>
      <c r="BA444" s="216"/>
      <c r="BB444" s="216"/>
      <c r="BC444" s="216"/>
      <c r="BD444" s="216"/>
      <c r="BE444" s="216"/>
      <c r="BF444" s="216"/>
      <c r="BG444" s="216"/>
      <c r="BH444" s="216"/>
      <c r="BI444" s="216"/>
      <c r="BJ444" s="216"/>
      <c r="BK444" s="216"/>
      <c r="BL444" s="216"/>
      <c r="BM444" s="216"/>
      <c r="BN444" s="216"/>
      <c r="BO444" s="216"/>
      <c r="BP444" s="216"/>
      <c r="BQ444" s="216"/>
      <c r="BR444" s="216"/>
      <c r="BS444" s="216"/>
      <c r="BT444" s="216"/>
      <c r="BU444" s="216"/>
      <c r="BV444" s="216"/>
      <c r="BW444" s="216"/>
      <c r="BX444" s="216"/>
      <c r="BY444" s="216"/>
      <c r="BZ444" s="216"/>
      <c r="CA444" s="216"/>
      <c r="CB444" s="216"/>
      <c r="CC444" s="216"/>
      <c r="CD444" s="216"/>
      <c r="CE444" s="216"/>
      <c r="CF444" s="216"/>
      <c r="CG444" s="216"/>
      <c r="CH444" s="216"/>
      <c r="CI444" s="216"/>
      <c r="CJ444" s="216"/>
      <c r="CK444" s="216"/>
      <c r="CL444" s="216"/>
      <c r="CM444" s="216"/>
      <c r="CN444" s="216"/>
      <c r="CO444" s="216"/>
      <c r="CP444" s="216"/>
      <c r="CQ444" s="216"/>
      <c r="CR444" s="216"/>
      <c r="CS444" s="216"/>
      <c r="CT444" s="216"/>
      <c r="CU444" s="216"/>
      <c r="CV444" s="216"/>
      <c r="CW444" s="216"/>
      <c r="CX444" s="216"/>
      <c r="CY444" s="216"/>
    </row>
    <row r="445" spans="1:103" ht="12.75" x14ac:dyDescent="0.2">
      <c r="A445" s="214"/>
      <c r="B445" s="214"/>
      <c r="C445" s="214"/>
      <c r="D445" s="214"/>
      <c r="E445" s="214"/>
      <c r="F445" s="214"/>
      <c r="G445" s="214"/>
      <c r="H445" s="214"/>
      <c r="I445" s="214"/>
      <c r="J445" s="214"/>
      <c r="K445" s="214"/>
      <c r="L445" s="214"/>
      <c r="M445" s="214"/>
      <c r="N445" s="215"/>
      <c r="O445" s="215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16"/>
      <c r="AN445" s="216"/>
      <c r="AO445" s="216"/>
      <c r="AP445" s="216"/>
      <c r="AQ445" s="216"/>
      <c r="AR445" s="216"/>
      <c r="AS445" s="216"/>
      <c r="AT445" s="216"/>
      <c r="AU445" s="216"/>
      <c r="AV445" s="216"/>
      <c r="AW445" s="216"/>
      <c r="AX445" s="216"/>
      <c r="AY445" s="216"/>
      <c r="AZ445" s="216"/>
      <c r="BA445" s="216"/>
      <c r="BB445" s="216"/>
      <c r="BC445" s="216"/>
      <c r="BD445" s="216"/>
      <c r="BE445" s="216"/>
      <c r="BF445" s="216"/>
      <c r="BG445" s="216"/>
      <c r="BH445" s="216"/>
      <c r="BI445" s="216"/>
      <c r="BJ445" s="216"/>
      <c r="BK445" s="216"/>
      <c r="BL445" s="216"/>
      <c r="BM445" s="216"/>
      <c r="BN445" s="216"/>
      <c r="BO445" s="216"/>
      <c r="BP445" s="216"/>
      <c r="BQ445" s="216"/>
      <c r="BR445" s="216"/>
      <c r="BS445" s="216"/>
      <c r="BT445" s="216"/>
      <c r="BU445" s="216"/>
      <c r="BV445" s="216"/>
      <c r="BW445" s="216"/>
      <c r="BX445" s="216"/>
      <c r="BY445" s="216"/>
      <c r="BZ445" s="216"/>
      <c r="CA445" s="216"/>
      <c r="CB445" s="216"/>
      <c r="CC445" s="216"/>
      <c r="CD445" s="216"/>
      <c r="CE445" s="216"/>
      <c r="CF445" s="216"/>
      <c r="CG445" s="216"/>
      <c r="CH445" s="216"/>
      <c r="CI445" s="216"/>
      <c r="CJ445" s="216"/>
      <c r="CK445" s="216"/>
      <c r="CL445" s="216"/>
      <c r="CM445" s="216"/>
      <c r="CN445" s="216"/>
      <c r="CO445" s="216"/>
      <c r="CP445" s="216"/>
      <c r="CQ445" s="216"/>
      <c r="CR445" s="216"/>
      <c r="CS445" s="216"/>
      <c r="CT445" s="216"/>
      <c r="CU445" s="216"/>
      <c r="CV445" s="216"/>
      <c r="CW445" s="216"/>
      <c r="CX445" s="216"/>
      <c r="CY445" s="216"/>
    </row>
    <row r="446" spans="1:103" ht="12.75" x14ac:dyDescent="0.2">
      <c r="A446" s="214"/>
      <c r="B446" s="214"/>
      <c r="C446" s="214"/>
      <c r="D446" s="214"/>
      <c r="E446" s="214"/>
      <c r="F446" s="214"/>
      <c r="G446" s="214"/>
      <c r="H446" s="214"/>
      <c r="I446" s="214"/>
      <c r="J446" s="214"/>
      <c r="K446" s="214"/>
      <c r="L446" s="214"/>
      <c r="M446" s="214"/>
      <c r="N446" s="215"/>
      <c r="O446" s="215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16"/>
      <c r="AN446" s="216"/>
      <c r="AO446" s="216"/>
      <c r="AP446" s="216"/>
      <c r="AQ446" s="216"/>
      <c r="AR446" s="216"/>
      <c r="AS446" s="216"/>
      <c r="AT446" s="216"/>
      <c r="AU446" s="216"/>
      <c r="AV446" s="216"/>
      <c r="AW446" s="216"/>
      <c r="AX446" s="216"/>
      <c r="AY446" s="216"/>
      <c r="AZ446" s="216"/>
      <c r="BA446" s="216"/>
      <c r="BB446" s="216"/>
      <c r="BC446" s="216"/>
      <c r="BD446" s="216"/>
      <c r="BE446" s="216"/>
      <c r="BF446" s="216"/>
      <c r="BG446" s="216"/>
      <c r="BH446" s="216"/>
      <c r="BI446" s="216"/>
      <c r="BJ446" s="216"/>
      <c r="BK446" s="216"/>
      <c r="BL446" s="216"/>
      <c r="BM446" s="216"/>
      <c r="BN446" s="216"/>
      <c r="BO446" s="216"/>
      <c r="BP446" s="216"/>
      <c r="BQ446" s="216"/>
      <c r="BR446" s="216"/>
      <c r="BS446" s="216"/>
      <c r="BT446" s="216"/>
      <c r="BU446" s="216"/>
      <c r="BV446" s="216"/>
      <c r="BW446" s="216"/>
      <c r="BX446" s="216"/>
      <c r="BY446" s="216"/>
      <c r="BZ446" s="216"/>
      <c r="CA446" s="216"/>
      <c r="CB446" s="216"/>
      <c r="CC446" s="216"/>
      <c r="CD446" s="216"/>
      <c r="CE446" s="216"/>
      <c r="CF446" s="216"/>
      <c r="CG446" s="216"/>
      <c r="CH446" s="216"/>
      <c r="CI446" s="216"/>
      <c r="CJ446" s="216"/>
      <c r="CK446" s="216"/>
      <c r="CL446" s="216"/>
      <c r="CM446" s="216"/>
      <c r="CN446" s="216"/>
      <c r="CO446" s="216"/>
      <c r="CP446" s="216"/>
      <c r="CQ446" s="216"/>
      <c r="CR446" s="216"/>
      <c r="CS446" s="216"/>
      <c r="CT446" s="216"/>
      <c r="CU446" s="216"/>
      <c r="CV446" s="216"/>
      <c r="CW446" s="216"/>
      <c r="CX446" s="216"/>
      <c r="CY446" s="216"/>
    </row>
    <row r="447" spans="1:103" ht="12.75" x14ac:dyDescent="0.2">
      <c r="A447" s="214"/>
      <c r="B447" s="214"/>
      <c r="C447" s="214"/>
      <c r="D447" s="214"/>
      <c r="E447" s="214"/>
      <c r="F447" s="214"/>
      <c r="G447" s="214"/>
      <c r="H447" s="214"/>
      <c r="I447" s="214"/>
      <c r="J447" s="214"/>
      <c r="K447" s="214"/>
      <c r="L447" s="214"/>
      <c r="M447" s="214"/>
      <c r="N447" s="215"/>
      <c r="O447" s="215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16"/>
      <c r="AN447" s="216"/>
      <c r="AO447" s="216"/>
      <c r="AP447" s="216"/>
      <c r="AQ447" s="216"/>
      <c r="AR447" s="216"/>
      <c r="AS447" s="216"/>
      <c r="AT447" s="216"/>
      <c r="AU447" s="216"/>
      <c r="AV447" s="216"/>
      <c r="AW447" s="216"/>
      <c r="AX447" s="216"/>
      <c r="AY447" s="216"/>
      <c r="AZ447" s="216"/>
      <c r="BA447" s="216"/>
      <c r="BB447" s="216"/>
      <c r="BC447" s="216"/>
      <c r="BD447" s="216"/>
      <c r="BE447" s="216"/>
      <c r="BF447" s="216"/>
      <c r="BG447" s="216"/>
      <c r="BH447" s="216"/>
      <c r="BI447" s="216"/>
      <c r="BJ447" s="216"/>
      <c r="BK447" s="216"/>
      <c r="BL447" s="216"/>
      <c r="BM447" s="216"/>
      <c r="BN447" s="216"/>
      <c r="BO447" s="216"/>
      <c r="BP447" s="216"/>
      <c r="BQ447" s="216"/>
      <c r="BR447" s="216"/>
      <c r="BS447" s="216"/>
      <c r="BT447" s="216"/>
      <c r="BU447" s="216"/>
      <c r="BV447" s="216"/>
      <c r="BW447" s="216"/>
      <c r="BX447" s="216"/>
      <c r="BY447" s="216"/>
      <c r="BZ447" s="216"/>
      <c r="CA447" s="216"/>
      <c r="CB447" s="216"/>
      <c r="CC447" s="216"/>
      <c r="CD447" s="216"/>
      <c r="CE447" s="216"/>
      <c r="CF447" s="216"/>
      <c r="CG447" s="216"/>
      <c r="CH447" s="216"/>
      <c r="CI447" s="216"/>
      <c r="CJ447" s="216"/>
      <c r="CK447" s="216"/>
      <c r="CL447" s="216"/>
      <c r="CM447" s="216"/>
      <c r="CN447" s="216"/>
      <c r="CO447" s="216"/>
      <c r="CP447" s="216"/>
      <c r="CQ447" s="216"/>
      <c r="CR447" s="216"/>
      <c r="CS447" s="216"/>
      <c r="CT447" s="216"/>
      <c r="CU447" s="216"/>
      <c r="CV447" s="216"/>
      <c r="CW447" s="216"/>
      <c r="CX447" s="216"/>
      <c r="CY447" s="216"/>
    </row>
    <row r="448" spans="1:103" ht="12.75" x14ac:dyDescent="0.2">
      <c r="A448" s="214"/>
      <c r="B448" s="214"/>
      <c r="C448" s="214"/>
      <c r="D448" s="214"/>
      <c r="E448" s="214"/>
      <c r="F448" s="214"/>
      <c r="G448" s="214"/>
      <c r="H448" s="214"/>
      <c r="I448" s="214"/>
      <c r="J448" s="214"/>
      <c r="K448" s="214"/>
      <c r="L448" s="214"/>
      <c r="M448" s="214"/>
      <c r="N448" s="215"/>
      <c r="O448" s="215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16"/>
      <c r="AN448" s="216"/>
      <c r="AO448" s="216"/>
      <c r="AP448" s="216"/>
      <c r="AQ448" s="216"/>
      <c r="AR448" s="216"/>
      <c r="AS448" s="216"/>
      <c r="AT448" s="216"/>
      <c r="AU448" s="216"/>
      <c r="AV448" s="216"/>
      <c r="AW448" s="216"/>
      <c r="AX448" s="216"/>
      <c r="AY448" s="216"/>
      <c r="AZ448" s="216"/>
      <c r="BA448" s="216"/>
      <c r="BB448" s="216"/>
      <c r="BC448" s="216"/>
      <c r="BD448" s="216"/>
      <c r="BE448" s="216"/>
      <c r="BF448" s="216"/>
      <c r="BG448" s="216"/>
      <c r="BH448" s="216"/>
      <c r="BI448" s="216"/>
      <c r="BJ448" s="216"/>
      <c r="BK448" s="216"/>
      <c r="BL448" s="216"/>
      <c r="BM448" s="216"/>
      <c r="BN448" s="216"/>
      <c r="BO448" s="216"/>
      <c r="BP448" s="216"/>
      <c r="BQ448" s="216"/>
      <c r="BR448" s="216"/>
      <c r="BS448" s="216"/>
      <c r="BT448" s="216"/>
      <c r="BU448" s="216"/>
      <c r="BV448" s="216"/>
      <c r="BW448" s="216"/>
      <c r="BX448" s="216"/>
      <c r="BY448" s="216"/>
      <c r="BZ448" s="216"/>
      <c r="CA448" s="216"/>
      <c r="CB448" s="216"/>
      <c r="CC448" s="216"/>
      <c r="CD448" s="216"/>
      <c r="CE448" s="216"/>
      <c r="CF448" s="216"/>
      <c r="CG448" s="216"/>
      <c r="CH448" s="216"/>
      <c r="CI448" s="216"/>
      <c r="CJ448" s="216"/>
      <c r="CK448" s="216"/>
      <c r="CL448" s="216"/>
      <c r="CM448" s="216"/>
      <c r="CN448" s="216"/>
      <c r="CO448" s="216"/>
      <c r="CP448" s="216"/>
      <c r="CQ448" s="216"/>
      <c r="CR448" s="216"/>
      <c r="CS448" s="216"/>
      <c r="CT448" s="216"/>
      <c r="CU448" s="216"/>
      <c r="CV448" s="216"/>
      <c r="CW448" s="216"/>
      <c r="CX448" s="216"/>
      <c r="CY448" s="216"/>
    </row>
    <row r="449" spans="1:103" ht="12.75" x14ac:dyDescent="0.2">
      <c r="A449" s="214"/>
      <c r="B449" s="214"/>
      <c r="C449" s="214"/>
      <c r="D449" s="214"/>
      <c r="E449" s="214"/>
      <c r="F449" s="214"/>
      <c r="G449" s="214"/>
      <c r="H449" s="214"/>
      <c r="I449" s="214"/>
      <c r="J449" s="214"/>
      <c r="K449" s="214"/>
      <c r="L449" s="214"/>
      <c r="M449" s="214"/>
      <c r="N449" s="215"/>
      <c r="O449" s="215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16"/>
      <c r="AN449" s="216"/>
      <c r="AO449" s="216"/>
      <c r="AP449" s="216"/>
      <c r="AQ449" s="216"/>
      <c r="AR449" s="216"/>
      <c r="AS449" s="216"/>
      <c r="AT449" s="216"/>
      <c r="AU449" s="216"/>
      <c r="AV449" s="216"/>
      <c r="AW449" s="216"/>
      <c r="AX449" s="216"/>
      <c r="AY449" s="216"/>
      <c r="AZ449" s="216"/>
      <c r="BA449" s="216"/>
      <c r="BB449" s="216"/>
      <c r="BC449" s="216"/>
      <c r="BD449" s="216"/>
      <c r="BE449" s="216"/>
      <c r="BF449" s="216"/>
      <c r="BG449" s="216"/>
      <c r="BH449" s="216"/>
      <c r="BI449" s="216"/>
      <c r="BJ449" s="216"/>
      <c r="BK449" s="216"/>
      <c r="BL449" s="216"/>
      <c r="BM449" s="216"/>
      <c r="BN449" s="216"/>
      <c r="BO449" s="216"/>
      <c r="BP449" s="216"/>
      <c r="BQ449" s="216"/>
      <c r="BR449" s="216"/>
      <c r="BS449" s="216"/>
      <c r="BT449" s="216"/>
      <c r="BU449" s="216"/>
      <c r="BV449" s="216"/>
      <c r="BW449" s="216"/>
      <c r="BX449" s="216"/>
      <c r="BY449" s="216"/>
      <c r="BZ449" s="216"/>
      <c r="CA449" s="216"/>
      <c r="CB449" s="216"/>
      <c r="CC449" s="216"/>
      <c r="CD449" s="216"/>
      <c r="CE449" s="216"/>
      <c r="CF449" s="216"/>
      <c r="CG449" s="216"/>
      <c r="CH449" s="216"/>
      <c r="CI449" s="216"/>
      <c r="CJ449" s="216"/>
      <c r="CK449" s="216"/>
      <c r="CL449" s="216"/>
      <c r="CM449" s="216"/>
      <c r="CN449" s="216"/>
      <c r="CO449" s="216"/>
      <c r="CP449" s="216"/>
      <c r="CQ449" s="216"/>
      <c r="CR449" s="216"/>
      <c r="CS449" s="216"/>
      <c r="CT449" s="216"/>
      <c r="CU449" s="216"/>
      <c r="CV449" s="216"/>
      <c r="CW449" s="216"/>
      <c r="CX449" s="216"/>
      <c r="CY449" s="216"/>
    </row>
    <row r="450" spans="1:103" ht="12.75" x14ac:dyDescent="0.2">
      <c r="A450" s="214"/>
      <c r="B450" s="214"/>
      <c r="C450" s="214"/>
      <c r="D450" s="214"/>
      <c r="E450" s="214"/>
      <c r="F450" s="214"/>
      <c r="G450" s="214"/>
      <c r="H450" s="214"/>
      <c r="I450" s="214"/>
      <c r="J450" s="214"/>
      <c r="K450" s="214"/>
      <c r="L450" s="214"/>
      <c r="M450" s="214"/>
      <c r="N450" s="215"/>
      <c r="O450" s="215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/>
      <c r="AU450" s="216"/>
      <c r="AV450" s="216"/>
      <c r="AW450" s="216"/>
      <c r="AX450" s="216"/>
      <c r="AY450" s="216"/>
      <c r="AZ450" s="216"/>
      <c r="BA450" s="216"/>
      <c r="BB450" s="216"/>
      <c r="BC450" s="216"/>
      <c r="BD450" s="216"/>
      <c r="BE450" s="216"/>
      <c r="BF450" s="216"/>
      <c r="BG450" s="216"/>
      <c r="BH450" s="216"/>
      <c r="BI450" s="216"/>
      <c r="BJ450" s="216"/>
      <c r="BK450" s="216"/>
      <c r="BL450" s="216"/>
      <c r="BM450" s="216"/>
      <c r="BN450" s="216"/>
      <c r="BO450" s="216"/>
      <c r="BP450" s="216"/>
      <c r="BQ450" s="216"/>
      <c r="BR450" s="216"/>
      <c r="BS450" s="216"/>
      <c r="BT450" s="216"/>
      <c r="BU450" s="216"/>
      <c r="BV450" s="216"/>
      <c r="BW450" s="216"/>
      <c r="BX450" s="216"/>
      <c r="BY450" s="216"/>
      <c r="BZ450" s="216"/>
      <c r="CA450" s="216"/>
      <c r="CB450" s="216"/>
      <c r="CC450" s="216"/>
      <c r="CD450" s="216"/>
      <c r="CE450" s="216"/>
      <c r="CF450" s="216"/>
      <c r="CG450" s="216"/>
      <c r="CH450" s="216"/>
      <c r="CI450" s="216"/>
      <c r="CJ450" s="216"/>
      <c r="CK450" s="216"/>
      <c r="CL450" s="216"/>
      <c r="CM450" s="216"/>
      <c r="CN450" s="216"/>
      <c r="CO450" s="216"/>
      <c r="CP450" s="216"/>
      <c r="CQ450" s="216"/>
      <c r="CR450" s="216"/>
      <c r="CS450" s="216"/>
      <c r="CT450" s="216"/>
      <c r="CU450" s="216"/>
      <c r="CV450" s="216"/>
      <c r="CW450" s="216"/>
      <c r="CX450" s="216"/>
      <c r="CY450" s="216"/>
    </row>
    <row r="451" spans="1:103" ht="12.75" x14ac:dyDescent="0.2">
      <c r="A451" s="214"/>
      <c r="B451" s="214"/>
      <c r="C451" s="214"/>
      <c r="D451" s="214"/>
      <c r="E451" s="214"/>
      <c r="F451" s="214"/>
      <c r="G451" s="214"/>
      <c r="H451" s="214"/>
      <c r="I451" s="214"/>
      <c r="J451" s="214"/>
      <c r="K451" s="214"/>
      <c r="L451" s="214"/>
      <c r="M451" s="214"/>
      <c r="N451" s="215"/>
      <c r="O451" s="215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16"/>
      <c r="AN451" s="216"/>
      <c r="AO451" s="216"/>
      <c r="AP451" s="216"/>
      <c r="AQ451" s="216"/>
      <c r="AR451" s="216"/>
      <c r="AS451" s="216"/>
      <c r="AT451" s="216"/>
      <c r="AU451" s="216"/>
      <c r="AV451" s="216"/>
      <c r="AW451" s="216"/>
      <c r="AX451" s="216"/>
      <c r="AY451" s="216"/>
      <c r="AZ451" s="216"/>
      <c r="BA451" s="216"/>
      <c r="BB451" s="216"/>
      <c r="BC451" s="216"/>
      <c r="BD451" s="216"/>
      <c r="BE451" s="216"/>
      <c r="BF451" s="216"/>
      <c r="BG451" s="216"/>
      <c r="BH451" s="216"/>
      <c r="BI451" s="216"/>
      <c r="BJ451" s="216"/>
      <c r="BK451" s="216"/>
      <c r="BL451" s="216"/>
      <c r="BM451" s="216"/>
      <c r="BN451" s="216"/>
      <c r="BO451" s="216"/>
      <c r="BP451" s="216"/>
      <c r="BQ451" s="216"/>
      <c r="BR451" s="216"/>
      <c r="BS451" s="216"/>
      <c r="BT451" s="216"/>
      <c r="BU451" s="216"/>
      <c r="BV451" s="216"/>
      <c r="BW451" s="216"/>
      <c r="BX451" s="216"/>
      <c r="BY451" s="216"/>
      <c r="BZ451" s="216"/>
      <c r="CA451" s="216"/>
      <c r="CB451" s="216"/>
      <c r="CC451" s="216"/>
      <c r="CD451" s="216"/>
      <c r="CE451" s="216"/>
      <c r="CF451" s="216"/>
      <c r="CG451" s="216"/>
      <c r="CH451" s="216"/>
      <c r="CI451" s="216"/>
      <c r="CJ451" s="216"/>
      <c r="CK451" s="216"/>
      <c r="CL451" s="216"/>
      <c r="CM451" s="216"/>
      <c r="CN451" s="216"/>
      <c r="CO451" s="216"/>
      <c r="CP451" s="216"/>
      <c r="CQ451" s="216"/>
      <c r="CR451" s="216"/>
      <c r="CS451" s="216"/>
      <c r="CT451" s="216"/>
      <c r="CU451" s="216"/>
      <c r="CV451" s="216"/>
      <c r="CW451" s="216"/>
      <c r="CX451" s="216"/>
      <c r="CY451" s="216"/>
    </row>
    <row r="452" spans="1:103" ht="12.75" x14ac:dyDescent="0.2">
      <c r="A452" s="214"/>
      <c r="B452" s="214"/>
      <c r="C452" s="214"/>
      <c r="D452" s="214"/>
      <c r="E452" s="214"/>
      <c r="F452" s="214"/>
      <c r="G452" s="214"/>
      <c r="H452" s="214"/>
      <c r="I452" s="214"/>
      <c r="J452" s="214"/>
      <c r="K452" s="214"/>
      <c r="L452" s="214"/>
      <c r="M452" s="214"/>
      <c r="N452" s="215"/>
      <c r="O452" s="215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  <c r="AU452" s="216"/>
      <c r="AV452" s="216"/>
      <c r="AW452" s="216"/>
      <c r="AX452" s="216"/>
      <c r="AY452" s="216"/>
      <c r="AZ452" s="216"/>
      <c r="BA452" s="216"/>
      <c r="BB452" s="216"/>
      <c r="BC452" s="216"/>
      <c r="BD452" s="216"/>
      <c r="BE452" s="216"/>
      <c r="BF452" s="216"/>
      <c r="BG452" s="216"/>
      <c r="BH452" s="216"/>
      <c r="BI452" s="216"/>
      <c r="BJ452" s="216"/>
      <c r="BK452" s="216"/>
      <c r="BL452" s="216"/>
      <c r="BM452" s="216"/>
      <c r="BN452" s="216"/>
      <c r="BO452" s="216"/>
      <c r="BP452" s="216"/>
      <c r="BQ452" s="216"/>
      <c r="BR452" s="216"/>
      <c r="BS452" s="216"/>
      <c r="BT452" s="216"/>
      <c r="BU452" s="216"/>
      <c r="BV452" s="216"/>
      <c r="BW452" s="216"/>
      <c r="BX452" s="216"/>
      <c r="BY452" s="216"/>
      <c r="BZ452" s="216"/>
      <c r="CA452" s="216"/>
      <c r="CB452" s="216"/>
      <c r="CC452" s="216"/>
      <c r="CD452" s="216"/>
      <c r="CE452" s="216"/>
      <c r="CF452" s="216"/>
      <c r="CG452" s="216"/>
      <c r="CH452" s="216"/>
      <c r="CI452" s="216"/>
      <c r="CJ452" s="216"/>
      <c r="CK452" s="216"/>
      <c r="CL452" s="216"/>
      <c r="CM452" s="216"/>
      <c r="CN452" s="216"/>
      <c r="CO452" s="216"/>
      <c r="CP452" s="216"/>
      <c r="CQ452" s="216"/>
      <c r="CR452" s="216"/>
      <c r="CS452" s="216"/>
      <c r="CT452" s="216"/>
      <c r="CU452" s="216"/>
      <c r="CV452" s="216"/>
      <c r="CW452" s="216"/>
      <c r="CX452" s="216"/>
      <c r="CY452" s="216"/>
    </row>
    <row r="453" spans="1:103" ht="12.75" x14ac:dyDescent="0.2">
      <c r="A453" s="214"/>
      <c r="B453" s="214"/>
      <c r="C453" s="214"/>
      <c r="D453" s="214"/>
      <c r="E453" s="214"/>
      <c r="F453" s="214"/>
      <c r="G453" s="214"/>
      <c r="H453" s="214"/>
      <c r="I453" s="214"/>
      <c r="J453" s="214"/>
      <c r="K453" s="214"/>
      <c r="L453" s="214"/>
      <c r="M453" s="214"/>
      <c r="N453" s="215"/>
      <c r="O453" s="215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  <c r="AU453" s="216"/>
      <c r="AV453" s="216"/>
      <c r="AW453" s="216"/>
      <c r="AX453" s="216"/>
      <c r="AY453" s="216"/>
      <c r="AZ453" s="216"/>
      <c r="BA453" s="216"/>
      <c r="BB453" s="216"/>
      <c r="BC453" s="216"/>
      <c r="BD453" s="216"/>
      <c r="BE453" s="216"/>
      <c r="BF453" s="216"/>
      <c r="BG453" s="216"/>
      <c r="BH453" s="216"/>
      <c r="BI453" s="216"/>
      <c r="BJ453" s="216"/>
      <c r="BK453" s="216"/>
      <c r="BL453" s="216"/>
      <c r="BM453" s="216"/>
      <c r="BN453" s="216"/>
      <c r="BO453" s="216"/>
      <c r="BP453" s="216"/>
      <c r="BQ453" s="216"/>
      <c r="BR453" s="216"/>
      <c r="BS453" s="216"/>
      <c r="BT453" s="216"/>
      <c r="BU453" s="216"/>
      <c r="BV453" s="216"/>
      <c r="BW453" s="216"/>
      <c r="BX453" s="216"/>
      <c r="BY453" s="216"/>
      <c r="BZ453" s="216"/>
      <c r="CA453" s="216"/>
      <c r="CB453" s="216"/>
      <c r="CC453" s="216"/>
      <c r="CD453" s="216"/>
      <c r="CE453" s="216"/>
      <c r="CF453" s="216"/>
      <c r="CG453" s="216"/>
      <c r="CH453" s="216"/>
      <c r="CI453" s="216"/>
      <c r="CJ453" s="216"/>
      <c r="CK453" s="216"/>
      <c r="CL453" s="216"/>
      <c r="CM453" s="216"/>
      <c r="CN453" s="216"/>
      <c r="CO453" s="216"/>
      <c r="CP453" s="216"/>
      <c r="CQ453" s="216"/>
      <c r="CR453" s="216"/>
      <c r="CS453" s="216"/>
      <c r="CT453" s="216"/>
      <c r="CU453" s="216"/>
      <c r="CV453" s="216"/>
      <c r="CW453" s="216"/>
      <c r="CX453" s="216"/>
      <c r="CY453" s="216"/>
    </row>
    <row r="454" spans="1:103" ht="12.75" x14ac:dyDescent="0.2">
      <c r="A454" s="214"/>
      <c r="B454" s="214"/>
      <c r="C454" s="214"/>
      <c r="D454" s="214"/>
      <c r="E454" s="214"/>
      <c r="F454" s="214"/>
      <c r="G454" s="214"/>
      <c r="H454" s="214"/>
      <c r="I454" s="214"/>
      <c r="J454" s="214"/>
      <c r="K454" s="214"/>
      <c r="L454" s="214"/>
      <c r="M454" s="214"/>
      <c r="N454" s="215"/>
      <c r="O454" s="215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6"/>
      <c r="BB454" s="216"/>
      <c r="BC454" s="216"/>
      <c r="BD454" s="216"/>
      <c r="BE454" s="216"/>
      <c r="BF454" s="216"/>
      <c r="BG454" s="216"/>
      <c r="BH454" s="216"/>
      <c r="BI454" s="216"/>
      <c r="BJ454" s="216"/>
      <c r="BK454" s="216"/>
      <c r="BL454" s="216"/>
      <c r="BM454" s="216"/>
      <c r="BN454" s="216"/>
      <c r="BO454" s="216"/>
      <c r="BP454" s="216"/>
      <c r="BQ454" s="216"/>
      <c r="BR454" s="216"/>
      <c r="BS454" s="216"/>
      <c r="BT454" s="216"/>
      <c r="BU454" s="216"/>
      <c r="BV454" s="216"/>
      <c r="BW454" s="216"/>
      <c r="BX454" s="216"/>
      <c r="BY454" s="216"/>
      <c r="BZ454" s="216"/>
      <c r="CA454" s="216"/>
      <c r="CB454" s="216"/>
      <c r="CC454" s="216"/>
      <c r="CD454" s="216"/>
      <c r="CE454" s="216"/>
      <c r="CF454" s="216"/>
      <c r="CG454" s="216"/>
      <c r="CH454" s="216"/>
      <c r="CI454" s="216"/>
      <c r="CJ454" s="216"/>
      <c r="CK454" s="216"/>
      <c r="CL454" s="216"/>
      <c r="CM454" s="216"/>
      <c r="CN454" s="216"/>
      <c r="CO454" s="216"/>
      <c r="CP454" s="216"/>
      <c r="CQ454" s="216"/>
      <c r="CR454" s="216"/>
      <c r="CS454" s="216"/>
      <c r="CT454" s="216"/>
      <c r="CU454" s="216"/>
      <c r="CV454" s="216"/>
      <c r="CW454" s="216"/>
      <c r="CX454" s="216"/>
      <c r="CY454" s="216"/>
    </row>
    <row r="455" spans="1:103" ht="12.75" x14ac:dyDescent="0.2">
      <c r="A455" s="214"/>
      <c r="B455" s="214"/>
      <c r="C455" s="214"/>
      <c r="D455" s="214"/>
      <c r="E455" s="214"/>
      <c r="F455" s="214"/>
      <c r="G455" s="214"/>
      <c r="H455" s="214"/>
      <c r="I455" s="214"/>
      <c r="J455" s="214"/>
      <c r="K455" s="214"/>
      <c r="L455" s="214"/>
      <c r="M455" s="214"/>
      <c r="N455" s="215"/>
      <c r="O455" s="215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6"/>
      <c r="AX455" s="216"/>
      <c r="AY455" s="216"/>
      <c r="AZ455" s="216"/>
      <c r="BA455" s="216"/>
      <c r="BB455" s="216"/>
      <c r="BC455" s="216"/>
      <c r="BD455" s="216"/>
      <c r="BE455" s="216"/>
      <c r="BF455" s="216"/>
      <c r="BG455" s="216"/>
      <c r="BH455" s="216"/>
      <c r="BI455" s="216"/>
      <c r="BJ455" s="216"/>
      <c r="BK455" s="216"/>
      <c r="BL455" s="216"/>
      <c r="BM455" s="216"/>
      <c r="BN455" s="216"/>
      <c r="BO455" s="216"/>
      <c r="BP455" s="216"/>
      <c r="BQ455" s="216"/>
      <c r="BR455" s="216"/>
      <c r="BS455" s="216"/>
      <c r="BT455" s="216"/>
      <c r="BU455" s="216"/>
      <c r="BV455" s="216"/>
      <c r="BW455" s="216"/>
      <c r="BX455" s="216"/>
      <c r="BY455" s="216"/>
      <c r="BZ455" s="216"/>
      <c r="CA455" s="216"/>
      <c r="CB455" s="216"/>
      <c r="CC455" s="216"/>
      <c r="CD455" s="216"/>
      <c r="CE455" s="216"/>
      <c r="CF455" s="216"/>
      <c r="CG455" s="216"/>
      <c r="CH455" s="216"/>
      <c r="CI455" s="216"/>
      <c r="CJ455" s="216"/>
      <c r="CK455" s="216"/>
      <c r="CL455" s="216"/>
      <c r="CM455" s="216"/>
      <c r="CN455" s="216"/>
      <c r="CO455" s="216"/>
      <c r="CP455" s="216"/>
      <c r="CQ455" s="216"/>
      <c r="CR455" s="216"/>
      <c r="CS455" s="216"/>
      <c r="CT455" s="216"/>
      <c r="CU455" s="216"/>
      <c r="CV455" s="216"/>
      <c r="CW455" s="216"/>
      <c r="CX455" s="216"/>
      <c r="CY455" s="216"/>
    </row>
    <row r="456" spans="1:103" ht="12.75" x14ac:dyDescent="0.2">
      <c r="A456" s="214"/>
      <c r="B456" s="214"/>
      <c r="C456" s="214"/>
      <c r="D456" s="214"/>
      <c r="E456" s="214"/>
      <c r="F456" s="214"/>
      <c r="G456" s="214"/>
      <c r="H456" s="214"/>
      <c r="I456" s="214"/>
      <c r="J456" s="214"/>
      <c r="K456" s="214"/>
      <c r="L456" s="214"/>
      <c r="M456" s="214"/>
      <c r="N456" s="215"/>
      <c r="O456" s="215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16"/>
      <c r="AN456" s="216"/>
      <c r="AO456" s="216"/>
      <c r="AP456" s="216"/>
      <c r="AQ456" s="216"/>
      <c r="AR456" s="216"/>
      <c r="AS456" s="216"/>
      <c r="AT456" s="216"/>
      <c r="AU456" s="216"/>
      <c r="AV456" s="216"/>
      <c r="AW456" s="216"/>
      <c r="AX456" s="216"/>
      <c r="AY456" s="216"/>
      <c r="AZ456" s="216"/>
      <c r="BA456" s="216"/>
      <c r="BB456" s="216"/>
      <c r="BC456" s="216"/>
      <c r="BD456" s="216"/>
      <c r="BE456" s="216"/>
      <c r="BF456" s="216"/>
      <c r="BG456" s="216"/>
      <c r="BH456" s="216"/>
      <c r="BI456" s="216"/>
      <c r="BJ456" s="216"/>
      <c r="BK456" s="216"/>
      <c r="BL456" s="216"/>
      <c r="BM456" s="216"/>
      <c r="BN456" s="216"/>
      <c r="BO456" s="216"/>
      <c r="BP456" s="216"/>
      <c r="BQ456" s="216"/>
      <c r="BR456" s="216"/>
      <c r="BS456" s="216"/>
      <c r="BT456" s="216"/>
      <c r="BU456" s="216"/>
      <c r="BV456" s="216"/>
      <c r="BW456" s="216"/>
      <c r="BX456" s="216"/>
      <c r="BY456" s="216"/>
      <c r="BZ456" s="216"/>
      <c r="CA456" s="216"/>
      <c r="CB456" s="216"/>
      <c r="CC456" s="216"/>
      <c r="CD456" s="216"/>
      <c r="CE456" s="216"/>
      <c r="CF456" s="216"/>
      <c r="CG456" s="216"/>
      <c r="CH456" s="216"/>
      <c r="CI456" s="216"/>
      <c r="CJ456" s="216"/>
      <c r="CK456" s="216"/>
      <c r="CL456" s="216"/>
      <c r="CM456" s="216"/>
      <c r="CN456" s="216"/>
      <c r="CO456" s="216"/>
      <c r="CP456" s="216"/>
      <c r="CQ456" s="216"/>
      <c r="CR456" s="216"/>
      <c r="CS456" s="216"/>
      <c r="CT456" s="216"/>
      <c r="CU456" s="216"/>
      <c r="CV456" s="216"/>
      <c r="CW456" s="216"/>
      <c r="CX456" s="216"/>
      <c r="CY456" s="216"/>
    </row>
    <row r="457" spans="1:103" ht="12.75" x14ac:dyDescent="0.2">
      <c r="A457" s="214"/>
      <c r="B457" s="214"/>
      <c r="C457" s="214"/>
      <c r="D457" s="214"/>
      <c r="E457" s="214"/>
      <c r="F457" s="214"/>
      <c r="G457" s="214"/>
      <c r="H457" s="214"/>
      <c r="I457" s="214"/>
      <c r="J457" s="214"/>
      <c r="K457" s="214"/>
      <c r="L457" s="214"/>
      <c r="M457" s="214"/>
      <c r="N457" s="215"/>
      <c r="O457" s="215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  <c r="AU457" s="216"/>
      <c r="AV457" s="216"/>
      <c r="AW457" s="216"/>
      <c r="AX457" s="216"/>
      <c r="AY457" s="216"/>
      <c r="AZ457" s="216"/>
      <c r="BA457" s="216"/>
      <c r="BB457" s="216"/>
      <c r="BC457" s="216"/>
      <c r="BD457" s="216"/>
      <c r="BE457" s="216"/>
      <c r="BF457" s="216"/>
      <c r="BG457" s="216"/>
      <c r="BH457" s="216"/>
      <c r="BI457" s="216"/>
      <c r="BJ457" s="216"/>
      <c r="BK457" s="216"/>
      <c r="BL457" s="216"/>
      <c r="BM457" s="216"/>
      <c r="BN457" s="216"/>
      <c r="BO457" s="216"/>
      <c r="BP457" s="216"/>
      <c r="BQ457" s="216"/>
      <c r="BR457" s="216"/>
      <c r="BS457" s="216"/>
      <c r="BT457" s="216"/>
      <c r="BU457" s="216"/>
      <c r="BV457" s="216"/>
      <c r="BW457" s="216"/>
      <c r="BX457" s="216"/>
      <c r="BY457" s="216"/>
      <c r="BZ457" s="216"/>
      <c r="CA457" s="216"/>
      <c r="CB457" s="216"/>
      <c r="CC457" s="216"/>
      <c r="CD457" s="216"/>
      <c r="CE457" s="216"/>
      <c r="CF457" s="216"/>
      <c r="CG457" s="216"/>
      <c r="CH457" s="216"/>
      <c r="CI457" s="216"/>
      <c r="CJ457" s="216"/>
      <c r="CK457" s="216"/>
      <c r="CL457" s="216"/>
      <c r="CM457" s="216"/>
      <c r="CN457" s="216"/>
      <c r="CO457" s="216"/>
      <c r="CP457" s="216"/>
      <c r="CQ457" s="216"/>
      <c r="CR457" s="216"/>
      <c r="CS457" s="216"/>
      <c r="CT457" s="216"/>
      <c r="CU457" s="216"/>
      <c r="CV457" s="216"/>
      <c r="CW457" s="216"/>
      <c r="CX457" s="216"/>
      <c r="CY457" s="216"/>
    </row>
    <row r="458" spans="1:103" ht="12.75" x14ac:dyDescent="0.2">
      <c r="A458" s="214"/>
      <c r="B458" s="214"/>
      <c r="C458" s="214"/>
      <c r="D458" s="214"/>
      <c r="E458" s="214"/>
      <c r="F458" s="214"/>
      <c r="G458" s="214"/>
      <c r="H458" s="214"/>
      <c r="I458" s="214"/>
      <c r="J458" s="214"/>
      <c r="K458" s="214"/>
      <c r="L458" s="214"/>
      <c r="M458" s="214"/>
      <c r="N458" s="215"/>
      <c r="O458" s="215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16"/>
      <c r="AN458" s="216"/>
      <c r="AO458" s="216"/>
      <c r="AP458" s="216"/>
      <c r="AQ458" s="216"/>
      <c r="AR458" s="216"/>
      <c r="AS458" s="216"/>
      <c r="AT458" s="216"/>
      <c r="AU458" s="216"/>
      <c r="AV458" s="216"/>
      <c r="AW458" s="216"/>
      <c r="AX458" s="216"/>
      <c r="AY458" s="216"/>
      <c r="AZ458" s="216"/>
      <c r="BA458" s="216"/>
      <c r="BB458" s="216"/>
      <c r="BC458" s="216"/>
      <c r="BD458" s="216"/>
      <c r="BE458" s="216"/>
      <c r="BF458" s="216"/>
      <c r="BG458" s="216"/>
      <c r="BH458" s="216"/>
      <c r="BI458" s="216"/>
      <c r="BJ458" s="216"/>
      <c r="BK458" s="216"/>
      <c r="BL458" s="216"/>
      <c r="BM458" s="216"/>
      <c r="BN458" s="216"/>
      <c r="BO458" s="216"/>
      <c r="BP458" s="216"/>
      <c r="BQ458" s="216"/>
      <c r="BR458" s="216"/>
      <c r="BS458" s="216"/>
      <c r="BT458" s="216"/>
      <c r="BU458" s="216"/>
      <c r="BV458" s="216"/>
      <c r="BW458" s="216"/>
      <c r="BX458" s="216"/>
      <c r="BY458" s="216"/>
      <c r="BZ458" s="216"/>
      <c r="CA458" s="216"/>
      <c r="CB458" s="216"/>
      <c r="CC458" s="216"/>
      <c r="CD458" s="216"/>
      <c r="CE458" s="216"/>
      <c r="CF458" s="216"/>
      <c r="CG458" s="216"/>
      <c r="CH458" s="216"/>
      <c r="CI458" s="216"/>
      <c r="CJ458" s="216"/>
      <c r="CK458" s="216"/>
      <c r="CL458" s="216"/>
      <c r="CM458" s="216"/>
      <c r="CN458" s="216"/>
      <c r="CO458" s="216"/>
      <c r="CP458" s="216"/>
      <c r="CQ458" s="216"/>
      <c r="CR458" s="216"/>
      <c r="CS458" s="216"/>
      <c r="CT458" s="216"/>
      <c r="CU458" s="216"/>
      <c r="CV458" s="216"/>
      <c r="CW458" s="216"/>
      <c r="CX458" s="216"/>
      <c r="CY458" s="216"/>
    </row>
    <row r="459" spans="1:103" ht="12.75" x14ac:dyDescent="0.2">
      <c r="A459" s="214"/>
      <c r="B459" s="214"/>
      <c r="C459" s="214"/>
      <c r="D459" s="214"/>
      <c r="E459" s="214"/>
      <c r="F459" s="214"/>
      <c r="G459" s="214"/>
      <c r="H459" s="214"/>
      <c r="I459" s="214"/>
      <c r="J459" s="214"/>
      <c r="K459" s="214"/>
      <c r="L459" s="214"/>
      <c r="M459" s="214"/>
      <c r="N459" s="215"/>
      <c r="O459" s="215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16"/>
      <c r="AN459" s="216"/>
      <c r="AO459" s="216"/>
      <c r="AP459" s="216"/>
      <c r="AQ459" s="216"/>
      <c r="AR459" s="216"/>
      <c r="AS459" s="216"/>
      <c r="AT459" s="216"/>
      <c r="AU459" s="216"/>
      <c r="AV459" s="216"/>
      <c r="AW459" s="216"/>
      <c r="AX459" s="216"/>
      <c r="AY459" s="216"/>
      <c r="AZ459" s="216"/>
      <c r="BA459" s="216"/>
      <c r="BB459" s="216"/>
      <c r="BC459" s="216"/>
      <c r="BD459" s="216"/>
      <c r="BE459" s="216"/>
      <c r="BF459" s="216"/>
      <c r="BG459" s="216"/>
      <c r="BH459" s="216"/>
      <c r="BI459" s="216"/>
      <c r="BJ459" s="216"/>
      <c r="BK459" s="216"/>
      <c r="BL459" s="216"/>
      <c r="BM459" s="216"/>
      <c r="BN459" s="216"/>
      <c r="BO459" s="216"/>
      <c r="BP459" s="216"/>
      <c r="BQ459" s="216"/>
      <c r="BR459" s="216"/>
      <c r="BS459" s="216"/>
      <c r="BT459" s="216"/>
      <c r="BU459" s="216"/>
      <c r="BV459" s="216"/>
      <c r="BW459" s="216"/>
      <c r="BX459" s="216"/>
      <c r="BY459" s="216"/>
      <c r="BZ459" s="216"/>
      <c r="CA459" s="216"/>
      <c r="CB459" s="216"/>
      <c r="CC459" s="216"/>
      <c r="CD459" s="216"/>
      <c r="CE459" s="216"/>
      <c r="CF459" s="216"/>
      <c r="CG459" s="216"/>
      <c r="CH459" s="216"/>
      <c r="CI459" s="216"/>
      <c r="CJ459" s="216"/>
      <c r="CK459" s="216"/>
      <c r="CL459" s="216"/>
      <c r="CM459" s="216"/>
      <c r="CN459" s="216"/>
      <c r="CO459" s="216"/>
      <c r="CP459" s="216"/>
      <c r="CQ459" s="216"/>
      <c r="CR459" s="216"/>
      <c r="CS459" s="216"/>
      <c r="CT459" s="216"/>
      <c r="CU459" s="216"/>
      <c r="CV459" s="216"/>
      <c r="CW459" s="216"/>
      <c r="CX459" s="216"/>
      <c r="CY459" s="216"/>
    </row>
    <row r="460" spans="1:103" ht="12.75" x14ac:dyDescent="0.2">
      <c r="A460" s="214"/>
      <c r="B460" s="214"/>
      <c r="C460" s="214"/>
      <c r="D460" s="214"/>
      <c r="E460" s="214"/>
      <c r="F460" s="214"/>
      <c r="G460" s="214"/>
      <c r="H460" s="214"/>
      <c r="I460" s="214"/>
      <c r="J460" s="214"/>
      <c r="K460" s="214"/>
      <c r="L460" s="214"/>
      <c r="M460" s="214"/>
      <c r="N460" s="215"/>
      <c r="O460" s="215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16"/>
      <c r="AN460" s="216"/>
      <c r="AO460" s="216"/>
      <c r="AP460" s="216"/>
      <c r="AQ460" s="216"/>
      <c r="AR460" s="216"/>
      <c r="AS460" s="216"/>
      <c r="AT460" s="216"/>
      <c r="AU460" s="216"/>
      <c r="AV460" s="216"/>
      <c r="AW460" s="216"/>
      <c r="AX460" s="216"/>
      <c r="AY460" s="216"/>
      <c r="AZ460" s="216"/>
      <c r="BA460" s="216"/>
      <c r="BB460" s="216"/>
      <c r="BC460" s="216"/>
      <c r="BD460" s="216"/>
      <c r="BE460" s="216"/>
      <c r="BF460" s="216"/>
      <c r="BG460" s="216"/>
      <c r="BH460" s="216"/>
      <c r="BI460" s="216"/>
      <c r="BJ460" s="216"/>
      <c r="BK460" s="216"/>
      <c r="BL460" s="216"/>
      <c r="BM460" s="216"/>
      <c r="BN460" s="216"/>
      <c r="BO460" s="216"/>
      <c r="BP460" s="216"/>
      <c r="BQ460" s="216"/>
      <c r="BR460" s="216"/>
      <c r="BS460" s="216"/>
      <c r="BT460" s="216"/>
      <c r="BU460" s="216"/>
      <c r="BV460" s="216"/>
      <c r="BW460" s="216"/>
      <c r="BX460" s="216"/>
      <c r="BY460" s="216"/>
      <c r="BZ460" s="216"/>
      <c r="CA460" s="216"/>
      <c r="CB460" s="216"/>
      <c r="CC460" s="216"/>
      <c r="CD460" s="216"/>
      <c r="CE460" s="216"/>
      <c r="CF460" s="216"/>
      <c r="CG460" s="216"/>
      <c r="CH460" s="216"/>
      <c r="CI460" s="216"/>
      <c r="CJ460" s="216"/>
      <c r="CK460" s="216"/>
      <c r="CL460" s="216"/>
      <c r="CM460" s="216"/>
      <c r="CN460" s="216"/>
      <c r="CO460" s="216"/>
      <c r="CP460" s="216"/>
      <c r="CQ460" s="216"/>
      <c r="CR460" s="216"/>
      <c r="CS460" s="216"/>
      <c r="CT460" s="216"/>
      <c r="CU460" s="216"/>
      <c r="CV460" s="216"/>
      <c r="CW460" s="216"/>
      <c r="CX460" s="216"/>
      <c r="CY460" s="216"/>
    </row>
    <row r="461" spans="1:103" ht="12.75" x14ac:dyDescent="0.2">
      <c r="A461" s="214"/>
      <c r="B461" s="214"/>
      <c r="C461" s="214"/>
      <c r="D461" s="214"/>
      <c r="E461" s="214"/>
      <c r="F461" s="214"/>
      <c r="G461" s="214"/>
      <c r="H461" s="214"/>
      <c r="I461" s="214"/>
      <c r="J461" s="214"/>
      <c r="K461" s="214"/>
      <c r="L461" s="214"/>
      <c r="M461" s="214"/>
      <c r="N461" s="215"/>
      <c r="O461" s="215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216"/>
      <c r="AR461" s="216"/>
      <c r="AS461" s="216"/>
      <c r="AT461" s="216"/>
      <c r="AU461" s="216"/>
      <c r="AV461" s="216"/>
      <c r="AW461" s="216"/>
      <c r="AX461" s="216"/>
      <c r="AY461" s="216"/>
      <c r="AZ461" s="216"/>
      <c r="BA461" s="216"/>
      <c r="BB461" s="216"/>
      <c r="BC461" s="216"/>
      <c r="BD461" s="216"/>
      <c r="BE461" s="216"/>
      <c r="BF461" s="216"/>
      <c r="BG461" s="216"/>
      <c r="BH461" s="216"/>
      <c r="BI461" s="216"/>
      <c r="BJ461" s="216"/>
      <c r="BK461" s="216"/>
      <c r="BL461" s="216"/>
      <c r="BM461" s="216"/>
      <c r="BN461" s="216"/>
      <c r="BO461" s="216"/>
      <c r="BP461" s="216"/>
      <c r="BQ461" s="216"/>
      <c r="BR461" s="216"/>
      <c r="BS461" s="216"/>
      <c r="BT461" s="216"/>
      <c r="BU461" s="216"/>
      <c r="BV461" s="216"/>
      <c r="BW461" s="216"/>
      <c r="BX461" s="216"/>
      <c r="BY461" s="216"/>
      <c r="BZ461" s="216"/>
      <c r="CA461" s="216"/>
      <c r="CB461" s="216"/>
      <c r="CC461" s="216"/>
      <c r="CD461" s="216"/>
      <c r="CE461" s="216"/>
      <c r="CF461" s="216"/>
      <c r="CG461" s="216"/>
      <c r="CH461" s="216"/>
      <c r="CI461" s="216"/>
      <c r="CJ461" s="216"/>
      <c r="CK461" s="216"/>
      <c r="CL461" s="216"/>
      <c r="CM461" s="216"/>
      <c r="CN461" s="216"/>
      <c r="CO461" s="216"/>
      <c r="CP461" s="216"/>
      <c r="CQ461" s="216"/>
      <c r="CR461" s="216"/>
      <c r="CS461" s="216"/>
      <c r="CT461" s="216"/>
      <c r="CU461" s="216"/>
      <c r="CV461" s="216"/>
      <c r="CW461" s="216"/>
      <c r="CX461" s="216"/>
      <c r="CY461" s="216"/>
    </row>
    <row r="462" spans="1:103" ht="12.75" x14ac:dyDescent="0.2">
      <c r="A462" s="214"/>
      <c r="B462" s="214"/>
      <c r="C462" s="214"/>
      <c r="D462" s="214"/>
      <c r="E462" s="214"/>
      <c r="F462" s="214"/>
      <c r="G462" s="214"/>
      <c r="H462" s="214"/>
      <c r="I462" s="214"/>
      <c r="J462" s="214"/>
      <c r="K462" s="214"/>
      <c r="L462" s="214"/>
      <c r="M462" s="214"/>
      <c r="N462" s="215"/>
      <c r="O462" s="215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16"/>
      <c r="AN462" s="216"/>
      <c r="AO462" s="216"/>
      <c r="AP462" s="216"/>
      <c r="AQ462" s="216"/>
      <c r="AR462" s="216"/>
      <c r="AS462" s="216"/>
      <c r="AT462" s="216"/>
      <c r="AU462" s="216"/>
      <c r="AV462" s="216"/>
      <c r="AW462" s="216"/>
      <c r="AX462" s="216"/>
      <c r="AY462" s="216"/>
      <c r="AZ462" s="216"/>
      <c r="BA462" s="216"/>
      <c r="BB462" s="216"/>
      <c r="BC462" s="216"/>
      <c r="BD462" s="216"/>
      <c r="BE462" s="216"/>
      <c r="BF462" s="216"/>
      <c r="BG462" s="216"/>
      <c r="BH462" s="216"/>
      <c r="BI462" s="216"/>
      <c r="BJ462" s="216"/>
      <c r="BK462" s="216"/>
      <c r="BL462" s="216"/>
      <c r="BM462" s="216"/>
      <c r="BN462" s="216"/>
      <c r="BO462" s="216"/>
      <c r="BP462" s="216"/>
      <c r="BQ462" s="216"/>
      <c r="BR462" s="216"/>
      <c r="BS462" s="216"/>
      <c r="BT462" s="216"/>
      <c r="BU462" s="216"/>
      <c r="BV462" s="216"/>
      <c r="BW462" s="216"/>
      <c r="BX462" s="216"/>
      <c r="BY462" s="216"/>
      <c r="BZ462" s="216"/>
      <c r="CA462" s="216"/>
      <c r="CB462" s="216"/>
      <c r="CC462" s="216"/>
      <c r="CD462" s="216"/>
      <c r="CE462" s="216"/>
      <c r="CF462" s="216"/>
      <c r="CG462" s="216"/>
      <c r="CH462" s="216"/>
      <c r="CI462" s="216"/>
      <c r="CJ462" s="216"/>
      <c r="CK462" s="216"/>
      <c r="CL462" s="216"/>
      <c r="CM462" s="216"/>
      <c r="CN462" s="216"/>
      <c r="CO462" s="216"/>
      <c r="CP462" s="216"/>
      <c r="CQ462" s="216"/>
      <c r="CR462" s="216"/>
      <c r="CS462" s="216"/>
      <c r="CT462" s="216"/>
      <c r="CU462" s="216"/>
      <c r="CV462" s="216"/>
      <c r="CW462" s="216"/>
      <c r="CX462" s="216"/>
      <c r="CY462" s="216"/>
    </row>
    <row r="463" spans="1:103" ht="12.75" x14ac:dyDescent="0.2">
      <c r="A463" s="214"/>
      <c r="B463" s="214"/>
      <c r="C463" s="214"/>
      <c r="D463" s="214"/>
      <c r="E463" s="214"/>
      <c r="F463" s="214"/>
      <c r="G463" s="214"/>
      <c r="H463" s="214"/>
      <c r="I463" s="214"/>
      <c r="J463" s="214"/>
      <c r="K463" s="214"/>
      <c r="L463" s="214"/>
      <c r="M463" s="214"/>
      <c r="N463" s="215"/>
      <c r="O463" s="215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  <c r="BI463" s="216"/>
      <c r="BJ463" s="216"/>
      <c r="BK463" s="216"/>
      <c r="BL463" s="216"/>
      <c r="BM463" s="216"/>
      <c r="BN463" s="216"/>
      <c r="BO463" s="216"/>
      <c r="BP463" s="216"/>
      <c r="BQ463" s="216"/>
      <c r="BR463" s="216"/>
      <c r="BS463" s="216"/>
      <c r="BT463" s="216"/>
      <c r="BU463" s="216"/>
      <c r="BV463" s="216"/>
      <c r="BW463" s="216"/>
      <c r="BX463" s="216"/>
      <c r="BY463" s="216"/>
      <c r="BZ463" s="216"/>
      <c r="CA463" s="216"/>
      <c r="CB463" s="216"/>
      <c r="CC463" s="216"/>
      <c r="CD463" s="216"/>
      <c r="CE463" s="216"/>
      <c r="CF463" s="216"/>
      <c r="CG463" s="216"/>
      <c r="CH463" s="216"/>
      <c r="CI463" s="216"/>
      <c r="CJ463" s="216"/>
      <c r="CK463" s="216"/>
      <c r="CL463" s="216"/>
      <c r="CM463" s="216"/>
      <c r="CN463" s="216"/>
      <c r="CO463" s="216"/>
      <c r="CP463" s="216"/>
      <c r="CQ463" s="216"/>
      <c r="CR463" s="216"/>
      <c r="CS463" s="216"/>
      <c r="CT463" s="216"/>
      <c r="CU463" s="216"/>
      <c r="CV463" s="216"/>
      <c r="CW463" s="216"/>
      <c r="CX463" s="216"/>
      <c r="CY463" s="216"/>
    </row>
    <row r="464" spans="1:103" ht="12.75" x14ac:dyDescent="0.2">
      <c r="A464" s="214"/>
      <c r="B464" s="214"/>
      <c r="C464" s="214"/>
      <c r="D464" s="214"/>
      <c r="E464" s="214"/>
      <c r="F464" s="214"/>
      <c r="G464" s="214"/>
      <c r="H464" s="214"/>
      <c r="I464" s="214"/>
      <c r="J464" s="214"/>
      <c r="K464" s="214"/>
      <c r="L464" s="214"/>
      <c r="M464" s="214"/>
      <c r="N464" s="215"/>
      <c r="O464" s="215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6"/>
      <c r="BN464" s="216"/>
      <c r="BO464" s="216"/>
      <c r="BP464" s="216"/>
      <c r="BQ464" s="216"/>
      <c r="BR464" s="216"/>
      <c r="BS464" s="216"/>
      <c r="BT464" s="216"/>
      <c r="BU464" s="216"/>
      <c r="BV464" s="216"/>
      <c r="BW464" s="216"/>
      <c r="BX464" s="216"/>
      <c r="BY464" s="216"/>
      <c r="BZ464" s="216"/>
      <c r="CA464" s="216"/>
      <c r="CB464" s="216"/>
      <c r="CC464" s="216"/>
      <c r="CD464" s="216"/>
      <c r="CE464" s="216"/>
      <c r="CF464" s="216"/>
      <c r="CG464" s="216"/>
      <c r="CH464" s="216"/>
      <c r="CI464" s="216"/>
      <c r="CJ464" s="216"/>
      <c r="CK464" s="216"/>
      <c r="CL464" s="216"/>
      <c r="CM464" s="216"/>
      <c r="CN464" s="216"/>
      <c r="CO464" s="216"/>
      <c r="CP464" s="216"/>
      <c r="CQ464" s="216"/>
      <c r="CR464" s="216"/>
      <c r="CS464" s="216"/>
      <c r="CT464" s="216"/>
      <c r="CU464" s="216"/>
      <c r="CV464" s="216"/>
      <c r="CW464" s="216"/>
      <c r="CX464" s="216"/>
      <c r="CY464" s="216"/>
    </row>
    <row r="465" spans="1:103" ht="12.75" x14ac:dyDescent="0.2">
      <c r="A465" s="214"/>
      <c r="B465" s="214"/>
      <c r="C465" s="214"/>
      <c r="D465" s="214"/>
      <c r="E465" s="214"/>
      <c r="F465" s="214"/>
      <c r="G465" s="214"/>
      <c r="H465" s="214"/>
      <c r="I465" s="214"/>
      <c r="J465" s="214"/>
      <c r="K465" s="214"/>
      <c r="L465" s="214"/>
      <c r="M465" s="214"/>
      <c r="N465" s="215"/>
      <c r="O465" s="215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6"/>
      <c r="BN465" s="216"/>
      <c r="BO465" s="216"/>
      <c r="BP465" s="216"/>
      <c r="BQ465" s="216"/>
      <c r="BR465" s="216"/>
      <c r="BS465" s="216"/>
      <c r="BT465" s="216"/>
      <c r="BU465" s="216"/>
      <c r="BV465" s="216"/>
      <c r="BW465" s="216"/>
      <c r="BX465" s="216"/>
      <c r="BY465" s="216"/>
      <c r="BZ465" s="216"/>
      <c r="CA465" s="216"/>
      <c r="CB465" s="216"/>
      <c r="CC465" s="216"/>
      <c r="CD465" s="216"/>
      <c r="CE465" s="216"/>
      <c r="CF465" s="216"/>
      <c r="CG465" s="216"/>
      <c r="CH465" s="216"/>
      <c r="CI465" s="216"/>
      <c r="CJ465" s="216"/>
      <c r="CK465" s="216"/>
      <c r="CL465" s="216"/>
      <c r="CM465" s="216"/>
      <c r="CN465" s="216"/>
      <c r="CO465" s="216"/>
      <c r="CP465" s="216"/>
      <c r="CQ465" s="216"/>
      <c r="CR465" s="216"/>
      <c r="CS465" s="216"/>
      <c r="CT465" s="216"/>
      <c r="CU465" s="216"/>
      <c r="CV465" s="216"/>
      <c r="CW465" s="216"/>
      <c r="CX465" s="216"/>
      <c r="CY465" s="216"/>
    </row>
    <row r="466" spans="1:103" ht="12.75" x14ac:dyDescent="0.2">
      <c r="A466" s="214"/>
      <c r="B466" s="214"/>
      <c r="C466" s="214"/>
      <c r="D466" s="214"/>
      <c r="E466" s="214"/>
      <c r="F466" s="214"/>
      <c r="G466" s="214"/>
      <c r="H466" s="214"/>
      <c r="I466" s="214"/>
      <c r="J466" s="214"/>
      <c r="K466" s="214"/>
      <c r="L466" s="214"/>
      <c r="M466" s="214"/>
      <c r="N466" s="215"/>
      <c r="O466" s="215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16"/>
      <c r="BN466" s="216"/>
      <c r="BO466" s="216"/>
      <c r="BP466" s="216"/>
      <c r="BQ466" s="216"/>
      <c r="BR466" s="216"/>
      <c r="BS466" s="216"/>
      <c r="BT466" s="216"/>
      <c r="BU466" s="216"/>
      <c r="BV466" s="216"/>
      <c r="BW466" s="216"/>
      <c r="BX466" s="216"/>
      <c r="BY466" s="216"/>
      <c r="BZ466" s="216"/>
      <c r="CA466" s="216"/>
      <c r="CB466" s="216"/>
      <c r="CC466" s="216"/>
      <c r="CD466" s="216"/>
      <c r="CE466" s="216"/>
      <c r="CF466" s="216"/>
      <c r="CG466" s="216"/>
      <c r="CH466" s="216"/>
      <c r="CI466" s="216"/>
      <c r="CJ466" s="216"/>
      <c r="CK466" s="216"/>
      <c r="CL466" s="216"/>
      <c r="CM466" s="216"/>
      <c r="CN466" s="216"/>
      <c r="CO466" s="216"/>
      <c r="CP466" s="216"/>
      <c r="CQ466" s="216"/>
      <c r="CR466" s="216"/>
      <c r="CS466" s="216"/>
      <c r="CT466" s="216"/>
      <c r="CU466" s="216"/>
      <c r="CV466" s="216"/>
      <c r="CW466" s="216"/>
      <c r="CX466" s="216"/>
      <c r="CY466" s="216"/>
    </row>
    <row r="467" spans="1:103" ht="12.75" x14ac:dyDescent="0.2">
      <c r="A467" s="214"/>
      <c r="B467" s="214"/>
      <c r="C467" s="214"/>
      <c r="D467" s="214"/>
      <c r="E467" s="214"/>
      <c r="F467" s="214"/>
      <c r="G467" s="214"/>
      <c r="H467" s="214"/>
      <c r="I467" s="214"/>
      <c r="J467" s="214"/>
      <c r="K467" s="214"/>
      <c r="L467" s="214"/>
      <c r="M467" s="214"/>
      <c r="N467" s="215"/>
      <c r="O467" s="215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16"/>
      <c r="BN467" s="216"/>
      <c r="BO467" s="216"/>
      <c r="BP467" s="216"/>
      <c r="BQ467" s="216"/>
      <c r="BR467" s="216"/>
      <c r="BS467" s="216"/>
      <c r="BT467" s="216"/>
      <c r="BU467" s="216"/>
      <c r="BV467" s="216"/>
      <c r="BW467" s="216"/>
      <c r="BX467" s="216"/>
      <c r="BY467" s="216"/>
      <c r="BZ467" s="216"/>
      <c r="CA467" s="216"/>
      <c r="CB467" s="216"/>
      <c r="CC467" s="216"/>
      <c r="CD467" s="216"/>
      <c r="CE467" s="216"/>
      <c r="CF467" s="216"/>
      <c r="CG467" s="216"/>
      <c r="CH467" s="216"/>
      <c r="CI467" s="216"/>
      <c r="CJ467" s="216"/>
      <c r="CK467" s="216"/>
      <c r="CL467" s="216"/>
      <c r="CM467" s="216"/>
      <c r="CN467" s="216"/>
      <c r="CO467" s="216"/>
      <c r="CP467" s="216"/>
      <c r="CQ467" s="216"/>
      <c r="CR467" s="216"/>
      <c r="CS467" s="216"/>
      <c r="CT467" s="216"/>
      <c r="CU467" s="216"/>
      <c r="CV467" s="216"/>
      <c r="CW467" s="216"/>
      <c r="CX467" s="216"/>
      <c r="CY467" s="216"/>
    </row>
    <row r="468" spans="1:103" ht="12.75" x14ac:dyDescent="0.2">
      <c r="A468" s="214"/>
      <c r="B468" s="214"/>
      <c r="C468" s="214"/>
      <c r="D468" s="214"/>
      <c r="E468" s="214"/>
      <c r="F468" s="214"/>
      <c r="G468" s="214"/>
      <c r="H468" s="214"/>
      <c r="I468" s="214"/>
      <c r="J468" s="214"/>
      <c r="K468" s="214"/>
      <c r="L468" s="214"/>
      <c r="M468" s="214"/>
      <c r="N468" s="215"/>
      <c r="O468" s="215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16"/>
      <c r="BN468" s="216"/>
      <c r="BO468" s="216"/>
      <c r="BP468" s="216"/>
      <c r="BQ468" s="216"/>
      <c r="BR468" s="216"/>
      <c r="BS468" s="216"/>
      <c r="BT468" s="216"/>
      <c r="BU468" s="216"/>
      <c r="BV468" s="216"/>
      <c r="BW468" s="216"/>
      <c r="BX468" s="216"/>
      <c r="BY468" s="216"/>
      <c r="BZ468" s="216"/>
      <c r="CA468" s="216"/>
      <c r="CB468" s="216"/>
      <c r="CC468" s="216"/>
      <c r="CD468" s="216"/>
      <c r="CE468" s="216"/>
      <c r="CF468" s="216"/>
      <c r="CG468" s="216"/>
      <c r="CH468" s="216"/>
      <c r="CI468" s="216"/>
      <c r="CJ468" s="216"/>
      <c r="CK468" s="216"/>
      <c r="CL468" s="216"/>
      <c r="CM468" s="216"/>
      <c r="CN468" s="216"/>
      <c r="CO468" s="216"/>
      <c r="CP468" s="216"/>
      <c r="CQ468" s="216"/>
      <c r="CR468" s="216"/>
      <c r="CS468" s="216"/>
      <c r="CT468" s="216"/>
      <c r="CU468" s="216"/>
      <c r="CV468" s="216"/>
      <c r="CW468" s="216"/>
      <c r="CX468" s="216"/>
      <c r="CY468" s="216"/>
    </row>
    <row r="469" spans="1:103" ht="12.75" x14ac:dyDescent="0.2">
      <c r="A469" s="214"/>
      <c r="B469" s="214"/>
      <c r="C469" s="214"/>
      <c r="D469" s="214"/>
      <c r="E469" s="214"/>
      <c r="F469" s="214"/>
      <c r="G469" s="214"/>
      <c r="H469" s="214"/>
      <c r="I469" s="214"/>
      <c r="J469" s="214"/>
      <c r="K469" s="214"/>
      <c r="L469" s="214"/>
      <c r="M469" s="214"/>
      <c r="N469" s="215"/>
      <c r="O469" s="215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  <c r="AU469" s="216"/>
      <c r="AV469" s="216"/>
      <c r="AW469" s="216"/>
      <c r="AX469" s="216"/>
      <c r="AY469" s="216"/>
      <c r="AZ469" s="216"/>
      <c r="BA469" s="216"/>
      <c r="BB469" s="216"/>
      <c r="BC469" s="216"/>
      <c r="BD469" s="216"/>
      <c r="BE469" s="216"/>
      <c r="BF469" s="216"/>
      <c r="BG469" s="216"/>
      <c r="BH469" s="216"/>
      <c r="BI469" s="216"/>
      <c r="BJ469" s="216"/>
      <c r="BK469" s="216"/>
      <c r="BL469" s="216"/>
      <c r="BM469" s="216"/>
      <c r="BN469" s="216"/>
      <c r="BO469" s="216"/>
      <c r="BP469" s="216"/>
      <c r="BQ469" s="216"/>
      <c r="BR469" s="216"/>
      <c r="BS469" s="216"/>
      <c r="BT469" s="216"/>
      <c r="BU469" s="216"/>
      <c r="BV469" s="216"/>
      <c r="BW469" s="216"/>
      <c r="BX469" s="216"/>
      <c r="BY469" s="216"/>
      <c r="BZ469" s="216"/>
      <c r="CA469" s="216"/>
      <c r="CB469" s="216"/>
      <c r="CC469" s="216"/>
      <c r="CD469" s="216"/>
      <c r="CE469" s="216"/>
      <c r="CF469" s="216"/>
      <c r="CG469" s="216"/>
      <c r="CH469" s="216"/>
      <c r="CI469" s="216"/>
      <c r="CJ469" s="216"/>
      <c r="CK469" s="216"/>
      <c r="CL469" s="216"/>
      <c r="CM469" s="216"/>
      <c r="CN469" s="216"/>
      <c r="CO469" s="216"/>
      <c r="CP469" s="216"/>
      <c r="CQ469" s="216"/>
      <c r="CR469" s="216"/>
      <c r="CS469" s="216"/>
      <c r="CT469" s="216"/>
      <c r="CU469" s="216"/>
      <c r="CV469" s="216"/>
      <c r="CW469" s="216"/>
      <c r="CX469" s="216"/>
      <c r="CY469" s="216"/>
    </row>
    <row r="470" spans="1:103" ht="12.75" x14ac:dyDescent="0.2">
      <c r="A470" s="214"/>
      <c r="B470" s="214"/>
      <c r="C470" s="214"/>
      <c r="D470" s="214"/>
      <c r="E470" s="214"/>
      <c r="F470" s="214"/>
      <c r="G470" s="214"/>
      <c r="H470" s="214"/>
      <c r="I470" s="214"/>
      <c r="J470" s="214"/>
      <c r="K470" s="214"/>
      <c r="L470" s="214"/>
      <c r="M470" s="214"/>
      <c r="N470" s="215"/>
      <c r="O470" s="215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  <c r="AU470" s="216"/>
      <c r="AV470" s="216"/>
      <c r="AW470" s="216"/>
      <c r="AX470" s="216"/>
      <c r="AY470" s="216"/>
      <c r="AZ470" s="216"/>
      <c r="BA470" s="216"/>
      <c r="BB470" s="216"/>
      <c r="BC470" s="216"/>
      <c r="BD470" s="216"/>
      <c r="BE470" s="216"/>
      <c r="BF470" s="216"/>
      <c r="BG470" s="216"/>
      <c r="BH470" s="216"/>
      <c r="BI470" s="216"/>
      <c r="BJ470" s="216"/>
      <c r="BK470" s="216"/>
      <c r="BL470" s="216"/>
      <c r="BM470" s="216"/>
      <c r="BN470" s="216"/>
      <c r="BO470" s="216"/>
      <c r="BP470" s="216"/>
      <c r="BQ470" s="216"/>
      <c r="BR470" s="216"/>
      <c r="BS470" s="216"/>
      <c r="BT470" s="216"/>
      <c r="BU470" s="216"/>
      <c r="BV470" s="216"/>
      <c r="BW470" s="216"/>
      <c r="BX470" s="216"/>
      <c r="BY470" s="216"/>
      <c r="BZ470" s="216"/>
      <c r="CA470" s="216"/>
      <c r="CB470" s="216"/>
      <c r="CC470" s="216"/>
      <c r="CD470" s="216"/>
      <c r="CE470" s="216"/>
      <c r="CF470" s="216"/>
      <c r="CG470" s="216"/>
      <c r="CH470" s="216"/>
      <c r="CI470" s="216"/>
      <c r="CJ470" s="216"/>
      <c r="CK470" s="216"/>
      <c r="CL470" s="216"/>
      <c r="CM470" s="216"/>
      <c r="CN470" s="216"/>
      <c r="CO470" s="216"/>
      <c r="CP470" s="216"/>
      <c r="CQ470" s="216"/>
      <c r="CR470" s="216"/>
      <c r="CS470" s="216"/>
      <c r="CT470" s="216"/>
      <c r="CU470" s="216"/>
      <c r="CV470" s="216"/>
      <c r="CW470" s="216"/>
      <c r="CX470" s="216"/>
      <c r="CY470" s="216"/>
    </row>
    <row r="471" spans="1:103" ht="12.75" x14ac:dyDescent="0.2">
      <c r="A471" s="214"/>
      <c r="B471" s="214"/>
      <c r="C471" s="214"/>
      <c r="D471" s="214"/>
      <c r="E471" s="214"/>
      <c r="F471" s="214"/>
      <c r="G471" s="214"/>
      <c r="H471" s="214"/>
      <c r="I471" s="214"/>
      <c r="J471" s="214"/>
      <c r="K471" s="214"/>
      <c r="L471" s="214"/>
      <c r="M471" s="214"/>
      <c r="N471" s="215"/>
      <c r="O471" s="215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16"/>
      <c r="AN471" s="216"/>
      <c r="AO471" s="216"/>
      <c r="AP471" s="216"/>
      <c r="AQ471" s="216"/>
      <c r="AR471" s="216"/>
      <c r="AS471" s="216"/>
      <c r="AT471" s="216"/>
      <c r="AU471" s="216"/>
      <c r="AV471" s="216"/>
      <c r="AW471" s="216"/>
      <c r="AX471" s="216"/>
      <c r="AY471" s="216"/>
      <c r="AZ471" s="216"/>
      <c r="BA471" s="216"/>
      <c r="BB471" s="216"/>
      <c r="BC471" s="216"/>
      <c r="BD471" s="216"/>
      <c r="BE471" s="216"/>
      <c r="BF471" s="216"/>
      <c r="BG471" s="216"/>
      <c r="BH471" s="216"/>
      <c r="BI471" s="216"/>
      <c r="BJ471" s="216"/>
      <c r="BK471" s="216"/>
      <c r="BL471" s="216"/>
      <c r="BM471" s="216"/>
      <c r="BN471" s="216"/>
      <c r="BO471" s="216"/>
      <c r="BP471" s="216"/>
      <c r="BQ471" s="216"/>
      <c r="BR471" s="216"/>
      <c r="BS471" s="216"/>
      <c r="BT471" s="216"/>
      <c r="BU471" s="216"/>
      <c r="BV471" s="216"/>
      <c r="BW471" s="216"/>
      <c r="BX471" s="216"/>
      <c r="BY471" s="216"/>
      <c r="BZ471" s="216"/>
      <c r="CA471" s="216"/>
      <c r="CB471" s="216"/>
      <c r="CC471" s="216"/>
      <c r="CD471" s="216"/>
      <c r="CE471" s="216"/>
      <c r="CF471" s="216"/>
      <c r="CG471" s="216"/>
      <c r="CH471" s="216"/>
      <c r="CI471" s="216"/>
      <c r="CJ471" s="216"/>
      <c r="CK471" s="216"/>
      <c r="CL471" s="216"/>
      <c r="CM471" s="216"/>
      <c r="CN471" s="216"/>
      <c r="CO471" s="216"/>
      <c r="CP471" s="216"/>
      <c r="CQ471" s="216"/>
      <c r="CR471" s="216"/>
      <c r="CS471" s="216"/>
      <c r="CT471" s="216"/>
      <c r="CU471" s="216"/>
      <c r="CV471" s="216"/>
      <c r="CW471" s="216"/>
      <c r="CX471" s="216"/>
      <c r="CY471" s="216"/>
    </row>
    <row r="472" spans="1:103" ht="12.75" x14ac:dyDescent="0.2">
      <c r="A472" s="214"/>
      <c r="B472" s="214"/>
      <c r="C472" s="214"/>
      <c r="D472" s="214"/>
      <c r="E472" s="214"/>
      <c r="F472" s="214"/>
      <c r="G472" s="214"/>
      <c r="H472" s="214"/>
      <c r="I472" s="214"/>
      <c r="J472" s="214"/>
      <c r="K472" s="214"/>
      <c r="L472" s="214"/>
      <c r="M472" s="214"/>
      <c r="N472" s="215"/>
      <c r="O472" s="215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16"/>
      <c r="AN472" s="216"/>
      <c r="AO472" s="216"/>
      <c r="AP472" s="216"/>
      <c r="AQ472" s="216"/>
      <c r="AR472" s="216"/>
      <c r="AS472" s="216"/>
      <c r="AT472" s="216"/>
      <c r="AU472" s="216"/>
      <c r="AV472" s="216"/>
      <c r="AW472" s="216"/>
      <c r="AX472" s="216"/>
      <c r="AY472" s="216"/>
      <c r="AZ472" s="216"/>
      <c r="BA472" s="216"/>
      <c r="BB472" s="216"/>
      <c r="BC472" s="216"/>
      <c r="BD472" s="216"/>
      <c r="BE472" s="216"/>
      <c r="BF472" s="216"/>
      <c r="BG472" s="216"/>
      <c r="BH472" s="216"/>
      <c r="BI472" s="216"/>
      <c r="BJ472" s="216"/>
      <c r="BK472" s="216"/>
      <c r="BL472" s="216"/>
      <c r="BM472" s="216"/>
      <c r="BN472" s="216"/>
      <c r="BO472" s="216"/>
      <c r="BP472" s="216"/>
      <c r="BQ472" s="216"/>
      <c r="BR472" s="216"/>
      <c r="BS472" s="216"/>
      <c r="BT472" s="216"/>
      <c r="BU472" s="216"/>
      <c r="BV472" s="216"/>
      <c r="BW472" s="216"/>
      <c r="BX472" s="216"/>
      <c r="BY472" s="216"/>
      <c r="BZ472" s="216"/>
      <c r="CA472" s="216"/>
      <c r="CB472" s="216"/>
      <c r="CC472" s="216"/>
      <c r="CD472" s="216"/>
      <c r="CE472" s="216"/>
      <c r="CF472" s="216"/>
      <c r="CG472" s="216"/>
      <c r="CH472" s="216"/>
      <c r="CI472" s="216"/>
      <c r="CJ472" s="216"/>
      <c r="CK472" s="216"/>
      <c r="CL472" s="216"/>
      <c r="CM472" s="216"/>
      <c r="CN472" s="216"/>
      <c r="CO472" s="216"/>
      <c r="CP472" s="216"/>
      <c r="CQ472" s="216"/>
      <c r="CR472" s="216"/>
      <c r="CS472" s="216"/>
      <c r="CT472" s="216"/>
      <c r="CU472" s="216"/>
      <c r="CV472" s="216"/>
      <c r="CW472" s="216"/>
      <c r="CX472" s="216"/>
      <c r="CY472" s="216"/>
    </row>
    <row r="473" spans="1:103" ht="12.75" x14ac:dyDescent="0.2">
      <c r="A473" s="214"/>
      <c r="B473" s="214"/>
      <c r="C473" s="214"/>
      <c r="D473" s="214"/>
      <c r="E473" s="214"/>
      <c r="F473" s="214"/>
      <c r="G473" s="214"/>
      <c r="H473" s="214"/>
      <c r="I473" s="214"/>
      <c r="J473" s="214"/>
      <c r="K473" s="214"/>
      <c r="L473" s="214"/>
      <c r="M473" s="214"/>
      <c r="N473" s="215"/>
      <c r="O473" s="215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16"/>
      <c r="AN473" s="216"/>
      <c r="AO473" s="216"/>
      <c r="AP473" s="216"/>
      <c r="AQ473" s="216"/>
      <c r="AR473" s="216"/>
      <c r="AS473" s="216"/>
      <c r="AT473" s="216"/>
      <c r="AU473" s="216"/>
      <c r="AV473" s="216"/>
      <c r="AW473" s="216"/>
      <c r="AX473" s="216"/>
      <c r="AY473" s="216"/>
      <c r="AZ473" s="216"/>
      <c r="BA473" s="216"/>
      <c r="BB473" s="216"/>
      <c r="BC473" s="216"/>
      <c r="BD473" s="216"/>
      <c r="BE473" s="216"/>
      <c r="BF473" s="216"/>
      <c r="BG473" s="216"/>
      <c r="BH473" s="216"/>
      <c r="BI473" s="216"/>
      <c r="BJ473" s="216"/>
      <c r="BK473" s="216"/>
      <c r="BL473" s="216"/>
      <c r="BM473" s="216"/>
      <c r="BN473" s="216"/>
      <c r="BO473" s="216"/>
      <c r="BP473" s="216"/>
      <c r="BQ473" s="216"/>
      <c r="BR473" s="216"/>
      <c r="BS473" s="216"/>
      <c r="BT473" s="216"/>
      <c r="BU473" s="216"/>
      <c r="BV473" s="216"/>
      <c r="BW473" s="216"/>
      <c r="BX473" s="216"/>
      <c r="BY473" s="216"/>
      <c r="BZ473" s="216"/>
      <c r="CA473" s="216"/>
      <c r="CB473" s="216"/>
      <c r="CC473" s="216"/>
      <c r="CD473" s="216"/>
      <c r="CE473" s="216"/>
      <c r="CF473" s="216"/>
      <c r="CG473" s="216"/>
      <c r="CH473" s="216"/>
      <c r="CI473" s="216"/>
      <c r="CJ473" s="216"/>
      <c r="CK473" s="216"/>
      <c r="CL473" s="216"/>
      <c r="CM473" s="216"/>
      <c r="CN473" s="216"/>
      <c r="CO473" s="216"/>
      <c r="CP473" s="216"/>
      <c r="CQ473" s="216"/>
      <c r="CR473" s="216"/>
      <c r="CS473" s="216"/>
      <c r="CT473" s="216"/>
      <c r="CU473" s="216"/>
      <c r="CV473" s="216"/>
      <c r="CW473" s="216"/>
      <c r="CX473" s="216"/>
      <c r="CY473" s="216"/>
    </row>
    <row r="474" spans="1:103" ht="12.75" x14ac:dyDescent="0.2">
      <c r="A474" s="214"/>
      <c r="B474" s="214"/>
      <c r="C474" s="214"/>
      <c r="D474" s="214"/>
      <c r="E474" s="214"/>
      <c r="F474" s="214"/>
      <c r="G474" s="214"/>
      <c r="H474" s="214"/>
      <c r="I474" s="214"/>
      <c r="J474" s="214"/>
      <c r="K474" s="214"/>
      <c r="L474" s="214"/>
      <c r="M474" s="214"/>
      <c r="N474" s="215"/>
      <c r="O474" s="215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16"/>
      <c r="AN474" s="216"/>
      <c r="AO474" s="216"/>
      <c r="AP474" s="216"/>
      <c r="AQ474" s="216"/>
      <c r="AR474" s="216"/>
      <c r="AS474" s="216"/>
      <c r="AT474" s="216"/>
      <c r="AU474" s="216"/>
      <c r="AV474" s="216"/>
      <c r="AW474" s="216"/>
      <c r="AX474" s="216"/>
      <c r="AY474" s="216"/>
      <c r="AZ474" s="216"/>
      <c r="BA474" s="216"/>
      <c r="BB474" s="216"/>
      <c r="BC474" s="216"/>
      <c r="BD474" s="216"/>
      <c r="BE474" s="216"/>
      <c r="BF474" s="216"/>
      <c r="BG474" s="216"/>
      <c r="BH474" s="216"/>
      <c r="BI474" s="216"/>
      <c r="BJ474" s="216"/>
      <c r="BK474" s="216"/>
      <c r="BL474" s="216"/>
      <c r="BM474" s="216"/>
      <c r="BN474" s="216"/>
      <c r="BO474" s="216"/>
      <c r="BP474" s="216"/>
      <c r="BQ474" s="216"/>
      <c r="BR474" s="216"/>
      <c r="BS474" s="216"/>
      <c r="BT474" s="216"/>
      <c r="BU474" s="216"/>
      <c r="BV474" s="216"/>
      <c r="BW474" s="216"/>
      <c r="BX474" s="216"/>
      <c r="BY474" s="216"/>
      <c r="BZ474" s="216"/>
      <c r="CA474" s="216"/>
      <c r="CB474" s="216"/>
      <c r="CC474" s="216"/>
      <c r="CD474" s="216"/>
      <c r="CE474" s="216"/>
      <c r="CF474" s="216"/>
      <c r="CG474" s="216"/>
      <c r="CH474" s="216"/>
      <c r="CI474" s="216"/>
      <c r="CJ474" s="216"/>
      <c r="CK474" s="216"/>
      <c r="CL474" s="216"/>
      <c r="CM474" s="216"/>
      <c r="CN474" s="216"/>
      <c r="CO474" s="216"/>
      <c r="CP474" s="216"/>
      <c r="CQ474" s="216"/>
      <c r="CR474" s="216"/>
      <c r="CS474" s="216"/>
      <c r="CT474" s="216"/>
      <c r="CU474" s="216"/>
      <c r="CV474" s="216"/>
      <c r="CW474" s="216"/>
      <c r="CX474" s="216"/>
      <c r="CY474" s="216"/>
    </row>
    <row r="475" spans="1:103" ht="12.75" x14ac:dyDescent="0.2">
      <c r="A475" s="214"/>
      <c r="B475" s="214"/>
      <c r="C475" s="214"/>
      <c r="D475" s="214"/>
      <c r="E475" s="214"/>
      <c r="F475" s="214"/>
      <c r="G475" s="214"/>
      <c r="H475" s="214"/>
      <c r="I475" s="214"/>
      <c r="J475" s="214"/>
      <c r="K475" s="214"/>
      <c r="L475" s="214"/>
      <c r="M475" s="214"/>
      <c r="N475" s="215"/>
      <c r="O475" s="215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16"/>
      <c r="AN475" s="216"/>
      <c r="AO475" s="216"/>
      <c r="AP475" s="216"/>
      <c r="AQ475" s="216"/>
      <c r="AR475" s="216"/>
      <c r="AS475" s="216"/>
      <c r="AT475" s="216"/>
      <c r="AU475" s="216"/>
      <c r="AV475" s="216"/>
      <c r="AW475" s="216"/>
      <c r="AX475" s="216"/>
      <c r="AY475" s="216"/>
      <c r="AZ475" s="216"/>
      <c r="BA475" s="216"/>
      <c r="BB475" s="216"/>
      <c r="BC475" s="216"/>
      <c r="BD475" s="216"/>
      <c r="BE475" s="216"/>
      <c r="BF475" s="216"/>
      <c r="BG475" s="216"/>
      <c r="BH475" s="216"/>
      <c r="BI475" s="216"/>
      <c r="BJ475" s="216"/>
      <c r="BK475" s="216"/>
      <c r="BL475" s="216"/>
      <c r="BM475" s="216"/>
      <c r="BN475" s="216"/>
      <c r="BO475" s="216"/>
      <c r="BP475" s="216"/>
      <c r="BQ475" s="216"/>
      <c r="BR475" s="216"/>
      <c r="BS475" s="216"/>
      <c r="BT475" s="216"/>
      <c r="BU475" s="216"/>
      <c r="BV475" s="216"/>
      <c r="BW475" s="216"/>
      <c r="BX475" s="216"/>
      <c r="BY475" s="216"/>
      <c r="BZ475" s="216"/>
      <c r="CA475" s="216"/>
      <c r="CB475" s="216"/>
      <c r="CC475" s="216"/>
      <c r="CD475" s="216"/>
      <c r="CE475" s="216"/>
      <c r="CF475" s="216"/>
      <c r="CG475" s="216"/>
      <c r="CH475" s="216"/>
      <c r="CI475" s="216"/>
      <c r="CJ475" s="216"/>
      <c r="CK475" s="216"/>
      <c r="CL475" s="216"/>
      <c r="CM475" s="216"/>
      <c r="CN475" s="216"/>
      <c r="CO475" s="216"/>
      <c r="CP475" s="216"/>
      <c r="CQ475" s="216"/>
      <c r="CR475" s="216"/>
      <c r="CS475" s="216"/>
      <c r="CT475" s="216"/>
      <c r="CU475" s="216"/>
      <c r="CV475" s="216"/>
      <c r="CW475" s="216"/>
      <c r="CX475" s="216"/>
      <c r="CY475" s="216"/>
    </row>
    <row r="476" spans="1:103" ht="12.75" x14ac:dyDescent="0.2">
      <c r="A476" s="214"/>
      <c r="B476" s="214"/>
      <c r="C476" s="214"/>
      <c r="D476" s="214"/>
      <c r="E476" s="214"/>
      <c r="F476" s="214"/>
      <c r="G476" s="214"/>
      <c r="H476" s="214"/>
      <c r="I476" s="214"/>
      <c r="J476" s="214"/>
      <c r="K476" s="214"/>
      <c r="L476" s="214"/>
      <c r="M476" s="214"/>
      <c r="N476" s="215"/>
      <c r="O476" s="215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16"/>
      <c r="AN476" s="216"/>
      <c r="AO476" s="216"/>
      <c r="AP476" s="216"/>
      <c r="AQ476" s="216"/>
      <c r="AR476" s="216"/>
      <c r="AS476" s="216"/>
      <c r="AT476" s="216"/>
      <c r="AU476" s="216"/>
      <c r="AV476" s="216"/>
      <c r="AW476" s="216"/>
      <c r="AX476" s="216"/>
      <c r="AY476" s="216"/>
      <c r="AZ476" s="216"/>
      <c r="BA476" s="216"/>
      <c r="BB476" s="216"/>
      <c r="BC476" s="216"/>
      <c r="BD476" s="216"/>
      <c r="BE476" s="216"/>
      <c r="BF476" s="216"/>
      <c r="BG476" s="216"/>
      <c r="BH476" s="216"/>
      <c r="BI476" s="216"/>
      <c r="BJ476" s="216"/>
      <c r="BK476" s="216"/>
      <c r="BL476" s="216"/>
      <c r="BM476" s="216"/>
      <c r="BN476" s="216"/>
      <c r="BO476" s="216"/>
      <c r="BP476" s="216"/>
      <c r="BQ476" s="216"/>
      <c r="BR476" s="216"/>
      <c r="BS476" s="216"/>
      <c r="BT476" s="216"/>
      <c r="BU476" s="216"/>
      <c r="BV476" s="216"/>
      <c r="BW476" s="216"/>
      <c r="BX476" s="216"/>
      <c r="BY476" s="216"/>
      <c r="BZ476" s="216"/>
      <c r="CA476" s="216"/>
      <c r="CB476" s="216"/>
      <c r="CC476" s="216"/>
      <c r="CD476" s="216"/>
      <c r="CE476" s="216"/>
      <c r="CF476" s="216"/>
      <c r="CG476" s="216"/>
      <c r="CH476" s="216"/>
      <c r="CI476" s="216"/>
      <c r="CJ476" s="216"/>
      <c r="CK476" s="216"/>
      <c r="CL476" s="216"/>
      <c r="CM476" s="216"/>
      <c r="CN476" s="216"/>
      <c r="CO476" s="216"/>
      <c r="CP476" s="216"/>
      <c r="CQ476" s="216"/>
      <c r="CR476" s="216"/>
      <c r="CS476" s="216"/>
      <c r="CT476" s="216"/>
      <c r="CU476" s="216"/>
      <c r="CV476" s="216"/>
      <c r="CW476" s="216"/>
      <c r="CX476" s="216"/>
      <c r="CY476" s="216"/>
    </row>
    <row r="477" spans="1:103" ht="12.75" x14ac:dyDescent="0.2">
      <c r="A477" s="214"/>
      <c r="B477" s="214"/>
      <c r="C477" s="214"/>
      <c r="D477" s="214"/>
      <c r="E477" s="214"/>
      <c r="F477" s="214"/>
      <c r="G477" s="214"/>
      <c r="H477" s="214"/>
      <c r="I477" s="214"/>
      <c r="J477" s="214"/>
      <c r="K477" s="214"/>
      <c r="L477" s="214"/>
      <c r="M477" s="214"/>
      <c r="N477" s="215"/>
      <c r="O477" s="215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16"/>
      <c r="AN477" s="216"/>
      <c r="AO477" s="216"/>
      <c r="AP477" s="216"/>
      <c r="AQ477" s="216"/>
      <c r="AR477" s="216"/>
      <c r="AS477" s="216"/>
      <c r="AT477" s="216"/>
      <c r="AU477" s="216"/>
      <c r="AV477" s="216"/>
      <c r="AW477" s="216"/>
      <c r="AX477" s="216"/>
      <c r="AY477" s="216"/>
      <c r="AZ477" s="216"/>
      <c r="BA477" s="216"/>
      <c r="BB477" s="216"/>
      <c r="BC477" s="216"/>
      <c r="BD477" s="216"/>
      <c r="BE477" s="216"/>
      <c r="BF477" s="216"/>
      <c r="BG477" s="216"/>
      <c r="BH477" s="216"/>
      <c r="BI477" s="216"/>
      <c r="BJ477" s="216"/>
      <c r="BK477" s="216"/>
      <c r="BL477" s="216"/>
      <c r="BM477" s="216"/>
      <c r="BN477" s="216"/>
      <c r="BO477" s="216"/>
      <c r="BP477" s="216"/>
      <c r="BQ477" s="216"/>
      <c r="BR477" s="216"/>
      <c r="BS477" s="216"/>
      <c r="BT477" s="216"/>
      <c r="BU477" s="216"/>
      <c r="BV477" s="216"/>
      <c r="BW477" s="216"/>
      <c r="BX477" s="216"/>
      <c r="BY477" s="216"/>
      <c r="BZ477" s="216"/>
      <c r="CA477" s="216"/>
      <c r="CB477" s="216"/>
      <c r="CC477" s="216"/>
      <c r="CD477" s="216"/>
      <c r="CE477" s="216"/>
      <c r="CF477" s="216"/>
      <c r="CG477" s="216"/>
      <c r="CH477" s="216"/>
      <c r="CI477" s="216"/>
      <c r="CJ477" s="216"/>
      <c r="CK477" s="216"/>
      <c r="CL477" s="216"/>
      <c r="CM477" s="216"/>
      <c r="CN477" s="216"/>
      <c r="CO477" s="216"/>
      <c r="CP477" s="216"/>
      <c r="CQ477" s="216"/>
      <c r="CR477" s="216"/>
      <c r="CS477" s="216"/>
      <c r="CT477" s="216"/>
      <c r="CU477" s="216"/>
      <c r="CV477" s="216"/>
      <c r="CW477" s="216"/>
      <c r="CX477" s="216"/>
      <c r="CY477" s="216"/>
    </row>
    <row r="478" spans="1:103" ht="12.75" x14ac:dyDescent="0.2">
      <c r="A478" s="214"/>
      <c r="B478" s="214"/>
      <c r="C478" s="214"/>
      <c r="D478" s="214"/>
      <c r="E478" s="214"/>
      <c r="F478" s="214"/>
      <c r="G478" s="214"/>
      <c r="H478" s="214"/>
      <c r="I478" s="214"/>
      <c r="J478" s="214"/>
      <c r="K478" s="214"/>
      <c r="L478" s="214"/>
      <c r="M478" s="214"/>
      <c r="N478" s="215"/>
      <c r="O478" s="215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16"/>
      <c r="AN478" s="216"/>
      <c r="AO478" s="216"/>
      <c r="AP478" s="216"/>
      <c r="AQ478" s="216"/>
      <c r="AR478" s="216"/>
      <c r="AS478" s="216"/>
      <c r="AT478" s="216"/>
      <c r="AU478" s="216"/>
      <c r="AV478" s="216"/>
      <c r="AW478" s="216"/>
      <c r="AX478" s="216"/>
      <c r="AY478" s="216"/>
      <c r="AZ478" s="216"/>
      <c r="BA478" s="216"/>
      <c r="BB478" s="216"/>
      <c r="BC478" s="216"/>
      <c r="BD478" s="216"/>
      <c r="BE478" s="216"/>
      <c r="BF478" s="216"/>
      <c r="BG478" s="216"/>
      <c r="BH478" s="216"/>
      <c r="BI478" s="216"/>
      <c r="BJ478" s="216"/>
      <c r="BK478" s="216"/>
      <c r="BL478" s="216"/>
      <c r="BM478" s="216"/>
      <c r="BN478" s="216"/>
      <c r="BO478" s="216"/>
      <c r="BP478" s="216"/>
      <c r="BQ478" s="216"/>
      <c r="BR478" s="216"/>
      <c r="BS478" s="216"/>
      <c r="BT478" s="216"/>
      <c r="BU478" s="216"/>
      <c r="BV478" s="216"/>
      <c r="BW478" s="216"/>
      <c r="BX478" s="216"/>
      <c r="BY478" s="216"/>
      <c r="BZ478" s="216"/>
      <c r="CA478" s="216"/>
      <c r="CB478" s="216"/>
      <c r="CC478" s="216"/>
      <c r="CD478" s="216"/>
      <c r="CE478" s="216"/>
      <c r="CF478" s="216"/>
      <c r="CG478" s="216"/>
      <c r="CH478" s="216"/>
      <c r="CI478" s="216"/>
      <c r="CJ478" s="216"/>
      <c r="CK478" s="216"/>
      <c r="CL478" s="216"/>
      <c r="CM478" s="216"/>
      <c r="CN478" s="216"/>
      <c r="CO478" s="216"/>
      <c r="CP478" s="216"/>
      <c r="CQ478" s="216"/>
      <c r="CR478" s="216"/>
      <c r="CS478" s="216"/>
      <c r="CT478" s="216"/>
      <c r="CU478" s="216"/>
      <c r="CV478" s="216"/>
      <c r="CW478" s="216"/>
      <c r="CX478" s="216"/>
      <c r="CY478" s="216"/>
    </row>
    <row r="479" spans="1:103" ht="12.75" x14ac:dyDescent="0.2">
      <c r="A479" s="214"/>
      <c r="B479" s="214"/>
      <c r="C479" s="214"/>
      <c r="D479" s="214"/>
      <c r="E479" s="214"/>
      <c r="F479" s="214"/>
      <c r="G479" s="214"/>
      <c r="H479" s="214"/>
      <c r="I479" s="214"/>
      <c r="J479" s="214"/>
      <c r="K479" s="214"/>
      <c r="L479" s="214"/>
      <c r="M479" s="214"/>
      <c r="N479" s="215"/>
      <c r="O479" s="215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  <c r="BI479" s="216"/>
      <c r="BJ479" s="216"/>
      <c r="BK479" s="216"/>
      <c r="BL479" s="216"/>
      <c r="BM479" s="216"/>
      <c r="BN479" s="216"/>
      <c r="BO479" s="216"/>
      <c r="BP479" s="216"/>
      <c r="BQ479" s="216"/>
      <c r="BR479" s="216"/>
      <c r="BS479" s="216"/>
      <c r="BT479" s="216"/>
      <c r="BU479" s="216"/>
      <c r="BV479" s="216"/>
      <c r="BW479" s="216"/>
      <c r="BX479" s="216"/>
      <c r="BY479" s="216"/>
      <c r="BZ479" s="216"/>
      <c r="CA479" s="216"/>
      <c r="CB479" s="216"/>
      <c r="CC479" s="216"/>
      <c r="CD479" s="216"/>
      <c r="CE479" s="216"/>
      <c r="CF479" s="216"/>
      <c r="CG479" s="216"/>
      <c r="CH479" s="216"/>
      <c r="CI479" s="216"/>
      <c r="CJ479" s="216"/>
      <c r="CK479" s="216"/>
      <c r="CL479" s="216"/>
      <c r="CM479" s="216"/>
      <c r="CN479" s="216"/>
      <c r="CO479" s="216"/>
      <c r="CP479" s="216"/>
      <c r="CQ479" s="216"/>
      <c r="CR479" s="216"/>
      <c r="CS479" s="216"/>
      <c r="CT479" s="216"/>
      <c r="CU479" s="216"/>
      <c r="CV479" s="216"/>
      <c r="CW479" s="216"/>
      <c r="CX479" s="216"/>
      <c r="CY479" s="216"/>
    </row>
    <row r="480" spans="1:103" ht="12.75" x14ac:dyDescent="0.2">
      <c r="A480" s="214"/>
      <c r="B480" s="214"/>
      <c r="C480" s="214"/>
      <c r="D480" s="214"/>
      <c r="E480" s="214"/>
      <c r="F480" s="214"/>
      <c r="G480" s="214"/>
      <c r="H480" s="214"/>
      <c r="I480" s="214"/>
      <c r="J480" s="214"/>
      <c r="K480" s="214"/>
      <c r="L480" s="214"/>
      <c r="M480" s="214"/>
      <c r="N480" s="215"/>
      <c r="O480" s="215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  <c r="BI480" s="216"/>
      <c r="BJ480" s="216"/>
      <c r="BK480" s="216"/>
      <c r="BL480" s="216"/>
      <c r="BM480" s="216"/>
      <c r="BN480" s="216"/>
      <c r="BO480" s="216"/>
      <c r="BP480" s="216"/>
      <c r="BQ480" s="216"/>
      <c r="BR480" s="216"/>
      <c r="BS480" s="216"/>
      <c r="BT480" s="216"/>
      <c r="BU480" s="216"/>
      <c r="BV480" s="216"/>
      <c r="BW480" s="216"/>
      <c r="BX480" s="216"/>
      <c r="BY480" s="216"/>
      <c r="BZ480" s="216"/>
      <c r="CA480" s="216"/>
      <c r="CB480" s="216"/>
      <c r="CC480" s="216"/>
      <c r="CD480" s="216"/>
      <c r="CE480" s="216"/>
      <c r="CF480" s="216"/>
      <c r="CG480" s="216"/>
      <c r="CH480" s="216"/>
      <c r="CI480" s="216"/>
      <c r="CJ480" s="216"/>
      <c r="CK480" s="216"/>
      <c r="CL480" s="216"/>
      <c r="CM480" s="216"/>
      <c r="CN480" s="216"/>
      <c r="CO480" s="216"/>
      <c r="CP480" s="216"/>
      <c r="CQ480" s="216"/>
      <c r="CR480" s="216"/>
      <c r="CS480" s="216"/>
      <c r="CT480" s="216"/>
      <c r="CU480" s="216"/>
      <c r="CV480" s="216"/>
      <c r="CW480" s="216"/>
      <c r="CX480" s="216"/>
      <c r="CY480" s="216"/>
    </row>
    <row r="481" spans="1:103" ht="12.75" x14ac:dyDescent="0.2">
      <c r="A481" s="214"/>
      <c r="B481" s="214"/>
      <c r="C481" s="214"/>
      <c r="D481" s="214"/>
      <c r="E481" s="214"/>
      <c r="F481" s="214"/>
      <c r="G481" s="214"/>
      <c r="H481" s="214"/>
      <c r="I481" s="214"/>
      <c r="J481" s="214"/>
      <c r="K481" s="214"/>
      <c r="L481" s="214"/>
      <c r="M481" s="214"/>
      <c r="N481" s="215"/>
      <c r="O481" s="215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6"/>
      <c r="BN481" s="216"/>
      <c r="BO481" s="216"/>
      <c r="BP481" s="216"/>
      <c r="BQ481" s="216"/>
      <c r="BR481" s="216"/>
      <c r="BS481" s="216"/>
      <c r="BT481" s="216"/>
      <c r="BU481" s="216"/>
      <c r="BV481" s="216"/>
      <c r="BW481" s="216"/>
      <c r="BX481" s="216"/>
      <c r="BY481" s="216"/>
      <c r="BZ481" s="216"/>
      <c r="CA481" s="216"/>
      <c r="CB481" s="216"/>
      <c r="CC481" s="216"/>
      <c r="CD481" s="216"/>
      <c r="CE481" s="216"/>
      <c r="CF481" s="216"/>
      <c r="CG481" s="216"/>
      <c r="CH481" s="216"/>
      <c r="CI481" s="216"/>
      <c r="CJ481" s="216"/>
      <c r="CK481" s="216"/>
      <c r="CL481" s="216"/>
      <c r="CM481" s="216"/>
      <c r="CN481" s="216"/>
      <c r="CO481" s="216"/>
      <c r="CP481" s="216"/>
      <c r="CQ481" s="216"/>
      <c r="CR481" s="216"/>
      <c r="CS481" s="216"/>
      <c r="CT481" s="216"/>
      <c r="CU481" s="216"/>
      <c r="CV481" s="216"/>
      <c r="CW481" s="216"/>
      <c r="CX481" s="216"/>
      <c r="CY481" s="216"/>
    </row>
    <row r="482" spans="1:103" ht="12.75" x14ac:dyDescent="0.2">
      <c r="A482" s="214"/>
      <c r="B482" s="214"/>
      <c r="C482" s="214"/>
      <c r="D482" s="214"/>
      <c r="E482" s="214"/>
      <c r="F482" s="214"/>
      <c r="G482" s="214"/>
      <c r="H482" s="214"/>
      <c r="I482" s="214"/>
      <c r="J482" s="214"/>
      <c r="K482" s="214"/>
      <c r="L482" s="214"/>
      <c r="M482" s="214"/>
      <c r="N482" s="215"/>
      <c r="O482" s="215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6"/>
      <c r="BN482" s="216"/>
      <c r="BO482" s="216"/>
      <c r="BP482" s="216"/>
      <c r="BQ482" s="216"/>
      <c r="BR482" s="216"/>
      <c r="BS482" s="216"/>
      <c r="BT482" s="216"/>
      <c r="BU482" s="216"/>
      <c r="BV482" s="216"/>
      <c r="BW482" s="216"/>
      <c r="BX482" s="216"/>
      <c r="BY482" s="216"/>
      <c r="BZ482" s="216"/>
      <c r="CA482" s="216"/>
      <c r="CB482" s="216"/>
      <c r="CC482" s="216"/>
      <c r="CD482" s="216"/>
      <c r="CE482" s="216"/>
      <c r="CF482" s="216"/>
      <c r="CG482" s="216"/>
      <c r="CH482" s="216"/>
      <c r="CI482" s="216"/>
      <c r="CJ482" s="216"/>
      <c r="CK482" s="216"/>
      <c r="CL482" s="216"/>
      <c r="CM482" s="216"/>
      <c r="CN482" s="216"/>
      <c r="CO482" s="216"/>
      <c r="CP482" s="216"/>
      <c r="CQ482" s="216"/>
      <c r="CR482" s="216"/>
      <c r="CS482" s="216"/>
      <c r="CT482" s="216"/>
      <c r="CU482" s="216"/>
      <c r="CV482" s="216"/>
      <c r="CW482" s="216"/>
      <c r="CX482" s="216"/>
      <c r="CY482" s="216"/>
    </row>
    <row r="483" spans="1:103" ht="12.75" x14ac:dyDescent="0.2">
      <c r="A483" s="214"/>
      <c r="B483" s="214"/>
      <c r="C483" s="214"/>
      <c r="D483" s="214"/>
      <c r="E483" s="214"/>
      <c r="F483" s="214"/>
      <c r="G483" s="214"/>
      <c r="H483" s="214"/>
      <c r="I483" s="214"/>
      <c r="J483" s="214"/>
      <c r="K483" s="214"/>
      <c r="L483" s="214"/>
      <c r="M483" s="214"/>
      <c r="N483" s="215"/>
      <c r="O483" s="215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6"/>
      <c r="BN483" s="216"/>
      <c r="BO483" s="216"/>
      <c r="BP483" s="216"/>
      <c r="BQ483" s="216"/>
      <c r="BR483" s="216"/>
      <c r="BS483" s="216"/>
      <c r="BT483" s="216"/>
      <c r="BU483" s="216"/>
      <c r="BV483" s="216"/>
      <c r="BW483" s="216"/>
      <c r="BX483" s="216"/>
      <c r="BY483" s="216"/>
      <c r="BZ483" s="216"/>
      <c r="CA483" s="216"/>
      <c r="CB483" s="216"/>
      <c r="CC483" s="216"/>
      <c r="CD483" s="216"/>
      <c r="CE483" s="216"/>
      <c r="CF483" s="216"/>
      <c r="CG483" s="216"/>
      <c r="CH483" s="216"/>
      <c r="CI483" s="216"/>
      <c r="CJ483" s="216"/>
      <c r="CK483" s="216"/>
      <c r="CL483" s="216"/>
      <c r="CM483" s="216"/>
      <c r="CN483" s="216"/>
      <c r="CO483" s="216"/>
      <c r="CP483" s="216"/>
      <c r="CQ483" s="216"/>
      <c r="CR483" s="216"/>
      <c r="CS483" s="216"/>
      <c r="CT483" s="216"/>
      <c r="CU483" s="216"/>
      <c r="CV483" s="216"/>
      <c r="CW483" s="216"/>
      <c r="CX483" s="216"/>
      <c r="CY483" s="216"/>
    </row>
    <row r="484" spans="1:103" ht="12.75" x14ac:dyDescent="0.2">
      <c r="A484" s="214"/>
      <c r="B484" s="214"/>
      <c r="C484" s="214"/>
      <c r="D484" s="214"/>
      <c r="E484" s="214"/>
      <c r="F484" s="214"/>
      <c r="G484" s="214"/>
      <c r="H484" s="214"/>
      <c r="I484" s="214"/>
      <c r="J484" s="214"/>
      <c r="K484" s="214"/>
      <c r="L484" s="214"/>
      <c r="M484" s="214"/>
      <c r="N484" s="215"/>
      <c r="O484" s="215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6"/>
      <c r="BN484" s="216"/>
      <c r="BO484" s="216"/>
      <c r="BP484" s="216"/>
      <c r="BQ484" s="216"/>
      <c r="BR484" s="216"/>
      <c r="BS484" s="216"/>
      <c r="BT484" s="216"/>
      <c r="BU484" s="216"/>
      <c r="BV484" s="216"/>
      <c r="BW484" s="216"/>
      <c r="BX484" s="216"/>
      <c r="BY484" s="216"/>
      <c r="BZ484" s="216"/>
      <c r="CA484" s="216"/>
      <c r="CB484" s="216"/>
      <c r="CC484" s="216"/>
      <c r="CD484" s="216"/>
      <c r="CE484" s="216"/>
      <c r="CF484" s="216"/>
      <c r="CG484" s="216"/>
      <c r="CH484" s="216"/>
      <c r="CI484" s="216"/>
      <c r="CJ484" s="216"/>
      <c r="CK484" s="216"/>
      <c r="CL484" s="216"/>
      <c r="CM484" s="216"/>
      <c r="CN484" s="216"/>
      <c r="CO484" s="216"/>
      <c r="CP484" s="216"/>
      <c r="CQ484" s="216"/>
      <c r="CR484" s="216"/>
      <c r="CS484" s="216"/>
      <c r="CT484" s="216"/>
      <c r="CU484" s="216"/>
      <c r="CV484" s="216"/>
      <c r="CW484" s="216"/>
      <c r="CX484" s="216"/>
      <c r="CY484" s="216"/>
    </row>
    <row r="485" spans="1:103" ht="12.75" x14ac:dyDescent="0.2">
      <c r="A485" s="214"/>
      <c r="B485" s="214"/>
      <c r="C485" s="214"/>
      <c r="D485" s="214"/>
      <c r="E485" s="214"/>
      <c r="F485" s="214"/>
      <c r="G485" s="214"/>
      <c r="H485" s="214"/>
      <c r="I485" s="214"/>
      <c r="J485" s="214"/>
      <c r="K485" s="214"/>
      <c r="L485" s="214"/>
      <c r="M485" s="214"/>
      <c r="N485" s="215"/>
      <c r="O485" s="215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6"/>
      <c r="BN485" s="216"/>
      <c r="BO485" s="216"/>
      <c r="BP485" s="216"/>
      <c r="BQ485" s="216"/>
      <c r="BR485" s="216"/>
      <c r="BS485" s="216"/>
      <c r="BT485" s="216"/>
      <c r="BU485" s="216"/>
      <c r="BV485" s="216"/>
      <c r="BW485" s="216"/>
      <c r="BX485" s="216"/>
      <c r="BY485" s="216"/>
      <c r="BZ485" s="216"/>
      <c r="CA485" s="216"/>
      <c r="CB485" s="216"/>
      <c r="CC485" s="216"/>
      <c r="CD485" s="216"/>
      <c r="CE485" s="216"/>
      <c r="CF485" s="216"/>
      <c r="CG485" s="216"/>
      <c r="CH485" s="216"/>
      <c r="CI485" s="216"/>
      <c r="CJ485" s="216"/>
      <c r="CK485" s="216"/>
      <c r="CL485" s="216"/>
      <c r="CM485" s="216"/>
      <c r="CN485" s="216"/>
      <c r="CO485" s="216"/>
      <c r="CP485" s="216"/>
      <c r="CQ485" s="216"/>
      <c r="CR485" s="216"/>
      <c r="CS485" s="216"/>
      <c r="CT485" s="216"/>
      <c r="CU485" s="216"/>
      <c r="CV485" s="216"/>
      <c r="CW485" s="216"/>
      <c r="CX485" s="216"/>
      <c r="CY485" s="216"/>
    </row>
    <row r="486" spans="1:103" ht="12.75" x14ac:dyDescent="0.2">
      <c r="A486" s="214"/>
      <c r="B486" s="214"/>
      <c r="C486" s="214"/>
      <c r="D486" s="214"/>
      <c r="E486" s="214"/>
      <c r="F486" s="214"/>
      <c r="G486" s="214"/>
      <c r="H486" s="214"/>
      <c r="I486" s="214"/>
      <c r="J486" s="214"/>
      <c r="K486" s="214"/>
      <c r="L486" s="214"/>
      <c r="M486" s="214"/>
      <c r="N486" s="215"/>
      <c r="O486" s="215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6"/>
      <c r="BN486" s="216"/>
      <c r="BO486" s="216"/>
      <c r="BP486" s="216"/>
      <c r="BQ486" s="216"/>
      <c r="BR486" s="216"/>
      <c r="BS486" s="216"/>
      <c r="BT486" s="216"/>
      <c r="BU486" s="216"/>
      <c r="BV486" s="216"/>
      <c r="BW486" s="216"/>
      <c r="BX486" s="216"/>
      <c r="BY486" s="216"/>
      <c r="BZ486" s="216"/>
      <c r="CA486" s="216"/>
      <c r="CB486" s="216"/>
      <c r="CC486" s="216"/>
      <c r="CD486" s="216"/>
      <c r="CE486" s="216"/>
      <c r="CF486" s="216"/>
      <c r="CG486" s="216"/>
      <c r="CH486" s="216"/>
      <c r="CI486" s="216"/>
      <c r="CJ486" s="216"/>
      <c r="CK486" s="216"/>
      <c r="CL486" s="216"/>
      <c r="CM486" s="216"/>
      <c r="CN486" s="216"/>
      <c r="CO486" s="216"/>
      <c r="CP486" s="216"/>
      <c r="CQ486" s="216"/>
      <c r="CR486" s="216"/>
      <c r="CS486" s="216"/>
      <c r="CT486" s="216"/>
      <c r="CU486" s="216"/>
      <c r="CV486" s="216"/>
      <c r="CW486" s="216"/>
      <c r="CX486" s="216"/>
      <c r="CY486" s="216"/>
    </row>
    <row r="487" spans="1:103" ht="12.75" x14ac:dyDescent="0.2">
      <c r="A487" s="214"/>
      <c r="B487" s="214"/>
      <c r="C487" s="214"/>
      <c r="D487" s="214"/>
      <c r="E487" s="214"/>
      <c r="F487" s="214"/>
      <c r="G487" s="214"/>
      <c r="H487" s="214"/>
      <c r="I487" s="214"/>
      <c r="J487" s="214"/>
      <c r="K487" s="214"/>
      <c r="L487" s="214"/>
      <c r="M487" s="214"/>
      <c r="N487" s="215"/>
      <c r="O487" s="215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16"/>
      <c r="BN487" s="216"/>
      <c r="BO487" s="216"/>
      <c r="BP487" s="216"/>
      <c r="BQ487" s="216"/>
      <c r="BR487" s="216"/>
      <c r="BS487" s="216"/>
      <c r="BT487" s="216"/>
      <c r="BU487" s="216"/>
      <c r="BV487" s="216"/>
      <c r="BW487" s="216"/>
      <c r="BX487" s="216"/>
      <c r="BY487" s="216"/>
      <c r="BZ487" s="216"/>
      <c r="CA487" s="216"/>
      <c r="CB487" s="216"/>
      <c r="CC487" s="216"/>
      <c r="CD487" s="216"/>
      <c r="CE487" s="216"/>
      <c r="CF487" s="216"/>
      <c r="CG487" s="216"/>
      <c r="CH487" s="216"/>
      <c r="CI487" s="216"/>
      <c r="CJ487" s="216"/>
      <c r="CK487" s="216"/>
      <c r="CL487" s="216"/>
      <c r="CM487" s="216"/>
      <c r="CN487" s="216"/>
      <c r="CO487" s="216"/>
      <c r="CP487" s="216"/>
      <c r="CQ487" s="216"/>
      <c r="CR487" s="216"/>
      <c r="CS487" s="216"/>
      <c r="CT487" s="216"/>
      <c r="CU487" s="216"/>
      <c r="CV487" s="216"/>
      <c r="CW487" s="216"/>
      <c r="CX487" s="216"/>
      <c r="CY487" s="216"/>
    </row>
    <row r="488" spans="1:103" ht="12.75" x14ac:dyDescent="0.2">
      <c r="A488" s="214"/>
      <c r="B488" s="214"/>
      <c r="C488" s="214"/>
      <c r="D488" s="214"/>
      <c r="E488" s="214"/>
      <c r="F488" s="214"/>
      <c r="G488" s="214"/>
      <c r="H488" s="214"/>
      <c r="I488" s="214"/>
      <c r="J488" s="214"/>
      <c r="K488" s="214"/>
      <c r="L488" s="214"/>
      <c r="M488" s="214"/>
      <c r="N488" s="215"/>
      <c r="O488" s="215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16"/>
      <c r="BN488" s="216"/>
      <c r="BO488" s="216"/>
      <c r="BP488" s="216"/>
      <c r="BQ488" s="216"/>
      <c r="BR488" s="216"/>
      <c r="BS488" s="216"/>
      <c r="BT488" s="216"/>
      <c r="BU488" s="216"/>
      <c r="BV488" s="216"/>
      <c r="BW488" s="216"/>
      <c r="BX488" s="216"/>
      <c r="BY488" s="216"/>
      <c r="BZ488" s="216"/>
      <c r="CA488" s="216"/>
      <c r="CB488" s="216"/>
      <c r="CC488" s="216"/>
      <c r="CD488" s="216"/>
      <c r="CE488" s="216"/>
      <c r="CF488" s="216"/>
      <c r="CG488" s="216"/>
      <c r="CH488" s="216"/>
      <c r="CI488" s="216"/>
      <c r="CJ488" s="216"/>
      <c r="CK488" s="216"/>
      <c r="CL488" s="216"/>
      <c r="CM488" s="216"/>
      <c r="CN488" s="216"/>
      <c r="CO488" s="216"/>
      <c r="CP488" s="216"/>
      <c r="CQ488" s="216"/>
      <c r="CR488" s="216"/>
      <c r="CS488" s="216"/>
      <c r="CT488" s="216"/>
      <c r="CU488" s="216"/>
      <c r="CV488" s="216"/>
      <c r="CW488" s="216"/>
      <c r="CX488" s="216"/>
      <c r="CY488" s="216"/>
    </row>
    <row r="489" spans="1:103" ht="12.75" x14ac:dyDescent="0.2">
      <c r="A489" s="214"/>
      <c r="B489" s="214"/>
      <c r="C489" s="214"/>
      <c r="D489" s="214"/>
      <c r="E489" s="214"/>
      <c r="F489" s="214"/>
      <c r="G489" s="214"/>
      <c r="H489" s="214"/>
      <c r="I489" s="214"/>
      <c r="J489" s="214"/>
      <c r="K489" s="214"/>
      <c r="L489" s="214"/>
      <c r="M489" s="214"/>
      <c r="N489" s="215"/>
      <c r="O489" s="215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  <c r="BI489" s="216"/>
      <c r="BJ489" s="216"/>
      <c r="BK489" s="216"/>
      <c r="BL489" s="216"/>
      <c r="BM489" s="216"/>
      <c r="BN489" s="216"/>
      <c r="BO489" s="216"/>
      <c r="BP489" s="216"/>
      <c r="BQ489" s="216"/>
      <c r="BR489" s="216"/>
      <c r="BS489" s="216"/>
      <c r="BT489" s="216"/>
      <c r="BU489" s="216"/>
      <c r="BV489" s="216"/>
      <c r="BW489" s="216"/>
      <c r="BX489" s="216"/>
      <c r="BY489" s="216"/>
      <c r="BZ489" s="216"/>
      <c r="CA489" s="216"/>
      <c r="CB489" s="216"/>
      <c r="CC489" s="216"/>
      <c r="CD489" s="216"/>
      <c r="CE489" s="216"/>
      <c r="CF489" s="216"/>
      <c r="CG489" s="216"/>
      <c r="CH489" s="216"/>
      <c r="CI489" s="216"/>
      <c r="CJ489" s="216"/>
      <c r="CK489" s="216"/>
      <c r="CL489" s="216"/>
      <c r="CM489" s="216"/>
      <c r="CN489" s="216"/>
      <c r="CO489" s="216"/>
      <c r="CP489" s="216"/>
      <c r="CQ489" s="216"/>
      <c r="CR489" s="216"/>
      <c r="CS489" s="216"/>
      <c r="CT489" s="216"/>
      <c r="CU489" s="216"/>
      <c r="CV489" s="216"/>
      <c r="CW489" s="216"/>
      <c r="CX489" s="216"/>
      <c r="CY489" s="216"/>
    </row>
    <row r="490" spans="1:103" ht="12.75" x14ac:dyDescent="0.2">
      <c r="A490" s="214"/>
      <c r="B490" s="214"/>
      <c r="C490" s="214"/>
      <c r="D490" s="214"/>
      <c r="E490" s="214"/>
      <c r="F490" s="214"/>
      <c r="G490" s="214"/>
      <c r="H490" s="214"/>
      <c r="I490" s="214"/>
      <c r="J490" s="214"/>
      <c r="K490" s="214"/>
      <c r="L490" s="214"/>
      <c r="M490" s="214"/>
      <c r="N490" s="215"/>
      <c r="O490" s="215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6"/>
      <c r="BB490" s="216"/>
      <c r="BC490" s="216"/>
      <c r="BD490" s="216"/>
      <c r="BE490" s="216"/>
      <c r="BF490" s="216"/>
      <c r="BG490" s="216"/>
      <c r="BH490" s="216"/>
      <c r="BI490" s="216"/>
      <c r="BJ490" s="216"/>
      <c r="BK490" s="216"/>
      <c r="BL490" s="216"/>
      <c r="BM490" s="216"/>
      <c r="BN490" s="216"/>
      <c r="BO490" s="216"/>
      <c r="BP490" s="216"/>
      <c r="BQ490" s="216"/>
      <c r="BR490" s="216"/>
      <c r="BS490" s="216"/>
      <c r="BT490" s="216"/>
      <c r="BU490" s="216"/>
      <c r="BV490" s="216"/>
      <c r="BW490" s="216"/>
      <c r="BX490" s="216"/>
      <c r="BY490" s="216"/>
      <c r="BZ490" s="216"/>
      <c r="CA490" s="216"/>
      <c r="CB490" s="216"/>
      <c r="CC490" s="216"/>
      <c r="CD490" s="216"/>
      <c r="CE490" s="216"/>
      <c r="CF490" s="216"/>
      <c r="CG490" s="216"/>
      <c r="CH490" s="216"/>
      <c r="CI490" s="216"/>
      <c r="CJ490" s="216"/>
      <c r="CK490" s="216"/>
      <c r="CL490" s="216"/>
      <c r="CM490" s="216"/>
      <c r="CN490" s="216"/>
      <c r="CO490" s="216"/>
      <c r="CP490" s="216"/>
      <c r="CQ490" s="216"/>
      <c r="CR490" s="216"/>
      <c r="CS490" s="216"/>
      <c r="CT490" s="216"/>
      <c r="CU490" s="216"/>
      <c r="CV490" s="216"/>
      <c r="CW490" s="216"/>
      <c r="CX490" s="216"/>
      <c r="CY490" s="216"/>
    </row>
    <row r="491" spans="1:103" ht="12.75" x14ac:dyDescent="0.2">
      <c r="A491" s="214"/>
      <c r="B491" s="214"/>
      <c r="C491" s="214"/>
      <c r="D491" s="214"/>
      <c r="E491" s="214"/>
      <c r="F491" s="214"/>
      <c r="G491" s="214"/>
      <c r="H491" s="214"/>
      <c r="I491" s="214"/>
      <c r="J491" s="214"/>
      <c r="K491" s="214"/>
      <c r="L491" s="214"/>
      <c r="M491" s="214"/>
      <c r="N491" s="215"/>
      <c r="O491" s="215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16"/>
      <c r="AN491" s="216"/>
      <c r="AO491" s="216"/>
      <c r="AP491" s="216"/>
      <c r="AQ491" s="216"/>
      <c r="AR491" s="216"/>
      <c r="AS491" s="216"/>
      <c r="AT491" s="216"/>
      <c r="AU491" s="216"/>
      <c r="AV491" s="216"/>
      <c r="AW491" s="216"/>
      <c r="AX491" s="216"/>
      <c r="AY491" s="216"/>
      <c r="AZ491" s="216"/>
      <c r="BA491" s="216"/>
      <c r="BB491" s="216"/>
      <c r="BC491" s="216"/>
      <c r="BD491" s="216"/>
      <c r="BE491" s="216"/>
      <c r="BF491" s="216"/>
      <c r="BG491" s="216"/>
      <c r="BH491" s="216"/>
      <c r="BI491" s="216"/>
      <c r="BJ491" s="216"/>
      <c r="BK491" s="216"/>
      <c r="BL491" s="216"/>
      <c r="BM491" s="216"/>
      <c r="BN491" s="216"/>
      <c r="BO491" s="216"/>
      <c r="BP491" s="216"/>
      <c r="BQ491" s="216"/>
      <c r="BR491" s="216"/>
      <c r="BS491" s="216"/>
      <c r="BT491" s="216"/>
      <c r="BU491" s="216"/>
      <c r="BV491" s="216"/>
      <c r="BW491" s="216"/>
      <c r="BX491" s="216"/>
      <c r="BY491" s="216"/>
      <c r="BZ491" s="216"/>
      <c r="CA491" s="216"/>
      <c r="CB491" s="216"/>
      <c r="CC491" s="216"/>
      <c r="CD491" s="216"/>
      <c r="CE491" s="216"/>
      <c r="CF491" s="216"/>
      <c r="CG491" s="216"/>
      <c r="CH491" s="216"/>
      <c r="CI491" s="216"/>
      <c r="CJ491" s="216"/>
      <c r="CK491" s="216"/>
      <c r="CL491" s="216"/>
      <c r="CM491" s="216"/>
      <c r="CN491" s="216"/>
      <c r="CO491" s="216"/>
      <c r="CP491" s="216"/>
      <c r="CQ491" s="216"/>
      <c r="CR491" s="216"/>
      <c r="CS491" s="216"/>
      <c r="CT491" s="216"/>
      <c r="CU491" s="216"/>
      <c r="CV491" s="216"/>
      <c r="CW491" s="216"/>
      <c r="CX491" s="216"/>
      <c r="CY491" s="216"/>
    </row>
    <row r="492" spans="1:103" ht="12.75" x14ac:dyDescent="0.2">
      <c r="A492" s="214"/>
      <c r="B492" s="214"/>
      <c r="C492" s="214"/>
      <c r="D492" s="214"/>
      <c r="E492" s="214"/>
      <c r="F492" s="214"/>
      <c r="G492" s="214"/>
      <c r="H492" s="214"/>
      <c r="I492" s="214"/>
      <c r="J492" s="214"/>
      <c r="K492" s="214"/>
      <c r="L492" s="214"/>
      <c r="M492" s="214"/>
      <c r="N492" s="215"/>
      <c r="O492" s="215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16"/>
      <c r="AN492" s="216"/>
      <c r="AO492" s="216"/>
      <c r="AP492" s="216"/>
      <c r="AQ492" s="216"/>
      <c r="AR492" s="216"/>
      <c r="AS492" s="216"/>
      <c r="AT492" s="216"/>
      <c r="AU492" s="216"/>
      <c r="AV492" s="216"/>
      <c r="AW492" s="216"/>
      <c r="AX492" s="216"/>
      <c r="AY492" s="216"/>
      <c r="AZ492" s="216"/>
      <c r="BA492" s="216"/>
      <c r="BB492" s="216"/>
      <c r="BC492" s="216"/>
      <c r="BD492" s="216"/>
      <c r="BE492" s="216"/>
      <c r="BF492" s="216"/>
      <c r="BG492" s="216"/>
      <c r="BH492" s="216"/>
      <c r="BI492" s="216"/>
      <c r="BJ492" s="216"/>
      <c r="BK492" s="216"/>
      <c r="BL492" s="216"/>
      <c r="BM492" s="216"/>
      <c r="BN492" s="216"/>
      <c r="BO492" s="216"/>
      <c r="BP492" s="216"/>
      <c r="BQ492" s="216"/>
      <c r="BR492" s="216"/>
      <c r="BS492" s="216"/>
      <c r="BT492" s="216"/>
      <c r="BU492" s="216"/>
      <c r="BV492" s="216"/>
      <c r="BW492" s="216"/>
      <c r="BX492" s="216"/>
      <c r="BY492" s="216"/>
      <c r="BZ492" s="216"/>
      <c r="CA492" s="216"/>
      <c r="CB492" s="216"/>
      <c r="CC492" s="216"/>
      <c r="CD492" s="216"/>
      <c r="CE492" s="216"/>
      <c r="CF492" s="216"/>
      <c r="CG492" s="216"/>
      <c r="CH492" s="216"/>
      <c r="CI492" s="216"/>
      <c r="CJ492" s="216"/>
      <c r="CK492" s="216"/>
      <c r="CL492" s="216"/>
      <c r="CM492" s="216"/>
      <c r="CN492" s="216"/>
      <c r="CO492" s="216"/>
      <c r="CP492" s="216"/>
      <c r="CQ492" s="216"/>
      <c r="CR492" s="216"/>
      <c r="CS492" s="216"/>
      <c r="CT492" s="216"/>
      <c r="CU492" s="216"/>
      <c r="CV492" s="216"/>
      <c r="CW492" s="216"/>
      <c r="CX492" s="216"/>
      <c r="CY492" s="216"/>
    </row>
    <row r="493" spans="1:103" ht="12.75" x14ac:dyDescent="0.2">
      <c r="A493" s="214"/>
      <c r="B493" s="214"/>
      <c r="C493" s="214"/>
      <c r="D493" s="214"/>
      <c r="E493" s="214"/>
      <c r="F493" s="214"/>
      <c r="G493" s="214"/>
      <c r="H493" s="214"/>
      <c r="I493" s="214"/>
      <c r="J493" s="214"/>
      <c r="K493" s="214"/>
      <c r="L493" s="214"/>
      <c r="M493" s="214"/>
      <c r="N493" s="215"/>
      <c r="O493" s="215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16"/>
      <c r="AN493" s="216"/>
      <c r="AO493" s="216"/>
      <c r="AP493" s="216"/>
      <c r="AQ493" s="216"/>
      <c r="AR493" s="216"/>
      <c r="AS493" s="216"/>
      <c r="AT493" s="216"/>
      <c r="AU493" s="216"/>
      <c r="AV493" s="216"/>
      <c r="AW493" s="216"/>
      <c r="AX493" s="216"/>
      <c r="AY493" s="216"/>
      <c r="AZ493" s="216"/>
      <c r="BA493" s="216"/>
      <c r="BB493" s="216"/>
      <c r="BC493" s="216"/>
      <c r="BD493" s="216"/>
      <c r="BE493" s="216"/>
      <c r="BF493" s="216"/>
      <c r="BG493" s="216"/>
      <c r="BH493" s="216"/>
      <c r="BI493" s="216"/>
      <c r="BJ493" s="216"/>
      <c r="BK493" s="216"/>
      <c r="BL493" s="216"/>
      <c r="BM493" s="216"/>
      <c r="BN493" s="216"/>
      <c r="BO493" s="216"/>
      <c r="BP493" s="216"/>
      <c r="BQ493" s="216"/>
      <c r="BR493" s="216"/>
      <c r="BS493" s="216"/>
      <c r="BT493" s="216"/>
      <c r="BU493" s="216"/>
      <c r="BV493" s="216"/>
      <c r="BW493" s="216"/>
      <c r="BX493" s="216"/>
      <c r="BY493" s="216"/>
      <c r="BZ493" s="216"/>
      <c r="CA493" s="216"/>
      <c r="CB493" s="216"/>
      <c r="CC493" s="216"/>
      <c r="CD493" s="216"/>
      <c r="CE493" s="216"/>
      <c r="CF493" s="216"/>
      <c r="CG493" s="216"/>
      <c r="CH493" s="216"/>
      <c r="CI493" s="216"/>
      <c r="CJ493" s="216"/>
      <c r="CK493" s="216"/>
      <c r="CL493" s="216"/>
      <c r="CM493" s="216"/>
      <c r="CN493" s="216"/>
      <c r="CO493" s="216"/>
      <c r="CP493" s="216"/>
      <c r="CQ493" s="216"/>
      <c r="CR493" s="216"/>
      <c r="CS493" s="216"/>
      <c r="CT493" s="216"/>
      <c r="CU493" s="216"/>
      <c r="CV493" s="216"/>
      <c r="CW493" s="216"/>
      <c r="CX493" s="216"/>
      <c r="CY493" s="216"/>
    </row>
    <row r="494" spans="1:103" ht="12.75" x14ac:dyDescent="0.2">
      <c r="A494" s="214"/>
      <c r="B494" s="214"/>
      <c r="C494" s="214"/>
      <c r="D494" s="214"/>
      <c r="E494" s="214"/>
      <c r="F494" s="214"/>
      <c r="G494" s="214"/>
      <c r="H494" s="214"/>
      <c r="I494" s="214"/>
      <c r="J494" s="214"/>
      <c r="K494" s="214"/>
      <c r="L494" s="214"/>
      <c r="M494" s="214"/>
      <c r="N494" s="215"/>
      <c r="O494" s="215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16"/>
      <c r="AN494" s="216"/>
      <c r="AO494" s="216"/>
      <c r="AP494" s="216"/>
      <c r="AQ494" s="216"/>
      <c r="AR494" s="216"/>
      <c r="AS494" s="216"/>
      <c r="AT494" s="216"/>
      <c r="AU494" s="216"/>
      <c r="AV494" s="216"/>
      <c r="AW494" s="216"/>
      <c r="AX494" s="216"/>
      <c r="AY494" s="216"/>
      <c r="AZ494" s="216"/>
      <c r="BA494" s="216"/>
      <c r="BB494" s="216"/>
      <c r="BC494" s="216"/>
      <c r="BD494" s="216"/>
      <c r="BE494" s="216"/>
      <c r="BF494" s="216"/>
      <c r="BG494" s="216"/>
      <c r="BH494" s="216"/>
      <c r="BI494" s="216"/>
      <c r="BJ494" s="216"/>
      <c r="BK494" s="216"/>
      <c r="BL494" s="216"/>
      <c r="BM494" s="216"/>
      <c r="BN494" s="216"/>
      <c r="BO494" s="216"/>
      <c r="BP494" s="216"/>
      <c r="BQ494" s="216"/>
      <c r="BR494" s="216"/>
      <c r="BS494" s="216"/>
      <c r="BT494" s="216"/>
      <c r="BU494" s="216"/>
      <c r="BV494" s="216"/>
      <c r="BW494" s="216"/>
      <c r="BX494" s="216"/>
      <c r="BY494" s="216"/>
      <c r="BZ494" s="216"/>
      <c r="CA494" s="216"/>
      <c r="CB494" s="216"/>
      <c r="CC494" s="216"/>
      <c r="CD494" s="216"/>
      <c r="CE494" s="216"/>
      <c r="CF494" s="216"/>
      <c r="CG494" s="216"/>
      <c r="CH494" s="216"/>
      <c r="CI494" s="216"/>
      <c r="CJ494" s="216"/>
      <c r="CK494" s="216"/>
      <c r="CL494" s="216"/>
      <c r="CM494" s="216"/>
      <c r="CN494" s="216"/>
      <c r="CO494" s="216"/>
      <c r="CP494" s="216"/>
      <c r="CQ494" s="216"/>
      <c r="CR494" s="216"/>
      <c r="CS494" s="216"/>
      <c r="CT494" s="216"/>
      <c r="CU494" s="216"/>
      <c r="CV494" s="216"/>
      <c r="CW494" s="216"/>
      <c r="CX494" s="216"/>
      <c r="CY494" s="216"/>
    </row>
    <row r="495" spans="1:103" ht="12.75" x14ac:dyDescent="0.2">
      <c r="A495" s="214"/>
      <c r="B495" s="214"/>
      <c r="C495" s="214"/>
      <c r="D495" s="214"/>
      <c r="E495" s="214"/>
      <c r="F495" s="214"/>
      <c r="G495" s="214"/>
      <c r="H495" s="214"/>
      <c r="I495" s="214"/>
      <c r="J495" s="214"/>
      <c r="K495" s="214"/>
      <c r="L495" s="214"/>
      <c r="M495" s="214"/>
      <c r="N495" s="215"/>
      <c r="O495" s="215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16"/>
      <c r="AN495" s="216"/>
      <c r="AO495" s="216"/>
      <c r="AP495" s="216"/>
      <c r="AQ495" s="216"/>
      <c r="AR495" s="216"/>
      <c r="AS495" s="216"/>
      <c r="AT495" s="216"/>
      <c r="AU495" s="216"/>
      <c r="AV495" s="216"/>
      <c r="AW495" s="216"/>
      <c r="AX495" s="216"/>
      <c r="AY495" s="216"/>
      <c r="AZ495" s="216"/>
      <c r="BA495" s="216"/>
      <c r="BB495" s="216"/>
      <c r="BC495" s="216"/>
      <c r="BD495" s="216"/>
      <c r="BE495" s="216"/>
      <c r="BF495" s="216"/>
      <c r="BG495" s="216"/>
      <c r="BH495" s="216"/>
      <c r="BI495" s="216"/>
      <c r="BJ495" s="216"/>
      <c r="BK495" s="216"/>
      <c r="BL495" s="216"/>
      <c r="BM495" s="216"/>
      <c r="BN495" s="216"/>
      <c r="BO495" s="216"/>
      <c r="BP495" s="216"/>
      <c r="BQ495" s="216"/>
      <c r="BR495" s="216"/>
      <c r="BS495" s="216"/>
      <c r="BT495" s="216"/>
      <c r="BU495" s="216"/>
      <c r="BV495" s="216"/>
      <c r="BW495" s="216"/>
      <c r="BX495" s="216"/>
      <c r="BY495" s="216"/>
      <c r="BZ495" s="216"/>
      <c r="CA495" s="216"/>
      <c r="CB495" s="216"/>
      <c r="CC495" s="216"/>
      <c r="CD495" s="216"/>
      <c r="CE495" s="216"/>
      <c r="CF495" s="216"/>
      <c r="CG495" s="216"/>
      <c r="CH495" s="216"/>
      <c r="CI495" s="216"/>
      <c r="CJ495" s="216"/>
      <c r="CK495" s="216"/>
      <c r="CL495" s="216"/>
      <c r="CM495" s="216"/>
      <c r="CN495" s="216"/>
      <c r="CO495" s="216"/>
      <c r="CP495" s="216"/>
      <c r="CQ495" s="216"/>
      <c r="CR495" s="216"/>
      <c r="CS495" s="216"/>
      <c r="CT495" s="216"/>
      <c r="CU495" s="216"/>
      <c r="CV495" s="216"/>
      <c r="CW495" s="216"/>
      <c r="CX495" s="216"/>
      <c r="CY495" s="216"/>
    </row>
    <row r="496" spans="1:103" ht="12.75" x14ac:dyDescent="0.2">
      <c r="A496" s="214"/>
      <c r="B496" s="214"/>
      <c r="C496" s="214"/>
      <c r="D496" s="214"/>
      <c r="E496" s="214"/>
      <c r="F496" s="214"/>
      <c r="G496" s="214"/>
      <c r="H496" s="214"/>
      <c r="I496" s="214"/>
      <c r="J496" s="214"/>
      <c r="K496" s="214"/>
      <c r="L496" s="214"/>
      <c r="M496" s="214"/>
      <c r="N496" s="215"/>
      <c r="O496" s="215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16"/>
      <c r="AN496" s="216"/>
      <c r="AO496" s="216"/>
      <c r="AP496" s="216"/>
      <c r="AQ496" s="216"/>
      <c r="AR496" s="216"/>
      <c r="AS496" s="216"/>
      <c r="AT496" s="216"/>
      <c r="AU496" s="216"/>
      <c r="AV496" s="216"/>
      <c r="AW496" s="216"/>
      <c r="AX496" s="216"/>
      <c r="AY496" s="216"/>
      <c r="AZ496" s="216"/>
      <c r="BA496" s="216"/>
      <c r="BB496" s="216"/>
      <c r="BC496" s="216"/>
      <c r="BD496" s="216"/>
      <c r="BE496" s="216"/>
      <c r="BF496" s="216"/>
      <c r="BG496" s="216"/>
      <c r="BH496" s="216"/>
      <c r="BI496" s="216"/>
      <c r="BJ496" s="216"/>
      <c r="BK496" s="216"/>
      <c r="BL496" s="216"/>
      <c r="BM496" s="216"/>
      <c r="BN496" s="216"/>
      <c r="BO496" s="216"/>
      <c r="BP496" s="216"/>
      <c r="BQ496" s="216"/>
      <c r="BR496" s="216"/>
      <c r="BS496" s="216"/>
      <c r="BT496" s="216"/>
      <c r="BU496" s="216"/>
      <c r="BV496" s="216"/>
      <c r="BW496" s="216"/>
      <c r="BX496" s="216"/>
      <c r="BY496" s="216"/>
      <c r="BZ496" s="216"/>
      <c r="CA496" s="216"/>
      <c r="CB496" s="216"/>
      <c r="CC496" s="216"/>
      <c r="CD496" s="216"/>
      <c r="CE496" s="216"/>
      <c r="CF496" s="216"/>
      <c r="CG496" s="216"/>
      <c r="CH496" s="216"/>
      <c r="CI496" s="216"/>
      <c r="CJ496" s="216"/>
      <c r="CK496" s="216"/>
      <c r="CL496" s="216"/>
      <c r="CM496" s="216"/>
      <c r="CN496" s="216"/>
      <c r="CO496" s="216"/>
      <c r="CP496" s="216"/>
      <c r="CQ496" s="216"/>
      <c r="CR496" s="216"/>
      <c r="CS496" s="216"/>
      <c r="CT496" s="216"/>
      <c r="CU496" s="216"/>
      <c r="CV496" s="216"/>
      <c r="CW496" s="216"/>
      <c r="CX496" s="216"/>
      <c r="CY496" s="216"/>
    </row>
    <row r="497" spans="1:103" ht="12.75" x14ac:dyDescent="0.2">
      <c r="A497" s="214"/>
      <c r="B497" s="214"/>
      <c r="C497" s="214"/>
      <c r="D497" s="214"/>
      <c r="E497" s="214"/>
      <c r="F497" s="214"/>
      <c r="G497" s="214"/>
      <c r="H497" s="214"/>
      <c r="I497" s="214"/>
      <c r="J497" s="214"/>
      <c r="K497" s="214"/>
      <c r="L497" s="214"/>
      <c r="M497" s="214"/>
      <c r="N497" s="215"/>
      <c r="O497" s="215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16"/>
      <c r="AN497" s="216"/>
      <c r="AO497" s="216"/>
      <c r="AP497" s="216"/>
      <c r="AQ497" s="216"/>
      <c r="AR497" s="216"/>
      <c r="AS497" s="216"/>
      <c r="AT497" s="216"/>
      <c r="AU497" s="216"/>
      <c r="AV497" s="216"/>
      <c r="AW497" s="216"/>
      <c r="AX497" s="216"/>
      <c r="AY497" s="216"/>
      <c r="AZ497" s="216"/>
      <c r="BA497" s="216"/>
      <c r="BB497" s="216"/>
      <c r="BC497" s="216"/>
      <c r="BD497" s="216"/>
      <c r="BE497" s="216"/>
      <c r="BF497" s="216"/>
      <c r="BG497" s="216"/>
      <c r="BH497" s="216"/>
      <c r="BI497" s="216"/>
      <c r="BJ497" s="216"/>
      <c r="BK497" s="216"/>
      <c r="BL497" s="216"/>
      <c r="BM497" s="216"/>
      <c r="BN497" s="216"/>
      <c r="BO497" s="216"/>
      <c r="BP497" s="216"/>
      <c r="BQ497" s="216"/>
      <c r="BR497" s="216"/>
      <c r="BS497" s="216"/>
      <c r="BT497" s="216"/>
      <c r="BU497" s="216"/>
      <c r="BV497" s="216"/>
      <c r="BW497" s="216"/>
      <c r="BX497" s="216"/>
      <c r="BY497" s="216"/>
      <c r="BZ497" s="216"/>
      <c r="CA497" s="216"/>
      <c r="CB497" s="216"/>
      <c r="CC497" s="216"/>
      <c r="CD497" s="216"/>
      <c r="CE497" s="216"/>
      <c r="CF497" s="216"/>
      <c r="CG497" s="216"/>
      <c r="CH497" s="216"/>
      <c r="CI497" s="216"/>
      <c r="CJ497" s="216"/>
      <c r="CK497" s="216"/>
      <c r="CL497" s="216"/>
      <c r="CM497" s="216"/>
      <c r="CN497" s="216"/>
      <c r="CO497" s="216"/>
      <c r="CP497" s="216"/>
      <c r="CQ497" s="216"/>
      <c r="CR497" s="216"/>
      <c r="CS497" s="216"/>
      <c r="CT497" s="216"/>
      <c r="CU497" s="216"/>
      <c r="CV497" s="216"/>
      <c r="CW497" s="216"/>
      <c r="CX497" s="216"/>
      <c r="CY497" s="216"/>
    </row>
    <row r="498" spans="1:103" ht="12.75" x14ac:dyDescent="0.2">
      <c r="A498" s="214"/>
      <c r="B498" s="214"/>
      <c r="C498" s="214"/>
      <c r="D498" s="214"/>
      <c r="E498" s="214"/>
      <c r="F498" s="214"/>
      <c r="G498" s="214"/>
      <c r="H498" s="214"/>
      <c r="I498" s="214"/>
      <c r="J498" s="214"/>
      <c r="K498" s="214"/>
      <c r="L498" s="214"/>
      <c r="M498" s="214"/>
      <c r="N498" s="215"/>
      <c r="O498" s="215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16"/>
      <c r="AN498" s="216"/>
      <c r="AO498" s="216"/>
      <c r="AP498" s="216"/>
      <c r="AQ498" s="216"/>
      <c r="AR498" s="216"/>
      <c r="AS498" s="216"/>
      <c r="AT498" s="216"/>
      <c r="AU498" s="216"/>
      <c r="AV498" s="216"/>
      <c r="AW498" s="216"/>
      <c r="AX498" s="216"/>
      <c r="AY498" s="216"/>
      <c r="AZ498" s="216"/>
      <c r="BA498" s="216"/>
      <c r="BB498" s="216"/>
      <c r="BC498" s="216"/>
      <c r="BD498" s="216"/>
      <c r="BE498" s="216"/>
      <c r="BF498" s="216"/>
      <c r="BG498" s="216"/>
      <c r="BH498" s="216"/>
      <c r="BI498" s="216"/>
      <c r="BJ498" s="216"/>
      <c r="BK498" s="216"/>
      <c r="BL498" s="216"/>
      <c r="BM498" s="216"/>
      <c r="BN498" s="216"/>
      <c r="BO498" s="216"/>
      <c r="BP498" s="216"/>
      <c r="BQ498" s="216"/>
      <c r="BR498" s="216"/>
      <c r="BS498" s="216"/>
      <c r="BT498" s="216"/>
      <c r="BU498" s="216"/>
      <c r="BV498" s="216"/>
      <c r="BW498" s="216"/>
      <c r="BX498" s="216"/>
      <c r="BY498" s="216"/>
      <c r="BZ498" s="216"/>
      <c r="CA498" s="216"/>
      <c r="CB498" s="216"/>
      <c r="CC498" s="216"/>
      <c r="CD498" s="216"/>
      <c r="CE498" s="216"/>
      <c r="CF498" s="216"/>
      <c r="CG498" s="216"/>
      <c r="CH498" s="216"/>
      <c r="CI498" s="216"/>
      <c r="CJ498" s="216"/>
      <c r="CK498" s="216"/>
      <c r="CL498" s="216"/>
      <c r="CM498" s="216"/>
      <c r="CN498" s="216"/>
      <c r="CO498" s="216"/>
      <c r="CP498" s="216"/>
      <c r="CQ498" s="216"/>
      <c r="CR498" s="216"/>
      <c r="CS498" s="216"/>
      <c r="CT498" s="216"/>
      <c r="CU498" s="216"/>
      <c r="CV498" s="216"/>
      <c r="CW498" s="216"/>
      <c r="CX498" s="216"/>
      <c r="CY498" s="216"/>
    </row>
    <row r="499" spans="1:103" ht="12.75" x14ac:dyDescent="0.2">
      <c r="A499" s="214"/>
      <c r="B499" s="214"/>
      <c r="C499" s="214"/>
      <c r="D499" s="214"/>
      <c r="E499" s="214"/>
      <c r="F499" s="214"/>
      <c r="G499" s="214"/>
      <c r="H499" s="214"/>
      <c r="I499" s="214"/>
      <c r="J499" s="214"/>
      <c r="K499" s="214"/>
      <c r="L499" s="214"/>
      <c r="M499" s="214"/>
      <c r="N499" s="215"/>
      <c r="O499" s="215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16"/>
      <c r="AN499" s="216"/>
      <c r="AO499" s="216"/>
      <c r="AP499" s="216"/>
      <c r="AQ499" s="216"/>
      <c r="AR499" s="216"/>
      <c r="AS499" s="216"/>
      <c r="AT499" s="216"/>
      <c r="AU499" s="216"/>
      <c r="AV499" s="216"/>
      <c r="AW499" s="216"/>
      <c r="AX499" s="216"/>
      <c r="AY499" s="216"/>
      <c r="AZ499" s="216"/>
      <c r="BA499" s="216"/>
      <c r="BB499" s="216"/>
      <c r="BC499" s="216"/>
      <c r="BD499" s="216"/>
      <c r="BE499" s="216"/>
      <c r="BF499" s="216"/>
      <c r="BG499" s="216"/>
      <c r="BH499" s="216"/>
      <c r="BI499" s="216"/>
      <c r="BJ499" s="216"/>
      <c r="BK499" s="216"/>
      <c r="BL499" s="216"/>
      <c r="BM499" s="216"/>
      <c r="BN499" s="216"/>
      <c r="BO499" s="216"/>
      <c r="BP499" s="216"/>
      <c r="BQ499" s="216"/>
      <c r="BR499" s="216"/>
      <c r="BS499" s="216"/>
      <c r="BT499" s="216"/>
      <c r="BU499" s="216"/>
      <c r="BV499" s="216"/>
      <c r="BW499" s="216"/>
      <c r="BX499" s="216"/>
      <c r="BY499" s="216"/>
      <c r="BZ499" s="216"/>
      <c r="CA499" s="216"/>
      <c r="CB499" s="216"/>
      <c r="CC499" s="216"/>
      <c r="CD499" s="216"/>
      <c r="CE499" s="216"/>
      <c r="CF499" s="216"/>
      <c r="CG499" s="216"/>
      <c r="CH499" s="216"/>
      <c r="CI499" s="216"/>
      <c r="CJ499" s="216"/>
      <c r="CK499" s="216"/>
      <c r="CL499" s="216"/>
      <c r="CM499" s="216"/>
      <c r="CN499" s="216"/>
      <c r="CO499" s="216"/>
      <c r="CP499" s="216"/>
      <c r="CQ499" s="216"/>
      <c r="CR499" s="216"/>
      <c r="CS499" s="216"/>
      <c r="CT499" s="216"/>
      <c r="CU499" s="216"/>
      <c r="CV499" s="216"/>
      <c r="CW499" s="216"/>
      <c r="CX499" s="216"/>
      <c r="CY499" s="216"/>
    </row>
    <row r="500" spans="1:103" ht="12.75" x14ac:dyDescent="0.2">
      <c r="A500" s="214"/>
      <c r="B500" s="214"/>
      <c r="C500" s="214"/>
      <c r="D500" s="214"/>
      <c r="E500" s="214"/>
      <c r="F500" s="214"/>
      <c r="G500" s="214"/>
      <c r="H500" s="214"/>
      <c r="I500" s="214"/>
      <c r="J500" s="214"/>
      <c r="K500" s="214"/>
      <c r="L500" s="214"/>
      <c r="M500" s="214"/>
      <c r="N500" s="215"/>
      <c r="O500" s="215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16"/>
      <c r="AN500" s="216"/>
      <c r="AO500" s="216"/>
      <c r="AP500" s="216"/>
      <c r="AQ500" s="216"/>
      <c r="AR500" s="216"/>
      <c r="AS500" s="216"/>
      <c r="AT500" s="216"/>
      <c r="AU500" s="216"/>
      <c r="AV500" s="216"/>
      <c r="AW500" s="216"/>
      <c r="AX500" s="216"/>
      <c r="AY500" s="216"/>
      <c r="AZ500" s="216"/>
      <c r="BA500" s="216"/>
      <c r="BB500" s="216"/>
      <c r="BC500" s="216"/>
      <c r="BD500" s="216"/>
      <c r="BE500" s="216"/>
      <c r="BF500" s="216"/>
      <c r="BG500" s="216"/>
      <c r="BH500" s="216"/>
      <c r="BI500" s="216"/>
      <c r="BJ500" s="216"/>
      <c r="BK500" s="216"/>
      <c r="BL500" s="216"/>
      <c r="BM500" s="216"/>
      <c r="BN500" s="216"/>
      <c r="BO500" s="216"/>
      <c r="BP500" s="216"/>
      <c r="BQ500" s="216"/>
      <c r="BR500" s="216"/>
      <c r="BS500" s="216"/>
      <c r="BT500" s="216"/>
      <c r="BU500" s="216"/>
      <c r="BV500" s="216"/>
      <c r="BW500" s="216"/>
      <c r="BX500" s="216"/>
      <c r="BY500" s="216"/>
      <c r="BZ500" s="216"/>
      <c r="CA500" s="216"/>
      <c r="CB500" s="216"/>
      <c r="CC500" s="216"/>
      <c r="CD500" s="216"/>
      <c r="CE500" s="216"/>
      <c r="CF500" s="216"/>
      <c r="CG500" s="216"/>
      <c r="CH500" s="216"/>
      <c r="CI500" s="216"/>
      <c r="CJ500" s="216"/>
      <c r="CK500" s="216"/>
      <c r="CL500" s="216"/>
      <c r="CM500" s="216"/>
      <c r="CN500" s="216"/>
      <c r="CO500" s="216"/>
      <c r="CP500" s="216"/>
      <c r="CQ500" s="216"/>
      <c r="CR500" s="216"/>
      <c r="CS500" s="216"/>
      <c r="CT500" s="216"/>
      <c r="CU500" s="216"/>
      <c r="CV500" s="216"/>
      <c r="CW500" s="216"/>
      <c r="CX500" s="216"/>
      <c r="CY500" s="216"/>
    </row>
    <row r="501" spans="1:103" ht="12.75" x14ac:dyDescent="0.2">
      <c r="A501" s="214"/>
      <c r="B501" s="214"/>
      <c r="C501" s="214"/>
      <c r="D501" s="214"/>
      <c r="E501" s="214"/>
      <c r="F501" s="214"/>
      <c r="G501" s="214"/>
      <c r="H501" s="214"/>
      <c r="I501" s="214"/>
      <c r="J501" s="214"/>
      <c r="K501" s="214"/>
      <c r="L501" s="214"/>
      <c r="M501" s="214"/>
      <c r="N501" s="215"/>
      <c r="O501" s="215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16"/>
      <c r="AN501" s="216"/>
      <c r="AO501" s="216"/>
      <c r="AP501" s="216"/>
      <c r="AQ501" s="216"/>
      <c r="AR501" s="216"/>
      <c r="AS501" s="216"/>
      <c r="AT501" s="216"/>
      <c r="AU501" s="216"/>
      <c r="AV501" s="216"/>
      <c r="AW501" s="216"/>
      <c r="AX501" s="216"/>
      <c r="AY501" s="216"/>
      <c r="AZ501" s="216"/>
      <c r="BA501" s="216"/>
      <c r="BB501" s="216"/>
      <c r="BC501" s="216"/>
      <c r="BD501" s="216"/>
      <c r="BE501" s="216"/>
      <c r="BF501" s="216"/>
      <c r="BG501" s="216"/>
      <c r="BH501" s="216"/>
      <c r="BI501" s="216"/>
      <c r="BJ501" s="216"/>
      <c r="BK501" s="216"/>
      <c r="BL501" s="216"/>
      <c r="BM501" s="216"/>
      <c r="BN501" s="216"/>
      <c r="BO501" s="216"/>
      <c r="BP501" s="216"/>
      <c r="BQ501" s="216"/>
      <c r="BR501" s="216"/>
      <c r="BS501" s="216"/>
      <c r="BT501" s="216"/>
      <c r="BU501" s="216"/>
      <c r="BV501" s="216"/>
      <c r="BW501" s="216"/>
      <c r="BX501" s="216"/>
      <c r="BY501" s="216"/>
      <c r="BZ501" s="216"/>
      <c r="CA501" s="216"/>
      <c r="CB501" s="216"/>
      <c r="CC501" s="216"/>
      <c r="CD501" s="216"/>
      <c r="CE501" s="216"/>
      <c r="CF501" s="216"/>
      <c r="CG501" s="216"/>
      <c r="CH501" s="216"/>
      <c r="CI501" s="216"/>
      <c r="CJ501" s="216"/>
      <c r="CK501" s="216"/>
      <c r="CL501" s="216"/>
      <c r="CM501" s="216"/>
      <c r="CN501" s="216"/>
      <c r="CO501" s="216"/>
      <c r="CP501" s="216"/>
      <c r="CQ501" s="216"/>
      <c r="CR501" s="216"/>
      <c r="CS501" s="216"/>
      <c r="CT501" s="216"/>
      <c r="CU501" s="216"/>
      <c r="CV501" s="216"/>
      <c r="CW501" s="216"/>
      <c r="CX501" s="216"/>
      <c r="CY501" s="216"/>
    </row>
    <row r="502" spans="1:103" ht="12.75" x14ac:dyDescent="0.2">
      <c r="A502" s="214"/>
      <c r="B502" s="214"/>
      <c r="C502" s="214"/>
      <c r="D502" s="214"/>
      <c r="E502" s="214"/>
      <c r="F502" s="214"/>
      <c r="G502" s="214"/>
      <c r="H502" s="214"/>
      <c r="I502" s="214"/>
      <c r="J502" s="214"/>
      <c r="K502" s="214"/>
      <c r="L502" s="214"/>
      <c r="M502" s="214"/>
      <c r="N502" s="215"/>
      <c r="O502" s="215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16"/>
      <c r="AN502" s="216"/>
      <c r="AO502" s="216"/>
      <c r="AP502" s="216"/>
      <c r="AQ502" s="216"/>
      <c r="AR502" s="216"/>
      <c r="AS502" s="216"/>
      <c r="AT502" s="216"/>
      <c r="AU502" s="216"/>
      <c r="AV502" s="216"/>
      <c r="AW502" s="216"/>
      <c r="AX502" s="216"/>
      <c r="AY502" s="216"/>
      <c r="AZ502" s="216"/>
      <c r="BA502" s="216"/>
      <c r="BB502" s="216"/>
      <c r="BC502" s="216"/>
      <c r="BD502" s="216"/>
      <c r="BE502" s="216"/>
      <c r="BF502" s="216"/>
      <c r="BG502" s="216"/>
      <c r="BH502" s="216"/>
      <c r="BI502" s="216"/>
      <c r="BJ502" s="216"/>
      <c r="BK502" s="216"/>
      <c r="BL502" s="216"/>
      <c r="BM502" s="216"/>
      <c r="BN502" s="216"/>
      <c r="BO502" s="216"/>
      <c r="BP502" s="216"/>
      <c r="BQ502" s="216"/>
      <c r="BR502" s="216"/>
      <c r="BS502" s="216"/>
      <c r="BT502" s="216"/>
      <c r="BU502" s="216"/>
      <c r="BV502" s="216"/>
      <c r="BW502" s="216"/>
      <c r="BX502" s="216"/>
      <c r="BY502" s="216"/>
      <c r="BZ502" s="216"/>
      <c r="CA502" s="216"/>
      <c r="CB502" s="216"/>
      <c r="CC502" s="216"/>
      <c r="CD502" s="216"/>
      <c r="CE502" s="216"/>
      <c r="CF502" s="216"/>
      <c r="CG502" s="216"/>
      <c r="CH502" s="216"/>
      <c r="CI502" s="216"/>
      <c r="CJ502" s="216"/>
      <c r="CK502" s="216"/>
      <c r="CL502" s="216"/>
      <c r="CM502" s="216"/>
      <c r="CN502" s="216"/>
      <c r="CO502" s="216"/>
      <c r="CP502" s="216"/>
      <c r="CQ502" s="216"/>
      <c r="CR502" s="216"/>
      <c r="CS502" s="216"/>
      <c r="CT502" s="216"/>
      <c r="CU502" s="216"/>
      <c r="CV502" s="216"/>
      <c r="CW502" s="216"/>
      <c r="CX502" s="216"/>
      <c r="CY502" s="216"/>
    </row>
    <row r="503" spans="1:103" ht="12.75" x14ac:dyDescent="0.2">
      <c r="A503" s="214"/>
      <c r="B503" s="214"/>
      <c r="C503" s="214"/>
      <c r="D503" s="214"/>
      <c r="E503" s="214"/>
      <c r="F503" s="214"/>
      <c r="G503" s="214"/>
      <c r="H503" s="214"/>
      <c r="I503" s="214"/>
      <c r="J503" s="214"/>
      <c r="K503" s="214"/>
      <c r="L503" s="214"/>
      <c r="M503" s="214"/>
      <c r="N503" s="215"/>
      <c r="O503" s="215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16"/>
      <c r="AN503" s="216"/>
      <c r="AO503" s="216"/>
      <c r="AP503" s="216"/>
      <c r="AQ503" s="216"/>
      <c r="AR503" s="216"/>
      <c r="AS503" s="216"/>
      <c r="AT503" s="216"/>
      <c r="AU503" s="216"/>
      <c r="AV503" s="216"/>
      <c r="AW503" s="216"/>
      <c r="AX503" s="216"/>
      <c r="AY503" s="216"/>
      <c r="AZ503" s="216"/>
      <c r="BA503" s="216"/>
      <c r="BB503" s="216"/>
      <c r="BC503" s="216"/>
      <c r="BD503" s="216"/>
      <c r="BE503" s="216"/>
      <c r="BF503" s="216"/>
      <c r="BG503" s="216"/>
      <c r="BH503" s="216"/>
      <c r="BI503" s="216"/>
      <c r="BJ503" s="216"/>
      <c r="BK503" s="216"/>
      <c r="BL503" s="216"/>
      <c r="BM503" s="216"/>
      <c r="BN503" s="216"/>
      <c r="BO503" s="216"/>
      <c r="BP503" s="216"/>
      <c r="BQ503" s="216"/>
      <c r="BR503" s="216"/>
      <c r="BS503" s="216"/>
      <c r="BT503" s="216"/>
      <c r="BU503" s="216"/>
      <c r="BV503" s="216"/>
      <c r="BW503" s="216"/>
      <c r="BX503" s="216"/>
      <c r="BY503" s="216"/>
      <c r="BZ503" s="216"/>
      <c r="CA503" s="216"/>
      <c r="CB503" s="216"/>
      <c r="CC503" s="216"/>
      <c r="CD503" s="216"/>
      <c r="CE503" s="216"/>
      <c r="CF503" s="216"/>
      <c r="CG503" s="216"/>
      <c r="CH503" s="216"/>
      <c r="CI503" s="216"/>
      <c r="CJ503" s="216"/>
      <c r="CK503" s="216"/>
      <c r="CL503" s="216"/>
      <c r="CM503" s="216"/>
      <c r="CN503" s="216"/>
      <c r="CO503" s="216"/>
      <c r="CP503" s="216"/>
      <c r="CQ503" s="216"/>
      <c r="CR503" s="216"/>
      <c r="CS503" s="216"/>
      <c r="CT503" s="216"/>
      <c r="CU503" s="216"/>
      <c r="CV503" s="216"/>
      <c r="CW503" s="216"/>
      <c r="CX503" s="216"/>
      <c r="CY503" s="216"/>
    </row>
    <row r="504" spans="1:103" ht="12.75" x14ac:dyDescent="0.2">
      <c r="A504" s="214"/>
      <c r="B504" s="214"/>
      <c r="C504" s="214"/>
      <c r="D504" s="214"/>
      <c r="E504" s="214"/>
      <c r="F504" s="214"/>
      <c r="G504" s="214"/>
      <c r="H504" s="214"/>
      <c r="I504" s="214"/>
      <c r="J504" s="214"/>
      <c r="K504" s="214"/>
      <c r="L504" s="214"/>
      <c r="M504" s="214"/>
      <c r="N504" s="215"/>
      <c r="O504" s="215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16"/>
      <c r="AN504" s="216"/>
      <c r="AO504" s="216"/>
      <c r="AP504" s="216"/>
      <c r="AQ504" s="216"/>
      <c r="AR504" s="216"/>
      <c r="AS504" s="216"/>
      <c r="AT504" s="216"/>
      <c r="AU504" s="216"/>
      <c r="AV504" s="216"/>
      <c r="AW504" s="216"/>
      <c r="AX504" s="216"/>
      <c r="AY504" s="216"/>
      <c r="AZ504" s="216"/>
      <c r="BA504" s="216"/>
      <c r="BB504" s="216"/>
      <c r="BC504" s="216"/>
      <c r="BD504" s="216"/>
      <c r="BE504" s="216"/>
      <c r="BF504" s="216"/>
      <c r="BG504" s="216"/>
      <c r="BH504" s="216"/>
      <c r="BI504" s="216"/>
      <c r="BJ504" s="216"/>
      <c r="BK504" s="216"/>
      <c r="BL504" s="216"/>
      <c r="BM504" s="216"/>
      <c r="BN504" s="216"/>
      <c r="BO504" s="216"/>
      <c r="BP504" s="216"/>
      <c r="BQ504" s="216"/>
      <c r="BR504" s="216"/>
      <c r="BS504" s="216"/>
      <c r="BT504" s="216"/>
      <c r="BU504" s="216"/>
      <c r="BV504" s="216"/>
      <c r="BW504" s="216"/>
      <c r="BX504" s="216"/>
      <c r="BY504" s="216"/>
      <c r="BZ504" s="216"/>
      <c r="CA504" s="216"/>
      <c r="CB504" s="216"/>
      <c r="CC504" s="216"/>
      <c r="CD504" s="216"/>
      <c r="CE504" s="216"/>
      <c r="CF504" s="216"/>
      <c r="CG504" s="216"/>
      <c r="CH504" s="216"/>
      <c r="CI504" s="216"/>
      <c r="CJ504" s="216"/>
      <c r="CK504" s="216"/>
      <c r="CL504" s="216"/>
      <c r="CM504" s="216"/>
      <c r="CN504" s="216"/>
      <c r="CO504" s="216"/>
      <c r="CP504" s="216"/>
      <c r="CQ504" s="216"/>
      <c r="CR504" s="216"/>
      <c r="CS504" s="216"/>
      <c r="CT504" s="216"/>
      <c r="CU504" s="216"/>
      <c r="CV504" s="216"/>
      <c r="CW504" s="216"/>
      <c r="CX504" s="216"/>
      <c r="CY504" s="216"/>
    </row>
    <row r="505" spans="1:103" ht="12.75" x14ac:dyDescent="0.2">
      <c r="A505" s="214"/>
      <c r="B505" s="214"/>
      <c r="C505" s="214"/>
      <c r="D505" s="214"/>
      <c r="E505" s="214"/>
      <c r="F505" s="214"/>
      <c r="G505" s="214"/>
      <c r="H505" s="214"/>
      <c r="I505" s="214"/>
      <c r="J505" s="214"/>
      <c r="K505" s="214"/>
      <c r="L505" s="214"/>
      <c r="M505" s="214"/>
      <c r="N505" s="215"/>
      <c r="O505" s="215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16"/>
      <c r="AN505" s="216"/>
      <c r="AO505" s="216"/>
      <c r="AP505" s="216"/>
      <c r="AQ505" s="216"/>
      <c r="AR505" s="216"/>
      <c r="AS505" s="216"/>
      <c r="AT505" s="216"/>
      <c r="AU505" s="216"/>
      <c r="AV505" s="216"/>
      <c r="AW505" s="216"/>
      <c r="AX505" s="216"/>
      <c r="AY505" s="216"/>
      <c r="AZ505" s="216"/>
      <c r="BA505" s="216"/>
      <c r="BB505" s="216"/>
      <c r="BC505" s="216"/>
      <c r="BD505" s="216"/>
      <c r="BE505" s="216"/>
      <c r="BF505" s="216"/>
      <c r="BG505" s="216"/>
      <c r="BH505" s="216"/>
      <c r="BI505" s="216"/>
      <c r="BJ505" s="216"/>
      <c r="BK505" s="216"/>
      <c r="BL505" s="216"/>
      <c r="BM505" s="216"/>
      <c r="BN505" s="216"/>
      <c r="BO505" s="216"/>
      <c r="BP505" s="216"/>
      <c r="BQ505" s="216"/>
      <c r="BR505" s="216"/>
      <c r="BS505" s="216"/>
      <c r="BT505" s="216"/>
      <c r="BU505" s="216"/>
      <c r="BV505" s="216"/>
      <c r="BW505" s="216"/>
      <c r="BX505" s="216"/>
      <c r="BY505" s="216"/>
      <c r="BZ505" s="216"/>
      <c r="CA505" s="216"/>
      <c r="CB505" s="216"/>
      <c r="CC505" s="216"/>
      <c r="CD505" s="216"/>
      <c r="CE505" s="216"/>
      <c r="CF505" s="216"/>
      <c r="CG505" s="216"/>
      <c r="CH505" s="216"/>
      <c r="CI505" s="216"/>
      <c r="CJ505" s="216"/>
      <c r="CK505" s="216"/>
      <c r="CL505" s="216"/>
      <c r="CM505" s="216"/>
      <c r="CN505" s="216"/>
      <c r="CO505" s="216"/>
      <c r="CP505" s="216"/>
      <c r="CQ505" s="216"/>
      <c r="CR505" s="216"/>
      <c r="CS505" s="216"/>
      <c r="CT505" s="216"/>
      <c r="CU505" s="216"/>
      <c r="CV505" s="216"/>
      <c r="CW505" s="216"/>
      <c r="CX505" s="216"/>
      <c r="CY505" s="216"/>
    </row>
    <row r="506" spans="1:103" ht="12.75" x14ac:dyDescent="0.2">
      <c r="A506" s="214"/>
      <c r="B506" s="214"/>
      <c r="C506" s="214"/>
      <c r="D506" s="214"/>
      <c r="E506" s="214"/>
      <c r="F506" s="214"/>
      <c r="G506" s="214"/>
      <c r="H506" s="214"/>
      <c r="I506" s="214"/>
      <c r="J506" s="214"/>
      <c r="K506" s="214"/>
      <c r="L506" s="214"/>
      <c r="M506" s="214"/>
      <c r="N506" s="215"/>
      <c r="O506" s="215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16"/>
      <c r="AN506" s="216"/>
      <c r="AO506" s="216"/>
      <c r="AP506" s="216"/>
      <c r="AQ506" s="216"/>
      <c r="AR506" s="216"/>
      <c r="AS506" s="216"/>
      <c r="AT506" s="216"/>
      <c r="AU506" s="216"/>
      <c r="AV506" s="216"/>
      <c r="AW506" s="216"/>
      <c r="AX506" s="216"/>
      <c r="AY506" s="216"/>
      <c r="AZ506" s="216"/>
      <c r="BA506" s="216"/>
      <c r="BB506" s="216"/>
      <c r="BC506" s="216"/>
      <c r="BD506" s="216"/>
      <c r="BE506" s="216"/>
      <c r="BF506" s="216"/>
      <c r="BG506" s="216"/>
      <c r="BH506" s="216"/>
      <c r="BI506" s="216"/>
      <c r="BJ506" s="216"/>
      <c r="BK506" s="216"/>
      <c r="BL506" s="216"/>
      <c r="BM506" s="216"/>
      <c r="BN506" s="216"/>
      <c r="BO506" s="216"/>
      <c r="BP506" s="216"/>
      <c r="BQ506" s="216"/>
      <c r="BR506" s="216"/>
      <c r="BS506" s="216"/>
      <c r="BT506" s="216"/>
      <c r="BU506" s="216"/>
      <c r="BV506" s="216"/>
      <c r="BW506" s="216"/>
      <c r="BX506" s="216"/>
      <c r="BY506" s="216"/>
      <c r="BZ506" s="216"/>
      <c r="CA506" s="216"/>
      <c r="CB506" s="216"/>
      <c r="CC506" s="216"/>
      <c r="CD506" s="216"/>
      <c r="CE506" s="216"/>
      <c r="CF506" s="216"/>
      <c r="CG506" s="216"/>
      <c r="CH506" s="216"/>
      <c r="CI506" s="216"/>
      <c r="CJ506" s="216"/>
      <c r="CK506" s="216"/>
      <c r="CL506" s="216"/>
      <c r="CM506" s="216"/>
      <c r="CN506" s="216"/>
      <c r="CO506" s="216"/>
      <c r="CP506" s="216"/>
      <c r="CQ506" s="216"/>
      <c r="CR506" s="216"/>
      <c r="CS506" s="216"/>
      <c r="CT506" s="216"/>
      <c r="CU506" s="216"/>
      <c r="CV506" s="216"/>
      <c r="CW506" s="216"/>
      <c r="CX506" s="216"/>
      <c r="CY506" s="216"/>
    </row>
    <row r="507" spans="1:103" ht="12.75" x14ac:dyDescent="0.2">
      <c r="A507" s="214"/>
      <c r="B507" s="214"/>
      <c r="C507" s="214"/>
      <c r="D507" s="214"/>
      <c r="E507" s="214"/>
      <c r="F507" s="214"/>
      <c r="G507" s="214"/>
      <c r="H507" s="214"/>
      <c r="I507" s="214"/>
      <c r="J507" s="214"/>
      <c r="K507" s="214"/>
      <c r="L507" s="214"/>
      <c r="M507" s="214"/>
      <c r="N507" s="215"/>
      <c r="O507" s="215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16"/>
      <c r="AN507" s="216"/>
      <c r="AO507" s="216"/>
      <c r="AP507" s="216"/>
      <c r="AQ507" s="216"/>
      <c r="AR507" s="216"/>
      <c r="AS507" s="216"/>
      <c r="AT507" s="216"/>
      <c r="AU507" s="216"/>
      <c r="AV507" s="216"/>
      <c r="AW507" s="216"/>
      <c r="AX507" s="216"/>
      <c r="AY507" s="216"/>
      <c r="AZ507" s="216"/>
      <c r="BA507" s="216"/>
      <c r="BB507" s="216"/>
      <c r="BC507" s="216"/>
      <c r="BD507" s="216"/>
      <c r="BE507" s="216"/>
      <c r="BF507" s="216"/>
      <c r="BG507" s="216"/>
      <c r="BH507" s="216"/>
      <c r="BI507" s="216"/>
      <c r="BJ507" s="216"/>
      <c r="BK507" s="216"/>
      <c r="BL507" s="216"/>
      <c r="BM507" s="216"/>
      <c r="BN507" s="216"/>
      <c r="BO507" s="216"/>
      <c r="BP507" s="216"/>
      <c r="BQ507" s="216"/>
      <c r="BR507" s="216"/>
      <c r="BS507" s="216"/>
      <c r="BT507" s="216"/>
      <c r="BU507" s="216"/>
      <c r="BV507" s="216"/>
      <c r="BW507" s="216"/>
      <c r="BX507" s="216"/>
      <c r="BY507" s="216"/>
      <c r="BZ507" s="216"/>
      <c r="CA507" s="216"/>
      <c r="CB507" s="216"/>
      <c r="CC507" s="216"/>
      <c r="CD507" s="216"/>
      <c r="CE507" s="216"/>
      <c r="CF507" s="216"/>
      <c r="CG507" s="216"/>
      <c r="CH507" s="216"/>
      <c r="CI507" s="216"/>
      <c r="CJ507" s="216"/>
      <c r="CK507" s="216"/>
      <c r="CL507" s="216"/>
      <c r="CM507" s="216"/>
      <c r="CN507" s="216"/>
      <c r="CO507" s="216"/>
      <c r="CP507" s="216"/>
      <c r="CQ507" s="216"/>
      <c r="CR507" s="216"/>
      <c r="CS507" s="216"/>
      <c r="CT507" s="216"/>
      <c r="CU507" s="216"/>
      <c r="CV507" s="216"/>
      <c r="CW507" s="216"/>
      <c r="CX507" s="216"/>
      <c r="CY507" s="216"/>
    </row>
    <row r="508" spans="1:103" ht="12.75" x14ac:dyDescent="0.2">
      <c r="A508" s="214"/>
      <c r="B508" s="214"/>
      <c r="C508" s="214"/>
      <c r="D508" s="214"/>
      <c r="E508" s="214"/>
      <c r="F508" s="214"/>
      <c r="G508" s="214"/>
      <c r="H508" s="214"/>
      <c r="I508" s="214"/>
      <c r="J508" s="214"/>
      <c r="K508" s="214"/>
      <c r="L508" s="214"/>
      <c r="M508" s="214"/>
      <c r="N508" s="215"/>
      <c r="O508" s="215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16"/>
      <c r="AN508" s="216"/>
      <c r="AO508" s="216"/>
      <c r="AP508" s="216"/>
      <c r="AQ508" s="216"/>
      <c r="AR508" s="216"/>
      <c r="AS508" s="216"/>
      <c r="AT508" s="216"/>
      <c r="AU508" s="216"/>
      <c r="AV508" s="216"/>
      <c r="AW508" s="216"/>
      <c r="AX508" s="216"/>
      <c r="AY508" s="216"/>
      <c r="AZ508" s="216"/>
      <c r="BA508" s="216"/>
      <c r="BB508" s="216"/>
      <c r="BC508" s="216"/>
      <c r="BD508" s="216"/>
      <c r="BE508" s="216"/>
      <c r="BF508" s="216"/>
      <c r="BG508" s="216"/>
      <c r="BH508" s="216"/>
      <c r="BI508" s="216"/>
      <c r="BJ508" s="216"/>
      <c r="BK508" s="216"/>
      <c r="BL508" s="216"/>
      <c r="BM508" s="216"/>
      <c r="BN508" s="216"/>
      <c r="BO508" s="216"/>
      <c r="BP508" s="216"/>
      <c r="BQ508" s="216"/>
      <c r="BR508" s="216"/>
      <c r="BS508" s="216"/>
      <c r="BT508" s="216"/>
      <c r="BU508" s="216"/>
      <c r="BV508" s="216"/>
      <c r="BW508" s="216"/>
      <c r="BX508" s="216"/>
      <c r="BY508" s="216"/>
      <c r="BZ508" s="216"/>
      <c r="CA508" s="216"/>
      <c r="CB508" s="216"/>
      <c r="CC508" s="216"/>
      <c r="CD508" s="216"/>
      <c r="CE508" s="216"/>
      <c r="CF508" s="216"/>
      <c r="CG508" s="216"/>
      <c r="CH508" s="216"/>
      <c r="CI508" s="216"/>
      <c r="CJ508" s="216"/>
      <c r="CK508" s="216"/>
      <c r="CL508" s="216"/>
      <c r="CM508" s="216"/>
      <c r="CN508" s="216"/>
      <c r="CO508" s="216"/>
      <c r="CP508" s="216"/>
      <c r="CQ508" s="216"/>
      <c r="CR508" s="216"/>
      <c r="CS508" s="216"/>
      <c r="CT508" s="216"/>
      <c r="CU508" s="216"/>
      <c r="CV508" s="216"/>
      <c r="CW508" s="216"/>
      <c r="CX508" s="216"/>
      <c r="CY508" s="216"/>
    </row>
    <row r="509" spans="1:103" ht="12.75" x14ac:dyDescent="0.2">
      <c r="A509" s="214"/>
      <c r="B509" s="214"/>
      <c r="C509" s="214"/>
      <c r="D509" s="214"/>
      <c r="E509" s="214"/>
      <c r="F509" s="214"/>
      <c r="G509" s="214"/>
      <c r="H509" s="214"/>
      <c r="I509" s="214"/>
      <c r="J509" s="214"/>
      <c r="K509" s="214"/>
      <c r="L509" s="214"/>
      <c r="M509" s="214"/>
      <c r="N509" s="215"/>
      <c r="O509" s="215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16"/>
      <c r="AN509" s="216"/>
      <c r="AO509" s="216"/>
      <c r="AP509" s="216"/>
      <c r="AQ509" s="216"/>
      <c r="AR509" s="216"/>
      <c r="AS509" s="216"/>
      <c r="AT509" s="216"/>
      <c r="AU509" s="216"/>
      <c r="AV509" s="216"/>
      <c r="AW509" s="216"/>
      <c r="AX509" s="216"/>
      <c r="AY509" s="216"/>
      <c r="AZ509" s="216"/>
      <c r="BA509" s="216"/>
      <c r="BB509" s="216"/>
      <c r="BC509" s="216"/>
      <c r="BD509" s="216"/>
      <c r="BE509" s="216"/>
      <c r="BF509" s="216"/>
      <c r="BG509" s="216"/>
      <c r="BH509" s="216"/>
      <c r="BI509" s="216"/>
      <c r="BJ509" s="216"/>
      <c r="BK509" s="216"/>
      <c r="BL509" s="216"/>
      <c r="BM509" s="216"/>
      <c r="BN509" s="216"/>
      <c r="BO509" s="216"/>
      <c r="BP509" s="216"/>
      <c r="BQ509" s="216"/>
      <c r="BR509" s="216"/>
      <c r="BS509" s="216"/>
      <c r="BT509" s="216"/>
      <c r="BU509" s="216"/>
      <c r="BV509" s="216"/>
      <c r="BW509" s="216"/>
      <c r="BX509" s="216"/>
      <c r="BY509" s="216"/>
      <c r="BZ509" s="216"/>
      <c r="CA509" s="216"/>
      <c r="CB509" s="216"/>
      <c r="CC509" s="216"/>
      <c r="CD509" s="216"/>
      <c r="CE509" s="216"/>
      <c r="CF509" s="216"/>
      <c r="CG509" s="216"/>
      <c r="CH509" s="216"/>
      <c r="CI509" s="216"/>
      <c r="CJ509" s="216"/>
      <c r="CK509" s="216"/>
      <c r="CL509" s="216"/>
      <c r="CM509" s="216"/>
      <c r="CN509" s="216"/>
      <c r="CO509" s="216"/>
      <c r="CP509" s="216"/>
      <c r="CQ509" s="216"/>
      <c r="CR509" s="216"/>
      <c r="CS509" s="216"/>
      <c r="CT509" s="216"/>
      <c r="CU509" s="216"/>
      <c r="CV509" s="216"/>
      <c r="CW509" s="216"/>
      <c r="CX509" s="216"/>
      <c r="CY509" s="216"/>
    </row>
    <row r="510" spans="1:103" ht="12.75" x14ac:dyDescent="0.2">
      <c r="A510" s="214"/>
      <c r="B510" s="214"/>
      <c r="C510" s="214"/>
      <c r="D510" s="214"/>
      <c r="E510" s="214"/>
      <c r="F510" s="214"/>
      <c r="G510" s="214"/>
      <c r="H510" s="214"/>
      <c r="I510" s="214"/>
      <c r="J510" s="214"/>
      <c r="K510" s="214"/>
      <c r="L510" s="214"/>
      <c r="M510" s="214"/>
      <c r="N510" s="215"/>
      <c r="O510" s="215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6"/>
      <c r="BB510" s="216"/>
      <c r="BC510" s="216"/>
      <c r="BD510" s="216"/>
      <c r="BE510" s="216"/>
      <c r="BF510" s="216"/>
      <c r="BG510" s="216"/>
      <c r="BH510" s="216"/>
      <c r="BI510" s="216"/>
      <c r="BJ510" s="216"/>
      <c r="BK510" s="216"/>
      <c r="BL510" s="216"/>
      <c r="BM510" s="216"/>
      <c r="BN510" s="216"/>
      <c r="BO510" s="216"/>
      <c r="BP510" s="216"/>
      <c r="BQ510" s="216"/>
      <c r="BR510" s="216"/>
      <c r="BS510" s="216"/>
      <c r="BT510" s="216"/>
      <c r="BU510" s="216"/>
      <c r="BV510" s="216"/>
      <c r="BW510" s="216"/>
      <c r="BX510" s="216"/>
      <c r="BY510" s="216"/>
      <c r="BZ510" s="216"/>
      <c r="CA510" s="216"/>
      <c r="CB510" s="216"/>
      <c r="CC510" s="216"/>
      <c r="CD510" s="216"/>
      <c r="CE510" s="216"/>
      <c r="CF510" s="216"/>
      <c r="CG510" s="216"/>
      <c r="CH510" s="216"/>
      <c r="CI510" s="216"/>
      <c r="CJ510" s="216"/>
      <c r="CK510" s="216"/>
      <c r="CL510" s="216"/>
      <c r="CM510" s="216"/>
      <c r="CN510" s="216"/>
      <c r="CO510" s="216"/>
      <c r="CP510" s="216"/>
      <c r="CQ510" s="216"/>
      <c r="CR510" s="216"/>
      <c r="CS510" s="216"/>
      <c r="CT510" s="216"/>
      <c r="CU510" s="216"/>
      <c r="CV510" s="216"/>
      <c r="CW510" s="216"/>
      <c r="CX510" s="216"/>
      <c r="CY510" s="216"/>
    </row>
    <row r="511" spans="1:103" ht="12.75" x14ac:dyDescent="0.2">
      <c r="A511" s="214"/>
      <c r="B511" s="214"/>
      <c r="C511" s="214"/>
      <c r="D511" s="214"/>
      <c r="E511" s="214"/>
      <c r="F511" s="214"/>
      <c r="G511" s="214"/>
      <c r="H511" s="214"/>
      <c r="I511" s="214"/>
      <c r="J511" s="214"/>
      <c r="K511" s="214"/>
      <c r="L511" s="214"/>
      <c r="M511" s="214"/>
      <c r="N511" s="215"/>
      <c r="O511" s="215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16"/>
      <c r="AN511" s="216"/>
      <c r="AO511" s="216"/>
      <c r="AP511" s="216"/>
      <c r="AQ511" s="216"/>
      <c r="AR511" s="216"/>
      <c r="AS511" s="216"/>
      <c r="AT511" s="216"/>
      <c r="AU511" s="216"/>
      <c r="AV511" s="216"/>
      <c r="AW511" s="216"/>
      <c r="AX511" s="216"/>
      <c r="AY511" s="216"/>
      <c r="AZ511" s="216"/>
      <c r="BA511" s="216"/>
      <c r="BB511" s="216"/>
      <c r="BC511" s="216"/>
      <c r="BD511" s="216"/>
      <c r="BE511" s="216"/>
      <c r="BF511" s="216"/>
      <c r="BG511" s="216"/>
      <c r="BH511" s="216"/>
      <c r="BI511" s="216"/>
      <c r="BJ511" s="216"/>
      <c r="BK511" s="216"/>
      <c r="BL511" s="216"/>
      <c r="BM511" s="216"/>
      <c r="BN511" s="216"/>
      <c r="BO511" s="216"/>
      <c r="BP511" s="216"/>
      <c r="BQ511" s="216"/>
      <c r="BR511" s="216"/>
      <c r="BS511" s="216"/>
      <c r="BT511" s="216"/>
      <c r="BU511" s="216"/>
      <c r="BV511" s="216"/>
      <c r="BW511" s="216"/>
      <c r="BX511" s="216"/>
      <c r="BY511" s="216"/>
      <c r="BZ511" s="216"/>
      <c r="CA511" s="216"/>
      <c r="CB511" s="216"/>
      <c r="CC511" s="216"/>
      <c r="CD511" s="216"/>
      <c r="CE511" s="216"/>
      <c r="CF511" s="216"/>
      <c r="CG511" s="216"/>
      <c r="CH511" s="216"/>
      <c r="CI511" s="216"/>
      <c r="CJ511" s="216"/>
      <c r="CK511" s="216"/>
      <c r="CL511" s="216"/>
      <c r="CM511" s="216"/>
      <c r="CN511" s="216"/>
      <c r="CO511" s="216"/>
      <c r="CP511" s="216"/>
      <c r="CQ511" s="216"/>
      <c r="CR511" s="216"/>
      <c r="CS511" s="216"/>
      <c r="CT511" s="216"/>
      <c r="CU511" s="216"/>
      <c r="CV511" s="216"/>
      <c r="CW511" s="216"/>
      <c r="CX511" s="216"/>
      <c r="CY511" s="216"/>
    </row>
    <row r="512" spans="1:103" ht="12.75" x14ac:dyDescent="0.2">
      <c r="A512" s="214"/>
      <c r="B512" s="214"/>
      <c r="C512" s="214"/>
      <c r="D512" s="214"/>
      <c r="E512" s="214"/>
      <c r="F512" s="214"/>
      <c r="G512" s="214"/>
      <c r="H512" s="214"/>
      <c r="I512" s="214"/>
      <c r="J512" s="214"/>
      <c r="K512" s="214"/>
      <c r="L512" s="214"/>
      <c r="M512" s="214"/>
      <c r="N512" s="215"/>
      <c r="O512" s="215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6"/>
      <c r="BB512" s="216"/>
      <c r="BC512" s="216"/>
      <c r="BD512" s="216"/>
      <c r="BE512" s="216"/>
      <c r="BF512" s="216"/>
      <c r="BG512" s="216"/>
      <c r="BH512" s="216"/>
      <c r="BI512" s="216"/>
      <c r="BJ512" s="216"/>
      <c r="BK512" s="216"/>
      <c r="BL512" s="216"/>
      <c r="BM512" s="216"/>
      <c r="BN512" s="216"/>
      <c r="BO512" s="216"/>
      <c r="BP512" s="216"/>
      <c r="BQ512" s="216"/>
      <c r="BR512" s="216"/>
      <c r="BS512" s="216"/>
      <c r="BT512" s="216"/>
      <c r="BU512" s="216"/>
      <c r="BV512" s="216"/>
      <c r="BW512" s="216"/>
      <c r="BX512" s="216"/>
      <c r="BY512" s="216"/>
      <c r="BZ512" s="216"/>
      <c r="CA512" s="216"/>
      <c r="CB512" s="216"/>
      <c r="CC512" s="216"/>
      <c r="CD512" s="216"/>
      <c r="CE512" s="216"/>
      <c r="CF512" s="216"/>
      <c r="CG512" s="216"/>
      <c r="CH512" s="216"/>
      <c r="CI512" s="216"/>
      <c r="CJ512" s="216"/>
      <c r="CK512" s="216"/>
      <c r="CL512" s="216"/>
      <c r="CM512" s="216"/>
      <c r="CN512" s="216"/>
      <c r="CO512" s="216"/>
      <c r="CP512" s="216"/>
      <c r="CQ512" s="216"/>
      <c r="CR512" s="216"/>
      <c r="CS512" s="216"/>
      <c r="CT512" s="216"/>
      <c r="CU512" s="216"/>
      <c r="CV512" s="216"/>
      <c r="CW512" s="216"/>
      <c r="CX512" s="216"/>
      <c r="CY512" s="216"/>
    </row>
    <row r="513" spans="1:103" ht="12.75" x14ac:dyDescent="0.2">
      <c r="A513" s="214"/>
      <c r="B513" s="214"/>
      <c r="C513" s="214"/>
      <c r="D513" s="214"/>
      <c r="E513" s="214"/>
      <c r="F513" s="214"/>
      <c r="G513" s="214"/>
      <c r="H513" s="214"/>
      <c r="I513" s="214"/>
      <c r="J513" s="214"/>
      <c r="K513" s="214"/>
      <c r="L513" s="214"/>
      <c r="M513" s="214"/>
      <c r="N513" s="215"/>
      <c r="O513" s="215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16"/>
      <c r="AN513" s="216"/>
      <c r="AO513" s="216"/>
      <c r="AP513" s="216"/>
      <c r="AQ513" s="216"/>
      <c r="AR513" s="216"/>
      <c r="AS513" s="216"/>
      <c r="AT513" s="216"/>
      <c r="AU513" s="216"/>
      <c r="AV513" s="216"/>
      <c r="AW513" s="216"/>
      <c r="AX513" s="216"/>
      <c r="AY513" s="216"/>
      <c r="AZ513" s="216"/>
      <c r="BA513" s="216"/>
      <c r="BB513" s="216"/>
      <c r="BC513" s="216"/>
      <c r="BD513" s="216"/>
      <c r="BE513" s="216"/>
      <c r="BF513" s="216"/>
      <c r="BG513" s="216"/>
      <c r="BH513" s="216"/>
      <c r="BI513" s="216"/>
      <c r="BJ513" s="216"/>
      <c r="BK513" s="216"/>
      <c r="BL513" s="216"/>
      <c r="BM513" s="216"/>
      <c r="BN513" s="216"/>
      <c r="BO513" s="216"/>
      <c r="BP513" s="216"/>
      <c r="BQ513" s="216"/>
      <c r="BR513" s="216"/>
      <c r="BS513" s="216"/>
      <c r="BT513" s="216"/>
      <c r="BU513" s="216"/>
      <c r="BV513" s="216"/>
      <c r="BW513" s="216"/>
      <c r="BX513" s="216"/>
      <c r="BY513" s="216"/>
      <c r="BZ513" s="216"/>
      <c r="CA513" s="216"/>
      <c r="CB513" s="216"/>
      <c r="CC513" s="216"/>
      <c r="CD513" s="216"/>
      <c r="CE513" s="216"/>
      <c r="CF513" s="216"/>
      <c r="CG513" s="216"/>
      <c r="CH513" s="216"/>
      <c r="CI513" s="216"/>
      <c r="CJ513" s="216"/>
      <c r="CK513" s="216"/>
      <c r="CL513" s="216"/>
      <c r="CM513" s="216"/>
      <c r="CN513" s="216"/>
      <c r="CO513" s="216"/>
      <c r="CP513" s="216"/>
      <c r="CQ513" s="216"/>
      <c r="CR513" s="216"/>
      <c r="CS513" s="216"/>
      <c r="CT513" s="216"/>
      <c r="CU513" s="216"/>
      <c r="CV513" s="216"/>
      <c r="CW513" s="216"/>
      <c r="CX513" s="216"/>
      <c r="CY513" s="216"/>
    </row>
    <row r="514" spans="1:103" ht="12.75" x14ac:dyDescent="0.2">
      <c r="A514" s="214"/>
      <c r="B514" s="214"/>
      <c r="C514" s="214"/>
      <c r="D514" s="214"/>
      <c r="E514" s="214"/>
      <c r="F514" s="214"/>
      <c r="G514" s="214"/>
      <c r="H514" s="214"/>
      <c r="I514" s="214"/>
      <c r="J514" s="214"/>
      <c r="K514" s="214"/>
      <c r="L514" s="214"/>
      <c r="M514" s="214"/>
      <c r="N514" s="215"/>
      <c r="O514" s="215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16"/>
      <c r="BB514" s="216"/>
      <c r="BC514" s="216"/>
      <c r="BD514" s="216"/>
      <c r="BE514" s="216"/>
      <c r="BF514" s="216"/>
      <c r="BG514" s="216"/>
      <c r="BH514" s="216"/>
      <c r="BI514" s="216"/>
      <c r="BJ514" s="216"/>
      <c r="BK514" s="216"/>
      <c r="BL514" s="216"/>
      <c r="BM514" s="216"/>
      <c r="BN514" s="216"/>
      <c r="BO514" s="216"/>
      <c r="BP514" s="216"/>
      <c r="BQ514" s="216"/>
      <c r="BR514" s="216"/>
      <c r="BS514" s="216"/>
      <c r="BT514" s="216"/>
      <c r="BU514" s="216"/>
      <c r="BV514" s="216"/>
      <c r="BW514" s="216"/>
      <c r="BX514" s="216"/>
      <c r="BY514" s="216"/>
      <c r="BZ514" s="216"/>
      <c r="CA514" s="216"/>
      <c r="CB514" s="216"/>
      <c r="CC514" s="216"/>
      <c r="CD514" s="216"/>
      <c r="CE514" s="216"/>
      <c r="CF514" s="216"/>
      <c r="CG514" s="216"/>
      <c r="CH514" s="216"/>
      <c r="CI514" s="216"/>
      <c r="CJ514" s="216"/>
      <c r="CK514" s="216"/>
      <c r="CL514" s="216"/>
      <c r="CM514" s="216"/>
      <c r="CN514" s="216"/>
      <c r="CO514" s="216"/>
      <c r="CP514" s="216"/>
      <c r="CQ514" s="216"/>
      <c r="CR514" s="216"/>
      <c r="CS514" s="216"/>
      <c r="CT514" s="216"/>
      <c r="CU514" s="216"/>
      <c r="CV514" s="216"/>
      <c r="CW514" s="216"/>
      <c r="CX514" s="216"/>
      <c r="CY514" s="216"/>
    </row>
    <row r="515" spans="1:103" ht="12.75" x14ac:dyDescent="0.2">
      <c r="A515" s="214"/>
      <c r="B515" s="214"/>
      <c r="C515" s="214"/>
      <c r="D515" s="214"/>
      <c r="E515" s="214"/>
      <c r="F515" s="214"/>
      <c r="G515" s="214"/>
      <c r="H515" s="214"/>
      <c r="I515" s="214"/>
      <c r="J515" s="214"/>
      <c r="K515" s="214"/>
      <c r="L515" s="214"/>
      <c r="M515" s="214"/>
      <c r="N515" s="215"/>
      <c r="O515" s="215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16"/>
      <c r="AN515" s="216"/>
      <c r="AO515" s="216"/>
      <c r="AP515" s="216"/>
      <c r="AQ515" s="216"/>
      <c r="AR515" s="216"/>
      <c r="AS515" s="216"/>
      <c r="AT515" s="216"/>
      <c r="AU515" s="216"/>
      <c r="AV515" s="216"/>
      <c r="AW515" s="216"/>
      <c r="AX515" s="216"/>
      <c r="AY515" s="216"/>
      <c r="AZ515" s="216"/>
      <c r="BA515" s="216"/>
      <c r="BB515" s="216"/>
      <c r="BC515" s="216"/>
      <c r="BD515" s="216"/>
      <c r="BE515" s="216"/>
      <c r="BF515" s="216"/>
      <c r="BG515" s="216"/>
      <c r="BH515" s="216"/>
      <c r="BI515" s="216"/>
      <c r="BJ515" s="216"/>
      <c r="BK515" s="216"/>
      <c r="BL515" s="216"/>
      <c r="BM515" s="216"/>
      <c r="BN515" s="216"/>
      <c r="BO515" s="216"/>
      <c r="BP515" s="216"/>
      <c r="BQ515" s="216"/>
      <c r="BR515" s="216"/>
      <c r="BS515" s="216"/>
      <c r="BT515" s="216"/>
      <c r="BU515" s="216"/>
      <c r="BV515" s="216"/>
      <c r="BW515" s="216"/>
      <c r="BX515" s="216"/>
      <c r="BY515" s="216"/>
      <c r="BZ515" s="216"/>
      <c r="CA515" s="216"/>
      <c r="CB515" s="216"/>
      <c r="CC515" s="216"/>
      <c r="CD515" s="216"/>
      <c r="CE515" s="216"/>
      <c r="CF515" s="216"/>
      <c r="CG515" s="216"/>
      <c r="CH515" s="216"/>
      <c r="CI515" s="216"/>
      <c r="CJ515" s="216"/>
      <c r="CK515" s="216"/>
      <c r="CL515" s="216"/>
      <c r="CM515" s="216"/>
      <c r="CN515" s="216"/>
      <c r="CO515" s="216"/>
      <c r="CP515" s="216"/>
      <c r="CQ515" s="216"/>
      <c r="CR515" s="216"/>
      <c r="CS515" s="216"/>
      <c r="CT515" s="216"/>
      <c r="CU515" s="216"/>
      <c r="CV515" s="216"/>
      <c r="CW515" s="216"/>
      <c r="CX515" s="216"/>
      <c r="CY515" s="216"/>
    </row>
    <row r="516" spans="1:103" ht="12.75" x14ac:dyDescent="0.2">
      <c r="A516" s="214"/>
      <c r="B516" s="214"/>
      <c r="C516" s="214"/>
      <c r="D516" s="214"/>
      <c r="E516" s="214"/>
      <c r="F516" s="214"/>
      <c r="G516" s="214"/>
      <c r="H516" s="214"/>
      <c r="I516" s="214"/>
      <c r="J516" s="214"/>
      <c r="K516" s="214"/>
      <c r="L516" s="214"/>
      <c r="M516" s="214"/>
      <c r="N516" s="215"/>
      <c r="O516" s="215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16"/>
      <c r="AN516" s="216"/>
      <c r="AO516" s="216"/>
      <c r="AP516" s="216"/>
      <c r="AQ516" s="216"/>
      <c r="AR516" s="216"/>
      <c r="AS516" s="216"/>
      <c r="AT516" s="216"/>
      <c r="AU516" s="216"/>
      <c r="AV516" s="216"/>
      <c r="AW516" s="216"/>
      <c r="AX516" s="216"/>
      <c r="AY516" s="216"/>
      <c r="AZ516" s="216"/>
      <c r="BA516" s="216"/>
      <c r="BB516" s="216"/>
      <c r="BC516" s="216"/>
      <c r="BD516" s="216"/>
      <c r="BE516" s="216"/>
      <c r="BF516" s="216"/>
      <c r="BG516" s="216"/>
      <c r="BH516" s="216"/>
      <c r="BI516" s="216"/>
      <c r="BJ516" s="216"/>
      <c r="BK516" s="216"/>
      <c r="BL516" s="216"/>
      <c r="BM516" s="216"/>
      <c r="BN516" s="216"/>
      <c r="BO516" s="216"/>
      <c r="BP516" s="216"/>
      <c r="BQ516" s="216"/>
      <c r="BR516" s="216"/>
      <c r="BS516" s="216"/>
      <c r="BT516" s="216"/>
      <c r="BU516" s="216"/>
      <c r="BV516" s="216"/>
      <c r="BW516" s="216"/>
      <c r="BX516" s="216"/>
      <c r="BY516" s="216"/>
      <c r="BZ516" s="216"/>
      <c r="CA516" s="216"/>
      <c r="CB516" s="216"/>
      <c r="CC516" s="216"/>
      <c r="CD516" s="216"/>
      <c r="CE516" s="216"/>
      <c r="CF516" s="216"/>
      <c r="CG516" s="216"/>
      <c r="CH516" s="216"/>
      <c r="CI516" s="216"/>
      <c r="CJ516" s="216"/>
      <c r="CK516" s="216"/>
      <c r="CL516" s="216"/>
      <c r="CM516" s="216"/>
      <c r="CN516" s="216"/>
      <c r="CO516" s="216"/>
      <c r="CP516" s="216"/>
      <c r="CQ516" s="216"/>
      <c r="CR516" s="216"/>
      <c r="CS516" s="216"/>
      <c r="CT516" s="216"/>
      <c r="CU516" s="216"/>
      <c r="CV516" s="216"/>
      <c r="CW516" s="216"/>
      <c r="CX516" s="216"/>
      <c r="CY516" s="216"/>
    </row>
    <row r="517" spans="1:103" ht="12.75" x14ac:dyDescent="0.2">
      <c r="A517" s="214"/>
      <c r="B517" s="214"/>
      <c r="C517" s="214"/>
      <c r="D517" s="214"/>
      <c r="E517" s="214"/>
      <c r="F517" s="214"/>
      <c r="G517" s="214"/>
      <c r="H517" s="214"/>
      <c r="I517" s="214"/>
      <c r="J517" s="214"/>
      <c r="K517" s="214"/>
      <c r="L517" s="214"/>
      <c r="M517" s="214"/>
      <c r="N517" s="215"/>
      <c r="O517" s="215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16"/>
      <c r="AN517" s="216"/>
      <c r="AO517" s="216"/>
      <c r="AP517" s="216"/>
      <c r="AQ517" s="216"/>
      <c r="AR517" s="216"/>
      <c r="AS517" s="216"/>
      <c r="AT517" s="216"/>
      <c r="AU517" s="216"/>
      <c r="AV517" s="216"/>
      <c r="AW517" s="216"/>
      <c r="AX517" s="216"/>
      <c r="AY517" s="216"/>
      <c r="AZ517" s="216"/>
      <c r="BA517" s="216"/>
      <c r="BB517" s="216"/>
      <c r="BC517" s="216"/>
      <c r="BD517" s="216"/>
      <c r="BE517" s="216"/>
      <c r="BF517" s="216"/>
      <c r="BG517" s="216"/>
      <c r="BH517" s="216"/>
      <c r="BI517" s="216"/>
      <c r="BJ517" s="216"/>
      <c r="BK517" s="216"/>
      <c r="BL517" s="216"/>
      <c r="BM517" s="216"/>
      <c r="BN517" s="216"/>
      <c r="BO517" s="216"/>
      <c r="BP517" s="216"/>
      <c r="BQ517" s="216"/>
      <c r="BR517" s="216"/>
      <c r="BS517" s="216"/>
      <c r="BT517" s="216"/>
      <c r="BU517" s="216"/>
      <c r="BV517" s="216"/>
      <c r="BW517" s="216"/>
      <c r="BX517" s="216"/>
      <c r="BY517" s="216"/>
      <c r="BZ517" s="216"/>
      <c r="CA517" s="216"/>
      <c r="CB517" s="216"/>
      <c r="CC517" s="216"/>
      <c r="CD517" s="216"/>
      <c r="CE517" s="216"/>
      <c r="CF517" s="216"/>
      <c r="CG517" s="216"/>
      <c r="CH517" s="216"/>
      <c r="CI517" s="216"/>
      <c r="CJ517" s="216"/>
      <c r="CK517" s="216"/>
      <c r="CL517" s="216"/>
      <c r="CM517" s="216"/>
      <c r="CN517" s="216"/>
      <c r="CO517" s="216"/>
      <c r="CP517" s="216"/>
      <c r="CQ517" s="216"/>
      <c r="CR517" s="216"/>
      <c r="CS517" s="216"/>
      <c r="CT517" s="216"/>
      <c r="CU517" s="216"/>
      <c r="CV517" s="216"/>
      <c r="CW517" s="216"/>
      <c r="CX517" s="216"/>
      <c r="CY517" s="216"/>
    </row>
    <row r="518" spans="1:103" ht="12.75" x14ac:dyDescent="0.2">
      <c r="A518" s="214"/>
      <c r="B518" s="214"/>
      <c r="C518" s="214"/>
      <c r="D518" s="214"/>
      <c r="E518" s="214"/>
      <c r="F518" s="214"/>
      <c r="G518" s="214"/>
      <c r="H518" s="214"/>
      <c r="I518" s="214"/>
      <c r="J518" s="214"/>
      <c r="K518" s="214"/>
      <c r="L518" s="214"/>
      <c r="M518" s="214"/>
      <c r="N518" s="215"/>
      <c r="O518" s="215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16"/>
      <c r="AN518" s="216"/>
      <c r="AO518" s="216"/>
      <c r="AP518" s="216"/>
      <c r="AQ518" s="216"/>
      <c r="AR518" s="216"/>
      <c r="AS518" s="216"/>
      <c r="AT518" s="216"/>
      <c r="AU518" s="216"/>
      <c r="AV518" s="216"/>
      <c r="AW518" s="216"/>
      <c r="AX518" s="216"/>
      <c r="AY518" s="216"/>
      <c r="AZ518" s="216"/>
      <c r="BA518" s="216"/>
      <c r="BB518" s="216"/>
      <c r="BC518" s="216"/>
      <c r="BD518" s="216"/>
      <c r="BE518" s="216"/>
      <c r="BF518" s="216"/>
      <c r="BG518" s="216"/>
      <c r="BH518" s="216"/>
      <c r="BI518" s="216"/>
      <c r="BJ518" s="216"/>
      <c r="BK518" s="216"/>
      <c r="BL518" s="216"/>
      <c r="BM518" s="216"/>
      <c r="BN518" s="216"/>
      <c r="BO518" s="216"/>
      <c r="BP518" s="216"/>
      <c r="BQ518" s="216"/>
      <c r="BR518" s="216"/>
      <c r="BS518" s="216"/>
      <c r="BT518" s="216"/>
      <c r="BU518" s="216"/>
      <c r="BV518" s="216"/>
      <c r="BW518" s="216"/>
      <c r="BX518" s="216"/>
      <c r="BY518" s="216"/>
      <c r="BZ518" s="216"/>
      <c r="CA518" s="216"/>
      <c r="CB518" s="216"/>
      <c r="CC518" s="216"/>
      <c r="CD518" s="216"/>
      <c r="CE518" s="216"/>
      <c r="CF518" s="216"/>
      <c r="CG518" s="216"/>
      <c r="CH518" s="216"/>
      <c r="CI518" s="216"/>
      <c r="CJ518" s="216"/>
      <c r="CK518" s="216"/>
      <c r="CL518" s="216"/>
      <c r="CM518" s="216"/>
      <c r="CN518" s="216"/>
      <c r="CO518" s="216"/>
      <c r="CP518" s="216"/>
      <c r="CQ518" s="216"/>
      <c r="CR518" s="216"/>
      <c r="CS518" s="216"/>
      <c r="CT518" s="216"/>
      <c r="CU518" s="216"/>
      <c r="CV518" s="216"/>
      <c r="CW518" s="216"/>
      <c r="CX518" s="216"/>
      <c r="CY518" s="216"/>
    </row>
    <row r="519" spans="1:103" ht="12.75" x14ac:dyDescent="0.2">
      <c r="A519" s="214"/>
      <c r="B519" s="214"/>
      <c r="C519" s="214"/>
      <c r="D519" s="214"/>
      <c r="E519" s="214"/>
      <c r="F519" s="214"/>
      <c r="G519" s="214"/>
      <c r="H519" s="214"/>
      <c r="I519" s="214"/>
      <c r="J519" s="214"/>
      <c r="K519" s="214"/>
      <c r="L519" s="214"/>
      <c r="M519" s="214"/>
      <c r="N519" s="215"/>
      <c r="O519" s="215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16"/>
      <c r="AN519" s="216"/>
      <c r="AO519" s="216"/>
      <c r="AP519" s="216"/>
      <c r="AQ519" s="216"/>
      <c r="AR519" s="216"/>
      <c r="AS519" s="216"/>
      <c r="AT519" s="216"/>
      <c r="AU519" s="216"/>
      <c r="AV519" s="216"/>
      <c r="AW519" s="216"/>
      <c r="AX519" s="216"/>
      <c r="AY519" s="216"/>
      <c r="AZ519" s="216"/>
      <c r="BA519" s="216"/>
      <c r="BB519" s="216"/>
      <c r="BC519" s="216"/>
      <c r="BD519" s="216"/>
      <c r="BE519" s="216"/>
      <c r="BF519" s="216"/>
      <c r="BG519" s="216"/>
      <c r="BH519" s="216"/>
      <c r="BI519" s="216"/>
      <c r="BJ519" s="216"/>
      <c r="BK519" s="216"/>
      <c r="BL519" s="216"/>
      <c r="BM519" s="216"/>
      <c r="BN519" s="216"/>
      <c r="BO519" s="216"/>
      <c r="BP519" s="216"/>
      <c r="BQ519" s="216"/>
      <c r="BR519" s="216"/>
      <c r="BS519" s="216"/>
      <c r="BT519" s="216"/>
      <c r="BU519" s="216"/>
      <c r="BV519" s="216"/>
      <c r="BW519" s="216"/>
      <c r="BX519" s="216"/>
      <c r="BY519" s="216"/>
      <c r="BZ519" s="216"/>
      <c r="CA519" s="216"/>
      <c r="CB519" s="216"/>
      <c r="CC519" s="216"/>
      <c r="CD519" s="216"/>
      <c r="CE519" s="216"/>
      <c r="CF519" s="216"/>
      <c r="CG519" s="216"/>
      <c r="CH519" s="216"/>
      <c r="CI519" s="216"/>
      <c r="CJ519" s="216"/>
      <c r="CK519" s="216"/>
      <c r="CL519" s="216"/>
      <c r="CM519" s="216"/>
      <c r="CN519" s="216"/>
      <c r="CO519" s="216"/>
      <c r="CP519" s="216"/>
      <c r="CQ519" s="216"/>
      <c r="CR519" s="216"/>
      <c r="CS519" s="216"/>
      <c r="CT519" s="216"/>
      <c r="CU519" s="216"/>
      <c r="CV519" s="216"/>
      <c r="CW519" s="216"/>
      <c r="CX519" s="216"/>
      <c r="CY519" s="216"/>
    </row>
    <row r="520" spans="1:103" ht="12.75" x14ac:dyDescent="0.2">
      <c r="A520" s="214"/>
      <c r="B520" s="214"/>
      <c r="C520" s="214"/>
      <c r="D520" s="214"/>
      <c r="E520" s="214"/>
      <c r="F520" s="214"/>
      <c r="G520" s="214"/>
      <c r="H520" s="214"/>
      <c r="I520" s="214"/>
      <c r="J520" s="214"/>
      <c r="K520" s="214"/>
      <c r="L520" s="214"/>
      <c r="M520" s="214"/>
      <c r="N520" s="215"/>
      <c r="O520" s="215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16"/>
      <c r="AN520" s="216"/>
      <c r="AO520" s="216"/>
      <c r="AP520" s="216"/>
      <c r="AQ520" s="216"/>
      <c r="AR520" s="216"/>
      <c r="AS520" s="216"/>
      <c r="AT520" s="216"/>
      <c r="AU520" s="216"/>
      <c r="AV520" s="216"/>
      <c r="AW520" s="216"/>
      <c r="AX520" s="216"/>
      <c r="AY520" s="216"/>
      <c r="AZ520" s="216"/>
      <c r="BA520" s="216"/>
      <c r="BB520" s="216"/>
      <c r="BC520" s="216"/>
      <c r="BD520" s="216"/>
      <c r="BE520" s="216"/>
      <c r="BF520" s="216"/>
      <c r="BG520" s="216"/>
      <c r="BH520" s="216"/>
      <c r="BI520" s="216"/>
      <c r="BJ520" s="216"/>
      <c r="BK520" s="216"/>
      <c r="BL520" s="216"/>
      <c r="BM520" s="216"/>
      <c r="BN520" s="216"/>
      <c r="BO520" s="216"/>
      <c r="BP520" s="216"/>
      <c r="BQ520" s="216"/>
      <c r="BR520" s="216"/>
      <c r="BS520" s="216"/>
      <c r="BT520" s="216"/>
      <c r="BU520" s="216"/>
      <c r="BV520" s="216"/>
      <c r="BW520" s="216"/>
      <c r="BX520" s="216"/>
      <c r="BY520" s="216"/>
      <c r="BZ520" s="216"/>
      <c r="CA520" s="216"/>
      <c r="CB520" s="216"/>
      <c r="CC520" s="216"/>
      <c r="CD520" s="216"/>
      <c r="CE520" s="216"/>
      <c r="CF520" s="216"/>
      <c r="CG520" s="216"/>
      <c r="CH520" s="216"/>
      <c r="CI520" s="216"/>
      <c r="CJ520" s="216"/>
      <c r="CK520" s="216"/>
      <c r="CL520" s="216"/>
      <c r="CM520" s="216"/>
      <c r="CN520" s="216"/>
      <c r="CO520" s="216"/>
      <c r="CP520" s="216"/>
      <c r="CQ520" s="216"/>
      <c r="CR520" s="216"/>
      <c r="CS520" s="216"/>
      <c r="CT520" s="216"/>
      <c r="CU520" s="216"/>
      <c r="CV520" s="216"/>
      <c r="CW520" s="216"/>
      <c r="CX520" s="216"/>
      <c r="CY520" s="216"/>
    </row>
    <row r="521" spans="1:103" ht="12.75" x14ac:dyDescent="0.2">
      <c r="A521" s="214"/>
      <c r="B521" s="214"/>
      <c r="C521" s="214"/>
      <c r="D521" s="214"/>
      <c r="E521" s="214"/>
      <c r="F521" s="214"/>
      <c r="G521" s="214"/>
      <c r="H521" s="214"/>
      <c r="I521" s="214"/>
      <c r="J521" s="214"/>
      <c r="K521" s="214"/>
      <c r="L521" s="214"/>
      <c r="M521" s="214"/>
      <c r="N521" s="215"/>
      <c r="O521" s="215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16"/>
      <c r="AN521" s="216"/>
      <c r="AO521" s="216"/>
      <c r="AP521" s="216"/>
      <c r="AQ521" s="216"/>
      <c r="AR521" s="216"/>
      <c r="AS521" s="216"/>
      <c r="AT521" s="216"/>
      <c r="AU521" s="216"/>
      <c r="AV521" s="216"/>
      <c r="AW521" s="216"/>
      <c r="AX521" s="216"/>
      <c r="AY521" s="216"/>
      <c r="AZ521" s="216"/>
      <c r="BA521" s="216"/>
      <c r="BB521" s="216"/>
      <c r="BC521" s="216"/>
      <c r="BD521" s="216"/>
      <c r="BE521" s="216"/>
      <c r="BF521" s="216"/>
      <c r="BG521" s="216"/>
      <c r="BH521" s="216"/>
      <c r="BI521" s="216"/>
      <c r="BJ521" s="216"/>
      <c r="BK521" s="216"/>
      <c r="BL521" s="216"/>
      <c r="BM521" s="216"/>
      <c r="BN521" s="216"/>
      <c r="BO521" s="216"/>
      <c r="BP521" s="216"/>
      <c r="BQ521" s="216"/>
      <c r="BR521" s="216"/>
      <c r="BS521" s="216"/>
      <c r="BT521" s="216"/>
      <c r="BU521" s="216"/>
      <c r="BV521" s="216"/>
      <c r="BW521" s="216"/>
      <c r="BX521" s="216"/>
      <c r="BY521" s="216"/>
      <c r="BZ521" s="216"/>
      <c r="CA521" s="216"/>
      <c r="CB521" s="216"/>
      <c r="CC521" s="216"/>
      <c r="CD521" s="216"/>
      <c r="CE521" s="216"/>
      <c r="CF521" s="216"/>
      <c r="CG521" s="216"/>
      <c r="CH521" s="216"/>
      <c r="CI521" s="216"/>
      <c r="CJ521" s="216"/>
      <c r="CK521" s="216"/>
      <c r="CL521" s="216"/>
      <c r="CM521" s="216"/>
      <c r="CN521" s="216"/>
      <c r="CO521" s="216"/>
      <c r="CP521" s="216"/>
      <c r="CQ521" s="216"/>
      <c r="CR521" s="216"/>
      <c r="CS521" s="216"/>
      <c r="CT521" s="216"/>
      <c r="CU521" s="216"/>
      <c r="CV521" s="216"/>
      <c r="CW521" s="216"/>
      <c r="CX521" s="216"/>
      <c r="CY521" s="216"/>
    </row>
    <row r="522" spans="1:103" ht="12.75" x14ac:dyDescent="0.2">
      <c r="A522" s="214"/>
      <c r="B522" s="214"/>
      <c r="C522" s="214"/>
      <c r="D522" s="214"/>
      <c r="E522" s="214"/>
      <c r="F522" s="214"/>
      <c r="G522" s="214"/>
      <c r="H522" s="214"/>
      <c r="I522" s="214"/>
      <c r="J522" s="214"/>
      <c r="K522" s="214"/>
      <c r="L522" s="214"/>
      <c r="M522" s="214"/>
      <c r="N522" s="215"/>
      <c r="O522" s="215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16"/>
      <c r="AN522" s="216"/>
      <c r="AO522" s="216"/>
      <c r="AP522" s="216"/>
      <c r="AQ522" s="216"/>
      <c r="AR522" s="216"/>
      <c r="AS522" s="216"/>
      <c r="AT522" s="216"/>
      <c r="AU522" s="216"/>
      <c r="AV522" s="216"/>
      <c r="AW522" s="216"/>
      <c r="AX522" s="216"/>
      <c r="AY522" s="216"/>
      <c r="AZ522" s="216"/>
      <c r="BA522" s="216"/>
      <c r="BB522" s="216"/>
      <c r="BC522" s="216"/>
      <c r="BD522" s="216"/>
      <c r="BE522" s="216"/>
      <c r="BF522" s="216"/>
      <c r="BG522" s="216"/>
      <c r="BH522" s="216"/>
      <c r="BI522" s="216"/>
      <c r="BJ522" s="216"/>
      <c r="BK522" s="216"/>
      <c r="BL522" s="216"/>
      <c r="BM522" s="216"/>
      <c r="BN522" s="216"/>
      <c r="BO522" s="216"/>
      <c r="BP522" s="216"/>
      <c r="BQ522" s="216"/>
      <c r="BR522" s="216"/>
      <c r="BS522" s="216"/>
      <c r="BT522" s="216"/>
      <c r="BU522" s="216"/>
      <c r="BV522" s="216"/>
      <c r="BW522" s="216"/>
      <c r="BX522" s="216"/>
      <c r="BY522" s="216"/>
      <c r="BZ522" s="216"/>
      <c r="CA522" s="216"/>
      <c r="CB522" s="216"/>
      <c r="CC522" s="216"/>
      <c r="CD522" s="216"/>
      <c r="CE522" s="216"/>
      <c r="CF522" s="216"/>
      <c r="CG522" s="216"/>
      <c r="CH522" s="216"/>
      <c r="CI522" s="216"/>
      <c r="CJ522" s="216"/>
      <c r="CK522" s="216"/>
      <c r="CL522" s="216"/>
      <c r="CM522" s="216"/>
      <c r="CN522" s="216"/>
      <c r="CO522" s="216"/>
      <c r="CP522" s="216"/>
      <c r="CQ522" s="216"/>
      <c r="CR522" s="216"/>
      <c r="CS522" s="216"/>
      <c r="CT522" s="216"/>
      <c r="CU522" s="216"/>
      <c r="CV522" s="216"/>
      <c r="CW522" s="216"/>
      <c r="CX522" s="216"/>
      <c r="CY522" s="216"/>
    </row>
    <row r="523" spans="1:103" ht="12.75" x14ac:dyDescent="0.2">
      <c r="A523" s="214"/>
      <c r="B523" s="214"/>
      <c r="C523" s="214"/>
      <c r="D523" s="214"/>
      <c r="E523" s="214"/>
      <c r="F523" s="214"/>
      <c r="G523" s="214"/>
      <c r="H523" s="214"/>
      <c r="I523" s="214"/>
      <c r="J523" s="214"/>
      <c r="K523" s="214"/>
      <c r="L523" s="214"/>
      <c r="M523" s="214"/>
      <c r="N523" s="215"/>
      <c r="O523" s="215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16"/>
      <c r="AN523" s="216"/>
      <c r="AO523" s="216"/>
      <c r="AP523" s="216"/>
      <c r="AQ523" s="216"/>
      <c r="AR523" s="216"/>
      <c r="AS523" s="216"/>
      <c r="AT523" s="216"/>
      <c r="AU523" s="216"/>
      <c r="AV523" s="216"/>
      <c r="AW523" s="216"/>
      <c r="AX523" s="216"/>
      <c r="AY523" s="216"/>
      <c r="AZ523" s="216"/>
      <c r="BA523" s="216"/>
      <c r="BB523" s="216"/>
      <c r="BC523" s="216"/>
      <c r="BD523" s="216"/>
      <c r="BE523" s="216"/>
      <c r="BF523" s="216"/>
      <c r="BG523" s="216"/>
      <c r="BH523" s="216"/>
      <c r="BI523" s="216"/>
      <c r="BJ523" s="216"/>
      <c r="BK523" s="216"/>
      <c r="BL523" s="216"/>
      <c r="BM523" s="216"/>
      <c r="BN523" s="216"/>
      <c r="BO523" s="216"/>
      <c r="BP523" s="216"/>
      <c r="BQ523" s="216"/>
      <c r="BR523" s="216"/>
      <c r="BS523" s="216"/>
      <c r="BT523" s="216"/>
      <c r="BU523" s="216"/>
      <c r="BV523" s="216"/>
      <c r="BW523" s="216"/>
      <c r="BX523" s="216"/>
      <c r="BY523" s="216"/>
      <c r="BZ523" s="216"/>
      <c r="CA523" s="216"/>
      <c r="CB523" s="216"/>
      <c r="CC523" s="216"/>
      <c r="CD523" s="216"/>
      <c r="CE523" s="216"/>
      <c r="CF523" s="216"/>
      <c r="CG523" s="216"/>
      <c r="CH523" s="216"/>
      <c r="CI523" s="216"/>
      <c r="CJ523" s="216"/>
      <c r="CK523" s="216"/>
      <c r="CL523" s="216"/>
      <c r="CM523" s="216"/>
      <c r="CN523" s="216"/>
      <c r="CO523" s="216"/>
      <c r="CP523" s="216"/>
      <c r="CQ523" s="216"/>
      <c r="CR523" s="216"/>
      <c r="CS523" s="216"/>
      <c r="CT523" s="216"/>
      <c r="CU523" s="216"/>
      <c r="CV523" s="216"/>
      <c r="CW523" s="216"/>
      <c r="CX523" s="216"/>
      <c r="CY523" s="216"/>
    </row>
    <row r="524" spans="1:103" ht="12.75" x14ac:dyDescent="0.2">
      <c r="A524" s="214"/>
      <c r="B524" s="214"/>
      <c r="C524" s="214"/>
      <c r="D524" s="214"/>
      <c r="E524" s="214"/>
      <c r="F524" s="214"/>
      <c r="G524" s="214"/>
      <c r="H524" s="214"/>
      <c r="I524" s="214"/>
      <c r="J524" s="214"/>
      <c r="K524" s="214"/>
      <c r="L524" s="214"/>
      <c r="M524" s="214"/>
      <c r="N524" s="215"/>
      <c r="O524" s="215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16"/>
      <c r="AN524" s="216"/>
      <c r="AO524" s="216"/>
      <c r="AP524" s="216"/>
      <c r="AQ524" s="216"/>
      <c r="AR524" s="216"/>
      <c r="AS524" s="216"/>
      <c r="AT524" s="216"/>
      <c r="AU524" s="216"/>
      <c r="AV524" s="216"/>
      <c r="AW524" s="216"/>
      <c r="AX524" s="216"/>
      <c r="AY524" s="216"/>
      <c r="AZ524" s="216"/>
      <c r="BA524" s="216"/>
      <c r="BB524" s="216"/>
      <c r="BC524" s="216"/>
      <c r="BD524" s="216"/>
      <c r="BE524" s="216"/>
      <c r="BF524" s="216"/>
      <c r="BG524" s="216"/>
      <c r="BH524" s="216"/>
      <c r="BI524" s="216"/>
      <c r="BJ524" s="216"/>
      <c r="BK524" s="216"/>
      <c r="BL524" s="216"/>
      <c r="BM524" s="216"/>
      <c r="BN524" s="216"/>
      <c r="BO524" s="216"/>
      <c r="BP524" s="216"/>
      <c r="BQ524" s="216"/>
      <c r="BR524" s="216"/>
      <c r="BS524" s="216"/>
      <c r="BT524" s="216"/>
      <c r="BU524" s="216"/>
      <c r="BV524" s="216"/>
      <c r="BW524" s="216"/>
      <c r="BX524" s="216"/>
      <c r="BY524" s="216"/>
      <c r="BZ524" s="216"/>
      <c r="CA524" s="216"/>
      <c r="CB524" s="216"/>
      <c r="CC524" s="216"/>
      <c r="CD524" s="216"/>
      <c r="CE524" s="216"/>
      <c r="CF524" s="216"/>
      <c r="CG524" s="216"/>
      <c r="CH524" s="216"/>
      <c r="CI524" s="216"/>
      <c r="CJ524" s="216"/>
      <c r="CK524" s="216"/>
      <c r="CL524" s="216"/>
      <c r="CM524" s="216"/>
      <c r="CN524" s="216"/>
      <c r="CO524" s="216"/>
      <c r="CP524" s="216"/>
      <c r="CQ524" s="216"/>
      <c r="CR524" s="216"/>
      <c r="CS524" s="216"/>
      <c r="CT524" s="216"/>
      <c r="CU524" s="216"/>
      <c r="CV524" s="216"/>
      <c r="CW524" s="216"/>
      <c r="CX524" s="216"/>
      <c r="CY524" s="216"/>
    </row>
    <row r="525" spans="1:103" ht="12.75" x14ac:dyDescent="0.2">
      <c r="A525" s="214"/>
      <c r="B525" s="214"/>
      <c r="C525" s="214"/>
      <c r="D525" s="214"/>
      <c r="E525" s="214"/>
      <c r="F525" s="214"/>
      <c r="G525" s="214"/>
      <c r="H525" s="214"/>
      <c r="I525" s="214"/>
      <c r="J525" s="214"/>
      <c r="K525" s="214"/>
      <c r="L525" s="214"/>
      <c r="M525" s="214"/>
      <c r="N525" s="215"/>
      <c r="O525" s="215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16"/>
      <c r="AN525" s="216"/>
      <c r="AO525" s="216"/>
      <c r="AP525" s="216"/>
      <c r="AQ525" s="216"/>
      <c r="AR525" s="216"/>
      <c r="AS525" s="216"/>
      <c r="AT525" s="216"/>
      <c r="AU525" s="216"/>
      <c r="AV525" s="216"/>
      <c r="AW525" s="216"/>
      <c r="AX525" s="216"/>
      <c r="AY525" s="216"/>
      <c r="AZ525" s="216"/>
      <c r="BA525" s="216"/>
      <c r="BB525" s="216"/>
      <c r="BC525" s="216"/>
      <c r="BD525" s="216"/>
      <c r="BE525" s="216"/>
      <c r="BF525" s="216"/>
      <c r="BG525" s="216"/>
      <c r="BH525" s="216"/>
      <c r="BI525" s="216"/>
      <c r="BJ525" s="216"/>
      <c r="BK525" s="216"/>
      <c r="BL525" s="216"/>
      <c r="BM525" s="216"/>
      <c r="BN525" s="216"/>
      <c r="BO525" s="216"/>
      <c r="BP525" s="216"/>
      <c r="BQ525" s="216"/>
      <c r="BR525" s="216"/>
      <c r="BS525" s="216"/>
      <c r="BT525" s="216"/>
      <c r="BU525" s="216"/>
      <c r="BV525" s="216"/>
      <c r="BW525" s="216"/>
      <c r="BX525" s="216"/>
      <c r="BY525" s="216"/>
      <c r="BZ525" s="216"/>
      <c r="CA525" s="216"/>
      <c r="CB525" s="216"/>
      <c r="CC525" s="216"/>
      <c r="CD525" s="216"/>
      <c r="CE525" s="216"/>
      <c r="CF525" s="216"/>
      <c r="CG525" s="216"/>
      <c r="CH525" s="216"/>
      <c r="CI525" s="216"/>
      <c r="CJ525" s="216"/>
      <c r="CK525" s="216"/>
      <c r="CL525" s="216"/>
      <c r="CM525" s="216"/>
      <c r="CN525" s="216"/>
      <c r="CO525" s="216"/>
      <c r="CP525" s="216"/>
      <c r="CQ525" s="216"/>
      <c r="CR525" s="216"/>
      <c r="CS525" s="216"/>
      <c r="CT525" s="216"/>
      <c r="CU525" s="216"/>
      <c r="CV525" s="216"/>
      <c r="CW525" s="216"/>
      <c r="CX525" s="216"/>
      <c r="CY525" s="216"/>
    </row>
    <row r="526" spans="1:103" ht="12.75" x14ac:dyDescent="0.2">
      <c r="A526" s="214"/>
      <c r="B526" s="214"/>
      <c r="C526" s="214"/>
      <c r="D526" s="214"/>
      <c r="E526" s="214"/>
      <c r="F526" s="214"/>
      <c r="G526" s="214"/>
      <c r="H526" s="214"/>
      <c r="I526" s="214"/>
      <c r="J526" s="214"/>
      <c r="K526" s="214"/>
      <c r="L526" s="214"/>
      <c r="M526" s="214"/>
      <c r="N526" s="215"/>
      <c r="O526" s="215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16"/>
      <c r="AN526" s="216"/>
      <c r="AO526" s="216"/>
      <c r="AP526" s="216"/>
      <c r="AQ526" s="216"/>
      <c r="AR526" s="216"/>
      <c r="AS526" s="216"/>
      <c r="AT526" s="216"/>
      <c r="AU526" s="216"/>
      <c r="AV526" s="216"/>
      <c r="AW526" s="216"/>
      <c r="AX526" s="216"/>
      <c r="AY526" s="216"/>
      <c r="AZ526" s="216"/>
      <c r="BA526" s="216"/>
      <c r="BB526" s="216"/>
      <c r="BC526" s="216"/>
      <c r="BD526" s="216"/>
      <c r="BE526" s="216"/>
      <c r="BF526" s="216"/>
      <c r="BG526" s="216"/>
      <c r="BH526" s="216"/>
      <c r="BI526" s="216"/>
      <c r="BJ526" s="216"/>
      <c r="BK526" s="216"/>
      <c r="BL526" s="216"/>
      <c r="BM526" s="216"/>
      <c r="BN526" s="216"/>
      <c r="BO526" s="216"/>
      <c r="BP526" s="216"/>
      <c r="BQ526" s="216"/>
      <c r="BR526" s="216"/>
      <c r="BS526" s="216"/>
      <c r="BT526" s="216"/>
      <c r="BU526" s="216"/>
      <c r="BV526" s="216"/>
      <c r="BW526" s="216"/>
      <c r="BX526" s="216"/>
      <c r="BY526" s="216"/>
      <c r="BZ526" s="216"/>
      <c r="CA526" s="216"/>
      <c r="CB526" s="216"/>
      <c r="CC526" s="216"/>
      <c r="CD526" s="216"/>
      <c r="CE526" s="216"/>
      <c r="CF526" s="216"/>
      <c r="CG526" s="216"/>
      <c r="CH526" s="216"/>
      <c r="CI526" s="216"/>
      <c r="CJ526" s="216"/>
      <c r="CK526" s="216"/>
      <c r="CL526" s="216"/>
      <c r="CM526" s="216"/>
      <c r="CN526" s="216"/>
      <c r="CO526" s="216"/>
      <c r="CP526" s="216"/>
      <c r="CQ526" s="216"/>
      <c r="CR526" s="216"/>
      <c r="CS526" s="216"/>
      <c r="CT526" s="216"/>
      <c r="CU526" s="216"/>
      <c r="CV526" s="216"/>
      <c r="CW526" s="216"/>
      <c r="CX526" s="216"/>
      <c r="CY526" s="216"/>
    </row>
    <row r="527" spans="1:103" ht="12.75" x14ac:dyDescent="0.2">
      <c r="A527" s="214"/>
      <c r="B527" s="214"/>
      <c r="C527" s="214"/>
      <c r="D527" s="214"/>
      <c r="E527" s="214"/>
      <c r="F527" s="214"/>
      <c r="G527" s="214"/>
      <c r="H527" s="214"/>
      <c r="I527" s="214"/>
      <c r="J527" s="214"/>
      <c r="K527" s="214"/>
      <c r="L527" s="214"/>
      <c r="M527" s="214"/>
      <c r="N527" s="215"/>
      <c r="O527" s="215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16"/>
      <c r="AN527" s="216"/>
      <c r="AO527" s="216"/>
      <c r="AP527" s="216"/>
      <c r="AQ527" s="216"/>
      <c r="AR527" s="216"/>
      <c r="AS527" s="216"/>
      <c r="AT527" s="216"/>
      <c r="AU527" s="216"/>
      <c r="AV527" s="216"/>
      <c r="AW527" s="216"/>
      <c r="AX527" s="216"/>
      <c r="AY527" s="216"/>
      <c r="AZ527" s="216"/>
      <c r="BA527" s="216"/>
      <c r="BB527" s="216"/>
      <c r="BC527" s="216"/>
      <c r="BD527" s="216"/>
      <c r="BE527" s="216"/>
      <c r="BF527" s="216"/>
      <c r="BG527" s="216"/>
      <c r="BH527" s="216"/>
      <c r="BI527" s="216"/>
      <c r="BJ527" s="216"/>
      <c r="BK527" s="216"/>
      <c r="BL527" s="216"/>
      <c r="BM527" s="216"/>
      <c r="BN527" s="216"/>
      <c r="BO527" s="216"/>
      <c r="BP527" s="216"/>
      <c r="BQ527" s="216"/>
      <c r="BR527" s="216"/>
      <c r="BS527" s="216"/>
      <c r="BT527" s="216"/>
      <c r="BU527" s="216"/>
      <c r="BV527" s="216"/>
      <c r="BW527" s="216"/>
      <c r="BX527" s="216"/>
      <c r="BY527" s="216"/>
      <c r="BZ527" s="216"/>
      <c r="CA527" s="216"/>
      <c r="CB527" s="216"/>
      <c r="CC527" s="216"/>
      <c r="CD527" s="216"/>
      <c r="CE527" s="216"/>
      <c r="CF527" s="216"/>
      <c r="CG527" s="216"/>
      <c r="CH527" s="216"/>
      <c r="CI527" s="216"/>
      <c r="CJ527" s="216"/>
      <c r="CK527" s="216"/>
      <c r="CL527" s="216"/>
      <c r="CM527" s="216"/>
      <c r="CN527" s="216"/>
      <c r="CO527" s="216"/>
      <c r="CP527" s="216"/>
      <c r="CQ527" s="216"/>
      <c r="CR527" s="216"/>
      <c r="CS527" s="216"/>
      <c r="CT527" s="216"/>
      <c r="CU527" s="216"/>
      <c r="CV527" s="216"/>
      <c r="CW527" s="216"/>
      <c r="CX527" s="216"/>
      <c r="CY527" s="216"/>
    </row>
    <row r="528" spans="1:103" ht="12.75" x14ac:dyDescent="0.2">
      <c r="A528" s="214"/>
      <c r="B528" s="214"/>
      <c r="C528" s="214"/>
      <c r="D528" s="214"/>
      <c r="E528" s="214"/>
      <c r="F528" s="214"/>
      <c r="G528" s="214"/>
      <c r="H528" s="214"/>
      <c r="I528" s="214"/>
      <c r="J528" s="214"/>
      <c r="K528" s="214"/>
      <c r="L528" s="214"/>
      <c r="M528" s="214"/>
      <c r="N528" s="215"/>
      <c r="O528" s="215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16"/>
      <c r="AN528" s="216"/>
      <c r="AO528" s="216"/>
      <c r="AP528" s="216"/>
      <c r="AQ528" s="216"/>
      <c r="AR528" s="216"/>
      <c r="AS528" s="216"/>
      <c r="AT528" s="216"/>
      <c r="AU528" s="216"/>
      <c r="AV528" s="216"/>
      <c r="AW528" s="216"/>
      <c r="AX528" s="216"/>
      <c r="AY528" s="216"/>
      <c r="AZ528" s="216"/>
      <c r="BA528" s="216"/>
      <c r="BB528" s="216"/>
      <c r="BC528" s="216"/>
      <c r="BD528" s="216"/>
      <c r="BE528" s="216"/>
      <c r="BF528" s="216"/>
      <c r="BG528" s="216"/>
      <c r="BH528" s="216"/>
      <c r="BI528" s="216"/>
      <c r="BJ528" s="216"/>
      <c r="BK528" s="216"/>
      <c r="BL528" s="216"/>
      <c r="BM528" s="216"/>
      <c r="BN528" s="216"/>
      <c r="BO528" s="216"/>
      <c r="BP528" s="216"/>
      <c r="BQ528" s="216"/>
      <c r="BR528" s="216"/>
      <c r="BS528" s="216"/>
      <c r="BT528" s="216"/>
      <c r="BU528" s="216"/>
      <c r="BV528" s="216"/>
      <c r="BW528" s="216"/>
      <c r="BX528" s="216"/>
      <c r="BY528" s="216"/>
      <c r="BZ528" s="216"/>
      <c r="CA528" s="216"/>
      <c r="CB528" s="216"/>
      <c r="CC528" s="216"/>
      <c r="CD528" s="216"/>
      <c r="CE528" s="216"/>
      <c r="CF528" s="216"/>
      <c r="CG528" s="216"/>
      <c r="CH528" s="216"/>
      <c r="CI528" s="216"/>
      <c r="CJ528" s="216"/>
      <c r="CK528" s="216"/>
      <c r="CL528" s="216"/>
      <c r="CM528" s="216"/>
      <c r="CN528" s="216"/>
      <c r="CO528" s="216"/>
      <c r="CP528" s="216"/>
      <c r="CQ528" s="216"/>
      <c r="CR528" s="216"/>
      <c r="CS528" s="216"/>
      <c r="CT528" s="216"/>
      <c r="CU528" s="216"/>
      <c r="CV528" s="216"/>
      <c r="CW528" s="216"/>
      <c r="CX528" s="216"/>
      <c r="CY528" s="216"/>
    </row>
    <row r="529" spans="1:103" ht="12.75" x14ac:dyDescent="0.2">
      <c r="A529" s="214"/>
      <c r="B529" s="214"/>
      <c r="C529" s="214"/>
      <c r="D529" s="214"/>
      <c r="E529" s="214"/>
      <c r="F529" s="214"/>
      <c r="G529" s="214"/>
      <c r="H529" s="214"/>
      <c r="I529" s="214"/>
      <c r="J529" s="214"/>
      <c r="K529" s="214"/>
      <c r="L529" s="214"/>
      <c r="M529" s="214"/>
      <c r="N529" s="215"/>
      <c r="O529" s="215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16"/>
      <c r="AN529" s="216"/>
      <c r="AO529" s="216"/>
      <c r="AP529" s="216"/>
      <c r="AQ529" s="216"/>
      <c r="AR529" s="216"/>
      <c r="AS529" s="216"/>
      <c r="AT529" s="216"/>
      <c r="AU529" s="216"/>
      <c r="AV529" s="216"/>
      <c r="AW529" s="216"/>
      <c r="AX529" s="216"/>
      <c r="AY529" s="216"/>
      <c r="AZ529" s="216"/>
      <c r="BA529" s="216"/>
      <c r="BB529" s="216"/>
      <c r="BC529" s="216"/>
      <c r="BD529" s="216"/>
      <c r="BE529" s="216"/>
      <c r="BF529" s="216"/>
      <c r="BG529" s="216"/>
      <c r="BH529" s="216"/>
      <c r="BI529" s="216"/>
      <c r="BJ529" s="216"/>
      <c r="BK529" s="216"/>
      <c r="BL529" s="216"/>
      <c r="BM529" s="216"/>
      <c r="BN529" s="216"/>
      <c r="BO529" s="216"/>
      <c r="BP529" s="216"/>
      <c r="BQ529" s="216"/>
      <c r="BR529" s="216"/>
      <c r="BS529" s="216"/>
      <c r="BT529" s="216"/>
      <c r="BU529" s="216"/>
      <c r="BV529" s="216"/>
      <c r="BW529" s="216"/>
      <c r="BX529" s="216"/>
      <c r="BY529" s="216"/>
      <c r="BZ529" s="216"/>
      <c r="CA529" s="216"/>
      <c r="CB529" s="216"/>
      <c r="CC529" s="216"/>
      <c r="CD529" s="216"/>
      <c r="CE529" s="216"/>
      <c r="CF529" s="216"/>
      <c r="CG529" s="216"/>
      <c r="CH529" s="216"/>
      <c r="CI529" s="216"/>
      <c r="CJ529" s="216"/>
      <c r="CK529" s="216"/>
      <c r="CL529" s="216"/>
      <c r="CM529" s="216"/>
      <c r="CN529" s="216"/>
      <c r="CO529" s="216"/>
      <c r="CP529" s="216"/>
      <c r="CQ529" s="216"/>
      <c r="CR529" s="216"/>
      <c r="CS529" s="216"/>
      <c r="CT529" s="216"/>
      <c r="CU529" s="216"/>
      <c r="CV529" s="216"/>
      <c r="CW529" s="216"/>
      <c r="CX529" s="216"/>
      <c r="CY529" s="216"/>
    </row>
    <row r="530" spans="1:103" ht="12.75" x14ac:dyDescent="0.2">
      <c r="A530" s="214"/>
      <c r="B530" s="214"/>
      <c r="C530" s="214"/>
      <c r="D530" s="214"/>
      <c r="E530" s="214"/>
      <c r="F530" s="214"/>
      <c r="G530" s="214"/>
      <c r="H530" s="214"/>
      <c r="I530" s="214"/>
      <c r="J530" s="214"/>
      <c r="K530" s="214"/>
      <c r="L530" s="214"/>
      <c r="M530" s="214"/>
      <c r="N530" s="215"/>
      <c r="O530" s="215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16"/>
      <c r="AN530" s="216"/>
      <c r="AO530" s="216"/>
      <c r="AP530" s="216"/>
      <c r="AQ530" s="216"/>
      <c r="AR530" s="216"/>
      <c r="AS530" s="216"/>
      <c r="AT530" s="216"/>
      <c r="AU530" s="216"/>
      <c r="AV530" s="216"/>
      <c r="AW530" s="216"/>
      <c r="AX530" s="216"/>
      <c r="AY530" s="216"/>
      <c r="AZ530" s="216"/>
      <c r="BA530" s="216"/>
      <c r="BB530" s="216"/>
      <c r="BC530" s="216"/>
      <c r="BD530" s="216"/>
      <c r="BE530" s="216"/>
      <c r="BF530" s="216"/>
      <c r="BG530" s="216"/>
      <c r="BH530" s="216"/>
      <c r="BI530" s="216"/>
      <c r="BJ530" s="216"/>
      <c r="BK530" s="216"/>
      <c r="BL530" s="216"/>
      <c r="BM530" s="216"/>
      <c r="BN530" s="216"/>
      <c r="BO530" s="216"/>
      <c r="BP530" s="216"/>
      <c r="BQ530" s="216"/>
      <c r="BR530" s="216"/>
      <c r="BS530" s="216"/>
      <c r="BT530" s="216"/>
      <c r="BU530" s="216"/>
      <c r="BV530" s="216"/>
      <c r="BW530" s="216"/>
      <c r="BX530" s="216"/>
      <c r="BY530" s="216"/>
      <c r="BZ530" s="216"/>
      <c r="CA530" s="216"/>
      <c r="CB530" s="216"/>
      <c r="CC530" s="216"/>
      <c r="CD530" s="216"/>
      <c r="CE530" s="216"/>
      <c r="CF530" s="216"/>
      <c r="CG530" s="216"/>
      <c r="CH530" s="216"/>
      <c r="CI530" s="216"/>
      <c r="CJ530" s="216"/>
      <c r="CK530" s="216"/>
      <c r="CL530" s="216"/>
      <c r="CM530" s="216"/>
      <c r="CN530" s="216"/>
      <c r="CO530" s="216"/>
      <c r="CP530" s="216"/>
      <c r="CQ530" s="216"/>
      <c r="CR530" s="216"/>
      <c r="CS530" s="216"/>
      <c r="CT530" s="216"/>
      <c r="CU530" s="216"/>
      <c r="CV530" s="216"/>
      <c r="CW530" s="216"/>
      <c r="CX530" s="216"/>
      <c r="CY530" s="216"/>
    </row>
    <row r="531" spans="1:103" ht="12.75" x14ac:dyDescent="0.2">
      <c r="A531" s="214"/>
      <c r="B531" s="214"/>
      <c r="C531" s="214"/>
      <c r="D531" s="214"/>
      <c r="E531" s="214"/>
      <c r="F531" s="214"/>
      <c r="G531" s="214"/>
      <c r="H531" s="214"/>
      <c r="I531" s="214"/>
      <c r="J531" s="214"/>
      <c r="K531" s="214"/>
      <c r="L531" s="214"/>
      <c r="M531" s="214"/>
      <c r="N531" s="215"/>
      <c r="O531" s="215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16"/>
      <c r="AN531" s="216"/>
      <c r="AO531" s="216"/>
      <c r="AP531" s="216"/>
      <c r="AQ531" s="216"/>
      <c r="AR531" s="216"/>
      <c r="AS531" s="216"/>
      <c r="AT531" s="216"/>
      <c r="AU531" s="216"/>
      <c r="AV531" s="216"/>
      <c r="AW531" s="216"/>
      <c r="AX531" s="216"/>
      <c r="AY531" s="216"/>
      <c r="AZ531" s="216"/>
      <c r="BA531" s="216"/>
      <c r="BB531" s="216"/>
      <c r="BC531" s="216"/>
      <c r="BD531" s="216"/>
      <c r="BE531" s="216"/>
      <c r="BF531" s="216"/>
      <c r="BG531" s="216"/>
      <c r="BH531" s="216"/>
      <c r="BI531" s="216"/>
      <c r="BJ531" s="216"/>
      <c r="BK531" s="216"/>
      <c r="BL531" s="216"/>
      <c r="BM531" s="216"/>
      <c r="BN531" s="216"/>
      <c r="BO531" s="216"/>
      <c r="BP531" s="216"/>
      <c r="BQ531" s="216"/>
      <c r="BR531" s="216"/>
      <c r="BS531" s="216"/>
      <c r="BT531" s="216"/>
      <c r="BU531" s="216"/>
      <c r="BV531" s="216"/>
      <c r="BW531" s="216"/>
      <c r="BX531" s="216"/>
      <c r="BY531" s="216"/>
      <c r="BZ531" s="216"/>
      <c r="CA531" s="216"/>
      <c r="CB531" s="216"/>
      <c r="CC531" s="216"/>
      <c r="CD531" s="216"/>
      <c r="CE531" s="216"/>
      <c r="CF531" s="216"/>
      <c r="CG531" s="216"/>
      <c r="CH531" s="216"/>
      <c r="CI531" s="216"/>
      <c r="CJ531" s="216"/>
      <c r="CK531" s="216"/>
      <c r="CL531" s="216"/>
      <c r="CM531" s="216"/>
      <c r="CN531" s="216"/>
      <c r="CO531" s="216"/>
      <c r="CP531" s="216"/>
      <c r="CQ531" s="216"/>
      <c r="CR531" s="216"/>
      <c r="CS531" s="216"/>
      <c r="CT531" s="216"/>
      <c r="CU531" s="216"/>
      <c r="CV531" s="216"/>
      <c r="CW531" s="216"/>
      <c r="CX531" s="216"/>
      <c r="CY531" s="216"/>
    </row>
    <row r="532" spans="1:103" ht="12.75" x14ac:dyDescent="0.2">
      <c r="A532" s="214"/>
      <c r="B532" s="214"/>
      <c r="C532" s="214"/>
      <c r="D532" s="214"/>
      <c r="E532" s="214"/>
      <c r="F532" s="214"/>
      <c r="G532" s="214"/>
      <c r="H532" s="214"/>
      <c r="I532" s="214"/>
      <c r="J532" s="214"/>
      <c r="K532" s="214"/>
      <c r="L532" s="214"/>
      <c r="M532" s="214"/>
      <c r="N532" s="215"/>
      <c r="O532" s="215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16"/>
      <c r="AN532" s="216"/>
      <c r="AO532" s="216"/>
      <c r="AP532" s="216"/>
      <c r="AQ532" s="216"/>
      <c r="AR532" s="216"/>
      <c r="AS532" s="216"/>
      <c r="AT532" s="216"/>
      <c r="AU532" s="216"/>
      <c r="AV532" s="216"/>
      <c r="AW532" s="216"/>
      <c r="AX532" s="216"/>
      <c r="AY532" s="216"/>
      <c r="AZ532" s="216"/>
      <c r="BA532" s="216"/>
      <c r="BB532" s="216"/>
      <c r="BC532" s="216"/>
      <c r="BD532" s="216"/>
      <c r="BE532" s="216"/>
      <c r="BF532" s="216"/>
      <c r="BG532" s="216"/>
      <c r="BH532" s="216"/>
      <c r="BI532" s="216"/>
      <c r="BJ532" s="216"/>
      <c r="BK532" s="216"/>
      <c r="BL532" s="216"/>
      <c r="BM532" s="216"/>
      <c r="BN532" s="216"/>
      <c r="BO532" s="216"/>
      <c r="BP532" s="216"/>
      <c r="BQ532" s="216"/>
      <c r="BR532" s="216"/>
      <c r="BS532" s="216"/>
      <c r="BT532" s="216"/>
      <c r="BU532" s="216"/>
      <c r="BV532" s="216"/>
      <c r="BW532" s="216"/>
      <c r="BX532" s="216"/>
      <c r="BY532" s="216"/>
      <c r="BZ532" s="216"/>
      <c r="CA532" s="216"/>
      <c r="CB532" s="216"/>
      <c r="CC532" s="216"/>
      <c r="CD532" s="216"/>
      <c r="CE532" s="216"/>
      <c r="CF532" s="216"/>
      <c r="CG532" s="216"/>
      <c r="CH532" s="216"/>
      <c r="CI532" s="216"/>
      <c r="CJ532" s="216"/>
      <c r="CK532" s="216"/>
      <c r="CL532" s="216"/>
      <c r="CM532" s="216"/>
      <c r="CN532" s="216"/>
      <c r="CO532" s="216"/>
      <c r="CP532" s="216"/>
      <c r="CQ532" s="216"/>
      <c r="CR532" s="216"/>
      <c r="CS532" s="216"/>
      <c r="CT532" s="216"/>
      <c r="CU532" s="216"/>
      <c r="CV532" s="216"/>
      <c r="CW532" s="216"/>
      <c r="CX532" s="216"/>
      <c r="CY532" s="216"/>
    </row>
    <row r="533" spans="1:103" ht="12.75" x14ac:dyDescent="0.2">
      <c r="A533" s="214"/>
      <c r="B533" s="214"/>
      <c r="C533" s="214"/>
      <c r="D533" s="214"/>
      <c r="E533" s="214"/>
      <c r="F533" s="214"/>
      <c r="G533" s="214"/>
      <c r="H533" s="214"/>
      <c r="I533" s="214"/>
      <c r="J533" s="214"/>
      <c r="K533" s="214"/>
      <c r="L533" s="214"/>
      <c r="M533" s="214"/>
      <c r="N533" s="215"/>
      <c r="O533" s="215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16"/>
      <c r="AN533" s="216"/>
      <c r="AO533" s="216"/>
      <c r="AP533" s="216"/>
      <c r="AQ533" s="216"/>
      <c r="AR533" s="216"/>
      <c r="AS533" s="216"/>
      <c r="AT533" s="216"/>
      <c r="AU533" s="216"/>
      <c r="AV533" s="216"/>
      <c r="AW533" s="216"/>
      <c r="AX533" s="216"/>
      <c r="AY533" s="216"/>
      <c r="AZ533" s="216"/>
      <c r="BA533" s="216"/>
      <c r="BB533" s="216"/>
      <c r="BC533" s="216"/>
      <c r="BD533" s="216"/>
      <c r="BE533" s="216"/>
      <c r="BF533" s="216"/>
      <c r="BG533" s="216"/>
      <c r="BH533" s="216"/>
      <c r="BI533" s="216"/>
      <c r="BJ533" s="216"/>
      <c r="BK533" s="216"/>
      <c r="BL533" s="216"/>
      <c r="BM533" s="216"/>
      <c r="BN533" s="216"/>
      <c r="BO533" s="216"/>
      <c r="BP533" s="216"/>
      <c r="BQ533" s="216"/>
      <c r="BR533" s="216"/>
      <c r="BS533" s="216"/>
      <c r="BT533" s="216"/>
      <c r="BU533" s="216"/>
      <c r="BV533" s="216"/>
      <c r="BW533" s="216"/>
      <c r="BX533" s="216"/>
      <c r="BY533" s="216"/>
      <c r="BZ533" s="216"/>
      <c r="CA533" s="216"/>
      <c r="CB533" s="216"/>
      <c r="CC533" s="216"/>
      <c r="CD533" s="216"/>
      <c r="CE533" s="216"/>
      <c r="CF533" s="216"/>
      <c r="CG533" s="216"/>
      <c r="CH533" s="216"/>
      <c r="CI533" s="216"/>
      <c r="CJ533" s="216"/>
      <c r="CK533" s="216"/>
      <c r="CL533" s="216"/>
      <c r="CM533" s="216"/>
      <c r="CN533" s="216"/>
      <c r="CO533" s="216"/>
      <c r="CP533" s="216"/>
      <c r="CQ533" s="216"/>
      <c r="CR533" s="216"/>
      <c r="CS533" s="216"/>
      <c r="CT533" s="216"/>
      <c r="CU533" s="216"/>
      <c r="CV533" s="216"/>
      <c r="CW533" s="216"/>
      <c r="CX533" s="216"/>
      <c r="CY533" s="216"/>
    </row>
    <row r="534" spans="1:103" ht="12.75" x14ac:dyDescent="0.2">
      <c r="A534" s="214"/>
      <c r="B534" s="214"/>
      <c r="C534" s="214"/>
      <c r="D534" s="214"/>
      <c r="E534" s="214"/>
      <c r="F534" s="214"/>
      <c r="G534" s="214"/>
      <c r="H534" s="214"/>
      <c r="I534" s="214"/>
      <c r="J534" s="214"/>
      <c r="K534" s="214"/>
      <c r="L534" s="214"/>
      <c r="M534" s="214"/>
      <c r="N534" s="215"/>
      <c r="O534" s="215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16"/>
      <c r="AN534" s="216"/>
      <c r="AO534" s="216"/>
      <c r="AP534" s="216"/>
      <c r="AQ534" s="216"/>
      <c r="AR534" s="216"/>
      <c r="AS534" s="216"/>
      <c r="AT534" s="216"/>
      <c r="AU534" s="216"/>
      <c r="AV534" s="216"/>
      <c r="AW534" s="216"/>
      <c r="AX534" s="216"/>
      <c r="AY534" s="216"/>
      <c r="AZ534" s="216"/>
      <c r="BA534" s="216"/>
      <c r="BB534" s="216"/>
      <c r="BC534" s="216"/>
      <c r="BD534" s="216"/>
      <c r="BE534" s="216"/>
      <c r="BF534" s="216"/>
      <c r="BG534" s="216"/>
      <c r="BH534" s="216"/>
      <c r="BI534" s="216"/>
      <c r="BJ534" s="216"/>
      <c r="BK534" s="216"/>
      <c r="BL534" s="216"/>
      <c r="BM534" s="216"/>
      <c r="BN534" s="216"/>
      <c r="BO534" s="216"/>
      <c r="BP534" s="216"/>
      <c r="BQ534" s="216"/>
      <c r="BR534" s="216"/>
      <c r="BS534" s="216"/>
      <c r="BT534" s="216"/>
      <c r="BU534" s="216"/>
      <c r="BV534" s="216"/>
      <c r="BW534" s="216"/>
      <c r="BX534" s="216"/>
      <c r="BY534" s="216"/>
      <c r="BZ534" s="216"/>
      <c r="CA534" s="216"/>
      <c r="CB534" s="216"/>
      <c r="CC534" s="216"/>
      <c r="CD534" s="216"/>
      <c r="CE534" s="216"/>
      <c r="CF534" s="216"/>
      <c r="CG534" s="216"/>
      <c r="CH534" s="216"/>
      <c r="CI534" s="216"/>
      <c r="CJ534" s="216"/>
      <c r="CK534" s="216"/>
      <c r="CL534" s="216"/>
      <c r="CM534" s="216"/>
      <c r="CN534" s="216"/>
      <c r="CO534" s="216"/>
      <c r="CP534" s="216"/>
      <c r="CQ534" s="216"/>
      <c r="CR534" s="216"/>
      <c r="CS534" s="216"/>
      <c r="CT534" s="216"/>
      <c r="CU534" s="216"/>
      <c r="CV534" s="216"/>
      <c r="CW534" s="216"/>
      <c r="CX534" s="216"/>
      <c r="CY534" s="216"/>
    </row>
    <row r="535" spans="1:103" ht="12.75" x14ac:dyDescent="0.2">
      <c r="A535" s="214"/>
      <c r="B535" s="214"/>
      <c r="C535" s="214"/>
      <c r="D535" s="214"/>
      <c r="E535" s="214"/>
      <c r="F535" s="214"/>
      <c r="G535" s="214"/>
      <c r="H535" s="214"/>
      <c r="I535" s="214"/>
      <c r="J535" s="214"/>
      <c r="K535" s="214"/>
      <c r="L535" s="214"/>
      <c r="M535" s="214"/>
      <c r="N535" s="215"/>
      <c r="O535" s="215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16"/>
      <c r="AN535" s="216"/>
      <c r="AO535" s="216"/>
      <c r="AP535" s="216"/>
      <c r="AQ535" s="216"/>
      <c r="AR535" s="216"/>
      <c r="AS535" s="216"/>
      <c r="AT535" s="216"/>
      <c r="AU535" s="216"/>
      <c r="AV535" s="216"/>
      <c r="AW535" s="216"/>
      <c r="AX535" s="216"/>
      <c r="AY535" s="216"/>
      <c r="AZ535" s="216"/>
      <c r="BA535" s="216"/>
      <c r="BB535" s="216"/>
      <c r="BC535" s="216"/>
      <c r="BD535" s="216"/>
      <c r="BE535" s="216"/>
      <c r="BF535" s="216"/>
      <c r="BG535" s="216"/>
      <c r="BH535" s="216"/>
      <c r="BI535" s="216"/>
      <c r="BJ535" s="216"/>
      <c r="BK535" s="216"/>
      <c r="BL535" s="216"/>
      <c r="BM535" s="216"/>
      <c r="BN535" s="216"/>
      <c r="BO535" s="216"/>
      <c r="BP535" s="216"/>
      <c r="BQ535" s="216"/>
      <c r="BR535" s="216"/>
      <c r="BS535" s="216"/>
      <c r="BT535" s="216"/>
      <c r="BU535" s="216"/>
      <c r="BV535" s="216"/>
      <c r="BW535" s="216"/>
      <c r="BX535" s="216"/>
      <c r="BY535" s="216"/>
      <c r="BZ535" s="216"/>
      <c r="CA535" s="216"/>
      <c r="CB535" s="216"/>
      <c r="CC535" s="216"/>
      <c r="CD535" s="216"/>
      <c r="CE535" s="216"/>
      <c r="CF535" s="216"/>
      <c r="CG535" s="216"/>
      <c r="CH535" s="216"/>
      <c r="CI535" s="216"/>
      <c r="CJ535" s="216"/>
      <c r="CK535" s="216"/>
      <c r="CL535" s="216"/>
      <c r="CM535" s="216"/>
      <c r="CN535" s="216"/>
      <c r="CO535" s="216"/>
      <c r="CP535" s="216"/>
      <c r="CQ535" s="216"/>
      <c r="CR535" s="216"/>
      <c r="CS535" s="216"/>
      <c r="CT535" s="216"/>
      <c r="CU535" s="216"/>
      <c r="CV535" s="216"/>
      <c r="CW535" s="216"/>
      <c r="CX535" s="216"/>
      <c r="CY535" s="216"/>
    </row>
    <row r="536" spans="1:103" ht="12.75" x14ac:dyDescent="0.2">
      <c r="A536" s="214"/>
      <c r="B536" s="214"/>
      <c r="C536" s="214"/>
      <c r="D536" s="214"/>
      <c r="E536" s="214"/>
      <c r="F536" s="214"/>
      <c r="G536" s="214"/>
      <c r="H536" s="214"/>
      <c r="I536" s="214"/>
      <c r="J536" s="214"/>
      <c r="K536" s="214"/>
      <c r="L536" s="214"/>
      <c r="M536" s="214"/>
      <c r="N536" s="215"/>
      <c r="O536" s="215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16"/>
      <c r="AN536" s="216"/>
      <c r="AO536" s="216"/>
      <c r="AP536" s="216"/>
      <c r="AQ536" s="216"/>
      <c r="AR536" s="216"/>
      <c r="AS536" s="216"/>
      <c r="AT536" s="216"/>
      <c r="AU536" s="216"/>
      <c r="AV536" s="216"/>
      <c r="AW536" s="216"/>
      <c r="AX536" s="216"/>
      <c r="AY536" s="216"/>
      <c r="AZ536" s="216"/>
      <c r="BA536" s="216"/>
      <c r="BB536" s="216"/>
      <c r="BC536" s="216"/>
      <c r="BD536" s="216"/>
      <c r="BE536" s="216"/>
      <c r="BF536" s="216"/>
      <c r="BG536" s="216"/>
      <c r="BH536" s="216"/>
      <c r="BI536" s="216"/>
      <c r="BJ536" s="216"/>
      <c r="BK536" s="216"/>
      <c r="BL536" s="216"/>
      <c r="BM536" s="216"/>
      <c r="BN536" s="216"/>
      <c r="BO536" s="216"/>
      <c r="BP536" s="216"/>
      <c r="BQ536" s="216"/>
      <c r="BR536" s="216"/>
      <c r="BS536" s="216"/>
      <c r="BT536" s="216"/>
      <c r="BU536" s="216"/>
      <c r="BV536" s="216"/>
      <c r="BW536" s="216"/>
      <c r="BX536" s="216"/>
      <c r="BY536" s="216"/>
      <c r="BZ536" s="216"/>
      <c r="CA536" s="216"/>
      <c r="CB536" s="216"/>
      <c r="CC536" s="216"/>
      <c r="CD536" s="216"/>
      <c r="CE536" s="216"/>
      <c r="CF536" s="216"/>
      <c r="CG536" s="216"/>
      <c r="CH536" s="216"/>
      <c r="CI536" s="216"/>
      <c r="CJ536" s="216"/>
      <c r="CK536" s="216"/>
      <c r="CL536" s="216"/>
      <c r="CM536" s="216"/>
      <c r="CN536" s="216"/>
      <c r="CO536" s="216"/>
      <c r="CP536" s="216"/>
      <c r="CQ536" s="216"/>
      <c r="CR536" s="216"/>
      <c r="CS536" s="216"/>
      <c r="CT536" s="216"/>
      <c r="CU536" s="216"/>
      <c r="CV536" s="216"/>
      <c r="CW536" s="216"/>
      <c r="CX536" s="216"/>
      <c r="CY536" s="216"/>
    </row>
    <row r="537" spans="1:103" ht="12.75" x14ac:dyDescent="0.2">
      <c r="A537" s="214"/>
      <c r="B537" s="214"/>
      <c r="C537" s="214"/>
      <c r="D537" s="214"/>
      <c r="E537" s="214"/>
      <c r="F537" s="214"/>
      <c r="G537" s="214"/>
      <c r="H537" s="214"/>
      <c r="I537" s="214"/>
      <c r="J537" s="214"/>
      <c r="K537" s="214"/>
      <c r="L537" s="214"/>
      <c r="M537" s="214"/>
      <c r="N537" s="215"/>
      <c r="O537" s="215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16"/>
      <c r="AN537" s="216"/>
      <c r="AO537" s="216"/>
      <c r="AP537" s="216"/>
      <c r="AQ537" s="216"/>
      <c r="AR537" s="216"/>
      <c r="AS537" s="216"/>
      <c r="AT537" s="216"/>
      <c r="AU537" s="216"/>
      <c r="AV537" s="216"/>
      <c r="AW537" s="216"/>
      <c r="AX537" s="216"/>
      <c r="AY537" s="216"/>
      <c r="AZ537" s="216"/>
      <c r="BA537" s="216"/>
      <c r="BB537" s="216"/>
      <c r="BC537" s="216"/>
      <c r="BD537" s="216"/>
      <c r="BE537" s="216"/>
      <c r="BF537" s="216"/>
      <c r="BG537" s="216"/>
      <c r="BH537" s="216"/>
      <c r="BI537" s="216"/>
      <c r="BJ537" s="216"/>
      <c r="BK537" s="216"/>
      <c r="BL537" s="216"/>
      <c r="BM537" s="216"/>
      <c r="BN537" s="216"/>
      <c r="BO537" s="216"/>
      <c r="BP537" s="216"/>
      <c r="BQ537" s="216"/>
      <c r="BR537" s="216"/>
      <c r="BS537" s="216"/>
      <c r="BT537" s="216"/>
      <c r="BU537" s="216"/>
      <c r="BV537" s="216"/>
      <c r="BW537" s="216"/>
      <c r="BX537" s="216"/>
      <c r="BY537" s="216"/>
      <c r="BZ537" s="216"/>
      <c r="CA537" s="216"/>
      <c r="CB537" s="216"/>
      <c r="CC537" s="216"/>
      <c r="CD537" s="216"/>
      <c r="CE537" s="216"/>
      <c r="CF537" s="216"/>
      <c r="CG537" s="216"/>
      <c r="CH537" s="216"/>
      <c r="CI537" s="216"/>
      <c r="CJ537" s="216"/>
      <c r="CK537" s="216"/>
      <c r="CL537" s="216"/>
      <c r="CM537" s="216"/>
      <c r="CN537" s="216"/>
      <c r="CO537" s="216"/>
      <c r="CP537" s="216"/>
      <c r="CQ537" s="216"/>
      <c r="CR537" s="216"/>
      <c r="CS537" s="216"/>
      <c r="CT537" s="216"/>
      <c r="CU537" s="216"/>
      <c r="CV537" s="216"/>
      <c r="CW537" s="216"/>
      <c r="CX537" s="216"/>
      <c r="CY537" s="216"/>
    </row>
    <row r="538" spans="1:103" ht="12.75" x14ac:dyDescent="0.2">
      <c r="A538" s="214"/>
      <c r="B538" s="214"/>
      <c r="C538" s="214"/>
      <c r="D538" s="214"/>
      <c r="E538" s="214"/>
      <c r="F538" s="214"/>
      <c r="G538" s="214"/>
      <c r="H538" s="214"/>
      <c r="I538" s="214"/>
      <c r="J538" s="214"/>
      <c r="K538" s="214"/>
      <c r="L538" s="214"/>
      <c r="M538" s="214"/>
      <c r="N538" s="215"/>
      <c r="O538" s="215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16"/>
      <c r="AN538" s="216"/>
      <c r="AO538" s="216"/>
      <c r="AP538" s="216"/>
      <c r="AQ538" s="216"/>
      <c r="AR538" s="216"/>
      <c r="AS538" s="216"/>
      <c r="AT538" s="216"/>
      <c r="AU538" s="216"/>
      <c r="AV538" s="216"/>
      <c r="AW538" s="216"/>
      <c r="AX538" s="216"/>
      <c r="AY538" s="216"/>
      <c r="AZ538" s="216"/>
      <c r="BA538" s="216"/>
      <c r="BB538" s="216"/>
      <c r="BC538" s="216"/>
      <c r="BD538" s="216"/>
      <c r="BE538" s="216"/>
      <c r="BF538" s="216"/>
      <c r="BG538" s="216"/>
      <c r="BH538" s="216"/>
      <c r="BI538" s="216"/>
      <c r="BJ538" s="216"/>
      <c r="BK538" s="216"/>
      <c r="BL538" s="216"/>
      <c r="BM538" s="216"/>
      <c r="BN538" s="216"/>
      <c r="BO538" s="216"/>
      <c r="BP538" s="216"/>
      <c r="BQ538" s="216"/>
      <c r="BR538" s="216"/>
      <c r="BS538" s="216"/>
      <c r="BT538" s="216"/>
      <c r="BU538" s="216"/>
      <c r="BV538" s="216"/>
      <c r="BW538" s="216"/>
      <c r="BX538" s="216"/>
      <c r="BY538" s="216"/>
      <c r="BZ538" s="216"/>
      <c r="CA538" s="216"/>
      <c r="CB538" s="216"/>
      <c r="CC538" s="216"/>
      <c r="CD538" s="216"/>
      <c r="CE538" s="216"/>
      <c r="CF538" s="216"/>
      <c r="CG538" s="216"/>
      <c r="CH538" s="216"/>
      <c r="CI538" s="216"/>
      <c r="CJ538" s="216"/>
      <c r="CK538" s="216"/>
      <c r="CL538" s="216"/>
      <c r="CM538" s="216"/>
      <c r="CN538" s="216"/>
      <c r="CO538" s="216"/>
      <c r="CP538" s="216"/>
      <c r="CQ538" s="216"/>
      <c r="CR538" s="216"/>
      <c r="CS538" s="216"/>
      <c r="CT538" s="216"/>
      <c r="CU538" s="216"/>
      <c r="CV538" s="216"/>
      <c r="CW538" s="216"/>
      <c r="CX538" s="216"/>
      <c r="CY538" s="216"/>
    </row>
    <row r="539" spans="1:103" ht="12.75" x14ac:dyDescent="0.2">
      <c r="A539" s="214"/>
      <c r="B539" s="214"/>
      <c r="C539" s="214"/>
      <c r="D539" s="214"/>
      <c r="E539" s="214"/>
      <c r="F539" s="214"/>
      <c r="G539" s="214"/>
      <c r="H539" s="214"/>
      <c r="I539" s="214"/>
      <c r="J539" s="214"/>
      <c r="K539" s="214"/>
      <c r="L539" s="214"/>
      <c r="M539" s="214"/>
      <c r="N539" s="215"/>
      <c r="O539" s="215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16"/>
      <c r="AN539" s="216"/>
      <c r="AO539" s="216"/>
      <c r="AP539" s="216"/>
      <c r="AQ539" s="216"/>
      <c r="AR539" s="216"/>
      <c r="AS539" s="216"/>
      <c r="AT539" s="216"/>
      <c r="AU539" s="216"/>
      <c r="AV539" s="216"/>
      <c r="AW539" s="216"/>
      <c r="AX539" s="216"/>
      <c r="AY539" s="216"/>
      <c r="AZ539" s="216"/>
      <c r="BA539" s="216"/>
      <c r="BB539" s="216"/>
      <c r="BC539" s="216"/>
      <c r="BD539" s="216"/>
      <c r="BE539" s="216"/>
      <c r="BF539" s="216"/>
      <c r="BG539" s="216"/>
      <c r="BH539" s="216"/>
      <c r="BI539" s="216"/>
      <c r="BJ539" s="216"/>
      <c r="BK539" s="216"/>
      <c r="BL539" s="216"/>
      <c r="BM539" s="216"/>
      <c r="BN539" s="216"/>
      <c r="BO539" s="216"/>
      <c r="BP539" s="216"/>
      <c r="BQ539" s="216"/>
      <c r="BR539" s="216"/>
      <c r="BS539" s="216"/>
      <c r="BT539" s="216"/>
      <c r="BU539" s="216"/>
      <c r="BV539" s="216"/>
      <c r="BW539" s="216"/>
      <c r="BX539" s="216"/>
      <c r="BY539" s="216"/>
      <c r="BZ539" s="216"/>
      <c r="CA539" s="216"/>
      <c r="CB539" s="216"/>
      <c r="CC539" s="216"/>
      <c r="CD539" s="216"/>
      <c r="CE539" s="216"/>
      <c r="CF539" s="216"/>
      <c r="CG539" s="216"/>
      <c r="CH539" s="216"/>
      <c r="CI539" s="216"/>
      <c r="CJ539" s="216"/>
      <c r="CK539" s="216"/>
      <c r="CL539" s="216"/>
      <c r="CM539" s="216"/>
      <c r="CN539" s="216"/>
      <c r="CO539" s="216"/>
      <c r="CP539" s="216"/>
      <c r="CQ539" s="216"/>
      <c r="CR539" s="216"/>
      <c r="CS539" s="216"/>
      <c r="CT539" s="216"/>
      <c r="CU539" s="216"/>
      <c r="CV539" s="216"/>
      <c r="CW539" s="216"/>
      <c r="CX539" s="216"/>
      <c r="CY539" s="216"/>
    </row>
    <row r="540" spans="1:103" ht="12.75" x14ac:dyDescent="0.2">
      <c r="A540" s="214"/>
      <c r="B540" s="214"/>
      <c r="C540" s="214"/>
      <c r="D540" s="214"/>
      <c r="E540" s="214"/>
      <c r="F540" s="214"/>
      <c r="G540" s="214"/>
      <c r="H540" s="214"/>
      <c r="I540" s="214"/>
      <c r="J540" s="214"/>
      <c r="K540" s="214"/>
      <c r="L540" s="214"/>
      <c r="M540" s="214"/>
      <c r="N540" s="215"/>
      <c r="O540" s="215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16"/>
      <c r="AN540" s="216"/>
      <c r="AO540" s="216"/>
      <c r="AP540" s="216"/>
      <c r="AQ540" s="216"/>
      <c r="AR540" s="216"/>
      <c r="AS540" s="216"/>
      <c r="AT540" s="216"/>
      <c r="AU540" s="216"/>
      <c r="AV540" s="216"/>
      <c r="AW540" s="216"/>
      <c r="AX540" s="216"/>
      <c r="AY540" s="216"/>
      <c r="AZ540" s="216"/>
      <c r="BA540" s="216"/>
      <c r="BB540" s="216"/>
      <c r="BC540" s="216"/>
      <c r="BD540" s="216"/>
      <c r="BE540" s="216"/>
      <c r="BF540" s="216"/>
      <c r="BG540" s="216"/>
      <c r="BH540" s="216"/>
      <c r="BI540" s="216"/>
      <c r="BJ540" s="216"/>
      <c r="BK540" s="216"/>
      <c r="BL540" s="216"/>
      <c r="BM540" s="216"/>
      <c r="BN540" s="216"/>
      <c r="BO540" s="216"/>
      <c r="BP540" s="216"/>
      <c r="BQ540" s="216"/>
      <c r="BR540" s="216"/>
      <c r="BS540" s="216"/>
      <c r="BT540" s="216"/>
      <c r="BU540" s="216"/>
      <c r="BV540" s="216"/>
      <c r="BW540" s="216"/>
      <c r="BX540" s="216"/>
      <c r="BY540" s="216"/>
      <c r="BZ540" s="216"/>
      <c r="CA540" s="216"/>
      <c r="CB540" s="216"/>
      <c r="CC540" s="216"/>
      <c r="CD540" s="216"/>
      <c r="CE540" s="216"/>
      <c r="CF540" s="216"/>
      <c r="CG540" s="216"/>
      <c r="CH540" s="216"/>
      <c r="CI540" s="216"/>
      <c r="CJ540" s="216"/>
      <c r="CK540" s="216"/>
      <c r="CL540" s="216"/>
      <c r="CM540" s="216"/>
      <c r="CN540" s="216"/>
      <c r="CO540" s="216"/>
      <c r="CP540" s="216"/>
      <c r="CQ540" s="216"/>
      <c r="CR540" s="216"/>
      <c r="CS540" s="216"/>
      <c r="CT540" s="216"/>
      <c r="CU540" s="216"/>
      <c r="CV540" s="216"/>
      <c r="CW540" s="216"/>
      <c r="CX540" s="216"/>
      <c r="CY540" s="216"/>
    </row>
    <row r="541" spans="1:103" ht="12.75" x14ac:dyDescent="0.2">
      <c r="A541" s="214"/>
      <c r="B541" s="214"/>
      <c r="C541" s="214"/>
      <c r="D541" s="214"/>
      <c r="E541" s="214"/>
      <c r="F541" s="214"/>
      <c r="G541" s="214"/>
      <c r="H541" s="214"/>
      <c r="I541" s="214"/>
      <c r="J541" s="214"/>
      <c r="K541" s="214"/>
      <c r="L541" s="214"/>
      <c r="M541" s="214"/>
      <c r="N541" s="215"/>
      <c r="O541" s="215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16"/>
      <c r="AN541" s="216"/>
      <c r="AO541" s="216"/>
      <c r="AP541" s="216"/>
      <c r="AQ541" s="216"/>
      <c r="AR541" s="216"/>
      <c r="AS541" s="216"/>
      <c r="AT541" s="216"/>
      <c r="AU541" s="216"/>
      <c r="AV541" s="216"/>
      <c r="AW541" s="216"/>
      <c r="AX541" s="216"/>
      <c r="AY541" s="216"/>
      <c r="AZ541" s="216"/>
      <c r="BA541" s="216"/>
      <c r="BB541" s="216"/>
      <c r="BC541" s="216"/>
      <c r="BD541" s="216"/>
      <c r="BE541" s="216"/>
      <c r="BF541" s="216"/>
      <c r="BG541" s="216"/>
      <c r="BH541" s="216"/>
      <c r="BI541" s="216"/>
      <c r="BJ541" s="216"/>
      <c r="BK541" s="216"/>
      <c r="BL541" s="216"/>
      <c r="BM541" s="216"/>
      <c r="BN541" s="216"/>
      <c r="BO541" s="216"/>
      <c r="BP541" s="216"/>
      <c r="BQ541" s="216"/>
      <c r="BR541" s="216"/>
      <c r="BS541" s="216"/>
      <c r="BT541" s="216"/>
      <c r="BU541" s="216"/>
      <c r="BV541" s="216"/>
      <c r="BW541" s="216"/>
      <c r="BX541" s="216"/>
      <c r="BY541" s="216"/>
      <c r="BZ541" s="216"/>
      <c r="CA541" s="216"/>
      <c r="CB541" s="216"/>
      <c r="CC541" s="216"/>
      <c r="CD541" s="216"/>
      <c r="CE541" s="216"/>
      <c r="CF541" s="216"/>
      <c r="CG541" s="216"/>
      <c r="CH541" s="216"/>
      <c r="CI541" s="216"/>
      <c r="CJ541" s="216"/>
      <c r="CK541" s="216"/>
      <c r="CL541" s="216"/>
      <c r="CM541" s="216"/>
      <c r="CN541" s="216"/>
      <c r="CO541" s="216"/>
      <c r="CP541" s="216"/>
      <c r="CQ541" s="216"/>
      <c r="CR541" s="216"/>
      <c r="CS541" s="216"/>
      <c r="CT541" s="216"/>
      <c r="CU541" s="216"/>
      <c r="CV541" s="216"/>
      <c r="CW541" s="216"/>
      <c r="CX541" s="216"/>
      <c r="CY541" s="216"/>
    </row>
    <row r="542" spans="1:103" ht="12.75" x14ac:dyDescent="0.2">
      <c r="A542" s="214"/>
      <c r="B542" s="214"/>
      <c r="C542" s="214"/>
      <c r="D542" s="214"/>
      <c r="E542" s="214"/>
      <c r="F542" s="214"/>
      <c r="G542" s="214"/>
      <c r="H542" s="214"/>
      <c r="I542" s="214"/>
      <c r="J542" s="214"/>
      <c r="K542" s="214"/>
      <c r="L542" s="214"/>
      <c r="M542" s="214"/>
      <c r="N542" s="215"/>
      <c r="O542" s="215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16"/>
      <c r="AN542" s="216"/>
      <c r="AO542" s="216"/>
      <c r="AP542" s="216"/>
      <c r="AQ542" s="216"/>
      <c r="AR542" s="216"/>
      <c r="AS542" s="216"/>
      <c r="AT542" s="216"/>
      <c r="AU542" s="216"/>
      <c r="AV542" s="216"/>
      <c r="AW542" s="216"/>
      <c r="AX542" s="216"/>
      <c r="AY542" s="216"/>
      <c r="AZ542" s="216"/>
      <c r="BA542" s="216"/>
      <c r="BB542" s="216"/>
      <c r="BC542" s="216"/>
      <c r="BD542" s="216"/>
      <c r="BE542" s="216"/>
      <c r="BF542" s="216"/>
      <c r="BG542" s="216"/>
      <c r="BH542" s="216"/>
      <c r="BI542" s="216"/>
      <c r="BJ542" s="216"/>
      <c r="BK542" s="216"/>
      <c r="BL542" s="216"/>
      <c r="BM542" s="216"/>
      <c r="BN542" s="216"/>
      <c r="BO542" s="216"/>
      <c r="BP542" s="216"/>
      <c r="BQ542" s="216"/>
      <c r="BR542" s="216"/>
      <c r="BS542" s="216"/>
      <c r="BT542" s="216"/>
      <c r="BU542" s="216"/>
      <c r="BV542" s="216"/>
      <c r="BW542" s="216"/>
      <c r="BX542" s="216"/>
      <c r="BY542" s="216"/>
      <c r="BZ542" s="216"/>
      <c r="CA542" s="216"/>
      <c r="CB542" s="216"/>
      <c r="CC542" s="216"/>
      <c r="CD542" s="216"/>
      <c r="CE542" s="216"/>
      <c r="CF542" s="216"/>
      <c r="CG542" s="216"/>
      <c r="CH542" s="216"/>
      <c r="CI542" s="216"/>
      <c r="CJ542" s="216"/>
      <c r="CK542" s="216"/>
      <c r="CL542" s="216"/>
      <c r="CM542" s="216"/>
      <c r="CN542" s="216"/>
      <c r="CO542" s="216"/>
      <c r="CP542" s="216"/>
      <c r="CQ542" s="216"/>
      <c r="CR542" s="216"/>
      <c r="CS542" s="216"/>
      <c r="CT542" s="216"/>
      <c r="CU542" s="216"/>
      <c r="CV542" s="216"/>
      <c r="CW542" s="216"/>
      <c r="CX542" s="216"/>
      <c r="CY542" s="216"/>
    </row>
    <row r="543" spans="1:103" ht="12.75" x14ac:dyDescent="0.2">
      <c r="A543" s="214"/>
      <c r="B543" s="214"/>
      <c r="C543" s="214"/>
      <c r="D543" s="214"/>
      <c r="E543" s="214"/>
      <c r="F543" s="214"/>
      <c r="G543" s="214"/>
      <c r="H543" s="214"/>
      <c r="I543" s="214"/>
      <c r="J543" s="214"/>
      <c r="K543" s="214"/>
      <c r="L543" s="214"/>
      <c r="M543" s="214"/>
      <c r="N543" s="215"/>
      <c r="O543" s="215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16"/>
      <c r="AN543" s="216"/>
      <c r="AO543" s="216"/>
      <c r="AP543" s="216"/>
      <c r="AQ543" s="216"/>
      <c r="AR543" s="216"/>
      <c r="AS543" s="216"/>
      <c r="AT543" s="216"/>
      <c r="AU543" s="216"/>
      <c r="AV543" s="216"/>
      <c r="AW543" s="216"/>
      <c r="AX543" s="216"/>
      <c r="AY543" s="216"/>
      <c r="AZ543" s="216"/>
      <c r="BA543" s="216"/>
      <c r="BB543" s="216"/>
      <c r="BC543" s="216"/>
      <c r="BD543" s="216"/>
      <c r="BE543" s="216"/>
      <c r="BF543" s="216"/>
      <c r="BG543" s="216"/>
      <c r="BH543" s="216"/>
      <c r="BI543" s="216"/>
      <c r="BJ543" s="216"/>
      <c r="BK543" s="216"/>
      <c r="BL543" s="216"/>
      <c r="BM543" s="216"/>
      <c r="BN543" s="216"/>
      <c r="BO543" s="216"/>
      <c r="BP543" s="216"/>
      <c r="BQ543" s="216"/>
      <c r="BR543" s="216"/>
      <c r="BS543" s="216"/>
      <c r="BT543" s="216"/>
      <c r="BU543" s="216"/>
      <c r="BV543" s="216"/>
      <c r="BW543" s="216"/>
      <c r="BX543" s="216"/>
      <c r="BY543" s="216"/>
      <c r="BZ543" s="216"/>
      <c r="CA543" s="216"/>
      <c r="CB543" s="216"/>
      <c r="CC543" s="216"/>
      <c r="CD543" s="216"/>
      <c r="CE543" s="216"/>
      <c r="CF543" s="216"/>
      <c r="CG543" s="216"/>
      <c r="CH543" s="216"/>
      <c r="CI543" s="216"/>
      <c r="CJ543" s="216"/>
      <c r="CK543" s="216"/>
      <c r="CL543" s="216"/>
      <c r="CM543" s="216"/>
      <c r="CN543" s="216"/>
      <c r="CO543" s="216"/>
      <c r="CP543" s="216"/>
      <c r="CQ543" s="216"/>
      <c r="CR543" s="216"/>
      <c r="CS543" s="216"/>
      <c r="CT543" s="216"/>
      <c r="CU543" s="216"/>
      <c r="CV543" s="216"/>
      <c r="CW543" s="216"/>
      <c r="CX543" s="216"/>
      <c r="CY543" s="216"/>
    </row>
    <row r="544" spans="1:103" ht="12.75" x14ac:dyDescent="0.2">
      <c r="A544" s="214"/>
      <c r="B544" s="214"/>
      <c r="C544" s="214"/>
      <c r="D544" s="214"/>
      <c r="E544" s="214"/>
      <c r="F544" s="214"/>
      <c r="G544" s="214"/>
      <c r="H544" s="214"/>
      <c r="I544" s="214"/>
      <c r="J544" s="214"/>
      <c r="K544" s="214"/>
      <c r="L544" s="214"/>
      <c r="M544" s="214"/>
      <c r="N544" s="215"/>
      <c r="O544" s="215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16"/>
      <c r="AN544" s="216"/>
      <c r="AO544" s="216"/>
      <c r="AP544" s="216"/>
      <c r="AQ544" s="216"/>
      <c r="AR544" s="216"/>
      <c r="AS544" s="216"/>
      <c r="AT544" s="216"/>
      <c r="AU544" s="216"/>
      <c r="AV544" s="216"/>
      <c r="AW544" s="216"/>
      <c r="AX544" s="216"/>
      <c r="AY544" s="216"/>
      <c r="AZ544" s="216"/>
      <c r="BA544" s="216"/>
      <c r="BB544" s="216"/>
      <c r="BC544" s="216"/>
      <c r="BD544" s="216"/>
      <c r="BE544" s="216"/>
      <c r="BF544" s="216"/>
      <c r="BG544" s="216"/>
      <c r="BH544" s="216"/>
      <c r="BI544" s="216"/>
      <c r="BJ544" s="216"/>
      <c r="BK544" s="216"/>
      <c r="BL544" s="216"/>
      <c r="BM544" s="216"/>
      <c r="BN544" s="216"/>
      <c r="BO544" s="216"/>
      <c r="BP544" s="216"/>
      <c r="BQ544" s="216"/>
      <c r="BR544" s="216"/>
      <c r="BS544" s="216"/>
      <c r="BT544" s="216"/>
      <c r="BU544" s="216"/>
      <c r="BV544" s="216"/>
      <c r="BW544" s="216"/>
      <c r="BX544" s="216"/>
      <c r="BY544" s="216"/>
      <c r="BZ544" s="216"/>
      <c r="CA544" s="216"/>
      <c r="CB544" s="216"/>
      <c r="CC544" s="216"/>
      <c r="CD544" s="216"/>
      <c r="CE544" s="216"/>
      <c r="CF544" s="216"/>
      <c r="CG544" s="216"/>
      <c r="CH544" s="216"/>
      <c r="CI544" s="216"/>
      <c r="CJ544" s="216"/>
      <c r="CK544" s="216"/>
      <c r="CL544" s="216"/>
      <c r="CM544" s="216"/>
      <c r="CN544" s="216"/>
      <c r="CO544" s="216"/>
      <c r="CP544" s="216"/>
      <c r="CQ544" s="216"/>
      <c r="CR544" s="216"/>
      <c r="CS544" s="216"/>
      <c r="CT544" s="216"/>
      <c r="CU544" s="216"/>
      <c r="CV544" s="216"/>
      <c r="CW544" s="216"/>
      <c r="CX544" s="216"/>
      <c r="CY544" s="216"/>
    </row>
    <row r="545" spans="1:103" ht="12.75" x14ac:dyDescent="0.2">
      <c r="A545" s="214"/>
      <c r="B545" s="214"/>
      <c r="C545" s="214"/>
      <c r="D545" s="214"/>
      <c r="E545" s="214"/>
      <c r="F545" s="214"/>
      <c r="G545" s="214"/>
      <c r="H545" s="214"/>
      <c r="I545" s="214"/>
      <c r="J545" s="214"/>
      <c r="K545" s="214"/>
      <c r="L545" s="214"/>
      <c r="M545" s="214"/>
      <c r="N545" s="215"/>
      <c r="O545" s="215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16"/>
      <c r="AN545" s="216"/>
      <c r="AO545" s="216"/>
      <c r="AP545" s="216"/>
      <c r="AQ545" s="216"/>
      <c r="AR545" s="216"/>
      <c r="AS545" s="216"/>
      <c r="AT545" s="216"/>
      <c r="AU545" s="216"/>
      <c r="AV545" s="216"/>
      <c r="AW545" s="216"/>
      <c r="AX545" s="216"/>
      <c r="AY545" s="216"/>
      <c r="AZ545" s="216"/>
      <c r="BA545" s="216"/>
      <c r="BB545" s="216"/>
      <c r="BC545" s="216"/>
      <c r="BD545" s="216"/>
      <c r="BE545" s="216"/>
      <c r="BF545" s="216"/>
      <c r="BG545" s="216"/>
      <c r="BH545" s="216"/>
      <c r="BI545" s="216"/>
      <c r="BJ545" s="216"/>
      <c r="BK545" s="216"/>
      <c r="BL545" s="216"/>
      <c r="BM545" s="216"/>
      <c r="BN545" s="216"/>
      <c r="BO545" s="216"/>
      <c r="BP545" s="216"/>
      <c r="BQ545" s="216"/>
      <c r="BR545" s="216"/>
      <c r="BS545" s="216"/>
      <c r="BT545" s="216"/>
      <c r="BU545" s="216"/>
      <c r="BV545" s="216"/>
      <c r="BW545" s="216"/>
      <c r="BX545" s="216"/>
      <c r="BY545" s="216"/>
      <c r="BZ545" s="216"/>
      <c r="CA545" s="216"/>
      <c r="CB545" s="216"/>
      <c r="CC545" s="216"/>
      <c r="CD545" s="216"/>
      <c r="CE545" s="216"/>
      <c r="CF545" s="216"/>
      <c r="CG545" s="216"/>
      <c r="CH545" s="216"/>
      <c r="CI545" s="216"/>
      <c r="CJ545" s="216"/>
      <c r="CK545" s="216"/>
      <c r="CL545" s="216"/>
      <c r="CM545" s="216"/>
      <c r="CN545" s="216"/>
      <c r="CO545" s="216"/>
      <c r="CP545" s="216"/>
      <c r="CQ545" s="216"/>
      <c r="CR545" s="216"/>
      <c r="CS545" s="216"/>
      <c r="CT545" s="216"/>
      <c r="CU545" s="216"/>
      <c r="CV545" s="216"/>
      <c r="CW545" s="216"/>
      <c r="CX545" s="216"/>
      <c r="CY545" s="216"/>
    </row>
    <row r="546" spans="1:103" ht="12.75" x14ac:dyDescent="0.2">
      <c r="A546" s="214"/>
      <c r="B546" s="214"/>
      <c r="C546" s="214"/>
      <c r="D546" s="214"/>
      <c r="E546" s="214"/>
      <c r="F546" s="214"/>
      <c r="G546" s="214"/>
      <c r="H546" s="214"/>
      <c r="I546" s="214"/>
      <c r="J546" s="214"/>
      <c r="K546" s="214"/>
      <c r="L546" s="214"/>
      <c r="M546" s="214"/>
      <c r="N546" s="215"/>
      <c r="O546" s="215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16"/>
      <c r="AN546" s="216"/>
      <c r="AO546" s="216"/>
      <c r="AP546" s="216"/>
      <c r="AQ546" s="216"/>
      <c r="AR546" s="216"/>
      <c r="AS546" s="216"/>
      <c r="AT546" s="216"/>
      <c r="AU546" s="216"/>
      <c r="AV546" s="216"/>
      <c r="AW546" s="216"/>
      <c r="AX546" s="216"/>
      <c r="AY546" s="216"/>
      <c r="AZ546" s="216"/>
      <c r="BA546" s="216"/>
      <c r="BB546" s="216"/>
      <c r="BC546" s="216"/>
      <c r="BD546" s="216"/>
      <c r="BE546" s="216"/>
      <c r="BF546" s="216"/>
      <c r="BG546" s="216"/>
      <c r="BH546" s="216"/>
      <c r="BI546" s="216"/>
      <c r="BJ546" s="216"/>
      <c r="BK546" s="216"/>
      <c r="BL546" s="216"/>
      <c r="BM546" s="216"/>
      <c r="BN546" s="216"/>
      <c r="BO546" s="216"/>
      <c r="BP546" s="216"/>
      <c r="BQ546" s="216"/>
      <c r="BR546" s="216"/>
      <c r="BS546" s="216"/>
      <c r="BT546" s="216"/>
      <c r="BU546" s="216"/>
      <c r="BV546" s="216"/>
      <c r="BW546" s="216"/>
      <c r="BX546" s="216"/>
      <c r="BY546" s="216"/>
      <c r="BZ546" s="216"/>
      <c r="CA546" s="216"/>
      <c r="CB546" s="216"/>
      <c r="CC546" s="216"/>
      <c r="CD546" s="216"/>
      <c r="CE546" s="216"/>
      <c r="CF546" s="216"/>
      <c r="CG546" s="216"/>
      <c r="CH546" s="216"/>
      <c r="CI546" s="216"/>
      <c r="CJ546" s="216"/>
      <c r="CK546" s="216"/>
      <c r="CL546" s="216"/>
      <c r="CM546" s="216"/>
      <c r="CN546" s="216"/>
      <c r="CO546" s="216"/>
      <c r="CP546" s="216"/>
      <c r="CQ546" s="216"/>
      <c r="CR546" s="216"/>
      <c r="CS546" s="216"/>
      <c r="CT546" s="216"/>
      <c r="CU546" s="216"/>
      <c r="CV546" s="216"/>
      <c r="CW546" s="216"/>
      <c r="CX546" s="216"/>
      <c r="CY546" s="216"/>
    </row>
    <row r="547" spans="1:103" ht="12.75" x14ac:dyDescent="0.2">
      <c r="A547" s="214"/>
      <c r="B547" s="214"/>
      <c r="C547" s="214"/>
      <c r="D547" s="214"/>
      <c r="E547" s="214"/>
      <c r="F547" s="214"/>
      <c r="G547" s="214"/>
      <c r="H547" s="214"/>
      <c r="I547" s="214"/>
      <c r="J547" s="214"/>
      <c r="K547" s="214"/>
      <c r="L547" s="214"/>
      <c r="M547" s="214"/>
      <c r="N547" s="215"/>
      <c r="O547" s="215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16"/>
      <c r="AN547" s="216"/>
      <c r="AO547" s="216"/>
      <c r="AP547" s="216"/>
      <c r="AQ547" s="216"/>
      <c r="AR547" s="216"/>
      <c r="AS547" s="216"/>
      <c r="AT547" s="216"/>
      <c r="AU547" s="216"/>
      <c r="AV547" s="216"/>
      <c r="AW547" s="216"/>
      <c r="AX547" s="216"/>
      <c r="AY547" s="216"/>
      <c r="AZ547" s="216"/>
      <c r="BA547" s="216"/>
      <c r="BB547" s="216"/>
      <c r="BC547" s="216"/>
      <c r="BD547" s="216"/>
      <c r="BE547" s="216"/>
      <c r="BF547" s="216"/>
      <c r="BG547" s="216"/>
      <c r="BH547" s="216"/>
      <c r="BI547" s="216"/>
      <c r="BJ547" s="216"/>
      <c r="BK547" s="216"/>
      <c r="BL547" s="216"/>
      <c r="BM547" s="216"/>
      <c r="BN547" s="216"/>
      <c r="BO547" s="216"/>
      <c r="BP547" s="216"/>
      <c r="BQ547" s="216"/>
      <c r="BR547" s="216"/>
      <c r="BS547" s="216"/>
      <c r="BT547" s="216"/>
      <c r="BU547" s="216"/>
      <c r="BV547" s="216"/>
      <c r="BW547" s="216"/>
      <c r="BX547" s="216"/>
      <c r="BY547" s="216"/>
      <c r="BZ547" s="216"/>
      <c r="CA547" s="216"/>
      <c r="CB547" s="216"/>
      <c r="CC547" s="216"/>
      <c r="CD547" s="216"/>
      <c r="CE547" s="216"/>
      <c r="CF547" s="216"/>
      <c r="CG547" s="216"/>
      <c r="CH547" s="216"/>
      <c r="CI547" s="216"/>
      <c r="CJ547" s="216"/>
      <c r="CK547" s="216"/>
      <c r="CL547" s="216"/>
      <c r="CM547" s="216"/>
      <c r="CN547" s="216"/>
      <c r="CO547" s="216"/>
      <c r="CP547" s="216"/>
      <c r="CQ547" s="216"/>
      <c r="CR547" s="216"/>
      <c r="CS547" s="216"/>
      <c r="CT547" s="216"/>
      <c r="CU547" s="216"/>
      <c r="CV547" s="216"/>
      <c r="CW547" s="216"/>
      <c r="CX547" s="216"/>
      <c r="CY547" s="216"/>
    </row>
    <row r="548" spans="1:103" ht="12.75" x14ac:dyDescent="0.2">
      <c r="A548" s="214"/>
      <c r="B548" s="214"/>
      <c r="C548" s="214"/>
      <c r="D548" s="214"/>
      <c r="E548" s="214"/>
      <c r="F548" s="214"/>
      <c r="G548" s="214"/>
      <c r="H548" s="214"/>
      <c r="I548" s="214"/>
      <c r="J548" s="214"/>
      <c r="K548" s="214"/>
      <c r="L548" s="214"/>
      <c r="M548" s="214"/>
      <c r="N548" s="215"/>
      <c r="O548" s="215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16"/>
      <c r="AN548" s="216"/>
      <c r="AO548" s="216"/>
      <c r="AP548" s="216"/>
      <c r="AQ548" s="216"/>
      <c r="AR548" s="216"/>
      <c r="AS548" s="216"/>
      <c r="AT548" s="216"/>
      <c r="AU548" s="216"/>
      <c r="AV548" s="216"/>
      <c r="AW548" s="216"/>
      <c r="AX548" s="216"/>
      <c r="AY548" s="216"/>
      <c r="AZ548" s="216"/>
      <c r="BA548" s="216"/>
      <c r="BB548" s="216"/>
      <c r="BC548" s="216"/>
      <c r="BD548" s="216"/>
      <c r="BE548" s="216"/>
      <c r="BF548" s="216"/>
      <c r="BG548" s="216"/>
      <c r="BH548" s="216"/>
      <c r="BI548" s="216"/>
      <c r="BJ548" s="216"/>
      <c r="BK548" s="216"/>
      <c r="BL548" s="216"/>
      <c r="BM548" s="216"/>
      <c r="BN548" s="216"/>
      <c r="BO548" s="216"/>
      <c r="BP548" s="216"/>
      <c r="BQ548" s="216"/>
      <c r="BR548" s="216"/>
      <c r="BS548" s="216"/>
      <c r="BT548" s="216"/>
      <c r="BU548" s="216"/>
      <c r="BV548" s="216"/>
      <c r="BW548" s="216"/>
      <c r="BX548" s="216"/>
      <c r="BY548" s="216"/>
      <c r="BZ548" s="216"/>
      <c r="CA548" s="216"/>
      <c r="CB548" s="216"/>
      <c r="CC548" s="216"/>
      <c r="CD548" s="216"/>
      <c r="CE548" s="216"/>
      <c r="CF548" s="216"/>
      <c r="CG548" s="216"/>
      <c r="CH548" s="216"/>
      <c r="CI548" s="216"/>
      <c r="CJ548" s="216"/>
      <c r="CK548" s="216"/>
      <c r="CL548" s="216"/>
      <c r="CM548" s="216"/>
      <c r="CN548" s="216"/>
      <c r="CO548" s="216"/>
      <c r="CP548" s="216"/>
      <c r="CQ548" s="216"/>
      <c r="CR548" s="216"/>
      <c r="CS548" s="216"/>
      <c r="CT548" s="216"/>
      <c r="CU548" s="216"/>
      <c r="CV548" s="216"/>
      <c r="CW548" s="216"/>
      <c r="CX548" s="216"/>
      <c r="CY548" s="216"/>
    </row>
    <row r="549" spans="1:103" ht="12.75" x14ac:dyDescent="0.2">
      <c r="A549" s="214"/>
      <c r="B549" s="214"/>
      <c r="C549" s="214"/>
      <c r="D549" s="214"/>
      <c r="E549" s="214"/>
      <c r="F549" s="214"/>
      <c r="G549" s="214"/>
      <c r="H549" s="214"/>
      <c r="I549" s="214"/>
      <c r="J549" s="214"/>
      <c r="K549" s="214"/>
      <c r="L549" s="214"/>
      <c r="M549" s="214"/>
      <c r="N549" s="215"/>
      <c r="O549" s="215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16"/>
      <c r="AN549" s="216"/>
      <c r="AO549" s="216"/>
      <c r="AP549" s="216"/>
      <c r="AQ549" s="216"/>
      <c r="AR549" s="216"/>
      <c r="AS549" s="216"/>
      <c r="AT549" s="216"/>
      <c r="AU549" s="216"/>
      <c r="AV549" s="216"/>
      <c r="AW549" s="216"/>
      <c r="AX549" s="216"/>
      <c r="AY549" s="216"/>
      <c r="AZ549" s="216"/>
      <c r="BA549" s="216"/>
      <c r="BB549" s="216"/>
      <c r="BC549" s="216"/>
      <c r="BD549" s="216"/>
      <c r="BE549" s="216"/>
      <c r="BF549" s="216"/>
      <c r="BG549" s="216"/>
      <c r="BH549" s="216"/>
      <c r="BI549" s="216"/>
      <c r="BJ549" s="216"/>
      <c r="BK549" s="216"/>
      <c r="BL549" s="216"/>
      <c r="BM549" s="216"/>
      <c r="BN549" s="216"/>
      <c r="BO549" s="216"/>
      <c r="BP549" s="216"/>
      <c r="BQ549" s="216"/>
      <c r="BR549" s="216"/>
      <c r="BS549" s="216"/>
      <c r="BT549" s="216"/>
      <c r="BU549" s="216"/>
      <c r="BV549" s="216"/>
      <c r="BW549" s="216"/>
      <c r="BX549" s="216"/>
      <c r="BY549" s="216"/>
      <c r="BZ549" s="216"/>
      <c r="CA549" s="216"/>
      <c r="CB549" s="216"/>
      <c r="CC549" s="216"/>
      <c r="CD549" s="216"/>
      <c r="CE549" s="216"/>
      <c r="CF549" s="216"/>
      <c r="CG549" s="216"/>
      <c r="CH549" s="216"/>
      <c r="CI549" s="216"/>
      <c r="CJ549" s="216"/>
      <c r="CK549" s="216"/>
      <c r="CL549" s="216"/>
      <c r="CM549" s="216"/>
      <c r="CN549" s="216"/>
      <c r="CO549" s="216"/>
      <c r="CP549" s="216"/>
      <c r="CQ549" s="216"/>
      <c r="CR549" s="216"/>
      <c r="CS549" s="216"/>
      <c r="CT549" s="216"/>
      <c r="CU549" s="216"/>
      <c r="CV549" s="216"/>
      <c r="CW549" s="216"/>
      <c r="CX549" s="216"/>
      <c r="CY549" s="216"/>
    </row>
    <row r="550" spans="1:103" ht="12.75" x14ac:dyDescent="0.2">
      <c r="A550" s="214"/>
      <c r="B550" s="214"/>
      <c r="C550" s="214"/>
      <c r="D550" s="214"/>
      <c r="E550" s="214"/>
      <c r="F550" s="214"/>
      <c r="G550" s="214"/>
      <c r="H550" s="214"/>
      <c r="I550" s="214"/>
      <c r="J550" s="214"/>
      <c r="K550" s="214"/>
      <c r="L550" s="214"/>
      <c r="M550" s="214"/>
      <c r="N550" s="215"/>
      <c r="O550" s="215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16"/>
      <c r="AN550" s="216"/>
      <c r="AO550" s="216"/>
      <c r="AP550" s="216"/>
      <c r="AQ550" s="216"/>
      <c r="AR550" s="216"/>
      <c r="AS550" s="216"/>
      <c r="AT550" s="216"/>
      <c r="AU550" s="216"/>
      <c r="AV550" s="216"/>
      <c r="AW550" s="216"/>
      <c r="AX550" s="216"/>
      <c r="AY550" s="216"/>
      <c r="AZ550" s="216"/>
      <c r="BA550" s="216"/>
      <c r="BB550" s="216"/>
      <c r="BC550" s="216"/>
      <c r="BD550" s="216"/>
      <c r="BE550" s="216"/>
      <c r="BF550" s="216"/>
      <c r="BG550" s="216"/>
      <c r="BH550" s="216"/>
      <c r="BI550" s="216"/>
      <c r="BJ550" s="216"/>
      <c r="BK550" s="216"/>
      <c r="BL550" s="216"/>
      <c r="BM550" s="216"/>
      <c r="BN550" s="216"/>
      <c r="BO550" s="216"/>
      <c r="BP550" s="216"/>
      <c r="BQ550" s="216"/>
      <c r="BR550" s="216"/>
      <c r="BS550" s="216"/>
      <c r="BT550" s="216"/>
      <c r="BU550" s="216"/>
      <c r="BV550" s="216"/>
      <c r="BW550" s="216"/>
      <c r="BX550" s="216"/>
      <c r="BY550" s="216"/>
      <c r="BZ550" s="216"/>
      <c r="CA550" s="216"/>
      <c r="CB550" s="216"/>
      <c r="CC550" s="216"/>
      <c r="CD550" s="216"/>
      <c r="CE550" s="216"/>
      <c r="CF550" s="216"/>
      <c r="CG550" s="216"/>
      <c r="CH550" s="216"/>
      <c r="CI550" s="216"/>
      <c r="CJ550" s="216"/>
      <c r="CK550" s="216"/>
      <c r="CL550" s="216"/>
      <c r="CM550" s="216"/>
      <c r="CN550" s="216"/>
      <c r="CO550" s="216"/>
      <c r="CP550" s="216"/>
      <c r="CQ550" s="216"/>
      <c r="CR550" s="216"/>
      <c r="CS550" s="216"/>
      <c r="CT550" s="216"/>
      <c r="CU550" s="216"/>
      <c r="CV550" s="216"/>
      <c r="CW550" s="216"/>
      <c r="CX550" s="216"/>
      <c r="CY550" s="216"/>
    </row>
    <row r="551" spans="1:103" ht="12.75" x14ac:dyDescent="0.2">
      <c r="A551" s="214"/>
      <c r="B551" s="214"/>
      <c r="C551" s="214"/>
      <c r="D551" s="214"/>
      <c r="E551" s="214"/>
      <c r="F551" s="214"/>
      <c r="G551" s="214"/>
      <c r="H551" s="214"/>
      <c r="I551" s="214"/>
      <c r="J551" s="214"/>
      <c r="K551" s="214"/>
      <c r="L551" s="214"/>
      <c r="M551" s="214"/>
      <c r="N551" s="215"/>
      <c r="O551" s="215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16"/>
      <c r="AN551" s="216"/>
      <c r="AO551" s="216"/>
      <c r="AP551" s="216"/>
      <c r="AQ551" s="216"/>
      <c r="AR551" s="216"/>
      <c r="AS551" s="216"/>
      <c r="AT551" s="216"/>
      <c r="AU551" s="216"/>
      <c r="AV551" s="216"/>
      <c r="AW551" s="216"/>
      <c r="AX551" s="216"/>
      <c r="AY551" s="216"/>
      <c r="AZ551" s="216"/>
      <c r="BA551" s="216"/>
      <c r="BB551" s="216"/>
      <c r="BC551" s="216"/>
      <c r="BD551" s="216"/>
      <c r="BE551" s="216"/>
      <c r="BF551" s="216"/>
      <c r="BG551" s="216"/>
      <c r="BH551" s="216"/>
      <c r="BI551" s="216"/>
      <c r="BJ551" s="216"/>
      <c r="BK551" s="216"/>
      <c r="BL551" s="216"/>
      <c r="BM551" s="216"/>
      <c r="BN551" s="216"/>
      <c r="BO551" s="216"/>
      <c r="BP551" s="216"/>
      <c r="BQ551" s="216"/>
      <c r="BR551" s="216"/>
      <c r="BS551" s="216"/>
      <c r="BT551" s="216"/>
      <c r="BU551" s="216"/>
      <c r="BV551" s="216"/>
      <c r="BW551" s="216"/>
      <c r="BX551" s="216"/>
      <c r="BY551" s="216"/>
      <c r="BZ551" s="216"/>
      <c r="CA551" s="216"/>
      <c r="CB551" s="216"/>
      <c r="CC551" s="216"/>
      <c r="CD551" s="216"/>
      <c r="CE551" s="216"/>
      <c r="CF551" s="216"/>
      <c r="CG551" s="216"/>
      <c r="CH551" s="216"/>
      <c r="CI551" s="216"/>
      <c r="CJ551" s="216"/>
      <c r="CK551" s="216"/>
      <c r="CL551" s="216"/>
      <c r="CM551" s="216"/>
      <c r="CN551" s="216"/>
      <c r="CO551" s="216"/>
      <c r="CP551" s="216"/>
      <c r="CQ551" s="216"/>
      <c r="CR551" s="216"/>
      <c r="CS551" s="216"/>
      <c r="CT551" s="216"/>
      <c r="CU551" s="216"/>
      <c r="CV551" s="216"/>
      <c r="CW551" s="216"/>
      <c r="CX551" s="216"/>
      <c r="CY551" s="216"/>
    </row>
    <row r="552" spans="1:103" ht="12.75" x14ac:dyDescent="0.2">
      <c r="A552" s="214"/>
      <c r="B552" s="214"/>
      <c r="C552" s="214"/>
      <c r="D552" s="214"/>
      <c r="E552" s="214"/>
      <c r="F552" s="214"/>
      <c r="G552" s="214"/>
      <c r="H552" s="214"/>
      <c r="I552" s="214"/>
      <c r="J552" s="214"/>
      <c r="K552" s="214"/>
      <c r="L552" s="214"/>
      <c r="M552" s="214"/>
      <c r="N552" s="215"/>
      <c r="O552" s="215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16"/>
      <c r="AN552" s="216"/>
      <c r="AO552" s="216"/>
      <c r="AP552" s="216"/>
      <c r="AQ552" s="216"/>
      <c r="AR552" s="216"/>
      <c r="AS552" s="216"/>
      <c r="AT552" s="216"/>
      <c r="AU552" s="216"/>
      <c r="AV552" s="216"/>
      <c r="AW552" s="216"/>
      <c r="AX552" s="216"/>
      <c r="AY552" s="216"/>
      <c r="AZ552" s="216"/>
      <c r="BA552" s="216"/>
      <c r="BB552" s="216"/>
      <c r="BC552" s="216"/>
      <c r="BD552" s="216"/>
      <c r="BE552" s="216"/>
      <c r="BF552" s="216"/>
      <c r="BG552" s="216"/>
      <c r="BH552" s="216"/>
      <c r="BI552" s="216"/>
      <c r="BJ552" s="216"/>
      <c r="BK552" s="216"/>
      <c r="BL552" s="216"/>
      <c r="BM552" s="216"/>
      <c r="BN552" s="216"/>
      <c r="BO552" s="216"/>
      <c r="BP552" s="216"/>
      <c r="BQ552" s="216"/>
      <c r="BR552" s="216"/>
      <c r="BS552" s="216"/>
      <c r="BT552" s="216"/>
      <c r="BU552" s="216"/>
      <c r="BV552" s="216"/>
      <c r="BW552" s="216"/>
      <c r="BX552" s="216"/>
      <c r="BY552" s="216"/>
      <c r="BZ552" s="216"/>
      <c r="CA552" s="216"/>
      <c r="CB552" s="216"/>
      <c r="CC552" s="216"/>
      <c r="CD552" s="216"/>
      <c r="CE552" s="216"/>
      <c r="CF552" s="216"/>
      <c r="CG552" s="216"/>
      <c r="CH552" s="216"/>
      <c r="CI552" s="216"/>
      <c r="CJ552" s="216"/>
      <c r="CK552" s="216"/>
      <c r="CL552" s="216"/>
      <c r="CM552" s="216"/>
      <c r="CN552" s="216"/>
      <c r="CO552" s="216"/>
      <c r="CP552" s="216"/>
      <c r="CQ552" s="216"/>
      <c r="CR552" s="216"/>
      <c r="CS552" s="216"/>
      <c r="CT552" s="216"/>
      <c r="CU552" s="216"/>
      <c r="CV552" s="216"/>
      <c r="CW552" s="216"/>
      <c r="CX552" s="216"/>
      <c r="CY552" s="216"/>
    </row>
    <row r="553" spans="1:103" ht="12.75" x14ac:dyDescent="0.2">
      <c r="A553" s="214"/>
      <c r="B553" s="214"/>
      <c r="C553" s="214"/>
      <c r="D553" s="214"/>
      <c r="E553" s="214"/>
      <c r="F553" s="214"/>
      <c r="G553" s="214"/>
      <c r="H553" s="214"/>
      <c r="I553" s="214"/>
      <c r="J553" s="214"/>
      <c r="K553" s="214"/>
      <c r="L553" s="214"/>
      <c r="M553" s="214"/>
      <c r="N553" s="215"/>
      <c r="O553" s="215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16"/>
      <c r="AN553" s="216"/>
      <c r="AO553" s="216"/>
      <c r="AP553" s="216"/>
      <c r="AQ553" s="216"/>
      <c r="AR553" s="216"/>
      <c r="AS553" s="216"/>
      <c r="AT553" s="216"/>
      <c r="AU553" s="216"/>
      <c r="AV553" s="216"/>
      <c r="AW553" s="216"/>
      <c r="AX553" s="216"/>
      <c r="AY553" s="216"/>
      <c r="AZ553" s="216"/>
      <c r="BA553" s="216"/>
      <c r="BB553" s="216"/>
      <c r="BC553" s="216"/>
      <c r="BD553" s="216"/>
      <c r="BE553" s="216"/>
      <c r="BF553" s="216"/>
      <c r="BG553" s="216"/>
      <c r="BH553" s="216"/>
      <c r="BI553" s="216"/>
      <c r="BJ553" s="216"/>
      <c r="BK553" s="216"/>
      <c r="BL553" s="216"/>
      <c r="BM553" s="216"/>
      <c r="BN553" s="216"/>
      <c r="BO553" s="216"/>
      <c r="BP553" s="216"/>
      <c r="BQ553" s="216"/>
      <c r="BR553" s="216"/>
      <c r="BS553" s="216"/>
      <c r="BT553" s="216"/>
      <c r="BU553" s="216"/>
      <c r="BV553" s="216"/>
      <c r="BW553" s="216"/>
      <c r="BX553" s="216"/>
      <c r="BY553" s="216"/>
      <c r="BZ553" s="216"/>
      <c r="CA553" s="216"/>
      <c r="CB553" s="216"/>
      <c r="CC553" s="216"/>
      <c r="CD553" s="216"/>
      <c r="CE553" s="216"/>
      <c r="CF553" s="216"/>
      <c r="CG553" s="216"/>
      <c r="CH553" s="216"/>
      <c r="CI553" s="216"/>
      <c r="CJ553" s="216"/>
      <c r="CK553" s="216"/>
      <c r="CL553" s="216"/>
      <c r="CM553" s="216"/>
      <c r="CN553" s="216"/>
      <c r="CO553" s="216"/>
      <c r="CP553" s="216"/>
      <c r="CQ553" s="216"/>
      <c r="CR553" s="216"/>
      <c r="CS553" s="216"/>
      <c r="CT553" s="216"/>
      <c r="CU553" s="216"/>
      <c r="CV553" s="216"/>
      <c r="CW553" s="216"/>
      <c r="CX553" s="216"/>
      <c r="CY553" s="216"/>
    </row>
    <row r="554" spans="1:103" ht="12.75" x14ac:dyDescent="0.2">
      <c r="A554" s="214"/>
      <c r="B554" s="214"/>
      <c r="C554" s="214"/>
      <c r="D554" s="214"/>
      <c r="E554" s="214"/>
      <c r="F554" s="214"/>
      <c r="G554" s="214"/>
      <c r="H554" s="214"/>
      <c r="I554" s="214"/>
      <c r="J554" s="214"/>
      <c r="K554" s="214"/>
      <c r="L554" s="214"/>
      <c r="M554" s="214"/>
      <c r="N554" s="215"/>
      <c r="O554" s="215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16"/>
      <c r="AN554" s="216"/>
      <c r="AO554" s="216"/>
      <c r="AP554" s="216"/>
      <c r="AQ554" s="216"/>
      <c r="AR554" s="216"/>
      <c r="AS554" s="216"/>
      <c r="AT554" s="216"/>
      <c r="AU554" s="216"/>
      <c r="AV554" s="216"/>
      <c r="AW554" s="216"/>
      <c r="AX554" s="216"/>
      <c r="AY554" s="216"/>
      <c r="AZ554" s="216"/>
      <c r="BA554" s="216"/>
      <c r="BB554" s="216"/>
      <c r="BC554" s="216"/>
      <c r="BD554" s="216"/>
      <c r="BE554" s="216"/>
      <c r="BF554" s="216"/>
      <c r="BG554" s="216"/>
      <c r="BH554" s="216"/>
      <c r="BI554" s="216"/>
      <c r="BJ554" s="216"/>
      <c r="BK554" s="216"/>
      <c r="BL554" s="216"/>
      <c r="BM554" s="216"/>
      <c r="BN554" s="216"/>
      <c r="BO554" s="216"/>
      <c r="BP554" s="216"/>
      <c r="BQ554" s="216"/>
      <c r="BR554" s="216"/>
      <c r="BS554" s="216"/>
      <c r="BT554" s="216"/>
      <c r="BU554" s="216"/>
      <c r="BV554" s="216"/>
      <c r="BW554" s="216"/>
      <c r="BX554" s="216"/>
      <c r="BY554" s="216"/>
      <c r="BZ554" s="216"/>
      <c r="CA554" s="216"/>
      <c r="CB554" s="216"/>
      <c r="CC554" s="216"/>
      <c r="CD554" s="216"/>
      <c r="CE554" s="216"/>
      <c r="CF554" s="216"/>
      <c r="CG554" s="216"/>
      <c r="CH554" s="216"/>
      <c r="CI554" s="216"/>
      <c r="CJ554" s="216"/>
      <c r="CK554" s="216"/>
      <c r="CL554" s="216"/>
      <c r="CM554" s="216"/>
      <c r="CN554" s="216"/>
      <c r="CO554" s="216"/>
      <c r="CP554" s="216"/>
      <c r="CQ554" s="216"/>
      <c r="CR554" s="216"/>
      <c r="CS554" s="216"/>
      <c r="CT554" s="216"/>
      <c r="CU554" s="216"/>
      <c r="CV554" s="216"/>
      <c r="CW554" s="216"/>
      <c r="CX554" s="216"/>
      <c r="CY554" s="216"/>
    </row>
    <row r="555" spans="1:103" ht="12.75" x14ac:dyDescent="0.2">
      <c r="A555" s="214"/>
      <c r="B555" s="214"/>
      <c r="C555" s="214"/>
      <c r="D555" s="214"/>
      <c r="E555" s="214"/>
      <c r="F555" s="214"/>
      <c r="G555" s="214"/>
      <c r="H555" s="214"/>
      <c r="I555" s="214"/>
      <c r="J555" s="214"/>
      <c r="K555" s="214"/>
      <c r="L555" s="214"/>
      <c r="M555" s="214"/>
      <c r="N555" s="215"/>
      <c r="O555" s="215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16"/>
      <c r="AN555" s="216"/>
      <c r="AO555" s="216"/>
      <c r="AP555" s="216"/>
      <c r="AQ555" s="216"/>
      <c r="AR555" s="216"/>
      <c r="AS555" s="216"/>
      <c r="AT555" s="216"/>
      <c r="AU555" s="216"/>
      <c r="AV555" s="216"/>
      <c r="AW555" s="216"/>
      <c r="AX555" s="216"/>
      <c r="AY555" s="216"/>
      <c r="AZ555" s="216"/>
      <c r="BA555" s="216"/>
      <c r="BB555" s="216"/>
      <c r="BC555" s="216"/>
      <c r="BD555" s="216"/>
      <c r="BE555" s="216"/>
      <c r="BF555" s="216"/>
      <c r="BG555" s="216"/>
      <c r="BH555" s="216"/>
      <c r="BI555" s="216"/>
      <c r="BJ555" s="216"/>
      <c r="BK555" s="216"/>
      <c r="BL555" s="216"/>
      <c r="BM555" s="216"/>
      <c r="BN555" s="216"/>
      <c r="BO555" s="216"/>
      <c r="BP555" s="216"/>
      <c r="BQ555" s="216"/>
      <c r="BR555" s="216"/>
      <c r="BS555" s="216"/>
      <c r="BT555" s="216"/>
      <c r="BU555" s="216"/>
      <c r="BV555" s="216"/>
      <c r="BW555" s="216"/>
      <c r="BX555" s="216"/>
      <c r="BY555" s="216"/>
      <c r="BZ555" s="216"/>
      <c r="CA555" s="216"/>
      <c r="CB555" s="216"/>
      <c r="CC555" s="216"/>
      <c r="CD555" s="216"/>
      <c r="CE555" s="216"/>
      <c r="CF555" s="216"/>
      <c r="CG555" s="216"/>
      <c r="CH555" s="216"/>
      <c r="CI555" s="216"/>
      <c r="CJ555" s="216"/>
      <c r="CK555" s="216"/>
      <c r="CL555" s="216"/>
      <c r="CM555" s="216"/>
      <c r="CN555" s="216"/>
      <c r="CO555" s="216"/>
      <c r="CP555" s="216"/>
      <c r="CQ555" s="216"/>
      <c r="CR555" s="216"/>
      <c r="CS555" s="216"/>
      <c r="CT555" s="216"/>
      <c r="CU555" s="216"/>
      <c r="CV555" s="216"/>
      <c r="CW555" s="216"/>
      <c r="CX555" s="216"/>
      <c r="CY555" s="216"/>
    </row>
    <row r="556" spans="1:103" ht="12.75" x14ac:dyDescent="0.2">
      <c r="A556" s="214"/>
      <c r="B556" s="214"/>
      <c r="C556" s="214"/>
      <c r="D556" s="214"/>
      <c r="E556" s="214"/>
      <c r="F556" s="214"/>
      <c r="G556" s="214"/>
      <c r="H556" s="214"/>
      <c r="I556" s="214"/>
      <c r="J556" s="214"/>
      <c r="K556" s="214"/>
      <c r="L556" s="214"/>
      <c r="M556" s="214"/>
      <c r="N556" s="215"/>
      <c r="O556" s="215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16"/>
      <c r="AN556" s="216"/>
      <c r="AO556" s="216"/>
      <c r="AP556" s="216"/>
      <c r="AQ556" s="216"/>
      <c r="AR556" s="216"/>
      <c r="AS556" s="216"/>
      <c r="AT556" s="216"/>
      <c r="AU556" s="216"/>
      <c r="AV556" s="216"/>
      <c r="AW556" s="216"/>
      <c r="AX556" s="216"/>
      <c r="AY556" s="216"/>
      <c r="AZ556" s="216"/>
      <c r="BA556" s="216"/>
      <c r="BB556" s="216"/>
      <c r="BC556" s="216"/>
      <c r="BD556" s="216"/>
      <c r="BE556" s="216"/>
      <c r="BF556" s="216"/>
      <c r="BG556" s="216"/>
      <c r="BH556" s="216"/>
      <c r="BI556" s="216"/>
      <c r="BJ556" s="216"/>
      <c r="BK556" s="216"/>
      <c r="BL556" s="216"/>
      <c r="BM556" s="216"/>
      <c r="BN556" s="216"/>
      <c r="BO556" s="216"/>
      <c r="BP556" s="216"/>
      <c r="BQ556" s="216"/>
      <c r="BR556" s="216"/>
      <c r="BS556" s="216"/>
      <c r="BT556" s="216"/>
      <c r="BU556" s="216"/>
      <c r="BV556" s="216"/>
      <c r="BW556" s="216"/>
      <c r="BX556" s="216"/>
      <c r="BY556" s="216"/>
      <c r="BZ556" s="216"/>
      <c r="CA556" s="216"/>
      <c r="CB556" s="216"/>
      <c r="CC556" s="216"/>
      <c r="CD556" s="216"/>
      <c r="CE556" s="216"/>
      <c r="CF556" s="216"/>
      <c r="CG556" s="216"/>
      <c r="CH556" s="216"/>
      <c r="CI556" s="216"/>
      <c r="CJ556" s="216"/>
      <c r="CK556" s="216"/>
      <c r="CL556" s="216"/>
      <c r="CM556" s="216"/>
      <c r="CN556" s="216"/>
      <c r="CO556" s="216"/>
      <c r="CP556" s="216"/>
      <c r="CQ556" s="216"/>
      <c r="CR556" s="216"/>
      <c r="CS556" s="216"/>
      <c r="CT556" s="216"/>
      <c r="CU556" s="216"/>
      <c r="CV556" s="216"/>
      <c r="CW556" s="216"/>
      <c r="CX556" s="216"/>
      <c r="CY556" s="216"/>
    </row>
    <row r="557" spans="1:103" ht="12.75" x14ac:dyDescent="0.2">
      <c r="A557" s="214"/>
      <c r="B557" s="214"/>
      <c r="C557" s="214"/>
      <c r="D557" s="214"/>
      <c r="E557" s="214"/>
      <c r="F557" s="214"/>
      <c r="G557" s="214"/>
      <c r="H557" s="214"/>
      <c r="I557" s="214"/>
      <c r="J557" s="214"/>
      <c r="K557" s="214"/>
      <c r="L557" s="214"/>
      <c r="M557" s="214"/>
      <c r="N557" s="215"/>
      <c r="O557" s="215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16"/>
      <c r="AN557" s="216"/>
      <c r="AO557" s="216"/>
      <c r="AP557" s="216"/>
      <c r="AQ557" s="216"/>
      <c r="AR557" s="216"/>
      <c r="AS557" s="216"/>
      <c r="AT557" s="216"/>
      <c r="AU557" s="216"/>
      <c r="AV557" s="216"/>
      <c r="AW557" s="216"/>
      <c r="AX557" s="216"/>
      <c r="AY557" s="216"/>
      <c r="AZ557" s="216"/>
      <c r="BA557" s="216"/>
      <c r="BB557" s="216"/>
      <c r="BC557" s="216"/>
      <c r="BD557" s="216"/>
      <c r="BE557" s="216"/>
      <c r="BF557" s="216"/>
      <c r="BG557" s="216"/>
      <c r="BH557" s="216"/>
      <c r="BI557" s="216"/>
      <c r="BJ557" s="216"/>
      <c r="BK557" s="216"/>
      <c r="BL557" s="216"/>
      <c r="BM557" s="216"/>
      <c r="BN557" s="216"/>
      <c r="BO557" s="216"/>
      <c r="BP557" s="216"/>
      <c r="BQ557" s="216"/>
      <c r="BR557" s="216"/>
      <c r="BS557" s="216"/>
      <c r="BT557" s="216"/>
      <c r="BU557" s="216"/>
      <c r="BV557" s="216"/>
      <c r="BW557" s="216"/>
      <c r="BX557" s="216"/>
      <c r="BY557" s="216"/>
      <c r="BZ557" s="216"/>
      <c r="CA557" s="216"/>
      <c r="CB557" s="216"/>
      <c r="CC557" s="216"/>
      <c r="CD557" s="216"/>
      <c r="CE557" s="216"/>
      <c r="CF557" s="216"/>
      <c r="CG557" s="216"/>
      <c r="CH557" s="216"/>
      <c r="CI557" s="216"/>
      <c r="CJ557" s="216"/>
      <c r="CK557" s="216"/>
      <c r="CL557" s="216"/>
      <c r="CM557" s="216"/>
      <c r="CN557" s="216"/>
      <c r="CO557" s="216"/>
      <c r="CP557" s="216"/>
      <c r="CQ557" s="216"/>
      <c r="CR557" s="216"/>
      <c r="CS557" s="216"/>
      <c r="CT557" s="216"/>
      <c r="CU557" s="216"/>
      <c r="CV557" s="216"/>
      <c r="CW557" s="216"/>
      <c r="CX557" s="216"/>
      <c r="CY557" s="216"/>
    </row>
    <row r="558" spans="1:103" ht="12.75" x14ac:dyDescent="0.2">
      <c r="A558" s="214"/>
      <c r="B558" s="214"/>
      <c r="C558" s="214"/>
      <c r="D558" s="214"/>
      <c r="E558" s="214"/>
      <c r="F558" s="214"/>
      <c r="G558" s="214"/>
      <c r="H558" s="214"/>
      <c r="I558" s="214"/>
      <c r="J558" s="214"/>
      <c r="K558" s="214"/>
      <c r="L558" s="214"/>
      <c r="M558" s="214"/>
      <c r="N558" s="215"/>
      <c r="O558" s="215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16"/>
      <c r="AN558" s="216"/>
      <c r="AO558" s="216"/>
      <c r="AP558" s="216"/>
      <c r="AQ558" s="216"/>
      <c r="AR558" s="216"/>
      <c r="AS558" s="216"/>
      <c r="AT558" s="216"/>
      <c r="AU558" s="216"/>
      <c r="AV558" s="216"/>
      <c r="AW558" s="216"/>
      <c r="AX558" s="216"/>
      <c r="AY558" s="216"/>
      <c r="AZ558" s="216"/>
      <c r="BA558" s="216"/>
      <c r="BB558" s="216"/>
      <c r="BC558" s="216"/>
      <c r="BD558" s="216"/>
      <c r="BE558" s="216"/>
      <c r="BF558" s="216"/>
      <c r="BG558" s="216"/>
      <c r="BH558" s="216"/>
      <c r="BI558" s="216"/>
      <c r="BJ558" s="216"/>
      <c r="BK558" s="216"/>
      <c r="BL558" s="216"/>
      <c r="BM558" s="216"/>
      <c r="BN558" s="216"/>
      <c r="BO558" s="216"/>
      <c r="BP558" s="216"/>
      <c r="BQ558" s="216"/>
      <c r="BR558" s="216"/>
      <c r="BS558" s="216"/>
      <c r="BT558" s="216"/>
      <c r="BU558" s="216"/>
      <c r="BV558" s="216"/>
      <c r="BW558" s="216"/>
      <c r="BX558" s="216"/>
      <c r="BY558" s="216"/>
      <c r="BZ558" s="216"/>
      <c r="CA558" s="216"/>
      <c r="CB558" s="216"/>
      <c r="CC558" s="216"/>
      <c r="CD558" s="216"/>
      <c r="CE558" s="216"/>
      <c r="CF558" s="216"/>
      <c r="CG558" s="216"/>
      <c r="CH558" s="216"/>
      <c r="CI558" s="216"/>
      <c r="CJ558" s="216"/>
      <c r="CK558" s="216"/>
      <c r="CL558" s="216"/>
      <c r="CM558" s="216"/>
      <c r="CN558" s="216"/>
      <c r="CO558" s="216"/>
      <c r="CP558" s="216"/>
      <c r="CQ558" s="216"/>
      <c r="CR558" s="216"/>
      <c r="CS558" s="216"/>
      <c r="CT558" s="216"/>
      <c r="CU558" s="216"/>
      <c r="CV558" s="216"/>
      <c r="CW558" s="216"/>
      <c r="CX558" s="216"/>
      <c r="CY558" s="216"/>
    </row>
    <row r="559" spans="1:103" ht="12.75" x14ac:dyDescent="0.2">
      <c r="A559" s="214"/>
      <c r="B559" s="214"/>
      <c r="C559" s="214"/>
      <c r="D559" s="214"/>
      <c r="E559" s="214"/>
      <c r="F559" s="214"/>
      <c r="G559" s="214"/>
      <c r="H559" s="214"/>
      <c r="I559" s="214"/>
      <c r="J559" s="214"/>
      <c r="K559" s="214"/>
      <c r="L559" s="214"/>
      <c r="M559" s="214"/>
      <c r="N559" s="215"/>
      <c r="O559" s="215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16"/>
      <c r="AN559" s="216"/>
      <c r="AO559" s="216"/>
      <c r="AP559" s="216"/>
      <c r="AQ559" s="216"/>
      <c r="AR559" s="216"/>
      <c r="AS559" s="216"/>
      <c r="AT559" s="216"/>
      <c r="AU559" s="216"/>
      <c r="AV559" s="216"/>
      <c r="AW559" s="216"/>
      <c r="AX559" s="216"/>
      <c r="AY559" s="216"/>
      <c r="AZ559" s="216"/>
      <c r="BA559" s="216"/>
      <c r="BB559" s="216"/>
      <c r="BC559" s="216"/>
      <c r="BD559" s="216"/>
      <c r="BE559" s="216"/>
      <c r="BF559" s="216"/>
      <c r="BG559" s="216"/>
      <c r="BH559" s="216"/>
      <c r="BI559" s="216"/>
      <c r="BJ559" s="216"/>
      <c r="BK559" s="216"/>
      <c r="BL559" s="216"/>
      <c r="BM559" s="216"/>
      <c r="BN559" s="216"/>
      <c r="BO559" s="216"/>
      <c r="BP559" s="216"/>
      <c r="BQ559" s="216"/>
      <c r="BR559" s="216"/>
      <c r="BS559" s="216"/>
      <c r="BT559" s="216"/>
      <c r="BU559" s="216"/>
      <c r="BV559" s="216"/>
      <c r="BW559" s="216"/>
      <c r="BX559" s="216"/>
      <c r="BY559" s="216"/>
      <c r="BZ559" s="216"/>
      <c r="CA559" s="216"/>
      <c r="CB559" s="216"/>
      <c r="CC559" s="216"/>
      <c r="CD559" s="216"/>
      <c r="CE559" s="216"/>
      <c r="CF559" s="216"/>
      <c r="CG559" s="216"/>
      <c r="CH559" s="216"/>
      <c r="CI559" s="216"/>
      <c r="CJ559" s="216"/>
      <c r="CK559" s="216"/>
      <c r="CL559" s="216"/>
      <c r="CM559" s="216"/>
      <c r="CN559" s="216"/>
      <c r="CO559" s="216"/>
      <c r="CP559" s="216"/>
      <c r="CQ559" s="216"/>
      <c r="CR559" s="216"/>
      <c r="CS559" s="216"/>
      <c r="CT559" s="216"/>
      <c r="CU559" s="216"/>
      <c r="CV559" s="216"/>
      <c r="CW559" s="216"/>
      <c r="CX559" s="216"/>
      <c r="CY559" s="216"/>
    </row>
    <row r="560" spans="1:103" ht="12.75" x14ac:dyDescent="0.2">
      <c r="A560" s="214"/>
      <c r="B560" s="214"/>
      <c r="C560" s="214"/>
      <c r="D560" s="214"/>
      <c r="E560" s="214"/>
      <c r="F560" s="214"/>
      <c r="G560" s="214"/>
      <c r="H560" s="214"/>
      <c r="I560" s="214"/>
      <c r="J560" s="214"/>
      <c r="K560" s="214"/>
      <c r="L560" s="214"/>
      <c r="M560" s="214"/>
      <c r="N560" s="215"/>
      <c r="O560" s="215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16"/>
      <c r="AN560" s="216"/>
      <c r="AO560" s="216"/>
      <c r="AP560" s="216"/>
      <c r="AQ560" s="216"/>
      <c r="AR560" s="216"/>
      <c r="AS560" s="216"/>
      <c r="AT560" s="216"/>
      <c r="AU560" s="216"/>
      <c r="AV560" s="216"/>
      <c r="AW560" s="216"/>
      <c r="AX560" s="216"/>
      <c r="AY560" s="216"/>
      <c r="AZ560" s="216"/>
      <c r="BA560" s="216"/>
      <c r="BB560" s="216"/>
      <c r="BC560" s="216"/>
      <c r="BD560" s="216"/>
      <c r="BE560" s="216"/>
      <c r="BF560" s="216"/>
      <c r="BG560" s="216"/>
      <c r="BH560" s="216"/>
      <c r="BI560" s="216"/>
      <c r="BJ560" s="216"/>
      <c r="BK560" s="216"/>
      <c r="BL560" s="216"/>
      <c r="BM560" s="216"/>
      <c r="BN560" s="216"/>
      <c r="BO560" s="216"/>
      <c r="BP560" s="216"/>
      <c r="BQ560" s="216"/>
      <c r="BR560" s="216"/>
      <c r="BS560" s="216"/>
      <c r="BT560" s="216"/>
      <c r="BU560" s="216"/>
      <c r="BV560" s="216"/>
      <c r="BW560" s="216"/>
      <c r="BX560" s="216"/>
      <c r="BY560" s="216"/>
      <c r="BZ560" s="216"/>
      <c r="CA560" s="216"/>
      <c r="CB560" s="216"/>
      <c r="CC560" s="216"/>
      <c r="CD560" s="216"/>
      <c r="CE560" s="216"/>
      <c r="CF560" s="216"/>
      <c r="CG560" s="216"/>
      <c r="CH560" s="216"/>
      <c r="CI560" s="216"/>
      <c r="CJ560" s="216"/>
      <c r="CK560" s="216"/>
      <c r="CL560" s="216"/>
      <c r="CM560" s="216"/>
      <c r="CN560" s="216"/>
      <c r="CO560" s="216"/>
      <c r="CP560" s="216"/>
      <c r="CQ560" s="216"/>
      <c r="CR560" s="216"/>
      <c r="CS560" s="216"/>
      <c r="CT560" s="216"/>
      <c r="CU560" s="216"/>
      <c r="CV560" s="216"/>
      <c r="CW560" s="216"/>
      <c r="CX560" s="216"/>
      <c r="CY560" s="216"/>
    </row>
    <row r="561" spans="1:103" ht="12.75" x14ac:dyDescent="0.2">
      <c r="A561" s="214"/>
      <c r="B561" s="214"/>
      <c r="C561" s="214"/>
      <c r="D561" s="214"/>
      <c r="E561" s="214"/>
      <c r="F561" s="214"/>
      <c r="G561" s="214"/>
      <c r="H561" s="214"/>
      <c r="I561" s="214"/>
      <c r="J561" s="214"/>
      <c r="K561" s="214"/>
      <c r="L561" s="214"/>
      <c r="M561" s="214"/>
      <c r="N561" s="215"/>
      <c r="O561" s="215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16"/>
      <c r="AN561" s="216"/>
      <c r="AO561" s="216"/>
      <c r="AP561" s="216"/>
      <c r="AQ561" s="216"/>
      <c r="AR561" s="216"/>
      <c r="AS561" s="216"/>
      <c r="AT561" s="216"/>
      <c r="AU561" s="216"/>
      <c r="AV561" s="216"/>
      <c r="AW561" s="216"/>
      <c r="AX561" s="216"/>
      <c r="AY561" s="216"/>
      <c r="AZ561" s="216"/>
      <c r="BA561" s="216"/>
      <c r="BB561" s="216"/>
      <c r="BC561" s="216"/>
      <c r="BD561" s="216"/>
      <c r="BE561" s="216"/>
      <c r="BF561" s="216"/>
      <c r="BG561" s="216"/>
      <c r="BH561" s="216"/>
      <c r="BI561" s="216"/>
      <c r="BJ561" s="216"/>
      <c r="BK561" s="216"/>
      <c r="BL561" s="216"/>
      <c r="BM561" s="216"/>
      <c r="BN561" s="216"/>
      <c r="BO561" s="216"/>
      <c r="BP561" s="216"/>
      <c r="BQ561" s="216"/>
      <c r="BR561" s="216"/>
      <c r="BS561" s="216"/>
      <c r="BT561" s="216"/>
      <c r="BU561" s="216"/>
      <c r="BV561" s="216"/>
      <c r="BW561" s="216"/>
      <c r="BX561" s="216"/>
      <c r="BY561" s="216"/>
      <c r="BZ561" s="216"/>
      <c r="CA561" s="216"/>
      <c r="CB561" s="216"/>
      <c r="CC561" s="216"/>
      <c r="CD561" s="216"/>
      <c r="CE561" s="216"/>
      <c r="CF561" s="216"/>
      <c r="CG561" s="216"/>
      <c r="CH561" s="216"/>
      <c r="CI561" s="216"/>
      <c r="CJ561" s="216"/>
      <c r="CK561" s="216"/>
      <c r="CL561" s="216"/>
      <c r="CM561" s="216"/>
      <c r="CN561" s="216"/>
      <c r="CO561" s="216"/>
      <c r="CP561" s="216"/>
      <c r="CQ561" s="216"/>
      <c r="CR561" s="216"/>
      <c r="CS561" s="216"/>
      <c r="CT561" s="216"/>
      <c r="CU561" s="216"/>
      <c r="CV561" s="216"/>
      <c r="CW561" s="216"/>
      <c r="CX561" s="216"/>
      <c r="CY561" s="216"/>
    </row>
    <row r="562" spans="1:103" ht="12.75" x14ac:dyDescent="0.2">
      <c r="A562" s="214"/>
      <c r="B562" s="214"/>
      <c r="C562" s="214"/>
      <c r="D562" s="214"/>
      <c r="E562" s="214"/>
      <c r="F562" s="214"/>
      <c r="G562" s="214"/>
      <c r="H562" s="214"/>
      <c r="I562" s="214"/>
      <c r="J562" s="214"/>
      <c r="K562" s="214"/>
      <c r="L562" s="214"/>
      <c r="M562" s="214"/>
      <c r="N562" s="215"/>
      <c r="O562" s="215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16"/>
      <c r="AN562" s="216"/>
      <c r="AO562" s="216"/>
      <c r="AP562" s="216"/>
      <c r="AQ562" s="216"/>
      <c r="AR562" s="216"/>
      <c r="AS562" s="216"/>
      <c r="AT562" s="216"/>
      <c r="AU562" s="216"/>
      <c r="AV562" s="216"/>
      <c r="AW562" s="216"/>
      <c r="AX562" s="216"/>
      <c r="AY562" s="216"/>
      <c r="AZ562" s="216"/>
      <c r="BA562" s="216"/>
      <c r="BB562" s="216"/>
      <c r="BC562" s="216"/>
      <c r="BD562" s="216"/>
      <c r="BE562" s="216"/>
      <c r="BF562" s="216"/>
      <c r="BG562" s="216"/>
      <c r="BH562" s="216"/>
      <c r="BI562" s="216"/>
      <c r="BJ562" s="216"/>
      <c r="BK562" s="216"/>
      <c r="BL562" s="216"/>
      <c r="BM562" s="216"/>
      <c r="BN562" s="216"/>
      <c r="BO562" s="216"/>
      <c r="BP562" s="216"/>
      <c r="BQ562" s="216"/>
      <c r="BR562" s="216"/>
      <c r="BS562" s="216"/>
      <c r="BT562" s="216"/>
      <c r="BU562" s="216"/>
      <c r="BV562" s="216"/>
      <c r="BW562" s="216"/>
      <c r="BX562" s="216"/>
      <c r="BY562" s="216"/>
      <c r="BZ562" s="216"/>
      <c r="CA562" s="216"/>
      <c r="CB562" s="216"/>
      <c r="CC562" s="216"/>
      <c r="CD562" s="216"/>
      <c r="CE562" s="216"/>
      <c r="CF562" s="216"/>
      <c r="CG562" s="216"/>
      <c r="CH562" s="216"/>
      <c r="CI562" s="216"/>
      <c r="CJ562" s="216"/>
      <c r="CK562" s="216"/>
      <c r="CL562" s="216"/>
      <c r="CM562" s="216"/>
      <c r="CN562" s="216"/>
      <c r="CO562" s="216"/>
      <c r="CP562" s="216"/>
      <c r="CQ562" s="216"/>
      <c r="CR562" s="216"/>
      <c r="CS562" s="216"/>
      <c r="CT562" s="216"/>
      <c r="CU562" s="216"/>
      <c r="CV562" s="216"/>
      <c r="CW562" s="216"/>
      <c r="CX562" s="216"/>
      <c r="CY562" s="216"/>
    </row>
    <row r="563" spans="1:103" ht="12.75" x14ac:dyDescent="0.2">
      <c r="A563" s="214"/>
      <c r="B563" s="214"/>
      <c r="C563" s="214"/>
      <c r="D563" s="214"/>
      <c r="E563" s="214"/>
      <c r="F563" s="214"/>
      <c r="G563" s="214"/>
      <c r="H563" s="214"/>
      <c r="I563" s="214"/>
      <c r="J563" s="214"/>
      <c r="K563" s="214"/>
      <c r="L563" s="214"/>
      <c r="M563" s="214"/>
      <c r="N563" s="215"/>
      <c r="O563" s="215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16"/>
      <c r="AN563" s="216"/>
      <c r="AO563" s="216"/>
      <c r="AP563" s="216"/>
      <c r="AQ563" s="216"/>
      <c r="AR563" s="216"/>
      <c r="AS563" s="216"/>
      <c r="AT563" s="216"/>
      <c r="AU563" s="216"/>
      <c r="AV563" s="216"/>
      <c r="AW563" s="216"/>
      <c r="AX563" s="216"/>
      <c r="AY563" s="216"/>
      <c r="AZ563" s="216"/>
      <c r="BA563" s="216"/>
      <c r="BB563" s="216"/>
      <c r="BC563" s="216"/>
      <c r="BD563" s="216"/>
      <c r="BE563" s="216"/>
      <c r="BF563" s="216"/>
      <c r="BG563" s="216"/>
      <c r="BH563" s="216"/>
      <c r="BI563" s="216"/>
      <c r="BJ563" s="216"/>
      <c r="BK563" s="216"/>
      <c r="BL563" s="216"/>
      <c r="BM563" s="216"/>
      <c r="BN563" s="216"/>
      <c r="BO563" s="216"/>
      <c r="BP563" s="216"/>
      <c r="BQ563" s="216"/>
      <c r="BR563" s="216"/>
      <c r="BS563" s="216"/>
      <c r="BT563" s="216"/>
      <c r="BU563" s="216"/>
      <c r="BV563" s="216"/>
      <c r="BW563" s="216"/>
      <c r="BX563" s="216"/>
      <c r="BY563" s="216"/>
      <c r="BZ563" s="216"/>
      <c r="CA563" s="216"/>
      <c r="CB563" s="216"/>
      <c r="CC563" s="216"/>
      <c r="CD563" s="216"/>
      <c r="CE563" s="216"/>
      <c r="CF563" s="216"/>
      <c r="CG563" s="216"/>
      <c r="CH563" s="216"/>
      <c r="CI563" s="216"/>
      <c r="CJ563" s="216"/>
      <c r="CK563" s="216"/>
      <c r="CL563" s="216"/>
      <c r="CM563" s="216"/>
      <c r="CN563" s="216"/>
      <c r="CO563" s="216"/>
      <c r="CP563" s="216"/>
      <c r="CQ563" s="216"/>
      <c r="CR563" s="216"/>
      <c r="CS563" s="216"/>
      <c r="CT563" s="216"/>
      <c r="CU563" s="216"/>
      <c r="CV563" s="216"/>
      <c r="CW563" s="216"/>
      <c r="CX563" s="216"/>
      <c r="CY563" s="216"/>
    </row>
    <row r="564" spans="1:103" ht="12.75" x14ac:dyDescent="0.2">
      <c r="A564" s="214"/>
      <c r="B564" s="214"/>
      <c r="C564" s="214"/>
      <c r="D564" s="214"/>
      <c r="E564" s="214"/>
      <c r="F564" s="214"/>
      <c r="G564" s="214"/>
      <c r="H564" s="214"/>
      <c r="I564" s="214"/>
      <c r="J564" s="214"/>
      <c r="K564" s="214"/>
      <c r="L564" s="214"/>
      <c r="M564" s="214"/>
      <c r="N564" s="215"/>
      <c r="O564" s="215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216"/>
      <c r="AR564" s="216"/>
      <c r="AS564" s="216"/>
      <c r="AT564" s="216"/>
      <c r="AU564" s="216"/>
      <c r="AV564" s="216"/>
      <c r="AW564" s="216"/>
      <c r="AX564" s="216"/>
      <c r="AY564" s="216"/>
      <c r="AZ564" s="216"/>
      <c r="BA564" s="216"/>
      <c r="BB564" s="216"/>
      <c r="BC564" s="216"/>
      <c r="BD564" s="216"/>
      <c r="BE564" s="216"/>
      <c r="BF564" s="216"/>
      <c r="BG564" s="216"/>
      <c r="BH564" s="216"/>
      <c r="BI564" s="216"/>
      <c r="BJ564" s="216"/>
      <c r="BK564" s="216"/>
      <c r="BL564" s="216"/>
      <c r="BM564" s="216"/>
      <c r="BN564" s="216"/>
      <c r="BO564" s="216"/>
      <c r="BP564" s="216"/>
      <c r="BQ564" s="216"/>
      <c r="BR564" s="216"/>
      <c r="BS564" s="216"/>
      <c r="BT564" s="216"/>
      <c r="BU564" s="216"/>
      <c r="BV564" s="216"/>
      <c r="BW564" s="216"/>
      <c r="BX564" s="216"/>
      <c r="BY564" s="216"/>
      <c r="BZ564" s="216"/>
      <c r="CA564" s="216"/>
      <c r="CB564" s="216"/>
      <c r="CC564" s="216"/>
      <c r="CD564" s="216"/>
      <c r="CE564" s="216"/>
      <c r="CF564" s="216"/>
      <c r="CG564" s="216"/>
      <c r="CH564" s="216"/>
      <c r="CI564" s="216"/>
      <c r="CJ564" s="216"/>
      <c r="CK564" s="216"/>
      <c r="CL564" s="216"/>
      <c r="CM564" s="216"/>
      <c r="CN564" s="216"/>
      <c r="CO564" s="216"/>
      <c r="CP564" s="216"/>
      <c r="CQ564" s="216"/>
      <c r="CR564" s="216"/>
      <c r="CS564" s="216"/>
      <c r="CT564" s="216"/>
      <c r="CU564" s="216"/>
      <c r="CV564" s="216"/>
      <c r="CW564" s="216"/>
      <c r="CX564" s="216"/>
      <c r="CY564" s="216"/>
    </row>
    <row r="565" spans="1:103" ht="12.75" x14ac:dyDescent="0.2">
      <c r="A565" s="214"/>
      <c r="B565" s="214"/>
      <c r="C565" s="214"/>
      <c r="D565" s="214"/>
      <c r="E565" s="214"/>
      <c r="F565" s="214"/>
      <c r="G565" s="214"/>
      <c r="H565" s="214"/>
      <c r="I565" s="214"/>
      <c r="J565" s="214"/>
      <c r="K565" s="214"/>
      <c r="L565" s="214"/>
      <c r="M565" s="214"/>
      <c r="N565" s="215"/>
      <c r="O565" s="215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  <c r="AU565" s="216"/>
      <c r="AV565" s="216"/>
      <c r="AW565" s="216"/>
      <c r="AX565" s="216"/>
      <c r="AY565" s="216"/>
      <c r="AZ565" s="216"/>
      <c r="BA565" s="216"/>
      <c r="BB565" s="216"/>
      <c r="BC565" s="216"/>
      <c r="BD565" s="216"/>
      <c r="BE565" s="216"/>
      <c r="BF565" s="216"/>
      <c r="BG565" s="216"/>
      <c r="BH565" s="216"/>
      <c r="BI565" s="216"/>
      <c r="BJ565" s="216"/>
      <c r="BK565" s="216"/>
      <c r="BL565" s="216"/>
      <c r="BM565" s="216"/>
      <c r="BN565" s="216"/>
      <c r="BO565" s="216"/>
      <c r="BP565" s="216"/>
      <c r="BQ565" s="216"/>
      <c r="BR565" s="216"/>
      <c r="BS565" s="216"/>
      <c r="BT565" s="216"/>
      <c r="BU565" s="216"/>
      <c r="BV565" s="216"/>
      <c r="BW565" s="216"/>
      <c r="BX565" s="216"/>
      <c r="BY565" s="216"/>
      <c r="BZ565" s="216"/>
      <c r="CA565" s="216"/>
      <c r="CB565" s="216"/>
      <c r="CC565" s="216"/>
      <c r="CD565" s="216"/>
      <c r="CE565" s="216"/>
      <c r="CF565" s="216"/>
      <c r="CG565" s="216"/>
      <c r="CH565" s="216"/>
      <c r="CI565" s="216"/>
      <c r="CJ565" s="216"/>
      <c r="CK565" s="216"/>
      <c r="CL565" s="216"/>
      <c r="CM565" s="216"/>
      <c r="CN565" s="216"/>
      <c r="CO565" s="216"/>
      <c r="CP565" s="216"/>
      <c r="CQ565" s="216"/>
      <c r="CR565" s="216"/>
      <c r="CS565" s="216"/>
      <c r="CT565" s="216"/>
      <c r="CU565" s="216"/>
      <c r="CV565" s="216"/>
      <c r="CW565" s="216"/>
      <c r="CX565" s="216"/>
      <c r="CY565" s="216"/>
    </row>
    <row r="566" spans="1:103" ht="12.75" x14ac:dyDescent="0.2">
      <c r="A566" s="214"/>
      <c r="B566" s="214"/>
      <c r="C566" s="214"/>
      <c r="D566" s="214"/>
      <c r="E566" s="214"/>
      <c r="F566" s="214"/>
      <c r="G566" s="214"/>
      <c r="H566" s="214"/>
      <c r="I566" s="214"/>
      <c r="J566" s="214"/>
      <c r="K566" s="214"/>
      <c r="L566" s="214"/>
      <c r="M566" s="214"/>
      <c r="N566" s="215"/>
      <c r="O566" s="215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6"/>
      <c r="AT566" s="216"/>
      <c r="AU566" s="216"/>
      <c r="AV566" s="216"/>
      <c r="AW566" s="216"/>
      <c r="AX566" s="216"/>
      <c r="AY566" s="216"/>
      <c r="AZ566" s="216"/>
      <c r="BA566" s="216"/>
      <c r="BB566" s="216"/>
      <c r="BC566" s="216"/>
      <c r="BD566" s="216"/>
      <c r="BE566" s="216"/>
      <c r="BF566" s="216"/>
      <c r="BG566" s="216"/>
      <c r="BH566" s="216"/>
      <c r="BI566" s="216"/>
      <c r="BJ566" s="216"/>
      <c r="BK566" s="216"/>
      <c r="BL566" s="216"/>
      <c r="BM566" s="216"/>
      <c r="BN566" s="216"/>
      <c r="BO566" s="216"/>
      <c r="BP566" s="216"/>
      <c r="BQ566" s="216"/>
      <c r="BR566" s="216"/>
      <c r="BS566" s="216"/>
      <c r="BT566" s="216"/>
      <c r="BU566" s="216"/>
      <c r="BV566" s="216"/>
      <c r="BW566" s="216"/>
      <c r="BX566" s="216"/>
      <c r="BY566" s="216"/>
      <c r="BZ566" s="216"/>
      <c r="CA566" s="216"/>
      <c r="CB566" s="216"/>
      <c r="CC566" s="216"/>
      <c r="CD566" s="216"/>
      <c r="CE566" s="216"/>
      <c r="CF566" s="216"/>
      <c r="CG566" s="216"/>
      <c r="CH566" s="216"/>
      <c r="CI566" s="216"/>
      <c r="CJ566" s="216"/>
      <c r="CK566" s="216"/>
      <c r="CL566" s="216"/>
      <c r="CM566" s="216"/>
      <c r="CN566" s="216"/>
      <c r="CO566" s="216"/>
      <c r="CP566" s="216"/>
      <c r="CQ566" s="216"/>
      <c r="CR566" s="216"/>
      <c r="CS566" s="216"/>
      <c r="CT566" s="216"/>
      <c r="CU566" s="216"/>
      <c r="CV566" s="216"/>
      <c r="CW566" s="216"/>
      <c r="CX566" s="216"/>
      <c r="CY566" s="216"/>
    </row>
    <row r="567" spans="1:103" ht="12.75" x14ac:dyDescent="0.2">
      <c r="A567" s="214"/>
      <c r="B567" s="214"/>
      <c r="C567" s="214"/>
      <c r="D567" s="214"/>
      <c r="E567" s="214"/>
      <c r="F567" s="214"/>
      <c r="G567" s="214"/>
      <c r="H567" s="214"/>
      <c r="I567" s="214"/>
      <c r="J567" s="214"/>
      <c r="K567" s="214"/>
      <c r="L567" s="214"/>
      <c r="M567" s="214"/>
      <c r="N567" s="215"/>
      <c r="O567" s="215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6"/>
      <c r="AT567" s="216"/>
      <c r="AU567" s="216"/>
      <c r="AV567" s="216"/>
      <c r="AW567" s="216"/>
      <c r="AX567" s="216"/>
      <c r="AY567" s="216"/>
      <c r="AZ567" s="216"/>
      <c r="BA567" s="216"/>
      <c r="BB567" s="216"/>
      <c r="BC567" s="216"/>
      <c r="BD567" s="216"/>
      <c r="BE567" s="216"/>
      <c r="BF567" s="216"/>
      <c r="BG567" s="216"/>
      <c r="BH567" s="216"/>
      <c r="BI567" s="216"/>
      <c r="BJ567" s="216"/>
      <c r="BK567" s="216"/>
      <c r="BL567" s="216"/>
      <c r="BM567" s="216"/>
      <c r="BN567" s="216"/>
      <c r="BO567" s="216"/>
      <c r="BP567" s="216"/>
      <c r="BQ567" s="216"/>
      <c r="BR567" s="216"/>
      <c r="BS567" s="216"/>
      <c r="BT567" s="216"/>
      <c r="BU567" s="216"/>
      <c r="BV567" s="216"/>
      <c r="BW567" s="216"/>
      <c r="BX567" s="216"/>
      <c r="BY567" s="216"/>
      <c r="BZ567" s="216"/>
      <c r="CA567" s="216"/>
      <c r="CB567" s="216"/>
      <c r="CC567" s="216"/>
      <c r="CD567" s="216"/>
      <c r="CE567" s="216"/>
      <c r="CF567" s="216"/>
      <c r="CG567" s="216"/>
      <c r="CH567" s="216"/>
      <c r="CI567" s="216"/>
      <c r="CJ567" s="216"/>
      <c r="CK567" s="216"/>
      <c r="CL567" s="216"/>
      <c r="CM567" s="216"/>
      <c r="CN567" s="216"/>
      <c r="CO567" s="216"/>
      <c r="CP567" s="216"/>
      <c r="CQ567" s="216"/>
      <c r="CR567" s="216"/>
      <c r="CS567" s="216"/>
      <c r="CT567" s="216"/>
      <c r="CU567" s="216"/>
      <c r="CV567" s="216"/>
      <c r="CW567" s="216"/>
      <c r="CX567" s="216"/>
      <c r="CY567" s="216"/>
    </row>
    <row r="568" spans="1:103" ht="12.75" x14ac:dyDescent="0.2">
      <c r="A568" s="214"/>
      <c r="B568" s="214"/>
      <c r="C568" s="214"/>
      <c r="D568" s="214"/>
      <c r="E568" s="214"/>
      <c r="F568" s="214"/>
      <c r="G568" s="214"/>
      <c r="H568" s="214"/>
      <c r="I568" s="214"/>
      <c r="J568" s="214"/>
      <c r="K568" s="214"/>
      <c r="L568" s="214"/>
      <c r="M568" s="214"/>
      <c r="N568" s="215"/>
      <c r="O568" s="215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16"/>
      <c r="AN568" s="216"/>
      <c r="AO568" s="216"/>
      <c r="AP568" s="216"/>
      <c r="AQ568" s="216"/>
      <c r="AR568" s="216"/>
      <c r="AS568" s="216"/>
      <c r="AT568" s="216"/>
      <c r="AU568" s="216"/>
      <c r="AV568" s="216"/>
      <c r="AW568" s="216"/>
      <c r="AX568" s="216"/>
      <c r="AY568" s="216"/>
      <c r="AZ568" s="216"/>
      <c r="BA568" s="216"/>
      <c r="BB568" s="216"/>
      <c r="BC568" s="216"/>
      <c r="BD568" s="216"/>
      <c r="BE568" s="216"/>
      <c r="BF568" s="216"/>
      <c r="BG568" s="216"/>
      <c r="BH568" s="216"/>
      <c r="BI568" s="216"/>
      <c r="BJ568" s="216"/>
      <c r="BK568" s="216"/>
      <c r="BL568" s="216"/>
      <c r="BM568" s="216"/>
      <c r="BN568" s="216"/>
      <c r="BO568" s="216"/>
      <c r="BP568" s="216"/>
      <c r="BQ568" s="216"/>
      <c r="BR568" s="216"/>
      <c r="BS568" s="216"/>
      <c r="BT568" s="216"/>
      <c r="BU568" s="216"/>
      <c r="BV568" s="216"/>
      <c r="BW568" s="216"/>
      <c r="BX568" s="216"/>
      <c r="BY568" s="216"/>
      <c r="BZ568" s="216"/>
      <c r="CA568" s="216"/>
      <c r="CB568" s="216"/>
      <c r="CC568" s="216"/>
      <c r="CD568" s="216"/>
      <c r="CE568" s="216"/>
      <c r="CF568" s="216"/>
      <c r="CG568" s="216"/>
      <c r="CH568" s="216"/>
      <c r="CI568" s="216"/>
      <c r="CJ568" s="216"/>
      <c r="CK568" s="216"/>
      <c r="CL568" s="216"/>
      <c r="CM568" s="216"/>
      <c r="CN568" s="216"/>
      <c r="CO568" s="216"/>
      <c r="CP568" s="216"/>
      <c r="CQ568" s="216"/>
      <c r="CR568" s="216"/>
      <c r="CS568" s="216"/>
      <c r="CT568" s="216"/>
      <c r="CU568" s="216"/>
      <c r="CV568" s="216"/>
      <c r="CW568" s="216"/>
      <c r="CX568" s="216"/>
      <c r="CY568" s="216"/>
    </row>
    <row r="569" spans="1:103" ht="12.75" x14ac:dyDescent="0.2">
      <c r="A569" s="214"/>
      <c r="B569" s="214"/>
      <c r="C569" s="214"/>
      <c r="D569" s="214"/>
      <c r="E569" s="214"/>
      <c r="F569" s="214"/>
      <c r="G569" s="214"/>
      <c r="H569" s="214"/>
      <c r="I569" s="214"/>
      <c r="J569" s="214"/>
      <c r="K569" s="214"/>
      <c r="L569" s="214"/>
      <c r="M569" s="214"/>
      <c r="N569" s="215"/>
      <c r="O569" s="215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16"/>
      <c r="AN569" s="216"/>
      <c r="AO569" s="216"/>
      <c r="AP569" s="216"/>
      <c r="AQ569" s="216"/>
      <c r="AR569" s="216"/>
      <c r="AS569" s="216"/>
      <c r="AT569" s="216"/>
      <c r="AU569" s="216"/>
      <c r="AV569" s="216"/>
      <c r="AW569" s="216"/>
      <c r="AX569" s="216"/>
      <c r="AY569" s="216"/>
      <c r="AZ569" s="216"/>
      <c r="BA569" s="216"/>
      <c r="BB569" s="216"/>
      <c r="BC569" s="216"/>
      <c r="BD569" s="216"/>
      <c r="BE569" s="216"/>
      <c r="BF569" s="216"/>
      <c r="BG569" s="216"/>
      <c r="BH569" s="216"/>
      <c r="BI569" s="216"/>
      <c r="BJ569" s="216"/>
      <c r="BK569" s="216"/>
      <c r="BL569" s="216"/>
      <c r="BM569" s="216"/>
      <c r="BN569" s="216"/>
      <c r="BO569" s="216"/>
      <c r="BP569" s="216"/>
      <c r="BQ569" s="216"/>
      <c r="BR569" s="216"/>
      <c r="BS569" s="216"/>
      <c r="BT569" s="216"/>
      <c r="BU569" s="216"/>
      <c r="BV569" s="216"/>
      <c r="BW569" s="216"/>
      <c r="BX569" s="216"/>
      <c r="BY569" s="216"/>
      <c r="BZ569" s="216"/>
      <c r="CA569" s="216"/>
      <c r="CB569" s="216"/>
      <c r="CC569" s="216"/>
      <c r="CD569" s="216"/>
      <c r="CE569" s="216"/>
      <c r="CF569" s="216"/>
      <c r="CG569" s="216"/>
      <c r="CH569" s="216"/>
      <c r="CI569" s="216"/>
      <c r="CJ569" s="216"/>
      <c r="CK569" s="216"/>
      <c r="CL569" s="216"/>
      <c r="CM569" s="216"/>
      <c r="CN569" s="216"/>
      <c r="CO569" s="216"/>
      <c r="CP569" s="216"/>
      <c r="CQ569" s="216"/>
      <c r="CR569" s="216"/>
      <c r="CS569" s="216"/>
      <c r="CT569" s="216"/>
      <c r="CU569" s="216"/>
      <c r="CV569" s="216"/>
      <c r="CW569" s="216"/>
      <c r="CX569" s="216"/>
      <c r="CY569" s="216"/>
    </row>
    <row r="570" spans="1:103" ht="12.75" x14ac:dyDescent="0.2">
      <c r="A570" s="214"/>
      <c r="B570" s="214"/>
      <c r="C570" s="214"/>
      <c r="D570" s="214"/>
      <c r="E570" s="214"/>
      <c r="F570" s="214"/>
      <c r="G570" s="214"/>
      <c r="H570" s="214"/>
      <c r="I570" s="214"/>
      <c r="J570" s="214"/>
      <c r="K570" s="214"/>
      <c r="L570" s="214"/>
      <c r="M570" s="214"/>
      <c r="N570" s="215"/>
      <c r="O570" s="215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16"/>
      <c r="AN570" s="216"/>
      <c r="AO570" s="216"/>
      <c r="AP570" s="216"/>
      <c r="AQ570" s="216"/>
      <c r="AR570" s="216"/>
      <c r="AS570" s="216"/>
      <c r="AT570" s="216"/>
      <c r="AU570" s="216"/>
      <c r="AV570" s="216"/>
      <c r="AW570" s="216"/>
      <c r="AX570" s="216"/>
      <c r="AY570" s="216"/>
      <c r="AZ570" s="216"/>
      <c r="BA570" s="216"/>
      <c r="BB570" s="216"/>
      <c r="BC570" s="216"/>
      <c r="BD570" s="216"/>
      <c r="BE570" s="216"/>
      <c r="BF570" s="216"/>
      <c r="BG570" s="216"/>
      <c r="BH570" s="216"/>
      <c r="BI570" s="216"/>
      <c r="BJ570" s="216"/>
      <c r="BK570" s="216"/>
      <c r="BL570" s="216"/>
      <c r="BM570" s="216"/>
      <c r="BN570" s="216"/>
      <c r="BO570" s="216"/>
      <c r="BP570" s="216"/>
      <c r="BQ570" s="216"/>
      <c r="BR570" s="216"/>
      <c r="BS570" s="216"/>
      <c r="BT570" s="216"/>
      <c r="BU570" s="216"/>
      <c r="BV570" s="216"/>
      <c r="BW570" s="216"/>
      <c r="BX570" s="216"/>
      <c r="BY570" s="216"/>
      <c r="BZ570" s="216"/>
      <c r="CA570" s="216"/>
      <c r="CB570" s="216"/>
      <c r="CC570" s="216"/>
      <c r="CD570" s="216"/>
      <c r="CE570" s="216"/>
      <c r="CF570" s="216"/>
      <c r="CG570" s="216"/>
      <c r="CH570" s="216"/>
      <c r="CI570" s="216"/>
      <c r="CJ570" s="216"/>
      <c r="CK570" s="216"/>
      <c r="CL570" s="216"/>
      <c r="CM570" s="216"/>
      <c r="CN570" s="216"/>
      <c r="CO570" s="216"/>
      <c r="CP570" s="216"/>
      <c r="CQ570" s="216"/>
      <c r="CR570" s="216"/>
      <c r="CS570" s="216"/>
      <c r="CT570" s="216"/>
      <c r="CU570" s="216"/>
      <c r="CV570" s="216"/>
      <c r="CW570" s="216"/>
      <c r="CX570" s="216"/>
      <c r="CY570" s="216"/>
    </row>
    <row r="571" spans="1:103" ht="12.75" x14ac:dyDescent="0.2">
      <c r="A571" s="214"/>
      <c r="B571" s="214"/>
      <c r="C571" s="214"/>
      <c r="D571" s="214"/>
      <c r="E571" s="214"/>
      <c r="F571" s="214"/>
      <c r="G571" s="214"/>
      <c r="H571" s="214"/>
      <c r="I571" s="214"/>
      <c r="J571" s="214"/>
      <c r="K571" s="214"/>
      <c r="L571" s="214"/>
      <c r="M571" s="214"/>
      <c r="N571" s="215"/>
      <c r="O571" s="215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16"/>
      <c r="AN571" s="216"/>
      <c r="AO571" s="216"/>
      <c r="AP571" s="216"/>
      <c r="AQ571" s="216"/>
      <c r="AR571" s="216"/>
      <c r="AS571" s="216"/>
      <c r="AT571" s="216"/>
      <c r="AU571" s="216"/>
      <c r="AV571" s="216"/>
      <c r="AW571" s="216"/>
      <c r="AX571" s="216"/>
      <c r="AY571" s="216"/>
      <c r="AZ571" s="216"/>
      <c r="BA571" s="216"/>
      <c r="BB571" s="216"/>
      <c r="BC571" s="216"/>
      <c r="BD571" s="216"/>
      <c r="BE571" s="216"/>
      <c r="BF571" s="216"/>
      <c r="BG571" s="216"/>
      <c r="BH571" s="216"/>
      <c r="BI571" s="216"/>
      <c r="BJ571" s="216"/>
      <c r="BK571" s="216"/>
      <c r="BL571" s="216"/>
      <c r="BM571" s="216"/>
      <c r="BN571" s="216"/>
      <c r="BO571" s="216"/>
      <c r="BP571" s="216"/>
      <c r="BQ571" s="216"/>
      <c r="BR571" s="216"/>
      <c r="BS571" s="216"/>
      <c r="BT571" s="216"/>
      <c r="BU571" s="216"/>
      <c r="BV571" s="216"/>
      <c r="BW571" s="216"/>
      <c r="BX571" s="216"/>
      <c r="BY571" s="216"/>
      <c r="BZ571" s="216"/>
      <c r="CA571" s="216"/>
      <c r="CB571" s="216"/>
      <c r="CC571" s="216"/>
      <c r="CD571" s="216"/>
      <c r="CE571" s="216"/>
      <c r="CF571" s="216"/>
      <c r="CG571" s="216"/>
      <c r="CH571" s="216"/>
      <c r="CI571" s="216"/>
      <c r="CJ571" s="216"/>
      <c r="CK571" s="216"/>
      <c r="CL571" s="216"/>
      <c r="CM571" s="216"/>
      <c r="CN571" s="216"/>
      <c r="CO571" s="216"/>
      <c r="CP571" s="216"/>
      <c r="CQ571" s="216"/>
      <c r="CR571" s="216"/>
      <c r="CS571" s="216"/>
      <c r="CT571" s="216"/>
      <c r="CU571" s="216"/>
      <c r="CV571" s="216"/>
      <c r="CW571" s="216"/>
      <c r="CX571" s="216"/>
      <c r="CY571" s="216"/>
    </row>
    <row r="572" spans="1:103" ht="12.75" x14ac:dyDescent="0.2">
      <c r="A572" s="214"/>
      <c r="B572" s="214"/>
      <c r="C572" s="214"/>
      <c r="D572" s="214"/>
      <c r="E572" s="214"/>
      <c r="F572" s="214"/>
      <c r="G572" s="214"/>
      <c r="H572" s="214"/>
      <c r="I572" s="214"/>
      <c r="J572" s="214"/>
      <c r="K572" s="214"/>
      <c r="L572" s="214"/>
      <c r="M572" s="214"/>
      <c r="N572" s="215"/>
      <c r="O572" s="215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16"/>
      <c r="AN572" s="216"/>
      <c r="AO572" s="216"/>
      <c r="AP572" s="216"/>
      <c r="AQ572" s="216"/>
      <c r="AR572" s="216"/>
      <c r="AS572" s="216"/>
      <c r="AT572" s="216"/>
      <c r="AU572" s="216"/>
      <c r="AV572" s="216"/>
      <c r="AW572" s="216"/>
      <c r="AX572" s="216"/>
      <c r="AY572" s="216"/>
      <c r="AZ572" s="216"/>
      <c r="BA572" s="216"/>
      <c r="BB572" s="216"/>
      <c r="BC572" s="216"/>
      <c r="BD572" s="216"/>
      <c r="BE572" s="216"/>
      <c r="BF572" s="216"/>
      <c r="BG572" s="216"/>
      <c r="BH572" s="216"/>
      <c r="BI572" s="216"/>
      <c r="BJ572" s="216"/>
      <c r="BK572" s="216"/>
      <c r="BL572" s="216"/>
      <c r="BM572" s="216"/>
      <c r="BN572" s="216"/>
      <c r="BO572" s="216"/>
      <c r="BP572" s="216"/>
      <c r="BQ572" s="216"/>
      <c r="BR572" s="216"/>
      <c r="BS572" s="216"/>
      <c r="BT572" s="216"/>
      <c r="BU572" s="216"/>
      <c r="BV572" s="216"/>
      <c r="BW572" s="216"/>
      <c r="BX572" s="216"/>
      <c r="BY572" s="216"/>
      <c r="BZ572" s="216"/>
      <c r="CA572" s="216"/>
      <c r="CB572" s="216"/>
      <c r="CC572" s="216"/>
      <c r="CD572" s="216"/>
      <c r="CE572" s="216"/>
      <c r="CF572" s="216"/>
      <c r="CG572" s="216"/>
      <c r="CH572" s="216"/>
      <c r="CI572" s="216"/>
      <c r="CJ572" s="216"/>
      <c r="CK572" s="216"/>
      <c r="CL572" s="216"/>
      <c r="CM572" s="216"/>
      <c r="CN572" s="216"/>
      <c r="CO572" s="216"/>
      <c r="CP572" s="216"/>
      <c r="CQ572" s="216"/>
      <c r="CR572" s="216"/>
      <c r="CS572" s="216"/>
      <c r="CT572" s="216"/>
      <c r="CU572" s="216"/>
      <c r="CV572" s="216"/>
      <c r="CW572" s="216"/>
      <c r="CX572" s="216"/>
      <c r="CY572" s="216"/>
    </row>
    <row r="573" spans="1:103" ht="12.75" x14ac:dyDescent="0.2">
      <c r="A573" s="214"/>
      <c r="B573" s="214"/>
      <c r="C573" s="214"/>
      <c r="D573" s="214"/>
      <c r="E573" s="214"/>
      <c r="F573" s="214"/>
      <c r="G573" s="214"/>
      <c r="H573" s="214"/>
      <c r="I573" s="214"/>
      <c r="J573" s="214"/>
      <c r="K573" s="214"/>
      <c r="L573" s="214"/>
      <c r="M573" s="214"/>
      <c r="N573" s="215"/>
      <c r="O573" s="215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16"/>
      <c r="AN573" s="216"/>
      <c r="AO573" s="216"/>
      <c r="AP573" s="216"/>
      <c r="AQ573" s="216"/>
      <c r="AR573" s="216"/>
      <c r="AS573" s="216"/>
      <c r="AT573" s="216"/>
      <c r="AU573" s="216"/>
      <c r="AV573" s="216"/>
      <c r="AW573" s="216"/>
      <c r="AX573" s="216"/>
      <c r="AY573" s="216"/>
      <c r="AZ573" s="216"/>
      <c r="BA573" s="216"/>
      <c r="BB573" s="216"/>
      <c r="BC573" s="216"/>
      <c r="BD573" s="216"/>
      <c r="BE573" s="216"/>
      <c r="BF573" s="216"/>
      <c r="BG573" s="216"/>
      <c r="BH573" s="216"/>
      <c r="BI573" s="216"/>
      <c r="BJ573" s="216"/>
      <c r="BK573" s="216"/>
      <c r="BL573" s="216"/>
      <c r="BM573" s="216"/>
      <c r="BN573" s="216"/>
      <c r="BO573" s="216"/>
      <c r="BP573" s="216"/>
      <c r="BQ573" s="216"/>
      <c r="BR573" s="216"/>
      <c r="BS573" s="216"/>
      <c r="BT573" s="216"/>
      <c r="BU573" s="216"/>
      <c r="BV573" s="216"/>
      <c r="BW573" s="216"/>
      <c r="BX573" s="216"/>
      <c r="BY573" s="216"/>
      <c r="BZ573" s="216"/>
      <c r="CA573" s="216"/>
      <c r="CB573" s="216"/>
      <c r="CC573" s="216"/>
      <c r="CD573" s="216"/>
      <c r="CE573" s="216"/>
      <c r="CF573" s="216"/>
      <c r="CG573" s="216"/>
      <c r="CH573" s="216"/>
      <c r="CI573" s="216"/>
      <c r="CJ573" s="216"/>
      <c r="CK573" s="216"/>
      <c r="CL573" s="216"/>
      <c r="CM573" s="216"/>
      <c r="CN573" s="216"/>
      <c r="CO573" s="216"/>
      <c r="CP573" s="216"/>
      <c r="CQ573" s="216"/>
      <c r="CR573" s="216"/>
      <c r="CS573" s="216"/>
      <c r="CT573" s="216"/>
      <c r="CU573" s="216"/>
      <c r="CV573" s="216"/>
      <c r="CW573" s="216"/>
      <c r="CX573" s="216"/>
      <c r="CY573" s="216"/>
    </row>
    <row r="574" spans="1:103" ht="12.75" x14ac:dyDescent="0.2">
      <c r="A574" s="214"/>
      <c r="B574" s="214"/>
      <c r="C574" s="214"/>
      <c r="D574" s="214"/>
      <c r="E574" s="214"/>
      <c r="F574" s="214"/>
      <c r="G574" s="214"/>
      <c r="H574" s="214"/>
      <c r="I574" s="214"/>
      <c r="J574" s="214"/>
      <c r="K574" s="214"/>
      <c r="L574" s="214"/>
      <c r="M574" s="214"/>
      <c r="N574" s="215"/>
      <c r="O574" s="215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16"/>
      <c r="AN574" s="216"/>
      <c r="AO574" s="216"/>
      <c r="AP574" s="216"/>
      <c r="AQ574" s="216"/>
      <c r="AR574" s="216"/>
      <c r="AS574" s="216"/>
      <c r="AT574" s="216"/>
      <c r="AU574" s="216"/>
      <c r="AV574" s="216"/>
      <c r="AW574" s="216"/>
      <c r="AX574" s="216"/>
      <c r="AY574" s="216"/>
      <c r="AZ574" s="216"/>
      <c r="BA574" s="216"/>
      <c r="BB574" s="216"/>
      <c r="BC574" s="216"/>
      <c r="BD574" s="216"/>
      <c r="BE574" s="216"/>
      <c r="BF574" s="216"/>
      <c r="BG574" s="216"/>
      <c r="BH574" s="216"/>
      <c r="BI574" s="216"/>
      <c r="BJ574" s="216"/>
      <c r="BK574" s="216"/>
      <c r="BL574" s="216"/>
      <c r="BM574" s="216"/>
      <c r="BN574" s="216"/>
      <c r="BO574" s="216"/>
      <c r="BP574" s="216"/>
      <c r="BQ574" s="216"/>
      <c r="BR574" s="216"/>
      <c r="BS574" s="216"/>
      <c r="BT574" s="216"/>
      <c r="BU574" s="216"/>
      <c r="BV574" s="216"/>
      <c r="BW574" s="216"/>
      <c r="BX574" s="216"/>
      <c r="BY574" s="216"/>
      <c r="BZ574" s="216"/>
      <c r="CA574" s="216"/>
      <c r="CB574" s="216"/>
      <c r="CC574" s="216"/>
      <c r="CD574" s="216"/>
      <c r="CE574" s="216"/>
      <c r="CF574" s="216"/>
      <c r="CG574" s="216"/>
      <c r="CH574" s="216"/>
      <c r="CI574" s="216"/>
      <c r="CJ574" s="216"/>
      <c r="CK574" s="216"/>
      <c r="CL574" s="216"/>
      <c r="CM574" s="216"/>
      <c r="CN574" s="216"/>
      <c r="CO574" s="216"/>
      <c r="CP574" s="216"/>
      <c r="CQ574" s="216"/>
      <c r="CR574" s="216"/>
      <c r="CS574" s="216"/>
      <c r="CT574" s="216"/>
      <c r="CU574" s="216"/>
      <c r="CV574" s="216"/>
      <c r="CW574" s="216"/>
      <c r="CX574" s="216"/>
      <c r="CY574" s="216"/>
    </row>
    <row r="575" spans="1:103" ht="12.75" x14ac:dyDescent="0.2">
      <c r="A575" s="214"/>
      <c r="B575" s="214"/>
      <c r="C575" s="214"/>
      <c r="D575" s="214"/>
      <c r="E575" s="214"/>
      <c r="F575" s="214"/>
      <c r="G575" s="214"/>
      <c r="H575" s="214"/>
      <c r="I575" s="214"/>
      <c r="J575" s="214"/>
      <c r="K575" s="214"/>
      <c r="L575" s="214"/>
      <c r="M575" s="214"/>
      <c r="N575" s="215"/>
      <c r="O575" s="215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16"/>
      <c r="AN575" s="216"/>
      <c r="AO575" s="216"/>
      <c r="AP575" s="216"/>
      <c r="AQ575" s="216"/>
      <c r="AR575" s="216"/>
      <c r="AS575" s="216"/>
      <c r="AT575" s="216"/>
      <c r="AU575" s="216"/>
      <c r="AV575" s="216"/>
      <c r="AW575" s="216"/>
      <c r="AX575" s="216"/>
      <c r="AY575" s="216"/>
      <c r="AZ575" s="216"/>
      <c r="BA575" s="216"/>
      <c r="BB575" s="216"/>
      <c r="BC575" s="216"/>
      <c r="BD575" s="216"/>
      <c r="BE575" s="216"/>
      <c r="BF575" s="216"/>
      <c r="BG575" s="216"/>
      <c r="BH575" s="216"/>
      <c r="BI575" s="216"/>
      <c r="BJ575" s="216"/>
      <c r="BK575" s="216"/>
      <c r="BL575" s="216"/>
      <c r="BM575" s="216"/>
      <c r="BN575" s="216"/>
      <c r="BO575" s="216"/>
      <c r="BP575" s="216"/>
      <c r="BQ575" s="216"/>
      <c r="BR575" s="216"/>
      <c r="BS575" s="216"/>
      <c r="BT575" s="216"/>
      <c r="BU575" s="216"/>
      <c r="BV575" s="216"/>
      <c r="BW575" s="216"/>
      <c r="BX575" s="216"/>
      <c r="BY575" s="216"/>
      <c r="BZ575" s="216"/>
      <c r="CA575" s="216"/>
      <c r="CB575" s="216"/>
      <c r="CC575" s="216"/>
      <c r="CD575" s="216"/>
      <c r="CE575" s="216"/>
      <c r="CF575" s="216"/>
      <c r="CG575" s="216"/>
      <c r="CH575" s="216"/>
      <c r="CI575" s="216"/>
      <c r="CJ575" s="216"/>
      <c r="CK575" s="216"/>
      <c r="CL575" s="216"/>
      <c r="CM575" s="216"/>
      <c r="CN575" s="216"/>
      <c r="CO575" s="216"/>
      <c r="CP575" s="216"/>
      <c r="CQ575" s="216"/>
      <c r="CR575" s="216"/>
      <c r="CS575" s="216"/>
      <c r="CT575" s="216"/>
      <c r="CU575" s="216"/>
      <c r="CV575" s="216"/>
      <c r="CW575" s="216"/>
      <c r="CX575" s="216"/>
      <c r="CY575" s="216"/>
    </row>
    <row r="576" spans="1:103" ht="12.75" x14ac:dyDescent="0.2">
      <c r="A576" s="214"/>
      <c r="B576" s="214"/>
      <c r="C576" s="214"/>
      <c r="D576" s="214"/>
      <c r="E576" s="214"/>
      <c r="F576" s="214"/>
      <c r="G576" s="214"/>
      <c r="H576" s="214"/>
      <c r="I576" s="214"/>
      <c r="J576" s="214"/>
      <c r="K576" s="214"/>
      <c r="L576" s="214"/>
      <c r="M576" s="214"/>
      <c r="N576" s="215"/>
      <c r="O576" s="215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16"/>
      <c r="AN576" s="216"/>
      <c r="AO576" s="216"/>
      <c r="AP576" s="216"/>
      <c r="AQ576" s="216"/>
      <c r="AR576" s="216"/>
      <c r="AS576" s="216"/>
      <c r="AT576" s="216"/>
      <c r="AU576" s="216"/>
      <c r="AV576" s="216"/>
      <c r="AW576" s="216"/>
      <c r="AX576" s="216"/>
      <c r="AY576" s="216"/>
      <c r="AZ576" s="216"/>
      <c r="BA576" s="216"/>
      <c r="BB576" s="216"/>
      <c r="BC576" s="216"/>
      <c r="BD576" s="216"/>
      <c r="BE576" s="216"/>
      <c r="BF576" s="216"/>
      <c r="BG576" s="216"/>
      <c r="BH576" s="216"/>
      <c r="BI576" s="216"/>
      <c r="BJ576" s="216"/>
      <c r="BK576" s="216"/>
      <c r="BL576" s="216"/>
      <c r="BM576" s="216"/>
      <c r="BN576" s="216"/>
      <c r="BO576" s="216"/>
      <c r="BP576" s="216"/>
      <c r="BQ576" s="216"/>
      <c r="BR576" s="216"/>
      <c r="BS576" s="216"/>
      <c r="BT576" s="216"/>
      <c r="BU576" s="216"/>
      <c r="BV576" s="216"/>
      <c r="BW576" s="216"/>
      <c r="BX576" s="216"/>
      <c r="BY576" s="216"/>
      <c r="BZ576" s="216"/>
      <c r="CA576" s="216"/>
      <c r="CB576" s="216"/>
      <c r="CC576" s="216"/>
      <c r="CD576" s="216"/>
      <c r="CE576" s="216"/>
      <c r="CF576" s="216"/>
      <c r="CG576" s="216"/>
      <c r="CH576" s="216"/>
      <c r="CI576" s="216"/>
      <c r="CJ576" s="216"/>
      <c r="CK576" s="216"/>
      <c r="CL576" s="216"/>
      <c r="CM576" s="216"/>
      <c r="CN576" s="216"/>
      <c r="CO576" s="216"/>
      <c r="CP576" s="216"/>
      <c r="CQ576" s="216"/>
      <c r="CR576" s="216"/>
      <c r="CS576" s="216"/>
      <c r="CT576" s="216"/>
      <c r="CU576" s="216"/>
      <c r="CV576" s="216"/>
      <c r="CW576" s="216"/>
      <c r="CX576" s="216"/>
      <c r="CY576" s="216"/>
    </row>
    <row r="577" spans="1:103" ht="12.75" x14ac:dyDescent="0.2">
      <c r="A577" s="214"/>
      <c r="B577" s="214"/>
      <c r="C577" s="214"/>
      <c r="D577" s="214"/>
      <c r="E577" s="214"/>
      <c r="F577" s="214"/>
      <c r="G577" s="214"/>
      <c r="H577" s="214"/>
      <c r="I577" s="214"/>
      <c r="J577" s="214"/>
      <c r="K577" s="214"/>
      <c r="L577" s="214"/>
      <c r="M577" s="214"/>
      <c r="N577" s="215"/>
      <c r="O577" s="215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16"/>
      <c r="AN577" s="216"/>
      <c r="AO577" s="216"/>
      <c r="AP577" s="216"/>
      <c r="AQ577" s="216"/>
      <c r="AR577" s="216"/>
      <c r="AS577" s="216"/>
      <c r="AT577" s="216"/>
      <c r="AU577" s="216"/>
      <c r="AV577" s="216"/>
      <c r="AW577" s="216"/>
      <c r="AX577" s="216"/>
      <c r="AY577" s="216"/>
      <c r="AZ577" s="216"/>
      <c r="BA577" s="216"/>
      <c r="BB577" s="216"/>
      <c r="BC577" s="216"/>
      <c r="BD577" s="216"/>
      <c r="BE577" s="216"/>
      <c r="BF577" s="216"/>
      <c r="BG577" s="216"/>
      <c r="BH577" s="216"/>
      <c r="BI577" s="216"/>
      <c r="BJ577" s="216"/>
      <c r="BK577" s="216"/>
      <c r="BL577" s="216"/>
      <c r="BM577" s="216"/>
      <c r="BN577" s="216"/>
      <c r="BO577" s="216"/>
      <c r="BP577" s="216"/>
      <c r="BQ577" s="216"/>
      <c r="BR577" s="216"/>
      <c r="BS577" s="216"/>
      <c r="BT577" s="216"/>
      <c r="BU577" s="216"/>
      <c r="BV577" s="216"/>
      <c r="BW577" s="216"/>
      <c r="BX577" s="216"/>
      <c r="BY577" s="216"/>
      <c r="BZ577" s="216"/>
      <c r="CA577" s="216"/>
      <c r="CB577" s="216"/>
      <c r="CC577" s="216"/>
      <c r="CD577" s="216"/>
      <c r="CE577" s="216"/>
      <c r="CF577" s="216"/>
      <c r="CG577" s="216"/>
      <c r="CH577" s="216"/>
      <c r="CI577" s="216"/>
      <c r="CJ577" s="216"/>
      <c r="CK577" s="216"/>
      <c r="CL577" s="216"/>
      <c r="CM577" s="216"/>
      <c r="CN577" s="216"/>
      <c r="CO577" s="216"/>
      <c r="CP577" s="216"/>
      <c r="CQ577" s="216"/>
      <c r="CR577" s="216"/>
      <c r="CS577" s="216"/>
      <c r="CT577" s="216"/>
      <c r="CU577" s="216"/>
      <c r="CV577" s="216"/>
      <c r="CW577" s="216"/>
      <c r="CX577" s="216"/>
      <c r="CY577" s="216"/>
    </row>
    <row r="578" spans="1:103" ht="12.75" x14ac:dyDescent="0.2">
      <c r="A578" s="214"/>
      <c r="B578" s="214"/>
      <c r="C578" s="214"/>
      <c r="D578" s="214"/>
      <c r="E578" s="214"/>
      <c r="F578" s="214"/>
      <c r="G578" s="214"/>
      <c r="H578" s="214"/>
      <c r="I578" s="214"/>
      <c r="J578" s="214"/>
      <c r="K578" s="214"/>
      <c r="L578" s="214"/>
      <c r="M578" s="214"/>
      <c r="N578" s="215"/>
      <c r="O578" s="215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16"/>
      <c r="AN578" s="216"/>
      <c r="AO578" s="216"/>
      <c r="AP578" s="216"/>
      <c r="AQ578" s="216"/>
      <c r="AR578" s="216"/>
      <c r="AS578" s="216"/>
      <c r="AT578" s="216"/>
      <c r="AU578" s="216"/>
      <c r="AV578" s="216"/>
      <c r="AW578" s="216"/>
      <c r="AX578" s="216"/>
      <c r="AY578" s="216"/>
      <c r="AZ578" s="216"/>
      <c r="BA578" s="216"/>
      <c r="BB578" s="216"/>
      <c r="BC578" s="216"/>
      <c r="BD578" s="216"/>
      <c r="BE578" s="216"/>
      <c r="BF578" s="216"/>
      <c r="BG578" s="216"/>
      <c r="BH578" s="216"/>
      <c r="BI578" s="216"/>
      <c r="BJ578" s="216"/>
      <c r="BK578" s="216"/>
      <c r="BL578" s="216"/>
      <c r="BM578" s="216"/>
      <c r="BN578" s="216"/>
      <c r="BO578" s="216"/>
      <c r="BP578" s="216"/>
      <c r="BQ578" s="216"/>
      <c r="BR578" s="216"/>
      <c r="BS578" s="216"/>
      <c r="BT578" s="216"/>
      <c r="BU578" s="216"/>
      <c r="BV578" s="216"/>
      <c r="BW578" s="216"/>
      <c r="BX578" s="216"/>
      <c r="BY578" s="216"/>
      <c r="BZ578" s="216"/>
      <c r="CA578" s="216"/>
      <c r="CB578" s="216"/>
      <c r="CC578" s="216"/>
      <c r="CD578" s="216"/>
      <c r="CE578" s="216"/>
      <c r="CF578" s="216"/>
      <c r="CG578" s="216"/>
      <c r="CH578" s="216"/>
      <c r="CI578" s="216"/>
      <c r="CJ578" s="216"/>
      <c r="CK578" s="216"/>
      <c r="CL578" s="216"/>
      <c r="CM578" s="216"/>
      <c r="CN578" s="216"/>
      <c r="CO578" s="216"/>
      <c r="CP578" s="216"/>
      <c r="CQ578" s="216"/>
      <c r="CR578" s="216"/>
      <c r="CS578" s="216"/>
      <c r="CT578" s="216"/>
      <c r="CU578" s="216"/>
      <c r="CV578" s="216"/>
      <c r="CW578" s="216"/>
      <c r="CX578" s="216"/>
      <c r="CY578" s="216"/>
    </row>
    <row r="579" spans="1:103" ht="12.75" x14ac:dyDescent="0.2">
      <c r="A579" s="214"/>
      <c r="B579" s="214"/>
      <c r="C579" s="214"/>
      <c r="D579" s="214"/>
      <c r="E579" s="214"/>
      <c r="F579" s="214"/>
      <c r="G579" s="214"/>
      <c r="H579" s="214"/>
      <c r="I579" s="214"/>
      <c r="J579" s="214"/>
      <c r="K579" s="214"/>
      <c r="L579" s="214"/>
      <c r="M579" s="214"/>
      <c r="N579" s="215"/>
      <c r="O579" s="215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16"/>
      <c r="AN579" s="216"/>
      <c r="AO579" s="216"/>
      <c r="AP579" s="216"/>
      <c r="AQ579" s="216"/>
      <c r="AR579" s="216"/>
      <c r="AS579" s="216"/>
      <c r="AT579" s="216"/>
      <c r="AU579" s="216"/>
      <c r="AV579" s="216"/>
      <c r="AW579" s="216"/>
      <c r="AX579" s="216"/>
      <c r="AY579" s="216"/>
      <c r="AZ579" s="216"/>
      <c r="BA579" s="216"/>
      <c r="BB579" s="216"/>
      <c r="BC579" s="216"/>
      <c r="BD579" s="216"/>
      <c r="BE579" s="216"/>
      <c r="BF579" s="216"/>
      <c r="BG579" s="216"/>
      <c r="BH579" s="216"/>
      <c r="BI579" s="216"/>
      <c r="BJ579" s="216"/>
      <c r="BK579" s="216"/>
      <c r="BL579" s="216"/>
      <c r="BM579" s="216"/>
      <c r="BN579" s="216"/>
      <c r="BO579" s="216"/>
      <c r="BP579" s="216"/>
      <c r="BQ579" s="216"/>
      <c r="BR579" s="216"/>
      <c r="BS579" s="216"/>
      <c r="BT579" s="216"/>
      <c r="BU579" s="216"/>
      <c r="BV579" s="216"/>
      <c r="BW579" s="216"/>
      <c r="BX579" s="216"/>
      <c r="BY579" s="216"/>
      <c r="BZ579" s="216"/>
      <c r="CA579" s="216"/>
      <c r="CB579" s="216"/>
      <c r="CC579" s="216"/>
      <c r="CD579" s="216"/>
      <c r="CE579" s="216"/>
      <c r="CF579" s="216"/>
      <c r="CG579" s="216"/>
      <c r="CH579" s="216"/>
      <c r="CI579" s="216"/>
      <c r="CJ579" s="216"/>
      <c r="CK579" s="216"/>
      <c r="CL579" s="216"/>
      <c r="CM579" s="216"/>
      <c r="CN579" s="216"/>
      <c r="CO579" s="216"/>
      <c r="CP579" s="216"/>
      <c r="CQ579" s="216"/>
      <c r="CR579" s="216"/>
      <c r="CS579" s="216"/>
      <c r="CT579" s="216"/>
      <c r="CU579" s="216"/>
      <c r="CV579" s="216"/>
      <c r="CW579" s="216"/>
      <c r="CX579" s="216"/>
      <c r="CY579" s="216"/>
    </row>
    <row r="580" spans="1:103" ht="12.75" x14ac:dyDescent="0.2">
      <c r="A580" s="214"/>
      <c r="B580" s="214"/>
      <c r="C580" s="214"/>
      <c r="D580" s="214"/>
      <c r="E580" s="214"/>
      <c r="F580" s="214"/>
      <c r="G580" s="214"/>
      <c r="H580" s="214"/>
      <c r="I580" s="214"/>
      <c r="J580" s="214"/>
      <c r="K580" s="214"/>
      <c r="L580" s="214"/>
      <c r="M580" s="214"/>
      <c r="N580" s="215"/>
      <c r="O580" s="215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16"/>
      <c r="AN580" s="216"/>
      <c r="AO580" s="216"/>
      <c r="AP580" s="216"/>
      <c r="AQ580" s="216"/>
      <c r="AR580" s="216"/>
      <c r="AS580" s="216"/>
      <c r="AT580" s="216"/>
      <c r="AU580" s="216"/>
      <c r="AV580" s="216"/>
      <c r="AW580" s="216"/>
      <c r="AX580" s="216"/>
      <c r="AY580" s="216"/>
      <c r="AZ580" s="216"/>
      <c r="BA580" s="216"/>
      <c r="BB580" s="216"/>
      <c r="BC580" s="216"/>
      <c r="BD580" s="216"/>
      <c r="BE580" s="216"/>
      <c r="BF580" s="216"/>
      <c r="BG580" s="216"/>
      <c r="BH580" s="216"/>
      <c r="BI580" s="216"/>
      <c r="BJ580" s="216"/>
      <c r="BK580" s="216"/>
      <c r="BL580" s="216"/>
      <c r="BM580" s="216"/>
      <c r="BN580" s="216"/>
      <c r="BO580" s="216"/>
      <c r="BP580" s="216"/>
      <c r="BQ580" s="216"/>
      <c r="BR580" s="216"/>
      <c r="BS580" s="216"/>
      <c r="BT580" s="216"/>
      <c r="BU580" s="216"/>
      <c r="BV580" s="216"/>
      <c r="BW580" s="216"/>
      <c r="BX580" s="216"/>
      <c r="BY580" s="216"/>
      <c r="BZ580" s="216"/>
      <c r="CA580" s="216"/>
      <c r="CB580" s="216"/>
      <c r="CC580" s="216"/>
      <c r="CD580" s="216"/>
      <c r="CE580" s="216"/>
      <c r="CF580" s="216"/>
      <c r="CG580" s="216"/>
      <c r="CH580" s="216"/>
      <c r="CI580" s="216"/>
      <c r="CJ580" s="216"/>
      <c r="CK580" s="216"/>
      <c r="CL580" s="216"/>
      <c r="CM580" s="216"/>
      <c r="CN580" s="216"/>
      <c r="CO580" s="216"/>
      <c r="CP580" s="216"/>
      <c r="CQ580" s="216"/>
      <c r="CR580" s="216"/>
      <c r="CS580" s="216"/>
      <c r="CT580" s="216"/>
      <c r="CU580" s="216"/>
      <c r="CV580" s="216"/>
      <c r="CW580" s="216"/>
      <c r="CX580" s="216"/>
      <c r="CY580" s="216"/>
    </row>
    <row r="581" spans="1:103" ht="12.75" x14ac:dyDescent="0.2">
      <c r="A581" s="214"/>
      <c r="B581" s="214"/>
      <c r="C581" s="214"/>
      <c r="D581" s="214"/>
      <c r="E581" s="214"/>
      <c r="F581" s="214"/>
      <c r="G581" s="214"/>
      <c r="H581" s="214"/>
      <c r="I581" s="214"/>
      <c r="J581" s="214"/>
      <c r="K581" s="214"/>
      <c r="L581" s="214"/>
      <c r="M581" s="214"/>
      <c r="N581" s="215"/>
      <c r="O581" s="215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16"/>
      <c r="AN581" s="216"/>
      <c r="AO581" s="216"/>
      <c r="AP581" s="216"/>
      <c r="AQ581" s="216"/>
      <c r="AR581" s="216"/>
      <c r="AS581" s="216"/>
      <c r="AT581" s="216"/>
      <c r="AU581" s="216"/>
      <c r="AV581" s="216"/>
      <c r="AW581" s="216"/>
      <c r="AX581" s="216"/>
      <c r="AY581" s="216"/>
      <c r="AZ581" s="216"/>
      <c r="BA581" s="216"/>
      <c r="BB581" s="216"/>
      <c r="BC581" s="216"/>
      <c r="BD581" s="216"/>
      <c r="BE581" s="216"/>
      <c r="BF581" s="216"/>
      <c r="BG581" s="216"/>
      <c r="BH581" s="216"/>
      <c r="BI581" s="216"/>
      <c r="BJ581" s="216"/>
      <c r="BK581" s="216"/>
      <c r="BL581" s="216"/>
      <c r="BM581" s="216"/>
      <c r="BN581" s="216"/>
      <c r="BO581" s="216"/>
      <c r="BP581" s="216"/>
      <c r="BQ581" s="216"/>
      <c r="BR581" s="216"/>
      <c r="BS581" s="216"/>
      <c r="BT581" s="216"/>
      <c r="BU581" s="216"/>
      <c r="BV581" s="216"/>
      <c r="BW581" s="216"/>
      <c r="BX581" s="216"/>
      <c r="BY581" s="216"/>
      <c r="BZ581" s="216"/>
      <c r="CA581" s="216"/>
      <c r="CB581" s="216"/>
      <c r="CC581" s="216"/>
      <c r="CD581" s="216"/>
      <c r="CE581" s="216"/>
      <c r="CF581" s="216"/>
      <c r="CG581" s="216"/>
      <c r="CH581" s="216"/>
      <c r="CI581" s="216"/>
      <c r="CJ581" s="216"/>
      <c r="CK581" s="216"/>
      <c r="CL581" s="216"/>
      <c r="CM581" s="216"/>
      <c r="CN581" s="216"/>
      <c r="CO581" s="216"/>
      <c r="CP581" s="216"/>
      <c r="CQ581" s="216"/>
      <c r="CR581" s="216"/>
      <c r="CS581" s="216"/>
      <c r="CT581" s="216"/>
      <c r="CU581" s="216"/>
      <c r="CV581" s="216"/>
      <c r="CW581" s="216"/>
      <c r="CX581" s="216"/>
      <c r="CY581" s="216"/>
    </row>
    <row r="582" spans="1:103" ht="12.75" x14ac:dyDescent="0.2">
      <c r="A582" s="214"/>
      <c r="B582" s="214"/>
      <c r="C582" s="214"/>
      <c r="D582" s="214"/>
      <c r="E582" s="214"/>
      <c r="F582" s="214"/>
      <c r="G582" s="214"/>
      <c r="H582" s="214"/>
      <c r="I582" s="214"/>
      <c r="J582" s="214"/>
      <c r="K582" s="214"/>
      <c r="L582" s="214"/>
      <c r="M582" s="214"/>
      <c r="N582" s="215"/>
      <c r="O582" s="215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16"/>
      <c r="AN582" s="216"/>
      <c r="AO582" s="216"/>
      <c r="AP582" s="216"/>
      <c r="AQ582" s="216"/>
      <c r="AR582" s="216"/>
      <c r="AS582" s="216"/>
      <c r="AT582" s="216"/>
      <c r="AU582" s="216"/>
      <c r="AV582" s="216"/>
      <c r="AW582" s="216"/>
      <c r="AX582" s="216"/>
      <c r="AY582" s="216"/>
      <c r="AZ582" s="216"/>
      <c r="BA582" s="216"/>
      <c r="BB582" s="216"/>
      <c r="BC582" s="216"/>
      <c r="BD582" s="216"/>
      <c r="BE582" s="216"/>
      <c r="BF582" s="216"/>
      <c r="BG582" s="216"/>
      <c r="BH582" s="216"/>
      <c r="BI582" s="216"/>
      <c r="BJ582" s="216"/>
      <c r="BK582" s="216"/>
      <c r="BL582" s="216"/>
      <c r="BM582" s="216"/>
      <c r="BN582" s="216"/>
      <c r="BO582" s="216"/>
      <c r="BP582" s="216"/>
      <c r="BQ582" s="216"/>
      <c r="BR582" s="216"/>
      <c r="BS582" s="216"/>
      <c r="BT582" s="216"/>
      <c r="BU582" s="216"/>
      <c r="BV582" s="216"/>
      <c r="BW582" s="216"/>
      <c r="BX582" s="216"/>
      <c r="BY582" s="216"/>
      <c r="BZ582" s="216"/>
      <c r="CA582" s="216"/>
      <c r="CB582" s="216"/>
      <c r="CC582" s="216"/>
      <c r="CD582" s="216"/>
      <c r="CE582" s="216"/>
      <c r="CF582" s="216"/>
      <c r="CG582" s="216"/>
      <c r="CH582" s="216"/>
      <c r="CI582" s="216"/>
      <c r="CJ582" s="216"/>
      <c r="CK582" s="216"/>
      <c r="CL582" s="216"/>
      <c r="CM582" s="216"/>
      <c r="CN582" s="216"/>
      <c r="CO582" s="216"/>
      <c r="CP582" s="216"/>
      <c r="CQ582" s="216"/>
      <c r="CR582" s="216"/>
      <c r="CS582" s="216"/>
      <c r="CT582" s="216"/>
      <c r="CU582" s="216"/>
      <c r="CV582" s="216"/>
      <c r="CW582" s="216"/>
      <c r="CX582" s="216"/>
      <c r="CY582" s="216"/>
    </row>
    <row r="583" spans="1:103" ht="12.75" x14ac:dyDescent="0.2">
      <c r="A583" s="214"/>
      <c r="B583" s="214"/>
      <c r="C583" s="214"/>
      <c r="D583" s="214"/>
      <c r="E583" s="214"/>
      <c r="F583" s="214"/>
      <c r="G583" s="214"/>
      <c r="H583" s="214"/>
      <c r="I583" s="214"/>
      <c r="J583" s="214"/>
      <c r="K583" s="214"/>
      <c r="L583" s="214"/>
      <c r="M583" s="214"/>
      <c r="N583" s="215"/>
      <c r="O583" s="215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16"/>
      <c r="AN583" s="216"/>
      <c r="AO583" s="216"/>
      <c r="AP583" s="216"/>
      <c r="AQ583" s="216"/>
      <c r="AR583" s="216"/>
      <c r="AS583" s="216"/>
      <c r="AT583" s="216"/>
      <c r="AU583" s="216"/>
      <c r="AV583" s="216"/>
      <c r="AW583" s="216"/>
      <c r="AX583" s="216"/>
      <c r="AY583" s="216"/>
      <c r="AZ583" s="216"/>
      <c r="BA583" s="216"/>
      <c r="BB583" s="216"/>
      <c r="BC583" s="216"/>
      <c r="BD583" s="216"/>
      <c r="BE583" s="216"/>
      <c r="BF583" s="216"/>
      <c r="BG583" s="216"/>
      <c r="BH583" s="216"/>
      <c r="BI583" s="216"/>
      <c r="BJ583" s="216"/>
      <c r="BK583" s="216"/>
      <c r="BL583" s="216"/>
      <c r="BM583" s="216"/>
      <c r="BN583" s="216"/>
      <c r="BO583" s="216"/>
      <c r="BP583" s="216"/>
      <c r="BQ583" s="216"/>
      <c r="BR583" s="216"/>
      <c r="BS583" s="216"/>
      <c r="BT583" s="216"/>
      <c r="BU583" s="216"/>
      <c r="BV583" s="216"/>
      <c r="BW583" s="216"/>
      <c r="BX583" s="216"/>
      <c r="BY583" s="216"/>
      <c r="BZ583" s="216"/>
      <c r="CA583" s="216"/>
      <c r="CB583" s="216"/>
      <c r="CC583" s="216"/>
      <c r="CD583" s="216"/>
      <c r="CE583" s="216"/>
      <c r="CF583" s="216"/>
      <c r="CG583" s="216"/>
      <c r="CH583" s="216"/>
      <c r="CI583" s="216"/>
      <c r="CJ583" s="216"/>
      <c r="CK583" s="216"/>
      <c r="CL583" s="216"/>
      <c r="CM583" s="216"/>
      <c r="CN583" s="216"/>
      <c r="CO583" s="216"/>
      <c r="CP583" s="216"/>
      <c r="CQ583" s="216"/>
      <c r="CR583" s="216"/>
      <c r="CS583" s="216"/>
      <c r="CT583" s="216"/>
      <c r="CU583" s="216"/>
      <c r="CV583" s="216"/>
      <c r="CW583" s="216"/>
      <c r="CX583" s="216"/>
      <c r="CY583" s="216"/>
    </row>
    <row r="584" spans="1:103" ht="12.75" x14ac:dyDescent="0.2">
      <c r="A584" s="214"/>
      <c r="B584" s="214"/>
      <c r="C584" s="214"/>
      <c r="D584" s="214"/>
      <c r="E584" s="214"/>
      <c r="F584" s="214"/>
      <c r="G584" s="214"/>
      <c r="H584" s="214"/>
      <c r="I584" s="214"/>
      <c r="J584" s="214"/>
      <c r="K584" s="214"/>
      <c r="L584" s="214"/>
      <c r="M584" s="214"/>
      <c r="N584" s="215"/>
      <c r="O584" s="215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16"/>
      <c r="AN584" s="216"/>
      <c r="AO584" s="216"/>
      <c r="AP584" s="216"/>
      <c r="AQ584" s="216"/>
      <c r="AR584" s="216"/>
      <c r="AS584" s="216"/>
      <c r="AT584" s="216"/>
      <c r="AU584" s="216"/>
      <c r="AV584" s="216"/>
      <c r="AW584" s="216"/>
      <c r="AX584" s="216"/>
      <c r="AY584" s="216"/>
      <c r="AZ584" s="216"/>
      <c r="BA584" s="216"/>
      <c r="BB584" s="216"/>
      <c r="BC584" s="216"/>
      <c r="BD584" s="216"/>
      <c r="BE584" s="216"/>
      <c r="BF584" s="216"/>
      <c r="BG584" s="216"/>
      <c r="BH584" s="216"/>
      <c r="BI584" s="216"/>
      <c r="BJ584" s="216"/>
      <c r="BK584" s="216"/>
      <c r="BL584" s="216"/>
      <c r="BM584" s="216"/>
      <c r="BN584" s="216"/>
      <c r="BO584" s="216"/>
      <c r="BP584" s="216"/>
      <c r="BQ584" s="216"/>
      <c r="BR584" s="216"/>
      <c r="BS584" s="216"/>
      <c r="BT584" s="216"/>
      <c r="BU584" s="216"/>
      <c r="BV584" s="216"/>
      <c r="BW584" s="216"/>
      <c r="BX584" s="216"/>
      <c r="BY584" s="216"/>
      <c r="BZ584" s="216"/>
      <c r="CA584" s="216"/>
      <c r="CB584" s="216"/>
      <c r="CC584" s="216"/>
      <c r="CD584" s="216"/>
      <c r="CE584" s="216"/>
      <c r="CF584" s="216"/>
      <c r="CG584" s="216"/>
      <c r="CH584" s="216"/>
      <c r="CI584" s="216"/>
      <c r="CJ584" s="216"/>
      <c r="CK584" s="216"/>
      <c r="CL584" s="216"/>
      <c r="CM584" s="216"/>
      <c r="CN584" s="216"/>
      <c r="CO584" s="216"/>
      <c r="CP584" s="216"/>
      <c r="CQ584" s="216"/>
      <c r="CR584" s="216"/>
      <c r="CS584" s="216"/>
      <c r="CT584" s="216"/>
      <c r="CU584" s="216"/>
      <c r="CV584" s="216"/>
      <c r="CW584" s="216"/>
      <c r="CX584" s="216"/>
      <c r="CY584" s="216"/>
    </row>
    <row r="585" spans="1:103" ht="12.75" x14ac:dyDescent="0.2">
      <c r="A585" s="214"/>
      <c r="B585" s="214"/>
      <c r="C585" s="214"/>
      <c r="D585" s="214"/>
      <c r="E585" s="214"/>
      <c r="F585" s="214"/>
      <c r="G585" s="214"/>
      <c r="H585" s="214"/>
      <c r="I585" s="214"/>
      <c r="J585" s="214"/>
      <c r="K585" s="214"/>
      <c r="L585" s="214"/>
      <c r="M585" s="214"/>
      <c r="N585" s="215"/>
      <c r="O585" s="215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16"/>
      <c r="AN585" s="216"/>
      <c r="AO585" s="216"/>
      <c r="AP585" s="216"/>
      <c r="AQ585" s="216"/>
      <c r="AR585" s="216"/>
      <c r="AS585" s="216"/>
      <c r="AT585" s="216"/>
      <c r="AU585" s="216"/>
      <c r="AV585" s="216"/>
      <c r="AW585" s="216"/>
      <c r="AX585" s="216"/>
      <c r="AY585" s="216"/>
      <c r="AZ585" s="216"/>
      <c r="BA585" s="216"/>
      <c r="BB585" s="216"/>
      <c r="BC585" s="216"/>
      <c r="BD585" s="216"/>
      <c r="BE585" s="216"/>
      <c r="BF585" s="216"/>
      <c r="BG585" s="216"/>
      <c r="BH585" s="216"/>
      <c r="BI585" s="216"/>
      <c r="BJ585" s="216"/>
      <c r="BK585" s="216"/>
      <c r="BL585" s="216"/>
      <c r="BM585" s="216"/>
      <c r="BN585" s="216"/>
      <c r="BO585" s="216"/>
      <c r="BP585" s="216"/>
      <c r="BQ585" s="216"/>
      <c r="BR585" s="216"/>
      <c r="BS585" s="216"/>
      <c r="BT585" s="216"/>
      <c r="BU585" s="216"/>
      <c r="BV585" s="216"/>
      <c r="BW585" s="216"/>
      <c r="BX585" s="216"/>
      <c r="BY585" s="216"/>
      <c r="BZ585" s="216"/>
      <c r="CA585" s="216"/>
      <c r="CB585" s="216"/>
      <c r="CC585" s="216"/>
      <c r="CD585" s="216"/>
      <c r="CE585" s="216"/>
      <c r="CF585" s="216"/>
      <c r="CG585" s="216"/>
      <c r="CH585" s="216"/>
      <c r="CI585" s="216"/>
      <c r="CJ585" s="216"/>
      <c r="CK585" s="216"/>
      <c r="CL585" s="216"/>
      <c r="CM585" s="216"/>
      <c r="CN585" s="216"/>
      <c r="CO585" s="216"/>
      <c r="CP585" s="216"/>
      <c r="CQ585" s="216"/>
      <c r="CR585" s="216"/>
      <c r="CS585" s="216"/>
      <c r="CT585" s="216"/>
      <c r="CU585" s="216"/>
      <c r="CV585" s="216"/>
      <c r="CW585" s="216"/>
      <c r="CX585" s="216"/>
      <c r="CY585" s="216"/>
    </row>
    <row r="586" spans="1:103" ht="12.75" x14ac:dyDescent="0.2">
      <c r="A586" s="214"/>
      <c r="B586" s="214"/>
      <c r="C586" s="214"/>
      <c r="D586" s="214"/>
      <c r="E586" s="214"/>
      <c r="F586" s="214"/>
      <c r="G586" s="214"/>
      <c r="H586" s="214"/>
      <c r="I586" s="214"/>
      <c r="J586" s="214"/>
      <c r="K586" s="214"/>
      <c r="L586" s="214"/>
      <c r="M586" s="214"/>
      <c r="N586" s="215"/>
      <c r="O586" s="215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16"/>
      <c r="AN586" s="216"/>
      <c r="AO586" s="216"/>
      <c r="AP586" s="216"/>
      <c r="AQ586" s="216"/>
      <c r="AR586" s="216"/>
      <c r="AS586" s="216"/>
      <c r="AT586" s="216"/>
      <c r="AU586" s="216"/>
      <c r="AV586" s="216"/>
      <c r="AW586" s="216"/>
      <c r="AX586" s="216"/>
      <c r="AY586" s="216"/>
      <c r="AZ586" s="216"/>
      <c r="BA586" s="216"/>
      <c r="BB586" s="216"/>
      <c r="BC586" s="216"/>
      <c r="BD586" s="216"/>
      <c r="BE586" s="216"/>
      <c r="BF586" s="216"/>
      <c r="BG586" s="216"/>
      <c r="BH586" s="216"/>
      <c r="BI586" s="216"/>
      <c r="BJ586" s="216"/>
      <c r="BK586" s="216"/>
      <c r="BL586" s="216"/>
      <c r="BM586" s="216"/>
      <c r="BN586" s="216"/>
      <c r="BO586" s="216"/>
      <c r="BP586" s="216"/>
      <c r="BQ586" s="216"/>
      <c r="BR586" s="216"/>
      <c r="BS586" s="216"/>
      <c r="BT586" s="216"/>
      <c r="BU586" s="216"/>
      <c r="BV586" s="216"/>
      <c r="BW586" s="216"/>
      <c r="BX586" s="216"/>
      <c r="BY586" s="216"/>
      <c r="BZ586" s="216"/>
      <c r="CA586" s="216"/>
      <c r="CB586" s="216"/>
      <c r="CC586" s="216"/>
      <c r="CD586" s="216"/>
      <c r="CE586" s="216"/>
      <c r="CF586" s="216"/>
      <c r="CG586" s="216"/>
      <c r="CH586" s="216"/>
      <c r="CI586" s="216"/>
      <c r="CJ586" s="216"/>
      <c r="CK586" s="216"/>
      <c r="CL586" s="216"/>
      <c r="CM586" s="216"/>
      <c r="CN586" s="216"/>
      <c r="CO586" s="216"/>
      <c r="CP586" s="216"/>
      <c r="CQ586" s="216"/>
      <c r="CR586" s="216"/>
      <c r="CS586" s="216"/>
      <c r="CT586" s="216"/>
      <c r="CU586" s="216"/>
      <c r="CV586" s="216"/>
      <c r="CW586" s="216"/>
      <c r="CX586" s="216"/>
      <c r="CY586" s="216"/>
    </row>
    <row r="587" spans="1:103" ht="12.75" x14ac:dyDescent="0.2">
      <c r="A587" s="214"/>
      <c r="B587" s="214"/>
      <c r="C587" s="214"/>
      <c r="D587" s="214"/>
      <c r="E587" s="214"/>
      <c r="F587" s="214"/>
      <c r="G587" s="214"/>
      <c r="H587" s="214"/>
      <c r="I587" s="214"/>
      <c r="J587" s="214"/>
      <c r="K587" s="214"/>
      <c r="L587" s="214"/>
      <c r="M587" s="214"/>
      <c r="N587" s="215"/>
      <c r="O587" s="215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16"/>
      <c r="AN587" s="216"/>
      <c r="AO587" s="216"/>
      <c r="AP587" s="216"/>
      <c r="AQ587" s="216"/>
      <c r="AR587" s="216"/>
      <c r="AS587" s="216"/>
      <c r="AT587" s="216"/>
      <c r="AU587" s="216"/>
      <c r="AV587" s="216"/>
      <c r="AW587" s="216"/>
      <c r="AX587" s="216"/>
      <c r="AY587" s="216"/>
      <c r="AZ587" s="216"/>
      <c r="BA587" s="216"/>
      <c r="BB587" s="216"/>
      <c r="BC587" s="216"/>
      <c r="BD587" s="216"/>
      <c r="BE587" s="216"/>
      <c r="BF587" s="216"/>
      <c r="BG587" s="216"/>
      <c r="BH587" s="216"/>
      <c r="BI587" s="216"/>
      <c r="BJ587" s="216"/>
      <c r="BK587" s="216"/>
      <c r="BL587" s="216"/>
      <c r="BM587" s="216"/>
      <c r="BN587" s="216"/>
      <c r="BO587" s="216"/>
      <c r="BP587" s="216"/>
      <c r="BQ587" s="216"/>
      <c r="BR587" s="216"/>
      <c r="BS587" s="216"/>
      <c r="BT587" s="216"/>
      <c r="BU587" s="216"/>
      <c r="BV587" s="216"/>
      <c r="BW587" s="216"/>
      <c r="BX587" s="216"/>
      <c r="BY587" s="216"/>
      <c r="BZ587" s="216"/>
      <c r="CA587" s="216"/>
      <c r="CB587" s="216"/>
      <c r="CC587" s="216"/>
      <c r="CD587" s="216"/>
      <c r="CE587" s="216"/>
      <c r="CF587" s="216"/>
      <c r="CG587" s="216"/>
      <c r="CH587" s="216"/>
      <c r="CI587" s="216"/>
      <c r="CJ587" s="216"/>
      <c r="CK587" s="216"/>
      <c r="CL587" s="216"/>
      <c r="CM587" s="216"/>
      <c r="CN587" s="216"/>
      <c r="CO587" s="216"/>
      <c r="CP587" s="216"/>
      <c r="CQ587" s="216"/>
      <c r="CR587" s="216"/>
      <c r="CS587" s="216"/>
      <c r="CT587" s="216"/>
      <c r="CU587" s="216"/>
      <c r="CV587" s="216"/>
      <c r="CW587" s="216"/>
      <c r="CX587" s="216"/>
      <c r="CY587" s="216"/>
    </row>
    <row r="588" spans="1:103" ht="12.75" x14ac:dyDescent="0.2">
      <c r="A588" s="214"/>
      <c r="B588" s="214"/>
      <c r="C588" s="214"/>
      <c r="D588" s="214"/>
      <c r="E588" s="214"/>
      <c r="F588" s="214"/>
      <c r="G588" s="214"/>
      <c r="H588" s="214"/>
      <c r="I588" s="214"/>
      <c r="J588" s="214"/>
      <c r="K588" s="214"/>
      <c r="L588" s="214"/>
      <c r="M588" s="214"/>
      <c r="N588" s="215"/>
      <c r="O588" s="215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16"/>
      <c r="AN588" s="216"/>
      <c r="AO588" s="216"/>
      <c r="AP588" s="216"/>
      <c r="AQ588" s="216"/>
      <c r="AR588" s="216"/>
      <c r="AS588" s="216"/>
      <c r="AT588" s="216"/>
      <c r="AU588" s="216"/>
      <c r="AV588" s="216"/>
      <c r="AW588" s="216"/>
      <c r="AX588" s="216"/>
      <c r="AY588" s="216"/>
      <c r="AZ588" s="216"/>
      <c r="BA588" s="216"/>
      <c r="BB588" s="216"/>
      <c r="BC588" s="216"/>
      <c r="BD588" s="216"/>
      <c r="BE588" s="216"/>
      <c r="BF588" s="216"/>
      <c r="BG588" s="216"/>
      <c r="BH588" s="216"/>
      <c r="BI588" s="216"/>
      <c r="BJ588" s="216"/>
      <c r="BK588" s="216"/>
      <c r="BL588" s="216"/>
      <c r="BM588" s="216"/>
      <c r="BN588" s="216"/>
      <c r="BO588" s="216"/>
      <c r="BP588" s="216"/>
      <c r="BQ588" s="216"/>
      <c r="BR588" s="216"/>
      <c r="BS588" s="216"/>
      <c r="BT588" s="216"/>
      <c r="BU588" s="216"/>
      <c r="BV588" s="216"/>
      <c r="BW588" s="216"/>
      <c r="BX588" s="216"/>
      <c r="BY588" s="216"/>
      <c r="BZ588" s="216"/>
      <c r="CA588" s="216"/>
      <c r="CB588" s="216"/>
      <c r="CC588" s="216"/>
      <c r="CD588" s="216"/>
      <c r="CE588" s="216"/>
      <c r="CF588" s="216"/>
      <c r="CG588" s="216"/>
      <c r="CH588" s="216"/>
      <c r="CI588" s="216"/>
      <c r="CJ588" s="216"/>
      <c r="CK588" s="216"/>
      <c r="CL588" s="216"/>
      <c r="CM588" s="216"/>
      <c r="CN588" s="216"/>
      <c r="CO588" s="216"/>
      <c r="CP588" s="216"/>
      <c r="CQ588" s="216"/>
      <c r="CR588" s="216"/>
      <c r="CS588" s="216"/>
      <c r="CT588" s="216"/>
      <c r="CU588" s="216"/>
      <c r="CV588" s="216"/>
      <c r="CW588" s="216"/>
      <c r="CX588" s="216"/>
      <c r="CY588" s="216"/>
    </row>
    <row r="589" spans="1:103" ht="12.75" x14ac:dyDescent="0.2">
      <c r="A589" s="214"/>
      <c r="B589" s="214"/>
      <c r="C589" s="214"/>
      <c r="D589" s="214"/>
      <c r="E589" s="214"/>
      <c r="F589" s="214"/>
      <c r="G589" s="214"/>
      <c r="H589" s="214"/>
      <c r="I589" s="214"/>
      <c r="J589" s="214"/>
      <c r="K589" s="214"/>
      <c r="L589" s="214"/>
      <c r="M589" s="214"/>
      <c r="N589" s="215"/>
      <c r="O589" s="215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16"/>
      <c r="BB589" s="216"/>
      <c r="BC589" s="216"/>
      <c r="BD589" s="216"/>
      <c r="BE589" s="216"/>
      <c r="BF589" s="216"/>
      <c r="BG589" s="216"/>
      <c r="BH589" s="216"/>
      <c r="BI589" s="216"/>
      <c r="BJ589" s="216"/>
      <c r="BK589" s="216"/>
      <c r="BL589" s="216"/>
      <c r="BM589" s="216"/>
      <c r="BN589" s="216"/>
      <c r="BO589" s="216"/>
      <c r="BP589" s="216"/>
      <c r="BQ589" s="216"/>
      <c r="BR589" s="216"/>
      <c r="BS589" s="216"/>
      <c r="BT589" s="216"/>
      <c r="BU589" s="216"/>
      <c r="BV589" s="216"/>
      <c r="BW589" s="216"/>
      <c r="BX589" s="216"/>
      <c r="BY589" s="216"/>
      <c r="BZ589" s="216"/>
      <c r="CA589" s="216"/>
      <c r="CB589" s="216"/>
      <c r="CC589" s="216"/>
      <c r="CD589" s="216"/>
      <c r="CE589" s="216"/>
      <c r="CF589" s="216"/>
      <c r="CG589" s="216"/>
      <c r="CH589" s="216"/>
      <c r="CI589" s="216"/>
      <c r="CJ589" s="216"/>
      <c r="CK589" s="216"/>
      <c r="CL589" s="216"/>
      <c r="CM589" s="216"/>
      <c r="CN589" s="216"/>
      <c r="CO589" s="216"/>
      <c r="CP589" s="216"/>
      <c r="CQ589" s="216"/>
      <c r="CR589" s="216"/>
      <c r="CS589" s="216"/>
      <c r="CT589" s="216"/>
      <c r="CU589" s="216"/>
      <c r="CV589" s="216"/>
      <c r="CW589" s="216"/>
      <c r="CX589" s="216"/>
      <c r="CY589" s="216"/>
    </row>
    <row r="590" spans="1:103" ht="12.75" x14ac:dyDescent="0.2">
      <c r="A590" s="214"/>
      <c r="B590" s="214"/>
      <c r="C590" s="214"/>
      <c r="D590" s="214"/>
      <c r="E590" s="214"/>
      <c r="F590" s="214"/>
      <c r="G590" s="214"/>
      <c r="H590" s="214"/>
      <c r="I590" s="214"/>
      <c r="J590" s="214"/>
      <c r="K590" s="214"/>
      <c r="L590" s="214"/>
      <c r="M590" s="214"/>
      <c r="N590" s="215"/>
      <c r="O590" s="215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16"/>
      <c r="BB590" s="216"/>
      <c r="BC590" s="216"/>
      <c r="BD590" s="216"/>
      <c r="BE590" s="216"/>
      <c r="BF590" s="216"/>
      <c r="BG590" s="216"/>
      <c r="BH590" s="216"/>
      <c r="BI590" s="216"/>
      <c r="BJ590" s="216"/>
      <c r="BK590" s="216"/>
      <c r="BL590" s="216"/>
      <c r="BM590" s="216"/>
      <c r="BN590" s="216"/>
      <c r="BO590" s="216"/>
      <c r="BP590" s="216"/>
      <c r="BQ590" s="216"/>
      <c r="BR590" s="216"/>
      <c r="BS590" s="216"/>
      <c r="BT590" s="216"/>
      <c r="BU590" s="216"/>
      <c r="BV590" s="216"/>
      <c r="BW590" s="216"/>
      <c r="BX590" s="216"/>
      <c r="BY590" s="216"/>
      <c r="BZ590" s="216"/>
      <c r="CA590" s="216"/>
      <c r="CB590" s="216"/>
      <c r="CC590" s="216"/>
      <c r="CD590" s="216"/>
      <c r="CE590" s="216"/>
      <c r="CF590" s="216"/>
      <c r="CG590" s="216"/>
      <c r="CH590" s="216"/>
      <c r="CI590" s="216"/>
      <c r="CJ590" s="216"/>
      <c r="CK590" s="216"/>
      <c r="CL590" s="216"/>
      <c r="CM590" s="216"/>
      <c r="CN590" s="216"/>
      <c r="CO590" s="216"/>
      <c r="CP590" s="216"/>
      <c r="CQ590" s="216"/>
      <c r="CR590" s="216"/>
      <c r="CS590" s="216"/>
      <c r="CT590" s="216"/>
      <c r="CU590" s="216"/>
      <c r="CV590" s="216"/>
      <c r="CW590" s="216"/>
      <c r="CX590" s="216"/>
      <c r="CY590" s="216"/>
    </row>
    <row r="591" spans="1:103" ht="12.75" x14ac:dyDescent="0.2">
      <c r="A591" s="214"/>
      <c r="B591" s="214"/>
      <c r="C591" s="214"/>
      <c r="D591" s="214"/>
      <c r="E591" s="214"/>
      <c r="F591" s="214"/>
      <c r="G591" s="214"/>
      <c r="H591" s="214"/>
      <c r="I591" s="214"/>
      <c r="J591" s="214"/>
      <c r="K591" s="214"/>
      <c r="L591" s="214"/>
      <c r="M591" s="214"/>
      <c r="N591" s="215"/>
      <c r="O591" s="215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  <c r="BL591" s="216"/>
      <c r="BM591" s="216"/>
      <c r="BN591" s="216"/>
      <c r="BO591" s="216"/>
      <c r="BP591" s="216"/>
      <c r="BQ591" s="216"/>
      <c r="BR591" s="216"/>
      <c r="BS591" s="216"/>
      <c r="BT591" s="216"/>
      <c r="BU591" s="216"/>
      <c r="BV591" s="216"/>
      <c r="BW591" s="216"/>
      <c r="BX591" s="216"/>
      <c r="BY591" s="216"/>
      <c r="BZ591" s="216"/>
      <c r="CA591" s="216"/>
      <c r="CB591" s="216"/>
      <c r="CC591" s="216"/>
      <c r="CD591" s="216"/>
      <c r="CE591" s="216"/>
      <c r="CF591" s="216"/>
      <c r="CG591" s="216"/>
      <c r="CH591" s="216"/>
      <c r="CI591" s="216"/>
      <c r="CJ591" s="216"/>
      <c r="CK591" s="216"/>
      <c r="CL591" s="216"/>
      <c r="CM591" s="216"/>
      <c r="CN591" s="216"/>
      <c r="CO591" s="216"/>
      <c r="CP591" s="216"/>
      <c r="CQ591" s="216"/>
      <c r="CR591" s="216"/>
      <c r="CS591" s="216"/>
      <c r="CT591" s="216"/>
      <c r="CU591" s="216"/>
      <c r="CV591" s="216"/>
      <c r="CW591" s="216"/>
      <c r="CX591" s="216"/>
      <c r="CY591" s="216"/>
    </row>
    <row r="592" spans="1:103" ht="12.75" x14ac:dyDescent="0.2">
      <c r="A592" s="214"/>
      <c r="B592" s="214"/>
      <c r="C592" s="214"/>
      <c r="D592" s="214"/>
      <c r="E592" s="214"/>
      <c r="F592" s="214"/>
      <c r="G592" s="214"/>
      <c r="H592" s="214"/>
      <c r="I592" s="214"/>
      <c r="J592" s="214"/>
      <c r="K592" s="214"/>
      <c r="L592" s="214"/>
      <c r="M592" s="214"/>
      <c r="N592" s="215"/>
      <c r="O592" s="215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6"/>
      <c r="BN592" s="216"/>
      <c r="BO592" s="216"/>
      <c r="BP592" s="216"/>
      <c r="BQ592" s="216"/>
      <c r="BR592" s="216"/>
      <c r="BS592" s="216"/>
      <c r="BT592" s="216"/>
      <c r="BU592" s="216"/>
      <c r="BV592" s="216"/>
      <c r="BW592" s="216"/>
      <c r="BX592" s="216"/>
      <c r="BY592" s="216"/>
      <c r="BZ592" s="216"/>
      <c r="CA592" s="216"/>
      <c r="CB592" s="216"/>
      <c r="CC592" s="216"/>
      <c r="CD592" s="216"/>
      <c r="CE592" s="216"/>
      <c r="CF592" s="216"/>
      <c r="CG592" s="216"/>
      <c r="CH592" s="216"/>
      <c r="CI592" s="216"/>
      <c r="CJ592" s="216"/>
      <c r="CK592" s="216"/>
      <c r="CL592" s="216"/>
      <c r="CM592" s="216"/>
      <c r="CN592" s="216"/>
      <c r="CO592" s="216"/>
      <c r="CP592" s="216"/>
      <c r="CQ592" s="216"/>
      <c r="CR592" s="216"/>
      <c r="CS592" s="216"/>
      <c r="CT592" s="216"/>
      <c r="CU592" s="216"/>
      <c r="CV592" s="216"/>
      <c r="CW592" s="216"/>
      <c r="CX592" s="216"/>
      <c r="CY592" s="216"/>
    </row>
    <row r="593" spans="1:103" ht="12.75" x14ac:dyDescent="0.2">
      <c r="A593" s="214"/>
      <c r="B593" s="214"/>
      <c r="C593" s="214"/>
      <c r="D593" s="214"/>
      <c r="E593" s="214"/>
      <c r="F593" s="214"/>
      <c r="G593" s="214"/>
      <c r="H593" s="214"/>
      <c r="I593" s="214"/>
      <c r="J593" s="214"/>
      <c r="K593" s="214"/>
      <c r="L593" s="214"/>
      <c r="M593" s="214"/>
      <c r="N593" s="215"/>
      <c r="O593" s="215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16"/>
      <c r="BN593" s="216"/>
      <c r="BO593" s="216"/>
      <c r="BP593" s="216"/>
      <c r="BQ593" s="216"/>
      <c r="BR593" s="216"/>
      <c r="BS593" s="216"/>
      <c r="BT593" s="216"/>
      <c r="BU593" s="216"/>
      <c r="BV593" s="216"/>
      <c r="BW593" s="216"/>
      <c r="BX593" s="216"/>
      <c r="BY593" s="216"/>
      <c r="BZ593" s="216"/>
      <c r="CA593" s="216"/>
      <c r="CB593" s="216"/>
      <c r="CC593" s="216"/>
      <c r="CD593" s="216"/>
      <c r="CE593" s="216"/>
      <c r="CF593" s="216"/>
      <c r="CG593" s="216"/>
      <c r="CH593" s="216"/>
      <c r="CI593" s="216"/>
      <c r="CJ593" s="216"/>
      <c r="CK593" s="216"/>
      <c r="CL593" s="216"/>
      <c r="CM593" s="216"/>
      <c r="CN593" s="216"/>
      <c r="CO593" s="216"/>
      <c r="CP593" s="216"/>
      <c r="CQ593" s="216"/>
      <c r="CR593" s="216"/>
      <c r="CS593" s="216"/>
      <c r="CT593" s="216"/>
      <c r="CU593" s="216"/>
      <c r="CV593" s="216"/>
      <c r="CW593" s="216"/>
      <c r="CX593" s="216"/>
      <c r="CY593" s="216"/>
    </row>
    <row r="594" spans="1:103" ht="12.75" x14ac:dyDescent="0.2">
      <c r="A594" s="214"/>
      <c r="B594" s="214"/>
      <c r="C594" s="214"/>
      <c r="D594" s="214"/>
      <c r="E594" s="214"/>
      <c r="F594" s="214"/>
      <c r="G594" s="214"/>
      <c r="H594" s="214"/>
      <c r="I594" s="214"/>
      <c r="J594" s="214"/>
      <c r="K594" s="214"/>
      <c r="L594" s="214"/>
      <c r="M594" s="214"/>
      <c r="N594" s="215"/>
      <c r="O594" s="215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16"/>
      <c r="BN594" s="216"/>
      <c r="BO594" s="216"/>
      <c r="BP594" s="216"/>
      <c r="BQ594" s="216"/>
      <c r="BR594" s="216"/>
      <c r="BS594" s="216"/>
      <c r="BT594" s="216"/>
      <c r="BU594" s="216"/>
      <c r="BV594" s="216"/>
      <c r="BW594" s="216"/>
      <c r="BX594" s="216"/>
      <c r="BY594" s="216"/>
      <c r="BZ594" s="216"/>
      <c r="CA594" s="216"/>
      <c r="CB594" s="216"/>
      <c r="CC594" s="216"/>
      <c r="CD594" s="216"/>
      <c r="CE594" s="216"/>
      <c r="CF594" s="216"/>
      <c r="CG594" s="216"/>
      <c r="CH594" s="216"/>
      <c r="CI594" s="216"/>
      <c r="CJ594" s="216"/>
      <c r="CK594" s="216"/>
      <c r="CL594" s="216"/>
      <c r="CM594" s="216"/>
      <c r="CN594" s="216"/>
      <c r="CO594" s="216"/>
      <c r="CP594" s="216"/>
      <c r="CQ594" s="216"/>
      <c r="CR594" s="216"/>
      <c r="CS594" s="216"/>
      <c r="CT594" s="216"/>
      <c r="CU594" s="216"/>
      <c r="CV594" s="216"/>
      <c r="CW594" s="216"/>
      <c r="CX594" s="216"/>
      <c r="CY594" s="216"/>
    </row>
    <row r="595" spans="1:103" ht="12.75" x14ac:dyDescent="0.2">
      <c r="A595" s="214"/>
      <c r="B595" s="214"/>
      <c r="C595" s="214"/>
      <c r="D595" s="214"/>
      <c r="E595" s="214"/>
      <c r="F595" s="214"/>
      <c r="G595" s="214"/>
      <c r="H595" s="214"/>
      <c r="I595" s="214"/>
      <c r="J595" s="214"/>
      <c r="K595" s="214"/>
      <c r="L595" s="214"/>
      <c r="M595" s="214"/>
      <c r="N595" s="215"/>
      <c r="O595" s="215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16"/>
      <c r="BN595" s="216"/>
      <c r="BO595" s="216"/>
      <c r="BP595" s="216"/>
      <c r="BQ595" s="216"/>
      <c r="BR595" s="216"/>
      <c r="BS595" s="216"/>
      <c r="BT595" s="216"/>
      <c r="BU595" s="216"/>
      <c r="BV595" s="216"/>
      <c r="BW595" s="216"/>
      <c r="BX595" s="216"/>
      <c r="BY595" s="216"/>
      <c r="BZ595" s="216"/>
      <c r="CA595" s="216"/>
      <c r="CB595" s="216"/>
      <c r="CC595" s="216"/>
      <c r="CD595" s="216"/>
      <c r="CE595" s="216"/>
      <c r="CF595" s="216"/>
      <c r="CG595" s="216"/>
      <c r="CH595" s="216"/>
      <c r="CI595" s="216"/>
      <c r="CJ595" s="216"/>
      <c r="CK595" s="216"/>
      <c r="CL595" s="216"/>
      <c r="CM595" s="216"/>
      <c r="CN595" s="216"/>
      <c r="CO595" s="216"/>
      <c r="CP595" s="216"/>
      <c r="CQ595" s="216"/>
      <c r="CR595" s="216"/>
      <c r="CS595" s="216"/>
      <c r="CT595" s="216"/>
      <c r="CU595" s="216"/>
      <c r="CV595" s="216"/>
      <c r="CW595" s="216"/>
      <c r="CX595" s="216"/>
      <c r="CY595" s="216"/>
    </row>
    <row r="596" spans="1:103" ht="12.75" x14ac:dyDescent="0.2">
      <c r="A596" s="214"/>
      <c r="B596" s="214"/>
      <c r="C596" s="214"/>
      <c r="D596" s="214"/>
      <c r="E596" s="214"/>
      <c r="F596" s="214"/>
      <c r="G596" s="214"/>
      <c r="H596" s="214"/>
      <c r="I596" s="214"/>
      <c r="J596" s="214"/>
      <c r="K596" s="214"/>
      <c r="L596" s="214"/>
      <c r="M596" s="214"/>
      <c r="N596" s="215"/>
      <c r="O596" s="215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216"/>
      <c r="AR596" s="216"/>
      <c r="AS596" s="216"/>
      <c r="AT596" s="216"/>
      <c r="AU596" s="216"/>
      <c r="AV596" s="216"/>
      <c r="AW596" s="216"/>
      <c r="AX596" s="216"/>
      <c r="AY596" s="216"/>
      <c r="AZ596" s="216"/>
      <c r="BA596" s="216"/>
      <c r="BB596" s="216"/>
      <c r="BC596" s="216"/>
      <c r="BD596" s="216"/>
      <c r="BE596" s="216"/>
      <c r="BF596" s="216"/>
      <c r="BG596" s="216"/>
      <c r="BH596" s="216"/>
      <c r="BI596" s="216"/>
      <c r="BJ596" s="216"/>
      <c r="BK596" s="216"/>
      <c r="BL596" s="216"/>
      <c r="BM596" s="216"/>
      <c r="BN596" s="216"/>
      <c r="BO596" s="216"/>
      <c r="BP596" s="216"/>
      <c r="BQ596" s="216"/>
      <c r="BR596" s="216"/>
      <c r="BS596" s="216"/>
      <c r="BT596" s="216"/>
      <c r="BU596" s="216"/>
      <c r="BV596" s="216"/>
      <c r="BW596" s="216"/>
      <c r="BX596" s="216"/>
      <c r="BY596" s="216"/>
      <c r="BZ596" s="216"/>
      <c r="CA596" s="216"/>
      <c r="CB596" s="216"/>
      <c r="CC596" s="216"/>
      <c r="CD596" s="216"/>
      <c r="CE596" s="216"/>
      <c r="CF596" s="216"/>
      <c r="CG596" s="216"/>
      <c r="CH596" s="216"/>
      <c r="CI596" s="216"/>
      <c r="CJ596" s="216"/>
      <c r="CK596" s="216"/>
      <c r="CL596" s="216"/>
      <c r="CM596" s="216"/>
      <c r="CN596" s="216"/>
      <c r="CO596" s="216"/>
      <c r="CP596" s="216"/>
      <c r="CQ596" s="216"/>
      <c r="CR596" s="216"/>
      <c r="CS596" s="216"/>
      <c r="CT596" s="216"/>
      <c r="CU596" s="216"/>
      <c r="CV596" s="216"/>
      <c r="CW596" s="216"/>
      <c r="CX596" s="216"/>
      <c r="CY596" s="216"/>
    </row>
    <row r="597" spans="1:103" ht="12.75" x14ac:dyDescent="0.2">
      <c r="A597" s="214"/>
      <c r="B597" s="214"/>
      <c r="C597" s="214"/>
      <c r="D597" s="214"/>
      <c r="E597" s="214"/>
      <c r="F597" s="214"/>
      <c r="G597" s="214"/>
      <c r="H597" s="214"/>
      <c r="I597" s="214"/>
      <c r="J597" s="214"/>
      <c r="K597" s="214"/>
      <c r="L597" s="214"/>
      <c r="M597" s="214"/>
      <c r="N597" s="215"/>
      <c r="O597" s="215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216"/>
      <c r="AR597" s="216"/>
      <c r="AS597" s="216"/>
      <c r="AT597" s="216"/>
      <c r="AU597" s="216"/>
      <c r="AV597" s="216"/>
      <c r="AW597" s="216"/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  <c r="BL597" s="216"/>
      <c r="BM597" s="216"/>
      <c r="BN597" s="216"/>
      <c r="BO597" s="216"/>
      <c r="BP597" s="216"/>
      <c r="BQ597" s="216"/>
      <c r="BR597" s="216"/>
      <c r="BS597" s="216"/>
      <c r="BT597" s="216"/>
      <c r="BU597" s="216"/>
      <c r="BV597" s="216"/>
      <c r="BW597" s="216"/>
      <c r="BX597" s="216"/>
      <c r="BY597" s="216"/>
      <c r="BZ597" s="216"/>
      <c r="CA597" s="216"/>
      <c r="CB597" s="216"/>
      <c r="CC597" s="216"/>
      <c r="CD597" s="216"/>
      <c r="CE597" s="216"/>
      <c r="CF597" s="216"/>
      <c r="CG597" s="216"/>
      <c r="CH597" s="216"/>
      <c r="CI597" s="216"/>
      <c r="CJ597" s="216"/>
      <c r="CK597" s="216"/>
      <c r="CL597" s="216"/>
      <c r="CM597" s="216"/>
      <c r="CN597" s="216"/>
      <c r="CO597" s="216"/>
      <c r="CP597" s="216"/>
      <c r="CQ597" s="216"/>
      <c r="CR597" s="216"/>
      <c r="CS597" s="216"/>
      <c r="CT597" s="216"/>
      <c r="CU597" s="216"/>
      <c r="CV597" s="216"/>
      <c r="CW597" s="216"/>
      <c r="CX597" s="216"/>
      <c r="CY597" s="216"/>
    </row>
    <row r="598" spans="1:103" ht="12.75" x14ac:dyDescent="0.2">
      <c r="A598" s="214"/>
      <c r="B598" s="214"/>
      <c r="C598" s="214"/>
      <c r="D598" s="214"/>
      <c r="E598" s="214"/>
      <c r="F598" s="214"/>
      <c r="G598" s="214"/>
      <c r="H598" s="214"/>
      <c r="I598" s="214"/>
      <c r="J598" s="214"/>
      <c r="K598" s="214"/>
      <c r="L598" s="214"/>
      <c r="M598" s="214"/>
      <c r="N598" s="215"/>
      <c r="O598" s="215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16"/>
      <c r="AN598" s="216"/>
      <c r="AO598" s="216"/>
      <c r="AP598" s="216"/>
      <c r="AQ598" s="216"/>
      <c r="AR598" s="216"/>
      <c r="AS598" s="216"/>
      <c r="AT598" s="216"/>
      <c r="AU598" s="216"/>
      <c r="AV598" s="216"/>
      <c r="AW598" s="216"/>
      <c r="AX598" s="216"/>
      <c r="AY598" s="216"/>
      <c r="AZ598" s="216"/>
      <c r="BA598" s="216"/>
      <c r="BB598" s="216"/>
      <c r="BC598" s="216"/>
      <c r="BD598" s="216"/>
      <c r="BE598" s="216"/>
      <c r="BF598" s="216"/>
      <c r="BG598" s="216"/>
      <c r="BH598" s="216"/>
      <c r="BI598" s="216"/>
      <c r="BJ598" s="216"/>
      <c r="BK598" s="216"/>
      <c r="BL598" s="216"/>
      <c r="BM598" s="216"/>
      <c r="BN598" s="216"/>
      <c r="BO598" s="216"/>
      <c r="BP598" s="216"/>
      <c r="BQ598" s="216"/>
      <c r="BR598" s="216"/>
      <c r="BS598" s="216"/>
      <c r="BT598" s="216"/>
      <c r="BU598" s="216"/>
      <c r="BV598" s="216"/>
      <c r="BW598" s="216"/>
      <c r="BX598" s="216"/>
      <c r="BY598" s="216"/>
      <c r="BZ598" s="216"/>
      <c r="CA598" s="216"/>
      <c r="CB598" s="216"/>
      <c r="CC598" s="216"/>
      <c r="CD598" s="216"/>
      <c r="CE598" s="216"/>
      <c r="CF598" s="216"/>
      <c r="CG598" s="216"/>
      <c r="CH598" s="216"/>
      <c r="CI598" s="216"/>
      <c r="CJ598" s="216"/>
      <c r="CK598" s="216"/>
      <c r="CL598" s="216"/>
      <c r="CM598" s="216"/>
      <c r="CN598" s="216"/>
      <c r="CO598" s="216"/>
      <c r="CP598" s="216"/>
      <c r="CQ598" s="216"/>
      <c r="CR598" s="216"/>
      <c r="CS598" s="216"/>
      <c r="CT598" s="216"/>
      <c r="CU598" s="216"/>
      <c r="CV598" s="216"/>
      <c r="CW598" s="216"/>
      <c r="CX598" s="216"/>
      <c r="CY598" s="216"/>
    </row>
    <row r="599" spans="1:103" ht="12.75" x14ac:dyDescent="0.2">
      <c r="A599" s="214"/>
      <c r="B599" s="214"/>
      <c r="C599" s="214"/>
      <c r="D599" s="214"/>
      <c r="E599" s="214"/>
      <c r="F599" s="214"/>
      <c r="G599" s="214"/>
      <c r="H599" s="214"/>
      <c r="I599" s="214"/>
      <c r="J599" s="214"/>
      <c r="K599" s="214"/>
      <c r="L599" s="214"/>
      <c r="M599" s="214"/>
      <c r="N599" s="215"/>
      <c r="O599" s="215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16"/>
      <c r="AN599" s="216"/>
      <c r="AO599" s="216"/>
      <c r="AP599" s="216"/>
      <c r="AQ599" s="216"/>
      <c r="AR599" s="216"/>
      <c r="AS599" s="216"/>
      <c r="AT599" s="216"/>
      <c r="AU599" s="216"/>
      <c r="AV599" s="216"/>
      <c r="AW599" s="216"/>
      <c r="AX599" s="216"/>
      <c r="AY599" s="216"/>
      <c r="AZ599" s="216"/>
      <c r="BA599" s="216"/>
      <c r="BB599" s="216"/>
      <c r="BC599" s="216"/>
      <c r="BD599" s="216"/>
      <c r="BE599" s="216"/>
      <c r="BF599" s="216"/>
      <c r="BG599" s="216"/>
      <c r="BH599" s="216"/>
      <c r="BI599" s="216"/>
      <c r="BJ599" s="216"/>
      <c r="BK599" s="216"/>
      <c r="BL599" s="216"/>
      <c r="BM599" s="216"/>
      <c r="BN599" s="216"/>
      <c r="BO599" s="216"/>
      <c r="BP599" s="216"/>
      <c r="BQ599" s="216"/>
      <c r="BR599" s="216"/>
      <c r="BS599" s="216"/>
      <c r="BT599" s="216"/>
      <c r="BU599" s="216"/>
      <c r="BV599" s="216"/>
      <c r="BW599" s="216"/>
      <c r="BX599" s="216"/>
      <c r="BY599" s="216"/>
      <c r="BZ599" s="216"/>
      <c r="CA599" s="216"/>
      <c r="CB599" s="216"/>
      <c r="CC599" s="216"/>
      <c r="CD599" s="216"/>
      <c r="CE599" s="216"/>
      <c r="CF599" s="216"/>
      <c r="CG599" s="216"/>
      <c r="CH599" s="216"/>
      <c r="CI599" s="216"/>
      <c r="CJ599" s="216"/>
      <c r="CK599" s="216"/>
      <c r="CL599" s="216"/>
      <c r="CM599" s="216"/>
      <c r="CN599" s="216"/>
      <c r="CO599" s="216"/>
      <c r="CP599" s="216"/>
      <c r="CQ599" s="216"/>
      <c r="CR599" s="216"/>
      <c r="CS599" s="216"/>
      <c r="CT599" s="216"/>
      <c r="CU599" s="216"/>
      <c r="CV599" s="216"/>
      <c r="CW599" s="216"/>
      <c r="CX599" s="216"/>
      <c r="CY599" s="216"/>
    </row>
    <row r="600" spans="1:103" ht="12.75" x14ac:dyDescent="0.2">
      <c r="A600" s="214"/>
      <c r="B600" s="214"/>
      <c r="C600" s="214"/>
      <c r="D600" s="214"/>
      <c r="E600" s="214"/>
      <c r="F600" s="214"/>
      <c r="G600" s="214"/>
      <c r="H600" s="214"/>
      <c r="I600" s="214"/>
      <c r="J600" s="214"/>
      <c r="K600" s="214"/>
      <c r="L600" s="214"/>
      <c r="M600" s="214"/>
      <c r="N600" s="215"/>
      <c r="O600" s="215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16"/>
      <c r="AN600" s="216"/>
      <c r="AO600" s="216"/>
      <c r="AP600" s="216"/>
      <c r="AQ600" s="216"/>
      <c r="AR600" s="216"/>
      <c r="AS600" s="216"/>
      <c r="AT600" s="216"/>
      <c r="AU600" s="216"/>
      <c r="AV600" s="216"/>
      <c r="AW600" s="216"/>
      <c r="AX600" s="216"/>
      <c r="AY600" s="216"/>
      <c r="AZ600" s="216"/>
      <c r="BA600" s="216"/>
      <c r="BB600" s="216"/>
      <c r="BC600" s="216"/>
      <c r="BD600" s="216"/>
      <c r="BE600" s="216"/>
      <c r="BF600" s="216"/>
      <c r="BG600" s="216"/>
      <c r="BH600" s="216"/>
      <c r="BI600" s="216"/>
      <c r="BJ600" s="216"/>
      <c r="BK600" s="216"/>
      <c r="BL600" s="216"/>
      <c r="BM600" s="216"/>
      <c r="BN600" s="216"/>
      <c r="BO600" s="216"/>
      <c r="BP600" s="216"/>
      <c r="BQ600" s="216"/>
      <c r="BR600" s="216"/>
      <c r="BS600" s="216"/>
      <c r="BT600" s="216"/>
      <c r="BU600" s="216"/>
      <c r="BV600" s="216"/>
      <c r="BW600" s="216"/>
      <c r="BX600" s="216"/>
      <c r="BY600" s="216"/>
      <c r="BZ600" s="216"/>
      <c r="CA600" s="216"/>
      <c r="CB600" s="216"/>
      <c r="CC600" s="216"/>
      <c r="CD600" s="216"/>
      <c r="CE600" s="216"/>
      <c r="CF600" s="216"/>
      <c r="CG600" s="216"/>
      <c r="CH600" s="216"/>
      <c r="CI600" s="216"/>
      <c r="CJ600" s="216"/>
      <c r="CK600" s="216"/>
      <c r="CL600" s="216"/>
      <c r="CM600" s="216"/>
      <c r="CN600" s="216"/>
      <c r="CO600" s="216"/>
      <c r="CP600" s="216"/>
      <c r="CQ600" s="216"/>
      <c r="CR600" s="216"/>
      <c r="CS600" s="216"/>
      <c r="CT600" s="216"/>
      <c r="CU600" s="216"/>
      <c r="CV600" s="216"/>
      <c r="CW600" s="216"/>
      <c r="CX600" s="216"/>
      <c r="CY600" s="216"/>
    </row>
    <row r="601" spans="1:103" ht="12.75" x14ac:dyDescent="0.2">
      <c r="A601" s="214"/>
      <c r="B601" s="214"/>
      <c r="C601" s="214"/>
      <c r="D601" s="214"/>
      <c r="E601" s="214"/>
      <c r="F601" s="214"/>
      <c r="G601" s="214"/>
      <c r="H601" s="214"/>
      <c r="I601" s="214"/>
      <c r="J601" s="214"/>
      <c r="K601" s="214"/>
      <c r="L601" s="214"/>
      <c r="M601" s="214"/>
      <c r="N601" s="215"/>
      <c r="O601" s="215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16"/>
      <c r="AN601" s="216"/>
      <c r="AO601" s="216"/>
      <c r="AP601" s="216"/>
      <c r="AQ601" s="216"/>
      <c r="AR601" s="216"/>
      <c r="AS601" s="216"/>
      <c r="AT601" s="216"/>
      <c r="AU601" s="216"/>
      <c r="AV601" s="216"/>
      <c r="AW601" s="216"/>
      <c r="AX601" s="216"/>
      <c r="AY601" s="216"/>
      <c r="AZ601" s="216"/>
      <c r="BA601" s="216"/>
      <c r="BB601" s="216"/>
      <c r="BC601" s="216"/>
      <c r="BD601" s="216"/>
      <c r="BE601" s="216"/>
      <c r="BF601" s="216"/>
      <c r="BG601" s="216"/>
      <c r="BH601" s="216"/>
      <c r="BI601" s="216"/>
      <c r="BJ601" s="216"/>
      <c r="BK601" s="216"/>
      <c r="BL601" s="216"/>
      <c r="BM601" s="216"/>
      <c r="BN601" s="216"/>
      <c r="BO601" s="216"/>
      <c r="BP601" s="216"/>
      <c r="BQ601" s="216"/>
      <c r="BR601" s="216"/>
      <c r="BS601" s="216"/>
      <c r="BT601" s="216"/>
      <c r="BU601" s="216"/>
      <c r="BV601" s="216"/>
      <c r="BW601" s="216"/>
      <c r="BX601" s="216"/>
      <c r="BY601" s="216"/>
      <c r="BZ601" s="216"/>
      <c r="CA601" s="216"/>
      <c r="CB601" s="216"/>
      <c r="CC601" s="216"/>
      <c r="CD601" s="216"/>
      <c r="CE601" s="216"/>
      <c r="CF601" s="216"/>
      <c r="CG601" s="216"/>
      <c r="CH601" s="216"/>
      <c r="CI601" s="216"/>
      <c r="CJ601" s="216"/>
      <c r="CK601" s="216"/>
      <c r="CL601" s="216"/>
      <c r="CM601" s="216"/>
      <c r="CN601" s="216"/>
      <c r="CO601" s="216"/>
      <c r="CP601" s="216"/>
      <c r="CQ601" s="216"/>
      <c r="CR601" s="216"/>
      <c r="CS601" s="216"/>
      <c r="CT601" s="216"/>
      <c r="CU601" s="216"/>
      <c r="CV601" s="216"/>
      <c r="CW601" s="216"/>
      <c r="CX601" s="216"/>
      <c r="CY601" s="216"/>
    </row>
    <row r="602" spans="1:103" ht="12.75" x14ac:dyDescent="0.2">
      <c r="A602" s="214"/>
      <c r="B602" s="214"/>
      <c r="C602" s="214"/>
      <c r="D602" s="214"/>
      <c r="E602" s="214"/>
      <c r="F602" s="214"/>
      <c r="G602" s="214"/>
      <c r="H602" s="214"/>
      <c r="I602" s="214"/>
      <c r="J602" s="214"/>
      <c r="K602" s="214"/>
      <c r="L602" s="214"/>
      <c r="M602" s="214"/>
      <c r="N602" s="215"/>
      <c r="O602" s="215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16"/>
      <c r="AN602" s="216"/>
      <c r="AO602" s="216"/>
      <c r="AP602" s="216"/>
      <c r="AQ602" s="216"/>
      <c r="AR602" s="216"/>
      <c r="AS602" s="216"/>
      <c r="AT602" s="216"/>
      <c r="AU602" s="216"/>
      <c r="AV602" s="216"/>
      <c r="AW602" s="216"/>
      <c r="AX602" s="216"/>
      <c r="AY602" s="216"/>
      <c r="AZ602" s="216"/>
      <c r="BA602" s="216"/>
      <c r="BB602" s="216"/>
      <c r="BC602" s="216"/>
      <c r="BD602" s="216"/>
      <c r="BE602" s="216"/>
      <c r="BF602" s="216"/>
      <c r="BG602" s="216"/>
      <c r="BH602" s="216"/>
      <c r="BI602" s="216"/>
      <c r="BJ602" s="216"/>
      <c r="BK602" s="216"/>
      <c r="BL602" s="216"/>
      <c r="BM602" s="216"/>
      <c r="BN602" s="216"/>
      <c r="BO602" s="216"/>
      <c r="BP602" s="216"/>
      <c r="BQ602" s="216"/>
      <c r="BR602" s="216"/>
      <c r="BS602" s="216"/>
      <c r="BT602" s="216"/>
      <c r="BU602" s="216"/>
      <c r="BV602" s="216"/>
      <c r="BW602" s="216"/>
      <c r="BX602" s="216"/>
      <c r="BY602" s="216"/>
      <c r="BZ602" s="216"/>
      <c r="CA602" s="216"/>
      <c r="CB602" s="216"/>
      <c r="CC602" s="216"/>
      <c r="CD602" s="216"/>
      <c r="CE602" s="216"/>
      <c r="CF602" s="216"/>
      <c r="CG602" s="216"/>
      <c r="CH602" s="216"/>
      <c r="CI602" s="216"/>
      <c r="CJ602" s="216"/>
      <c r="CK602" s="216"/>
      <c r="CL602" s="216"/>
      <c r="CM602" s="216"/>
      <c r="CN602" s="216"/>
      <c r="CO602" s="216"/>
      <c r="CP602" s="216"/>
      <c r="CQ602" s="216"/>
      <c r="CR602" s="216"/>
      <c r="CS602" s="216"/>
      <c r="CT602" s="216"/>
      <c r="CU602" s="216"/>
      <c r="CV602" s="216"/>
      <c r="CW602" s="216"/>
      <c r="CX602" s="216"/>
      <c r="CY602" s="216"/>
    </row>
    <row r="603" spans="1:103" ht="12.75" x14ac:dyDescent="0.2">
      <c r="A603" s="214"/>
      <c r="B603" s="214"/>
      <c r="C603" s="214"/>
      <c r="D603" s="214"/>
      <c r="E603" s="214"/>
      <c r="F603" s="214"/>
      <c r="G603" s="214"/>
      <c r="H603" s="214"/>
      <c r="I603" s="214"/>
      <c r="J603" s="214"/>
      <c r="K603" s="214"/>
      <c r="L603" s="214"/>
      <c r="M603" s="214"/>
      <c r="N603" s="215"/>
      <c r="O603" s="215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16"/>
      <c r="AN603" s="216"/>
      <c r="AO603" s="216"/>
      <c r="AP603" s="216"/>
      <c r="AQ603" s="216"/>
      <c r="AR603" s="216"/>
      <c r="AS603" s="216"/>
      <c r="AT603" s="216"/>
      <c r="AU603" s="216"/>
      <c r="AV603" s="216"/>
      <c r="AW603" s="216"/>
      <c r="AX603" s="216"/>
      <c r="AY603" s="216"/>
      <c r="AZ603" s="216"/>
      <c r="BA603" s="216"/>
      <c r="BB603" s="216"/>
      <c r="BC603" s="216"/>
      <c r="BD603" s="216"/>
      <c r="BE603" s="216"/>
      <c r="BF603" s="216"/>
      <c r="BG603" s="216"/>
      <c r="BH603" s="216"/>
      <c r="BI603" s="216"/>
      <c r="BJ603" s="216"/>
      <c r="BK603" s="216"/>
      <c r="BL603" s="216"/>
      <c r="BM603" s="216"/>
      <c r="BN603" s="216"/>
      <c r="BO603" s="216"/>
      <c r="BP603" s="216"/>
      <c r="BQ603" s="216"/>
      <c r="BR603" s="216"/>
      <c r="BS603" s="216"/>
      <c r="BT603" s="216"/>
      <c r="BU603" s="216"/>
      <c r="BV603" s="216"/>
      <c r="BW603" s="216"/>
      <c r="BX603" s="216"/>
      <c r="BY603" s="216"/>
      <c r="BZ603" s="216"/>
      <c r="CA603" s="216"/>
      <c r="CB603" s="216"/>
      <c r="CC603" s="216"/>
      <c r="CD603" s="216"/>
      <c r="CE603" s="216"/>
      <c r="CF603" s="216"/>
      <c r="CG603" s="216"/>
      <c r="CH603" s="216"/>
      <c r="CI603" s="216"/>
      <c r="CJ603" s="216"/>
      <c r="CK603" s="216"/>
      <c r="CL603" s="216"/>
      <c r="CM603" s="216"/>
      <c r="CN603" s="216"/>
      <c r="CO603" s="216"/>
      <c r="CP603" s="216"/>
      <c r="CQ603" s="216"/>
      <c r="CR603" s="216"/>
      <c r="CS603" s="216"/>
      <c r="CT603" s="216"/>
      <c r="CU603" s="216"/>
      <c r="CV603" s="216"/>
      <c r="CW603" s="216"/>
      <c r="CX603" s="216"/>
      <c r="CY603" s="216"/>
    </row>
    <row r="604" spans="1:103" ht="12.75" x14ac:dyDescent="0.2">
      <c r="A604" s="214"/>
      <c r="B604" s="214"/>
      <c r="C604" s="214"/>
      <c r="D604" s="214"/>
      <c r="E604" s="214"/>
      <c r="F604" s="214"/>
      <c r="G604" s="214"/>
      <c r="H604" s="214"/>
      <c r="I604" s="214"/>
      <c r="J604" s="214"/>
      <c r="K604" s="214"/>
      <c r="L604" s="214"/>
      <c r="M604" s="214"/>
      <c r="N604" s="215"/>
      <c r="O604" s="215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16"/>
      <c r="AN604" s="216"/>
      <c r="AO604" s="216"/>
      <c r="AP604" s="216"/>
      <c r="AQ604" s="216"/>
      <c r="AR604" s="216"/>
      <c r="AS604" s="216"/>
      <c r="AT604" s="216"/>
      <c r="AU604" s="216"/>
      <c r="AV604" s="216"/>
      <c r="AW604" s="216"/>
      <c r="AX604" s="216"/>
      <c r="AY604" s="216"/>
      <c r="AZ604" s="216"/>
      <c r="BA604" s="216"/>
      <c r="BB604" s="216"/>
      <c r="BC604" s="216"/>
      <c r="BD604" s="216"/>
      <c r="BE604" s="216"/>
      <c r="BF604" s="216"/>
      <c r="BG604" s="216"/>
      <c r="BH604" s="216"/>
      <c r="BI604" s="216"/>
      <c r="BJ604" s="216"/>
      <c r="BK604" s="216"/>
      <c r="BL604" s="216"/>
      <c r="BM604" s="216"/>
      <c r="BN604" s="216"/>
      <c r="BO604" s="216"/>
      <c r="BP604" s="216"/>
      <c r="BQ604" s="216"/>
      <c r="BR604" s="216"/>
      <c r="BS604" s="216"/>
      <c r="BT604" s="216"/>
      <c r="BU604" s="216"/>
      <c r="BV604" s="216"/>
      <c r="BW604" s="216"/>
      <c r="BX604" s="216"/>
      <c r="BY604" s="216"/>
      <c r="BZ604" s="216"/>
      <c r="CA604" s="216"/>
      <c r="CB604" s="216"/>
      <c r="CC604" s="216"/>
      <c r="CD604" s="216"/>
      <c r="CE604" s="216"/>
      <c r="CF604" s="216"/>
      <c r="CG604" s="216"/>
      <c r="CH604" s="216"/>
      <c r="CI604" s="216"/>
      <c r="CJ604" s="216"/>
      <c r="CK604" s="216"/>
      <c r="CL604" s="216"/>
      <c r="CM604" s="216"/>
      <c r="CN604" s="216"/>
      <c r="CO604" s="216"/>
      <c r="CP604" s="216"/>
      <c r="CQ604" s="216"/>
      <c r="CR604" s="216"/>
      <c r="CS604" s="216"/>
      <c r="CT604" s="216"/>
      <c r="CU604" s="216"/>
      <c r="CV604" s="216"/>
      <c r="CW604" s="216"/>
      <c r="CX604" s="216"/>
      <c r="CY604" s="216"/>
    </row>
    <row r="605" spans="1:103" ht="12.75" x14ac:dyDescent="0.2">
      <c r="A605" s="214"/>
      <c r="B605" s="214"/>
      <c r="C605" s="214"/>
      <c r="D605" s="214"/>
      <c r="E605" s="214"/>
      <c r="F605" s="214"/>
      <c r="G605" s="214"/>
      <c r="H605" s="214"/>
      <c r="I605" s="214"/>
      <c r="J605" s="214"/>
      <c r="K605" s="214"/>
      <c r="L605" s="214"/>
      <c r="M605" s="214"/>
      <c r="N605" s="215"/>
      <c r="O605" s="215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16"/>
      <c r="AN605" s="216"/>
      <c r="AO605" s="216"/>
      <c r="AP605" s="216"/>
      <c r="AQ605" s="216"/>
      <c r="AR605" s="216"/>
      <c r="AS605" s="216"/>
      <c r="AT605" s="216"/>
      <c r="AU605" s="216"/>
      <c r="AV605" s="216"/>
      <c r="AW605" s="216"/>
      <c r="AX605" s="216"/>
      <c r="AY605" s="216"/>
      <c r="AZ605" s="216"/>
      <c r="BA605" s="216"/>
      <c r="BB605" s="216"/>
      <c r="BC605" s="216"/>
      <c r="BD605" s="216"/>
      <c r="BE605" s="216"/>
      <c r="BF605" s="216"/>
      <c r="BG605" s="216"/>
      <c r="BH605" s="216"/>
      <c r="BI605" s="216"/>
      <c r="BJ605" s="216"/>
      <c r="BK605" s="216"/>
      <c r="BL605" s="216"/>
      <c r="BM605" s="216"/>
      <c r="BN605" s="216"/>
      <c r="BO605" s="216"/>
      <c r="BP605" s="216"/>
      <c r="BQ605" s="216"/>
      <c r="BR605" s="216"/>
      <c r="BS605" s="216"/>
      <c r="BT605" s="216"/>
      <c r="BU605" s="216"/>
      <c r="BV605" s="216"/>
      <c r="BW605" s="216"/>
      <c r="BX605" s="216"/>
      <c r="BY605" s="216"/>
      <c r="BZ605" s="216"/>
      <c r="CA605" s="216"/>
      <c r="CB605" s="216"/>
      <c r="CC605" s="216"/>
      <c r="CD605" s="216"/>
      <c r="CE605" s="216"/>
      <c r="CF605" s="216"/>
      <c r="CG605" s="216"/>
      <c r="CH605" s="216"/>
      <c r="CI605" s="216"/>
      <c r="CJ605" s="216"/>
      <c r="CK605" s="216"/>
      <c r="CL605" s="216"/>
      <c r="CM605" s="216"/>
      <c r="CN605" s="216"/>
      <c r="CO605" s="216"/>
      <c r="CP605" s="216"/>
      <c r="CQ605" s="216"/>
      <c r="CR605" s="216"/>
      <c r="CS605" s="216"/>
      <c r="CT605" s="216"/>
      <c r="CU605" s="216"/>
      <c r="CV605" s="216"/>
      <c r="CW605" s="216"/>
      <c r="CX605" s="216"/>
      <c r="CY605" s="216"/>
    </row>
    <row r="606" spans="1:103" ht="12.75" x14ac:dyDescent="0.2">
      <c r="A606" s="214"/>
      <c r="B606" s="214"/>
      <c r="C606" s="214"/>
      <c r="D606" s="214"/>
      <c r="E606" s="214"/>
      <c r="F606" s="214"/>
      <c r="G606" s="214"/>
      <c r="H606" s="214"/>
      <c r="I606" s="214"/>
      <c r="J606" s="214"/>
      <c r="K606" s="214"/>
      <c r="L606" s="214"/>
      <c r="M606" s="214"/>
      <c r="N606" s="215"/>
      <c r="O606" s="215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216"/>
      <c r="AR606" s="216"/>
      <c r="AS606" s="216"/>
      <c r="AT606" s="216"/>
      <c r="AU606" s="216"/>
      <c r="AV606" s="216"/>
      <c r="AW606" s="216"/>
      <c r="AX606" s="216"/>
      <c r="AY606" s="216"/>
      <c r="AZ606" s="216"/>
      <c r="BA606" s="216"/>
      <c r="BB606" s="216"/>
      <c r="BC606" s="216"/>
      <c r="BD606" s="216"/>
      <c r="BE606" s="216"/>
      <c r="BF606" s="216"/>
      <c r="BG606" s="216"/>
      <c r="BH606" s="216"/>
      <c r="BI606" s="216"/>
      <c r="BJ606" s="216"/>
      <c r="BK606" s="216"/>
      <c r="BL606" s="216"/>
      <c r="BM606" s="216"/>
      <c r="BN606" s="216"/>
      <c r="BO606" s="216"/>
      <c r="BP606" s="216"/>
      <c r="BQ606" s="216"/>
      <c r="BR606" s="216"/>
      <c r="BS606" s="216"/>
      <c r="BT606" s="216"/>
      <c r="BU606" s="216"/>
      <c r="BV606" s="216"/>
      <c r="BW606" s="216"/>
      <c r="BX606" s="216"/>
      <c r="BY606" s="216"/>
      <c r="BZ606" s="216"/>
      <c r="CA606" s="216"/>
      <c r="CB606" s="216"/>
      <c r="CC606" s="216"/>
      <c r="CD606" s="216"/>
      <c r="CE606" s="216"/>
      <c r="CF606" s="216"/>
      <c r="CG606" s="216"/>
      <c r="CH606" s="216"/>
      <c r="CI606" s="216"/>
      <c r="CJ606" s="216"/>
      <c r="CK606" s="216"/>
      <c r="CL606" s="216"/>
      <c r="CM606" s="216"/>
      <c r="CN606" s="216"/>
      <c r="CO606" s="216"/>
      <c r="CP606" s="216"/>
      <c r="CQ606" s="216"/>
      <c r="CR606" s="216"/>
      <c r="CS606" s="216"/>
      <c r="CT606" s="216"/>
      <c r="CU606" s="216"/>
      <c r="CV606" s="216"/>
      <c r="CW606" s="216"/>
      <c r="CX606" s="216"/>
      <c r="CY606" s="216"/>
    </row>
    <row r="607" spans="1:103" ht="12.75" x14ac:dyDescent="0.2">
      <c r="A607" s="214"/>
      <c r="B607" s="214"/>
      <c r="C607" s="214"/>
      <c r="D607" s="214"/>
      <c r="E607" s="214"/>
      <c r="F607" s="214"/>
      <c r="G607" s="214"/>
      <c r="H607" s="214"/>
      <c r="I607" s="214"/>
      <c r="J607" s="214"/>
      <c r="K607" s="214"/>
      <c r="L607" s="214"/>
      <c r="M607" s="214"/>
      <c r="N607" s="215"/>
      <c r="O607" s="215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6"/>
      <c r="BF607" s="216"/>
      <c r="BG607" s="216"/>
      <c r="BH607" s="216"/>
      <c r="BI607" s="216"/>
      <c r="BJ607" s="216"/>
      <c r="BK607" s="216"/>
      <c r="BL607" s="216"/>
      <c r="BM607" s="216"/>
      <c r="BN607" s="216"/>
      <c r="BO607" s="216"/>
      <c r="BP607" s="216"/>
      <c r="BQ607" s="216"/>
      <c r="BR607" s="216"/>
      <c r="BS607" s="216"/>
      <c r="BT607" s="216"/>
      <c r="BU607" s="216"/>
      <c r="BV607" s="216"/>
      <c r="BW607" s="216"/>
      <c r="BX607" s="216"/>
      <c r="BY607" s="216"/>
      <c r="BZ607" s="216"/>
      <c r="CA607" s="216"/>
      <c r="CB607" s="216"/>
      <c r="CC607" s="216"/>
      <c r="CD607" s="216"/>
      <c r="CE607" s="216"/>
      <c r="CF607" s="216"/>
      <c r="CG607" s="216"/>
      <c r="CH607" s="216"/>
      <c r="CI607" s="216"/>
      <c r="CJ607" s="216"/>
      <c r="CK607" s="216"/>
      <c r="CL607" s="216"/>
      <c r="CM607" s="216"/>
      <c r="CN607" s="216"/>
      <c r="CO607" s="216"/>
      <c r="CP607" s="216"/>
      <c r="CQ607" s="216"/>
      <c r="CR607" s="216"/>
      <c r="CS607" s="216"/>
      <c r="CT607" s="216"/>
      <c r="CU607" s="216"/>
      <c r="CV607" s="216"/>
      <c r="CW607" s="216"/>
      <c r="CX607" s="216"/>
      <c r="CY607" s="216"/>
    </row>
    <row r="608" spans="1:103" ht="12.75" x14ac:dyDescent="0.2">
      <c r="A608" s="214"/>
      <c r="B608" s="214"/>
      <c r="C608" s="214"/>
      <c r="D608" s="214"/>
      <c r="E608" s="214"/>
      <c r="F608" s="214"/>
      <c r="G608" s="214"/>
      <c r="H608" s="214"/>
      <c r="I608" s="214"/>
      <c r="J608" s="214"/>
      <c r="K608" s="214"/>
      <c r="L608" s="214"/>
      <c r="M608" s="214"/>
      <c r="N608" s="215"/>
      <c r="O608" s="215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  <c r="BI608" s="216"/>
      <c r="BJ608" s="216"/>
      <c r="BK608" s="216"/>
      <c r="BL608" s="216"/>
      <c r="BM608" s="216"/>
      <c r="BN608" s="216"/>
      <c r="BO608" s="216"/>
      <c r="BP608" s="216"/>
      <c r="BQ608" s="216"/>
      <c r="BR608" s="216"/>
      <c r="BS608" s="216"/>
      <c r="BT608" s="216"/>
      <c r="BU608" s="216"/>
      <c r="BV608" s="216"/>
      <c r="BW608" s="216"/>
      <c r="BX608" s="216"/>
      <c r="BY608" s="216"/>
      <c r="BZ608" s="216"/>
      <c r="CA608" s="216"/>
      <c r="CB608" s="216"/>
      <c r="CC608" s="216"/>
      <c r="CD608" s="216"/>
      <c r="CE608" s="216"/>
      <c r="CF608" s="216"/>
      <c r="CG608" s="216"/>
      <c r="CH608" s="216"/>
      <c r="CI608" s="216"/>
      <c r="CJ608" s="216"/>
      <c r="CK608" s="216"/>
      <c r="CL608" s="216"/>
      <c r="CM608" s="216"/>
      <c r="CN608" s="216"/>
      <c r="CO608" s="216"/>
      <c r="CP608" s="216"/>
      <c r="CQ608" s="216"/>
      <c r="CR608" s="216"/>
      <c r="CS608" s="216"/>
      <c r="CT608" s="216"/>
      <c r="CU608" s="216"/>
      <c r="CV608" s="216"/>
      <c r="CW608" s="216"/>
      <c r="CX608" s="216"/>
      <c r="CY608" s="216"/>
    </row>
    <row r="609" spans="1:103" ht="12.75" x14ac:dyDescent="0.2">
      <c r="A609" s="214"/>
      <c r="B609" s="214"/>
      <c r="C609" s="214"/>
      <c r="D609" s="214"/>
      <c r="E609" s="214"/>
      <c r="F609" s="214"/>
      <c r="G609" s="214"/>
      <c r="H609" s="214"/>
      <c r="I609" s="214"/>
      <c r="J609" s="214"/>
      <c r="K609" s="214"/>
      <c r="L609" s="214"/>
      <c r="M609" s="214"/>
      <c r="N609" s="215"/>
      <c r="O609" s="215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  <c r="BI609" s="216"/>
      <c r="BJ609" s="216"/>
      <c r="BK609" s="216"/>
      <c r="BL609" s="216"/>
      <c r="BM609" s="216"/>
      <c r="BN609" s="216"/>
      <c r="BO609" s="216"/>
      <c r="BP609" s="216"/>
      <c r="BQ609" s="216"/>
      <c r="BR609" s="216"/>
      <c r="BS609" s="216"/>
      <c r="BT609" s="216"/>
      <c r="BU609" s="216"/>
      <c r="BV609" s="216"/>
      <c r="BW609" s="216"/>
      <c r="BX609" s="216"/>
      <c r="BY609" s="216"/>
      <c r="BZ609" s="216"/>
      <c r="CA609" s="216"/>
      <c r="CB609" s="216"/>
      <c r="CC609" s="216"/>
      <c r="CD609" s="216"/>
      <c r="CE609" s="216"/>
      <c r="CF609" s="216"/>
      <c r="CG609" s="216"/>
      <c r="CH609" s="216"/>
      <c r="CI609" s="216"/>
      <c r="CJ609" s="216"/>
      <c r="CK609" s="216"/>
      <c r="CL609" s="216"/>
      <c r="CM609" s="216"/>
      <c r="CN609" s="216"/>
      <c r="CO609" s="216"/>
      <c r="CP609" s="216"/>
      <c r="CQ609" s="216"/>
      <c r="CR609" s="216"/>
      <c r="CS609" s="216"/>
      <c r="CT609" s="216"/>
      <c r="CU609" s="216"/>
      <c r="CV609" s="216"/>
      <c r="CW609" s="216"/>
      <c r="CX609" s="216"/>
      <c r="CY609" s="216"/>
    </row>
    <row r="610" spans="1:103" ht="12.75" x14ac:dyDescent="0.2">
      <c r="A610" s="214"/>
      <c r="B610" s="214"/>
      <c r="C610" s="214"/>
      <c r="D610" s="214"/>
      <c r="E610" s="214"/>
      <c r="F610" s="214"/>
      <c r="G610" s="214"/>
      <c r="H610" s="214"/>
      <c r="I610" s="214"/>
      <c r="J610" s="214"/>
      <c r="K610" s="214"/>
      <c r="L610" s="214"/>
      <c r="M610" s="214"/>
      <c r="N610" s="215"/>
      <c r="O610" s="215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  <c r="BI610" s="216"/>
      <c r="BJ610" s="216"/>
      <c r="BK610" s="216"/>
      <c r="BL610" s="216"/>
      <c r="BM610" s="216"/>
      <c r="BN610" s="216"/>
      <c r="BO610" s="216"/>
      <c r="BP610" s="216"/>
      <c r="BQ610" s="216"/>
      <c r="BR610" s="216"/>
      <c r="BS610" s="216"/>
      <c r="BT610" s="216"/>
      <c r="BU610" s="216"/>
      <c r="BV610" s="216"/>
      <c r="BW610" s="216"/>
      <c r="BX610" s="216"/>
      <c r="BY610" s="216"/>
      <c r="BZ610" s="216"/>
      <c r="CA610" s="216"/>
      <c r="CB610" s="216"/>
      <c r="CC610" s="216"/>
      <c r="CD610" s="216"/>
      <c r="CE610" s="216"/>
      <c r="CF610" s="216"/>
      <c r="CG610" s="216"/>
      <c r="CH610" s="216"/>
      <c r="CI610" s="216"/>
      <c r="CJ610" s="216"/>
      <c r="CK610" s="216"/>
      <c r="CL610" s="216"/>
      <c r="CM610" s="216"/>
      <c r="CN610" s="216"/>
      <c r="CO610" s="216"/>
      <c r="CP610" s="216"/>
      <c r="CQ610" s="216"/>
      <c r="CR610" s="216"/>
      <c r="CS610" s="216"/>
      <c r="CT610" s="216"/>
      <c r="CU610" s="216"/>
      <c r="CV610" s="216"/>
      <c r="CW610" s="216"/>
      <c r="CX610" s="216"/>
      <c r="CY610" s="216"/>
    </row>
    <row r="611" spans="1:103" ht="12.75" x14ac:dyDescent="0.2">
      <c r="A611" s="214"/>
      <c r="B611" s="214"/>
      <c r="C611" s="214"/>
      <c r="D611" s="214"/>
      <c r="E611" s="214"/>
      <c r="F611" s="214"/>
      <c r="G611" s="214"/>
      <c r="H611" s="214"/>
      <c r="I611" s="214"/>
      <c r="J611" s="214"/>
      <c r="K611" s="214"/>
      <c r="L611" s="214"/>
      <c r="M611" s="214"/>
      <c r="N611" s="215"/>
      <c r="O611" s="215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16"/>
      <c r="BN611" s="216"/>
      <c r="BO611" s="216"/>
      <c r="BP611" s="216"/>
      <c r="BQ611" s="216"/>
      <c r="BR611" s="216"/>
      <c r="BS611" s="216"/>
      <c r="BT611" s="216"/>
      <c r="BU611" s="216"/>
      <c r="BV611" s="216"/>
      <c r="BW611" s="216"/>
      <c r="BX611" s="216"/>
      <c r="BY611" s="216"/>
      <c r="BZ611" s="216"/>
      <c r="CA611" s="216"/>
      <c r="CB611" s="216"/>
      <c r="CC611" s="216"/>
      <c r="CD611" s="216"/>
      <c r="CE611" s="216"/>
      <c r="CF611" s="216"/>
      <c r="CG611" s="216"/>
      <c r="CH611" s="216"/>
      <c r="CI611" s="216"/>
      <c r="CJ611" s="216"/>
      <c r="CK611" s="216"/>
      <c r="CL611" s="216"/>
      <c r="CM611" s="216"/>
      <c r="CN611" s="216"/>
      <c r="CO611" s="216"/>
      <c r="CP611" s="216"/>
      <c r="CQ611" s="216"/>
      <c r="CR611" s="216"/>
      <c r="CS611" s="216"/>
      <c r="CT611" s="216"/>
      <c r="CU611" s="216"/>
      <c r="CV611" s="216"/>
      <c r="CW611" s="216"/>
      <c r="CX611" s="216"/>
      <c r="CY611" s="216"/>
    </row>
    <row r="612" spans="1:103" ht="12.75" x14ac:dyDescent="0.2">
      <c r="A612" s="214"/>
      <c r="B612" s="214"/>
      <c r="C612" s="214"/>
      <c r="D612" s="214"/>
      <c r="E612" s="214"/>
      <c r="F612" s="214"/>
      <c r="G612" s="214"/>
      <c r="H612" s="214"/>
      <c r="I612" s="214"/>
      <c r="J612" s="214"/>
      <c r="K612" s="214"/>
      <c r="L612" s="214"/>
      <c r="M612" s="214"/>
      <c r="N612" s="215"/>
      <c r="O612" s="215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16"/>
      <c r="BN612" s="216"/>
      <c r="BO612" s="216"/>
      <c r="BP612" s="216"/>
      <c r="BQ612" s="216"/>
      <c r="BR612" s="216"/>
      <c r="BS612" s="216"/>
      <c r="BT612" s="216"/>
      <c r="BU612" s="216"/>
      <c r="BV612" s="216"/>
      <c r="BW612" s="216"/>
      <c r="BX612" s="216"/>
      <c r="BY612" s="216"/>
      <c r="BZ612" s="216"/>
      <c r="CA612" s="216"/>
      <c r="CB612" s="216"/>
      <c r="CC612" s="216"/>
      <c r="CD612" s="216"/>
      <c r="CE612" s="216"/>
      <c r="CF612" s="216"/>
      <c r="CG612" s="216"/>
      <c r="CH612" s="216"/>
      <c r="CI612" s="216"/>
      <c r="CJ612" s="216"/>
      <c r="CK612" s="216"/>
      <c r="CL612" s="216"/>
      <c r="CM612" s="216"/>
      <c r="CN612" s="216"/>
      <c r="CO612" s="216"/>
      <c r="CP612" s="216"/>
      <c r="CQ612" s="216"/>
      <c r="CR612" s="216"/>
      <c r="CS612" s="216"/>
      <c r="CT612" s="216"/>
      <c r="CU612" s="216"/>
      <c r="CV612" s="216"/>
      <c r="CW612" s="216"/>
      <c r="CX612" s="216"/>
      <c r="CY612" s="216"/>
    </row>
    <row r="613" spans="1:103" ht="12.75" x14ac:dyDescent="0.2">
      <c r="A613" s="214"/>
      <c r="B613" s="214"/>
      <c r="C613" s="214"/>
      <c r="D613" s="214"/>
      <c r="E613" s="214"/>
      <c r="F613" s="214"/>
      <c r="G613" s="214"/>
      <c r="H613" s="214"/>
      <c r="I613" s="214"/>
      <c r="J613" s="214"/>
      <c r="K613" s="214"/>
      <c r="L613" s="214"/>
      <c r="M613" s="214"/>
      <c r="N613" s="215"/>
      <c r="O613" s="215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16"/>
      <c r="BN613" s="216"/>
      <c r="BO613" s="216"/>
      <c r="BP613" s="216"/>
      <c r="BQ613" s="216"/>
      <c r="BR613" s="216"/>
      <c r="BS613" s="216"/>
      <c r="BT613" s="216"/>
      <c r="BU613" s="216"/>
      <c r="BV613" s="216"/>
      <c r="BW613" s="216"/>
      <c r="BX613" s="216"/>
      <c r="BY613" s="216"/>
      <c r="BZ613" s="216"/>
      <c r="CA613" s="216"/>
      <c r="CB613" s="216"/>
      <c r="CC613" s="216"/>
      <c r="CD613" s="216"/>
      <c r="CE613" s="216"/>
      <c r="CF613" s="216"/>
      <c r="CG613" s="216"/>
      <c r="CH613" s="216"/>
      <c r="CI613" s="216"/>
      <c r="CJ613" s="216"/>
      <c r="CK613" s="216"/>
      <c r="CL613" s="216"/>
      <c r="CM613" s="216"/>
      <c r="CN613" s="216"/>
      <c r="CO613" s="216"/>
      <c r="CP613" s="216"/>
      <c r="CQ613" s="216"/>
      <c r="CR613" s="216"/>
      <c r="CS613" s="216"/>
      <c r="CT613" s="216"/>
      <c r="CU613" s="216"/>
      <c r="CV613" s="216"/>
      <c r="CW613" s="216"/>
      <c r="CX613" s="216"/>
      <c r="CY613" s="216"/>
    </row>
    <row r="614" spans="1:103" ht="12.75" x14ac:dyDescent="0.2">
      <c r="A614" s="214"/>
      <c r="B614" s="214"/>
      <c r="C614" s="214"/>
      <c r="D614" s="214"/>
      <c r="E614" s="214"/>
      <c r="F614" s="214"/>
      <c r="G614" s="214"/>
      <c r="H614" s="214"/>
      <c r="I614" s="214"/>
      <c r="J614" s="214"/>
      <c r="K614" s="214"/>
      <c r="L614" s="214"/>
      <c r="M614" s="214"/>
      <c r="N614" s="215"/>
      <c r="O614" s="215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16"/>
      <c r="BN614" s="216"/>
      <c r="BO614" s="216"/>
      <c r="BP614" s="216"/>
      <c r="BQ614" s="216"/>
      <c r="BR614" s="216"/>
      <c r="BS614" s="216"/>
      <c r="BT614" s="216"/>
      <c r="BU614" s="216"/>
      <c r="BV614" s="216"/>
      <c r="BW614" s="216"/>
      <c r="BX614" s="216"/>
      <c r="BY614" s="216"/>
      <c r="BZ614" s="216"/>
      <c r="CA614" s="216"/>
      <c r="CB614" s="216"/>
      <c r="CC614" s="216"/>
      <c r="CD614" s="216"/>
      <c r="CE614" s="216"/>
      <c r="CF614" s="216"/>
      <c r="CG614" s="216"/>
      <c r="CH614" s="216"/>
      <c r="CI614" s="216"/>
      <c r="CJ614" s="216"/>
      <c r="CK614" s="216"/>
      <c r="CL614" s="216"/>
      <c r="CM614" s="216"/>
      <c r="CN614" s="216"/>
      <c r="CO614" s="216"/>
      <c r="CP614" s="216"/>
      <c r="CQ614" s="216"/>
      <c r="CR614" s="216"/>
      <c r="CS614" s="216"/>
      <c r="CT614" s="216"/>
      <c r="CU614" s="216"/>
      <c r="CV614" s="216"/>
      <c r="CW614" s="216"/>
      <c r="CX614" s="216"/>
      <c r="CY614" s="216"/>
    </row>
    <row r="615" spans="1:103" ht="12.75" x14ac:dyDescent="0.2">
      <c r="A615" s="214"/>
      <c r="B615" s="214"/>
      <c r="C615" s="214"/>
      <c r="D615" s="214"/>
      <c r="E615" s="214"/>
      <c r="F615" s="214"/>
      <c r="G615" s="214"/>
      <c r="H615" s="214"/>
      <c r="I615" s="214"/>
      <c r="J615" s="214"/>
      <c r="K615" s="214"/>
      <c r="L615" s="214"/>
      <c r="M615" s="214"/>
      <c r="N615" s="215"/>
      <c r="O615" s="215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16"/>
      <c r="AN615" s="216"/>
      <c r="AO615" s="216"/>
      <c r="AP615" s="216"/>
      <c r="AQ615" s="216"/>
      <c r="AR615" s="216"/>
      <c r="AS615" s="216"/>
      <c r="AT615" s="216"/>
      <c r="AU615" s="216"/>
      <c r="AV615" s="216"/>
      <c r="AW615" s="216"/>
      <c r="AX615" s="216"/>
      <c r="AY615" s="216"/>
      <c r="AZ615" s="216"/>
      <c r="BA615" s="216"/>
      <c r="BB615" s="216"/>
      <c r="BC615" s="216"/>
      <c r="BD615" s="216"/>
      <c r="BE615" s="216"/>
      <c r="BF615" s="216"/>
      <c r="BG615" s="216"/>
      <c r="BH615" s="216"/>
      <c r="BI615" s="216"/>
      <c r="BJ615" s="216"/>
      <c r="BK615" s="216"/>
      <c r="BL615" s="216"/>
      <c r="BM615" s="216"/>
      <c r="BN615" s="216"/>
      <c r="BO615" s="216"/>
      <c r="BP615" s="216"/>
      <c r="BQ615" s="216"/>
      <c r="BR615" s="216"/>
      <c r="BS615" s="216"/>
      <c r="BT615" s="216"/>
      <c r="BU615" s="216"/>
      <c r="BV615" s="216"/>
      <c r="BW615" s="216"/>
      <c r="BX615" s="216"/>
      <c r="BY615" s="216"/>
      <c r="BZ615" s="216"/>
      <c r="CA615" s="216"/>
      <c r="CB615" s="216"/>
      <c r="CC615" s="216"/>
      <c r="CD615" s="216"/>
      <c r="CE615" s="216"/>
      <c r="CF615" s="216"/>
      <c r="CG615" s="216"/>
      <c r="CH615" s="216"/>
      <c r="CI615" s="216"/>
      <c r="CJ615" s="216"/>
      <c r="CK615" s="216"/>
      <c r="CL615" s="216"/>
      <c r="CM615" s="216"/>
      <c r="CN615" s="216"/>
      <c r="CO615" s="216"/>
      <c r="CP615" s="216"/>
      <c r="CQ615" s="216"/>
      <c r="CR615" s="216"/>
      <c r="CS615" s="216"/>
      <c r="CT615" s="216"/>
      <c r="CU615" s="216"/>
      <c r="CV615" s="216"/>
      <c r="CW615" s="216"/>
      <c r="CX615" s="216"/>
      <c r="CY615" s="216"/>
    </row>
    <row r="616" spans="1:103" ht="12.75" x14ac:dyDescent="0.2">
      <c r="A616" s="214"/>
      <c r="B616" s="214"/>
      <c r="C616" s="214"/>
      <c r="D616" s="214"/>
      <c r="E616" s="214"/>
      <c r="F616" s="214"/>
      <c r="G616" s="214"/>
      <c r="H616" s="214"/>
      <c r="I616" s="214"/>
      <c r="J616" s="214"/>
      <c r="K616" s="214"/>
      <c r="L616" s="214"/>
      <c r="M616" s="214"/>
      <c r="N616" s="215"/>
      <c r="O616" s="215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16"/>
      <c r="AN616" s="216"/>
      <c r="AO616" s="216"/>
      <c r="AP616" s="216"/>
      <c r="AQ616" s="216"/>
      <c r="AR616" s="216"/>
      <c r="AS616" s="216"/>
      <c r="AT616" s="216"/>
      <c r="AU616" s="216"/>
      <c r="AV616" s="216"/>
      <c r="AW616" s="216"/>
      <c r="AX616" s="216"/>
      <c r="AY616" s="216"/>
      <c r="AZ616" s="216"/>
      <c r="BA616" s="216"/>
      <c r="BB616" s="216"/>
      <c r="BC616" s="216"/>
      <c r="BD616" s="216"/>
      <c r="BE616" s="216"/>
      <c r="BF616" s="216"/>
      <c r="BG616" s="216"/>
      <c r="BH616" s="216"/>
      <c r="BI616" s="216"/>
      <c r="BJ616" s="216"/>
      <c r="BK616" s="216"/>
      <c r="BL616" s="216"/>
      <c r="BM616" s="216"/>
      <c r="BN616" s="216"/>
      <c r="BO616" s="216"/>
      <c r="BP616" s="216"/>
      <c r="BQ616" s="216"/>
      <c r="BR616" s="216"/>
      <c r="BS616" s="216"/>
      <c r="BT616" s="216"/>
      <c r="BU616" s="216"/>
      <c r="BV616" s="216"/>
      <c r="BW616" s="216"/>
      <c r="BX616" s="216"/>
      <c r="BY616" s="216"/>
      <c r="BZ616" s="216"/>
      <c r="CA616" s="216"/>
      <c r="CB616" s="216"/>
      <c r="CC616" s="216"/>
      <c r="CD616" s="216"/>
      <c r="CE616" s="216"/>
      <c r="CF616" s="216"/>
      <c r="CG616" s="216"/>
      <c r="CH616" s="216"/>
      <c r="CI616" s="216"/>
      <c r="CJ616" s="216"/>
      <c r="CK616" s="216"/>
      <c r="CL616" s="216"/>
      <c r="CM616" s="216"/>
      <c r="CN616" s="216"/>
      <c r="CO616" s="216"/>
      <c r="CP616" s="216"/>
      <c r="CQ616" s="216"/>
      <c r="CR616" s="216"/>
      <c r="CS616" s="216"/>
      <c r="CT616" s="216"/>
      <c r="CU616" s="216"/>
      <c r="CV616" s="216"/>
      <c r="CW616" s="216"/>
      <c r="CX616" s="216"/>
      <c r="CY616" s="216"/>
    </row>
    <row r="617" spans="1:103" ht="12.75" x14ac:dyDescent="0.2">
      <c r="A617" s="214"/>
      <c r="B617" s="214"/>
      <c r="C617" s="214"/>
      <c r="D617" s="214"/>
      <c r="E617" s="214"/>
      <c r="F617" s="214"/>
      <c r="G617" s="214"/>
      <c r="H617" s="214"/>
      <c r="I617" s="214"/>
      <c r="J617" s="214"/>
      <c r="K617" s="214"/>
      <c r="L617" s="214"/>
      <c r="M617" s="214"/>
      <c r="N617" s="215"/>
      <c r="O617" s="215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16"/>
      <c r="AN617" s="216"/>
      <c r="AO617" s="216"/>
      <c r="AP617" s="216"/>
      <c r="AQ617" s="216"/>
      <c r="AR617" s="216"/>
      <c r="AS617" s="216"/>
      <c r="AT617" s="216"/>
      <c r="AU617" s="216"/>
      <c r="AV617" s="216"/>
      <c r="AW617" s="216"/>
      <c r="AX617" s="216"/>
      <c r="AY617" s="216"/>
      <c r="AZ617" s="216"/>
      <c r="BA617" s="216"/>
      <c r="BB617" s="216"/>
      <c r="BC617" s="216"/>
      <c r="BD617" s="216"/>
      <c r="BE617" s="216"/>
      <c r="BF617" s="216"/>
      <c r="BG617" s="216"/>
      <c r="BH617" s="216"/>
      <c r="BI617" s="216"/>
      <c r="BJ617" s="216"/>
      <c r="BK617" s="216"/>
      <c r="BL617" s="216"/>
      <c r="BM617" s="216"/>
      <c r="BN617" s="216"/>
      <c r="BO617" s="216"/>
      <c r="BP617" s="216"/>
      <c r="BQ617" s="216"/>
      <c r="BR617" s="216"/>
      <c r="BS617" s="216"/>
      <c r="BT617" s="216"/>
      <c r="BU617" s="216"/>
      <c r="BV617" s="216"/>
      <c r="BW617" s="216"/>
      <c r="BX617" s="216"/>
      <c r="BY617" s="216"/>
      <c r="BZ617" s="216"/>
      <c r="CA617" s="216"/>
      <c r="CB617" s="216"/>
      <c r="CC617" s="216"/>
      <c r="CD617" s="216"/>
      <c r="CE617" s="216"/>
      <c r="CF617" s="216"/>
      <c r="CG617" s="216"/>
      <c r="CH617" s="216"/>
      <c r="CI617" s="216"/>
      <c r="CJ617" s="216"/>
      <c r="CK617" s="216"/>
      <c r="CL617" s="216"/>
      <c r="CM617" s="216"/>
      <c r="CN617" s="216"/>
      <c r="CO617" s="216"/>
      <c r="CP617" s="216"/>
      <c r="CQ617" s="216"/>
      <c r="CR617" s="216"/>
      <c r="CS617" s="216"/>
      <c r="CT617" s="216"/>
      <c r="CU617" s="216"/>
      <c r="CV617" s="216"/>
      <c r="CW617" s="216"/>
      <c r="CX617" s="216"/>
      <c r="CY617" s="216"/>
    </row>
    <row r="618" spans="1:103" ht="12.75" x14ac:dyDescent="0.2">
      <c r="A618" s="214"/>
      <c r="B618" s="214"/>
      <c r="C618" s="214"/>
      <c r="D618" s="214"/>
      <c r="E618" s="214"/>
      <c r="F618" s="214"/>
      <c r="G618" s="214"/>
      <c r="H618" s="214"/>
      <c r="I618" s="214"/>
      <c r="J618" s="214"/>
      <c r="K618" s="214"/>
      <c r="L618" s="214"/>
      <c r="M618" s="214"/>
      <c r="N618" s="215"/>
      <c r="O618" s="215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16"/>
      <c r="AN618" s="216"/>
      <c r="AO618" s="216"/>
      <c r="AP618" s="216"/>
      <c r="AQ618" s="216"/>
      <c r="AR618" s="216"/>
      <c r="AS618" s="216"/>
      <c r="AT618" s="216"/>
      <c r="AU618" s="216"/>
      <c r="AV618" s="216"/>
      <c r="AW618" s="216"/>
      <c r="AX618" s="216"/>
      <c r="AY618" s="216"/>
      <c r="AZ618" s="216"/>
      <c r="BA618" s="216"/>
      <c r="BB618" s="216"/>
      <c r="BC618" s="216"/>
      <c r="BD618" s="216"/>
      <c r="BE618" s="216"/>
      <c r="BF618" s="216"/>
      <c r="BG618" s="216"/>
      <c r="BH618" s="216"/>
      <c r="BI618" s="216"/>
      <c r="BJ618" s="216"/>
      <c r="BK618" s="216"/>
      <c r="BL618" s="216"/>
      <c r="BM618" s="216"/>
      <c r="BN618" s="216"/>
      <c r="BO618" s="216"/>
      <c r="BP618" s="216"/>
      <c r="BQ618" s="216"/>
      <c r="BR618" s="216"/>
      <c r="BS618" s="216"/>
      <c r="BT618" s="216"/>
      <c r="BU618" s="216"/>
      <c r="BV618" s="216"/>
      <c r="BW618" s="216"/>
      <c r="BX618" s="216"/>
      <c r="BY618" s="216"/>
      <c r="BZ618" s="216"/>
      <c r="CA618" s="216"/>
      <c r="CB618" s="216"/>
      <c r="CC618" s="216"/>
      <c r="CD618" s="216"/>
      <c r="CE618" s="216"/>
      <c r="CF618" s="216"/>
      <c r="CG618" s="216"/>
      <c r="CH618" s="216"/>
      <c r="CI618" s="216"/>
      <c r="CJ618" s="216"/>
      <c r="CK618" s="216"/>
      <c r="CL618" s="216"/>
      <c r="CM618" s="216"/>
      <c r="CN618" s="216"/>
      <c r="CO618" s="216"/>
      <c r="CP618" s="216"/>
      <c r="CQ618" s="216"/>
      <c r="CR618" s="216"/>
      <c r="CS618" s="216"/>
      <c r="CT618" s="216"/>
      <c r="CU618" s="216"/>
      <c r="CV618" s="216"/>
      <c r="CW618" s="216"/>
      <c r="CX618" s="216"/>
      <c r="CY618" s="216"/>
    </row>
    <row r="619" spans="1:103" ht="12.75" x14ac:dyDescent="0.2">
      <c r="A619" s="214"/>
      <c r="B619" s="214"/>
      <c r="C619" s="214"/>
      <c r="D619" s="214"/>
      <c r="E619" s="214"/>
      <c r="F619" s="214"/>
      <c r="G619" s="214"/>
      <c r="H619" s="214"/>
      <c r="I619" s="214"/>
      <c r="J619" s="214"/>
      <c r="K619" s="214"/>
      <c r="L619" s="214"/>
      <c r="M619" s="214"/>
      <c r="N619" s="215"/>
      <c r="O619" s="215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16"/>
      <c r="AN619" s="216"/>
      <c r="AO619" s="216"/>
      <c r="AP619" s="216"/>
      <c r="AQ619" s="216"/>
      <c r="AR619" s="216"/>
      <c r="AS619" s="216"/>
      <c r="AT619" s="216"/>
      <c r="AU619" s="216"/>
      <c r="AV619" s="216"/>
      <c r="AW619" s="216"/>
      <c r="AX619" s="216"/>
      <c r="AY619" s="216"/>
      <c r="AZ619" s="216"/>
      <c r="BA619" s="216"/>
      <c r="BB619" s="216"/>
      <c r="BC619" s="216"/>
      <c r="BD619" s="216"/>
      <c r="BE619" s="216"/>
      <c r="BF619" s="216"/>
      <c r="BG619" s="216"/>
      <c r="BH619" s="216"/>
      <c r="BI619" s="216"/>
      <c r="BJ619" s="216"/>
      <c r="BK619" s="216"/>
      <c r="BL619" s="216"/>
      <c r="BM619" s="216"/>
      <c r="BN619" s="216"/>
      <c r="BO619" s="216"/>
      <c r="BP619" s="216"/>
      <c r="BQ619" s="216"/>
      <c r="BR619" s="216"/>
      <c r="BS619" s="216"/>
      <c r="BT619" s="216"/>
      <c r="BU619" s="216"/>
      <c r="BV619" s="216"/>
      <c r="BW619" s="216"/>
      <c r="BX619" s="216"/>
      <c r="BY619" s="216"/>
      <c r="BZ619" s="216"/>
      <c r="CA619" s="216"/>
      <c r="CB619" s="216"/>
      <c r="CC619" s="216"/>
      <c r="CD619" s="216"/>
      <c r="CE619" s="216"/>
      <c r="CF619" s="216"/>
      <c r="CG619" s="216"/>
      <c r="CH619" s="216"/>
      <c r="CI619" s="216"/>
      <c r="CJ619" s="216"/>
      <c r="CK619" s="216"/>
      <c r="CL619" s="216"/>
      <c r="CM619" s="216"/>
      <c r="CN619" s="216"/>
      <c r="CO619" s="216"/>
      <c r="CP619" s="216"/>
      <c r="CQ619" s="216"/>
      <c r="CR619" s="216"/>
      <c r="CS619" s="216"/>
      <c r="CT619" s="216"/>
      <c r="CU619" s="216"/>
      <c r="CV619" s="216"/>
      <c r="CW619" s="216"/>
      <c r="CX619" s="216"/>
      <c r="CY619" s="216"/>
    </row>
    <row r="620" spans="1:103" ht="12.75" x14ac:dyDescent="0.2">
      <c r="A620" s="214"/>
      <c r="B620" s="214"/>
      <c r="C620" s="214"/>
      <c r="D620" s="214"/>
      <c r="E620" s="214"/>
      <c r="F620" s="214"/>
      <c r="G620" s="214"/>
      <c r="H620" s="214"/>
      <c r="I620" s="214"/>
      <c r="J620" s="214"/>
      <c r="K620" s="214"/>
      <c r="L620" s="214"/>
      <c r="M620" s="214"/>
      <c r="N620" s="215"/>
      <c r="O620" s="215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16"/>
      <c r="AN620" s="216"/>
      <c r="AO620" s="216"/>
      <c r="AP620" s="216"/>
      <c r="AQ620" s="216"/>
      <c r="AR620" s="216"/>
      <c r="AS620" s="216"/>
      <c r="AT620" s="216"/>
      <c r="AU620" s="216"/>
      <c r="AV620" s="216"/>
      <c r="AW620" s="216"/>
      <c r="AX620" s="216"/>
      <c r="AY620" s="216"/>
      <c r="AZ620" s="216"/>
      <c r="BA620" s="216"/>
      <c r="BB620" s="216"/>
      <c r="BC620" s="216"/>
      <c r="BD620" s="216"/>
      <c r="BE620" s="216"/>
      <c r="BF620" s="216"/>
      <c r="BG620" s="216"/>
      <c r="BH620" s="216"/>
      <c r="BI620" s="216"/>
      <c r="BJ620" s="216"/>
      <c r="BK620" s="216"/>
      <c r="BL620" s="216"/>
      <c r="BM620" s="216"/>
      <c r="BN620" s="216"/>
      <c r="BO620" s="216"/>
      <c r="BP620" s="216"/>
      <c r="BQ620" s="216"/>
      <c r="BR620" s="216"/>
      <c r="BS620" s="216"/>
      <c r="BT620" s="216"/>
      <c r="BU620" s="216"/>
      <c r="BV620" s="216"/>
      <c r="BW620" s="216"/>
      <c r="BX620" s="216"/>
      <c r="BY620" s="216"/>
      <c r="BZ620" s="216"/>
      <c r="CA620" s="216"/>
      <c r="CB620" s="216"/>
      <c r="CC620" s="216"/>
      <c r="CD620" s="216"/>
      <c r="CE620" s="216"/>
      <c r="CF620" s="216"/>
      <c r="CG620" s="216"/>
      <c r="CH620" s="216"/>
      <c r="CI620" s="216"/>
      <c r="CJ620" s="216"/>
      <c r="CK620" s="216"/>
      <c r="CL620" s="216"/>
      <c r="CM620" s="216"/>
      <c r="CN620" s="216"/>
      <c r="CO620" s="216"/>
      <c r="CP620" s="216"/>
      <c r="CQ620" s="216"/>
      <c r="CR620" s="216"/>
      <c r="CS620" s="216"/>
      <c r="CT620" s="216"/>
      <c r="CU620" s="216"/>
      <c r="CV620" s="216"/>
      <c r="CW620" s="216"/>
      <c r="CX620" s="216"/>
      <c r="CY620" s="216"/>
    </row>
    <row r="621" spans="1:103" ht="12.75" x14ac:dyDescent="0.2">
      <c r="A621" s="214"/>
      <c r="B621" s="214"/>
      <c r="C621" s="214"/>
      <c r="D621" s="214"/>
      <c r="E621" s="214"/>
      <c r="F621" s="214"/>
      <c r="G621" s="214"/>
      <c r="H621" s="214"/>
      <c r="I621" s="214"/>
      <c r="J621" s="214"/>
      <c r="K621" s="214"/>
      <c r="L621" s="214"/>
      <c r="M621" s="214"/>
      <c r="N621" s="215"/>
      <c r="O621" s="215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16"/>
      <c r="AN621" s="216"/>
      <c r="AO621" s="216"/>
      <c r="AP621" s="216"/>
      <c r="AQ621" s="216"/>
      <c r="AR621" s="216"/>
      <c r="AS621" s="216"/>
      <c r="AT621" s="216"/>
      <c r="AU621" s="216"/>
      <c r="AV621" s="216"/>
      <c r="AW621" s="216"/>
      <c r="AX621" s="216"/>
      <c r="AY621" s="216"/>
      <c r="AZ621" s="216"/>
      <c r="BA621" s="216"/>
      <c r="BB621" s="216"/>
      <c r="BC621" s="216"/>
      <c r="BD621" s="216"/>
      <c r="BE621" s="216"/>
      <c r="BF621" s="216"/>
      <c r="BG621" s="216"/>
      <c r="BH621" s="216"/>
      <c r="BI621" s="216"/>
      <c r="BJ621" s="216"/>
      <c r="BK621" s="216"/>
      <c r="BL621" s="216"/>
      <c r="BM621" s="216"/>
      <c r="BN621" s="216"/>
      <c r="BO621" s="216"/>
      <c r="BP621" s="216"/>
      <c r="BQ621" s="216"/>
      <c r="BR621" s="216"/>
      <c r="BS621" s="216"/>
      <c r="BT621" s="216"/>
      <c r="BU621" s="216"/>
      <c r="BV621" s="216"/>
      <c r="BW621" s="216"/>
      <c r="BX621" s="216"/>
      <c r="BY621" s="216"/>
      <c r="BZ621" s="216"/>
      <c r="CA621" s="216"/>
      <c r="CB621" s="216"/>
      <c r="CC621" s="216"/>
      <c r="CD621" s="216"/>
      <c r="CE621" s="216"/>
      <c r="CF621" s="216"/>
      <c r="CG621" s="216"/>
      <c r="CH621" s="216"/>
      <c r="CI621" s="216"/>
      <c r="CJ621" s="216"/>
      <c r="CK621" s="216"/>
      <c r="CL621" s="216"/>
      <c r="CM621" s="216"/>
      <c r="CN621" s="216"/>
      <c r="CO621" s="216"/>
      <c r="CP621" s="216"/>
      <c r="CQ621" s="216"/>
      <c r="CR621" s="216"/>
      <c r="CS621" s="216"/>
      <c r="CT621" s="216"/>
      <c r="CU621" s="216"/>
      <c r="CV621" s="216"/>
      <c r="CW621" s="216"/>
      <c r="CX621" s="216"/>
      <c r="CY621" s="216"/>
    </row>
    <row r="622" spans="1:103" ht="12.75" x14ac:dyDescent="0.2">
      <c r="A622" s="214"/>
      <c r="B622" s="214"/>
      <c r="C622" s="214"/>
      <c r="D622" s="214"/>
      <c r="E622" s="214"/>
      <c r="F622" s="214"/>
      <c r="G622" s="214"/>
      <c r="H622" s="214"/>
      <c r="I622" s="214"/>
      <c r="J622" s="214"/>
      <c r="K622" s="214"/>
      <c r="L622" s="214"/>
      <c r="M622" s="214"/>
      <c r="N622" s="215"/>
      <c r="O622" s="215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16"/>
      <c r="AN622" s="216"/>
      <c r="AO622" s="216"/>
      <c r="AP622" s="216"/>
      <c r="AQ622" s="216"/>
      <c r="AR622" s="216"/>
      <c r="AS622" s="216"/>
      <c r="AT622" s="216"/>
      <c r="AU622" s="216"/>
      <c r="AV622" s="216"/>
      <c r="AW622" s="216"/>
      <c r="AX622" s="216"/>
      <c r="AY622" s="216"/>
      <c r="AZ622" s="216"/>
      <c r="BA622" s="216"/>
      <c r="BB622" s="216"/>
      <c r="BC622" s="216"/>
      <c r="BD622" s="216"/>
      <c r="BE622" s="216"/>
      <c r="BF622" s="216"/>
      <c r="BG622" s="216"/>
      <c r="BH622" s="216"/>
      <c r="BI622" s="216"/>
      <c r="BJ622" s="216"/>
      <c r="BK622" s="216"/>
      <c r="BL622" s="216"/>
      <c r="BM622" s="216"/>
      <c r="BN622" s="216"/>
      <c r="BO622" s="216"/>
      <c r="BP622" s="216"/>
      <c r="BQ622" s="216"/>
      <c r="BR622" s="216"/>
      <c r="BS622" s="216"/>
      <c r="BT622" s="216"/>
      <c r="BU622" s="216"/>
      <c r="BV622" s="216"/>
      <c r="BW622" s="216"/>
      <c r="BX622" s="216"/>
      <c r="BY622" s="216"/>
      <c r="BZ622" s="216"/>
      <c r="CA622" s="216"/>
      <c r="CB622" s="216"/>
      <c r="CC622" s="216"/>
      <c r="CD622" s="216"/>
      <c r="CE622" s="216"/>
      <c r="CF622" s="216"/>
      <c r="CG622" s="216"/>
      <c r="CH622" s="216"/>
      <c r="CI622" s="216"/>
      <c r="CJ622" s="216"/>
      <c r="CK622" s="216"/>
      <c r="CL622" s="216"/>
      <c r="CM622" s="216"/>
      <c r="CN622" s="216"/>
      <c r="CO622" s="216"/>
      <c r="CP622" s="216"/>
      <c r="CQ622" s="216"/>
      <c r="CR622" s="216"/>
      <c r="CS622" s="216"/>
      <c r="CT622" s="216"/>
      <c r="CU622" s="216"/>
      <c r="CV622" s="216"/>
      <c r="CW622" s="216"/>
      <c r="CX622" s="216"/>
      <c r="CY622" s="216"/>
    </row>
    <row r="623" spans="1:103" ht="12.75" x14ac:dyDescent="0.2">
      <c r="A623" s="214"/>
      <c r="B623" s="214"/>
      <c r="C623" s="214"/>
      <c r="D623" s="214"/>
      <c r="E623" s="214"/>
      <c r="F623" s="214"/>
      <c r="G623" s="214"/>
      <c r="H623" s="214"/>
      <c r="I623" s="214"/>
      <c r="J623" s="214"/>
      <c r="K623" s="214"/>
      <c r="L623" s="214"/>
      <c r="M623" s="214"/>
      <c r="N623" s="215"/>
      <c r="O623" s="215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16"/>
      <c r="AN623" s="216"/>
      <c r="AO623" s="216"/>
      <c r="AP623" s="216"/>
      <c r="AQ623" s="216"/>
      <c r="AR623" s="216"/>
      <c r="AS623" s="216"/>
      <c r="AT623" s="216"/>
      <c r="AU623" s="216"/>
      <c r="AV623" s="216"/>
      <c r="AW623" s="216"/>
      <c r="AX623" s="216"/>
      <c r="AY623" s="216"/>
      <c r="AZ623" s="216"/>
      <c r="BA623" s="216"/>
      <c r="BB623" s="216"/>
      <c r="BC623" s="216"/>
      <c r="BD623" s="216"/>
      <c r="BE623" s="216"/>
      <c r="BF623" s="216"/>
      <c r="BG623" s="216"/>
      <c r="BH623" s="216"/>
      <c r="BI623" s="216"/>
      <c r="BJ623" s="216"/>
      <c r="BK623" s="216"/>
      <c r="BL623" s="216"/>
      <c r="BM623" s="216"/>
      <c r="BN623" s="216"/>
      <c r="BO623" s="216"/>
      <c r="BP623" s="216"/>
      <c r="BQ623" s="216"/>
      <c r="BR623" s="216"/>
      <c r="BS623" s="216"/>
      <c r="BT623" s="216"/>
      <c r="BU623" s="216"/>
      <c r="BV623" s="216"/>
      <c r="BW623" s="216"/>
      <c r="BX623" s="216"/>
      <c r="BY623" s="216"/>
      <c r="BZ623" s="216"/>
      <c r="CA623" s="216"/>
      <c r="CB623" s="216"/>
      <c r="CC623" s="216"/>
      <c r="CD623" s="216"/>
      <c r="CE623" s="216"/>
      <c r="CF623" s="216"/>
      <c r="CG623" s="216"/>
      <c r="CH623" s="216"/>
      <c r="CI623" s="216"/>
      <c r="CJ623" s="216"/>
      <c r="CK623" s="216"/>
      <c r="CL623" s="216"/>
      <c r="CM623" s="216"/>
      <c r="CN623" s="216"/>
      <c r="CO623" s="216"/>
      <c r="CP623" s="216"/>
      <c r="CQ623" s="216"/>
      <c r="CR623" s="216"/>
      <c r="CS623" s="216"/>
      <c r="CT623" s="216"/>
      <c r="CU623" s="216"/>
      <c r="CV623" s="216"/>
      <c r="CW623" s="216"/>
      <c r="CX623" s="216"/>
      <c r="CY623" s="216"/>
    </row>
    <row r="624" spans="1:103" ht="12.75" x14ac:dyDescent="0.2">
      <c r="A624" s="214"/>
      <c r="B624" s="214"/>
      <c r="C624" s="214"/>
      <c r="D624" s="214"/>
      <c r="E624" s="214"/>
      <c r="F624" s="214"/>
      <c r="G624" s="214"/>
      <c r="H624" s="214"/>
      <c r="I624" s="214"/>
      <c r="J624" s="214"/>
      <c r="K624" s="214"/>
      <c r="L624" s="214"/>
      <c r="M624" s="214"/>
      <c r="N624" s="215"/>
      <c r="O624" s="215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16"/>
      <c r="AN624" s="216"/>
      <c r="AO624" s="216"/>
      <c r="AP624" s="216"/>
      <c r="AQ624" s="216"/>
      <c r="AR624" s="216"/>
      <c r="AS624" s="216"/>
      <c r="AT624" s="216"/>
      <c r="AU624" s="216"/>
      <c r="AV624" s="216"/>
      <c r="AW624" s="216"/>
      <c r="AX624" s="216"/>
      <c r="AY624" s="216"/>
      <c r="AZ624" s="216"/>
      <c r="BA624" s="216"/>
      <c r="BB624" s="216"/>
      <c r="BC624" s="216"/>
      <c r="BD624" s="216"/>
      <c r="BE624" s="216"/>
      <c r="BF624" s="216"/>
      <c r="BG624" s="216"/>
      <c r="BH624" s="216"/>
      <c r="BI624" s="216"/>
      <c r="BJ624" s="216"/>
      <c r="BK624" s="216"/>
      <c r="BL624" s="216"/>
      <c r="BM624" s="216"/>
      <c r="BN624" s="216"/>
      <c r="BO624" s="216"/>
      <c r="BP624" s="216"/>
      <c r="BQ624" s="216"/>
      <c r="BR624" s="216"/>
      <c r="BS624" s="216"/>
      <c r="BT624" s="216"/>
      <c r="BU624" s="216"/>
      <c r="BV624" s="216"/>
      <c r="BW624" s="216"/>
      <c r="BX624" s="216"/>
      <c r="BY624" s="216"/>
      <c r="BZ624" s="216"/>
      <c r="CA624" s="216"/>
      <c r="CB624" s="216"/>
      <c r="CC624" s="216"/>
      <c r="CD624" s="216"/>
      <c r="CE624" s="216"/>
      <c r="CF624" s="216"/>
      <c r="CG624" s="216"/>
      <c r="CH624" s="216"/>
      <c r="CI624" s="216"/>
      <c r="CJ624" s="216"/>
      <c r="CK624" s="216"/>
      <c r="CL624" s="216"/>
      <c r="CM624" s="216"/>
      <c r="CN624" s="216"/>
      <c r="CO624" s="216"/>
      <c r="CP624" s="216"/>
      <c r="CQ624" s="216"/>
      <c r="CR624" s="216"/>
      <c r="CS624" s="216"/>
      <c r="CT624" s="216"/>
      <c r="CU624" s="216"/>
      <c r="CV624" s="216"/>
      <c r="CW624" s="216"/>
      <c r="CX624" s="216"/>
      <c r="CY624" s="216"/>
    </row>
    <row r="625" spans="1:103" ht="12.75" x14ac:dyDescent="0.2">
      <c r="A625" s="214"/>
      <c r="B625" s="214"/>
      <c r="C625" s="214"/>
      <c r="D625" s="214"/>
      <c r="E625" s="214"/>
      <c r="F625" s="214"/>
      <c r="G625" s="214"/>
      <c r="H625" s="214"/>
      <c r="I625" s="214"/>
      <c r="J625" s="214"/>
      <c r="K625" s="214"/>
      <c r="L625" s="214"/>
      <c r="M625" s="214"/>
      <c r="N625" s="215"/>
      <c r="O625" s="215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16"/>
      <c r="AN625" s="216"/>
      <c r="AO625" s="216"/>
      <c r="AP625" s="216"/>
      <c r="AQ625" s="216"/>
      <c r="AR625" s="216"/>
      <c r="AS625" s="216"/>
      <c r="AT625" s="216"/>
      <c r="AU625" s="216"/>
      <c r="AV625" s="216"/>
      <c r="AW625" s="216"/>
      <c r="AX625" s="216"/>
      <c r="AY625" s="216"/>
      <c r="AZ625" s="216"/>
      <c r="BA625" s="216"/>
      <c r="BB625" s="216"/>
      <c r="BC625" s="216"/>
      <c r="BD625" s="216"/>
      <c r="BE625" s="216"/>
      <c r="BF625" s="216"/>
      <c r="BG625" s="216"/>
      <c r="BH625" s="216"/>
      <c r="BI625" s="216"/>
      <c r="BJ625" s="216"/>
      <c r="BK625" s="216"/>
      <c r="BL625" s="216"/>
      <c r="BM625" s="216"/>
      <c r="BN625" s="216"/>
      <c r="BO625" s="216"/>
      <c r="BP625" s="216"/>
      <c r="BQ625" s="216"/>
      <c r="BR625" s="216"/>
      <c r="BS625" s="216"/>
      <c r="BT625" s="216"/>
      <c r="BU625" s="216"/>
      <c r="BV625" s="216"/>
      <c r="BW625" s="216"/>
      <c r="BX625" s="216"/>
      <c r="BY625" s="216"/>
      <c r="BZ625" s="216"/>
      <c r="CA625" s="216"/>
      <c r="CB625" s="216"/>
      <c r="CC625" s="216"/>
      <c r="CD625" s="216"/>
      <c r="CE625" s="216"/>
      <c r="CF625" s="216"/>
      <c r="CG625" s="216"/>
      <c r="CH625" s="216"/>
      <c r="CI625" s="216"/>
      <c r="CJ625" s="216"/>
      <c r="CK625" s="216"/>
      <c r="CL625" s="216"/>
      <c r="CM625" s="216"/>
      <c r="CN625" s="216"/>
      <c r="CO625" s="216"/>
      <c r="CP625" s="216"/>
      <c r="CQ625" s="216"/>
      <c r="CR625" s="216"/>
      <c r="CS625" s="216"/>
      <c r="CT625" s="216"/>
      <c r="CU625" s="216"/>
      <c r="CV625" s="216"/>
      <c r="CW625" s="216"/>
      <c r="CX625" s="216"/>
      <c r="CY625" s="216"/>
    </row>
    <row r="626" spans="1:103" ht="12.75" x14ac:dyDescent="0.2">
      <c r="A626" s="214"/>
      <c r="B626" s="214"/>
      <c r="C626" s="214"/>
      <c r="D626" s="214"/>
      <c r="E626" s="214"/>
      <c r="F626" s="214"/>
      <c r="G626" s="214"/>
      <c r="H626" s="214"/>
      <c r="I626" s="214"/>
      <c r="J626" s="214"/>
      <c r="K626" s="214"/>
      <c r="L626" s="214"/>
      <c r="M626" s="214"/>
      <c r="N626" s="215"/>
      <c r="O626" s="215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6"/>
      <c r="BB626" s="216"/>
      <c r="BC626" s="216"/>
      <c r="BD626" s="216"/>
      <c r="BE626" s="216"/>
      <c r="BF626" s="216"/>
      <c r="BG626" s="216"/>
      <c r="BH626" s="216"/>
      <c r="BI626" s="216"/>
      <c r="BJ626" s="216"/>
      <c r="BK626" s="216"/>
      <c r="BL626" s="216"/>
      <c r="BM626" s="216"/>
      <c r="BN626" s="216"/>
      <c r="BO626" s="216"/>
      <c r="BP626" s="216"/>
      <c r="BQ626" s="216"/>
      <c r="BR626" s="216"/>
      <c r="BS626" s="216"/>
      <c r="BT626" s="216"/>
      <c r="BU626" s="216"/>
      <c r="BV626" s="216"/>
      <c r="BW626" s="216"/>
      <c r="BX626" s="216"/>
      <c r="BY626" s="216"/>
      <c r="BZ626" s="216"/>
      <c r="CA626" s="216"/>
      <c r="CB626" s="216"/>
      <c r="CC626" s="216"/>
      <c r="CD626" s="216"/>
      <c r="CE626" s="216"/>
      <c r="CF626" s="216"/>
      <c r="CG626" s="216"/>
      <c r="CH626" s="216"/>
      <c r="CI626" s="216"/>
      <c r="CJ626" s="216"/>
      <c r="CK626" s="216"/>
      <c r="CL626" s="216"/>
      <c r="CM626" s="216"/>
      <c r="CN626" s="216"/>
      <c r="CO626" s="216"/>
      <c r="CP626" s="216"/>
      <c r="CQ626" s="216"/>
      <c r="CR626" s="216"/>
      <c r="CS626" s="216"/>
      <c r="CT626" s="216"/>
      <c r="CU626" s="216"/>
      <c r="CV626" s="216"/>
      <c r="CW626" s="216"/>
      <c r="CX626" s="216"/>
      <c r="CY626" s="216"/>
    </row>
    <row r="627" spans="1:103" ht="12.75" x14ac:dyDescent="0.2">
      <c r="A627" s="214"/>
      <c r="B627" s="214"/>
      <c r="C627" s="214"/>
      <c r="D627" s="214"/>
      <c r="E627" s="214"/>
      <c r="F627" s="214"/>
      <c r="G627" s="214"/>
      <c r="H627" s="214"/>
      <c r="I627" s="214"/>
      <c r="J627" s="214"/>
      <c r="K627" s="214"/>
      <c r="L627" s="214"/>
      <c r="M627" s="214"/>
      <c r="N627" s="215"/>
      <c r="O627" s="215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6"/>
      <c r="BN627" s="216"/>
      <c r="BO627" s="216"/>
      <c r="BP627" s="216"/>
      <c r="BQ627" s="216"/>
      <c r="BR627" s="216"/>
      <c r="BS627" s="216"/>
      <c r="BT627" s="216"/>
      <c r="BU627" s="216"/>
      <c r="BV627" s="216"/>
      <c r="BW627" s="216"/>
      <c r="BX627" s="216"/>
      <c r="BY627" s="216"/>
      <c r="BZ627" s="216"/>
      <c r="CA627" s="216"/>
      <c r="CB627" s="216"/>
      <c r="CC627" s="216"/>
      <c r="CD627" s="216"/>
      <c r="CE627" s="216"/>
      <c r="CF627" s="216"/>
      <c r="CG627" s="216"/>
      <c r="CH627" s="216"/>
      <c r="CI627" s="216"/>
      <c r="CJ627" s="216"/>
      <c r="CK627" s="216"/>
      <c r="CL627" s="216"/>
      <c r="CM627" s="216"/>
      <c r="CN627" s="216"/>
      <c r="CO627" s="216"/>
      <c r="CP627" s="216"/>
      <c r="CQ627" s="216"/>
      <c r="CR627" s="216"/>
      <c r="CS627" s="216"/>
      <c r="CT627" s="216"/>
      <c r="CU627" s="216"/>
      <c r="CV627" s="216"/>
      <c r="CW627" s="216"/>
      <c r="CX627" s="216"/>
      <c r="CY627" s="216"/>
    </row>
    <row r="628" spans="1:103" ht="12.75" x14ac:dyDescent="0.2">
      <c r="A628" s="214"/>
      <c r="B628" s="214"/>
      <c r="C628" s="214"/>
      <c r="D628" s="214"/>
      <c r="E628" s="214"/>
      <c r="F628" s="214"/>
      <c r="G628" s="214"/>
      <c r="H628" s="214"/>
      <c r="I628" s="214"/>
      <c r="J628" s="214"/>
      <c r="K628" s="214"/>
      <c r="L628" s="214"/>
      <c r="M628" s="214"/>
      <c r="N628" s="215"/>
      <c r="O628" s="215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6"/>
      <c r="BN628" s="216"/>
      <c r="BO628" s="216"/>
      <c r="BP628" s="216"/>
      <c r="BQ628" s="216"/>
      <c r="BR628" s="216"/>
      <c r="BS628" s="216"/>
      <c r="BT628" s="216"/>
      <c r="BU628" s="216"/>
      <c r="BV628" s="216"/>
      <c r="BW628" s="216"/>
      <c r="BX628" s="216"/>
      <c r="BY628" s="216"/>
      <c r="BZ628" s="216"/>
      <c r="CA628" s="216"/>
      <c r="CB628" s="216"/>
      <c r="CC628" s="216"/>
      <c r="CD628" s="216"/>
      <c r="CE628" s="216"/>
      <c r="CF628" s="216"/>
      <c r="CG628" s="216"/>
      <c r="CH628" s="216"/>
      <c r="CI628" s="216"/>
      <c r="CJ628" s="216"/>
      <c r="CK628" s="216"/>
      <c r="CL628" s="216"/>
      <c r="CM628" s="216"/>
      <c r="CN628" s="216"/>
      <c r="CO628" s="216"/>
      <c r="CP628" s="216"/>
      <c r="CQ628" s="216"/>
      <c r="CR628" s="216"/>
      <c r="CS628" s="216"/>
      <c r="CT628" s="216"/>
      <c r="CU628" s="216"/>
      <c r="CV628" s="216"/>
      <c r="CW628" s="216"/>
      <c r="CX628" s="216"/>
      <c r="CY628" s="216"/>
    </row>
    <row r="629" spans="1:103" ht="12.75" x14ac:dyDescent="0.2">
      <c r="A629" s="214"/>
      <c r="B629" s="214"/>
      <c r="C629" s="214"/>
      <c r="D629" s="214"/>
      <c r="E629" s="214"/>
      <c r="F629" s="214"/>
      <c r="G629" s="214"/>
      <c r="H629" s="214"/>
      <c r="I629" s="214"/>
      <c r="J629" s="214"/>
      <c r="K629" s="214"/>
      <c r="L629" s="214"/>
      <c r="M629" s="214"/>
      <c r="N629" s="215"/>
      <c r="O629" s="215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6"/>
      <c r="BN629" s="216"/>
      <c r="BO629" s="216"/>
      <c r="BP629" s="216"/>
      <c r="BQ629" s="216"/>
      <c r="BR629" s="216"/>
      <c r="BS629" s="216"/>
      <c r="BT629" s="216"/>
      <c r="BU629" s="216"/>
      <c r="BV629" s="216"/>
      <c r="BW629" s="216"/>
      <c r="BX629" s="216"/>
      <c r="BY629" s="216"/>
      <c r="BZ629" s="216"/>
      <c r="CA629" s="216"/>
      <c r="CB629" s="216"/>
      <c r="CC629" s="216"/>
      <c r="CD629" s="216"/>
      <c r="CE629" s="216"/>
      <c r="CF629" s="216"/>
      <c r="CG629" s="216"/>
      <c r="CH629" s="216"/>
      <c r="CI629" s="216"/>
      <c r="CJ629" s="216"/>
      <c r="CK629" s="216"/>
      <c r="CL629" s="216"/>
      <c r="CM629" s="216"/>
      <c r="CN629" s="216"/>
      <c r="CO629" s="216"/>
      <c r="CP629" s="216"/>
      <c r="CQ629" s="216"/>
      <c r="CR629" s="216"/>
      <c r="CS629" s="216"/>
      <c r="CT629" s="216"/>
      <c r="CU629" s="216"/>
      <c r="CV629" s="216"/>
      <c r="CW629" s="216"/>
      <c r="CX629" s="216"/>
      <c r="CY629" s="216"/>
    </row>
    <row r="630" spans="1:103" ht="12.75" x14ac:dyDescent="0.2">
      <c r="A630" s="214"/>
      <c r="B630" s="214"/>
      <c r="C630" s="214"/>
      <c r="D630" s="214"/>
      <c r="E630" s="214"/>
      <c r="F630" s="214"/>
      <c r="G630" s="214"/>
      <c r="H630" s="214"/>
      <c r="I630" s="214"/>
      <c r="J630" s="214"/>
      <c r="K630" s="214"/>
      <c r="L630" s="214"/>
      <c r="M630" s="214"/>
      <c r="N630" s="215"/>
      <c r="O630" s="215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6"/>
      <c r="BN630" s="216"/>
      <c r="BO630" s="216"/>
      <c r="BP630" s="216"/>
      <c r="BQ630" s="216"/>
      <c r="BR630" s="216"/>
      <c r="BS630" s="216"/>
      <c r="BT630" s="216"/>
      <c r="BU630" s="216"/>
      <c r="BV630" s="216"/>
      <c r="BW630" s="216"/>
      <c r="BX630" s="216"/>
      <c r="BY630" s="216"/>
      <c r="BZ630" s="216"/>
      <c r="CA630" s="216"/>
      <c r="CB630" s="216"/>
      <c r="CC630" s="216"/>
      <c r="CD630" s="216"/>
      <c r="CE630" s="216"/>
      <c r="CF630" s="216"/>
      <c r="CG630" s="216"/>
      <c r="CH630" s="216"/>
      <c r="CI630" s="216"/>
      <c r="CJ630" s="216"/>
      <c r="CK630" s="216"/>
      <c r="CL630" s="216"/>
      <c r="CM630" s="216"/>
      <c r="CN630" s="216"/>
      <c r="CO630" s="216"/>
      <c r="CP630" s="216"/>
      <c r="CQ630" s="216"/>
      <c r="CR630" s="216"/>
      <c r="CS630" s="216"/>
      <c r="CT630" s="216"/>
      <c r="CU630" s="216"/>
      <c r="CV630" s="216"/>
      <c r="CW630" s="216"/>
      <c r="CX630" s="216"/>
      <c r="CY630" s="216"/>
    </row>
    <row r="631" spans="1:103" ht="12.75" x14ac:dyDescent="0.2">
      <c r="A631" s="214"/>
      <c r="B631" s="214"/>
      <c r="C631" s="214"/>
      <c r="D631" s="214"/>
      <c r="E631" s="214"/>
      <c r="F631" s="214"/>
      <c r="G631" s="214"/>
      <c r="H631" s="214"/>
      <c r="I631" s="214"/>
      <c r="J631" s="214"/>
      <c r="K631" s="214"/>
      <c r="L631" s="214"/>
      <c r="M631" s="214"/>
      <c r="N631" s="215"/>
      <c r="O631" s="215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6"/>
      <c r="BN631" s="216"/>
      <c r="BO631" s="216"/>
      <c r="BP631" s="216"/>
      <c r="BQ631" s="216"/>
      <c r="BR631" s="216"/>
      <c r="BS631" s="216"/>
      <c r="BT631" s="216"/>
      <c r="BU631" s="216"/>
      <c r="BV631" s="216"/>
      <c r="BW631" s="216"/>
      <c r="BX631" s="216"/>
      <c r="BY631" s="216"/>
      <c r="BZ631" s="216"/>
      <c r="CA631" s="216"/>
      <c r="CB631" s="216"/>
      <c r="CC631" s="216"/>
      <c r="CD631" s="216"/>
      <c r="CE631" s="216"/>
      <c r="CF631" s="216"/>
      <c r="CG631" s="216"/>
      <c r="CH631" s="216"/>
      <c r="CI631" s="216"/>
      <c r="CJ631" s="216"/>
      <c r="CK631" s="216"/>
      <c r="CL631" s="216"/>
      <c r="CM631" s="216"/>
      <c r="CN631" s="216"/>
      <c r="CO631" s="216"/>
      <c r="CP631" s="216"/>
      <c r="CQ631" s="216"/>
      <c r="CR631" s="216"/>
      <c r="CS631" s="216"/>
      <c r="CT631" s="216"/>
      <c r="CU631" s="216"/>
      <c r="CV631" s="216"/>
      <c r="CW631" s="216"/>
      <c r="CX631" s="216"/>
      <c r="CY631" s="216"/>
    </row>
    <row r="632" spans="1:103" ht="12.75" x14ac:dyDescent="0.2">
      <c r="A632" s="214"/>
      <c r="B632" s="214"/>
      <c r="C632" s="214"/>
      <c r="D632" s="214"/>
      <c r="E632" s="214"/>
      <c r="F632" s="214"/>
      <c r="G632" s="214"/>
      <c r="H632" s="214"/>
      <c r="I632" s="214"/>
      <c r="J632" s="214"/>
      <c r="K632" s="214"/>
      <c r="L632" s="214"/>
      <c r="M632" s="214"/>
      <c r="N632" s="215"/>
      <c r="O632" s="215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6"/>
      <c r="BN632" s="216"/>
      <c r="BO632" s="216"/>
      <c r="BP632" s="216"/>
      <c r="BQ632" s="216"/>
      <c r="BR632" s="216"/>
      <c r="BS632" s="216"/>
      <c r="BT632" s="216"/>
      <c r="BU632" s="216"/>
      <c r="BV632" s="216"/>
      <c r="BW632" s="216"/>
      <c r="BX632" s="216"/>
      <c r="BY632" s="216"/>
      <c r="BZ632" s="216"/>
      <c r="CA632" s="216"/>
      <c r="CB632" s="216"/>
      <c r="CC632" s="216"/>
      <c r="CD632" s="216"/>
      <c r="CE632" s="216"/>
      <c r="CF632" s="216"/>
      <c r="CG632" s="216"/>
      <c r="CH632" s="216"/>
      <c r="CI632" s="216"/>
      <c r="CJ632" s="216"/>
      <c r="CK632" s="216"/>
      <c r="CL632" s="216"/>
      <c r="CM632" s="216"/>
      <c r="CN632" s="216"/>
      <c r="CO632" s="216"/>
      <c r="CP632" s="216"/>
      <c r="CQ632" s="216"/>
      <c r="CR632" s="216"/>
      <c r="CS632" s="216"/>
      <c r="CT632" s="216"/>
      <c r="CU632" s="216"/>
      <c r="CV632" s="216"/>
      <c r="CW632" s="216"/>
      <c r="CX632" s="216"/>
      <c r="CY632" s="216"/>
    </row>
    <row r="633" spans="1:103" ht="12.75" x14ac:dyDescent="0.2">
      <c r="A633" s="214"/>
      <c r="B633" s="214"/>
      <c r="C633" s="214"/>
      <c r="D633" s="214"/>
      <c r="E633" s="214"/>
      <c r="F633" s="214"/>
      <c r="G633" s="214"/>
      <c r="H633" s="214"/>
      <c r="I633" s="214"/>
      <c r="J633" s="214"/>
      <c r="K633" s="214"/>
      <c r="L633" s="214"/>
      <c r="M633" s="214"/>
      <c r="N633" s="215"/>
      <c r="O633" s="215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16"/>
      <c r="BN633" s="216"/>
      <c r="BO633" s="216"/>
      <c r="BP633" s="216"/>
      <c r="BQ633" s="216"/>
      <c r="BR633" s="216"/>
      <c r="BS633" s="216"/>
      <c r="BT633" s="216"/>
      <c r="BU633" s="216"/>
      <c r="BV633" s="216"/>
      <c r="BW633" s="216"/>
      <c r="BX633" s="216"/>
      <c r="BY633" s="216"/>
      <c r="BZ633" s="216"/>
      <c r="CA633" s="216"/>
      <c r="CB633" s="216"/>
      <c r="CC633" s="216"/>
      <c r="CD633" s="216"/>
      <c r="CE633" s="216"/>
      <c r="CF633" s="216"/>
      <c r="CG633" s="216"/>
      <c r="CH633" s="216"/>
      <c r="CI633" s="216"/>
      <c r="CJ633" s="216"/>
      <c r="CK633" s="216"/>
      <c r="CL633" s="216"/>
      <c r="CM633" s="216"/>
      <c r="CN633" s="216"/>
      <c r="CO633" s="216"/>
      <c r="CP633" s="216"/>
      <c r="CQ633" s="216"/>
      <c r="CR633" s="216"/>
      <c r="CS633" s="216"/>
      <c r="CT633" s="216"/>
      <c r="CU633" s="216"/>
      <c r="CV633" s="216"/>
      <c r="CW633" s="216"/>
      <c r="CX633" s="216"/>
      <c r="CY633" s="216"/>
    </row>
    <row r="634" spans="1:103" ht="12.75" x14ac:dyDescent="0.2">
      <c r="A634" s="214"/>
      <c r="B634" s="214"/>
      <c r="C634" s="214"/>
      <c r="D634" s="214"/>
      <c r="E634" s="214"/>
      <c r="F634" s="214"/>
      <c r="G634" s="214"/>
      <c r="H634" s="214"/>
      <c r="I634" s="214"/>
      <c r="J634" s="214"/>
      <c r="K634" s="214"/>
      <c r="L634" s="214"/>
      <c r="M634" s="214"/>
      <c r="N634" s="215"/>
      <c r="O634" s="215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16"/>
      <c r="BN634" s="216"/>
      <c r="BO634" s="216"/>
      <c r="BP634" s="216"/>
      <c r="BQ634" s="216"/>
      <c r="BR634" s="216"/>
      <c r="BS634" s="216"/>
      <c r="BT634" s="216"/>
      <c r="BU634" s="216"/>
      <c r="BV634" s="216"/>
      <c r="BW634" s="216"/>
      <c r="BX634" s="216"/>
      <c r="BY634" s="216"/>
      <c r="BZ634" s="216"/>
      <c r="CA634" s="216"/>
      <c r="CB634" s="216"/>
      <c r="CC634" s="216"/>
      <c r="CD634" s="216"/>
      <c r="CE634" s="216"/>
      <c r="CF634" s="216"/>
      <c r="CG634" s="216"/>
      <c r="CH634" s="216"/>
      <c r="CI634" s="216"/>
      <c r="CJ634" s="216"/>
      <c r="CK634" s="216"/>
      <c r="CL634" s="216"/>
      <c r="CM634" s="216"/>
      <c r="CN634" s="216"/>
      <c r="CO634" s="216"/>
      <c r="CP634" s="216"/>
      <c r="CQ634" s="216"/>
      <c r="CR634" s="216"/>
      <c r="CS634" s="216"/>
      <c r="CT634" s="216"/>
      <c r="CU634" s="216"/>
      <c r="CV634" s="216"/>
      <c r="CW634" s="216"/>
      <c r="CX634" s="216"/>
      <c r="CY634" s="216"/>
    </row>
    <row r="635" spans="1:103" ht="12.75" x14ac:dyDescent="0.2">
      <c r="A635" s="214"/>
      <c r="B635" s="214"/>
      <c r="C635" s="214"/>
      <c r="D635" s="214"/>
      <c r="E635" s="214"/>
      <c r="F635" s="214"/>
      <c r="G635" s="214"/>
      <c r="H635" s="214"/>
      <c r="I635" s="214"/>
      <c r="J635" s="214"/>
      <c r="K635" s="214"/>
      <c r="L635" s="214"/>
      <c r="M635" s="214"/>
      <c r="N635" s="215"/>
      <c r="O635" s="215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  <c r="BI635" s="216"/>
      <c r="BJ635" s="216"/>
      <c r="BK635" s="216"/>
      <c r="BL635" s="216"/>
      <c r="BM635" s="216"/>
      <c r="BN635" s="216"/>
      <c r="BO635" s="216"/>
      <c r="BP635" s="216"/>
      <c r="BQ635" s="216"/>
      <c r="BR635" s="216"/>
      <c r="BS635" s="216"/>
      <c r="BT635" s="216"/>
      <c r="BU635" s="216"/>
      <c r="BV635" s="216"/>
      <c r="BW635" s="216"/>
      <c r="BX635" s="216"/>
      <c r="BY635" s="216"/>
      <c r="BZ635" s="216"/>
      <c r="CA635" s="216"/>
      <c r="CB635" s="216"/>
      <c r="CC635" s="216"/>
      <c r="CD635" s="216"/>
      <c r="CE635" s="216"/>
      <c r="CF635" s="216"/>
      <c r="CG635" s="216"/>
      <c r="CH635" s="216"/>
      <c r="CI635" s="216"/>
      <c r="CJ635" s="216"/>
      <c r="CK635" s="216"/>
      <c r="CL635" s="216"/>
      <c r="CM635" s="216"/>
      <c r="CN635" s="216"/>
      <c r="CO635" s="216"/>
      <c r="CP635" s="216"/>
      <c r="CQ635" s="216"/>
      <c r="CR635" s="216"/>
      <c r="CS635" s="216"/>
      <c r="CT635" s="216"/>
      <c r="CU635" s="216"/>
      <c r="CV635" s="216"/>
      <c r="CW635" s="216"/>
      <c r="CX635" s="216"/>
      <c r="CY635" s="216"/>
    </row>
    <row r="636" spans="1:103" ht="12.75" x14ac:dyDescent="0.2">
      <c r="A636" s="214"/>
      <c r="B636" s="214"/>
      <c r="C636" s="214"/>
      <c r="D636" s="214"/>
      <c r="E636" s="214"/>
      <c r="F636" s="214"/>
      <c r="G636" s="214"/>
      <c r="H636" s="214"/>
      <c r="I636" s="214"/>
      <c r="J636" s="214"/>
      <c r="K636" s="214"/>
      <c r="L636" s="214"/>
      <c r="M636" s="214"/>
      <c r="N636" s="215"/>
      <c r="O636" s="215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16"/>
      <c r="BN636" s="216"/>
      <c r="BO636" s="216"/>
      <c r="BP636" s="216"/>
      <c r="BQ636" s="216"/>
      <c r="BR636" s="216"/>
      <c r="BS636" s="216"/>
      <c r="BT636" s="216"/>
      <c r="BU636" s="216"/>
      <c r="BV636" s="216"/>
      <c r="BW636" s="216"/>
      <c r="BX636" s="216"/>
      <c r="BY636" s="216"/>
      <c r="BZ636" s="216"/>
      <c r="CA636" s="216"/>
      <c r="CB636" s="216"/>
      <c r="CC636" s="216"/>
      <c r="CD636" s="216"/>
      <c r="CE636" s="216"/>
      <c r="CF636" s="216"/>
      <c r="CG636" s="216"/>
      <c r="CH636" s="216"/>
      <c r="CI636" s="216"/>
      <c r="CJ636" s="216"/>
      <c r="CK636" s="216"/>
      <c r="CL636" s="216"/>
      <c r="CM636" s="216"/>
      <c r="CN636" s="216"/>
      <c r="CO636" s="216"/>
      <c r="CP636" s="216"/>
      <c r="CQ636" s="216"/>
      <c r="CR636" s="216"/>
      <c r="CS636" s="216"/>
      <c r="CT636" s="216"/>
      <c r="CU636" s="216"/>
      <c r="CV636" s="216"/>
      <c r="CW636" s="216"/>
      <c r="CX636" s="216"/>
      <c r="CY636" s="216"/>
    </row>
    <row r="637" spans="1:103" ht="12.75" x14ac:dyDescent="0.2">
      <c r="A637" s="214"/>
      <c r="B637" s="214"/>
      <c r="C637" s="214"/>
      <c r="D637" s="214"/>
      <c r="E637" s="214"/>
      <c r="F637" s="214"/>
      <c r="G637" s="214"/>
      <c r="H637" s="214"/>
      <c r="I637" s="214"/>
      <c r="J637" s="214"/>
      <c r="K637" s="214"/>
      <c r="L637" s="214"/>
      <c r="M637" s="214"/>
      <c r="N637" s="215"/>
      <c r="O637" s="215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16"/>
      <c r="BN637" s="216"/>
      <c r="BO637" s="216"/>
      <c r="BP637" s="216"/>
      <c r="BQ637" s="216"/>
      <c r="BR637" s="216"/>
      <c r="BS637" s="216"/>
      <c r="BT637" s="216"/>
      <c r="BU637" s="216"/>
      <c r="BV637" s="216"/>
      <c r="BW637" s="216"/>
      <c r="BX637" s="216"/>
      <c r="BY637" s="216"/>
      <c r="BZ637" s="216"/>
      <c r="CA637" s="216"/>
      <c r="CB637" s="216"/>
      <c r="CC637" s="216"/>
      <c r="CD637" s="216"/>
      <c r="CE637" s="216"/>
      <c r="CF637" s="216"/>
      <c r="CG637" s="216"/>
      <c r="CH637" s="216"/>
      <c r="CI637" s="216"/>
      <c r="CJ637" s="216"/>
      <c r="CK637" s="216"/>
      <c r="CL637" s="216"/>
      <c r="CM637" s="216"/>
      <c r="CN637" s="216"/>
      <c r="CO637" s="216"/>
      <c r="CP637" s="216"/>
      <c r="CQ637" s="216"/>
      <c r="CR637" s="216"/>
      <c r="CS637" s="216"/>
      <c r="CT637" s="216"/>
      <c r="CU637" s="216"/>
      <c r="CV637" s="216"/>
      <c r="CW637" s="216"/>
      <c r="CX637" s="216"/>
      <c r="CY637" s="216"/>
    </row>
    <row r="638" spans="1:103" ht="12.75" x14ac:dyDescent="0.2">
      <c r="A638" s="214"/>
      <c r="B638" s="214"/>
      <c r="C638" s="214"/>
      <c r="D638" s="214"/>
      <c r="E638" s="214"/>
      <c r="F638" s="214"/>
      <c r="G638" s="214"/>
      <c r="H638" s="214"/>
      <c r="I638" s="214"/>
      <c r="J638" s="214"/>
      <c r="K638" s="214"/>
      <c r="L638" s="214"/>
      <c r="M638" s="214"/>
      <c r="N638" s="215"/>
      <c r="O638" s="215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  <c r="BI638" s="216"/>
      <c r="BJ638" s="216"/>
      <c r="BK638" s="216"/>
      <c r="BL638" s="216"/>
      <c r="BM638" s="216"/>
      <c r="BN638" s="216"/>
      <c r="BO638" s="216"/>
      <c r="BP638" s="216"/>
      <c r="BQ638" s="216"/>
      <c r="BR638" s="216"/>
      <c r="BS638" s="216"/>
      <c r="BT638" s="216"/>
      <c r="BU638" s="216"/>
      <c r="BV638" s="216"/>
      <c r="BW638" s="216"/>
      <c r="BX638" s="216"/>
      <c r="BY638" s="216"/>
      <c r="BZ638" s="216"/>
      <c r="CA638" s="216"/>
      <c r="CB638" s="216"/>
      <c r="CC638" s="216"/>
      <c r="CD638" s="216"/>
      <c r="CE638" s="216"/>
      <c r="CF638" s="216"/>
      <c r="CG638" s="216"/>
      <c r="CH638" s="216"/>
      <c r="CI638" s="216"/>
      <c r="CJ638" s="216"/>
      <c r="CK638" s="216"/>
      <c r="CL638" s="216"/>
      <c r="CM638" s="216"/>
      <c r="CN638" s="216"/>
      <c r="CO638" s="216"/>
      <c r="CP638" s="216"/>
      <c r="CQ638" s="216"/>
      <c r="CR638" s="216"/>
      <c r="CS638" s="216"/>
      <c r="CT638" s="216"/>
      <c r="CU638" s="216"/>
      <c r="CV638" s="216"/>
      <c r="CW638" s="216"/>
      <c r="CX638" s="216"/>
      <c r="CY638" s="216"/>
    </row>
    <row r="639" spans="1:103" ht="12.75" x14ac:dyDescent="0.2">
      <c r="A639" s="214"/>
      <c r="B639" s="214"/>
      <c r="C639" s="214"/>
      <c r="D639" s="214"/>
      <c r="E639" s="214"/>
      <c r="F639" s="214"/>
      <c r="G639" s="214"/>
      <c r="H639" s="214"/>
      <c r="I639" s="214"/>
      <c r="J639" s="214"/>
      <c r="K639" s="214"/>
      <c r="L639" s="214"/>
      <c r="M639" s="214"/>
      <c r="N639" s="215"/>
      <c r="O639" s="215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6"/>
      <c r="AT639" s="216"/>
      <c r="AU639" s="216"/>
      <c r="AV639" s="216"/>
      <c r="AW639" s="216"/>
      <c r="AX639" s="216"/>
      <c r="AY639" s="216"/>
      <c r="AZ639" s="216"/>
      <c r="BA639" s="216"/>
      <c r="BB639" s="216"/>
      <c r="BC639" s="216"/>
      <c r="BD639" s="216"/>
      <c r="BE639" s="216"/>
      <c r="BF639" s="216"/>
      <c r="BG639" s="216"/>
      <c r="BH639" s="216"/>
      <c r="BI639" s="216"/>
      <c r="BJ639" s="216"/>
      <c r="BK639" s="216"/>
      <c r="BL639" s="216"/>
      <c r="BM639" s="216"/>
      <c r="BN639" s="216"/>
      <c r="BO639" s="216"/>
      <c r="BP639" s="216"/>
      <c r="BQ639" s="216"/>
      <c r="BR639" s="216"/>
      <c r="BS639" s="216"/>
      <c r="BT639" s="216"/>
      <c r="BU639" s="216"/>
      <c r="BV639" s="216"/>
      <c r="BW639" s="216"/>
      <c r="BX639" s="216"/>
      <c r="BY639" s="216"/>
      <c r="BZ639" s="216"/>
      <c r="CA639" s="216"/>
      <c r="CB639" s="216"/>
      <c r="CC639" s="216"/>
      <c r="CD639" s="216"/>
      <c r="CE639" s="216"/>
      <c r="CF639" s="216"/>
      <c r="CG639" s="216"/>
      <c r="CH639" s="216"/>
      <c r="CI639" s="216"/>
      <c r="CJ639" s="216"/>
      <c r="CK639" s="216"/>
      <c r="CL639" s="216"/>
      <c r="CM639" s="216"/>
      <c r="CN639" s="216"/>
      <c r="CO639" s="216"/>
      <c r="CP639" s="216"/>
      <c r="CQ639" s="216"/>
      <c r="CR639" s="216"/>
      <c r="CS639" s="216"/>
      <c r="CT639" s="216"/>
      <c r="CU639" s="216"/>
      <c r="CV639" s="216"/>
      <c r="CW639" s="216"/>
      <c r="CX639" s="216"/>
      <c r="CY639" s="216"/>
    </row>
    <row r="640" spans="1:103" ht="12.75" x14ac:dyDescent="0.2">
      <c r="A640" s="214"/>
      <c r="B640" s="214"/>
      <c r="C640" s="214"/>
      <c r="D640" s="214"/>
      <c r="E640" s="214"/>
      <c r="F640" s="214"/>
      <c r="G640" s="214"/>
      <c r="H640" s="214"/>
      <c r="I640" s="214"/>
      <c r="J640" s="214"/>
      <c r="K640" s="214"/>
      <c r="L640" s="214"/>
      <c r="M640" s="214"/>
      <c r="N640" s="215"/>
      <c r="O640" s="215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  <c r="BI640" s="216"/>
      <c r="BJ640" s="216"/>
      <c r="BK640" s="216"/>
      <c r="BL640" s="216"/>
      <c r="BM640" s="216"/>
      <c r="BN640" s="216"/>
      <c r="BO640" s="216"/>
      <c r="BP640" s="216"/>
      <c r="BQ640" s="216"/>
      <c r="BR640" s="216"/>
      <c r="BS640" s="216"/>
      <c r="BT640" s="216"/>
      <c r="BU640" s="216"/>
      <c r="BV640" s="216"/>
      <c r="BW640" s="216"/>
      <c r="BX640" s="216"/>
      <c r="BY640" s="216"/>
      <c r="BZ640" s="216"/>
      <c r="CA640" s="216"/>
      <c r="CB640" s="216"/>
      <c r="CC640" s="216"/>
      <c r="CD640" s="216"/>
      <c r="CE640" s="216"/>
      <c r="CF640" s="216"/>
      <c r="CG640" s="216"/>
      <c r="CH640" s="216"/>
      <c r="CI640" s="216"/>
      <c r="CJ640" s="216"/>
      <c r="CK640" s="216"/>
      <c r="CL640" s="216"/>
      <c r="CM640" s="216"/>
      <c r="CN640" s="216"/>
      <c r="CO640" s="216"/>
      <c r="CP640" s="216"/>
      <c r="CQ640" s="216"/>
      <c r="CR640" s="216"/>
      <c r="CS640" s="216"/>
      <c r="CT640" s="216"/>
      <c r="CU640" s="216"/>
      <c r="CV640" s="216"/>
      <c r="CW640" s="216"/>
      <c r="CX640" s="216"/>
      <c r="CY640" s="216"/>
    </row>
    <row r="641" spans="1:103" ht="12.75" x14ac:dyDescent="0.2">
      <c r="A641" s="214"/>
      <c r="B641" s="214"/>
      <c r="C641" s="214"/>
      <c r="D641" s="214"/>
      <c r="E641" s="214"/>
      <c r="F641" s="214"/>
      <c r="G641" s="214"/>
      <c r="H641" s="214"/>
      <c r="I641" s="214"/>
      <c r="J641" s="214"/>
      <c r="K641" s="214"/>
      <c r="L641" s="214"/>
      <c r="M641" s="214"/>
      <c r="N641" s="215"/>
      <c r="O641" s="215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16"/>
      <c r="AN641" s="216"/>
      <c r="AO641" s="216"/>
      <c r="AP641" s="216"/>
      <c r="AQ641" s="216"/>
      <c r="AR641" s="216"/>
      <c r="AS641" s="216"/>
      <c r="AT641" s="216"/>
      <c r="AU641" s="216"/>
      <c r="AV641" s="216"/>
      <c r="AW641" s="216"/>
      <c r="AX641" s="216"/>
      <c r="AY641" s="216"/>
      <c r="AZ641" s="216"/>
      <c r="BA641" s="216"/>
      <c r="BB641" s="216"/>
      <c r="BC641" s="216"/>
      <c r="BD641" s="216"/>
      <c r="BE641" s="216"/>
      <c r="BF641" s="216"/>
      <c r="BG641" s="216"/>
      <c r="BH641" s="216"/>
      <c r="BI641" s="216"/>
      <c r="BJ641" s="216"/>
      <c r="BK641" s="216"/>
      <c r="BL641" s="216"/>
      <c r="BM641" s="216"/>
      <c r="BN641" s="216"/>
      <c r="BO641" s="216"/>
      <c r="BP641" s="216"/>
      <c r="BQ641" s="216"/>
      <c r="BR641" s="216"/>
      <c r="BS641" s="216"/>
      <c r="BT641" s="216"/>
      <c r="BU641" s="216"/>
      <c r="BV641" s="216"/>
      <c r="BW641" s="216"/>
      <c r="BX641" s="216"/>
      <c r="BY641" s="216"/>
      <c r="BZ641" s="216"/>
      <c r="CA641" s="216"/>
      <c r="CB641" s="216"/>
      <c r="CC641" s="216"/>
      <c r="CD641" s="216"/>
      <c r="CE641" s="216"/>
      <c r="CF641" s="216"/>
      <c r="CG641" s="216"/>
      <c r="CH641" s="216"/>
      <c r="CI641" s="216"/>
      <c r="CJ641" s="216"/>
      <c r="CK641" s="216"/>
      <c r="CL641" s="216"/>
      <c r="CM641" s="216"/>
      <c r="CN641" s="216"/>
      <c r="CO641" s="216"/>
      <c r="CP641" s="216"/>
      <c r="CQ641" s="216"/>
      <c r="CR641" s="216"/>
      <c r="CS641" s="216"/>
      <c r="CT641" s="216"/>
      <c r="CU641" s="216"/>
      <c r="CV641" s="216"/>
      <c r="CW641" s="216"/>
      <c r="CX641" s="216"/>
      <c r="CY641" s="216"/>
    </row>
    <row r="642" spans="1:103" ht="12.75" x14ac:dyDescent="0.2">
      <c r="A642" s="214"/>
      <c r="B642" s="214"/>
      <c r="C642" s="214"/>
      <c r="D642" s="214"/>
      <c r="E642" s="214"/>
      <c r="F642" s="214"/>
      <c r="G642" s="214"/>
      <c r="H642" s="214"/>
      <c r="I642" s="214"/>
      <c r="J642" s="214"/>
      <c r="K642" s="214"/>
      <c r="L642" s="214"/>
      <c r="M642" s="214"/>
      <c r="N642" s="215"/>
      <c r="O642" s="215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16"/>
      <c r="AN642" s="216"/>
      <c r="AO642" s="216"/>
      <c r="AP642" s="216"/>
      <c r="AQ642" s="216"/>
      <c r="AR642" s="216"/>
      <c r="AS642" s="216"/>
      <c r="AT642" s="216"/>
      <c r="AU642" s="216"/>
      <c r="AV642" s="216"/>
      <c r="AW642" s="216"/>
      <c r="AX642" s="216"/>
      <c r="AY642" s="216"/>
      <c r="AZ642" s="216"/>
      <c r="BA642" s="216"/>
      <c r="BB642" s="216"/>
      <c r="BC642" s="216"/>
      <c r="BD642" s="216"/>
      <c r="BE642" s="216"/>
      <c r="BF642" s="216"/>
      <c r="BG642" s="216"/>
      <c r="BH642" s="216"/>
      <c r="BI642" s="216"/>
      <c r="BJ642" s="216"/>
      <c r="BK642" s="216"/>
      <c r="BL642" s="216"/>
      <c r="BM642" s="216"/>
      <c r="BN642" s="216"/>
      <c r="BO642" s="216"/>
      <c r="BP642" s="216"/>
      <c r="BQ642" s="216"/>
      <c r="BR642" s="216"/>
      <c r="BS642" s="216"/>
      <c r="BT642" s="216"/>
      <c r="BU642" s="216"/>
      <c r="BV642" s="216"/>
      <c r="BW642" s="216"/>
      <c r="BX642" s="216"/>
      <c r="BY642" s="216"/>
      <c r="BZ642" s="216"/>
      <c r="CA642" s="216"/>
      <c r="CB642" s="216"/>
      <c r="CC642" s="216"/>
      <c r="CD642" s="216"/>
      <c r="CE642" s="216"/>
      <c r="CF642" s="216"/>
      <c r="CG642" s="216"/>
      <c r="CH642" s="216"/>
      <c r="CI642" s="216"/>
      <c r="CJ642" s="216"/>
      <c r="CK642" s="216"/>
      <c r="CL642" s="216"/>
      <c r="CM642" s="216"/>
      <c r="CN642" s="216"/>
      <c r="CO642" s="216"/>
      <c r="CP642" s="216"/>
      <c r="CQ642" s="216"/>
      <c r="CR642" s="216"/>
      <c r="CS642" s="216"/>
      <c r="CT642" s="216"/>
      <c r="CU642" s="216"/>
      <c r="CV642" s="216"/>
      <c r="CW642" s="216"/>
      <c r="CX642" s="216"/>
      <c r="CY642" s="216"/>
    </row>
    <row r="643" spans="1:103" ht="12.75" x14ac:dyDescent="0.2">
      <c r="A643" s="214"/>
      <c r="B643" s="214"/>
      <c r="C643" s="214"/>
      <c r="D643" s="214"/>
      <c r="E643" s="214"/>
      <c r="F643" s="214"/>
      <c r="G643" s="214"/>
      <c r="H643" s="214"/>
      <c r="I643" s="214"/>
      <c r="J643" s="214"/>
      <c r="K643" s="214"/>
      <c r="L643" s="214"/>
      <c r="M643" s="214"/>
      <c r="N643" s="215"/>
      <c r="O643" s="215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16"/>
      <c r="AN643" s="216"/>
      <c r="AO643" s="216"/>
      <c r="AP643" s="216"/>
      <c r="AQ643" s="216"/>
      <c r="AR643" s="216"/>
      <c r="AS643" s="216"/>
      <c r="AT643" s="216"/>
      <c r="AU643" s="216"/>
      <c r="AV643" s="216"/>
      <c r="AW643" s="216"/>
      <c r="AX643" s="216"/>
      <c r="AY643" s="216"/>
      <c r="AZ643" s="216"/>
      <c r="BA643" s="216"/>
      <c r="BB643" s="216"/>
      <c r="BC643" s="216"/>
      <c r="BD643" s="216"/>
      <c r="BE643" s="216"/>
      <c r="BF643" s="216"/>
      <c r="BG643" s="216"/>
      <c r="BH643" s="216"/>
      <c r="BI643" s="216"/>
      <c r="BJ643" s="216"/>
      <c r="BK643" s="216"/>
      <c r="BL643" s="216"/>
      <c r="BM643" s="216"/>
      <c r="BN643" s="216"/>
      <c r="BO643" s="216"/>
      <c r="BP643" s="216"/>
      <c r="BQ643" s="216"/>
      <c r="BR643" s="216"/>
      <c r="BS643" s="216"/>
      <c r="BT643" s="216"/>
      <c r="BU643" s="216"/>
      <c r="BV643" s="216"/>
      <c r="BW643" s="216"/>
      <c r="BX643" s="216"/>
      <c r="BY643" s="216"/>
      <c r="BZ643" s="216"/>
      <c r="CA643" s="216"/>
      <c r="CB643" s="216"/>
      <c r="CC643" s="216"/>
      <c r="CD643" s="216"/>
      <c r="CE643" s="216"/>
      <c r="CF643" s="216"/>
      <c r="CG643" s="216"/>
      <c r="CH643" s="216"/>
      <c r="CI643" s="216"/>
      <c r="CJ643" s="216"/>
      <c r="CK643" s="216"/>
      <c r="CL643" s="216"/>
      <c r="CM643" s="216"/>
      <c r="CN643" s="216"/>
      <c r="CO643" s="216"/>
      <c r="CP643" s="216"/>
      <c r="CQ643" s="216"/>
      <c r="CR643" s="216"/>
      <c r="CS643" s="216"/>
      <c r="CT643" s="216"/>
      <c r="CU643" s="216"/>
      <c r="CV643" s="216"/>
      <c r="CW643" s="216"/>
      <c r="CX643" s="216"/>
      <c r="CY643" s="216"/>
    </row>
    <row r="644" spans="1:103" ht="12.75" x14ac:dyDescent="0.2">
      <c r="A644" s="214"/>
      <c r="B644" s="214"/>
      <c r="C644" s="214"/>
      <c r="D644" s="214"/>
      <c r="E644" s="214"/>
      <c r="F644" s="214"/>
      <c r="G644" s="214"/>
      <c r="H644" s="214"/>
      <c r="I644" s="214"/>
      <c r="J644" s="214"/>
      <c r="K644" s="214"/>
      <c r="L644" s="214"/>
      <c r="M644" s="214"/>
      <c r="N644" s="215"/>
      <c r="O644" s="215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16"/>
      <c r="AN644" s="216"/>
      <c r="AO644" s="216"/>
      <c r="AP644" s="216"/>
      <c r="AQ644" s="216"/>
      <c r="AR644" s="216"/>
      <c r="AS644" s="216"/>
      <c r="AT644" s="216"/>
      <c r="AU644" s="216"/>
      <c r="AV644" s="216"/>
      <c r="AW644" s="216"/>
      <c r="AX644" s="216"/>
      <c r="AY644" s="216"/>
      <c r="AZ644" s="216"/>
      <c r="BA644" s="216"/>
      <c r="BB644" s="216"/>
      <c r="BC644" s="216"/>
      <c r="BD644" s="216"/>
      <c r="BE644" s="216"/>
      <c r="BF644" s="216"/>
      <c r="BG644" s="216"/>
      <c r="BH644" s="216"/>
      <c r="BI644" s="216"/>
      <c r="BJ644" s="216"/>
      <c r="BK644" s="216"/>
      <c r="BL644" s="216"/>
      <c r="BM644" s="216"/>
      <c r="BN644" s="216"/>
      <c r="BO644" s="216"/>
      <c r="BP644" s="216"/>
      <c r="BQ644" s="216"/>
      <c r="BR644" s="216"/>
      <c r="BS644" s="216"/>
      <c r="BT644" s="216"/>
      <c r="BU644" s="216"/>
      <c r="BV644" s="216"/>
      <c r="BW644" s="216"/>
      <c r="BX644" s="216"/>
      <c r="BY644" s="216"/>
      <c r="BZ644" s="216"/>
      <c r="CA644" s="216"/>
      <c r="CB644" s="216"/>
      <c r="CC644" s="216"/>
      <c r="CD644" s="216"/>
      <c r="CE644" s="216"/>
      <c r="CF644" s="216"/>
      <c r="CG644" s="216"/>
      <c r="CH644" s="216"/>
      <c r="CI644" s="216"/>
      <c r="CJ644" s="216"/>
      <c r="CK644" s="216"/>
      <c r="CL644" s="216"/>
      <c r="CM644" s="216"/>
      <c r="CN644" s="216"/>
      <c r="CO644" s="216"/>
      <c r="CP644" s="216"/>
      <c r="CQ644" s="216"/>
      <c r="CR644" s="216"/>
      <c r="CS644" s="216"/>
      <c r="CT644" s="216"/>
      <c r="CU644" s="216"/>
      <c r="CV644" s="216"/>
      <c r="CW644" s="216"/>
      <c r="CX644" s="216"/>
      <c r="CY644" s="216"/>
    </row>
    <row r="645" spans="1:103" ht="12.75" x14ac:dyDescent="0.2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214"/>
      <c r="L645" s="214"/>
      <c r="M645" s="214"/>
      <c r="N645" s="215"/>
      <c r="O645" s="215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16"/>
      <c r="AN645" s="216"/>
      <c r="AO645" s="216"/>
      <c r="AP645" s="216"/>
      <c r="AQ645" s="216"/>
      <c r="AR645" s="216"/>
      <c r="AS645" s="216"/>
      <c r="AT645" s="216"/>
      <c r="AU645" s="216"/>
      <c r="AV645" s="216"/>
      <c r="AW645" s="216"/>
      <c r="AX645" s="216"/>
      <c r="AY645" s="216"/>
      <c r="AZ645" s="216"/>
      <c r="BA645" s="216"/>
      <c r="BB645" s="216"/>
      <c r="BC645" s="216"/>
      <c r="BD645" s="216"/>
      <c r="BE645" s="216"/>
      <c r="BF645" s="216"/>
      <c r="BG645" s="216"/>
      <c r="BH645" s="216"/>
      <c r="BI645" s="216"/>
      <c r="BJ645" s="216"/>
      <c r="BK645" s="216"/>
      <c r="BL645" s="216"/>
      <c r="BM645" s="216"/>
      <c r="BN645" s="216"/>
      <c r="BO645" s="216"/>
      <c r="BP645" s="216"/>
      <c r="BQ645" s="216"/>
      <c r="BR645" s="216"/>
      <c r="BS645" s="216"/>
      <c r="BT645" s="216"/>
      <c r="BU645" s="216"/>
      <c r="BV645" s="216"/>
      <c r="BW645" s="216"/>
      <c r="BX645" s="216"/>
      <c r="BY645" s="216"/>
      <c r="BZ645" s="216"/>
      <c r="CA645" s="216"/>
      <c r="CB645" s="216"/>
      <c r="CC645" s="216"/>
      <c r="CD645" s="216"/>
      <c r="CE645" s="216"/>
      <c r="CF645" s="216"/>
      <c r="CG645" s="216"/>
      <c r="CH645" s="216"/>
      <c r="CI645" s="216"/>
      <c r="CJ645" s="216"/>
      <c r="CK645" s="216"/>
      <c r="CL645" s="216"/>
      <c r="CM645" s="216"/>
      <c r="CN645" s="216"/>
      <c r="CO645" s="216"/>
      <c r="CP645" s="216"/>
      <c r="CQ645" s="216"/>
      <c r="CR645" s="216"/>
      <c r="CS645" s="216"/>
      <c r="CT645" s="216"/>
      <c r="CU645" s="216"/>
      <c r="CV645" s="216"/>
      <c r="CW645" s="216"/>
      <c r="CX645" s="216"/>
      <c r="CY645" s="216"/>
    </row>
    <row r="646" spans="1:103" ht="12.75" x14ac:dyDescent="0.2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214"/>
      <c r="L646" s="214"/>
      <c r="M646" s="214"/>
      <c r="N646" s="215"/>
      <c r="O646" s="215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16"/>
      <c r="AN646" s="216"/>
      <c r="AO646" s="216"/>
      <c r="AP646" s="216"/>
      <c r="AQ646" s="216"/>
      <c r="AR646" s="216"/>
      <c r="AS646" s="216"/>
      <c r="AT646" s="216"/>
      <c r="AU646" s="216"/>
      <c r="AV646" s="216"/>
      <c r="AW646" s="216"/>
      <c r="AX646" s="216"/>
      <c r="AY646" s="216"/>
      <c r="AZ646" s="216"/>
      <c r="BA646" s="216"/>
      <c r="BB646" s="216"/>
      <c r="BC646" s="216"/>
      <c r="BD646" s="216"/>
      <c r="BE646" s="216"/>
      <c r="BF646" s="216"/>
      <c r="BG646" s="216"/>
      <c r="BH646" s="216"/>
      <c r="BI646" s="216"/>
      <c r="BJ646" s="216"/>
      <c r="BK646" s="216"/>
      <c r="BL646" s="216"/>
      <c r="BM646" s="216"/>
      <c r="BN646" s="216"/>
      <c r="BO646" s="216"/>
      <c r="BP646" s="216"/>
      <c r="BQ646" s="216"/>
      <c r="BR646" s="216"/>
      <c r="BS646" s="216"/>
      <c r="BT646" s="216"/>
      <c r="BU646" s="216"/>
      <c r="BV646" s="216"/>
      <c r="BW646" s="216"/>
      <c r="BX646" s="216"/>
      <c r="BY646" s="216"/>
      <c r="BZ646" s="216"/>
      <c r="CA646" s="216"/>
      <c r="CB646" s="216"/>
      <c r="CC646" s="216"/>
      <c r="CD646" s="216"/>
      <c r="CE646" s="216"/>
      <c r="CF646" s="216"/>
      <c r="CG646" s="216"/>
      <c r="CH646" s="216"/>
      <c r="CI646" s="216"/>
      <c r="CJ646" s="216"/>
      <c r="CK646" s="216"/>
      <c r="CL646" s="216"/>
      <c r="CM646" s="216"/>
      <c r="CN646" s="216"/>
      <c r="CO646" s="216"/>
      <c r="CP646" s="216"/>
      <c r="CQ646" s="216"/>
      <c r="CR646" s="216"/>
      <c r="CS646" s="216"/>
      <c r="CT646" s="216"/>
      <c r="CU646" s="216"/>
      <c r="CV646" s="216"/>
      <c r="CW646" s="216"/>
      <c r="CX646" s="216"/>
      <c r="CY646" s="216"/>
    </row>
    <row r="647" spans="1:103" ht="12.75" x14ac:dyDescent="0.2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214"/>
      <c r="L647" s="214"/>
      <c r="M647" s="214"/>
      <c r="N647" s="215"/>
      <c r="O647" s="215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216"/>
      <c r="AR647" s="216"/>
      <c r="AS647" s="216"/>
      <c r="AT647" s="216"/>
      <c r="AU647" s="216"/>
      <c r="AV647" s="216"/>
      <c r="AW647" s="216"/>
      <c r="AX647" s="216"/>
      <c r="AY647" s="216"/>
      <c r="AZ647" s="216"/>
      <c r="BA647" s="216"/>
      <c r="BB647" s="216"/>
      <c r="BC647" s="216"/>
      <c r="BD647" s="216"/>
      <c r="BE647" s="216"/>
      <c r="BF647" s="216"/>
      <c r="BG647" s="216"/>
      <c r="BH647" s="216"/>
      <c r="BI647" s="216"/>
      <c r="BJ647" s="216"/>
      <c r="BK647" s="216"/>
      <c r="BL647" s="216"/>
      <c r="BM647" s="216"/>
      <c r="BN647" s="216"/>
      <c r="BO647" s="216"/>
      <c r="BP647" s="216"/>
      <c r="BQ647" s="216"/>
      <c r="BR647" s="216"/>
      <c r="BS647" s="216"/>
      <c r="BT647" s="216"/>
      <c r="BU647" s="216"/>
      <c r="BV647" s="216"/>
      <c r="BW647" s="216"/>
      <c r="BX647" s="216"/>
      <c r="BY647" s="216"/>
      <c r="BZ647" s="216"/>
      <c r="CA647" s="216"/>
      <c r="CB647" s="216"/>
      <c r="CC647" s="216"/>
      <c r="CD647" s="216"/>
      <c r="CE647" s="216"/>
      <c r="CF647" s="216"/>
      <c r="CG647" s="216"/>
      <c r="CH647" s="216"/>
      <c r="CI647" s="216"/>
      <c r="CJ647" s="216"/>
      <c r="CK647" s="216"/>
      <c r="CL647" s="216"/>
      <c r="CM647" s="216"/>
      <c r="CN647" s="216"/>
      <c r="CO647" s="216"/>
      <c r="CP647" s="216"/>
      <c r="CQ647" s="216"/>
      <c r="CR647" s="216"/>
      <c r="CS647" s="216"/>
      <c r="CT647" s="216"/>
      <c r="CU647" s="216"/>
      <c r="CV647" s="216"/>
      <c r="CW647" s="216"/>
      <c r="CX647" s="216"/>
      <c r="CY647" s="216"/>
    </row>
    <row r="648" spans="1:103" ht="12.75" x14ac:dyDescent="0.2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214"/>
      <c r="L648" s="214"/>
      <c r="M648" s="214"/>
      <c r="N648" s="215"/>
      <c r="O648" s="215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6"/>
      <c r="AT648" s="216"/>
      <c r="AU648" s="216"/>
      <c r="AV648" s="216"/>
      <c r="AW648" s="216"/>
      <c r="AX648" s="216"/>
      <c r="AY648" s="216"/>
      <c r="AZ648" s="216"/>
      <c r="BA648" s="216"/>
      <c r="BB648" s="216"/>
      <c r="BC648" s="216"/>
      <c r="BD648" s="216"/>
      <c r="BE648" s="216"/>
      <c r="BF648" s="216"/>
      <c r="BG648" s="216"/>
      <c r="BH648" s="216"/>
      <c r="BI648" s="216"/>
      <c r="BJ648" s="216"/>
      <c r="BK648" s="216"/>
      <c r="BL648" s="216"/>
      <c r="BM648" s="216"/>
      <c r="BN648" s="216"/>
      <c r="BO648" s="216"/>
      <c r="BP648" s="216"/>
      <c r="BQ648" s="216"/>
      <c r="BR648" s="216"/>
      <c r="BS648" s="216"/>
      <c r="BT648" s="216"/>
      <c r="BU648" s="216"/>
      <c r="BV648" s="216"/>
      <c r="BW648" s="216"/>
      <c r="BX648" s="216"/>
      <c r="BY648" s="216"/>
      <c r="BZ648" s="216"/>
      <c r="CA648" s="216"/>
      <c r="CB648" s="216"/>
      <c r="CC648" s="216"/>
      <c r="CD648" s="216"/>
      <c r="CE648" s="216"/>
      <c r="CF648" s="216"/>
      <c r="CG648" s="216"/>
      <c r="CH648" s="216"/>
      <c r="CI648" s="216"/>
      <c r="CJ648" s="216"/>
      <c r="CK648" s="216"/>
      <c r="CL648" s="216"/>
      <c r="CM648" s="216"/>
      <c r="CN648" s="216"/>
      <c r="CO648" s="216"/>
      <c r="CP648" s="216"/>
      <c r="CQ648" s="216"/>
      <c r="CR648" s="216"/>
      <c r="CS648" s="216"/>
      <c r="CT648" s="216"/>
      <c r="CU648" s="216"/>
      <c r="CV648" s="216"/>
      <c r="CW648" s="216"/>
      <c r="CX648" s="216"/>
      <c r="CY648" s="216"/>
    </row>
    <row r="649" spans="1:103" ht="12.75" x14ac:dyDescent="0.2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214"/>
      <c r="L649" s="214"/>
      <c r="M649" s="214"/>
      <c r="N649" s="215"/>
      <c r="O649" s="215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6"/>
      <c r="BF649" s="216"/>
      <c r="BG649" s="216"/>
      <c r="BH649" s="216"/>
      <c r="BI649" s="216"/>
      <c r="BJ649" s="216"/>
      <c r="BK649" s="216"/>
      <c r="BL649" s="216"/>
      <c r="BM649" s="216"/>
      <c r="BN649" s="216"/>
      <c r="BO649" s="216"/>
      <c r="BP649" s="216"/>
      <c r="BQ649" s="216"/>
      <c r="BR649" s="216"/>
      <c r="BS649" s="216"/>
      <c r="BT649" s="216"/>
      <c r="BU649" s="216"/>
      <c r="BV649" s="216"/>
      <c r="BW649" s="216"/>
      <c r="BX649" s="216"/>
      <c r="BY649" s="216"/>
      <c r="BZ649" s="216"/>
      <c r="CA649" s="216"/>
      <c r="CB649" s="216"/>
      <c r="CC649" s="216"/>
      <c r="CD649" s="216"/>
      <c r="CE649" s="216"/>
      <c r="CF649" s="216"/>
      <c r="CG649" s="216"/>
      <c r="CH649" s="216"/>
      <c r="CI649" s="216"/>
      <c r="CJ649" s="216"/>
      <c r="CK649" s="216"/>
      <c r="CL649" s="216"/>
      <c r="CM649" s="216"/>
      <c r="CN649" s="216"/>
      <c r="CO649" s="216"/>
      <c r="CP649" s="216"/>
      <c r="CQ649" s="216"/>
      <c r="CR649" s="216"/>
      <c r="CS649" s="216"/>
      <c r="CT649" s="216"/>
      <c r="CU649" s="216"/>
      <c r="CV649" s="216"/>
      <c r="CW649" s="216"/>
      <c r="CX649" s="216"/>
      <c r="CY649" s="216"/>
    </row>
    <row r="650" spans="1:103" ht="12.75" x14ac:dyDescent="0.2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214"/>
      <c r="L650" s="214"/>
      <c r="M650" s="214"/>
      <c r="N650" s="215"/>
      <c r="O650" s="215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6"/>
      <c r="BN650" s="216"/>
      <c r="BO650" s="216"/>
      <c r="BP650" s="216"/>
      <c r="BQ650" s="216"/>
      <c r="BR650" s="216"/>
      <c r="BS650" s="216"/>
      <c r="BT650" s="216"/>
      <c r="BU650" s="216"/>
      <c r="BV650" s="216"/>
      <c r="BW650" s="216"/>
      <c r="BX650" s="216"/>
      <c r="BY650" s="216"/>
      <c r="BZ650" s="216"/>
      <c r="CA650" s="216"/>
      <c r="CB650" s="216"/>
      <c r="CC650" s="216"/>
      <c r="CD650" s="216"/>
      <c r="CE650" s="216"/>
      <c r="CF650" s="216"/>
      <c r="CG650" s="216"/>
      <c r="CH650" s="216"/>
      <c r="CI650" s="216"/>
      <c r="CJ650" s="216"/>
      <c r="CK650" s="216"/>
      <c r="CL650" s="216"/>
      <c r="CM650" s="216"/>
      <c r="CN650" s="216"/>
      <c r="CO650" s="216"/>
      <c r="CP650" s="216"/>
      <c r="CQ650" s="216"/>
      <c r="CR650" s="216"/>
      <c r="CS650" s="216"/>
      <c r="CT650" s="216"/>
      <c r="CU650" s="216"/>
      <c r="CV650" s="216"/>
      <c r="CW650" s="216"/>
      <c r="CX650" s="216"/>
      <c r="CY650" s="216"/>
    </row>
    <row r="651" spans="1:103" ht="12.75" x14ac:dyDescent="0.2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214"/>
      <c r="L651" s="214"/>
      <c r="M651" s="214"/>
      <c r="N651" s="215"/>
      <c r="O651" s="215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6"/>
      <c r="BN651" s="216"/>
      <c r="BO651" s="216"/>
      <c r="BP651" s="216"/>
      <c r="BQ651" s="216"/>
      <c r="BR651" s="216"/>
      <c r="BS651" s="216"/>
      <c r="BT651" s="216"/>
      <c r="BU651" s="216"/>
      <c r="BV651" s="216"/>
      <c r="BW651" s="216"/>
      <c r="BX651" s="216"/>
      <c r="BY651" s="216"/>
      <c r="BZ651" s="216"/>
      <c r="CA651" s="216"/>
      <c r="CB651" s="216"/>
      <c r="CC651" s="216"/>
      <c r="CD651" s="216"/>
      <c r="CE651" s="216"/>
      <c r="CF651" s="216"/>
      <c r="CG651" s="216"/>
      <c r="CH651" s="216"/>
      <c r="CI651" s="216"/>
      <c r="CJ651" s="216"/>
      <c r="CK651" s="216"/>
      <c r="CL651" s="216"/>
      <c r="CM651" s="216"/>
      <c r="CN651" s="216"/>
      <c r="CO651" s="216"/>
      <c r="CP651" s="216"/>
      <c r="CQ651" s="216"/>
      <c r="CR651" s="216"/>
      <c r="CS651" s="216"/>
      <c r="CT651" s="216"/>
      <c r="CU651" s="216"/>
      <c r="CV651" s="216"/>
      <c r="CW651" s="216"/>
      <c r="CX651" s="216"/>
      <c r="CY651" s="216"/>
    </row>
    <row r="652" spans="1:103" ht="12.75" x14ac:dyDescent="0.2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214"/>
      <c r="L652" s="214"/>
      <c r="M652" s="214"/>
      <c r="N652" s="215"/>
      <c r="O652" s="215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16"/>
      <c r="BN652" s="216"/>
      <c r="BO652" s="216"/>
      <c r="BP652" s="216"/>
      <c r="BQ652" s="216"/>
      <c r="BR652" s="216"/>
      <c r="BS652" s="216"/>
      <c r="BT652" s="216"/>
      <c r="BU652" s="216"/>
      <c r="BV652" s="216"/>
      <c r="BW652" s="216"/>
      <c r="BX652" s="216"/>
      <c r="BY652" s="216"/>
      <c r="BZ652" s="216"/>
      <c r="CA652" s="216"/>
      <c r="CB652" s="216"/>
      <c r="CC652" s="216"/>
      <c r="CD652" s="216"/>
      <c r="CE652" s="216"/>
      <c r="CF652" s="216"/>
      <c r="CG652" s="216"/>
      <c r="CH652" s="216"/>
      <c r="CI652" s="216"/>
      <c r="CJ652" s="216"/>
      <c r="CK652" s="216"/>
      <c r="CL652" s="216"/>
      <c r="CM652" s="216"/>
      <c r="CN652" s="216"/>
      <c r="CO652" s="216"/>
      <c r="CP652" s="216"/>
      <c r="CQ652" s="216"/>
      <c r="CR652" s="216"/>
      <c r="CS652" s="216"/>
      <c r="CT652" s="216"/>
      <c r="CU652" s="216"/>
      <c r="CV652" s="216"/>
      <c r="CW652" s="216"/>
      <c r="CX652" s="216"/>
      <c r="CY652" s="216"/>
    </row>
    <row r="653" spans="1:103" ht="12.75" x14ac:dyDescent="0.2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214"/>
      <c r="L653" s="214"/>
      <c r="M653" s="214"/>
      <c r="N653" s="215"/>
      <c r="O653" s="215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16"/>
      <c r="BN653" s="216"/>
      <c r="BO653" s="216"/>
      <c r="BP653" s="216"/>
      <c r="BQ653" s="216"/>
      <c r="BR653" s="216"/>
      <c r="BS653" s="216"/>
      <c r="BT653" s="216"/>
      <c r="BU653" s="216"/>
      <c r="BV653" s="216"/>
      <c r="BW653" s="216"/>
      <c r="BX653" s="216"/>
      <c r="BY653" s="216"/>
      <c r="BZ653" s="216"/>
      <c r="CA653" s="216"/>
      <c r="CB653" s="216"/>
      <c r="CC653" s="216"/>
      <c r="CD653" s="216"/>
      <c r="CE653" s="216"/>
      <c r="CF653" s="216"/>
      <c r="CG653" s="216"/>
      <c r="CH653" s="216"/>
      <c r="CI653" s="216"/>
      <c r="CJ653" s="216"/>
      <c r="CK653" s="216"/>
      <c r="CL653" s="216"/>
      <c r="CM653" s="216"/>
      <c r="CN653" s="216"/>
      <c r="CO653" s="216"/>
      <c r="CP653" s="216"/>
      <c r="CQ653" s="216"/>
      <c r="CR653" s="216"/>
      <c r="CS653" s="216"/>
      <c r="CT653" s="216"/>
      <c r="CU653" s="216"/>
      <c r="CV653" s="216"/>
      <c r="CW653" s="216"/>
      <c r="CX653" s="216"/>
      <c r="CY653" s="216"/>
    </row>
    <row r="654" spans="1:103" ht="12.75" x14ac:dyDescent="0.2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214"/>
      <c r="L654" s="214"/>
      <c r="M654" s="214"/>
      <c r="N654" s="215"/>
      <c r="O654" s="215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16"/>
      <c r="BN654" s="216"/>
      <c r="BO654" s="216"/>
      <c r="BP654" s="216"/>
      <c r="BQ654" s="216"/>
      <c r="BR654" s="216"/>
      <c r="BS654" s="216"/>
      <c r="BT654" s="216"/>
      <c r="BU654" s="216"/>
      <c r="BV654" s="216"/>
      <c r="BW654" s="216"/>
      <c r="BX654" s="216"/>
      <c r="BY654" s="216"/>
      <c r="BZ654" s="216"/>
      <c r="CA654" s="216"/>
      <c r="CB654" s="216"/>
      <c r="CC654" s="216"/>
      <c r="CD654" s="216"/>
      <c r="CE654" s="216"/>
      <c r="CF654" s="216"/>
      <c r="CG654" s="216"/>
      <c r="CH654" s="216"/>
      <c r="CI654" s="216"/>
      <c r="CJ654" s="216"/>
      <c r="CK654" s="216"/>
      <c r="CL654" s="216"/>
      <c r="CM654" s="216"/>
      <c r="CN654" s="216"/>
      <c r="CO654" s="216"/>
      <c r="CP654" s="216"/>
      <c r="CQ654" s="216"/>
      <c r="CR654" s="216"/>
      <c r="CS654" s="216"/>
      <c r="CT654" s="216"/>
      <c r="CU654" s="216"/>
      <c r="CV654" s="216"/>
      <c r="CW654" s="216"/>
      <c r="CX654" s="216"/>
      <c r="CY654" s="216"/>
    </row>
    <row r="655" spans="1:103" ht="12.75" x14ac:dyDescent="0.2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214"/>
      <c r="L655" s="214"/>
      <c r="M655" s="214"/>
      <c r="N655" s="215"/>
      <c r="O655" s="215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16"/>
      <c r="AN655" s="216"/>
      <c r="AO655" s="216"/>
      <c r="AP655" s="216"/>
      <c r="AQ655" s="216"/>
      <c r="AR655" s="216"/>
      <c r="AS655" s="216"/>
      <c r="AT655" s="216"/>
      <c r="AU655" s="216"/>
      <c r="AV655" s="216"/>
      <c r="AW655" s="216"/>
      <c r="AX655" s="216"/>
      <c r="AY655" s="216"/>
      <c r="AZ655" s="216"/>
      <c r="BA655" s="216"/>
      <c r="BB655" s="216"/>
      <c r="BC655" s="216"/>
      <c r="BD655" s="216"/>
      <c r="BE655" s="216"/>
      <c r="BF655" s="216"/>
      <c r="BG655" s="216"/>
      <c r="BH655" s="216"/>
      <c r="BI655" s="216"/>
      <c r="BJ655" s="216"/>
      <c r="BK655" s="216"/>
      <c r="BL655" s="216"/>
      <c r="BM655" s="216"/>
      <c r="BN655" s="216"/>
      <c r="BO655" s="216"/>
      <c r="BP655" s="216"/>
      <c r="BQ655" s="216"/>
      <c r="BR655" s="216"/>
      <c r="BS655" s="216"/>
      <c r="BT655" s="216"/>
      <c r="BU655" s="216"/>
      <c r="BV655" s="216"/>
      <c r="BW655" s="216"/>
      <c r="BX655" s="216"/>
      <c r="BY655" s="216"/>
      <c r="BZ655" s="216"/>
      <c r="CA655" s="216"/>
      <c r="CB655" s="216"/>
      <c r="CC655" s="216"/>
      <c r="CD655" s="216"/>
      <c r="CE655" s="216"/>
      <c r="CF655" s="216"/>
      <c r="CG655" s="216"/>
      <c r="CH655" s="216"/>
      <c r="CI655" s="216"/>
      <c r="CJ655" s="216"/>
      <c r="CK655" s="216"/>
      <c r="CL655" s="216"/>
      <c r="CM655" s="216"/>
      <c r="CN655" s="216"/>
      <c r="CO655" s="216"/>
      <c r="CP655" s="216"/>
      <c r="CQ655" s="216"/>
      <c r="CR655" s="216"/>
      <c r="CS655" s="216"/>
      <c r="CT655" s="216"/>
      <c r="CU655" s="216"/>
      <c r="CV655" s="216"/>
      <c r="CW655" s="216"/>
      <c r="CX655" s="216"/>
      <c r="CY655" s="216"/>
    </row>
    <row r="656" spans="1:103" ht="12.75" x14ac:dyDescent="0.2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214"/>
      <c r="L656" s="214"/>
      <c r="M656" s="214"/>
      <c r="N656" s="215"/>
      <c r="O656" s="215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16"/>
      <c r="AN656" s="216"/>
      <c r="AO656" s="216"/>
      <c r="AP656" s="216"/>
      <c r="AQ656" s="216"/>
      <c r="AR656" s="216"/>
      <c r="AS656" s="216"/>
      <c r="AT656" s="216"/>
      <c r="AU656" s="216"/>
      <c r="AV656" s="216"/>
      <c r="AW656" s="216"/>
      <c r="AX656" s="216"/>
      <c r="AY656" s="216"/>
      <c r="AZ656" s="216"/>
      <c r="BA656" s="216"/>
      <c r="BB656" s="216"/>
      <c r="BC656" s="216"/>
      <c r="BD656" s="216"/>
      <c r="BE656" s="216"/>
      <c r="BF656" s="216"/>
      <c r="BG656" s="216"/>
      <c r="BH656" s="216"/>
      <c r="BI656" s="216"/>
      <c r="BJ656" s="216"/>
      <c r="BK656" s="216"/>
      <c r="BL656" s="216"/>
      <c r="BM656" s="216"/>
      <c r="BN656" s="216"/>
      <c r="BO656" s="216"/>
      <c r="BP656" s="216"/>
      <c r="BQ656" s="216"/>
      <c r="BR656" s="216"/>
      <c r="BS656" s="216"/>
      <c r="BT656" s="216"/>
      <c r="BU656" s="216"/>
      <c r="BV656" s="216"/>
      <c r="BW656" s="216"/>
      <c r="BX656" s="216"/>
      <c r="BY656" s="216"/>
      <c r="BZ656" s="216"/>
      <c r="CA656" s="216"/>
      <c r="CB656" s="216"/>
      <c r="CC656" s="216"/>
      <c r="CD656" s="216"/>
      <c r="CE656" s="216"/>
      <c r="CF656" s="216"/>
      <c r="CG656" s="216"/>
      <c r="CH656" s="216"/>
      <c r="CI656" s="216"/>
      <c r="CJ656" s="216"/>
      <c r="CK656" s="216"/>
      <c r="CL656" s="216"/>
      <c r="CM656" s="216"/>
      <c r="CN656" s="216"/>
      <c r="CO656" s="216"/>
      <c r="CP656" s="216"/>
      <c r="CQ656" s="216"/>
      <c r="CR656" s="216"/>
      <c r="CS656" s="216"/>
      <c r="CT656" s="216"/>
      <c r="CU656" s="216"/>
      <c r="CV656" s="216"/>
      <c r="CW656" s="216"/>
      <c r="CX656" s="216"/>
      <c r="CY656" s="216"/>
    </row>
    <row r="657" spans="1:103" ht="12.75" x14ac:dyDescent="0.2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214"/>
      <c r="L657" s="214"/>
      <c r="M657" s="214"/>
      <c r="N657" s="215"/>
      <c r="O657" s="215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  <c r="AM657" s="216"/>
      <c r="AN657" s="216"/>
      <c r="AO657" s="216"/>
      <c r="AP657" s="216"/>
      <c r="AQ657" s="216"/>
      <c r="AR657" s="216"/>
      <c r="AS657" s="216"/>
      <c r="AT657" s="216"/>
      <c r="AU657" s="216"/>
      <c r="AV657" s="216"/>
      <c r="AW657" s="216"/>
      <c r="AX657" s="216"/>
      <c r="AY657" s="216"/>
      <c r="AZ657" s="216"/>
      <c r="BA657" s="216"/>
      <c r="BB657" s="216"/>
      <c r="BC657" s="216"/>
      <c r="BD657" s="216"/>
      <c r="BE657" s="216"/>
      <c r="BF657" s="216"/>
      <c r="BG657" s="216"/>
      <c r="BH657" s="216"/>
      <c r="BI657" s="216"/>
      <c r="BJ657" s="216"/>
      <c r="BK657" s="216"/>
      <c r="BL657" s="216"/>
      <c r="BM657" s="216"/>
      <c r="BN657" s="216"/>
      <c r="BO657" s="216"/>
      <c r="BP657" s="216"/>
      <c r="BQ657" s="216"/>
      <c r="BR657" s="216"/>
      <c r="BS657" s="216"/>
      <c r="BT657" s="216"/>
      <c r="BU657" s="216"/>
      <c r="BV657" s="216"/>
      <c r="BW657" s="216"/>
      <c r="BX657" s="216"/>
      <c r="BY657" s="216"/>
      <c r="BZ657" s="216"/>
      <c r="CA657" s="216"/>
      <c r="CB657" s="216"/>
      <c r="CC657" s="216"/>
      <c r="CD657" s="216"/>
      <c r="CE657" s="216"/>
      <c r="CF657" s="216"/>
      <c r="CG657" s="216"/>
      <c r="CH657" s="216"/>
      <c r="CI657" s="216"/>
      <c r="CJ657" s="216"/>
      <c r="CK657" s="216"/>
      <c r="CL657" s="216"/>
      <c r="CM657" s="216"/>
      <c r="CN657" s="216"/>
      <c r="CO657" s="216"/>
      <c r="CP657" s="216"/>
      <c r="CQ657" s="216"/>
      <c r="CR657" s="216"/>
      <c r="CS657" s="216"/>
      <c r="CT657" s="216"/>
      <c r="CU657" s="216"/>
      <c r="CV657" s="216"/>
      <c r="CW657" s="216"/>
      <c r="CX657" s="216"/>
      <c r="CY657" s="216"/>
    </row>
    <row r="658" spans="1:103" ht="12.75" x14ac:dyDescent="0.2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214"/>
      <c r="L658" s="214"/>
      <c r="M658" s="214"/>
      <c r="N658" s="215"/>
      <c r="O658" s="215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  <c r="AM658" s="216"/>
      <c r="AN658" s="216"/>
      <c r="AO658" s="216"/>
      <c r="AP658" s="216"/>
      <c r="AQ658" s="216"/>
      <c r="AR658" s="216"/>
      <c r="AS658" s="216"/>
      <c r="AT658" s="216"/>
      <c r="AU658" s="216"/>
      <c r="AV658" s="216"/>
      <c r="AW658" s="216"/>
      <c r="AX658" s="216"/>
      <c r="AY658" s="216"/>
      <c r="AZ658" s="216"/>
      <c r="BA658" s="216"/>
      <c r="BB658" s="216"/>
      <c r="BC658" s="216"/>
      <c r="BD658" s="216"/>
      <c r="BE658" s="216"/>
      <c r="BF658" s="216"/>
      <c r="BG658" s="216"/>
      <c r="BH658" s="216"/>
      <c r="BI658" s="216"/>
      <c r="BJ658" s="216"/>
      <c r="BK658" s="216"/>
      <c r="BL658" s="216"/>
      <c r="BM658" s="216"/>
      <c r="BN658" s="216"/>
      <c r="BO658" s="216"/>
      <c r="BP658" s="216"/>
      <c r="BQ658" s="216"/>
      <c r="BR658" s="216"/>
      <c r="BS658" s="216"/>
      <c r="BT658" s="216"/>
      <c r="BU658" s="216"/>
      <c r="BV658" s="216"/>
      <c r="BW658" s="216"/>
      <c r="BX658" s="216"/>
      <c r="BY658" s="216"/>
      <c r="BZ658" s="216"/>
      <c r="CA658" s="216"/>
      <c r="CB658" s="216"/>
      <c r="CC658" s="216"/>
      <c r="CD658" s="216"/>
      <c r="CE658" s="216"/>
      <c r="CF658" s="216"/>
      <c r="CG658" s="216"/>
      <c r="CH658" s="216"/>
      <c r="CI658" s="216"/>
      <c r="CJ658" s="216"/>
      <c r="CK658" s="216"/>
      <c r="CL658" s="216"/>
      <c r="CM658" s="216"/>
      <c r="CN658" s="216"/>
      <c r="CO658" s="216"/>
      <c r="CP658" s="216"/>
      <c r="CQ658" s="216"/>
      <c r="CR658" s="216"/>
      <c r="CS658" s="216"/>
      <c r="CT658" s="216"/>
      <c r="CU658" s="216"/>
      <c r="CV658" s="216"/>
      <c r="CW658" s="216"/>
      <c r="CX658" s="216"/>
      <c r="CY658" s="216"/>
    </row>
    <row r="659" spans="1:103" ht="12.75" x14ac:dyDescent="0.2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214"/>
      <c r="L659" s="214"/>
      <c r="M659" s="214"/>
      <c r="N659" s="215"/>
      <c r="O659" s="215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  <c r="AM659" s="216"/>
      <c r="AN659" s="216"/>
      <c r="AO659" s="216"/>
      <c r="AP659" s="216"/>
      <c r="AQ659" s="216"/>
      <c r="AR659" s="216"/>
      <c r="AS659" s="216"/>
      <c r="AT659" s="216"/>
      <c r="AU659" s="216"/>
      <c r="AV659" s="216"/>
      <c r="AW659" s="216"/>
      <c r="AX659" s="216"/>
      <c r="AY659" s="216"/>
      <c r="AZ659" s="216"/>
      <c r="BA659" s="216"/>
      <c r="BB659" s="216"/>
      <c r="BC659" s="216"/>
      <c r="BD659" s="216"/>
      <c r="BE659" s="216"/>
      <c r="BF659" s="216"/>
      <c r="BG659" s="216"/>
      <c r="BH659" s="216"/>
      <c r="BI659" s="216"/>
      <c r="BJ659" s="216"/>
      <c r="BK659" s="216"/>
      <c r="BL659" s="216"/>
      <c r="BM659" s="216"/>
      <c r="BN659" s="216"/>
      <c r="BO659" s="216"/>
      <c r="BP659" s="216"/>
      <c r="BQ659" s="216"/>
      <c r="BR659" s="216"/>
      <c r="BS659" s="216"/>
      <c r="BT659" s="216"/>
      <c r="BU659" s="216"/>
      <c r="BV659" s="216"/>
      <c r="BW659" s="216"/>
      <c r="BX659" s="216"/>
      <c r="BY659" s="216"/>
      <c r="BZ659" s="216"/>
      <c r="CA659" s="216"/>
      <c r="CB659" s="216"/>
      <c r="CC659" s="216"/>
      <c r="CD659" s="216"/>
      <c r="CE659" s="216"/>
      <c r="CF659" s="216"/>
      <c r="CG659" s="216"/>
      <c r="CH659" s="216"/>
      <c r="CI659" s="216"/>
      <c r="CJ659" s="216"/>
      <c r="CK659" s="216"/>
      <c r="CL659" s="216"/>
      <c r="CM659" s="216"/>
      <c r="CN659" s="216"/>
      <c r="CO659" s="216"/>
      <c r="CP659" s="216"/>
      <c r="CQ659" s="216"/>
      <c r="CR659" s="216"/>
      <c r="CS659" s="216"/>
      <c r="CT659" s="216"/>
      <c r="CU659" s="216"/>
      <c r="CV659" s="216"/>
      <c r="CW659" s="216"/>
      <c r="CX659" s="216"/>
      <c r="CY659" s="216"/>
    </row>
    <row r="660" spans="1:103" ht="12.75" x14ac:dyDescent="0.2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214"/>
      <c r="L660" s="214"/>
      <c r="M660" s="214"/>
      <c r="N660" s="215"/>
      <c r="O660" s="215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16"/>
      <c r="AN660" s="216"/>
      <c r="AO660" s="216"/>
      <c r="AP660" s="216"/>
      <c r="AQ660" s="216"/>
      <c r="AR660" s="216"/>
      <c r="AS660" s="216"/>
      <c r="AT660" s="216"/>
      <c r="AU660" s="216"/>
      <c r="AV660" s="216"/>
      <c r="AW660" s="216"/>
      <c r="AX660" s="216"/>
      <c r="AY660" s="216"/>
      <c r="AZ660" s="216"/>
      <c r="BA660" s="216"/>
      <c r="BB660" s="216"/>
      <c r="BC660" s="216"/>
      <c r="BD660" s="216"/>
      <c r="BE660" s="216"/>
      <c r="BF660" s="216"/>
      <c r="BG660" s="216"/>
      <c r="BH660" s="216"/>
      <c r="BI660" s="216"/>
      <c r="BJ660" s="216"/>
      <c r="BK660" s="216"/>
      <c r="BL660" s="216"/>
      <c r="BM660" s="216"/>
      <c r="BN660" s="216"/>
      <c r="BO660" s="216"/>
      <c r="BP660" s="216"/>
      <c r="BQ660" s="216"/>
      <c r="BR660" s="216"/>
      <c r="BS660" s="216"/>
      <c r="BT660" s="216"/>
      <c r="BU660" s="216"/>
      <c r="BV660" s="216"/>
      <c r="BW660" s="216"/>
      <c r="BX660" s="216"/>
      <c r="BY660" s="216"/>
      <c r="BZ660" s="216"/>
      <c r="CA660" s="216"/>
      <c r="CB660" s="216"/>
      <c r="CC660" s="216"/>
      <c r="CD660" s="216"/>
      <c r="CE660" s="216"/>
      <c r="CF660" s="216"/>
      <c r="CG660" s="216"/>
      <c r="CH660" s="216"/>
      <c r="CI660" s="216"/>
      <c r="CJ660" s="216"/>
      <c r="CK660" s="216"/>
      <c r="CL660" s="216"/>
      <c r="CM660" s="216"/>
      <c r="CN660" s="216"/>
      <c r="CO660" s="216"/>
      <c r="CP660" s="216"/>
      <c r="CQ660" s="216"/>
      <c r="CR660" s="216"/>
      <c r="CS660" s="216"/>
      <c r="CT660" s="216"/>
      <c r="CU660" s="216"/>
      <c r="CV660" s="216"/>
      <c r="CW660" s="216"/>
      <c r="CX660" s="216"/>
      <c r="CY660" s="216"/>
    </row>
    <row r="661" spans="1:103" ht="12.75" x14ac:dyDescent="0.2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214"/>
      <c r="L661" s="214"/>
      <c r="M661" s="214"/>
      <c r="N661" s="215"/>
      <c r="O661" s="215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16"/>
      <c r="AN661" s="216"/>
      <c r="AO661" s="216"/>
      <c r="AP661" s="216"/>
      <c r="AQ661" s="216"/>
      <c r="AR661" s="216"/>
      <c r="AS661" s="216"/>
      <c r="AT661" s="216"/>
      <c r="AU661" s="216"/>
      <c r="AV661" s="216"/>
      <c r="AW661" s="216"/>
      <c r="AX661" s="216"/>
      <c r="AY661" s="216"/>
      <c r="AZ661" s="216"/>
      <c r="BA661" s="216"/>
      <c r="BB661" s="216"/>
      <c r="BC661" s="216"/>
      <c r="BD661" s="216"/>
      <c r="BE661" s="216"/>
      <c r="BF661" s="216"/>
      <c r="BG661" s="216"/>
      <c r="BH661" s="216"/>
      <c r="BI661" s="216"/>
      <c r="BJ661" s="216"/>
      <c r="BK661" s="216"/>
      <c r="BL661" s="216"/>
      <c r="BM661" s="216"/>
      <c r="BN661" s="216"/>
      <c r="BO661" s="216"/>
      <c r="BP661" s="216"/>
      <c r="BQ661" s="216"/>
      <c r="BR661" s="216"/>
      <c r="BS661" s="216"/>
      <c r="BT661" s="216"/>
      <c r="BU661" s="216"/>
      <c r="BV661" s="216"/>
      <c r="BW661" s="216"/>
      <c r="BX661" s="216"/>
      <c r="BY661" s="216"/>
      <c r="BZ661" s="216"/>
      <c r="CA661" s="216"/>
      <c r="CB661" s="216"/>
      <c r="CC661" s="216"/>
      <c r="CD661" s="216"/>
      <c r="CE661" s="216"/>
      <c r="CF661" s="216"/>
      <c r="CG661" s="216"/>
      <c r="CH661" s="216"/>
      <c r="CI661" s="216"/>
      <c r="CJ661" s="216"/>
      <c r="CK661" s="216"/>
      <c r="CL661" s="216"/>
      <c r="CM661" s="216"/>
      <c r="CN661" s="216"/>
      <c r="CO661" s="216"/>
      <c r="CP661" s="216"/>
      <c r="CQ661" s="216"/>
      <c r="CR661" s="216"/>
      <c r="CS661" s="216"/>
      <c r="CT661" s="216"/>
      <c r="CU661" s="216"/>
      <c r="CV661" s="216"/>
      <c r="CW661" s="216"/>
      <c r="CX661" s="216"/>
      <c r="CY661" s="216"/>
    </row>
    <row r="662" spans="1:103" ht="12.75" x14ac:dyDescent="0.2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214"/>
      <c r="L662" s="214"/>
      <c r="M662" s="214"/>
      <c r="N662" s="215"/>
      <c r="O662" s="215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6"/>
      <c r="BF662" s="216"/>
      <c r="BG662" s="216"/>
      <c r="BH662" s="216"/>
      <c r="BI662" s="216"/>
      <c r="BJ662" s="216"/>
      <c r="BK662" s="216"/>
      <c r="BL662" s="216"/>
      <c r="BM662" s="216"/>
      <c r="BN662" s="216"/>
      <c r="BO662" s="216"/>
      <c r="BP662" s="216"/>
      <c r="BQ662" s="216"/>
      <c r="BR662" s="216"/>
      <c r="BS662" s="216"/>
      <c r="BT662" s="216"/>
      <c r="BU662" s="216"/>
      <c r="BV662" s="216"/>
      <c r="BW662" s="216"/>
      <c r="BX662" s="216"/>
      <c r="BY662" s="216"/>
      <c r="BZ662" s="216"/>
      <c r="CA662" s="216"/>
      <c r="CB662" s="216"/>
      <c r="CC662" s="216"/>
      <c r="CD662" s="216"/>
      <c r="CE662" s="216"/>
      <c r="CF662" s="216"/>
      <c r="CG662" s="216"/>
      <c r="CH662" s="216"/>
      <c r="CI662" s="216"/>
      <c r="CJ662" s="216"/>
      <c r="CK662" s="216"/>
      <c r="CL662" s="216"/>
      <c r="CM662" s="216"/>
      <c r="CN662" s="216"/>
      <c r="CO662" s="216"/>
      <c r="CP662" s="216"/>
      <c r="CQ662" s="216"/>
      <c r="CR662" s="216"/>
      <c r="CS662" s="216"/>
      <c r="CT662" s="216"/>
      <c r="CU662" s="216"/>
      <c r="CV662" s="216"/>
      <c r="CW662" s="216"/>
      <c r="CX662" s="216"/>
      <c r="CY662" s="216"/>
    </row>
    <row r="663" spans="1:103" ht="12.75" x14ac:dyDescent="0.2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214"/>
      <c r="L663" s="214"/>
      <c r="M663" s="214"/>
      <c r="N663" s="215"/>
      <c r="O663" s="215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6"/>
      <c r="BF663" s="216"/>
      <c r="BG663" s="216"/>
      <c r="BH663" s="216"/>
      <c r="BI663" s="216"/>
      <c r="BJ663" s="216"/>
      <c r="BK663" s="216"/>
      <c r="BL663" s="216"/>
      <c r="BM663" s="216"/>
      <c r="BN663" s="216"/>
      <c r="BO663" s="216"/>
      <c r="BP663" s="216"/>
      <c r="BQ663" s="216"/>
      <c r="BR663" s="216"/>
      <c r="BS663" s="216"/>
      <c r="BT663" s="216"/>
      <c r="BU663" s="216"/>
      <c r="BV663" s="216"/>
      <c r="BW663" s="216"/>
      <c r="BX663" s="216"/>
      <c r="BY663" s="216"/>
      <c r="BZ663" s="216"/>
      <c r="CA663" s="216"/>
      <c r="CB663" s="216"/>
      <c r="CC663" s="216"/>
      <c r="CD663" s="216"/>
      <c r="CE663" s="216"/>
      <c r="CF663" s="216"/>
      <c r="CG663" s="216"/>
      <c r="CH663" s="216"/>
      <c r="CI663" s="216"/>
      <c r="CJ663" s="216"/>
      <c r="CK663" s="216"/>
      <c r="CL663" s="216"/>
      <c r="CM663" s="216"/>
      <c r="CN663" s="216"/>
      <c r="CO663" s="216"/>
      <c r="CP663" s="216"/>
      <c r="CQ663" s="216"/>
      <c r="CR663" s="216"/>
      <c r="CS663" s="216"/>
      <c r="CT663" s="216"/>
      <c r="CU663" s="216"/>
      <c r="CV663" s="216"/>
      <c r="CW663" s="216"/>
      <c r="CX663" s="216"/>
      <c r="CY663" s="216"/>
    </row>
    <row r="664" spans="1:103" ht="12.75" x14ac:dyDescent="0.2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214"/>
      <c r="L664" s="214"/>
      <c r="M664" s="214"/>
      <c r="N664" s="215"/>
      <c r="O664" s="215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6"/>
      <c r="BN664" s="216"/>
      <c r="BO664" s="216"/>
      <c r="BP664" s="216"/>
      <c r="BQ664" s="216"/>
      <c r="BR664" s="216"/>
      <c r="BS664" s="216"/>
      <c r="BT664" s="216"/>
      <c r="BU664" s="216"/>
      <c r="BV664" s="216"/>
      <c r="BW664" s="216"/>
      <c r="BX664" s="216"/>
      <c r="BY664" s="216"/>
      <c r="BZ664" s="216"/>
      <c r="CA664" s="216"/>
      <c r="CB664" s="216"/>
      <c r="CC664" s="216"/>
      <c r="CD664" s="216"/>
      <c r="CE664" s="216"/>
      <c r="CF664" s="216"/>
      <c r="CG664" s="216"/>
      <c r="CH664" s="216"/>
      <c r="CI664" s="216"/>
      <c r="CJ664" s="216"/>
      <c r="CK664" s="216"/>
      <c r="CL664" s="216"/>
      <c r="CM664" s="216"/>
      <c r="CN664" s="216"/>
      <c r="CO664" s="216"/>
      <c r="CP664" s="216"/>
      <c r="CQ664" s="216"/>
      <c r="CR664" s="216"/>
      <c r="CS664" s="216"/>
      <c r="CT664" s="216"/>
      <c r="CU664" s="216"/>
      <c r="CV664" s="216"/>
      <c r="CW664" s="216"/>
      <c r="CX664" s="216"/>
      <c r="CY664" s="216"/>
    </row>
    <row r="665" spans="1:103" ht="12.75" x14ac:dyDescent="0.2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214"/>
      <c r="L665" s="214"/>
      <c r="M665" s="214"/>
      <c r="N665" s="215"/>
      <c r="O665" s="215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6"/>
      <c r="BN665" s="216"/>
      <c r="BO665" s="216"/>
      <c r="BP665" s="216"/>
      <c r="BQ665" s="216"/>
      <c r="BR665" s="216"/>
      <c r="BS665" s="216"/>
      <c r="BT665" s="216"/>
      <c r="BU665" s="216"/>
      <c r="BV665" s="216"/>
      <c r="BW665" s="216"/>
      <c r="BX665" s="216"/>
      <c r="BY665" s="216"/>
      <c r="BZ665" s="216"/>
      <c r="CA665" s="216"/>
      <c r="CB665" s="216"/>
      <c r="CC665" s="216"/>
      <c r="CD665" s="216"/>
      <c r="CE665" s="216"/>
      <c r="CF665" s="216"/>
      <c r="CG665" s="216"/>
      <c r="CH665" s="216"/>
      <c r="CI665" s="216"/>
      <c r="CJ665" s="216"/>
      <c r="CK665" s="216"/>
      <c r="CL665" s="216"/>
      <c r="CM665" s="216"/>
      <c r="CN665" s="216"/>
      <c r="CO665" s="216"/>
      <c r="CP665" s="216"/>
      <c r="CQ665" s="216"/>
      <c r="CR665" s="216"/>
      <c r="CS665" s="216"/>
      <c r="CT665" s="216"/>
      <c r="CU665" s="216"/>
      <c r="CV665" s="216"/>
      <c r="CW665" s="216"/>
      <c r="CX665" s="216"/>
      <c r="CY665" s="216"/>
    </row>
    <row r="666" spans="1:103" ht="12.75" x14ac:dyDescent="0.2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214"/>
      <c r="L666" s="214"/>
      <c r="M666" s="214"/>
      <c r="N666" s="215"/>
      <c r="O666" s="215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6"/>
      <c r="BN666" s="216"/>
      <c r="BO666" s="216"/>
      <c r="BP666" s="216"/>
      <c r="BQ666" s="216"/>
      <c r="BR666" s="216"/>
      <c r="BS666" s="216"/>
      <c r="BT666" s="216"/>
      <c r="BU666" s="216"/>
      <c r="BV666" s="216"/>
      <c r="BW666" s="216"/>
      <c r="BX666" s="216"/>
      <c r="BY666" s="216"/>
      <c r="BZ666" s="216"/>
      <c r="CA666" s="216"/>
      <c r="CB666" s="216"/>
      <c r="CC666" s="216"/>
      <c r="CD666" s="216"/>
      <c r="CE666" s="216"/>
      <c r="CF666" s="216"/>
      <c r="CG666" s="216"/>
      <c r="CH666" s="216"/>
      <c r="CI666" s="216"/>
      <c r="CJ666" s="216"/>
      <c r="CK666" s="216"/>
      <c r="CL666" s="216"/>
      <c r="CM666" s="216"/>
      <c r="CN666" s="216"/>
      <c r="CO666" s="216"/>
      <c r="CP666" s="216"/>
      <c r="CQ666" s="216"/>
      <c r="CR666" s="216"/>
      <c r="CS666" s="216"/>
      <c r="CT666" s="216"/>
      <c r="CU666" s="216"/>
      <c r="CV666" s="216"/>
      <c r="CW666" s="216"/>
      <c r="CX666" s="216"/>
      <c r="CY666" s="216"/>
    </row>
    <row r="667" spans="1:103" ht="12.75" x14ac:dyDescent="0.2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214"/>
      <c r="L667" s="214"/>
      <c r="M667" s="214"/>
      <c r="N667" s="215"/>
      <c r="O667" s="215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6"/>
      <c r="BN667" s="216"/>
      <c r="BO667" s="216"/>
      <c r="BP667" s="216"/>
      <c r="BQ667" s="216"/>
      <c r="BR667" s="216"/>
      <c r="BS667" s="216"/>
      <c r="BT667" s="216"/>
      <c r="BU667" s="216"/>
      <c r="BV667" s="216"/>
      <c r="BW667" s="216"/>
      <c r="BX667" s="216"/>
      <c r="BY667" s="216"/>
      <c r="BZ667" s="216"/>
      <c r="CA667" s="216"/>
      <c r="CB667" s="216"/>
      <c r="CC667" s="216"/>
      <c r="CD667" s="216"/>
      <c r="CE667" s="216"/>
      <c r="CF667" s="216"/>
      <c r="CG667" s="216"/>
      <c r="CH667" s="216"/>
      <c r="CI667" s="216"/>
      <c r="CJ667" s="216"/>
      <c r="CK667" s="216"/>
      <c r="CL667" s="216"/>
      <c r="CM667" s="216"/>
      <c r="CN667" s="216"/>
      <c r="CO667" s="216"/>
      <c r="CP667" s="216"/>
      <c r="CQ667" s="216"/>
      <c r="CR667" s="216"/>
      <c r="CS667" s="216"/>
      <c r="CT667" s="216"/>
      <c r="CU667" s="216"/>
      <c r="CV667" s="216"/>
      <c r="CW667" s="216"/>
      <c r="CX667" s="216"/>
      <c r="CY667" s="216"/>
    </row>
    <row r="668" spans="1:103" ht="12.75" x14ac:dyDescent="0.2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214"/>
      <c r="L668" s="214"/>
      <c r="M668" s="214"/>
      <c r="N668" s="215"/>
      <c r="O668" s="215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6"/>
      <c r="BN668" s="216"/>
      <c r="BO668" s="216"/>
      <c r="BP668" s="216"/>
      <c r="BQ668" s="216"/>
      <c r="BR668" s="216"/>
      <c r="BS668" s="216"/>
      <c r="BT668" s="216"/>
      <c r="BU668" s="216"/>
      <c r="BV668" s="216"/>
      <c r="BW668" s="216"/>
      <c r="BX668" s="216"/>
      <c r="BY668" s="216"/>
      <c r="BZ668" s="216"/>
      <c r="CA668" s="216"/>
      <c r="CB668" s="216"/>
      <c r="CC668" s="216"/>
      <c r="CD668" s="216"/>
      <c r="CE668" s="216"/>
      <c r="CF668" s="216"/>
      <c r="CG668" s="216"/>
      <c r="CH668" s="216"/>
      <c r="CI668" s="216"/>
      <c r="CJ668" s="216"/>
      <c r="CK668" s="216"/>
      <c r="CL668" s="216"/>
      <c r="CM668" s="216"/>
      <c r="CN668" s="216"/>
      <c r="CO668" s="216"/>
      <c r="CP668" s="216"/>
      <c r="CQ668" s="216"/>
      <c r="CR668" s="216"/>
      <c r="CS668" s="216"/>
      <c r="CT668" s="216"/>
      <c r="CU668" s="216"/>
      <c r="CV668" s="216"/>
      <c r="CW668" s="216"/>
      <c r="CX668" s="216"/>
      <c r="CY668" s="216"/>
    </row>
    <row r="669" spans="1:103" ht="12.75" x14ac:dyDescent="0.2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214"/>
      <c r="L669" s="214"/>
      <c r="M669" s="214"/>
      <c r="N669" s="215"/>
      <c r="O669" s="215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  <c r="BI669" s="216"/>
      <c r="BJ669" s="216"/>
      <c r="BK669" s="216"/>
      <c r="BL669" s="216"/>
      <c r="BM669" s="216"/>
      <c r="BN669" s="216"/>
      <c r="BO669" s="216"/>
      <c r="BP669" s="216"/>
      <c r="BQ669" s="216"/>
      <c r="BR669" s="216"/>
      <c r="BS669" s="216"/>
      <c r="BT669" s="216"/>
      <c r="BU669" s="216"/>
      <c r="BV669" s="216"/>
      <c r="BW669" s="216"/>
      <c r="BX669" s="216"/>
      <c r="BY669" s="216"/>
      <c r="BZ669" s="216"/>
      <c r="CA669" s="216"/>
      <c r="CB669" s="216"/>
      <c r="CC669" s="216"/>
      <c r="CD669" s="216"/>
      <c r="CE669" s="216"/>
      <c r="CF669" s="216"/>
      <c r="CG669" s="216"/>
      <c r="CH669" s="216"/>
      <c r="CI669" s="216"/>
      <c r="CJ669" s="216"/>
      <c r="CK669" s="216"/>
      <c r="CL669" s="216"/>
      <c r="CM669" s="216"/>
      <c r="CN669" s="216"/>
      <c r="CO669" s="216"/>
      <c r="CP669" s="216"/>
      <c r="CQ669" s="216"/>
      <c r="CR669" s="216"/>
      <c r="CS669" s="216"/>
      <c r="CT669" s="216"/>
      <c r="CU669" s="216"/>
      <c r="CV669" s="216"/>
      <c r="CW669" s="216"/>
      <c r="CX669" s="216"/>
      <c r="CY669" s="216"/>
    </row>
    <row r="670" spans="1:103" ht="12.75" x14ac:dyDescent="0.2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214"/>
      <c r="L670" s="214"/>
      <c r="M670" s="214"/>
      <c r="N670" s="215"/>
      <c r="O670" s="215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16"/>
      <c r="AT670" s="216"/>
      <c r="AU670" s="216"/>
      <c r="AV670" s="216"/>
      <c r="AW670" s="216"/>
      <c r="AX670" s="216"/>
      <c r="AY670" s="216"/>
      <c r="AZ670" s="216"/>
      <c r="BA670" s="216"/>
      <c r="BB670" s="216"/>
      <c r="BC670" s="216"/>
      <c r="BD670" s="216"/>
      <c r="BE670" s="216"/>
      <c r="BF670" s="216"/>
      <c r="BG670" s="216"/>
      <c r="BH670" s="216"/>
      <c r="BI670" s="216"/>
      <c r="BJ670" s="216"/>
      <c r="BK670" s="216"/>
      <c r="BL670" s="216"/>
      <c r="BM670" s="216"/>
      <c r="BN670" s="216"/>
      <c r="BO670" s="216"/>
      <c r="BP670" s="216"/>
      <c r="BQ670" s="216"/>
      <c r="BR670" s="216"/>
      <c r="BS670" s="216"/>
      <c r="BT670" s="216"/>
      <c r="BU670" s="216"/>
      <c r="BV670" s="216"/>
      <c r="BW670" s="216"/>
      <c r="BX670" s="216"/>
      <c r="BY670" s="216"/>
      <c r="BZ670" s="216"/>
      <c r="CA670" s="216"/>
      <c r="CB670" s="216"/>
      <c r="CC670" s="216"/>
      <c r="CD670" s="216"/>
      <c r="CE670" s="216"/>
      <c r="CF670" s="216"/>
      <c r="CG670" s="216"/>
      <c r="CH670" s="216"/>
      <c r="CI670" s="216"/>
      <c r="CJ670" s="216"/>
      <c r="CK670" s="216"/>
      <c r="CL670" s="216"/>
      <c r="CM670" s="216"/>
      <c r="CN670" s="216"/>
      <c r="CO670" s="216"/>
      <c r="CP670" s="216"/>
      <c r="CQ670" s="216"/>
      <c r="CR670" s="216"/>
      <c r="CS670" s="216"/>
      <c r="CT670" s="216"/>
      <c r="CU670" s="216"/>
      <c r="CV670" s="216"/>
      <c r="CW670" s="216"/>
      <c r="CX670" s="216"/>
      <c r="CY670" s="216"/>
    </row>
    <row r="671" spans="1:103" ht="12.75" x14ac:dyDescent="0.2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214"/>
      <c r="L671" s="214"/>
      <c r="M671" s="214"/>
      <c r="N671" s="215"/>
      <c r="O671" s="215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16"/>
      <c r="AN671" s="216"/>
      <c r="AO671" s="216"/>
      <c r="AP671" s="216"/>
      <c r="AQ671" s="216"/>
      <c r="AR671" s="216"/>
      <c r="AS671" s="216"/>
      <c r="AT671" s="216"/>
      <c r="AU671" s="216"/>
      <c r="AV671" s="216"/>
      <c r="AW671" s="216"/>
      <c r="AX671" s="216"/>
      <c r="AY671" s="216"/>
      <c r="AZ671" s="216"/>
      <c r="BA671" s="216"/>
      <c r="BB671" s="216"/>
      <c r="BC671" s="216"/>
      <c r="BD671" s="216"/>
      <c r="BE671" s="216"/>
      <c r="BF671" s="216"/>
      <c r="BG671" s="216"/>
      <c r="BH671" s="216"/>
      <c r="BI671" s="216"/>
      <c r="BJ671" s="216"/>
      <c r="BK671" s="216"/>
      <c r="BL671" s="216"/>
      <c r="BM671" s="216"/>
      <c r="BN671" s="216"/>
      <c r="BO671" s="216"/>
      <c r="BP671" s="216"/>
      <c r="BQ671" s="216"/>
      <c r="BR671" s="216"/>
      <c r="BS671" s="216"/>
      <c r="BT671" s="216"/>
      <c r="BU671" s="216"/>
      <c r="BV671" s="216"/>
      <c r="BW671" s="216"/>
      <c r="BX671" s="216"/>
      <c r="BY671" s="216"/>
      <c r="BZ671" s="216"/>
      <c r="CA671" s="216"/>
      <c r="CB671" s="216"/>
      <c r="CC671" s="216"/>
      <c r="CD671" s="216"/>
      <c r="CE671" s="216"/>
      <c r="CF671" s="216"/>
      <c r="CG671" s="216"/>
      <c r="CH671" s="216"/>
      <c r="CI671" s="216"/>
      <c r="CJ671" s="216"/>
      <c r="CK671" s="216"/>
      <c r="CL671" s="216"/>
      <c r="CM671" s="216"/>
      <c r="CN671" s="216"/>
      <c r="CO671" s="216"/>
      <c r="CP671" s="216"/>
      <c r="CQ671" s="216"/>
      <c r="CR671" s="216"/>
      <c r="CS671" s="216"/>
      <c r="CT671" s="216"/>
      <c r="CU671" s="216"/>
      <c r="CV671" s="216"/>
      <c r="CW671" s="216"/>
      <c r="CX671" s="216"/>
      <c r="CY671" s="216"/>
    </row>
    <row r="672" spans="1:103" ht="12.75" x14ac:dyDescent="0.2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214"/>
      <c r="L672" s="214"/>
      <c r="M672" s="214"/>
      <c r="N672" s="215"/>
      <c r="O672" s="215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16"/>
      <c r="AN672" s="216"/>
      <c r="AO672" s="216"/>
      <c r="AP672" s="216"/>
      <c r="AQ672" s="216"/>
      <c r="AR672" s="216"/>
      <c r="AS672" s="216"/>
      <c r="AT672" s="216"/>
      <c r="AU672" s="216"/>
      <c r="AV672" s="216"/>
      <c r="AW672" s="216"/>
      <c r="AX672" s="216"/>
      <c r="AY672" s="216"/>
      <c r="AZ672" s="216"/>
      <c r="BA672" s="216"/>
      <c r="BB672" s="216"/>
      <c r="BC672" s="216"/>
      <c r="BD672" s="216"/>
      <c r="BE672" s="216"/>
      <c r="BF672" s="216"/>
      <c r="BG672" s="216"/>
      <c r="BH672" s="216"/>
      <c r="BI672" s="216"/>
      <c r="BJ672" s="216"/>
      <c r="BK672" s="216"/>
      <c r="BL672" s="216"/>
      <c r="BM672" s="216"/>
      <c r="BN672" s="216"/>
      <c r="BO672" s="216"/>
      <c r="BP672" s="216"/>
      <c r="BQ672" s="216"/>
      <c r="BR672" s="216"/>
      <c r="BS672" s="216"/>
      <c r="BT672" s="216"/>
      <c r="BU672" s="216"/>
      <c r="BV672" s="216"/>
      <c r="BW672" s="216"/>
      <c r="BX672" s="216"/>
      <c r="BY672" s="216"/>
      <c r="BZ672" s="216"/>
      <c r="CA672" s="216"/>
      <c r="CB672" s="216"/>
      <c r="CC672" s="216"/>
      <c r="CD672" s="216"/>
      <c r="CE672" s="216"/>
      <c r="CF672" s="216"/>
      <c r="CG672" s="216"/>
      <c r="CH672" s="216"/>
      <c r="CI672" s="216"/>
      <c r="CJ672" s="216"/>
      <c r="CK672" s="216"/>
      <c r="CL672" s="216"/>
      <c r="CM672" s="216"/>
      <c r="CN672" s="216"/>
      <c r="CO672" s="216"/>
      <c r="CP672" s="216"/>
      <c r="CQ672" s="216"/>
      <c r="CR672" s="216"/>
      <c r="CS672" s="216"/>
      <c r="CT672" s="216"/>
      <c r="CU672" s="216"/>
      <c r="CV672" s="216"/>
      <c r="CW672" s="216"/>
      <c r="CX672" s="216"/>
      <c r="CY672" s="216"/>
    </row>
    <row r="673" spans="1:103" ht="12.75" x14ac:dyDescent="0.2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214"/>
      <c r="L673" s="214"/>
      <c r="M673" s="214"/>
      <c r="N673" s="215"/>
      <c r="O673" s="215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16"/>
      <c r="AN673" s="216"/>
      <c r="AO673" s="216"/>
      <c r="AP673" s="216"/>
      <c r="AQ673" s="216"/>
      <c r="AR673" s="216"/>
      <c r="AS673" s="216"/>
      <c r="AT673" s="216"/>
      <c r="AU673" s="216"/>
      <c r="AV673" s="216"/>
      <c r="AW673" s="216"/>
      <c r="AX673" s="216"/>
      <c r="AY673" s="216"/>
      <c r="AZ673" s="216"/>
      <c r="BA673" s="216"/>
      <c r="BB673" s="216"/>
      <c r="BC673" s="216"/>
      <c r="BD673" s="216"/>
      <c r="BE673" s="216"/>
      <c r="BF673" s="216"/>
      <c r="BG673" s="216"/>
      <c r="BH673" s="216"/>
      <c r="BI673" s="216"/>
      <c r="BJ673" s="216"/>
      <c r="BK673" s="216"/>
      <c r="BL673" s="216"/>
      <c r="BM673" s="216"/>
      <c r="BN673" s="216"/>
      <c r="BO673" s="216"/>
      <c r="BP673" s="216"/>
      <c r="BQ673" s="216"/>
      <c r="BR673" s="216"/>
      <c r="BS673" s="216"/>
      <c r="BT673" s="216"/>
      <c r="BU673" s="216"/>
      <c r="BV673" s="216"/>
      <c r="BW673" s="216"/>
      <c r="BX673" s="216"/>
      <c r="BY673" s="216"/>
      <c r="BZ673" s="216"/>
      <c r="CA673" s="216"/>
      <c r="CB673" s="216"/>
      <c r="CC673" s="216"/>
      <c r="CD673" s="216"/>
      <c r="CE673" s="216"/>
      <c r="CF673" s="216"/>
      <c r="CG673" s="216"/>
      <c r="CH673" s="216"/>
      <c r="CI673" s="216"/>
      <c r="CJ673" s="216"/>
      <c r="CK673" s="216"/>
      <c r="CL673" s="216"/>
      <c r="CM673" s="216"/>
      <c r="CN673" s="216"/>
      <c r="CO673" s="216"/>
      <c r="CP673" s="216"/>
      <c r="CQ673" s="216"/>
      <c r="CR673" s="216"/>
      <c r="CS673" s="216"/>
      <c r="CT673" s="216"/>
      <c r="CU673" s="216"/>
      <c r="CV673" s="216"/>
      <c r="CW673" s="216"/>
      <c r="CX673" s="216"/>
      <c r="CY673" s="216"/>
    </row>
    <row r="674" spans="1:103" ht="12.75" x14ac:dyDescent="0.2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214"/>
      <c r="L674" s="214"/>
      <c r="M674" s="214"/>
      <c r="N674" s="215"/>
      <c r="O674" s="215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16"/>
      <c r="AN674" s="216"/>
      <c r="AO674" s="216"/>
      <c r="AP674" s="216"/>
      <c r="AQ674" s="216"/>
      <c r="AR674" s="216"/>
      <c r="AS674" s="216"/>
      <c r="AT674" s="216"/>
      <c r="AU674" s="216"/>
      <c r="AV674" s="216"/>
      <c r="AW674" s="216"/>
      <c r="AX674" s="216"/>
      <c r="AY674" s="216"/>
      <c r="AZ674" s="216"/>
      <c r="BA674" s="216"/>
      <c r="BB674" s="216"/>
      <c r="BC674" s="216"/>
      <c r="BD674" s="216"/>
      <c r="BE674" s="216"/>
      <c r="BF674" s="216"/>
      <c r="BG674" s="216"/>
      <c r="BH674" s="216"/>
      <c r="BI674" s="216"/>
      <c r="BJ674" s="216"/>
      <c r="BK674" s="216"/>
      <c r="BL674" s="216"/>
      <c r="BM674" s="216"/>
      <c r="BN674" s="216"/>
      <c r="BO674" s="216"/>
      <c r="BP674" s="216"/>
      <c r="BQ674" s="216"/>
      <c r="BR674" s="216"/>
      <c r="BS674" s="216"/>
      <c r="BT674" s="216"/>
      <c r="BU674" s="216"/>
      <c r="BV674" s="216"/>
      <c r="BW674" s="216"/>
      <c r="BX674" s="216"/>
      <c r="BY674" s="216"/>
      <c r="BZ674" s="216"/>
      <c r="CA674" s="216"/>
      <c r="CB674" s="216"/>
      <c r="CC674" s="216"/>
      <c r="CD674" s="216"/>
      <c r="CE674" s="216"/>
      <c r="CF674" s="216"/>
      <c r="CG674" s="216"/>
      <c r="CH674" s="216"/>
      <c r="CI674" s="216"/>
      <c r="CJ674" s="216"/>
      <c r="CK674" s="216"/>
      <c r="CL674" s="216"/>
      <c r="CM674" s="216"/>
      <c r="CN674" s="216"/>
      <c r="CO674" s="216"/>
      <c r="CP674" s="216"/>
      <c r="CQ674" s="216"/>
      <c r="CR674" s="216"/>
      <c r="CS674" s="216"/>
      <c r="CT674" s="216"/>
      <c r="CU674" s="216"/>
      <c r="CV674" s="216"/>
      <c r="CW674" s="216"/>
      <c r="CX674" s="216"/>
      <c r="CY674" s="216"/>
    </row>
    <row r="675" spans="1:103" ht="12.75" x14ac:dyDescent="0.2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214"/>
      <c r="L675" s="214"/>
      <c r="M675" s="214"/>
      <c r="N675" s="215"/>
      <c r="O675" s="215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16"/>
      <c r="AN675" s="216"/>
      <c r="AO675" s="216"/>
      <c r="AP675" s="216"/>
      <c r="AQ675" s="216"/>
      <c r="AR675" s="216"/>
      <c r="AS675" s="216"/>
      <c r="AT675" s="216"/>
      <c r="AU675" s="216"/>
      <c r="AV675" s="216"/>
      <c r="AW675" s="216"/>
      <c r="AX675" s="216"/>
      <c r="AY675" s="216"/>
      <c r="AZ675" s="216"/>
      <c r="BA675" s="216"/>
      <c r="BB675" s="216"/>
      <c r="BC675" s="216"/>
      <c r="BD675" s="216"/>
      <c r="BE675" s="216"/>
      <c r="BF675" s="216"/>
      <c r="BG675" s="216"/>
      <c r="BH675" s="216"/>
      <c r="BI675" s="216"/>
      <c r="BJ675" s="216"/>
      <c r="BK675" s="216"/>
      <c r="BL675" s="216"/>
      <c r="BM675" s="216"/>
      <c r="BN675" s="216"/>
      <c r="BO675" s="216"/>
      <c r="BP675" s="216"/>
      <c r="BQ675" s="216"/>
      <c r="BR675" s="216"/>
      <c r="BS675" s="216"/>
      <c r="BT675" s="216"/>
      <c r="BU675" s="216"/>
      <c r="BV675" s="216"/>
      <c r="BW675" s="216"/>
      <c r="BX675" s="216"/>
      <c r="BY675" s="216"/>
      <c r="BZ675" s="216"/>
      <c r="CA675" s="216"/>
      <c r="CB675" s="216"/>
      <c r="CC675" s="216"/>
      <c r="CD675" s="216"/>
      <c r="CE675" s="216"/>
      <c r="CF675" s="216"/>
      <c r="CG675" s="216"/>
      <c r="CH675" s="216"/>
      <c r="CI675" s="216"/>
      <c r="CJ675" s="216"/>
      <c r="CK675" s="216"/>
      <c r="CL675" s="216"/>
      <c r="CM675" s="216"/>
      <c r="CN675" s="216"/>
      <c r="CO675" s="216"/>
      <c r="CP675" s="216"/>
      <c r="CQ675" s="216"/>
      <c r="CR675" s="216"/>
      <c r="CS675" s="216"/>
      <c r="CT675" s="216"/>
      <c r="CU675" s="216"/>
      <c r="CV675" s="216"/>
      <c r="CW675" s="216"/>
      <c r="CX675" s="216"/>
      <c r="CY675" s="216"/>
    </row>
    <row r="676" spans="1:103" ht="12.75" x14ac:dyDescent="0.2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214"/>
      <c r="L676" s="214"/>
      <c r="M676" s="214"/>
      <c r="N676" s="215"/>
      <c r="O676" s="215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  <c r="AM676" s="216"/>
      <c r="AN676" s="216"/>
      <c r="AO676" s="216"/>
      <c r="AP676" s="216"/>
      <c r="AQ676" s="216"/>
      <c r="AR676" s="216"/>
      <c r="AS676" s="216"/>
      <c r="AT676" s="216"/>
      <c r="AU676" s="216"/>
      <c r="AV676" s="216"/>
      <c r="AW676" s="216"/>
      <c r="AX676" s="216"/>
      <c r="AY676" s="216"/>
      <c r="AZ676" s="216"/>
      <c r="BA676" s="216"/>
      <c r="BB676" s="216"/>
      <c r="BC676" s="216"/>
      <c r="BD676" s="216"/>
      <c r="BE676" s="216"/>
      <c r="BF676" s="216"/>
      <c r="BG676" s="216"/>
      <c r="BH676" s="216"/>
      <c r="BI676" s="216"/>
      <c r="BJ676" s="216"/>
      <c r="BK676" s="216"/>
      <c r="BL676" s="216"/>
      <c r="BM676" s="216"/>
      <c r="BN676" s="216"/>
      <c r="BO676" s="216"/>
      <c r="BP676" s="216"/>
      <c r="BQ676" s="216"/>
      <c r="BR676" s="216"/>
      <c r="BS676" s="216"/>
      <c r="BT676" s="216"/>
      <c r="BU676" s="216"/>
      <c r="BV676" s="216"/>
      <c r="BW676" s="216"/>
      <c r="BX676" s="216"/>
      <c r="BY676" s="216"/>
      <c r="BZ676" s="216"/>
      <c r="CA676" s="216"/>
      <c r="CB676" s="216"/>
      <c r="CC676" s="216"/>
      <c r="CD676" s="216"/>
      <c r="CE676" s="216"/>
      <c r="CF676" s="216"/>
      <c r="CG676" s="216"/>
      <c r="CH676" s="216"/>
      <c r="CI676" s="216"/>
      <c r="CJ676" s="216"/>
      <c r="CK676" s="216"/>
      <c r="CL676" s="216"/>
      <c r="CM676" s="216"/>
      <c r="CN676" s="216"/>
      <c r="CO676" s="216"/>
      <c r="CP676" s="216"/>
      <c r="CQ676" s="216"/>
      <c r="CR676" s="216"/>
      <c r="CS676" s="216"/>
      <c r="CT676" s="216"/>
      <c r="CU676" s="216"/>
      <c r="CV676" s="216"/>
      <c r="CW676" s="216"/>
      <c r="CX676" s="216"/>
      <c r="CY676" s="216"/>
    </row>
    <row r="677" spans="1:103" ht="12.75" x14ac:dyDescent="0.2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214"/>
      <c r="L677" s="214"/>
      <c r="M677" s="214"/>
      <c r="N677" s="215"/>
      <c r="O677" s="215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  <c r="AM677" s="216"/>
      <c r="AN677" s="216"/>
      <c r="AO677" s="216"/>
      <c r="AP677" s="216"/>
      <c r="AQ677" s="216"/>
      <c r="AR677" s="216"/>
      <c r="AS677" s="216"/>
      <c r="AT677" s="216"/>
      <c r="AU677" s="216"/>
      <c r="AV677" s="216"/>
      <c r="AW677" s="216"/>
      <c r="AX677" s="216"/>
      <c r="AY677" s="216"/>
      <c r="AZ677" s="216"/>
      <c r="BA677" s="216"/>
      <c r="BB677" s="216"/>
      <c r="BC677" s="216"/>
      <c r="BD677" s="216"/>
      <c r="BE677" s="216"/>
      <c r="BF677" s="216"/>
      <c r="BG677" s="216"/>
      <c r="BH677" s="216"/>
      <c r="BI677" s="216"/>
      <c r="BJ677" s="216"/>
      <c r="BK677" s="216"/>
      <c r="BL677" s="216"/>
      <c r="BM677" s="216"/>
      <c r="BN677" s="216"/>
      <c r="BO677" s="216"/>
      <c r="BP677" s="216"/>
      <c r="BQ677" s="216"/>
      <c r="BR677" s="216"/>
      <c r="BS677" s="216"/>
      <c r="BT677" s="216"/>
      <c r="BU677" s="216"/>
      <c r="BV677" s="216"/>
      <c r="BW677" s="216"/>
      <c r="BX677" s="216"/>
      <c r="BY677" s="216"/>
      <c r="BZ677" s="216"/>
      <c r="CA677" s="216"/>
      <c r="CB677" s="216"/>
      <c r="CC677" s="216"/>
      <c r="CD677" s="216"/>
      <c r="CE677" s="216"/>
      <c r="CF677" s="216"/>
      <c r="CG677" s="216"/>
      <c r="CH677" s="216"/>
      <c r="CI677" s="216"/>
      <c r="CJ677" s="216"/>
      <c r="CK677" s="216"/>
      <c r="CL677" s="216"/>
      <c r="CM677" s="216"/>
      <c r="CN677" s="216"/>
      <c r="CO677" s="216"/>
      <c r="CP677" s="216"/>
      <c r="CQ677" s="216"/>
      <c r="CR677" s="216"/>
      <c r="CS677" s="216"/>
      <c r="CT677" s="216"/>
      <c r="CU677" s="216"/>
      <c r="CV677" s="216"/>
      <c r="CW677" s="216"/>
      <c r="CX677" s="216"/>
      <c r="CY677" s="216"/>
    </row>
    <row r="678" spans="1:103" ht="12.75" x14ac:dyDescent="0.2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214"/>
      <c r="L678" s="214"/>
      <c r="M678" s="214"/>
      <c r="N678" s="215"/>
      <c r="O678" s="215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  <c r="AM678" s="216"/>
      <c r="AN678" s="216"/>
      <c r="AO678" s="216"/>
      <c r="AP678" s="216"/>
      <c r="AQ678" s="216"/>
      <c r="AR678" s="216"/>
      <c r="AS678" s="216"/>
      <c r="AT678" s="216"/>
      <c r="AU678" s="216"/>
      <c r="AV678" s="216"/>
      <c r="AW678" s="216"/>
      <c r="AX678" s="216"/>
      <c r="AY678" s="216"/>
      <c r="AZ678" s="216"/>
      <c r="BA678" s="216"/>
      <c r="BB678" s="216"/>
      <c r="BC678" s="216"/>
      <c r="BD678" s="216"/>
      <c r="BE678" s="216"/>
      <c r="BF678" s="216"/>
      <c r="BG678" s="216"/>
      <c r="BH678" s="216"/>
      <c r="BI678" s="216"/>
      <c r="BJ678" s="216"/>
      <c r="BK678" s="216"/>
      <c r="BL678" s="216"/>
      <c r="BM678" s="216"/>
      <c r="BN678" s="216"/>
      <c r="BO678" s="216"/>
      <c r="BP678" s="216"/>
      <c r="BQ678" s="216"/>
      <c r="BR678" s="216"/>
      <c r="BS678" s="216"/>
      <c r="BT678" s="216"/>
      <c r="BU678" s="216"/>
      <c r="BV678" s="216"/>
      <c r="BW678" s="216"/>
      <c r="BX678" s="216"/>
      <c r="BY678" s="216"/>
      <c r="BZ678" s="216"/>
      <c r="CA678" s="216"/>
      <c r="CB678" s="216"/>
      <c r="CC678" s="216"/>
      <c r="CD678" s="216"/>
      <c r="CE678" s="216"/>
      <c r="CF678" s="216"/>
      <c r="CG678" s="216"/>
      <c r="CH678" s="216"/>
      <c r="CI678" s="216"/>
      <c r="CJ678" s="216"/>
      <c r="CK678" s="216"/>
      <c r="CL678" s="216"/>
      <c r="CM678" s="216"/>
      <c r="CN678" s="216"/>
      <c r="CO678" s="216"/>
      <c r="CP678" s="216"/>
      <c r="CQ678" s="216"/>
      <c r="CR678" s="216"/>
      <c r="CS678" s="216"/>
      <c r="CT678" s="216"/>
      <c r="CU678" s="216"/>
      <c r="CV678" s="216"/>
      <c r="CW678" s="216"/>
      <c r="CX678" s="216"/>
      <c r="CY678" s="216"/>
    </row>
    <row r="679" spans="1:103" ht="12.75" x14ac:dyDescent="0.2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214"/>
      <c r="L679" s="214"/>
      <c r="M679" s="214"/>
      <c r="N679" s="215"/>
      <c r="O679" s="215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16"/>
      <c r="AN679" s="216"/>
      <c r="AO679" s="216"/>
      <c r="AP679" s="216"/>
      <c r="AQ679" s="216"/>
      <c r="AR679" s="216"/>
      <c r="AS679" s="216"/>
      <c r="AT679" s="216"/>
      <c r="AU679" s="216"/>
      <c r="AV679" s="216"/>
      <c r="AW679" s="216"/>
      <c r="AX679" s="216"/>
      <c r="AY679" s="216"/>
      <c r="AZ679" s="216"/>
      <c r="BA679" s="216"/>
      <c r="BB679" s="216"/>
      <c r="BC679" s="216"/>
      <c r="BD679" s="216"/>
      <c r="BE679" s="216"/>
      <c r="BF679" s="216"/>
      <c r="BG679" s="216"/>
      <c r="BH679" s="216"/>
      <c r="BI679" s="216"/>
      <c r="BJ679" s="216"/>
      <c r="BK679" s="216"/>
      <c r="BL679" s="216"/>
      <c r="BM679" s="216"/>
      <c r="BN679" s="216"/>
      <c r="BO679" s="216"/>
      <c r="BP679" s="216"/>
      <c r="BQ679" s="216"/>
      <c r="BR679" s="216"/>
      <c r="BS679" s="216"/>
      <c r="BT679" s="216"/>
      <c r="BU679" s="216"/>
      <c r="BV679" s="216"/>
      <c r="BW679" s="216"/>
      <c r="BX679" s="216"/>
      <c r="BY679" s="216"/>
      <c r="BZ679" s="216"/>
      <c r="CA679" s="216"/>
      <c r="CB679" s="216"/>
      <c r="CC679" s="216"/>
      <c r="CD679" s="216"/>
      <c r="CE679" s="216"/>
      <c r="CF679" s="216"/>
      <c r="CG679" s="216"/>
      <c r="CH679" s="216"/>
      <c r="CI679" s="216"/>
      <c r="CJ679" s="216"/>
      <c r="CK679" s="216"/>
      <c r="CL679" s="216"/>
      <c r="CM679" s="216"/>
      <c r="CN679" s="216"/>
      <c r="CO679" s="216"/>
      <c r="CP679" s="216"/>
      <c r="CQ679" s="216"/>
      <c r="CR679" s="216"/>
      <c r="CS679" s="216"/>
      <c r="CT679" s="216"/>
      <c r="CU679" s="216"/>
      <c r="CV679" s="216"/>
      <c r="CW679" s="216"/>
      <c r="CX679" s="216"/>
      <c r="CY679" s="216"/>
    </row>
    <row r="680" spans="1:103" ht="12.75" x14ac:dyDescent="0.2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214"/>
      <c r="L680" s="214"/>
      <c r="M680" s="214"/>
      <c r="N680" s="215"/>
      <c r="O680" s="215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16"/>
      <c r="AN680" s="216"/>
      <c r="AO680" s="216"/>
      <c r="AP680" s="216"/>
      <c r="AQ680" s="216"/>
      <c r="AR680" s="216"/>
      <c r="AS680" s="216"/>
      <c r="AT680" s="216"/>
      <c r="AU680" s="216"/>
      <c r="AV680" s="216"/>
      <c r="AW680" s="216"/>
      <c r="AX680" s="216"/>
      <c r="AY680" s="216"/>
      <c r="AZ680" s="216"/>
      <c r="BA680" s="216"/>
      <c r="BB680" s="216"/>
      <c r="BC680" s="216"/>
      <c r="BD680" s="216"/>
      <c r="BE680" s="216"/>
      <c r="BF680" s="216"/>
      <c r="BG680" s="216"/>
      <c r="BH680" s="216"/>
      <c r="BI680" s="216"/>
      <c r="BJ680" s="216"/>
      <c r="BK680" s="216"/>
      <c r="BL680" s="216"/>
      <c r="BM680" s="216"/>
      <c r="BN680" s="216"/>
      <c r="BO680" s="216"/>
      <c r="BP680" s="216"/>
      <c r="BQ680" s="216"/>
      <c r="BR680" s="216"/>
      <c r="BS680" s="216"/>
      <c r="BT680" s="216"/>
      <c r="BU680" s="216"/>
      <c r="BV680" s="216"/>
      <c r="BW680" s="216"/>
      <c r="BX680" s="216"/>
      <c r="BY680" s="216"/>
      <c r="BZ680" s="216"/>
      <c r="CA680" s="216"/>
      <c r="CB680" s="216"/>
      <c r="CC680" s="216"/>
      <c r="CD680" s="216"/>
      <c r="CE680" s="216"/>
      <c r="CF680" s="216"/>
      <c r="CG680" s="216"/>
      <c r="CH680" s="216"/>
      <c r="CI680" s="216"/>
      <c r="CJ680" s="216"/>
      <c r="CK680" s="216"/>
      <c r="CL680" s="216"/>
      <c r="CM680" s="216"/>
      <c r="CN680" s="216"/>
      <c r="CO680" s="216"/>
      <c r="CP680" s="216"/>
      <c r="CQ680" s="216"/>
      <c r="CR680" s="216"/>
      <c r="CS680" s="216"/>
      <c r="CT680" s="216"/>
      <c r="CU680" s="216"/>
      <c r="CV680" s="216"/>
      <c r="CW680" s="216"/>
      <c r="CX680" s="216"/>
      <c r="CY680" s="216"/>
    </row>
    <row r="681" spans="1:103" ht="12.75" x14ac:dyDescent="0.2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214"/>
      <c r="L681" s="214"/>
      <c r="M681" s="214"/>
      <c r="N681" s="215"/>
      <c r="O681" s="215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16"/>
      <c r="AN681" s="216"/>
      <c r="AO681" s="216"/>
      <c r="AP681" s="216"/>
      <c r="AQ681" s="216"/>
      <c r="AR681" s="216"/>
      <c r="AS681" s="216"/>
      <c r="AT681" s="216"/>
      <c r="AU681" s="216"/>
      <c r="AV681" s="216"/>
      <c r="AW681" s="216"/>
      <c r="AX681" s="216"/>
      <c r="AY681" s="216"/>
      <c r="AZ681" s="216"/>
      <c r="BA681" s="216"/>
      <c r="BB681" s="216"/>
      <c r="BC681" s="216"/>
      <c r="BD681" s="216"/>
      <c r="BE681" s="216"/>
      <c r="BF681" s="216"/>
      <c r="BG681" s="216"/>
      <c r="BH681" s="216"/>
      <c r="BI681" s="216"/>
      <c r="BJ681" s="216"/>
      <c r="BK681" s="216"/>
      <c r="BL681" s="216"/>
      <c r="BM681" s="216"/>
      <c r="BN681" s="216"/>
      <c r="BO681" s="216"/>
      <c r="BP681" s="216"/>
      <c r="BQ681" s="216"/>
      <c r="BR681" s="216"/>
      <c r="BS681" s="216"/>
      <c r="BT681" s="216"/>
      <c r="BU681" s="216"/>
      <c r="BV681" s="216"/>
      <c r="BW681" s="216"/>
      <c r="BX681" s="216"/>
      <c r="BY681" s="216"/>
      <c r="BZ681" s="216"/>
      <c r="CA681" s="216"/>
      <c r="CB681" s="216"/>
      <c r="CC681" s="216"/>
      <c r="CD681" s="216"/>
      <c r="CE681" s="216"/>
      <c r="CF681" s="216"/>
      <c r="CG681" s="216"/>
      <c r="CH681" s="216"/>
      <c r="CI681" s="216"/>
      <c r="CJ681" s="216"/>
      <c r="CK681" s="216"/>
      <c r="CL681" s="216"/>
      <c r="CM681" s="216"/>
      <c r="CN681" s="216"/>
      <c r="CO681" s="216"/>
      <c r="CP681" s="216"/>
      <c r="CQ681" s="216"/>
      <c r="CR681" s="216"/>
      <c r="CS681" s="216"/>
      <c r="CT681" s="216"/>
      <c r="CU681" s="216"/>
      <c r="CV681" s="216"/>
      <c r="CW681" s="216"/>
      <c r="CX681" s="216"/>
      <c r="CY681" s="216"/>
    </row>
    <row r="682" spans="1:103" ht="12.75" x14ac:dyDescent="0.2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214"/>
      <c r="L682" s="214"/>
      <c r="M682" s="214"/>
      <c r="N682" s="215"/>
      <c r="O682" s="215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16"/>
      <c r="AN682" s="216"/>
      <c r="AO682" s="216"/>
      <c r="AP682" s="216"/>
      <c r="AQ682" s="216"/>
      <c r="AR682" s="216"/>
      <c r="AS682" s="216"/>
      <c r="AT682" s="216"/>
      <c r="AU682" s="216"/>
      <c r="AV682" s="216"/>
      <c r="AW682" s="216"/>
      <c r="AX682" s="216"/>
      <c r="AY682" s="216"/>
      <c r="AZ682" s="216"/>
      <c r="BA682" s="216"/>
      <c r="BB682" s="216"/>
      <c r="BC682" s="216"/>
      <c r="BD682" s="216"/>
      <c r="BE682" s="216"/>
      <c r="BF682" s="216"/>
      <c r="BG682" s="216"/>
      <c r="BH682" s="216"/>
      <c r="BI682" s="216"/>
      <c r="BJ682" s="216"/>
      <c r="BK682" s="216"/>
      <c r="BL682" s="216"/>
      <c r="BM682" s="216"/>
      <c r="BN682" s="216"/>
      <c r="BO682" s="216"/>
      <c r="BP682" s="216"/>
      <c r="BQ682" s="216"/>
      <c r="BR682" s="216"/>
      <c r="BS682" s="216"/>
      <c r="BT682" s="216"/>
      <c r="BU682" s="216"/>
      <c r="BV682" s="216"/>
      <c r="BW682" s="216"/>
      <c r="BX682" s="216"/>
      <c r="BY682" s="216"/>
      <c r="BZ682" s="216"/>
      <c r="CA682" s="216"/>
      <c r="CB682" s="216"/>
      <c r="CC682" s="216"/>
      <c r="CD682" s="216"/>
      <c r="CE682" s="216"/>
      <c r="CF682" s="216"/>
      <c r="CG682" s="216"/>
      <c r="CH682" s="216"/>
      <c r="CI682" s="216"/>
      <c r="CJ682" s="216"/>
      <c r="CK682" s="216"/>
      <c r="CL682" s="216"/>
      <c r="CM682" s="216"/>
      <c r="CN682" s="216"/>
      <c r="CO682" s="216"/>
      <c r="CP682" s="216"/>
      <c r="CQ682" s="216"/>
      <c r="CR682" s="216"/>
      <c r="CS682" s="216"/>
      <c r="CT682" s="216"/>
      <c r="CU682" s="216"/>
      <c r="CV682" s="216"/>
      <c r="CW682" s="216"/>
      <c r="CX682" s="216"/>
      <c r="CY682" s="216"/>
    </row>
    <row r="683" spans="1:103" ht="12.75" x14ac:dyDescent="0.2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214"/>
      <c r="L683" s="214"/>
      <c r="M683" s="214"/>
      <c r="N683" s="215"/>
      <c r="O683" s="215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16"/>
      <c r="AN683" s="216"/>
      <c r="AO683" s="216"/>
      <c r="AP683" s="216"/>
      <c r="AQ683" s="216"/>
      <c r="AR683" s="216"/>
      <c r="AS683" s="216"/>
      <c r="AT683" s="216"/>
      <c r="AU683" s="216"/>
      <c r="AV683" s="216"/>
      <c r="AW683" s="216"/>
      <c r="AX683" s="216"/>
      <c r="AY683" s="216"/>
      <c r="AZ683" s="216"/>
      <c r="BA683" s="216"/>
      <c r="BB683" s="216"/>
      <c r="BC683" s="216"/>
      <c r="BD683" s="216"/>
      <c r="BE683" s="216"/>
      <c r="BF683" s="216"/>
      <c r="BG683" s="216"/>
      <c r="BH683" s="216"/>
      <c r="BI683" s="216"/>
      <c r="BJ683" s="216"/>
      <c r="BK683" s="216"/>
      <c r="BL683" s="216"/>
      <c r="BM683" s="216"/>
      <c r="BN683" s="216"/>
      <c r="BO683" s="216"/>
      <c r="BP683" s="216"/>
      <c r="BQ683" s="216"/>
      <c r="BR683" s="216"/>
      <c r="BS683" s="216"/>
      <c r="BT683" s="216"/>
      <c r="BU683" s="216"/>
      <c r="BV683" s="216"/>
      <c r="BW683" s="216"/>
      <c r="BX683" s="216"/>
      <c r="BY683" s="216"/>
      <c r="BZ683" s="216"/>
      <c r="CA683" s="216"/>
      <c r="CB683" s="216"/>
      <c r="CC683" s="216"/>
      <c r="CD683" s="216"/>
      <c r="CE683" s="216"/>
      <c r="CF683" s="216"/>
      <c r="CG683" s="216"/>
      <c r="CH683" s="216"/>
      <c r="CI683" s="216"/>
      <c r="CJ683" s="216"/>
      <c r="CK683" s="216"/>
      <c r="CL683" s="216"/>
      <c r="CM683" s="216"/>
      <c r="CN683" s="216"/>
      <c r="CO683" s="216"/>
      <c r="CP683" s="216"/>
      <c r="CQ683" s="216"/>
      <c r="CR683" s="216"/>
      <c r="CS683" s="216"/>
      <c r="CT683" s="216"/>
      <c r="CU683" s="216"/>
      <c r="CV683" s="216"/>
      <c r="CW683" s="216"/>
      <c r="CX683" s="216"/>
      <c r="CY683" s="216"/>
    </row>
    <row r="684" spans="1:103" ht="12.75" x14ac:dyDescent="0.2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214"/>
      <c r="L684" s="214"/>
      <c r="M684" s="214"/>
      <c r="N684" s="215"/>
      <c r="O684" s="215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16"/>
      <c r="AN684" s="216"/>
      <c r="AO684" s="216"/>
      <c r="AP684" s="216"/>
      <c r="AQ684" s="216"/>
      <c r="AR684" s="216"/>
      <c r="AS684" s="216"/>
      <c r="AT684" s="216"/>
      <c r="AU684" s="216"/>
      <c r="AV684" s="216"/>
      <c r="AW684" s="216"/>
      <c r="AX684" s="216"/>
      <c r="AY684" s="216"/>
      <c r="AZ684" s="216"/>
      <c r="BA684" s="216"/>
      <c r="BB684" s="216"/>
      <c r="BC684" s="216"/>
      <c r="BD684" s="216"/>
      <c r="BE684" s="216"/>
      <c r="BF684" s="216"/>
      <c r="BG684" s="216"/>
      <c r="BH684" s="216"/>
      <c r="BI684" s="216"/>
      <c r="BJ684" s="216"/>
      <c r="BK684" s="216"/>
      <c r="BL684" s="216"/>
      <c r="BM684" s="216"/>
      <c r="BN684" s="216"/>
      <c r="BO684" s="216"/>
      <c r="BP684" s="216"/>
      <c r="BQ684" s="216"/>
      <c r="BR684" s="216"/>
      <c r="BS684" s="216"/>
      <c r="BT684" s="216"/>
      <c r="BU684" s="216"/>
      <c r="BV684" s="216"/>
      <c r="BW684" s="216"/>
      <c r="BX684" s="216"/>
      <c r="BY684" s="216"/>
      <c r="BZ684" s="216"/>
      <c r="CA684" s="216"/>
      <c r="CB684" s="216"/>
      <c r="CC684" s="216"/>
      <c r="CD684" s="216"/>
      <c r="CE684" s="216"/>
      <c r="CF684" s="216"/>
      <c r="CG684" s="216"/>
      <c r="CH684" s="216"/>
      <c r="CI684" s="216"/>
      <c r="CJ684" s="216"/>
      <c r="CK684" s="216"/>
      <c r="CL684" s="216"/>
      <c r="CM684" s="216"/>
      <c r="CN684" s="216"/>
      <c r="CO684" s="216"/>
      <c r="CP684" s="216"/>
      <c r="CQ684" s="216"/>
      <c r="CR684" s="216"/>
      <c r="CS684" s="216"/>
      <c r="CT684" s="216"/>
      <c r="CU684" s="216"/>
      <c r="CV684" s="216"/>
      <c r="CW684" s="216"/>
      <c r="CX684" s="216"/>
      <c r="CY684" s="216"/>
    </row>
    <row r="685" spans="1:103" ht="12.75" x14ac:dyDescent="0.2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214"/>
      <c r="L685" s="214"/>
      <c r="M685" s="214"/>
      <c r="N685" s="215"/>
      <c r="O685" s="215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16"/>
      <c r="AN685" s="216"/>
      <c r="AO685" s="216"/>
      <c r="AP685" s="216"/>
      <c r="AQ685" s="216"/>
      <c r="AR685" s="216"/>
      <c r="AS685" s="216"/>
      <c r="AT685" s="216"/>
      <c r="AU685" s="216"/>
      <c r="AV685" s="216"/>
      <c r="AW685" s="216"/>
      <c r="AX685" s="216"/>
      <c r="AY685" s="216"/>
      <c r="AZ685" s="216"/>
      <c r="BA685" s="216"/>
      <c r="BB685" s="216"/>
      <c r="BC685" s="216"/>
      <c r="BD685" s="216"/>
      <c r="BE685" s="216"/>
      <c r="BF685" s="216"/>
      <c r="BG685" s="216"/>
      <c r="BH685" s="216"/>
      <c r="BI685" s="216"/>
      <c r="BJ685" s="216"/>
      <c r="BK685" s="216"/>
      <c r="BL685" s="216"/>
      <c r="BM685" s="216"/>
      <c r="BN685" s="216"/>
      <c r="BO685" s="216"/>
      <c r="BP685" s="216"/>
      <c r="BQ685" s="216"/>
      <c r="BR685" s="216"/>
      <c r="BS685" s="216"/>
      <c r="BT685" s="216"/>
      <c r="BU685" s="216"/>
      <c r="BV685" s="216"/>
      <c r="BW685" s="216"/>
      <c r="BX685" s="216"/>
      <c r="BY685" s="216"/>
      <c r="BZ685" s="216"/>
      <c r="CA685" s="216"/>
      <c r="CB685" s="216"/>
      <c r="CC685" s="216"/>
      <c r="CD685" s="216"/>
      <c r="CE685" s="216"/>
      <c r="CF685" s="216"/>
      <c r="CG685" s="216"/>
      <c r="CH685" s="216"/>
      <c r="CI685" s="216"/>
      <c r="CJ685" s="216"/>
      <c r="CK685" s="216"/>
      <c r="CL685" s="216"/>
      <c r="CM685" s="216"/>
      <c r="CN685" s="216"/>
      <c r="CO685" s="216"/>
      <c r="CP685" s="216"/>
      <c r="CQ685" s="216"/>
      <c r="CR685" s="216"/>
      <c r="CS685" s="216"/>
      <c r="CT685" s="216"/>
      <c r="CU685" s="216"/>
      <c r="CV685" s="216"/>
      <c r="CW685" s="216"/>
      <c r="CX685" s="216"/>
      <c r="CY685" s="216"/>
    </row>
    <row r="686" spans="1:103" ht="12.75" x14ac:dyDescent="0.2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214"/>
      <c r="L686" s="214"/>
      <c r="M686" s="214"/>
      <c r="N686" s="215"/>
      <c r="O686" s="215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16"/>
      <c r="AN686" s="216"/>
      <c r="AO686" s="216"/>
      <c r="AP686" s="216"/>
      <c r="AQ686" s="216"/>
      <c r="AR686" s="216"/>
      <c r="AS686" s="216"/>
      <c r="AT686" s="216"/>
      <c r="AU686" s="216"/>
      <c r="AV686" s="216"/>
      <c r="AW686" s="216"/>
      <c r="AX686" s="216"/>
      <c r="AY686" s="216"/>
      <c r="AZ686" s="216"/>
      <c r="BA686" s="216"/>
      <c r="BB686" s="216"/>
      <c r="BC686" s="216"/>
      <c r="BD686" s="216"/>
      <c r="BE686" s="216"/>
      <c r="BF686" s="216"/>
      <c r="BG686" s="216"/>
      <c r="BH686" s="216"/>
      <c r="BI686" s="216"/>
      <c r="BJ686" s="216"/>
      <c r="BK686" s="216"/>
      <c r="BL686" s="216"/>
      <c r="BM686" s="216"/>
      <c r="BN686" s="216"/>
      <c r="BO686" s="216"/>
      <c r="BP686" s="216"/>
      <c r="BQ686" s="216"/>
      <c r="BR686" s="216"/>
      <c r="BS686" s="216"/>
      <c r="BT686" s="216"/>
      <c r="BU686" s="216"/>
      <c r="BV686" s="216"/>
      <c r="BW686" s="216"/>
      <c r="BX686" s="216"/>
      <c r="BY686" s="216"/>
      <c r="BZ686" s="216"/>
      <c r="CA686" s="216"/>
      <c r="CB686" s="216"/>
      <c r="CC686" s="216"/>
      <c r="CD686" s="216"/>
      <c r="CE686" s="216"/>
      <c r="CF686" s="216"/>
      <c r="CG686" s="216"/>
      <c r="CH686" s="216"/>
      <c r="CI686" s="216"/>
      <c r="CJ686" s="216"/>
      <c r="CK686" s="216"/>
      <c r="CL686" s="216"/>
      <c r="CM686" s="216"/>
      <c r="CN686" s="216"/>
      <c r="CO686" s="216"/>
      <c r="CP686" s="216"/>
      <c r="CQ686" s="216"/>
      <c r="CR686" s="216"/>
      <c r="CS686" s="216"/>
      <c r="CT686" s="216"/>
      <c r="CU686" s="216"/>
      <c r="CV686" s="216"/>
      <c r="CW686" s="216"/>
      <c r="CX686" s="216"/>
      <c r="CY686" s="216"/>
    </row>
    <row r="687" spans="1:103" ht="12.75" x14ac:dyDescent="0.2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214"/>
      <c r="L687" s="214"/>
      <c r="M687" s="214"/>
      <c r="N687" s="215"/>
      <c r="O687" s="215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16"/>
      <c r="AN687" s="216"/>
      <c r="AO687" s="216"/>
      <c r="AP687" s="216"/>
      <c r="AQ687" s="216"/>
      <c r="AR687" s="216"/>
      <c r="AS687" s="216"/>
      <c r="AT687" s="216"/>
      <c r="AU687" s="216"/>
      <c r="AV687" s="216"/>
      <c r="AW687" s="216"/>
      <c r="AX687" s="216"/>
      <c r="AY687" s="216"/>
      <c r="AZ687" s="216"/>
      <c r="BA687" s="216"/>
      <c r="BB687" s="216"/>
      <c r="BC687" s="216"/>
      <c r="BD687" s="216"/>
      <c r="BE687" s="216"/>
      <c r="BF687" s="216"/>
      <c r="BG687" s="216"/>
      <c r="BH687" s="216"/>
      <c r="BI687" s="216"/>
      <c r="BJ687" s="216"/>
      <c r="BK687" s="216"/>
      <c r="BL687" s="216"/>
      <c r="BM687" s="216"/>
      <c r="BN687" s="216"/>
      <c r="BO687" s="216"/>
      <c r="BP687" s="216"/>
      <c r="BQ687" s="216"/>
      <c r="BR687" s="216"/>
      <c r="BS687" s="216"/>
      <c r="BT687" s="216"/>
      <c r="BU687" s="216"/>
      <c r="BV687" s="216"/>
      <c r="BW687" s="216"/>
      <c r="BX687" s="216"/>
      <c r="BY687" s="216"/>
      <c r="BZ687" s="216"/>
      <c r="CA687" s="216"/>
      <c r="CB687" s="216"/>
      <c r="CC687" s="216"/>
      <c r="CD687" s="216"/>
      <c r="CE687" s="216"/>
      <c r="CF687" s="216"/>
      <c r="CG687" s="216"/>
      <c r="CH687" s="216"/>
      <c r="CI687" s="216"/>
      <c r="CJ687" s="216"/>
      <c r="CK687" s="216"/>
      <c r="CL687" s="216"/>
      <c r="CM687" s="216"/>
      <c r="CN687" s="216"/>
      <c r="CO687" s="216"/>
      <c r="CP687" s="216"/>
      <c r="CQ687" s="216"/>
      <c r="CR687" s="216"/>
      <c r="CS687" s="216"/>
      <c r="CT687" s="216"/>
      <c r="CU687" s="216"/>
      <c r="CV687" s="216"/>
      <c r="CW687" s="216"/>
      <c r="CX687" s="216"/>
      <c r="CY687" s="216"/>
    </row>
    <row r="688" spans="1:103" ht="12.75" x14ac:dyDescent="0.2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214"/>
      <c r="L688" s="214"/>
      <c r="M688" s="214"/>
      <c r="N688" s="215"/>
      <c r="O688" s="215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16"/>
      <c r="AN688" s="216"/>
      <c r="AO688" s="216"/>
      <c r="AP688" s="216"/>
      <c r="AQ688" s="216"/>
      <c r="AR688" s="216"/>
      <c r="AS688" s="216"/>
      <c r="AT688" s="216"/>
      <c r="AU688" s="216"/>
      <c r="AV688" s="216"/>
      <c r="AW688" s="216"/>
      <c r="AX688" s="216"/>
      <c r="AY688" s="216"/>
      <c r="AZ688" s="216"/>
      <c r="BA688" s="216"/>
      <c r="BB688" s="216"/>
      <c r="BC688" s="216"/>
      <c r="BD688" s="216"/>
      <c r="BE688" s="216"/>
      <c r="BF688" s="216"/>
      <c r="BG688" s="216"/>
      <c r="BH688" s="216"/>
      <c r="BI688" s="216"/>
      <c r="BJ688" s="216"/>
      <c r="BK688" s="216"/>
      <c r="BL688" s="216"/>
      <c r="BM688" s="216"/>
      <c r="BN688" s="216"/>
      <c r="BO688" s="216"/>
      <c r="BP688" s="216"/>
      <c r="BQ688" s="216"/>
      <c r="BR688" s="216"/>
      <c r="BS688" s="216"/>
      <c r="BT688" s="216"/>
      <c r="BU688" s="216"/>
      <c r="BV688" s="216"/>
      <c r="BW688" s="216"/>
      <c r="BX688" s="216"/>
      <c r="BY688" s="216"/>
      <c r="BZ688" s="216"/>
      <c r="CA688" s="216"/>
      <c r="CB688" s="216"/>
      <c r="CC688" s="216"/>
      <c r="CD688" s="216"/>
      <c r="CE688" s="216"/>
      <c r="CF688" s="216"/>
      <c r="CG688" s="216"/>
      <c r="CH688" s="216"/>
      <c r="CI688" s="216"/>
      <c r="CJ688" s="216"/>
      <c r="CK688" s="216"/>
      <c r="CL688" s="216"/>
      <c r="CM688" s="216"/>
      <c r="CN688" s="216"/>
      <c r="CO688" s="216"/>
      <c r="CP688" s="216"/>
      <c r="CQ688" s="216"/>
      <c r="CR688" s="216"/>
      <c r="CS688" s="216"/>
      <c r="CT688" s="216"/>
      <c r="CU688" s="216"/>
      <c r="CV688" s="216"/>
      <c r="CW688" s="216"/>
      <c r="CX688" s="216"/>
      <c r="CY688" s="216"/>
    </row>
    <row r="689" spans="1:103" ht="12.75" x14ac:dyDescent="0.2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214"/>
      <c r="L689" s="214"/>
      <c r="M689" s="214"/>
      <c r="N689" s="215"/>
      <c r="O689" s="215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16"/>
      <c r="AN689" s="216"/>
      <c r="AO689" s="216"/>
      <c r="AP689" s="216"/>
      <c r="AQ689" s="216"/>
      <c r="AR689" s="216"/>
      <c r="AS689" s="216"/>
      <c r="AT689" s="216"/>
      <c r="AU689" s="216"/>
      <c r="AV689" s="216"/>
      <c r="AW689" s="216"/>
      <c r="AX689" s="216"/>
      <c r="AY689" s="216"/>
      <c r="AZ689" s="216"/>
      <c r="BA689" s="216"/>
      <c r="BB689" s="216"/>
      <c r="BC689" s="216"/>
      <c r="BD689" s="216"/>
      <c r="BE689" s="216"/>
      <c r="BF689" s="216"/>
      <c r="BG689" s="216"/>
      <c r="BH689" s="216"/>
      <c r="BI689" s="216"/>
      <c r="BJ689" s="216"/>
      <c r="BK689" s="216"/>
      <c r="BL689" s="216"/>
      <c r="BM689" s="216"/>
      <c r="BN689" s="216"/>
      <c r="BO689" s="216"/>
      <c r="BP689" s="216"/>
      <c r="BQ689" s="216"/>
      <c r="BR689" s="216"/>
      <c r="BS689" s="216"/>
      <c r="BT689" s="216"/>
      <c r="BU689" s="216"/>
      <c r="BV689" s="216"/>
      <c r="BW689" s="216"/>
      <c r="BX689" s="216"/>
      <c r="BY689" s="216"/>
      <c r="BZ689" s="216"/>
      <c r="CA689" s="216"/>
      <c r="CB689" s="216"/>
      <c r="CC689" s="216"/>
      <c r="CD689" s="216"/>
      <c r="CE689" s="216"/>
      <c r="CF689" s="216"/>
      <c r="CG689" s="216"/>
      <c r="CH689" s="216"/>
      <c r="CI689" s="216"/>
      <c r="CJ689" s="216"/>
      <c r="CK689" s="216"/>
      <c r="CL689" s="216"/>
      <c r="CM689" s="216"/>
      <c r="CN689" s="216"/>
      <c r="CO689" s="216"/>
      <c r="CP689" s="216"/>
      <c r="CQ689" s="216"/>
      <c r="CR689" s="216"/>
      <c r="CS689" s="216"/>
      <c r="CT689" s="216"/>
      <c r="CU689" s="216"/>
      <c r="CV689" s="216"/>
      <c r="CW689" s="216"/>
      <c r="CX689" s="216"/>
      <c r="CY689" s="216"/>
    </row>
    <row r="690" spans="1:103" ht="12.75" x14ac:dyDescent="0.2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214"/>
      <c r="L690" s="214"/>
      <c r="M690" s="214"/>
      <c r="N690" s="215"/>
      <c r="O690" s="215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16"/>
      <c r="AN690" s="216"/>
      <c r="AO690" s="216"/>
      <c r="AP690" s="216"/>
      <c r="AQ690" s="216"/>
      <c r="AR690" s="216"/>
      <c r="AS690" s="216"/>
      <c r="AT690" s="216"/>
      <c r="AU690" s="216"/>
      <c r="AV690" s="216"/>
      <c r="AW690" s="216"/>
      <c r="AX690" s="216"/>
      <c r="AY690" s="216"/>
      <c r="AZ690" s="216"/>
      <c r="BA690" s="216"/>
      <c r="BB690" s="216"/>
      <c r="BC690" s="216"/>
      <c r="BD690" s="216"/>
      <c r="BE690" s="216"/>
      <c r="BF690" s="216"/>
      <c r="BG690" s="216"/>
      <c r="BH690" s="216"/>
      <c r="BI690" s="216"/>
      <c r="BJ690" s="216"/>
      <c r="BK690" s="216"/>
      <c r="BL690" s="216"/>
      <c r="BM690" s="216"/>
      <c r="BN690" s="216"/>
      <c r="BO690" s="216"/>
      <c r="BP690" s="216"/>
      <c r="BQ690" s="216"/>
      <c r="BR690" s="216"/>
      <c r="BS690" s="216"/>
      <c r="BT690" s="216"/>
      <c r="BU690" s="216"/>
      <c r="BV690" s="216"/>
      <c r="BW690" s="216"/>
      <c r="BX690" s="216"/>
      <c r="BY690" s="216"/>
      <c r="BZ690" s="216"/>
      <c r="CA690" s="216"/>
      <c r="CB690" s="216"/>
      <c r="CC690" s="216"/>
      <c r="CD690" s="216"/>
      <c r="CE690" s="216"/>
      <c r="CF690" s="216"/>
      <c r="CG690" s="216"/>
      <c r="CH690" s="216"/>
      <c r="CI690" s="216"/>
      <c r="CJ690" s="216"/>
      <c r="CK690" s="216"/>
      <c r="CL690" s="216"/>
      <c r="CM690" s="216"/>
      <c r="CN690" s="216"/>
      <c r="CO690" s="216"/>
      <c r="CP690" s="216"/>
      <c r="CQ690" s="216"/>
      <c r="CR690" s="216"/>
      <c r="CS690" s="216"/>
      <c r="CT690" s="216"/>
      <c r="CU690" s="216"/>
      <c r="CV690" s="216"/>
      <c r="CW690" s="216"/>
      <c r="CX690" s="216"/>
      <c r="CY690" s="216"/>
    </row>
    <row r="691" spans="1:103" ht="12.75" x14ac:dyDescent="0.2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214"/>
      <c r="L691" s="214"/>
      <c r="M691" s="214"/>
      <c r="N691" s="215"/>
      <c r="O691" s="215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16"/>
      <c r="AN691" s="216"/>
      <c r="AO691" s="216"/>
      <c r="AP691" s="216"/>
      <c r="AQ691" s="216"/>
      <c r="AR691" s="216"/>
      <c r="AS691" s="216"/>
      <c r="AT691" s="216"/>
      <c r="AU691" s="216"/>
      <c r="AV691" s="216"/>
      <c r="AW691" s="216"/>
      <c r="AX691" s="216"/>
      <c r="AY691" s="216"/>
      <c r="AZ691" s="216"/>
      <c r="BA691" s="216"/>
      <c r="BB691" s="216"/>
      <c r="BC691" s="216"/>
      <c r="BD691" s="216"/>
      <c r="BE691" s="216"/>
      <c r="BF691" s="216"/>
      <c r="BG691" s="216"/>
      <c r="BH691" s="216"/>
      <c r="BI691" s="216"/>
      <c r="BJ691" s="216"/>
      <c r="BK691" s="216"/>
      <c r="BL691" s="216"/>
      <c r="BM691" s="216"/>
      <c r="BN691" s="216"/>
      <c r="BO691" s="216"/>
      <c r="BP691" s="216"/>
      <c r="BQ691" s="216"/>
      <c r="BR691" s="216"/>
      <c r="BS691" s="216"/>
      <c r="BT691" s="216"/>
      <c r="BU691" s="216"/>
      <c r="BV691" s="216"/>
      <c r="BW691" s="216"/>
      <c r="BX691" s="216"/>
      <c r="BY691" s="216"/>
      <c r="BZ691" s="216"/>
      <c r="CA691" s="216"/>
      <c r="CB691" s="216"/>
      <c r="CC691" s="216"/>
      <c r="CD691" s="216"/>
      <c r="CE691" s="216"/>
      <c r="CF691" s="216"/>
      <c r="CG691" s="216"/>
      <c r="CH691" s="216"/>
      <c r="CI691" s="216"/>
      <c r="CJ691" s="216"/>
      <c r="CK691" s="216"/>
      <c r="CL691" s="216"/>
      <c r="CM691" s="216"/>
      <c r="CN691" s="216"/>
      <c r="CO691" s="216"/>
      <c r="CP691" s="216"/>
      <c r="CQ691" s="216"/>
      <c r="CR691" s="216"/>
      <c r="CS691" s="216"/>
      <c r="CT691" s="216"/>
      <c r="CU691" s="216"/>
      <c r="CV691" s="216"/>
      <c r="CW691" s="216"/>
      <c r="CX691" s="216"/>
      <c r="CY691" s="216"/>
    </row>
    <row r="692" spans="1:103" ht="12.75" x14ac:dyDescent="0.2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214"/>
      <c r="L692" s="214"/>
      <c r="M692" s="214"/>
      <c r="N692" s="215"/>
      <c r="O692" s="215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16"/>
      <c r="BN692" s="216"/>
      <c r="BO692" s="216"/>
      <c r="BP692" s="216"/>
      <c r="BQ692" s="216"/>
      <c r="BR692" s="216"/>
      <c r="BS692" s="216"/>
      <c r="BT692" s="216"/>
      <c r="BU692" s="216"/>
      <c r="BV692" s="216"/>
      <c r="BW692" s="216"/>
      <c r="BX692" s="216"/>
      <c r="BY692" s="216"/>
      <c r="BZ692" s="216"/>
      <c r="CA692" s="216"/>
      <c r="CB692" s="216"/>
      <c r="CC692" s="216"/>
      <c r="CD692" s="216"/>
      <c r="CE692" s="216"/>
      <c r="CF692" s="216"/>
      <c r="CG692" s="216"/>
      <c r="CH692" s="216"/>
      <c r="CI692" s="216"/>
      <c r="CJ692" s="216"/>
      <c r="CK692" s="216"/>
      <c r="CL692" s="216"/>
      <c r="CM692" s="216"/>
      <c r="CN692" s="216"/>
      <c r="CO692" s="216"/>
      <c r="CP692" s="216"/>
      <c r="CQ692" s="216"/>
      <c r="CR692" s="216"/>
      <c r="CS692" s="216"/>
      <c r="CT692" s="216"/>
      <c r="CU692" s="216"/>
      <c r="CV692" s="216"/>
      <c r="CW692" s="216"/>
      <c r="CX692" s="216"/>
      <c r="CY692" s="216"/>
    </row>
    <row r="693" spans="1:103" ht="12.75" x14ac:dyDescent="0.2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214"/>
      <c r="L693" s="214"/>
      <c r="M693" s="214"/>
      <c r="N693" s="215"/>
      <c r="O693" s="215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216"/>
      <c r="AR693" s="216"/>
      <c r="AS693" s="216"/>
      <c r="AT693" s="216"/>
      <c r="AU693" s="216"/>
      <c r="AV693" s="216"/>
      <c r="AW693" s="216"/>
      <c r="AX693" s="216"/>
      <c r="AY693" s="216"/>
      <c r="AZ693" s="216"/>
      <c r="BA693" s="216"/>
      <c r="BB693" s="216"/>
      <c r="BC693" s="216"/>
      <c r="BD693" s="216"/>
      <c r="BE693" s="216"/>
      <c r="BF693" s="216"/>
      <c r="BG693" s="216"/>
      <c r="BH693" s="216"/>
      <c r="BI693" s="216"/>
      <c r="BJ693" s="216"/>
      <c r="BK693" s="216"/>
      <c r="BL693" s="216"/>
      <c r="BM693" s="216"/>
      <c r="BN693" s="216"/>
      <c r="BO693" s="216"/>
      <c r="BP693" s="216"/>
      <c r="BQ693" s="216"/>
      <c r="BR693" s="216"/>
      <c r="BS693" s="216"/>
      <c r="BT693" s="216"/>
      <c r="BU693" s="216"/>
      <c r="BV693" s="216"/>
      <c r="BW693" s="216"/>
      <c r="BX693" s="216"/>
      <c r="BY693" s="216"/>
      <c r="BZ693" s="216"/>
      <c r="CA693" s="216"/>
      <c r="CB693" s="216"/>
      <c r="CC693" s="216"/>
      <c r="CD693" s="216"/>
      <c r="CE693" s="216"/>
      <c r="CF693" s="216"/>
      <c r="CG693" s="216"/>
      <c r="CH693" s="216"/>
      <c r="CI693" s="216"/>
      <c r="CJ693" s="216"/>
      <c r="CK693" s="216"/>
      <c r="CL693" s="216"/>
      <c r="CM693" s="216"/>
      <c r="CN693" s="216"/>
      <c r="CO693" s="216"/>
      <c r="CP693" s="216"/>
      <c r="CQ693" s="216"/>
      <c r="CR693" s="216"/>
      <c r="CS693" s="216"/>
      <c r="CT693" s="216"/>
      <c r="CU693" s="216"/>
      <c r="CV693" s="216"/>
      <c r="CW693" s="216"/>
      <c r="CX693" s="216"/>
      <c r="CY693" s="216"/>
    </row>
    <row r="694" spans="1:103" ht="12.75" x14ac:dyDescent="0.2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214"/>
      <c r="L694" s="214"/>
      <c r="M694" s="214"/>
      <c r="N694" s="215"/>
      <c r="O694" s="215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6"/>
      <c r="BF694" s="216"/>
      <c r="BG694" s="216"/>
      <c r="BH694" s="216"/>
      <c r="BI694" s="216"/>
      <c r="BJ694" s="216"/>
      <c r="BK694" s="216"/>
      <c r="BL694" s="216"/>
      <c r="BM694" s="216"/>
      <c r="BN694" s="216"/>
      <c r="BO694" s="216"/>
      <c r="BP694" s="216"/>
      <c r="BQ694" s="216"/>
      <c r="BR694" s="216"/>
      <c r="BS694" s="216"/>
      <c r="BT694" s="216"/>
      <c r="BU694" s="216"/>
      <c r="BV694" s="216"/>
      <c r="BW694" s="216"/>
      <c r="BX694" s="216"/>
      <c r="BY694" s="216"/>
      <c r="BZ694" s="216"/>
      <c r="CA694" s="216"/>
      <c r="CB694" s="216"/>
      <c r="CC694" s="216"/>
      <c r="CD694" s="216"/>
      <c r="CE694" s="216"/>
      <c r="CF694" s="216"/>
      <c r="CG694" s="216"/>
      <c r="CH694" s="216"/>
      <c r="CI694" s="216"/>
      <c r="CJ694" s="216"/>
      <c r="CK694" s="216"/>
      <c r="CL694" s="216"/>
      <c r="CM694" s="216"/>
      <c r="CN694" s="216"/>
      <c r="CO694" s="216"/>
      <c r="CP694" s="216"/>
      <c r="CQ694" s="216"/>
      <c r="CR694" s="216"/>
      <c r="CS694" s="216"/>
      <c r="CT694" s="216"/>
      <c r="CU694" s="216"/>
      <c r="CV694" s="216"/>
      <c r="CW694" s="216"/>
      <c r="CX694" s="216"/>
      <c r="CY694" s="216"/>
    </row>
    <row r="695" spans="1:103" ht="12.75" x14ac:dyDescent="0.2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214"/>
      <c r="L695" s="214"/>
      <c r="M695" s="214"/>
      <c r="N695" s="215"/>
      <c r="O695" s="215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216"/>
      <c r="AR695" s="216"/>
      <c r="AS695" s="216"/>
      <c r="AT695" s="216"/>
      <c r="AU695" s="216"/>
      <c r="AV695" s="216"/>
      <c r="AW695" s="216"/>
      <c r="AX695" s="216"/>
      <c r="AY695" s="216"/>
      <c r="AZ695" s="216"/>
      <c r="BA695" s="216"/>
      <c r="BB695" s="216"/>
      <c r="BC695" s="216"/>
      <c r="BD695" s="216"/>
      <c r="BE695" s="216"/>
      <c r="BF695" s="216"/>
      <c r="BG695" s="216"/>
      <c r="BH695" s="216"/>
      <c r="BI695" s="216"/>
      <c r="BJ695" s="216"/>
      <c r="BK695" s="216"/>
      <c r="BL695" s="216"/>
      <c r="BM695" s="216"/>
      <c r="BN695" s="216"/>
      <c r="BO695" s="216"/>
      <c r="BP695" s="216"/>
      <c r="BQ695" s="216"/>
      <c r="BR695" s="216"/>
      <c r="BS695" s="216"/>
      <c r="BT695" s="216"/>
      <c r="BU695" s="216"/>
      <c r="BV695" s="216"/>
      <c r="BW695" s="216"/>
      <c r="BX695" s="216"/>
      <c r="BY695" s="216"/>
      <c r="BZ695" s="216"/>
      <c r="CA695" s="216"/>
      <c r="CB695" s="216"/>
      <c r="CC695" s="216"/>
      <c r="CD695" s="216"/>
      <c r="CE695" s="216"/>
      <c r="CF695" s="216"/>
      <c r="CG695" s="216"/>
      <c r="CH695" s="216"/>
      <c r="CI695" s="216"/>
      <c r="CJ695" s="216"/>
      <c r="CK695" s="216"/>
      <c r="CL695" s="216"/>
      <c r="CM695" s="216"/>
      <c r="CN695" s="216"/>
      <c r="CO695" s="216"/>
      <c r="CP695" s="216"/>
      <c r="CQ695" s="216"/>
      <c r="CR695" s="216"/>
      <c r="CS695" s="216"/>
      <c r="CT695" s="216"/>
      <c r="CU695" s="216"/>
      <c r="CV695" s="216"/>
      <c r="CW695" s="216"/>
      <c r="CX695" s="216"/>
      <c r="CY695" s="216"/>
    </row>
    <row r="696" spans="1:103" ht="12.75" x14ac:dyDescent="0.2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214"/>
      <c r="L696" s="214"/>
      <c r="M696" s="214"/>
      <c r="N696" s="215"/>
      <c r="O696" s="215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216"/>
      <c r="AR696" s="216"/>
      <c r="AS696" s="216"/>
      <c r="AT696" s="216"/>
      <c r="AU696" s="216"/>
      <c r="AV696" s="216"/>
      <c r="AW696" s="216"/>
      <c r="AX696" s="216"/>
      <c r="AY696" s="216"/>
      <c r="AZ696" s="216"/>
      <c r="BA696" s="216"/>
      <c r="BB696" s="216"/>
      <c r="BC696" s="216"/>
      <c r="BD696" s="216"/>
      <c r="BE696" s="216"/>
      <c r="BF696" s="216"/>
      <c r="BG696" s="216"/>
      <c r="BH696" s="216"/>
      <c r="BI696" s="216"/>
      <c r="BJ696" s="216"/>
      <c r="BK696" s="216"/>
      <c r="BL696" s="216"/>
      <c r="BM696" s="216"/>
      <c r="BN696" s="216"/>
      <c r="BO696" s="216"/>
      <c r="BP696" s="216"/>
      <c r="BQ696" s="216"/>
      <c r="BR696" s="216"/>
      <c r="BS696" s="216"/>
      <c r="BT696" s="216"/>
      <c r="BU696" s="216"/>
      <c r="BV696" s="216"/>
      <c r="BW696" s="216"/>
      <c r="BX696" s="216"/>
      <c r="BY696" s="216"/>
      <c r="BZ696" s="216"/>
      <c r="CA696" s="216"/>
      <c r="CB696" s="216"/>
      <c r="CC696" s="216"/>
      <c r="CD696" s="216"/>
      <c r="CE696" s="216"/>
      <c r="CF696" s="216"/>
      <c r="CG696" s="216"/>
      <c r="CH696" s="216"/>
      <c r="CI696" s="216"/>
      <c r="CJ696" s="216"/>
      <c r="CK696" s="216"/>
      <c r="CL696" s="216"/>
      <c r="CM696" s="216"/>
      <c r="CN696" s="216"/>
      <c r="CO696" s="216"/>
      <c r="CP696" s="216"/>
      <c r="CQ696" s="216"/>
      <c r="CR696" s="216"/>
      <c r="CS696" s="216"/>
      <c r="CT696" s="216"/>
      <c r="CU696" s="216"/>
      <c r="CV696" s="216"/>
      <c r="CW696" s="216"/>
      <c r="CX696" s="216"/>
      <c r="CY696" s="216"/>
    </row>
    <row r="697" spans="1:103" ht="12.75" x14ac:dyDescent="0.2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214"/>
      <c r="L697" s="214"/>
      <c r="M697" s="214"/>
      <c r="N697" s="215"/>
      <c r="O697" s="215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16"/>
      <c r="AN697" s="216"/>
      <c r="AO697" s="216"/>
      <c r="AP697" s="216"/>
      <c r="AQ697" s="216"/>
      <c r="AR697" s="216"/>
      <c r="AS697" s="216"/>
      <c r="AT697" s="216"/>
      <c r="AU697" s="216"/>
      <c r="AV697" s="216"/>
      <c r="AW697" s="216"/>
      <c r="AX697" s="216"/>
      <c r="AY697" s="216"/>
      <c r="AZ697" s="216"/>
      <c r="BA697" s="216"/>
      <c r="BB697" s="216"/>
      <c r="BC697" s="216"/>
      <c r="BD697" s="216"/>
      <c r="BE697" s="216"/>
      <c r="BF697" s="216"/>
      <c r="BG697" s="216"/>
      <c r="BH697" s="216"/>
      <c r="BI697" s="216"/>
      <c r="BJ697" s="216"/>
      <c r="BK697" s="216"/>
      <c r="BL697" s="216"/>
      <c r="BM697" s="216"/>
      <c r="BN697" s="216"/>
      <c r="BO697" s="216"/>
      <c r="BP697" s="216"/>
      <c r="BQ697" s="216"/>
      <c r="BR697" s="216"/>
      <c r="BS697" s="216"/>
      <c r="BT697" s="216"/>
      <c r="BU697" s="216"/>
      <c r="BV697" s="216"/>
      <c r="BW697" s="216"/>
      <c r="BX697" s="216"/>
      <c r="BY697" s="216"/>
      <c r="BZ697" s="216"/>
      <c r="CA697" s="216"/>
      <c r="CB697" s="216"/>
      <c r="CC697" s="216"/>
      <c r="CD697" s="216"/>
      <c r="CE697" s="216"/>
      <c r="CF697" s="216"/>
      <c r="CG697" s="216"/>
      <c r="CH697" s="216"/>
      <c r="CI697" s="216"/>
      <c r="CJ697" s="216"/>
      <c r="CK697" s="216"/>
      <c r="CL697" s="216"/>
      <c r="CM697" s="216"/>
      <c r="CN697" s="216"/>
      <c r="CO697" s="216"/>
      <c r="CP697" s="216"/>
      <c r="CQ697" s="216"/>
      <c r="CR697" s="216"/>
      <c r="CS697" s="216"/>
      <c r="CT697" s="216"/>
      <c r="CU697" s="216"/>
      <c r="CV697" s="216"/>
      <c r="CW697" s="216"/>
      <c r="CX697" s="216"/>
      <c r="CY697" s="216"/>
    </row>
    <row r="698" spans="1:103" ht="12.75" x14ac:dyDescent="0.2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214"/>
      <c r="L698" s="214"/>
      <c r="M698" s="214"/>
      <c r="N698" s="215"/>
      <c r="O698" s="215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216"/>
      <c r="AR698" s="216"/>
      <c r="AS698" s="216"/>
      <c r="AT698" s="216"/>
      <c r="AU698" s="216"/>
      <c r="AV698" s="216"/>
      <c r="AW698" s="216"/>
      <c r="AX698" s="216"/>
      <c r="AY698" s="216"/>
      <c r="AZ698" s="216"/>
      <c r="BA698" s="216"/>
      <c r="BB698" s="216"/>
      <c r="BC698" s="216"/>
      <c r="BD698" s="216"/>
      <c r="BE698" s="216"/>
      <c r="BF698" s="216"/>
      <c r="BG698" s="216"/>
      <c r="BH698" s="216"/>
      <c r="BI698" s="216"/>
      <c r="BJ698" s="216"/>
      <c r="BK698" s="216"/>
      <c r="BL698" s="216"/>
      <c r="BM698" s="216"/>
      <c r="BN698" s="216"/>
      <c r="BO698" s="216"/>
      <c r="BP698" s="216"/>
      <c r="BQ698" s="216"/>
      <c r="BR698" s="216"/>
      <c r="BS698" s="216"/>
      <c r="BT698" s="216"/>
      <c r="BU698" s="216"/>
      <c r="BV698" s="216"/>
      <c r="BW698" s="216"/>
      <c r="BX698" s="216"/>
      <c r="BY698" s="216"/>
      <c r="BZ698" s="216"/>
      <c r="CA698" s="216"/>
      <c r="CB698" s="216"/>
      <c r="CC698" s="216"/>
      <c r="CD698" s="216"/>
      <c r="CE698" s="216"/>
      <c r="CF698" s="216"/>
      <c r="CG698" s="216"/>
      <c r="CH698" s="216"/>
      <c r="CI698" s="216"/>
      <c r="CJ698" s="216"/>
      <c r="CK698" s="216"/>
      <c r="CL698" s="216"/>
      <c r="CM698" s="216"/>
      <c r="CN698" s="216"/>
      <c r="CO698" s="216"/>
      <c r="CP698" s="216"/>
      <c r="CQ698" s="216"/>
      <c r="CR698" s="216"/>
      <c r="CS698" s="216"/>
      <c r="CT698" s="216"/>
      <c r="CU698" s="216"/>
      <c r="CV698" s="216"/>
      <c r="CW698" s="216"/>
      <c r="CX698" s="216"/>
      <c r="CY698" s="216"/>
    </row>
    <row r="699" spans="1:103" ht="12.75" x14ac:dyDescent="0.2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214"/>
      <c r="L699" s="214"/>
      <c r="M699" s="214"/>
      <c r="N699" s="215"/>
      <c r="O699" s="215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216"/>
      <c r="AR699" s="216"/>
      <c r="AS699" s="216"/>
      <c r="AT699" s="216"/>
      <c r="AU699" s="216"/>
      <c r="AV699" s="216"/>
      <c r="AW699" s="216"/>
      <c r="AX699" s="216"/>
      <c r="AY699" s="216"/>
      <c r="AZ699" s="216"/>
      <c r="BA699" s="216"/>
      <c r="BB699" s="216"/>
      <c r="BC699" s="216"/>
      <c r="BD699" s="216"/>
      <c r="BE699" s="216"/>
      <c r="BF699" s="216"/>
      <c r="BG699" s="216"/>
      <c r="BH699" s="216"/>
      <c r="BI699" s="216"/>
      <c r="BJ699" s="216"/>
      <c r="BK699" s="216"/>
      <c r="BL699" s="216"/>
      <c r="BM699" s="216"/>
      <c r="BN699" s="216"/>
      <c r="BO699" s="216"/>
      <c r="BP699" s="216"/>
      <c r="BQ699" s="216"/>
      <c r="BR699" s="216"/>
      <c r="BS699" s="216"/>
      <c r="BT699" s="216"/>
      <c r="BU699" s="216"/>
      <c r="BV699" s="216"/>
      <c r="BW699" s="216"/>
      <c r="BX699" s="216"/>
      <c r="BY699" s="216"/>
      <c r="BZ699" s="216"/>
      <c r="CA699" s="216"/>
      <c r="CB699" s="216"/>
      <c r="CC699" s="216"/>
      <c r="CD699" s="216"/>
      <c r="CE699" s="216"/>
      <c r="CF699" s="216"/>
      <c r="CG699" s="216"/>
      <c r="CH699" s="216"/>
      <c r="CI699" s="216"/>
      <c r="CJ699" s="216"/>
      <c r="CK699" s="216"/>
      <c r="CL699" s="216"/>
      <c r="CM699" s="216"/>
      <c r="CN699" s="216"/>
      <c r="CO699" s="216"/>
      <c r="CP699" s="216"/>
      <c r="CQ699" s="216"/>
      <c r="CR699" s="216"/>
      <c r="CS699" s="216"/>
      <c r="CT699" s="216"/>
      <c r="CU699" s="216"/>
      <c r="CV699" s="216"/>
      <c r="CW699" s="216"/>
      <c r="CX699" s="216"/>
      <c r="CY699" s="216"/>
    </row>
    <row r="700" spans="1:103" ht="12.75" x14ac:dyDescent="0.2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214"/>
      <c r="L700" s="214"/>
      <c r="M700" s="214"/>
      <c r="N700" s="215"/>
      <c r="O700" s="215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  <c r="BI700" s="216"/>
      <c r="BJ700" s="216"/>
      <c r="BK700" s="216"/>
      <c r="BL700" s="216"/>
      <c r="BM700" s="216"/>
      <c r="BN700" s="216"/>
      <c r="BO700" s="216"/>
      <c r="BP700" s="216"/>
      <c r="BQ700" s="216"/>
      <c r="BR700" s="216"/>
      <c r="BS700" s="216"/>
      <c r="BT700" s="216"/>
      <c r="BU700" s="216"/>
      <c r="BV700" s="216"/>
      <c r="BW700" s="216"/>
      <c r="BX700" s="216"/>
      <c r="BY700" s="216"/>
      <c r="BZ700" s="216"/>
      <c r="CA700" s="216"/>
      <c r="CB700" s="216"/>
      <c r="CC700" s="216"/>
      <c r="CD700" s="216"/>
      <c r="CE700" s="216"/>
      <c r="CF700" s="216"/>
      <c r="CG700" s="216"/>
      <c r="CH700" s="216"/>
      <c r="CI700" s="216"/>
      <c r="CJ700" s="216"/>
      <c r="CK700" s="216"/>
      <c r="CL700" s="216"/>
      <c r="CM700" s="216"/>
      <c r="CN700" s="216"/>
      <c r="CO700" s="216"/>
      <c r="CP700" s="216"/>
      <c r="CQ700" s="216"/>
      <c r="CR700" s="216"/>
      <c r="CS700" s="216"/>
      <c r="CT700" s="216"/>
      <c r="CU700" s="216"/>
      <c r="CV700" s="216"/>
      <c r="CW700" s="216"/>
      <c r="CX700" s="216"/>
      <c r="CY700" s="216"/>
    </row>
    <row r="701" spans="1:103" ht="12.75" x14ac:dyDescent="0.2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214"/>
      <c r="L701" s="214"/>
      <c r="M701" s="214"/>
      <c r="N701" s="215"/>
      <c r="O701" s="215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  <c r="BI701" s="216"/>
      <c r="BJ701" s="216"/>
      <c r="BK701" s="216"/>
      <c r="BL701" s="216"/>
      <c r="BM701" s="216"/>
      <c r="BN701" s="216"/>
      <c r="BO701" s="216"/>
      <c r="BP701" s="216"/>
      <c r="BQ701" s="216"/>
      <c r="BR701" s="216"/>
      <c r="BS701" s="216"/>
      <c r="BT701" s="216"/>
      <c r="BU701" s="216"/>
      <c r="BV701" s="216"/>
      <c r="BW701" s="216"/>
      <c r="BX701" s="216"/>
      <c r="BY701" s="216"/>
      <c r="BZ701" s="216"/>
      <c r="CA701" s="216"/>
      <c r="CB701" s="216"/>
      <c r="CC701" s="216"/>
      <c r="CD701" s="216"/>
      <c r="CE701" s="216"/>
      <c r="CF701" s="216"/>
      <c r="CG701" s="216"/>
      <c r="CH701" s="216"/>
      <c r="CI701" s="216"/>
      <c r="CJ701" s="216"/>
      <c r="CK701" s="216"/>
      <c r="CL701" s="216"/>
      <c r="CM701" s="216"/>
      <c r="CN701" s="216"/>
      <c r="CO701" s="216"/>
      <c r="CP701" s="216"/>
      <c r="CQ701" s="216"/>
      <c r="CR701" s="216"/>
      <c r="CS701" s="216"/>
      <c r="CT701" s="216"/>
      <c r="CU701" s="216"/>
      <c r="CV701" s="216"/>
      <c r="CW701" s="216"/>
      <c r="CX701" s="216"/>
      <c r="CY701" s="216"/>
    </row>
    <row r="702" spans="1:103" ht="12.75" x14ac:dyDescent="0.2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214"/>
      <c r="L702" s="214"/>
      <c r="M702" s="214"/>
      <c r="N702" s="215"/>
      <c r="O702" s="215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6"/>
      <c r="BN702" s="216"/>
      <c r="BO702" s="216"/>
      <c r="BP702" s="216"/>
      <c r="BQ702" s="216"/>
      <c r="BR702" s="216"/>
      <c r="BS702" s="216"/>
      <c r="BT702" s="216"/>
      <c r="BU702" s="216"/>
      <c r="BV702" s="216"/>
      <c r="BW702" s="216"/>
      <c r="BX702" s="216"/>
      <c r="BY702" s="216"/>
      <c r="BZ702" s="216"/>
      <c r="CA702" s="216"/>
      <c r="CB702" s="216"/>
      <c r="CC702" s="216"/>
      <c r="CD702" s="216"/>
      <c r="CE702" s="216"/>
      <c r="CF702" s="216"/>
      <c r="CG702" s="216"/>
      <c r="CH702" s="216"/>
      <c r="CI702" s="216"/>
      <c r="CJ702" s="216"/>
      <c r="CK702" s="216"/>
      <c r="CL702" s="216"/>
      <c r="CM702" s="216"/>
      <c r="CN702" s="216"/>
      <c r="CO702" s="216"/>
      <c r="CP702" s="216"/>
      <c r="CQ702" s="216"/>
      <c r="CR702" s="216"/>
      <c r="CS702" s="216"/>
      <c r="CT702" s="216"/>
      <c r="CU702" s="216"/>
      <c r="CV702" s="216"/>
      <c r="CW702" s="216"/>
      <c r="CX702" s="216"/>
      <c r="CY702" s="216"/>
    </row>
    <row r="703" spans="1:103" ht="12.75" x14ac:dyDescent="0.2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214"/>
      <c r="L703" s="214"/>
      <c r="M703" s="214"/>
      <c r="N703" s="215"/>
      <c r="O703" s="215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16"/>
      <c r="BN703" s="216"/>
      <c r="BO703" s="216"/>
      <c r="BP703" s="216"/>
      <c r="BQ703" s="216"/>
      <c r="BR703" s="216"/>
      <c r="BS703" s="216"/>
      <c r="BT703" s="216"/>
      <c r="BU703" s="216"/>
      <c r="BV703" s="216"/>
      <c r="BW703" s="216"/>
      <c r="BX703" s="216"/>
      <c r="BY703" s="216"/>
      <c r="BZ703" s="216"/>
      <c r="CA703" s="216"/>
      <c r="CB703" s="216"/>
      <c r="CC703" s="216"/>
      <c r="CD703" s="216"/>
      <c r="CE703" s="216"/>
      <c r="CF703" s="216"/>
      <c r="CG703" s="216"/>
      <c r="CH703" s="216"/>
      <c r="CI703" s="216"/>
      <c r="CJ703" s="216"/>
      <c r="CK703" s="216"/>
      <c r="CL703" s="216"/>
      <c r="CM703" s="216"/>
      <c r="CN703" s="216"/>
      <c r="CO703" s="216"/>
      <c r="CP703" s="216"/>
      <c r="CQ703" s="216"/>
      <c r="CR703" s="216"/>
      <c r="CS703" s="216"/>
      <c r="CT703" s="216"/>
      <c r="CU703" s="216"/>
      <c r="CV703" s="216"/>
      <c r="CW703" s="216"/>
      <c r="CX703" s="216"/>
      <c r="CY703" s="216"/>
    </row>
    <row r="704" spans="1:103" ht="12.75" x14ac:dyDescent="0.2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214"/>
      <c r="L704" s="214"/>
      <c r="M704" s="214"/>
      <c r="N704" s="215"/>
      <c r="O704" s="215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6"/>
      <c r="BN704" s="216"/>
      <c r="BO704" s="216"/>
      <c r="BP704" s="216"/>
      <c r="BQ704" s="216"/>
      <c r="BR704" s="216"/>
      <c r="BS704" s="216"/>
      <c r="BT704" s="216"/>
      <c r="BU704" s="216"/>
      <c r="BV704" s="216"/>
      <c r="BW704" s="216"/>
      <c r="BX704" s="216"/>
      <c r="BY704" s="216"/>
      <c r="BZ704" s="216"/>
      <c r="CA704" s="216"/>
      <c r="CB704" s="216"/>
      <c r="CC704" s="216"/>
      <c r="CD704" s="216"/>
      <c r="CE704" s="216"/>
      <c r="CF704" s="216"/>
      <c r="CG704" s="216"/>
      <c r="CH704" s="216"/>
      <c r="CI704" s="216"/>
      <c r="CJ704" s="216"/>
      <c r="CK704" s="216"/>
      <c r="CL704" s="216"/>
      <c r="CM704" s="216"/>
      <c r="CN704" s="216"/>
      <c r="CO704" s="216"/>
      <c r="CP704" s="216"/>
      <c r="CQ704" s="216"/>
      <c r="CR704" s="216"/>
      <c r="CS704" s="216"/>
      <c r="CT704" s="216"/>
      <c r="CU704" s="216"/>
      <c r="CV704" s="216"/>
      <c r="CW704" s="216"/>
      <c r="CX704" s="216"/>
      <c r="CY704" s="216"/>
    </row>
    <row r="705" spans="1:103" ht="12.75" x14ac:dyDescent="0.2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214"/>
      <c r="L705" s="214"/>
      <c r="M705" s="214"/>
      <c r="N705" s="215"/>
      <c r="O705" s="215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16"/>
      <c r="BN705" s="216"/>
      <c r="BO705" s="216"/>
      <c r="BP705" s="216"/>
      <c r="BQ705" s="216"/>
      <c r="BR705" s="216"/>
      <c r="BS705" s="216"/>
      <c r="BT705" s="216"/>
      <c r="BU705" s="216"/>
      <c r="BV705" s="216"/>
      <c r="BW705" s="216"/>
      <c r="BX705" s="216"/>
      <c r="BY705" s="216"/>
      <c r="BZ705" s="216"/>
      <c r="CA705" s="216"/>
      <c r="CB705" s="216"/>
      <c r="CC705" s="216"/>
      <c r="CD705" s="216"/>
      <c r="CE705" s="216"/>
      <c r="CF705" s="216"/>
      <c r="CG705" s="216"/>
      <c r="CH705" s="216"/>
      <c r="CI705" s="216"/>
      <c r="CJ705" s="216"/>
      <c r="CK705" s="216"/>
      <c r="CL705" s="216"/>
      <c r="CM705" s="216"/>
      <c r="CN705" s="216"/>
      <c r="CO705" s="216"/>
      <c r="CP705" s="216"/>
      <c r="CQ705" s="216"/>
      <c r="CR705" s="216"/>
      <c r="CS705" s="216"/>
      <c r="CT705" s="216"/>
      <c r="CU705" s="216"/>
      <c r="CV705" s="216"/>
      <c r="CW705" s="216"/>
      <c r="CX705" s="216"/>
      <c r="CY705" s="216"/>
    </row>
    <row r="706" spans="1:103" ht="12.75" x14ac:dyDescent="0.2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214"/>
      <c r="L706" s="214"/>
      <c r="M706" s="214"/>
      <c r="N706" s="215"/>
      <c r="O706" s="215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6"/>
      <c r="BN706" s="216"/>
      <c r="BO706" s="216"/>
      <c r="BP706" s="216"/>
      <c r="BQ706" s="216"/>
      <c r="BR706" s="216"/>
      <c r="BS706" s="216"/>
      <c r="BT706" s="216"/>
      <c r="BU706" s="216"/>
      <c r="BV706" s="216"/>
      <c r="BW706" s="216"/>
      <c r="BX706" s="216"/>
      <c r="BY706" s="216"/>
      <c r="BZ706" s="216"/>
      <c r="CA706" s="216"/>
      <c r="CB706" s="216"/>
      <c r="CC706" s="216"/>
      <c r="CD706" s="216"/>
      <c r="CE706" s="216"/>
      <c r="CF706" s="216"/>
      <c r="CG706" s="216"/>
      <c r="CH706" s="216"/>
      <c r="CI706" s="216"/>
      <c r="CJ706" s="216"/>
      <c r="CK706" s="216"/>
      <c r="CL706" s="216"/>
      <c r="CM706" s="216"/>
      <c r="CN706" s="216"/>
      <c r="CO706" s="216"/>
      <c r="CP706" s="216"/>
      <c r="CQ706" s="216"/>
      <c r="CR706" s="216"/>
      <c r="CS706" s="216"/>
      <c r="CT706" s="216"/>
      <c r="CU706" s="216"/>
      <c r="CV706" s="216"/>
      <c r="CW706" s="216"/>
      <c r="CX706" s="216"/>
      <c r="CY706" s="216"/>
    </row>
    <row r="707" spans="1:103" ht="12.75" x14ac:dyDescent="0.2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214"/>
      <c r="L707" s="214"/>
      <c r="M707" s="214"/>
      <c r="N707" s="215"/>
      <c r="O707" s="215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6"/>
      <c r="BN707" s="216"/>
      <c r="BO707" s="216"/>
      <c r="BP707" s="216"/>
      <c r="BQ707" s="216"/>
      <c r="BR707" s="216"/>
      <c r="BS707" s="216"/>
      <c r="BT707" s="216"/>
      <c r="BU707" s="216"/>
      <c r="BV707" s="216"/>
      <c r="BW707" s="216"/>
      <c r="BX707" s="216"/>
      <c r="BY707" s="216"/>
      <c r="BZ707" s="216"/>
      <c r="CA707" s="216"/>
      <c r="CB707" s="216"/>
      <c r="CC707" s="216"/>
      <c r="CD707" s="216"/>
      <c r="CE707" s="216"/>
      <c r="CF707" s="216"/>
      <c r="CG707" s="216"/>
      <c r="CH707" s="216"/>
      <c r="CI707" s="216"/>
      <c r="CJ707" s="216"/>
      <c r="CK707" s="216"/>
      <c r="CL707" s="216"/>
      <c r="CM707" s="216"/>
      <c r="CN707" s="216"/>
      <c r="CO707" s="216"/>
      <c r="CP707" s="216"/>
      <c r="CQ707" s="216"/>
      <c r="CR707" s="216"/>
      <c r="CS707" s="216"/>
      <c r="CT707" s="216"/>
      <c r="CU707" s="216"/>
      <c r="CV707" s="216"/>
      <c r="CW707" s="216"/>
      <c r="CX707" s="216"/>
      <c r="CY707" s="216"/>
    </row>
    <row r="708" spans="1:103" ht="12.75" x14ac:dyDescent="0.2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214"/>
      <c r="L708" s="214"/>
      <c r="M708" s="214"/>
      <c r="N708" s="215"/>
      <c r="O708" s="215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16"/>
      <c r="BN708" s="216"/>
      <c r="BO708" s="216"/>
      <c r="BP708" s="216"/>
      <c r="BQ708" s="216"/>
      <c r="BR708" s="216"/>
      <c r="BS708" s="216"/>
      <c r="BT708" s="216"/>
      <c r="BU708" s="216"/>
      <c r="BV708" s="216"/>
      <c r="BW708" s="216"/>
      <c r="BX708" s="216"/>
      <c r="BY708" s="216"/>
      <c r="BZ708" s="216"/>
      <c r="CA708" s="216"/>
      <c r="CB708" s="216"/>
      <c r="CC708" s="216"/>
      <c r="CD708" s="216"/>
      <c r="CE708" s="216"/>
      <c r="CF708" s="216"/>
      <c r="CG708" s="216"/>
      <c r="CH708" s="216"/>
      <c r="CI708" s="216"/>
      <c r="CJ708" s="216"/>
      <c r="CK708" s="216"/>
      <c r="CL708" s="216"/>
      <c r="CM708" s="216"/>
      <c r="CN708" s="216"/>
      <c r="CO708" s="216"/>
      <c r="CP708" s="216"/>
      <c r="CQ708" s="216"/>
      <c r="CR708" s="216"/>
      <c r="CS708" s="216"/>
      <c r="CT708" s="216"/>
      <c r="CU708" s="216"/>
      <c r="CV708" s="216"/>
      <c r="CW708" s="216"/>
      <c r="CX708" s="216"/>
      <c r="CY708" s="216"/>
    </row>
    <row r="709" spans="1:103" ht="12.75" x14ac:dyDescent="0.2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214"/>
      <c r="L709" s="214"/>
      <c r="M709" s="214"/>
      <c r="N709" s="215"/>
      <c r="O709" s="215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16"/>
      <c r="BN709" s="216"/>
      <c r="BO709" s="216"/>
      <c r="BP709" s="216"/>
      <c r="BQ709" s="216"/>
      <c r="BR709" s="216"/>
      <c r="BS709" s="216"/>
      <c r="BT709" s="216"/>
      <c r="BU709" s="216"/>
      <c r="BV709" s="216"/>
      <c r="BW709" s="216"/>
      <c r="BX709" s="216"/>
      <c r="BY709" s="216"/>
      <c r="BZ709" s="216"/>
      <c r="CA709" s="216"/>
      <c r="CB709" s="216"/>
      <c r="CC709" s="216"/>
      <c r="CD709" s="216"/>
      <c r="CE709" s="216"/>
      <c r="CF709" s="216"/>
      <c r="CG709" s="216"/>
      <c r="CH709" s="216"/>
      <c r="CI709" s="216"/>
      <c r="CJ709" s="216"/>
      <c r="CK709" s="216"/>
      <c r="CL709" s="216"/>
      <c r="CM709" s="216"/>
      <c r="CN709" s="216"/>
      <c r="CO709" s="216"/>
      <c r="CP709" s="216"/>
      <c r="CQ709" s="216"/>
      <c r="CR709" s="216"/>
      <c r="CS709" s="216"/>
      <c r="CT709" s="216"/>
      <c r="CU709" s="216"/>
      <c r="CV709" s="216"/>
      <c r="CW709" s="216"/>
      <c r="CX709" s="216"/>
      <c r="CY709" s="216"/>
    </row>
    <row r="710" spans="1:103" ht="12.75" x14ac:dyDescent="0.2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214"/>
      <c r="L710" s="214"/>
      <c r="M710" s="214"/>
      <c r="N710" s="215"/>
      <c r="O710" s="215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16"/>
      <c r="BN710" s="216"/>
      <c r="BO710" s="216"/>
      <c r="BP710" s="216"/>
      <c r="BQ710" s="216"/>
      <c r="BR710" s="216"/>
      <c r="BS710" s="216"/>
      <c r="BT710" s="216"/>
      <c r="BU710" s="216"/>
      <c r="BV710" s="216"/>
      <c r="BW710" s="216"/>
      <c r="BX710" s="216"/>
      <c r="BY710" s="216"/>
      <c r="BZ710" s="216"/>
      <c r="CA710" s="216"/>
      <c r="CB710" s="216"/>
      <c r="CC710" s="216"/>
      <c r="CD710" s="216"/>
      <c r="CE710" s="216"/>
      <c r="CF710" s="216"/>
      <c r="CG710" s="216"/>
      <c r="CH710" s="216"/>
      <c r="CI710" s="216"/>
      <c r="CJ710" s="216"/>
      <c r="CK710" s="216"/>
      <c r="CL710" s="216"/>
      <c r="CM710" s="216"/>
      <c r="CN710" s="216"/>
      <c r="CO710" s="216"/>
      <c r="CP710" s="216"/>
      <c r="CQ710" s="216"/>
      <c r="CR710" s="216"/>
      <c r="CS710" s="216"/>
      <c r="CT710" s="216"/>
      <c r="CU710" s="216"/>
      <c r="CV710" s="216"/>
      <c r="CW710" s="216"/>
      <c r="CX710" s="216"/>
      <c r="CY710" s="216"/>
    </row>
    <row r="711" spans="1:103" ht="12.75" x14ac:dyDescent="0.2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214"/>
      <c r="L711" s="214"/>
      <c r="M711" s="214"/>
      <c r="N711" s="215"/>
      <c r="O711" s="215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216"/>
      <c r="AR711" s="216"/>
      <c r="AS711" s="216"/>
      <c r="AT711" s="216"/>
      <c r="AU711" s="216"/>
      <c r="AV711" s="216"/>
      <c r="AW711" s="216"/>
      <c r="AX711" s="216"/>
      <c r="AY711" s="216"/>
      <c r="AZ711" s="216"/>
      <c r="BA711" s="216"/>
      <c r="BB711" s="216"/>
      <c r="BC711" s="216"/>
      <c r="BD711" s="216"/>
      <c r="BE711" s="216"/>
      <c r="BF711" s="216"/>
      <c r="BG711" s="216"/>
      <c r="BH711" s="216"/>
      <c r="BI711" s="216"/>
      <c r="BJ711" s="216"/>
      <c r="BK711" s="216"/>
      <c r="BL711" s="216"/>
      <c r="BM711" s="216"/>
      <c r="BN711" s="216"/>
      <c r="BO711" s="216"/>
      <c r="BP711" s="216"/>
      <c r="BQ711" s="216"/>
      <c r="BR711" s="216"/>
      <c r="BS711" s="216"/>
      <c r="BT711" s="216"/>
      <c r="BU711" s="216"/>
      <c r="BV711" s="216"/>
      <c r="BW711" s="216"/>
      <c r="BX711" s="216"/>
      <c r="BY711" s="216"/>
      <c r="BZ711" s="216"/>
      <c r="CA711" s="216"/>
      <c r="CB711" s="216"/>
      <c r="CC711" s="216"/>
      <c r="CD711" s="216"/>
      <c r="CE711" s="216"/>
      <c r="CF711" s="216"/>
      <c r="CG711" s="216"/>
      <c r="CH711" s="216"/>
      <c r="CI711" s="216"/>
      <c r="CJ711" s="216"/>
      <c r="CK711" s="216"/>
      <c r="CL711" s="216"/>
      <c r="CM711" s="216"/>
      <c r="CN711" s="216"/>
      <c r="CO711" s="216"/>
      <c r="CP711" s="216"/>
      <c r="CQ711" s="216"/>
      <c r="CR711" s="216"/>
      <c r="CS711" s="216"/>
      <c r="CT711" s="216"/>
      <c r="CU711" s="216"/>
      <c r="CV711" s="216"/>
      <c r="CW711" s="216"/>
      <c r="CX711" s="216"/>
      <c r="CY711" s="216"/>
    </row>
    <row r="712" spans="1:103" ht="12.75" x14ac:dyDescent="0.2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214"/>
      <c r="L712" s="214"/>
      <c r="M712" s="214"/>
      <c r="N712" s="215"/>
      <c r="O712" s="215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16"/>
      <c r="AN712" s="216"/>
      <c r="AO712" s="216"/>
      <c r="AP712" s="216"/>
      <c r="AQ712" s="216"/>
      <c r="AR712" s="216"/>
      <c r="AS712" s="216"/>
      <c r="AT712" s="216"/>
      <c r="AU712" s="216"/>
      <c r="AV712" s="216"/>
      <c r="AW712" s="216"/>
      <c r="AX712" s="216"/>
      <c r="AY712" s="216"/>
      <c r="AZ712" s="216"/>
      <c r="BA712" s="216"/>
      <c r="BB712" s="216"/>
      <c r="BC712" s="216"/>
      <c r="BD712" s="216"/>
      <c r="BE712" s="216"/>
      <c r="BF712" s="216"/>
      <c r="BG712" s="216"/>
      <c r="BH712" s="216"/>
      <c r="BI712" s="216"/>
      <c r="BJ712" s="216"/>
      <c r="BK712" s="216"/>
      <c r="BL712" s="216"/>
      <c r="BM712" s="216"/>
      <c r="BN712" s="216"/>
      <c r="BO712" s="216"/>
      <c r="BP712" s="216"/>
      <c r="BQ712" s="216"/>
      <c r="BR712" s="216"/>
      <c r="BS712" s="216"/>
      <c r="BT712" s="216"/>
      <c r="BU712" s="216"/>
      <c r="BV712" s="216"/>
      <c r="BW712" s="216"/>
      <c r="BX712" s="216"/>
      <c r="BY712" s="216"/>
      <c r="BZ712" s="216"/>
      <c r="CA712" s="216"/>
      <c r="CB712" s="216"/>
      <c r="CC712" s="216"/>
      <c r="CD712" s="216"/>
      <c r="CE712" s="216"/>
      <c r="CF712" s="216"/>
      <c r="CG712" s="216"/>
      <c r="CH712" s="216"/>
      <c r="CI712" s="216"/>
      <c r="CJ712" s="216"/>
      <c r="CK712" s="216"/>
      <c r="CL712" s="216"/>
      <c r="CM712" s="216"/>
      <c r="CN712" s="216"/>
      <c r="CO712" s="216"/>
      <c r="CP712" s="216"/>
      <c r="CQ712" s="216"/>
      <c r="CR712" s="216"/>
      <c r="CS712" s="216"/>
      <c r="CT712" s="216"/>
      <c r="CU712" s="216"/>
      <c r="CV712" s="216"/>
      <c r="CW712" s="216"/>
      <c r="CX712" s="216"/>
      <c r="CY712" s="216"/>
    </row>
    <row r="713" spans="1:103" ht="12.75" x14ac:dyDescent="0.2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214"/>
      <c r="L713" s="214"/>
      <c r="M713" s="214"/>
      <c r="N713" s="215"/>
      <c r="O713" s="215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  <c r="AM713" s="216"/>
      <c r="AN713" s="216"/>
      <c r="AO713" s="216"/>
      <c r="AP713" s="216"/>
      <c r="AQ713" s="216"/>
      <c r="AR713" s="216"/>
      <c r="AS713" s="216"/>
      <c r="AT713" s="216"/>
      <c r="AU713" s="216"/>
      <c r="AV713" s="216"/>
      <c r="AW713" s="216"/>
      <c r="AX713" s="216"/>
      <c r="AY713" s="216"/>
      <c r="AZ713" s="216"/>
      <c r="BA713" s="216"/>
      <c r="BB713" s="216"/>
      <c r="BC713" s="216"/>
      <c r="BD713" s="216"/>
      <c r="BE713" s="216"/>
      <c r="BF713" s="216"/>
      <c r="BG713" s="216"/>
      <c r="BH713" s="216"/>
      <c r="BI713" s="216"/>
      <c r="BJ713" s="216"/>
      <c r="BK713" s="216"/>
      <c r="BL713" s="216"/>
      <c r="BM713" s="216"/>
      <c r="BN713" s="216"/>
      <c r="BO713" s="216"/>
      <c r="BP713" s="216"/>
      <c r="BQ713" s="216"/>
      <c r="BR713" s="216"/>
      <c r="BS713" s="216"/>
      <c r="BT713" s="216"/>
      <c r="BU713" s="216"/>
      <c r="BV713" s="216"/>
      <c r="BW713" s="216"/>
      <c r="BX713" s="216"/>
      <c r="BY713" s="216"/>
      <c r="BZ713" s="216"/>
      <c r="CA713" s="216"/>
      <c r="CB713" s="216"/>
      <c r="CC713" s="216"/>
      <c r="CD713" s="216"/>
      <c r="CE713" s="216"/>
      <c r="CF713" s="216"/>
      <c r="CG713" s="216"/>
      <c r="CH713" s="216"/>
      <c r="CI713" s="216"/>
      <c r="CJ713" s="216"/>
      <c r="CK713" s="216"/>
      <c r="CL713" s="216"/>
      <c r="CM713" s="216"/>
      <c r="CN713" s="216"/>
      <c r="CO713" s="216"/>
      <c r="CP713" s="216"/>
      <c r="CQ713" s="216"/>
      <c r="CR713" s="216"/>
      <c r="CS713" s="216"/>
      <c r="CT713" s="216"/>
      <c r="CU713" s="216"/>
      <c r="CV713" s="216"/>
      <c r="CW713" s="216"/>
      <c r="CX713" s="216"/>
      <c r="CY713" s="216"/>
    </row>
    <row r="714" spans="1:103" ht="12.75" x14ac:dyDescent="0.2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214"/>
      <c r="L714" s="214"/>
      <c r="M714" s="214"/>
      <c r="N714" s="215"/>
      <c r="O714" s="215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  <c r="AM714" s="216"/>
      <c r="AN714" s="216"/>
      <c r="AO714" s="216"/>
      <c r="AP714" s="216"/>
      <c r="AQ714" s="216"/>
      <c r="AR714" s="216"/>
      <c r="AS714" s="216"/>
      <c r="AT714" s="216"/>
      <c r="AU714" s="216"/>
      <c r="AV714" s="216"/>
      <c r="AW714" s="216"/>
      <c r="AX714" s="216"/>
      <c r="AY714" s="216"/>
      <c r="AZ714" s="216"/>
      <c r="BA714" s="216"/>
      <c r="BB714" s="216"/>
      <c r="BC714" s="216"/>
      <c r="BD714" s="216"/>
      <c r="BE714" s="216"/>
      <c r="BF714" s="216"/>
      <c r="BG714" s="216"/>
      <c r="BH714" s="216"/>
      <c r="BI714" s="216"/>
      <c r="BJ714" s="216"/>
      <c r="BK714" s="216"/>
      <c r="BL714" s="216"/>
      <c r="BM714" s="216"/>
      <c r="BN714" s="216"/>
      <c r="BO714" s="216"/>
      <c r="BP714" s="216"/>
      <c r="BQ714" s="216"/>
      <c r="BR714" s="216"/>
      <c r="BS714" s="216"/>
      <c r="BT714" s="216"/>
      <c r="BU714" s="216"/>
      <c r="BV714" s="216"/>
      <c r="BW714" s="216"/>
      <c r="BX714" s="216"/>
      <c r="BY714" s="216"/>
      <c r="BZ714" s="216"/>
      <c r="CA714" s="216"/>
      <c r="CB714" s="216"/>
      <c r="CC714" s="216"/>
      <c r="CD714" s="216"/>
      <c r="CE714" s="216"/>
      <c r="CF714" s="216"/>
      <c r="CG714" s="216"/>
      <c r="CH714" s="216"/>
      <c r="CI714" s="216"/>
      <c r="CJ714" s="216"/>
      <c r="CK714" s="216"/>
      <c r="CL714" s="216"/>
      <c r="CM714" s="216"/>
      <c r="CN714" s="216"/>
      <c r="CO714" s="216"/>
      <c r="CP714" s="216"/>
      <c r="CQ714" s="216"/>
      <c r="CR714" s="216"/>
      <c r="CS714" s="216"/>
      <c r="CT714" s="216"/>
      <c r="CU714" s="216"/>
      <c r="CV714" s="216"/>
      <c r="CW714" s="216"/>
      <c r="CX714" s="216"/>
      <c r="CY714" s="216"/>
    </row>
    <row r="715" spans="1:103" ht="12.75" x14ac:dyDescent="0.2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214"/>
      <c r="L715" s="214"/>
      <c r="M715" s="214"/>
      <c r="N715" s="215"/>
      <c r="O715" s="215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  <c r="AM715" s="216"/>
      <c r="AN715" s="216"/>
      <c r="AO715" s="216"/>
      <c r="AP715" s="216"/>
      <c r="AQ715" s="216"/>
      <c r="AR715" s="216"/>
      <c r="AS715" s="216"/>
      <c r="AT715" s="216"/>
      <c r="AU715" s="216"/>
      <c r="AV715" s="216"/>
      <c r="AW715" s="216"/>
      <c r="AX715" s="216"/>
      <c r="AY715" s="216"/>
      <c r="AZ715" s="216"/>
      <c r="BA715" s="216"/>
      <c r="BB715" s="216"/>
      <c r="BC715" s="216"/>
      <c r="BD715" s="216"/>
      <c r="BE715" s="216"/>
      <c r="BF715" s="216"/>
      <c r="BG715" s="216"/>
      <c r="BH715" s="216"/>
      <c r="BI715" s="216"/>
      <c r="BJ715" s="216"/>
      <c r="BK715" s="216"/>
      <c r="BL715" s="216"/>
      <c r="BM715" s="216"/>
      <c r="BN715" s="216"/>
      <c r="BO715" s="216"/>
      <c r="BP715" s="216"/>
      <c r="BQ715" s="216"/>
      <c r="BR715" s="216"/>
      <c r="BS715" s="216"/>
      <c r="BT715" s="216"/>
      <c r="BU715" s="216"/>
      <c r="BV715" s="216"/>
      <c r="BW715" s="216"/>
      <c r="BX715" s="216"/>
      <c r="BY715" s="216"/>
      <c r="BZ715" s="216"/>
      <c r="CA715" s="216"/>
      <c r="CB715" s="216"/>
      <c r="CC715" s="216"/>
      <c r="CD715" s="216"/>
      <c r="CE715" s="216"/>
      <c r="CF715" s="216"/>
      <c r="CG715" s="216"/>
      <c r="CH715" s="216"/>
      <c r="CI715" s="216"/>
      <c r="CJ715" s="216"/>
      <c r="CK715" s="216"/>
      <c r="CL715" s="216"/>
      <c r="CM715" s="216"/>
      <c r="CN715" s="216"/>
      <c r="CO715" s="216"/>
      <c r="CP715" s="216"/>
      <c r="CQ715" s="216"/>
      <c r="CR715" s="216"/>
      <c r="CS715" s="216"/>
      <c r="CT715" s="216"/>
      <c r="CU715" s="216"/>
      <c r="CV715" s="216"/>
      <c r="CW715" s="216"/>
      <c r="CX715" s="216"/>
      <c r="CY715" s="216"/>
    </row>
    <row r="716" spans="1:103" ht="12.75" x14ac:dyDescent="0.2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214"/>
      <c r="L716" s="214"/>
      <c r="M716" s="214"/>
      <c r="N716" s="215"/>
      <c r="O716" s="215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  <c r="AM716" s="216"/>
      <c r="AN716" s="216"/>
      <c r="AO716" s="216"/>
      <c r="AP716" s="216"/>
      <c r="AQ716" s="216"/>
      <c r="AR716" s="216"/>
      <c r="AS716" s="216"/>
      <c r="AT716" s="216"/>
      <c r="AU716" s="216"/>
      <c r="AV716" s="216"/>
      <c r="AW716" s="216"/>
      <c r="AX716" s="216"/>
      <c r="AY716" s="216"/>
      <c r="AZ716" s="216"/>
      <c r="BA716" s="216"/>
      <c r="BB716" s="216"/>
      <c r="BC716" s="216"/>
      <c r="BD716" s="216"/>
      <c r="BE716" s="216"/>
      <c r="BF716" s="216"/>
      <c r="BG716" s="216"/>
      <c r="BH716" s="216"/>
      <c r="BI716" s="216"/>
      <c r="BJ716" s="216"/>
      <c r="BK716" s="216"/>
      <c r="BL716" s="216"/>
      <c r="BM716" s="216"/>
      <c r="BN716" s="216"/>
      <c r="BO716" s="216"/>
      <c r="BP716" s="216"/>
      <c r="BQ716" s="216"/>
      <c r="BR716" s="216"/>
      <c r="BS716" s="216"/>
      <c r="BT716" s="216"/>
      <c r="BU716" s="216"/>
      <c r="BV716" s="216"/>
      <c r="BW716" s="216"/>
      <c r="BX716" s="216"/>
      <c r="BY716" s="216"/>
      <c r="BZ716" s="216"/>
      <c r="CA716" s="216"/>
      <c r="CB716" s="216"/>
      <c r="CC716" s="216"/>
      <c r="CD716" s="216"/>
      <c r="CE716" s="216"/>
      <c r="CF716" s="216"/>
      <c r="CG716" s="216"/>
      <c r="CH716" s="216"/>
      <c r="CI716" s="216"/>
      <c r="CJ716" s="216"/>
      <c r="CK716" s="216"/>
      <c r="CL716" s="216"/>
      <c r="CM716" s="216"/>
      <c r="CN716" s="216"/>
      <c r="CO716" s="216"/>
      <c r="CP716" s="216"/>
      <c r="CQ716" s="216"/>
      <c r="CR716" s="216"/>
      <c r="CS716" s="216"/>
      <c r="CT716" s="216"/>
      <c r="CU716" s="216"/>
      <c r="CV716" s="216"/>
      <c r="CW716" s="216"/>
      <c r="CX716" s="216"/>
      <c r="CY716" s="216"/>
    </row>
    <row r="717" spans="1:103" ht="12.75" x14ac:dyDescent="0.2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214"/>
      <c r="L717" s="214"/>
      <c r="M717" s="214"/>
      <c r="N717" s="215"/>
      <c r="O717" s="215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16"/>
      <c r="AN717" s="216"/>
      <c r="AO717" s="216"/>
      <c r="AP717" s="216"/>
      <c r="AQ717" s="216"/>
      <c r="AR717" s="216"/>
      <c r="AS717" s="216"/>
      <c r="AT717" s="216"/>
      <c r="AU717" s="216"/>
      <c r="AV717" s="216"/>
      <c r="AW717" s="216"/>
      <c r="AX717" s="216"/>
      <c r="AY717" s="216"/>
      <c r="AZ717" s="216"/>
      <c r="BA717" s="216"/>
      <c r="BB717" s="216"/>
      <c r="BC717" s="216"/>
      <c r="BD717" s="216"/>
      <c r="BE717" s="216"/>
      <c r="BF717" s="216"/>
      <c r="BG717" s="216"/>
      <c r="BH717" s="216"/>
      <c r="BI717" s="216"/>
      <c r="BJ717" s="216"/>
      <c r="BK717" s="216"/>
      <c r="BL717" s="216"/>
      <c r="BM717" s="216"/>
      <c r="BN717" s="216"/>
      <c r="BO717" s="216"/>
      <c r="BP717" s="216"/>
      <c r="BQ717" s="216"/>
      <c r="BR717" s="216"/>
      <c r="BS717" s="216"/>
      <c r="BT717" s="216"/>
      <c r="BU717" s="216"/>
      <c r="BV717" s="216"/>
      <c r="BW717" s="216"/>
      <c r="BX717" s="216"/>
      <c r="BY717" s="216"/>
      <c r="BZ717" s="216"/>
      <c r="CA717" s="216"/>
      <c r="CB717" s="216"/>
      <c r="CC717" s="216"/>
      <c r="CD717" s="216"/>
      <c r="CE717" s="216"/>
      <c r="CF717" s="216"/>
      <c r="CG717" s="216"/>
      <c r="CH717" s="216"/>
      <c r="CI717" s="216"/>
      <c r="CJ717" s="216"/>
      <c r="CK717" s="216"/>
      <c r="CL717" s="216"/>
      <c r="CM717" s="216"/>
      <c r="CN717" s="216"/>
      <c r="CO717" s="216"/>
      <c r="CP717" s="216"/>
      <c r="CQ717" s="216"/>
      <c r="CR717" s="216"/>
      <c r="CS717" s="216"/>
      <c r="CT717" s="216"/>
      <c r="CU717" s="216"/>
      <c r="CV717" s="216"/>
      <c r="CW717" s="216"/>
      <c r="CX717" s="216"/>
      <c r="CY717" s="216"/>
    </row>
    <row r="718" spans="1:103" ht="12.75" x14ac:dyDescent="0.2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214"/>
      <c r="L718" s="214"/>
      <c r="M718" s="214"/>
      <c r="N718" s="215"/>
      <c r="O718" s="215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16"/>
      <c r="AN718" s="216"/>
      <c r="AO718" s="216"/>
      <c r="AP718" s="216"/>
      <c r="AQ718" s="216"/>
      <c r="AR718" s="216"/>
      <c r="AS718" s="216"/>
      <c r="AT718" s="216"/>
      <c r="AU718" s="216"/>
      <c r="AV718" s="216"/>
      <c r="AW718" s="216"/>
      <c r="AX718" s="216"/>
      <c r="AY718" s="216"/>
      <c r="AZ718" s="216"/>
      <c r="BA718" s="216"/>
      <c r="BB718" s="216"/>
      <c r="BC718" s="216"/>
      <c r="BD718" s="216"/>
      <c r="BE718" s="216"/>
      <c r="BF718" s="216"/>
      <c r="BG718" s="216"/>
      <c r="BH718" s="216"/>
      <c r="BI718" s="216"/>
      <c r="BJ718" s="216"/>
      <c r="BK718" s="216"/>
      <c r="BL718" s="216"/>
      <c r="BM718" s="216"/>
      <c r="BN718" s="216"/>
      <c r="BO718" s="216"/>
      <c r="BP718" s="216"/>
      <c r="BQ718" s="216"/>
      <c r="BR718" s="216"/>
      <c r="BS718" s="216"/>
      <c r="BT718" s="216"/>
      <c r="BU718" s="216"/>
      <c r="BV718" s="216"/>
      <c r="BW718" s="216"/>
      <c r="BX718" s="216"/>
      <c r="BY718" s="216"/>
      <c r="BZ718" s="216"/>
      <c r="CA718" s="216"/>
      <c r="CB718" s="216"/>
      <c r="CC718" s="216"/>
      <c r="CD718" s="216"/>
      <c r="CE718" s="216"/>
      <c r="CF718" s="216"/>
      <c r="CG718" s="216"/>
      <c r="CH718" s="216"/>
      <c r="CI718" s="216"/>
      <c r="CJ718" s="216"/>
      <c r="CK718" s="216"/>
      <c r="CL718" s="216"/>
      <c r="CM718" s="216"/>
      <c r="CN718" s="216"/>
      <c r="CO718" s="216"/>
      <c r="CP718" s="216"/>
      <c r="CQ718" s="216"/>
      <c r="CR718" s="216"/>
      <c r="CS718" s="216"/>
      <c r="CT718" s="216"/>
      <c r="CU718" s="216"/>
      <c r="CV718" s="216"/>
      <c r="CW718" s="216"/>
      <c r="CX718" s="216"/>
      <c r="CY718" s="216"/>
    </row>
    <row r="719" spans="1:103" ht="12.75" x14ac:dyDescent="0.2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214"/>
      <c r="L719" s="214"/>
      <c r="M719" s="214"/>
      <c r="N719" s="215"/>
      <c r="O719" s="215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16"/>
      <c r="AN719" s="216"/>
      <c r="AO719" s="216"/>
      <c r="AP719" s="216"/>
      <c r="AQ719" s="216"/>
      <c r="AR719" s="216"/>
      <c r="AS719" s="216"/>
      <c r="AT719" s="216"/>
      <c r="AU719" s="216"/>
      <c r="AV719" s="216"/>
      <c r="AW719" s="216"/>
      <c r="AX719" s="216"/>
      <c r="AY719" s="216"/>
      <c r="AZ719" s="216"/>
      <c r="BA719" s="216"/>
      <c r="BB719" s="216"/>
      <c r="BC719" s="216"/>
      <c r="BD719" s="216"/>
      <c r="BE719" s="216"/>
      <c r="BF719" s="216"/>
      <c r="BG719" s="216"/>
      <c r="BH719" s="216"/>
      <c r="BI719" s="216"/>
      <c r="BJ719" s="216"/>
      <c r="BK719" s="216"/>
      <c r="BL719" s="216"/>
      <c r="BM719" s="216"/>
      <c r="BN719" s="216"/>
      <c r="BO719" s="216"/>
      <c r="BP719" s="216"/>
      <c r="BQ719" s="216"/>
      <c r="BR719" s="216"/>
      <c r="BS719" s="216"/>
      <c r="BT719" s="216"/>
      <c r="BU719" s="216"/>
      <c r="BV719" s="216"/>
      <c r="BW719" s="216"/>
      <c r="BX719" s="216"/>
      <c r="BY719" s="216"/>
      <c r="BZ719" s="216"/>
      <c r="CA719" s="216"/>
      <c r="CB719" s="216"/>
      <c r="CC719" s="216"/>
      <c r="CD719" s="216"/>
      <c r="CE719" s="216"/>
      <c r="CF719" s="216"/>
      <c r="CG719" s="216"/>
      <c r="CH719" s="216"/>
      <c r="CI719" s="216"/>
      <c r="CJ719" s="216"/>
      <c r="CK719" s="216"/>
      <c r="CL719" s="216"/>
      <c r="CM719" s="216"/>
      <c r="CN719" s="216"/>
      <c r="CO719" s="216"/>
      <c r="CP719" s="216"/>
      <c r="CQ719" s="216"/>
      <c r="CR719" s="216"/>
      <c r="CS719" s="216"/>
      <c r="CT719" s="216"/>
      <c r="CU719" s="216"/>
      <c r="CV719" s="216"/>
      <c r="CW719" s="216"/>
      <c r="CX719" s="216"/>
      <c r="CY719" s="216"/>
    </row>
    <row r="720" spans="1:103" ht="12.75" x14ac:dyDescent="0.2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214"/>
      <c r="L720" s="214"/>
      <c r="M720" s="214"/>
      <c r="N720" s="215"/>
      <c r="O720" s="215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16"/>
      <c r="AN720" s="216"/>
      <c r="AO720" s="216"/>
      <c r="AP720" s="216"/>
      <c r="AQ720" s="216"/>
      <c r="AR720" s="216"/>
      <c r="AS720" s="216"/>
      <c r="AT720" s="216"/>
      <c r="AU720" s="216"/>
      <c r="AV720" s="216"/>
      <c r="AW720" s="216"/>
      <c r="AX720" s="216"/>
      <c r="AY720" s="216"/>
      <c r="AZ720" s="216"/>
      <c r="BA720" s="216"/>
      <c r="BB720" s="216"/>
      <c r="BC720" s="216"/>
      <c r="BD720" s="216"/>
      <c r="BE720" s="216"/>
      <c r="BF720" s="216"/>
      <c r="BG720" s="216"/>
      <c r="BH720" s="216"/>
      <c r="BI720" s="216"/>
      <c r="BJ720" s="216"/>
      <c r="BK720" s="216"/>
      <c r="BL720" s="216"/>
      <c r="BM720" s="216"/>
      <c r="BN720" s="216"/>
      <c r="BO720" s="216"/>
      <c r="BP720" s="216"/>
      <c r="BQ720" s="216"/>
      <c r="BR720" s="216"/>
      <c r="BS720" s="216"/>
      <c r="BT720" s="216"/>
      <c r="BU720" s="216"/>
      <c r="BV720" s="216"/>
      <c r="BW720" s="216"/>
      <c r="BX720" s="216"/>
      <c r="BY720" s="216"/>
      <c r="BZ720" s="216"/>
      <c r="CA720" s="216"/>
      <c r="CB720" s="216"/>
      <c r="CC720" s="216"/>
      <c r="CD720" s="216"/>
      <c r="CE720" s="216"/>
      <c r="CF720" s="216"/>
      <c r="CG720" s="216"/>
      <c r="CH720" s="216"/>
      <c r="CI720" s="216"/>
      <c r="CJ720" s="216"/>
      <c r="CK720" s="216"/>
      <c r="CL720" s="216"/>
      <c r="CM720" s="216"/>
      <c r="CN720" s="216"/>
      <c r="CO720" s="216"/>
      <c r="CP720" s="216"/>
      <c r="CQ720" s="216"/>
      <c r="CR720" s="216"/>
      <c r="CS720" s="216"/>
      <c r="CT720" s="216"/>
      <c r="CU720" s="216"/>
      <c r="CV720" s="216"/>
      <c r="CW720" s="216"/>
      <c r="CX720" s="216"/>
      <c r="CY720" s="216"/>
    </row>
    <row r="721" spans="1:103" ht="12.75" x14ac:dyDescent="0.2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214"/>
      <c r="L721" s="214"/>
      <c r="M721" s="214"/>
      <c r="N721" s="215"/>
      <c r="O721" s="215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16"/>
      <c r="AN721" s="216"/>
      <c r="AO721" s="216"/>
      <c r="AP721" s="216"/>
      <c r="AQ721" s="216"/>
      <c r="AR721" s="216"/>
      <c r="AS721" s="216"/>
      <c r="AT721" s="216"/>
      <c r="AU721" s="216"/>
      <c r="AV721" s="216"/>
      <c r="AW721" s="216"/>
      <c r="AX721" s="216"/>
      <c r="AY721" s="216"/>
      <c r="AZ721" s="216"/>
      <c r="BA721" s="216"/>
      <c r="BB721" s="216"/>
      <c r="BC721" s="216"/>
      <c r="BD721" s="216"/>
      <c r="BE721" s="216"/>
      <c r="BF721" s="216"/>
      <c r="BG721" s="216"/>
      <c r="BH721" s="216"/>
      <c r="BI721" s="216"/>
      <c r="BJ721" s="216"/>
      <c r="BK721" s="216"/>
      <c r="BL721" s="216"/>
      <c r="BM721" s="216"/>
      <c r="BN721" s="216"/>
      <c r="BO721" s="216"/>
      <c r="BP721" s="216"/>
      <c r="BQ721" s="216"/>
      <c r="BR721" s="216"/>
      <c r="BS721" s="216"/>
      <c r="BT721" s="216"/>
      <c r="BU721" s="216"/>
      <c r="BV721" s="216"/>
      <c r="BW721" s="216"/>
      <c r="BX721" s="216"/>
      <c r="BY721" s="216"/>
      <c r="BZ721" s="216"/>
      <c r="CA721" s="216"/>
      <c r="CB721" s="216"/>
      <c r="CC721" s="216"/>
      <c r="CD721" s="216"/>
      <c r="CE721" s="216"/>
      <c r="CF721" s="216"/>
      <c r="CG721" s="216"/>
      <c r="CH721" s="216"/>
      <c r="CI721" s="216"/>
      <c r="CJ721" s="216"/>
      <c r="CK721" s="216"/>
      <c r="CL721" s="216"/>
      <c r="CM721" s="216"/>
      <c r="CN721" s="216"/>
      <c r="CO721" s="216"/>
      <c r="CP721" s="216"/>
      <c r="CQ721" s="216"/>
      <c r="CR721" s="216"/>
      <c r="CS721" s="216"/>
      <c r="CT721" s="216"/>
      <c r="CU721" s="216"/>
      <c r="CV721" s="216"/>
      <c r="CW721" s="216"/>
      <c r="CX721" s="216"/>
      <c r="CY721" s="216"/>
    </row>
    <row r="722" spans="1:103" ht="12.75" x14ac:dyDescent="0.2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214"/>
      <c r="L722" s="214"/>
      <c r="M722" s="214"/>
      <c r="N722" s="215"/>
      <c r="O722" s="215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16"/>
      <c r="AN722" s="216"/>
      <c r="AO722" s="216"/>
      <c r="AP722" s="216"/>
      <c r="AQ722" s="216"/>
      <c r="AR722" s="216"/>
      <c r="AS722" s="216"/>
      <c r="AT722" s="216"/>
      <c r="AU722" s="216"/>
      <c r="AV722" s="216"/>
      <c r="AW722" s="216"/>
      <c r="AX722" s="216"/>
      <c r="AY722" s="216"/>
      <c r="AZ722" s="216"/>
      <c r="BA722" s="216"/>
      <c r="BB722" s="216"/>
      <c r="BC722" s="216"/>
      <c r="BD722" s="216"/>
      <c r="BE722" s="216"/>
      <c r="BF722" s="216"/>
      <c r="BG722" s="216"/>
      <c r="BH722" s="216"/>
      <c r="BI722" s="216"/>
      <c r="BJ722" s="216"/>
      <c r="BK722" s="216"/>
      <c r="BL722" s="216"/>
      <c r="BM722" s="216"/>
      <c r="BN722" s="216"/>
      <c r="BO722" s="216"/>
      <c r="BP722" s="216"/>
      <c r="BQ722" s="216"/>
      <c r="BR722" s="216"/>
      <c r="BS722" s="216"/>
      <c r="BT722" s="216"/>
      <c r="BU722" s="216"/>
      <c r="BV722" s="216"/>
      <c r="BW722" s="216"/>
      <c r="BX722" s="216"/>
      <c r="BY722" s="216"/>
      <c r="BZ722" s="216"/>
      <c r="CA722" s="216"/>
      <c r="CB722" s="216"/>
      <c r="CC722" s="216"/>
      <c r="CD722" s="216"/>
      <c r="CE722" s="216"/>
      <c r="CF722" s="216"/>
      <c r="CG722" s="216"/>
      <c r="CH722" s="216"/>
      <c r="CI722" s="216"/>
      <c r="CJ722" s="216"/>
      <c r="CK722" s="216"/>
      <c r="CL722" s="216"/>
      <c r="CM722" s="216"/>
      <c r="CN722" s="216"/>
      <c r="CO722" s="216"/>
      <c r="CP722" s="216"/>
      <c r="CQ722" s="216"/>
      <c r="CR722" s="216"/>
      <c r="CS722" s="216"/>
      <c r="CT722" s="216"/>
      <c r="CU722" s="216"/>
      <c r="CV722" s="216"/>
      <c r="CW722" s="216"/>
      <c r="CX722" s="216"/>
      <c r="CY722" s="216"/>
    </row>
    <row r="723" spans="1:103" ht="12.75" x14ac:dyDescent="0.2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214"/>
      <c r="L723" s="214"/>
      <c r="M723" s="214"/>
      <c r="N723" s="215"/>
      <c r="O723" s="215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16"/>
      <c r="AN723" s="216"/>
      <c r="AO723" s="216"/>
      <c r="AP723" s="216"/>
      <c r="AQ723" s="216"/>
      <c r="AR723" s="216"/>
      <c r="AS723" s="216"/>
      <c r="AT723" s="216"/>
      <c r="AU723" s="216"/>
      <c r="AV723" s="216"/>
      <c r="AW723" s="216"/>
      <c r="AX723" s="216"/>
      <c r="AY723" s="216"/>
      <c r="AZ723" s="216"/>
      <c r="BA723" s="216"/>
      <c r="BB723" s="216"/>
      <c r="BC723" s="216"/>
      <c r="BD723" s="216"/>
      <c r="BE723" s="216"/>
      <c r="BF723" s="216"/>
      <c r="BG723" s="216"/>
      <c r="BH723" s="216"/>
      <c r="BI723" s="216"/>
      <c r="BJ723" s="216"/>
      <c r="BK723" s="216"/>
      <c r="BL723" s="216"/>
      <c r="BM723" s="216"/>
      <c r="BN723" s="216"/>
      <c r="BO723" s="216"/>
      <c r="BP723" s="216"/>
      <c r="BQ723" s="216"/>
      <c r="BR723" s="216"/>
      <c r="BS723" s="216"/>
      <c r="BT723" s="216"/>
      <c r="BU723" s="216"/>
      <c r="BV723" s="216"/>
      <c r="BW723" s="216"/>
      <c r="BX723" s="216"/>
      <c r="BY723" s="216"/>
      <c r="BZ723" s="216"/>
      <c r="CA723" s="216"/>
      <c r="CB723" s="216"/>
      <c r="CC723" s="216"/>
      <c r="CD723" s="216"/>
      <c r="CE723" s="216"/>
      <c r="CF723" s="216"/>
      <c r="CG723" s="216"/>
      <c r="CH723" s="216"/>
      <c r="CI723" s="216"/>
      <c r="CJ723" s="216"/>
      <c r="CK723" s="216"/>
      <c r="CL723" s="216"/>
      <c r="CM723" s="216"/>
      <c r="CN723" s="216"/>
      <c r="CO723" s="216"/>
      <c r="CP723" s="216"/>
      <c r="CQ723" s="216"/>
      <c r="CR723" s="216"/>
      <c r="CS723" s="216"/>
      <c r="CT723" s="216"/>
      <c r="CU723" s="216"/>
      <c r="CV723" s="216"/>
      <c r="CW723" s="216"/>
      <c r="CX723" s="216"/>
      <c r="CY723" s="216"/>
    </row>
    <row r="724" spans="1:103" ht="12.75" x14ac:dyDescent="0.2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214"/>
      <c r="L724" s="214"/>
      <c r="M724" s="214"/>
      <c r="N724" s="215"/>
      <c r="O724" s="215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16"/>
      <c r="AN724" s="216"/>
      <c r="AO724" s="216"/>
      <c r="AP724" s="216"/>
      <c r="AQ724" s="216"/>
      <c r="AR724" s="216"/>
      <c r="AS724" s="216"/>
      <c r="AT724" s="216"/>
      <c r="AU724" s="216"/>
      <c r="AV724" s="216"/>
      <c r="AW724" s="216"/>
      <c r="AX724" s="216"/>
      <c r="AY724" s="216"/>
      <c r="AZ724" s="216"/>
      <c r="BA724" s="216"/>
      <c r="BB724" s="216"/>
      <c r="BC724" s="216"/>
      <c r="BD724" s="216"/>
      <c r="BE724" s="216"/>
      <c r="BF724" s="216"/>
      <c r="BG724" s="216"/>
      <c r="BH724" s="216"/>
      <c r="BI724" s="216"/>
      <c r="BJ724" s="216"/>
      <c r="BK724" s="216"/>
      <c r="BL724" s="216"/>
      <c r="BM724" s="216"/>
      <c r="BN724" s="216"/>
      <c r="BO724" s="216"/>
      <c r="BP724" s="216"/>
      <c r="BQ724" s="216"/>
      <c r="BR724" s="216"/>
      <c r="BS724" s="216"/>
      <c r="BT724" s="216"/>
      <c r="BU724" s="216"/>
      <c r="BV724" s="216"/>
      <c r="BW724" s="216"/>
      <c r="BX724" s="216"/>
      <c r="BY724" s="216"/>
      <c r="BZ724" s="216"/>
      <c r="CA724" s="216"/>
      <c r="CB724" s="216"/>
      <c r="CC724" s="216"/>
      <c r="CD724" s="216"/>
      <c r="CE724" s="216"/>
      <c r="CF724" s="216"/>
      <c r="CG724" s="216"/>
      <c r="CH724" s="216"/>
      <c r="CI724" s="216"/>
      <c r="CJ724" s="216"/>
      <c r="CK724" s="216"/>
      <c r="CL724" s="216"/>
      <c r="CM724" s="216"/>
      <c r="CN724" s="216"/>
      <c r="CO724" s="216"/>
      <c r="CP724" s="216"/>
      <c r="CQ724" s="216"/>
      <c r="CR724" s="216"/>
      <c r="CS724" s="216"/>
      <c r="CT724" s="216"/>
      <c r="CU724" s="216"/>
      <c r="CV724" s="216"/>
      <c r="CW724" s="216"/>
      <c r="CX724" s="216"/>
      <c r="CY724" s="216"/>
    </row>
    <row r="725" spans="1:103" ht="12.75" x14ac:dyDescent="0.2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214"/>
      <c r="L725" s="214"/>
      <c r="M725" s="214"/>
      <c r="N725" s="215"/>
      <c r="O725" s="215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16"/>
      <c r="AN725" s="216"/>
      <c r="AO725" s="216"/>
      <c r="AP725" s="216"/>
      <c r="AQ725" s="216"/>
      <c r="AR725" s="216"/>
      <c r="AS725" s="216"/>
      <c r="AT725" s="216"/>
      <c r="AU725" s="216"/>
      <c r="AV725" s="216"/>
      <c r="AW725" s="216"/>
      <c r="AX725" s="216"/>
      <c r="AY725" s="216"/>
      <c r="AZ725" s="216"/>
      <c r="BA725" s="216"/>
      <c r="BB725" s="216"/>
      <c r="BC725" s="216"/>
      <c r="BD725" s="216"/>
      <c r="BE725" s="216"/>
      <c r="BF725" s="216"/>
      <c r="BG725" s="216"/>
      <c r="BH725" s="216"/>
      <c r="BI725" s="216"/>
      <c r="BJ725" s="216"/>
      <c r="BK725" s="216"/>
      <c r="BL725" s="216"/>
      <c r="BM725" s="216"/>
      <c r="BN725" s="216"/>
      <c r="BO725" s="216"/>
      <c r="BP725" s="216"/>
      <c r="BQ725" s="216"/>
      <c r="BR725" s="216"/>
      <c r="BS725" s="216"/>
      <c r="BT725" s="216"/>
      <c r="BU725" s="216"/>
      <c r="BV725" s="216"/>
      <c r="BW725" s="216"/>
      <c r="BX725" s="216"/>
      <c r="BY725" s="216"/>
      <c r="BZ725" s="216"/>
      <c r="CA725" s="216"/>
      <c r="CB725" s="216"/>
      <c r="CC725" s="216"/>
      <c r="CD725" s="216"/>
      <c r="CE725" s="216"/>
      <c r="CF725" s="216"/>
      <c r="CG725" s="216"/>
      <c r="CH725" s="216"/>
      <c r="CI725" s="216"/>
      <c r="CJ725" s="216"/>
      <c r="CK725" s="216"/>
      <c r="CL725" s="216"/>
      <c r="CM725" s="216"/>
      <c r="CN725" s="216"/>
      <c r="CO725" s="216"/>
      <c r="CP725" s="216"/>
      <c r="CQ725" s="216"/>
      <c r="CR725" s="216"/>
      <c r="CS725" s="216"/>
      <c r="CT725" s="216"/>
      <c r="CU725" s="216"/>
      <c r="CV725" s="216"/>
      <c r="CW725" s="216"/>
      <c r="CX725" s="216"/>
      <c r="CY725" s="216"/>
    </row>
    <row r="726" spans="1:103" ht="12.75" x14ac:dyDescent="0.2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214"/>
      <c r="L726" s="214"/>
      <c r="M726" s="214"/>
      <c r="N726" s="215"/>
      <c r="O726" s="215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16"/>
      <c r="AN726" s="216"/>
      <c r="AO726" s="216"/>
      <c r="AP726" s="216"/>
      <c r="AQ726" s="216"/>
      <c r="AR726" s="216"/>
      <c r="AS726" s="216"/>
      <c r="AT726" s="216"/>
      <c r="AU726" s="216"/>
      <c r="AV726" s="216"/>
      <c r="AW726" s="216"/>
      <c r="AX726" s="216"/>
      <c r="AY726" s="216"/>
      <c r="AZ726" s="216"/>
      <c r="BA726" s="216"/>
      <c r="BB726" s="216"/>
      <c r="BC726" s="216"/>
      <c r="BD726" s="216"/>
      <c r="BE726" s="216"/>
      <c r="BF726" s="216"/>
      <c r="BG726" s="216"/>
      <c r="BH726" s="216"/>
      <c r="BI726" s="216"/>
      <c r="BJ726" s="216"/>
      <c r="BK726" s="216"/>
      <c r="BL726" s="216"/>
      <c r="BM726" s="216"/>
      <c r="BN726" s="216"/>
      <c r="BO726" s="216"/>
      <c r="BP726" s="216"/>
      <c r="BQ726" s="216"/>
      <c r="BR726" s="216"/>
      <c r="BS726" s="216"/>
      <c r="BT726" s="216"/>
      <c r="BU726" s="216"/>
      <c r="BV726" s="216"/>
      <c r="BW726" s="216"/>
      <c r="BX726" s="216"/>
      <c r="BY726" s="216"/>
      <c r="BZ726" s="216"/>
      <c r="CA726" s="216"/>
      <c r="CB726" s="216"/>
      <c r="CC726" s="216"/>
      <c r="CD726" s="216"/>
      <c r="CE726" s="216"/>
      <c r="CF726" s="216"/>
      <c r="CG726" s="216"/>
      <c r="CH726" s="216"/>
      <c r="CI726" s="216"/>
      <c r="CJ726" s="216"/>
      <c r="CK726" s="216"/>
      <c r="CL726" s="216"/>
      <c r="CM726" s="216"/>
      <c r="CN726" s="216"/>
      <c r="CO726" s="216"/>
      <c r="CP726" s="216"/>
      <c r="CQ726" s="216"/>
      <c r="CR726" s="216"/>
      <c r="CS726" s="216"/>
      <c r="CT726" s="216"/>
      <c r="CU726" s="216"/>
      <c r="CV726" s="216"/>
      <c r="CW726" s="216"/>
      <c r="CX726" s="216"/>
      <c r="CY726" s="216"/>
    </row>
    <row r="727" spans="1:103" ht="12.75" x14ac:dyDescent="0.2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214"/>
      <c r="L727" s="214"/>
      <c r="M727" s="214"/>
      <c r="N727" s="215"/>
      <c r="O727" s="215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  <c r="AM727" s="216"/>
      <c r="AN727" s="216"/>
      <c r="AO727" s="216"/>
      <c r="AP727" s="216"/>
      <c r="AQ727" s="216"/>
      <c r="AR727" s="216"/>
      <c r="AS727" s="216"/>
      <c r="AT727" s="216"/>
      <c r="AU727" s="216"/>
      <c r="AV727" s="216"/>
      <c r="AW727" s="216"/>
      <c r="AX727" s="216"/>
      <c r="AY727" s="216"/>
      <c r="AZ727" s="216"/>
      <c r="BA727" s="216"/>
      <c r="BB727" s="216"/>
      <c r="BC727" s="216"/>
      <c r="BD727" s="216"/>
      <c r="BE727" s="216"/>
      <c r="BF727" s="216"/>
      <c r="BG727" s="216"/>
      <c r="BH727" s="216"/>
      <c r="BI727" s="216"/>
      <c r="BJ727" s="216"/>
      <c r="BK727" s="216"/>
      <c r="BL727" s="216"/>
      <c r="BM727" s="216"/>
      <c r="BN727" s="216"/>
      <c r="BO727" s="216"/>
      <c r="BP727" s="216"/>
      <c r="BQ727" s="216"/>
      <c r="BR727" s="216"/>
      <c r="BS727" s="216"/>
      <c r="BT727" s="216"/>
      <c r="BU727" s="216"/>
      <c r="BV727" s="216"/>
      <c r="BW727" s="216"/>
      <c r="BX727" s="216"/>
      <c r="BY727" s="216"/>
      <c r="BZ727" s="216"/>
      <c r="CA727" s="216"/>
      <c r="CB727" s="216"/>
      <c r="CC727" s="216"/>
      <c r="CD727" s="216"/>
      <c r="CE727" s="216"/>
      <c r="CF727" s="216"/>
      <c r="CG727" s="216"/>
      <c r="CH727" s="216"/>
      <c r="CI727" s="216"/>
      <c r="CJ727" s="216"/>
      <c r="CK727" s="216"/>
      <c r="CL727" s="216"/>
      <c r="CM727" s="216"/>
      <c r="CN727" s="216"/>
      <c r="CO727" s="216"/>
      <c r="CP727" s="216"/>
      <c r="CQ727" s="216"/>
      <c r="CR727" s="216"/>
      <c r="CS727" s="216"/>
      <c r="CT727" s="216"/>
      <c r="CU727" s="216"/>
      <c r="CV727" s="216"/>
      <c r="CW727" s="216"/>
      <c r="CX727" s="216"/>
      <c r="CY727" s="216"/>
    </row>
    <row r="728" spans="1:103" ht="12.75" x14ac:dyDescent="0.2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214"/>
      <c r="L728" s="214"/>
      <c r="M728" s="214"/>
      <c r="N728" s="215"/>
      <c r="O728" s="215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  <c r="AM728" s="216"/>
      <c r="AN728" s="216"/>
      <c r="AO728" s="216"/>
      <c r="AP728" s="216"/>
      <c r="AQ728" s="216"/>
      <c r="AR728" s="216"/>
      <c r="AS728" s="216"/>
      <c r="AT728" s="216"/>
      <c r="AU728" s="216"/>
      <c r="AV728" s="216"/>
      <c r="AW728" s="216"/>
      <c r="AX728" s="216"/>
      <c r="AY728" s="216"/>
      <c r="AZ728" s="216"/>
      <c r="BA728" s="216"/>
      <c r="BB728" s="216"/>
      <c r="BC728" s="216"/>
      <c r="BD728" s="216"/>
      <c r="BE728" s="216"/>
      <c r="BF728" s="216"/>
      <c r="BG728" s="216"/>
      <c r="BH728" s="216"/>
      <c r="BI728" s="216"/>
      <c r="BJ728" s="216"/>
      <c r="BK728" s="216"/>
      <c r="BL728" s="216"/>
      <c r="BM728" s="216"/>
      <c r="BN728" s="216"/>
      <c r="BO728" s="216"/>
      <c r="BP728" s="216"/>
      <c r="BQ728" s="216"/>
      <c r="BR728" s="216"/>
      <c r="BS728" s="216"/>
      <c r="BT728" s="216"/>
      <c r="BU728" s="216"/>
      <c r="BV728" s="216"/>
      <c r="BW728" s="216"/>
      <c r="BX728" s="216"/>
      <c r="BY728" s="216"/>
      <c r="BZ728" s="216"/>
      <c r="CA728" s="216"/>
      <c r="CB728" s="216"/>
      <c r="CC728" s="216"/>
      <c r="CD728" s="216"/>
      <c r="CE728" s="216"/>
      <c r="CF728" s="216"/>
      <c r="CG728" s="216"/>
      <c r="CH728" s="216"/>
      <c r="CI728" s="216"/>
      <c r="CJ728" s="216"/>
      <c r="CK728" s="216"/>
      <c r="CL728" s="216"/>
      <c r="CM728" s="216"/>
      <c r="CN728" s="216"/>
      <c r="CO728" s="216"/>
      <c r="CP728" s="216"/>
      <c r="CQ728" s="216"/>
      <c r="CR728" s="216"/>
      <c r="CS728" s="216"/>
      <c r="CT728" s="216"/>
      <c r="CU728" s="216"/>
      <c r="CV728" s="216"/>
      <c r="CW728" s="216"/>
      <c r="CX728" s="216"/>
      <c r="CY728" s="216"/>
    </row>
    <row r="729" spans="1:103" ht="12.75" x14ac:dyDescent="0.2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214"/>
      <c r="L729" s="214"/>
      <c r="M729" s="214"/>
      <c r="N729" s="215"/>
      <c r="O729" s="215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  <c r="AM729" s="216"/>
      <c r="AN729" s="216"/>
      <c r="AO729" s="216"/>
      <c r="AP729" s="216"/>
      <c r="AQ729" s="216"/>
      <c r="AR729" s="216"/>
      <c r="AS729" s="216"/>
      <c r="AT729" s="216"/>
      <c r="AU729" s="216"/>
      <c r="AV729" s="216"/>
      <c r="AW729" s="216"/>
      <c r="AX729" s="216"/>
      <c r="AY729" s="216"/>
      <c r="AZ729" s="216"/>
      <c r="BA729" s="216"/>
      <c r="BB729" s="216"/>
      <c r="BC729" s="216"/>
      <c r="BD729" s="216"/>
      <c r="BE729" s="216"/>
      <c r="BF729" s="216"/>
      <c r="BG729" s="216"/>
      <c r="BH729" s="216"/>
      <c r="BI729" s="216"/>
      <c r="BJ729" s="216"/>
      <c r="BK729" s="216"/>
      <c r="BL729" s="216"/>
      <c r="BM729" s="216"/>
      <c r="BN729" s="216"/>
      <c r="BO729" s="216"/>
      <c r="BP729" s="216"/>
      <c r="BQ729" s="216"/>
      <c r="BR729" s="216"/>
      <c r="BS729" s="216"/>
      <c r="BT729" s="216"/>
      <c r="BU729" s="216"/>
      <c r="BV729" s="216"/>
      <c r="BW729" s="216"/>
      <c r="BX729" s="216"/>
      <c r="BY729" s="216"/>
      <c r="BZ729" s="216"/>
      <c r="CA729" s="216"/>
      <c r="CB729" s="216"/>
      <c r="CC729" s="216"/>
      <c r="CD729" s="216"/>
      <c r="CE729" s="216"/>
      <c r="CF729" s="216"/>
      <c r="CG729" s="216"/>
      <c r="CH729" s="216"/>
      <c r="CI729" s="216"/>
      <c r="CJ729" s="216"/>
      <c r="CK729" s="216"/>
      <c r="CL729" s="216"/>
      <c r="CM729" s="216"/>
      <c r="CN729" s="216"/>
      <c r="CO729" s="216"/>
      <c r="CP729" s="216"/>
      <c r="CQ729" s="216"/>
      <c r="CR729" s="216"/>
      <c r="CS729" s="216"/>
      <c r="CT729" s="216"/>
      <c r="CU729" s="216"/>
      <c r="CV729" s="216"/>
      <c r="CW729" s="216"/>
      <c r="CX729" s="216"/>
      <c r="CY729" s="216"/>
    </row>
    <row r="730" spans="1:103" ht="12.75" x14ac:dyDescent="0.2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214"/>
      <c r="L730" s="214"/>
      <c r="M730" s="214"/>
      <c r="N730" s="215"/>
      <c r="O730" s="215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  <c r="AM730" s="216"/>
      <c r="AN730" s="216"/>
      <c r="AO730" s="216"/>
      <c r="AP730" s="216"/>
      <c r="AQ730" s="216"/>
      <c r="AR730" s="216"/>
      <c r="AS730" s="216"/>
      <c r="AT730" s="216"/>
      <c r="AU730" s="216"/>
      <c r="AV730" s="216"/>
      <c r="AW730" s="216"/>
      <c r="AX730" s="216"/>
      <c r="AY730" s="216"/>
      <c r="AZ730" s="216"/>
      <c r="BA730" s="216"/>
      <c r="BB730" s="216"/>
      <c r="BC730" s="216"/>
      <c r="BD730" s="216"/>
      <c r="BE730" s="216"/>
      <c r="BF730" s="216"/>
      <c r="BG730" s="216"/>
      <c r="BH730" s="216"/>
      <c r="BI730" s="216"/>
      <c r="BJ730" s="216"/>
      <c r="BK730" s="216"/>
      <c r="BL730" s="216"/>
      <c r="BM730" s="216"/>
      <c r="BN730" s="216"/>
      <c r="BO730" s="216"/>
      <c r="BP730" s="216"/>
      <c r="BQ730" s="216"/>
      <c r="BR730" s="216"/>
      <c r="BS730" s="216"/>
      <c r="BT730" s="216"/>
      <c r="BU730" s="216"/>
      <c r="BV730" s="216"/>
      <c r="BW730" s="216"/>
      <c r="BX730" s="216"/>
      <c r="BY730" s="216"/>
      <c r="BZ730" s="216"/>
      <c r="CA730" s="216"/>
      <c r="CB730" s="216"/>
      <c r="CC730" s="216"/>
      <c r="CD730" s="216"/>
      <c r="CE730" s="216"/>
      <c r="CF730" s="216"/>
      <c r="CG730" s="216"/>
      <c r="CH730" s="216"/>
      <c r="CI730" s="216"/>
      <c r="CJ730" s="216"/>
      <c r="CK730" s="216"/>
      <c r="CL730" s="216"/>
      <c r="CM730" s="216"/>
      <c r="CN730" s="216"/>
      <c r="CO730" s="216"/>
      <c r="CP730" s="216"/>
      <c r="CQ730" s="216"/>
      <c r="CR730" s="216"/>
      <c r="CS730" s="216"/>
      <c r="CT730" s="216"/>
      <c r="CU730" s="216"/>
      <c r="CV730" s="216"/>
      <c r="CW730" s="216"/>
      <c r="CX730" s="216"/>
      <c r="CY730" s="216"/>
    </row>
    <row r="731" spans="1:103" ht="12.75" x14ac:dyDescent="0.2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214"/>
      <c r="L731" s="214"/>
      <c r="M731" s="214"/>
      <c r="N731" s="215"/>
      <c r="O731" s="215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  <c r="AM731" s="216"/>
      <c r="AN731" s="216"/>
      <c r="AO731" s="216"/>
      <c r="AP731" s="216"/>
      <c r="AQ731" s="216"/>
      <c r="AR731" s="216"/>
      <c r="AS731" s="216"/>
      <c r="AT731" s="216"/>
      <c r="AU731" s="216"/>
      <c r="AV731" s="216"/>
      <c r="AW731" s="216"/>
      <c r="AX731" s="216"/>
      <c r="AY731" s="216"/>
      <c r="AZ731" s="216"/>
      <c r="BA731" s="216"/>
      <c r="BB731" s="216"/>
      <c r="BC731" s="216"/>
      <c r="BD731" s="216"/>
      <c r="BE731" s="216"/>
      <c r="BF731" s="216"/>
      <c r="BG731" s="216"/>
      <c r="BH731" s="216"/>
      <c r="BI731" s="216"/>
      <c r="BJ731" s="216"/>
      <c r="BK731" s="216"/>
      <c r="BL731" s="216"/>
      <c r="BM731" s="216"/>
      <c r="BN731" s="216"/>
      <c r="BO731" s="216"/>
      <c r="BP731" s="216"/>
      <c r="BQ731" s="216"/>
      <c r="BR731" s="216"/>
      <c r="BS731" s="216"/>
      <c r="BT731" s="216"/>
      <c r="BU731" s="216"/>
      <c r="BV731" s="216"/>
      <c r="BW731" s="216"/>
      <c r="BX731" s="216"/>
      <c r="BY731" s="216"/>
      <c r="BZ731" s="216"/>
      <c r="CA731" s="216"/>
      <c r="CB731" s="216"/>
      <c r="CC731" s="216"/>
      <c r="CD731" s="216"/>
      <c r="CE731" s="216"/>
      <c r="CF731" s="216"/>
      <c r="CG731" s="216"/>
      <c r="CH731" s="216"/>
      <c r="CI731" s="216"/>
      <c r="CJ731" s="216"/>
      <c r="CK731" s="216"/>
      <c r="CL731" s="216"/>
      <c r="CM731" s="216"/>
      <c r="CN731" s="216"/>
      <c r="CO731" s="216"/>
      <c r="CP731" s="216"/>
      <c r="CQ731" s="216"/>
      <c r="CR731" s="216"/>
      <c r="CS731" s="216"/>
      <c r="CT731" s="216"/>
      <c r="CU731" s="216"/>
      <c r="CV731" s="216"/>
      <c r="CW731" s="216"/>
      <c r="CX731" s="216"/>
      <c r="CY731" s="216"/>
    </row>
    <row r="732" spans="1:103" ht="12.75" x14ac:dyDescent="0.2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214"/>
      <c r="L732" s="214"/>
      <c r="M732" s="214"/>
      <c r="N732" s="215"/>
      <c r="O732" s="215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  <c r="AM732" s="216"/>
      <c r="AN732" s="216"/>
      <c r="AO732" s="216"/>
      <c r="AP732" s="216"/>
      <c r="AQ732" s="216"/>
      <c r="AR732" s="216"/>
      <c r="AS732" s="216"/>
      <c r="AT732" s="216"/>
      <c r="AU732" s="216"/>
      <c r="AV732" s="216"/>
      <c r="AW732" s="216"/>
      <c r="AX732" s="216"/>
      <c r="AY732" s="216"/>
      <c r="AZ732" s="216"/>
      <c r="BA732" s="216"/>
      <c r="BB732" s="216"/>
      <c r="BC732" s="216"/>
      <c r="BD732" s="216"/>
      <c r="BE732" s="216"/>
      <c r="BF732" s="216"/>
      <c r="BG732" s="216"/>
      <c r="BH732" s="216"/>
      <c r="BI732" s="216"/>
      <c r="BJ732" s="216"/>
      <c r="BK732" s="216"/>
      <c r="BL732" s="216"/>
      <c r="BM732" s="216"/>
      <c r="BN732" s="216"/>
      <c r="BO732" s="216"/>
      <c r="BP732" s="216"/>
      <c r="BQ732" s="216"/>
      <c r="BR732" s="216"/>
      <c r="BS732" s="216"/>
      <c r="BT732" s="216"/>
      <c r="BU732" s="216"/>
      <c r="BV732" s="216"/>
      <c r="BW732" s="216"/>
      <c r="BX732" s="216"/>
      <c r="BY732" s="216"/>
      <c r="BZ732" s="216"/>
      <c r="CA732" s="216"/>
      <c r="CB732" s="216"/>
      <c r="CC732" s="216"/>
      <c r="CD732" s="216"/>
      <c r="CE732" s="216"/>
      <c r="CF732" s="216"/>
      <c r="CG732" s="216"/>
      <c r="CH732" s="216"/>
      <c r="CI732" s="216"/>
      <c r="CJ732" s="216"/>
      <c r="CK732" s="216"/>
      <c r="CL732" s="216"/>
      <c r="CM732" s="216"/>
      <c r="CN732" s="216"/>
      <c r="CO732" s="216"/>
      <c r="CP732" s="216"/>
      <c r="CQ732" s="216"/>
      <c r="CR732" s="216"/>
      <c r="CS732" s="216"/>
      <c r="CT732" s="216"/>
      <c r="CU732" s="216"/>
      <c r="CV732" s="216"/>
      <c r="CW732" s="216"/>
      <c r="CX732" s="216"/>
      <c r="CY732" s="216"/>
    </row>
    <row r="733" spans="1:103" ht="12.75" x14ac:dyDescent="0.2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214"/>
      <c r="L733" s="214"/>
      <c r="M733" s="214"/>
      <c r="N733" s="215"/>
      <c r="O733" s="215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  <c r="AM733" s="216"/>
      <c r="AN733" s="216"/>
      <c r="AO733" s="216"/>
      <c r="AP733" s="216"/>
      <c r="AQ733" s="216"/>
      <c r="AR733" s="216"/>
      <c r="AS733" s="216"/>
      <c r="AT733" s="216"/>
      <c r="AU733" s="216"/>
      <c r="AV733" s="216"/>
      <c r="AW733" s="216"/>
      <c r="AX733" s="216"/>
      <c r="AY733" s="216"/>
      <c r="AZ733" s="216"/>
      <c r="BA733" s="216"/>
      <c r="BB733" s="216"/>
      <c r="BC733" s="216"/>
      <c r="BD733" s="216"/>
      <c r="BE733" s="216"/>
      <c r="BF733" s="216"/>
      <c r="BG733" s="216"/>
      <c r="BH733" s="216"/>
      <c r="BI733" s="216"/>
      <c r="BJ733" s="216"/>
      <c r="BK733" s="216"/>
      <c r="BL733" s="216"/>
      <c r="BM733" s="216"/>
      <c r="BN733" s="216"/>
      <c r="BO733" s="216"/>
      <c r="BP733" s="216"/>
      <c r="BQ733" s="216"/>
      <c r="BR733" s="216"/>
      <c r="BS733" s="216"/>
      <c r="BT733" s="216"/>
      <c r="BU733" s="216"/>
      <c r="BV733" s="216"/>
      <c r="BW733" s="216"/>
      <c r="BX733" s="216"/>
      <c r="BY733" s="216"/>
      <c r="BZ733" s="216"/>
      <c r="CA733" s="216"/>
      <c r="CB733" s="216"/>
      <c r="CC733" s="216"/>
      <c r="CD733" s="216"/>
      <c r="CE733" s="216"/>
      <c r="CF733" s="216"/>
      <c r="CG733" s="216"/>
      <c r="CH733" s="216"/>
      <c r="CI733" s="216"/>
      <c r="CJ733" s="216"/>
      <c r="CK733" s="216"/>
      <c r="CL733" s="216"/>
      <c r="CM733" s="216"/>
      <c r="CN733" s="216"/>
      <c r="CO733" s="216"/>
      <c r="CP733" s="216"/>
      <c r="CQ733" s="216"/>
      <c r="CR733" s="216"/>
      <c r="CS733" s="216"/>
      <c r="CT733" s="216"/>
      <c r="CU733" s="216"/>
      <c r="CV733" s="216"/>
      <c r="CW733" s="216"/>
      <c r="CX733" s="216"/>
      <c r="CY733" s="216"/>
    </row>
    <row r="734" spans="1:103" ht="12.75" x14ac:dyDescent="0.2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214"/>
      <c r="L734" s="214"/>
      <c r="M734" s="214"/>
      <c r="N734" s="215"/>
      <c r="O734" s="215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  <c r="AM734" s="216"/>
      <c r="AN734" s="216"/>
      <c r="AO734" s="216"/>
      <c r="AP734" s="216"/>
      <c r="AQ734" s="216"/>
      <c r="AR734" s="216"/>
      <c r="AS734" s="216"/>
      <c r="AT734" s="216"/>
      <c r="AU734" s="216"/>
      <c r="AV734" s="216"/>
      <c r="AW734" s="216"/>
      <c r="AX734" s="216"/>
      <c r="AY734" s="216"/>
      <c r="AZ734" s="216"/>
      <c r="BA734" s="216"/>
      <c r="BB734" s="216"/>
      <c r="BC734" s="216"/>
      <c r="BD734" s="216"/>
      <c r="BE734" s="216"/>
      <c r="BF734" s="216"/>
      <c r="BG734" s="216"/>
      <c r="BH734" s="216"/>
      <c r="BI734" s="216"/>
      <c r="BJ734" s="216"/>
      <c r="BK734" s="216"/>
      <c r="BL734" s="216"/>
      <c r="BM734" s="216"/>
      <c r="BN734" s="216"/>
      <c r="BO734" s="216"/>
      <c r="BP734" s="216"/>
      <c r="BQ734" s="216"/>
      <c r="BR734" s="216"/>
      <c r="BS734" s="216"/>
      <c r="BT734" s="216"/>
      <c r="BU734" s="216"/>
      <c r="BV734" s="216"/>
      <c r="BW734" s="216"/>
      <c r="BX734" s="216"/>
      <c r="BY734" s="216"/>
      <c r="BZ734" s="216"/>
      <c r="CA734" s="216"/>
      <c r="CB734" s="216"/>
      <c r="CC734" s="216"/>
      <c r="CD734" s="216"/>
      <c r="CE734" s="216"/>
      <c r="CF734" s="216"/>
      <c r="CG734" s="216"/>
      <c r="CH734" s="216"/>
      <c r="CI734" s="216"/>
      <c r="CJ734" s="216"/>
      <c r="CK734" s="216"/>
      <c r="CL734" s="216"/>
      <c r="CM734" s="216"/>
      <c r="CN734" s="216"/>
      <c r="CO734" s="216"/>
      <c r="CP734" s="216"/>
      <c r="CQ734" s="216"/>
      <c r="CR734" s="216"/>
      <c r="CS734" s="216"/>
      <c r="CT734" s="216"/>
      <c r="CU734" s="216"/>
      <c r="CV734" s="216"/>
      <c r="CW734" s="216"/>
      <c r="CX734" s="216"/>
      <c r="CY734" s="216"/>
    </row>
    <row r="735" spans="1:103" ht="12.75" x14ac:dyDescent="0.2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214"/>
      <c r="L735" s="214"/>
      <c r="M735" s="214"/>
      <c r="N735" s="215"/>
      <c r="O735" s="215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  <c r="AM735" s="216"/>
      <c r="AN735" s="216"/>
      <c r="AO735" s="216"/>
      <c r="AP735" s="216"/>
      <c r="AQ735" s="216"/>
      <c r="AR735" s="216"/>
      <c r="AS735" s="216"/>
      <c r="AT735" s="216"/>
      <c r="AU735" s="216"/>
      <c r="AV735" s="216"/>
      <c r="AW735" s="216"/>
      <c r="AX735" s="216"/>
      <c r="AY735" s="216"/>
      <c r="AZ735" s="216"/>
      <c r="BA735" s="216"/>
      <c r="BB735" s="216"/>
      <c r="BC735" s="216"/>
      <c r="BD735" s="216"/>
      <c r="BE735" s="216"/>
      <c r="BF735" s="216"/>
      <c r="BG735" s="216"/>
      <c r="BH735" s="216"/>
      <c r="BI735" s="216"/>
      <c r="BJ735" s="216"/>
      <c r="BK735" s="216"/>
      <c r="BL735" s="216"/>
      <c r="BM735" s="216"/>
      <c r="BN735" s="216"/>
      <c r="BO735" s="216"/>
      <c r="BP735" s="216"/>
      <c r="BQ735" s="216"/>
      <c r="BR735" s="216"/>
      <c r="BS735" s="216"/>
      <c r="BT735" s="216"/>
      <c r="BU735" s="216"/>
      <c r="BV735" s="216"/>
      <c r="BW735" s="216"/>
      <c r="BX735" s="216"/>
      <c r="BY735" s="216"/>
      <c r="BZ735" s="216"/>
      <c r="CA735" s="216"/>
      <c r="CB735" s="216"/>
      <c r="CC735" s="216"/>
      <c r="CD735" s="216"/>
      <c r="CE735" s="216"/>
      <c r="CF735" s="216"/>
      <c r="CG735" s="216"/>
      <c r="CH735" s="216"/>
      <c r="CI735" s="216"/>
      <c r="CJ735" s="216"/>
      <c r="CK735" s="216"/>
      <c r="CL735" s="216"/>
      <c r="CM735" s="216"/>
      <c r="CN735" s="216"/>
      <c r="CO735" s="216"/>
      <c r="CP735" s="216"/>
      <c r="CQ735" s="216"/>
      <c r="CR735" s="216"/>
      <c r="CS735" s="216"/>
      <c r="CT735" s="216"/>
      <c r="CU735" s="216"/>
      <c r="CV735" s="216"/>
      <c r="CW735" s="216"/>
      <c r="CX735" s="216"/>
      <c r="CY735" s="216"/>
    </row>
    <row r="736" spans="1:103" ht="12.75" x14ac:dyDescent="0.2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214"/>
      <c r="L736" s="214"/>
      <c r="M736" s="214"/>
      <c r="N736" s="215"/>
      <c r="O736" s="215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  <c r="AM736" s="216"/>
      <c r="AN736" s="216"/>
      <c r="AO736" s="216"/>
      <c r="AP736" s="216"/>
      <c r="AQ736" s="216"/>
      <c r="AR736" s="216"/>
      <c r="AS736" s="216"/>
      <c r="AT736" s="216"/>
      <c r="AU736" s="216"/>
      <c r="AV736" s="216"/>
      <c r="AW736" s="216"/>
      <c r="AX736" s="216"/>
      <c r="AY736" s="216"/>
      <c r="AZ736" s="216"/>
      <c r="BA736" s="216"/>
      <c r="BB736" s="216"/>
      <c r="BC736" s="216"/>
      <c r="BD736" s="216"/>
      <c r="BE736" s="216"/>
      <c r="BF736" s="216"/>
      <c r="BG736" s="216"/>
      <c r="BH736" s="216"/>
      <c r="BI736" s="216"/>
      <c r="BJ736" s="216"/>
      <c r="BK736" s="216"/>
      <c r="BL736" s="216"/>
      <c r="BM736" s="216"/>
      <c r="BN736" s="216"/>
      <c r="BO736" s="216"/>
      <c r="BP736" s="216"/>
      <c r="BQ736" s="216"/>
      <c r="BR736" s="216"/>
      <c r="BS736" s="216"/>
      <c r="BT736" s="216"/>
      <c r="BU736" s="216"/>
      <c r="BV736" s="216"/>
      <c r="BW736" s="216"/>
      <c r="BX736" s="216"/>
      <c r="BY736" s="216"/>
      <c r="BZ736" s="216"/>
      <c r="CA736" s="216"/>
      <c r="CB736" s="216"/>
      <c r="CC736" s="216"/>
      <c r="CD736" s="216"/>
      <c r="CE736" s="216"/>
      <c r="CF736" s="216"/>
      <c r="CG736" s="216"/>
      <c r="CH736" s="216"/>
      <c r="CI736" s="216"/>
      <c r="CJ736" s="216"/>
      <c r="CK736" s="216"/>
      <c r="CL736" s="216"/>
      <c r="CM736" s="216"/>
      <c r="CN736" s="216"/>
      <c r="CO736" s="216"/>
      <c r="CP736" s="216"/>
      <c r="CQ736" s="216"/>
      <c r="CR736" s="216"/>
      <c r="CS736" s="216"/>
      <c r="CT736" s="216"/>
      <c r="CU736" s="216"/>
      <c r="CV736" s="216"/>
      <c r="CW736" s="216"/>
      <c r="CX736" s="216"/>
      <c r="CY736" s="216"/>
    </row>
    <row r="737" spans="1:103" ht="12.75" x14ac:dyDescent="0.2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214"/>
      <c r="L737" s="214"/>
      <c r="M737" s="214"/>
      <c r="N737" s="215"/>
      <c r="O737" s="215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  <c r="AM737" s="216"/>
      <c r="AN737" s="216"/>
      <c r="AO737" s="216"/>
      <c r="AP737" s="216"/>
      <c r="AQ737" s="216"/>
      <c r="AR737" s="216"/>
      <c r="AS737" s="216"/>
      <c r="AT737" s="216"/>
      <c r="AU737" s="216"/>
      <c r="AV737" s="216"/>
      <c r="AW737" s="216"/>
      <c r="AX737" s="216"/>
      <c r="AY737" s="216"/>
      <c r="AZ737" s="216"/>
      <c r="BA737" s="216"/>
      <c r="BB737" s="216"/>
      <c r="BC737" s="216"/>
      <c r="BD737" s="216"/>
      <c r="BE737" s="216"/>
      <c r="BF737" s="216"/>
      <c r="BG737" s="216"/>
      <c r="BH737" s="216"/>
      <c r="BI737" s="216"/>
      <c r="BJ737" s="216"/>
      <c r="BK737" s="216"/>
      <c r="BL737" s="216"/>
      <c r="BM737" s="216"/>
      <c r="BN737" s="216"/>
      <c r="BO737" s="216"/>
      <c r="BP737" s="216"/>
      <c r="BQ737" s="216"/>
      <c r="BR737" s="216"/>
      <c r="BS737" s="216"/>
      <c r="BT737" s="216"/>
      <c r="BU737" s="216"/>
      <c r="BV737" s="216"/>
      <c r="BW737" s="216"/>
      <c r="BX737" s="216"/>
      <c r="BY737" s="216"/>
      <c r="BZ737" s="216"/>
      <c r="CA737" s="216"/>
      <c r="CB737" s="216"/>
      <c r="CC737" s="216"/>
      <c r="CD737" s="216"/>
      <c r="CE737" s="216"/>
      <c r="CF737" s="216"/>
      <c r="CG737" s="216"/>
      <c r="CH737" s="216"/>
      <c r="CI737" s="216"/>
      <c r="CJ737" s="216"/>
      <c r="CK737" s="216"/>
      <c r="CL737" s="216"/>
      <c r="CM737" s="216"/>
      <c r="CN737" s="216"/>
      <c r="CO737" s="216"/>
      <c r="CP737" s="216"/>
      <c r="CQ737" s="216"/>
      <c r="CR737" s="216"/>
      <c r="CS737" s="216"/>
      <c r="CT737" s="216"/>
      <c r="CU737" s="216"/>
      <c r="CV737" s="216"/>
      <c r="CW737" s="216"/>
      <c r="CX737" s="216"/>
      <c r="CY737" s="216"/>
    </row>
    <row r="738" spans="1:103" ht="12.75" x14ac:dyDescent="0.2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214"/>
      <c r="L738" s="214"/>
      <c r="M738" s="214"/>
      <c r="N738" s="215"/>
      <c r="O738" s="215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  <c r="AM738" s="216"/>
      <c r="AN738" s="216"/>
      <c r="AO738" s="216"/>
      <c r="AP738" s="216"/>
      <c r="AQ738" s="216"/>
      <c r="AR738" s="216"/>
      <c r="AS738" s="216"/>
      <c r="AT738" s="216"/>
      <c r="AU738" s="216"/>
      <c r="AV738" s="216"/>
      <c r="AW738" s="216"/>
      <c r="AX738" s="216"/>
      <c r="AY738" s="216"/>
      <c r="AZ738" s="216"/>
      <c r="BA738" s="216"/>
      <c r="BB738" s="216"/>
      <c r="BC738" s="216"/>
      <c r="BD738" s="216"/>
      <c r="BE738" s="216"/>
      <c r="BF738" s="216"/>
      <c r="BG738" s="216"/>
      <c r="BH738" s="216"/>
      <c r="BI738" s="216"/>
      <c r="BJ738" s="216"/>
      <c r="BK738" s="216"/>
      <c r="BL738" s="216"/>
      <c r="BM738" s="216"/>
      <c r="BN738" s="216"/>
      <c r="BO738" s="216"/>
      <c r="BP738" s="216"/>
      <c r="BQ738" s="216"/>
      <c r="BR738" s="216"/>
      <c r="BS738" s="216"/>
      <c r="BT738" s="216"/>
      <c r="BU738" s="216"/>
      <c r="BV738" s="216"/>
      <c r="BW738" s="216"/>
      <c r="BX738" s="216"/>
      <c r="BY738" s="216"/>
      <c r="BZ738" s="216"/>
      <c r="CA738" s="216"/>
      <c r="CB738" s="216"/>
      <c r="CC738" s="216"/>
      <c r="CD738" s="216"/>
      <c r="CE738" s="216"/>
      <c r="CF738" s="216"/>
      <c r="CG738" s="216"/>
      <c r="CH738" s="216"/>
      <c r="CI738" s="216"/>
      <c r="CJ738" s="216"/>
      <c r="CK738" s="216"/>
      <c r="CL738" s="216"/>
      <c r="CM738" s="216"/>
      <c r="CN738" s="216"/>
      <c r="CO738" s="216"/>
      <c r="CP738" s="216"/>
      <c r="CQ738" s="216"/>
      <c r="CR738" s="216"/>
      <c r="CS738" s="216"/>
      <c r="CT738" s="216"/>
      <c r="CU738" s="216"/>
      <c r="CV738" s="216"/>
      <c r="CW738" s="216"/>
      <c r="CX738" s="216"/>
      <c r="CY738" s="216"/>
    </row>
    <row r="739" spans="1:103" ht="12.75" x14ac:dyDescent="0.2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214"/>
      <c r="L739" s="214"/>
      <c r="M739" s="214"/>
      <c r="N739" s="215"/>
      <c r="O739" s="215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16"/>
      <c r="AN739" s="216"/>
      <c r="AO739" s="216"/>
      <c r="AP739" s="216"/>
      <c r="AQ739" s="216"/>
      <c r="AR739" s="216"/>
      <c r="AS739" s="216"/>
      <c r="AT739" s="216"/>
      <c r="AU739" s="216"/>
      <c r="AV739" s="216"/>
      <c r="AW739" s="216"/>
      <c r="AX739" s="216"/>
      <c r="AY739" s="216"/>
      <c r="AZ739" s="216"/>
      <c r="BA739" s="216"/>
      <c r="BB739" s="216"/>
      <c r="BC739" s="216"/>
      <c r="BD739" s="216"/>
      <c r="BE739" s="216"/>
      <c r="BF739" s="216"/>
      <c r="BG739" s="216"/>
      <c r="BH739" s="216"/>
      <c r="BI739" s="216"/>
      <c r="BJ739" s="216"/>
      <c r="BK739" s="216"/>
      <c r="BL739" s="216"/>
      <c r="BM739" s="216"/>
      <c r="BN739" s="216"/>
      <c r="BO739" s="216"/>
      <c r="BP739" s="216"/>
      <c r="BQ739" s="216"/>
      <c r="BR739" s="216"/>
      <c r="BS739" s="216"/>
      <c r="BT739" s="216"/>
      <c r="BU739" s="216"/>
      <c r="BV739" s="216"/>
      <c r="BW739" s="216"/>
      <c r="BX739" s="216"/>
      <c r="BY739" s="216"/>
      <c r="BZ739" s="216"/>
      <c r="CA739" s="216"/>
      <c r="CB739" s="216"/>
      <c r="CC739" s="216"/>
      <c r="CD739" s="216"/>
      <c r="CE739" s="216"/>
      <c r="CF739" s="216"/>
      <c r="CG739" s="216"/>
      <c r="CH739" s="216"/>
      <c r="CI739" s="216"/>
      <c r="CJ739" s="216"/>
      <c r="CK739" s="216"/>
      <c r="CL739" s="216"/>
      <c r="CM739" s="216"/>
      <c r="CN739" s="216"/>
      <c r="CO739" s="216"/>
      <c r="CP739" s="216"/>
      <c r="CQ739" s="216"/>
      <c r="CR739" s="216"/>
      <c r="CS739" s="216"/>
      <c r="CT739" s="216"/>
      <c r="CU739" s="216"/>
      <c r="CV739" s="216"/>
      <c r="CW739" s="216"/>
      <c r="CX739" s="216"/>
      <c r="CY739" s="216"/>
    </row>
    <row r="740" spans="1:103" ht="12.75" x14ac:dyDescent="0.2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214"/>
      <c r="L740" s="214"/>
      <c r="M740" s="214"/>
      <c r="N740" s="215"/>
      <c r="O740" s="215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16"/>
      <c r="AN740" s="216"/>
      <c r="AO740" s="216"/>
      <c r="AP740" s="216"/>
      <c r="AQ740" s="216"/>
      <c r="AR740" s="216"/>
      <c r="AS740" s="216"/>
      <c r="AT740" s="216"/>
      <c r="AU740" s="216"/>
      <c r="AV740" s="216"/>
      <c r="AW740" s="216"/>
      <c r="AX740" s="216"/>
      <c r="AY740" s="216"/>
      <c r="AZ740" s="216"/>
      <c r="BA740" s="216"/>
      <c r="BB740" s="216"/>
      <c r="BC740" s="216"/>
      <c r="BD740" s="216"/>
      <c r="BE740" s="216"/>
      <c r="BF740" s="216"/>
      <c r="BG740" s="216"/>
      <c r="BH740" s="216"/>
      <c r="BI740" s="216"/>
      <c r="BJ740" s="216"/>
      <c r="BK740" s="216"/>
      <c r="BL740" s="216"/>
      <c r="BM740" s="216"/>
      <c r="BN740" s="216"/>
      <c r="BO740" s="216"/>
      <c r="BP740" s="216"/>
      <c r="BQ740" s="216"/>
      <c r="BR740" s="216"/>
      <c r="BS740" s="216"/>
      <c r="BT740" s="216"/>
      <c r="BU740" s="216"/>
      <c r="BV740" s="216"/>
      <c r="BW740" s="216"/>
      <c r="BX740" s="216"/>
      <c r="BY740" s="216"/>
      <c r="BZ740" s="216"/>
      <c r="CA740" s="216"/>
      <c r="CB740" s="216"/>
      <c r="CC740" s="216"/>
      <c r="CD740" s="216"/>
      <c r="CE740" s="216"/>
      <c r="CF740" s="216"/>
      <c r="CG740" s="216"/>
      <c r="CH740" s="216"/>
      <c r="CI740" s="216"/>
      <c r="CJ740" s="216"/>
      <c r="CK740" s="216"/>
      <c r="CL740" s="216"/>
      <c r="CM740" s="216"/>
      <c r="CN740" s="216"/>
      <c r="CO740" s="216"/>
      <c r="CP740" s="216"/>
      <c r="CQ740" s="216"/>
      <c r="CR740" s="216"/>
      <c r="CS740" s="216"/>
      <c r="CT740" s="216"/>
      <c r="CU740" s="216"/>
      <c r="CV740" s="216"/>
      <c r="CW740" s="216"/>
      <c r="CX740" s="216"/>
      <c r="CY740" s="216"/>
    </row>
    <row r="741" spans="1:103" ht="12.75" x14ac:dyDescent="0.2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214"/>
      <c r="L741" s="214"/>
      <c r="M741" s="214"/>
      <c r="N741" s="215"/>
      <c r="O741" s="215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16"/>
      <c r="AN741" s="216"/>
      <c r="AO741" s="216"/>
      <c r="AP741" s="216"/>
      <c r="AQ741" s="216"/>
      <c r="AR741" s="216"/>
      <c r="AS741" s="216"/>
      <c r="AT741" s="216"/>
      <c r="AU741" s="216"/>
      <c r="AV741" s="216"/>
      <c r="AW741" s="216"/>
      <c r="AX741" s="216"/>
      <c r="AY741" s="216"/>
      <c r="AZ741" s="216"/>
      <c r="BA741" s="216"/>
      <c r="BB741" s="216"/>
      <c r="BC741" s="216"/>
      <c r="BD741" s="216"/>
      <c r="BE741" s="216"/>
      <c r="BF741" s="216"/>
      <c r="BG741" s="216"/>
      <c r="BH741" s="216"/>
      <c r="BI741" s="216"/>
      <c r="BJ741" s="216"/>
      <c r="BK741" s="216"/>
      <c r="BL741" s="216"/>
      <c r="BM741" s="216"/>
      <c r="BN741" s="216"/>
      <c r="BO741" s="216"/>
      <c r="BP741" s="216"/>
      <c r="BQ741" s="216"/>
      <c r="BR741" s="216"/>
      <c r="BS741" s="216"/>
      <c r="BT741" s="216"/>
      <c r="BU741" s="216"/>
      <c r="BV741" s="216"/>
      <c r="BW741" s="216"/>
      <c r="BX741" s="216"/>
      <c r="BY741" s="216"/>
      <c r="BZ741" s="216"/>
      <c r="CA741" s="216"/>
      <c r="CB741" s="216"/>
      <c r="CC741" s="216"/>
      <c r="CD741" s="216"/>
      <c r="CE741" s="216"/>
      <c r="CF741" s="216"/>
      <c r="CG741" s="216"/>
      <c r="CH741" s="216"/>
      <c r="CI741" s="216"/>
      <c r="CJ741" s="216"/>
      <c r="CK741" s="216"/>
      <c r="CL741" s="216"/>
      <c r="CM741" s="216"/>
      <c r="CN741" s="216"/>
      <c r="CO741" s="216"/>
      <c r="CP741" s="216"/>
      <c r="CQ741" s="216"/>
      <c r="CR741" s="216"/>
      <c r="CS741" s="216"/>
      <c r="CT741" s="216"/>
      <c r="CU741" s="216"/>
      <c r="CV741" s="216"/>
      <c r="CW741" s="216"/>
      <c r="CX741" s="216"/>
      <c r="CY741" s="216"/>
    </row>
    <row r="742" spans="1:103" ht="12.75" x14ac:dyDescent="0.2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214"/>
      <c r="L742" s="214"/>
      <c r="M742" s="214"/>
      <c r="N742" s="215"/>
      <c r="O742" s="215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16"/>
      <c r="AN742" s="216"/>
      <c r="AO742" s="216"/>
      <c r="AP742" s="216"/>
      <c r="AQ742" s="216"/>
      <c r="AR742" s="216"/>
      <c r="AS742" s="216"/>
      <c r="AT742" s="216"/>
      <c r="AU742" s="216"/>
      <c r="AV742" s="216"/>
      <c r="AW742" s="216"/>
      <c r="AX742" s="216"/>
      <c r="AY742" s="216"/>
      <c r="AZ742" s="216"/>
      <c r="BA742" s="216"/>
      <c r="BB742" s="216"/>
      <c r="BC742" s="216"/>
      <c r="BD742" s="216"/>
      <c r="BE742" s="216"/>
      <c r="BF742" s="216"/>
      <c r="BG742" s="216"/>
      <c r="BH742" s="216"/>
      <c r="BI742" s="216"/>
      <c r="BJ742" s="216"/>
      <c r="BK742" s="216"/>
      <c r="BL742" s="216"/>
      <c r="BM742" s="216"/>
      <c r="BN742" s="216"/>
      <c r="BO742" s="216"/>
      <c r="BP742" s="216"/>
      <c r="BQ742" s="216"/>
      <c r="BR742" s="216"/>
      <c r="BS742" s="216"/>
      <c r="BT742" s="216"/>
      <c r="BU742" s="216"/>
      <c r="BV742" s="216"/>
      <c r="BW742" s="216"/>
      <c r="BX742" s="216"/>
      <c r="BY742" s="216"/>
      <c r="BZ742" s="216"/>
      <c r="CA742" s="216"/>
      <c r="CB742" s="216"/>
      <c r="CC742" s="216"/>
      <c r="CD742" s="216"/>
      <c r="CE742" s="216"/>
      <c r="CF742" s="216"/>
      <c r="CG742" s="216"/>
      <c r="CH742" s="216"/>
      <c r="CI742" s="216"/>
      <c r="CJ742" s="216"/>
      <c r="CK742" s="216"/>
      <c r="CL742" s="216"/>
      <c r="CM742" s="216"/>
      <c r="CN742" s="216"/>
      <c r="CO742" s="216"/>
      <c r="CP742" s="216"/>
      <c r="CQ742" s="216"/>
      <c r="CR742" s="216"/>
      <c r="CS742" s="216"/>
      <c r="CT742" s="216"/>
      <c r="CU742" s="216"/>
      <c r="CV742" s="216"/>
      <c r="CW742" s="216"/>
      <c r="CX742" s="216"/>
      <c r="CY742" s="216"/>
    </row>
    <row r="743" spans="1:103" ht="12.75" x14ac:dyDescent="0.2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214"/>
      <c r="L743" s="214"/>
      <c r="M743" s="214"/>
      <c r="N743" s="215"/>
      <c r="O743" s="215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16"/>
      <c r="AN743" s="216"/>
      <c r="AO743" s="216"/>
      <c r="AP743" s="216"/>
      <c r="AQ743" s="216"/>
      <c r="AR743" s="216"/>
      <c r="AS743" s="216"/>
      <c r="AT743" s="216"/>
      <c r="AU743" s="216"/>
      <c r="AV743" s="216"/>
      <c r="AW743" s="216"/>
      <c r="AX743" s="216"/>
      <c r="AY743" s="216"/>
      <c r="AZ743" s="216"/>
      <c r="BA743" s="216"/>
      <c r="BB743" s="216"/>
      <c r="BC743" s="216"/>
      <c r="BD743" s="216"/>
      <c r="BE743" s="216"/>
      <c r="BF743" s="216"/>
      <c r="BG743" s="216"/>
      <c r="BH743" s="216"/>
      <c r="BI743" s="216"/>
      <c r="BJ743" s="216"/>
      <c r="BK743" s="216"/>
      <c r="BL743" s="216"/>
      <c r="BM743" s="216"/>
      <c r="BN743" s="216"/>
      <c r="BO743" s="216"/>
      <c r="BP743" s="216"/>
      <c r="BQ743" s="216"/>
      <c r="BR743" s="216"/>
      <c r="BS743" s="216"/>
      <c r="BT743" s="216"/>
      <c r="BU743" s="216"/>
      <c r="BV743" s="216"/>
      <c r="BW743" s="216"/>
      <c r="BX743" s="216"/>
      <c r="BY743" s="216"/>
      <c r="BZ743" s="216"/>
      <c r="CA743" s="216"/>
      <c r="CB743" s="216"/>
      <c r="CC743" s="216"/>
      <c r="CD743" s="216"/>
      <c r="CE743" s="216"/>
      <c r="CF743" s="216"/>
      <c r="CG743" s="216"/>
      <c r="CH743" s="216"/>
      <c r="CI743" s="216"/>
      <c r="CJ743" s="216"/>
      <c r="CK743" s="216"/>
      <c r="CL743" s="216"/>
      <c r="CM743" s="216"/>
      <c r="CN743" s="216"/>
      <c r="CO743" s="216"/>
      <c r="CP743" s="216"/>
      <c r="CQ743" s="216"/>
      <c r="CR743" s="216"/>
      <c r="CS743" s="216"/>
      <c r="CT743" s="216"/>
      <c r="CU743" s="216"/>
      <c r="CV743" s="216"/>
      <c r="CW743" s="216"/>
      <c r="CX743" s="216"/>
      <c r="CY743" s="216"/>
    </row>
    <row r="744" spans="1:103" ht="12.75" x14ac:dyDescent="0.2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214"/>
      <c r="L744" s="214"/>
      <c r="M744" s="214"/>
      <c r="N744" s="215"/>
      <c r="O744" s="215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16"/>
      <c r="AN744" s="216"/>
      <c r="AO744" s="216"/>
      <c r="AP744" s="216"/>
      <c r="AQ744" s="216"/>
      <c r="AR744" s="216"/>
      <c r="AS744" s="216"/>
      <c r="AT744" s="216"/>
      <c r="AU744" s="216"/>
      <c r="AV744" s="216"/>
      <c r="AW744" s="216"/>
      <c r="AX744" s="216"/>
      <c r="AY744" s="216"/>
      <c r="AZ744" s="216"/>
      <c r="BA744" s="216"/>
      <c r="BB744" s="216"/>
      <c r="BC744" s="216"/>
      <c r="BD744" s="216"/>
      <c r="BE744" s="216"/>
      <c r="BF744" s="216"/>
      <c r="BG744" s="216"/>
      <c r="BH744" s="216"/>
      <c r="BI744" s="216"/>
      <c r="BJ744" s="216"/>
      <c r="BK744" s="216"/>
      <c r="BL744" s="216"/>
      <c r="BM744" s="216"/>
      <c r="BN744" s="216"/>
      <c r="BO744" s="216"/>
      <c r="BP744" s="216"/>
      <c r="BQ744" s="216"/>
      <c r="BR744" s="216"/>
      <c r="BS744" s="216"/>
      <c r="BT744" s="216"/>
      <c r="BU744" s="216"/>
      <c r="BV744" s="216"/>
      <c r="BW744" s="216"/>
      <c r="BX744" s="216"/>
      <c r="BY744" s="216"/>
      <c r="BZ744" s="216"/>
      <c r="CA744" s="216"/>
      <c r="CB744" s="216"/>
      <c r="CC744" s="216"/>
      <c r="CD744" s="216"/>
      <c r="CE744" s="216"/>
      <c r="CF744" s="216"/>
      <c r="CG744" s="216"/>
      <c r="CH744" s="216"/>
      <c r="CI744" s="216"/>
      <c r="CJ744" s="216"/>
      <c r="CK744" s="216"/>
      <c r="CL744" s="216"/>
      <c r="CM744" s="216"/>
      <c r="CN744" s="216"/>
      <c r="CO744" s="216"/>
      <c r="CP744" s="216"/>
      <c r="CQ744" s="216"/>
      <c r="CR744" s="216"/>
      <c r="CS744" s="216"/>
      <c r="CT744" s="216"/>
      <c r="CU744" s="216"/>
      <c r="CV744" s="216"/>
      <c r="CW744" s="216"/>
      <c r="CX744" s="216"/>
      <c r="CY744" s="216"/>
    </row>
    <row r="745" spans="1:103" ht="12.75" x14ac:dyDescent="0.2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214"/>
      <c r="L745" s="214"/>
      <c r="M745" s="214"/>
      <c r="N745" s="215"/>
      <c r="O745" s="215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16"/>
      <c r="AN745" s="216"/>
      <c r="AO745" s="216"/>
      <c r="AP745" s="216"/>
      <c r="AQ745" s="216"/>
      <c r="AR745" s="216"/>
      <c r="AS745" s="216"/>
      <c r="AT745" s="216"/>
      <c r="AU745" s="216"/>
      <c r="AV745" s="216"/>
      <c r="AW745" s="216"/>
      <c r="AX745" s="216"/>
      <c r="AY745" s="216"/>
      <c r="AZ745" s="216"/>
      <c r="BA745" s="216"/>
      <c r="BB745" s="216"/>
      <c r="BC745" s="216"/>
      <c r="BD745" s="216"/>
      <c r="BE745" s="216"/>
      <c r="BF745" s="216"/>
      <c r="BG745" s="216"/>
      <c r="BH745" s="216"/>
      <c r="BI745" s="216"/>
      <c r="BJ745" s="216"/>
      <c r="BK745" s="216"/>
      <c r="BL745" s="216"/>
      <c r="BM745" s="216"/>
      <c r="BN745" s="216"/>
      <c r="BO745" s="216"/>
      <c r="BP745" s="216"/>
      <c r="BQ745" s="216"/>
      <c r="BR745" s="216"/>
      <c r="BS745" s="216"/>
      <c r="BT745" s="216"/>
      <c r="BU745" s="216"/>
      <c r="BV745" s="216"/>
      <c r="BW745" s="216"/>
      <c r="BX745" s="216"/>
      <c r="BY745" s="216"/>
      <c r="BZ745" s="216"/>
      <c r="CA745" s="216"/>
      <c r="CB745" s="216"/>
      <c r="CC745" s="216"/>
      <c r="CD745" s="216"/>
      <c r="CE745" s="216"/>
      <c r="CF745" s="216"/>
      <c r="CG745" s="216"/>
      <c r="CH745" s="216"/>
      <c r="CI745" s="216"/>
      <c r="CJ745" s="216"/>
      <c r="CK745" s="216"/>
      <c r="CL745" s="216"/>
      <c r="CM745" s="216"/>
      <c r="CN745" s="216"/>
      <c r="CO745" s="216"/>
      <c r="CP745" s="216"/>
      <c r="CQ745" s="216"/>
      <c r="CR745" s="216"/>
      <c r="CS745" s="216"/>
      <c r="CT745" s="216"/>
      <c r="CU745" s="216"/>
      <c r="CV745" s="216"/>
      <c r="CW745" s="216"/>
      <c r="CX745" s="216"/>
      <c r="CY745" s="216"/>
    </row>
    <row r="746" spans="1:103" ht="12.75" x14ac:dyDescent="0.2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214"/>
      <c r="L746" s="214"/>
      <c r="M746" s="214"/>
      <c r="N746" s="215"/>
      <c r="O746" s="215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16"/>
      <c r="AN746" s="216"/>
      <c r="AO746" s="216"/>
      <c r="AP746" s="216"/>
      <c r="AQ746" s="216"/>
      <c r="AR746" s="216"/>
      <c r="AS746" s="216"/>
      <c r="AT746" s="216"/>
      <c r="AU746" s="216"/>
      <c r="AV746" s="216"/>
      <c r="AW746" s="216"/>
      <c r="AX746" s="216"/>
      <c r="AY746" s="216"/>
      <c r="AZ746" s="216"/>
      <c r="BA746" s="216"/>
      <c r="BB746" s="216"/>
      <c r="BC746" s="216"/>
      <c r="BD746" s="216"/>
      <c r="BE746" s="216"/>
      <c r="BF746" s="216"/>
      <c r="BG746" s="216"/>
      <c r="BH746" s="216"/>
      <c r="BI746" s="216"/>
      <c r="BJ746" s="216"/>
      <c r="BK746" s="216"/>
      <c r="BL746" s="216"/>
      <c r="BM746" s="216"/>
      <c r="BN746" s="216"/>
      <c r="BO746" s="216"/>
      <c r="BP746" s="216"/>
      <c r="BQ746" s="216"/>
      <c r="BR746" s="216"/>
      <c r="BS746" s="216"/>
      <c r="BT746" s="216"/>
      <c r="BU746" s="216"/>
      <c r="BV746" s="216"/>
      <c r="BW746" s="216"/>
      <c r="BX746" s="216"/>
      <c r="BY746" s="216"/>
      <c r="BZ746" s="216"/>
      <c r="CA746" s="216"/>
      <c r="CB746" s="216"/>
      <c r="CC746" s="216"/>
      <c r="CD746" s="216"/>
      <c r="CE746" s="216"/>
      <c r="CF746" s="216"/>
      <c r="CG746" s="216"/>
      <c r="CH746" s="216"/>
      <c r="CI746" s="216"/>
      <c r="CJ746" s="216"/>
      <c r="CK746" s="216"/>
      <c r="CL746" s="216"/>
      <c r="CM746" s="216"/>
      <c r="CN746" s="216"/>
      <c r="CO746" s="216"/>
      <c r="CP746" s="216"/>
      <c r="CQ746" s="216"/>
      <c r="CR746" s="216"/>
      <c r="CS746" s="216"/>
      <c r="CT746" s="216"/>
      <c r="CU746" s="216"/>
      <c r="CV746" s="216"/>
      <c r="CW746" s="216"/>
      <c r="CX746" s="216"/>
      <c r="CY746" s="216"/>
    </row>
    <row r="747" spans="1:103" ht="12.75" x14ac:dyDescent="0.2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214"/>
      <c r="L747" s="214"/>
      <c r="M747" s="214"/>
      <c r="N747" s="215"/>
      <c r="O747" s="215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16"/>
      <c r="AN747" s="216"/>
      <c r="AO747" s="216"/>
      <c r="AP747" s="216"/>
      <c r="AQ747" s="216"/>
      <c r="AR747" s="216"/>
      <c r="AS747" s="216"/>
      <c r="AT747" s="216"/>
      <c r="AU747" s="216"/>
      <c r="AV747" s="216"/>
      <c r="AW747" s="216"/>
      <c r="AX747" s="216"/>
      <c r="AY747" s="216"/>
      <c r="AZ747" s="216"/>
      <c r="BA747" s="216"/>
      <c r="BB747" s="216"/>
      <c r="BC747" s="216"/>
      <c r="BD747" s="216"/>
      <c r="BE747" s="216"/>
      <c r="BF747" s="216"/>
      <c r="BG747" s="216"/>
      <c r="BH747" s="216"/>
      <c r="BI747" s="216"/>
      <c r="BJ747" s="216"/>
      <c r="BK747" s="216"/>
      <c r="BL747" s="216"/>
      <c r="BM747" s="216"/>
      <c r="BN747" s="216"/>
      <c r="BO747" s="216"/>
      <c r="BP747" s="216"/>
      <c r="BQ747" s="216"/>
      <c r="BR747" s="216"/>
      <c r="BS747" s="216"/>
      <c r="BT747" s="216"/>
      <c r="BU747" s="216"/>
      <c r="BV747" s="216"/>
      <c r="BW747" s="216"/>
      <c r="BX747" s="216"/>
      <c r="BY747" s="216"/>
      <c r="BZ747" s="216"/>
      <c r="CA747" s="216"/>
      <c r="CB747" s="216"/>
      <c r="CC747" s="216"/>
      <c r="CD747" s="216"/>
      <c r="CE747" s="216"/>
      <c r="CF747" s="216"/>
      <c r="CG747" s="216"/>
      <c r="CH747" s="216"/>
      <c r="CI747" s="216"/>
      <c r="CJ747" s="216"/>
      <c r="CK747" s="216"/>
      <c r="CL747" s="216"/>
      <c r="CM747" s="216"/>
      <c r="CN747" s="216"/>
      <c r="CO747" s="216"/>
      <c r="CP747" s="216"/>
      <c r="CQ747" s="216"/>
      <c r="CR747" s="216"/>
      <c r="CS747" s="216"/>
      <c r="CT747" s="216"/>
      <c r="CU747" s="216"/>
      <c r="CV747" s="216"/>
      <c r="CW747" s="216"/>
      <c r="CX747" s="216"/>
      <c r="CY747" s="216"/>
    </row>
    <row r="748" spans="1:103" ht="12.75" x14ac:dyDescent="0.2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214"/>
      <c r="L748" s="214"/>
      <c r="M748" s="214"/>
      <c r="N748" s="215"/>
      <c r="O748" s="215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16"/>
      <c r="AN748" s="216"/>
      <c r="AO748" s="216"/>
      <c r="AP748" s="216"/>
      <c r="AQ748" s="216"/>
      <c r="AR748" s="216"/>
      <c r="AS748" s="216"/>
      <c r="AT748" s="216"/>
      <c r="AU748" s="216"/>
      <c r="AV748" s="216"/>
      <c r="AW748" s="216"/>
      <c r="AX748" s="216"/>
      <c r="AY748" s="216"/>
      <c r="AZ748" s="216"/>
      <c r="BA748" s="216"/>
      <c r="BB748" s="216"/>
      <c r="BC748" s="216"/>
      <c r="BD748" s="216"/>
      <c r="BE748" s="216"/>
      <c r="BF748" s="216"/>
      <c r="BG748" s="216"/>
      <c r="BH748" s="216"/>
      <c r="BI748" s="216"/>
      <c r="BJ748" s="216"/>
      <c r="BK748" s="216"/>
      <c r="BL748" s="216"/>
      <c r="BM748" s="216"/>
      <c r="BN748" s="216"/>
      <c r="BO748" s="216"/>
      <c r="BP748" s="216"/>
      <c r="BQ748" s="216"/>
      <c r="BR748" s="216"/>
      <c r="BS748" s="216"/>
      <c r="BT748" s="216"/>
      <c r="BU748" s="216"/>
      <c r="BV748" s="216"/>
      <c r="BW748" s="216"/>
      <c r="BX748" s="216"/>
      <c r="BY748" s="216"/>
      <c r="BZ748" s="216"/>
      <c r="CA748" s="216"/>
      <c r="CB748" s="216"/>
      <c r="CC748" s="216"/>
      <c r="CD748" s="216"/>
      <c r="CE748" s="216"/>
      <c r="CF748" s="216"/>
      <c r="CG748" s="216"/>
      <c r="CH748" s="216"/>
      <c r="CI748" s="216"/>
      <c r="CJ748" s="216"/>
      <c r="CK748" s="216"/>
      <c r="CL748" s="216"/>
      <c r="CM748" s="216"/>
      <c r="CN748" s="216"/>
      <c r="CO748" s="216"/>
      <c r="CP748" s="216"/>
      <c r="CQ748" s="216"/>
      <c r="CR748" s="216"/>
      <c r="CS748" s="216"/>
      <c r="CT748" s="216"/>
      <c r="CU748" s="216"/>
      <c r="CV748" s="216"/>
      <c r="CW748" s="216"/>
      <c r="CX748" s="216"/>
      <c r="CY748" s="216"/>
    </row>
    <row r="749" spans="1:103" ht="12.75" x14ac:dyDescent="0.2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214"/>
      <c r="L749" s="214"/>
      <c r="M749" s="214"/>
      <c r="N749" s="215"/>
      <c r="O749" s="215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  <c r="AM749" s="216"/>
      <c r="AN749" s="216"/>
      <c r="AO749" s="216"/>
      <c r="AP749" s="216"/>
      <c r="AQ749" s="216"/>
      <c r="AR749" s="216"/>
      <c r="AS749" s="216"/>
      <c r="AT749" s="216"/>
      <c r="AU749" s="216"/>
      <c r="AV749" s="216"/>
      <c r="AW749" s="216"/>
      <c r="AX749" s="216"/>
      <c r="AY749" s="216"/>
      <c r="AZ749" s="216"/>
      <c r="BA749" s="216"/>
      <c r="BB749" s="216"/>
      <c r="BC749" s="216"/>
      <c r="BD749" s="216"/>
      <c r="BE749" s="216"/>
      <c r="BF749" s="216"/>
      <c r="BG749" s="216"/>
      <c r="BH749" s="216"/>
      <c r="BI749" s="216"/>
      <c r="BJ749" s="216"/>
      <c r="BK749" s="216"/>
      <c r="BL749" s="216"/>
      <c r="BM749" s="216"/>
      <c r="BN749" s="216"/>
      <c r="BO749" s="216"/>
      <c r="BP749" s="216"/>
      <c r="BQ749" s="216"/>
      <c r="BR749" s="216"/>
      <c r="BS749" s="216"/>
      <c r="BT749" s="216"/>
      <c r="BU749" s="216"/>
      <c r="BV749" s="216"/>
      <c r="BW749" s="216"/>
      <c r="BX749" s="216"/>
      <c r="BY749" s="216"/>
      <c r="BZ749" s="216"/>
      <c r="CA749" s="216"/>
      <c r="CB749" s="216"/>
      <c r="CC749" s="216"/>
      <c r="CD749" s="216"/>
      <c r="CE749" s="216"/>
      <c r="CF749" s="216"/>
      <c r="CG749" s="216"/>
      <c r="CH749" s="216"/>
      <c r="CI749" s="216"/>
      <c r="CJ749" s="216"/>
      <c r="CK749" s="216"/>
      <c r="CL749" s="216"/>
      <c r="CM749" s="216"/>
      <c r="CN749" s="216"/>
      <c r="CO749" s="216"/>
      <c r="CP749" s="216"/>
      <c r="CQ749" s="216"/>
      <c r="CR749" s="216"/>
      <c r="CS749" s="216"/>
      <c r="CT749" s="216"/>
      <c r="CU749" s="216"/>
      <c r="CV749" s="216"/>
      <c r="CW749" s="216"/>
      <c r="CX749" s="216"/>
      <c r="CY749" s="216"/>
    </row>
    <row r="750" spans="1:103" ht="12.75" x14ac:dyDescent="0.2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214"/>
      <c r="L750" s="214"/>
      <c r="M750" s="214"/>
      <c r="N750" s="215"/>
      <c r="O750" s="215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16"/>
      <c r="AN750" s="216"/>
      <c r="AO750" s="216"/>
      <c r="AP750" s="216"/>
      <c r="AQ750" s="216"/>
      <c r="AR750" s="216"/>
      <c r="AS750" s="216"/>
      <c r="AT750" s="216"/>
      <c r="AU750" s="216"/>
      <c r="AV750" s="216"/>
      <c r="AW750" s="216"/>
      <c r="AX750" s="216"/>
      <c r="AY750" s="216"/>
      <c r="AZ750" s="216"/>
      <c r="BA750" s="216"/>
      <c r="BB750" s="216"/>
      <c r="BC750" s="216"/>
      <c r="BD750" s="216"/>
      <c r="BE750" s="216"/>
      <c r="BF750" s="216"/>
      <c r="BG750" s="216"/>
      <c r="BH750" s="216"/>
      <c r="BI750" s="216"/>
      <c r="BJ750" s="216"/>
      <c r="BK750" s="216"/>
      <c r="BL750" s="216"/>
      <c r="BM750" s="216"/>
      <c r="BN750" s="216"/>
      <c r="BO750" s="216"/>
      <c r="BP750" s="216"/>
      <c r="BQ750" s="216"/>
      <c r="BR750" s="216"/>
      <c r="BS750" s="216"/>
      <c r="BT750" s="216"/>
      <c r="BU750" s="216"/>
      <c r="BV750" s="216"/>
      <c r="BW750" s="216"/>
      <c r="BX750" s="216"/>
      <c r="BY750" s="216"/>
      <c r="BZ750" s="216"/>
      <c r="CA750" s="216"/>
      <c r="CB750" s="216"/>
      <c r="CC750" s="216"/>
      <c r="CD750" s="216"/>
      <c r="CE750" s="216"/>
      <c r="CF750" s="216"/>
      <c r="CG750" s="216"/>
      <c r="CH750" s="216"/>
      <c r="CI750" s="216"/>
      <c r="CJ750" s="216"/>
      <c r="CK750" s="216"/>
      <c r="CL750" s="216"/>
      <c r="CM750" s="216"/>
      <c r="CN750" s="216"/>
      <c r="CO750" s="216"/>
      <c r="CP750" s="216"/>
      <c r="CQ750" s="216"/>
      <c r="CR750" s="216"/>
      <c r="CS750" s="216"/>
      <c r="CT750" s="216"/>
      <c r="CU750" s="216"/>
      <c r="CV750" s="216"/>
      <c r="CW750" s="216"/>
      <c r="CX750" s="216"/>
      <c r="CY750" s="216"/>
    </row>
    <row r="751" spans="1:103" ht="12.75" x14ac:dyDescent="0.2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214"/>
      <c r="L751" s="214"/>
      <c r="M751" s="214"/>
      <c r="N751" s="215"/>
      <c r="O751" s="215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16"/>
      <c r="AN751" s="216"/>
      <c r="AO751" s="216"/>
      <c r="AP751" s="216"/>
      <c r="AQ751" s="216"/>
      <c r="AR751" s="216"/>
      <c r="AS751" s="216"/>
      <c r="AT751" s="216"/>
      <c r="AU751" s="216"/>
      <c r="AV751" s="216"/>
      <c r="AW751" s="216"/>
      <c r="AX751" s="216"/>
      <c r="AY751" s="216"/>
      <c r="AZ751" s="216"/>
      <c r="BA751" s="216"/>
      <c r="BB751" s="216"/>
      <c r="BC751" s="216"/>
      <c r="BD751" s="216"/>
      <c r="BE751" s="216"/>
      <c r="BF751" s="216"/>
      <c r="BG751" s="216"/>
      <c r="BH751" s="216"/>
      <c r="BI751" s="216"/>
      <c r="BJ751" s="216"/>
      <c r="BK751" s="216"/>
      <c r="BL751" s="216"/>
      <c r="BM751" s="216"/>
      <c r="BN751" s="216"/>
      <c r="BO751" s="216"/>
      <c r="BP751" s="216"/>
      <c r="BQ751" s="216"/>
      <c r="BR751" s="216"/>
      <c r="BS751" s="216"/>
      <c r="BT751" s="216"/>
      <c r="BU751" s="216"/>
      <c r="BV751" s="216"/>
      <c r="BW751" s="216"/>
      <c r="BX751" s="216"/>
      <c r="BY751" s="216"/>
      <c r="BZ751" s="216"/>
      <c r="CA751" s="216"/>
      <c r="CB751" s="216"/>
      <c r="CC751" s="216"/>
      <c r="CD751" s="216"/>
      <c r="CE751" s="216"/>
      <c r="CF751" s="216"/>
      <c r="CG751" s="216"/>
      <c r="CH751" s="216"/>
      <c r="CI751" s="216"/>
      <c r="CJ751" s="216"/>
      <c r="CK751" s="216"/>
      <c r="CL751" s="216"/>
      <c r="CM751" s="216"/>
      <c r="CN751" s="216"/>
      <c r="CO751" s="216"/>
      <c r="CP751" s="216"/>
      <c r="CQ751" s="216"/>
      <c r="CR751" s="216"/>
      <c r="CS751" s="216"/>
      <c r="CT751" s="216"/>
      <c r="CU751" s="216"/>
      <c r="CV751" s="216"/>
      <c r="CW751" s="216"/>
      <c r="CX751" s="216"/>
      <c r="CY751" s="216"/>
    </row>
    <row r="752" spans="1:103" ht="12.75" x14ac:dyDescent="0.2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214"/>
      <c r="L752" s="214"/>
      <c r="M752" s="214"/>
      <c r="N752" s="215"/>
      <c r="O752" s="215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  <c r="BI752" s="216"/>
      <c r="BJ752" s="216"/>
      <c r="BK752" s="216"/>
      <c r="BL752" s="216"/>
      <c r="BM752" s="216"/>
      <c r="BN752" s="216"/>
      <c r="BO752" s="216"/>
      <c r="BP752" s="216"/>
      <c r="BQ752" s="216"/>
      <c r="BR752" s="216"/>
      <c r="BS752" s="216"/>
      <c r="BT752" s="216"/>
      <c r="BU752" s="216"/>
      <c r="BV752" s="216"/>
      <c r="BW752" s="216"/>
      <c r="BX752" s="216"/>
      <c r="BY752" s="216"/>
      <c r="BZ752" s="216"/>
      <c r="CA752" s="216"/>
      <c r="CB752" s="216"/>
      <c r="CC752" s="216"/>
      <c r="CD752" s="216"/>
      <c r="CE752" s="216"/>
      <c r="CF752" s="216"/>
      <c r="CG752" s="216"/>
      <c r="CH752" s="216"/>
      <c r="CI752" s="216"/>
      <c r="CJ752" s="216"/>
      <c r="CK752" s="216"/>
      <c r="CL752" s="216"/>
      <c r="CM752" s="216"/>
      <c r="CN752" s="216"/>
      <c r="CO752" s="216"/>
      <c r="CP752" s="216"/>
      <c r="CQ752" s="216"/>
      <c r="CR752" s="216"/>
      <c r="CS752" s="216"/>
      <c r="CT752" s="216"/>
      <c r="CU752" s="216"/>
      <c r="CV752" s="216"/>
      <c r="CW752" s="216"/>
      <c r="CX752" s="216"/>
      <c r="CY752" s="216"/>
    </row>
    <row r="753" spans="1:103" ht="12.75" x14ac:dyDescent="0.2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214"/>
      <c r="L753" s="214"/>
      <c r="M753" s="214"/>
      <c r="N753" s="215"/>
      <c r="O753" s="215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6"/>
      <c r="AT753" s="216"/>
      <c r="AU753" s="216"/>
      <c r="AV753" s="216"/>
      <c r="AW753" s="216"/>
      <c r="AX753" s="216"/>
      <c r="AY753" s="216"/>
      <c r="AZ753" s="216"/>
      <c r="BA753" s="216"/>
      <c r="BB753" s="216"/>
      <c r="BC753" s="216"/>
      <c r="BD753" s="216"/>
      <c r="BE753" s="216"/>
      <c r="BF753" s="216"/>
      <c r="BG753" s="216"/>
      <c r="BH753" s="216"/>
      <c r="BI753" s="216"/>
      <c r="BJ753" s="216"/>
      <c r="BK753" s="216"/>
      <c r="BL753" s="216"/>
      <c r="BM753" s="216"/>
      <c r="BN753" s="216"/>
      <c r="BO753" s="216"/>
      <c r="BP753" s="216"/>
      <c r="BQ753" s="216"/>
      <c r="BR753" s="216"/>
      <c r="BS753" s="216"/>
      <c r="BT753" s="216"/>
      <c r="BU753" s="216"/>
      <c r="BV753" s="216"/>
      <c r="BW753" s="216"/>
      <c r="BX753" s="216"/>
      <c r="BY753" s="216"/>
      <c r="BZ753" s="216"/>
      <c r="CA753" s="216"/>
      <c r="CB753" s="216"/>
      <c r="CC753" s="216"/>
      <c r="CD753" s="216"/>
      <c r="CE753" s="216"/>
      <c r="CF753" s="216"/>
      <c r="CG753" s="216"/>
      <c r="CH753" s="216"/>
      <c r="CI753" s="216"/>
      <c r="CJ753" s="216"/>
      <c r="CK753" s="216"/>
      <c r="CL753" s="216"/>
      <c r="CM753" s="216"/>
      <c r="CN753" s="216"/>
      <c r="CO753" s="216"/>
      <c r="CP753" s="216"/>
      <c r="CQ753" s="216"/>
      <c r="CR753" s="216"/>
      <c r="CS753" s="216"/>
      <c r="CT753" s="216"/>
      <c r="CU753" s="216"/>
      <c r="CV753" s="216"/>
      <c r="CW753" s="216"/>
      <c r="CX753" s="216"/>
      <c r="CY753" s="216"/>
    </row>
    <row r="754" spans="1:103" ht="12.75" x14ac:dyDescent="0.2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214"/>
      <c r="L754" s="214"/>
      <c r="M754" s="214"/>
      <c r="N754" s="215"/>
      <c r="O754" s="215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  <c r="BI754" s="216"/>
      <c r="BJ754" s="216"/>
      <c r="BK754" s="216"/>
      <c r="BL754" s="216"/>
      <c r="BM754" s="216"/>
      <c r="BN754" s="216"/>
      <c r="BO754" s="216"/>
      <c r="BP754" s="216"/>
      <c r="BQ754" s="216"/>
      <c r="BR754" s="216"/>
      <c r="BS754" s="216"/>
      <c r="BT754" s="216"/>
      <c r="BU754" s="216"/>
      <c r="BV754" s="216"/>
      <c r="BW754" s="216"/>
      <c r="BX754" s="216"/>
      <c r="BY754" s="216"/>
      <c r="BZ754" s="216"/>
      <c r="CA754" s="216"/>
      <c r="CB754" s="216"/>
      <c r="CC754" s="216"/>
      <c r="CD754" s="216"/>
      <c r="CE754" s="216"/>
      <c r="CF754" s="216"/>
      <c r="CG754" s="216"/>
      <c r="CH754" s="216"/>
      <c r="CI754" s="216"/>
      <c r="CJ754" s="216"/>
      <c r="CK754" s="216"/>
      <c r="CL754" s="216"/>
      <c r="CM754" s="216"/>
      <c r="CN754" s="216"/>
      <c r="CO754" s="216"/>
      <c r="CP754" s="216"/>
      <c r="CQ754" s="216"/>
      <c r="CR754" s="216"/>
      <c r="CS754" s="216"/>
      <c r="CT754" s="216"/>
      <c r="CU754" s="216"/>
      <c r="CV754" s="216"/>
      <c r="CW754" s="216"/>
      <c r="CX754" s="216"/>
      <c r="CY754" s="216"/>
    </row>
    <row r="755" spans="1:103" ht="12.75" x14ac:dyDescent="0.2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214"/>
      <c r="L755" s="214"/>
      <c r="M755" s="214"/>
      <c r="N755" s="215"/>
      <c r="O755" s="215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  <c r="BI755" s="216"/>
      <c r="BJ755" s="216"/>
      <c r="BK755" s="216"/>
      <c r="BL755" s="216"/>
      <c r="BM755" s="216"/>
      <c r="BN755" s="216"/>
      <c r="BO755" s="216"/>
      <c r="BP755" s="216"/>
      <c r="BQ755" s="216"/>
      <c r="BR755" s="216"/>
      <c r="BS755" s="216"/>
      <c r="BT755" s="216"/>
      <c r="BU755" s="216"/>
      <c r="BV755" s="216"/>
      <c r="BW755" s="216"/>
      <c r="BX755" s="216"/>
      <c r="BY755" s="216"/>
      <c r="BZ755" s="216"/>
      <c r="CA755" s="216"/>
      <c r="CB755" s="216"/>
      <c r="CC755" s="216"/>
      <c r="CD755" s="216"/>
      <c r="CE755" s="216"/>
      <c r="CF755" s="216"/>
      <c r="CG755" s="216"/>
      <c r="CH755" s="216"/>
      <c r="CI755" s="216"/>
      <c r="CJ755" s="216"/>
      <c r="CK755" s="216"/>
      <c r="CL755" s="216"/>
      <c r="CM755" s="216"/>
      <c r="CN755" s="216"/>
      <c r="CO755" s="216"/>
      <c r="CP755" s="216"/>
      <c r="CQ755" s="216"/>
      <c r="CR755" s="216"/>
      <c r="CS755" s="216"/>
      <c r="CT755" s="216"/>
      <c r="CU755" s="216"/>
      <c r="CV755" s="216"/>
      <c r="CW755" s="216"/>
      <c r="CX755" s="216"/>
      <c r="CY755" s="216"/>
    </row>
    <row r="756" spans="1:103" ht="12.75" x14ac:dyDescent="0.2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214"/>
      <c r="L756" s="214"/>
      <c r="M756" s="214"/>
      <c r="N756" s="215"/>
      <c r="O756" s="215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  <c r="BI756" s="216"/>
      <c r="BJ756" s="216"/>
      <c r="BK756" s="216"/>
      <c r="BL756" s="216"/>
      <c r="BM756" s="216"/>
      <c r="BN756" s="216"/>
      <c r="BO756" s="216"/>
      <c r="BP756" s="216"/>
      <c r="BQ756" s="216"/>
      <c r="BR756" s="216"/>
      <c r="BS756" s="216"/>
      <c r="BT756" s="216"/>
      <c r="BU756" s="216"/>
      <c r="BV756" s="216"/>
      <c r="BW756" s="216"/>
      <c r="BX756" s="216"/>
      <c r="BY756" s="216"/>
      <c r="BZ756" s="216"/>
      <c r="CA756" s="216"/>
      <c r="CB756" s="216"/>
      <c r="CC756" s="216"/>
      <c r="CD756" s="216"/>
      <c r="CE756" s="216"/>
      <c r="CF756" s="216"/>
      <c r="CG756" s="216"/>
      <c r="CH756" s="216"/>
      <c r="CI756" s="216"/>
      <c r="CJ756" s="216"/>
      <c r="CK756" s="216"/>
      <c r="CL756" s="216"/>
      <c r="CM756" s="216"/>
      <c r="CN756" s="216"/>
      <c r="CO756" s="216"/>
      <c r="CP756" s="216"/>
      <c r="CQ756" s="216"/>
      <c r="CR756" s="216"/>
      <c r="CS756" s="216"/>
      <c r="CT756" s="216"/>
      <c r="CU756" s="216"/>
      <c r="CV756" s="216"/>
      <c r="CW756" s="216"/>
      <c r="CX756" s="216"/>
      <c r="CY756" s="216"/>
    </row>
    <row r="757" spans="1:103" ht="12.75" x14ac:dyDescent="0.2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214"/>
      <c r="L757" s="214"/>
      <c r="M757" s="214"/>
      <c r="N757" s="215"/>
      <c r="O757" s="215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16"/>
      <c r="BN757" s="216"/>
      <c r="BO757" s="216"/>
      <c r="BP757" s="216"/>
      <c r="BQ757" s="216"/>
      <c r="BR757" s="216"/>
      <c r="BS757" s="216"/>
      <c r="BT757" s="216"/>
      <c r="BU757" s="216"/>
      <c r="BV757" s="216"/>
      <c r="BW757" s="216"/>
      <c r="BX757" s="216"/>
      <c r="BY757" s="216"/>
      <c r="BZ757" s="216"/>
      <c r="CA757" s="216"/>
      <c r="CB757" s="216"/>
      <c r="CC757" s="216"/>
      <c r="CD757" s="216"/>
      <c r="CE757" s="216"/>
      <c r="CF757" s="216"/>
      <c r="CG757" s="216"/>
      <c r="CH757" s="216"/>
      <c r="CI757" s="216"/>
      <c r="CJ757" s="216"/>
      <c r="CK757" s="216"/>
      <c r="CL757" s="216"/>
      <c r="CM757" s="216"/>
      <c r="CN757" s="216"/>
      <c r="CO757" s="216"/>
      <c r="CP757" s="216"/>
      <c r="CQ757" s="216"/>
      <c r="CR757" s="216"/>
      <c r="CS757" s="216"/>
      <c r="CT757" s="216"/>
      <c r="CU757" s="216"/>
      <c r="CV757" s="216"/>
      <c r="CW757" s="216"/>
      <c r="CX757" s="216"/>
      <c r="CY757" s="216"/>
    </row>
    <row r="758" spans="1:103" ht="12.75" x14ac:dyDescent="0.2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214"/>
      <c r="L758" s="214"/>
      <c r="M758" s="214"/>
      <c r="N758" s="215"/>
      <c r="O758" s="215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16"/>
      <c r="BN758" s="216"/>
      <c r="BO758" s="216"/>
      <c r="BP758" s="216"/>
      <c r="BQ758" s="216"/>
      <c r="BR758" s="216"/>
      <c r="BS758" s="216"/>
      <c r="BT758" s="216"/>
      <c r="BU758" s="216"/>
      <c r="BV758" s="216"/>
      <c r="BW758" s="216"/>
      <c r="BX758" s="216"/>
      <c r="BY758" s="216"/>
      <c r="BZ758" s="216"/>
      <c r="CA758" s="216"/>
      <c r="CB758" s="216"/>
      <c r="CC758" s="216"/>
      <c r="CD758" s="216"/>
      <c r="CE758" s="216"/>
      <c r="CF758" s="216"/>
      <c r="CG758" s="216"/>
      <c r="CH758" s="216"/>
      <c r="CI758" s="216"/>
      <c r="CJ758" s="216"/>
      <c r="CK758" s="216"/>
      <c r="CL758" s="216"/>
      <c r="CM758" s="216"/>
      <c r="CN758" s="216"/>
      <c r="CO758" s="216"/>
      <c r="CP758" s="216"/>
      <c r="CQ758" s="216"/>
      <c r="CR758" s="216"/>
      <c r="CS758" s="216"/>
      <c r="CT758" s="216"/>
      <c r="CU758" s="216"/>
      <c r="CV758" s="216"/>
      <c r="CW758" s="216"/>
      <c r="CX758" s="216"/>
      <c r="CY758" s="216"/>
    </row>
    <row r="759" spans="1:103" ht="12.75" x14ac:dyDescent="0.2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214"/>
      <c r="L759" s="214"/>
      <c r="M759" s="214"/>
      <c r="N759" s="215"/>
      <c r="O759" s="215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  <c r="BI759" s="216"/>
      <c r="BJ759" s="216"/>
      <c r="BK759" s="216"/>
      <c r="BL759" s="216"/>
      <c r="BM759" s="216"/>
      <c r="BN759" s="216"/>
      <c r="BO759" s="216"/>
      <c r="BP759" s="216"/>
      <c r="BQ759" s="216"/>
      <c r="BR759" s="216"/>
      <c r="BS759" s="216"/>
      <c r="BT759" s="216"/>
      <c r="BU759" s="216"/>
      <c r="BV759" s="216"/>
      <c r="BW759" s="216"/>
      <c r="BX759" s="216"/>
      <c r="BY759" s="216"/>
      <c r="BZ759" s="216"/>
      <c r="CA759" s="216"/>
      <c r="CB759" s="216"/>
      <c r="CC759" s="216"/>
      <c r="CD759" s="216"/>
      <c r="CE759" s="216"/>
      <c r="CF759" s="216"/>
      <c r="CG759" s="216"/>
      <c r="CH759" s="216"/>
      <c r="CI759" s="216"/>
      <c r="CJ759" s="216"/>
      <c r="CK759" s="216"/>
      <c r="CL759" s="216"/>
      <c r="CM759" s="216"/>
      <c r="CN759" s="216"/>
      <c r="CO759" s="216"/>
      <c r="CP759" s="216"/>
      <c r="CQ759" s="216"/>
      <c r="CR759" s="216"/>
      <c r="CS759" s="216"/>
      <c r="CT759" s="216"/>
      <c r="CU759" s="216"/>
      <c r="CV759" s="216"/>
      <c r="CW759" s="216"/>
      <c r="CX759" s="216"/>
      <c r="CY759" s="216"/>
    </row>
    <row r="760" spans="1:103" ht="12.75" x14ac:dyDescent="0.2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214"/>
      <c r="L760" s="214"/>
      <c r="M760" s="214"/>
      <c r="N760" s="215"/>
      <c r="O760" s="215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16"/>
      <c r="AN760" s="216"/>
      <c r="AO760" s="216"/>
      <c r="AP760" s="216"/>
      <c r="AQ760" s="216"/>
      <c r="AR760" s="216"/>
      <c r="AS760" s="216"/>
      <c r="AT760" s="216"/>
      <c r="AU760" s="216"/>
      <c r="AV760" s="216"/>
      <c r="AW760" s="216"/>
      <c r="AX760" s="216"/>
      <c r="AY760" s="216"/>
      <c r="AZ760" s="216"/>
      <c r="BA760" s="216"/>
      <c r="BB760" s="216"/>
      <c r="BC760" s="216"/>
      <c r="BD760" s="216"/>
      <c r="BE760" s="216"/>
      <c r="BF760" s="216"/>
      <c r="BG760" s="216"/>
      <c r="BH760" s="216"/>
      <c r="BI760" s="216"/>
      <c r="BJ760" s="216"/>
      <c r="BK760" s="216"/>
      <c r="BL760" s="216"/>
      <c r="BM760" s="216"/>
      <c r="BN760" s="216"/>
      <c r="BO760" s="216"/>
      <c r="BP760" s="216"/>
      <c r="BQ760" s="216"/>
      <c r="BR760" s="216"/>
      <c r="BS760" s="216"/>
      <c r="BT760" s="216"/>
      <c r="BU760" s="216"/>
      <c r="BV760" s="216"/>
      <c r="BW760" s="216"/>
      <c r="BX760" s="216"/>
      <c r="BY760" s="216"/>
      <c r="BZ760" s="216"/>
      <c r="CA760" s="216"/>
      <c r="CB760" s="216"/>
      <c r="CC760" s="216"/>
      <c r="CD760" s="216"/>
      <c r="CE760" s="216"/>
      <c r="CF760" s="216"/>
      <c r="CG760" s="216"/>
      <c r="CH760" s="216"/>
      <c r="CI760" s="216"/>
      <c r="CJ760" s="216"/>
      <c r="CK760" s="216"/>
      <c r="CL760" s="216"/>
      <c r="CM760" s="216"/>
      <c r="CN760" s="216"/>
      <c r="CO760" s="216"/>
      <c r="CP760" s="216"/>
      <c r="CQ760" s="216"/>
      <c r="CR760" s="216"/>
      <c r="CS760" s="216"/>
      <c r="CT760" s="216"/>
      <c r="CU760" s="216"/>
      <c r="CV760" s="216"/>
      <c r="CW760" s="216"/>
      <c r="CX760" s="216"/>
      <c r="CY760" s="216"/>
    </row>
    <row r="761" spans="1:103" ht="12.75" x14ac:dyDescent="0.2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214"/>
      <c r="L761" s="214"/>
      <c r="M761" s="214"/>
      <c r="N761" s="215"/>
      <c r="O761" s="215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16"/>
      <c r="AN761" s="216"/>
      <c r="AO761" s="216"/>
      <c r="AP761" s="216"/>
      <c r="AQ761" s="216"/>
      <c r="AR761" s="216"/>
      <c r="AS761" s="216"/>
      <c r="AT761" s="216"/>
      <c r="AU761" s="216"/>
      <c r="AV761" s="216"/>
      <c r="AW761" s="216"/>
      <c r="AX761" s="216"/>
      <c r="AY761" s="216"/>
      <c r="AZ761" s="216"/>
      <c r="BA761" s="216"/>
      <c r="BB761" s="216"/>
      <c r="BC761" s="216"/>
      <c r="BD761" s="216"/>
      <c r="BE761" s="216"/>
      <c r="BF761" s="216"/>
      <c r="BG761" s="216"/>
      <c r="BH761" s="216"/>
      <c r="BI761" s="216"/>
      <c r="BJ761" s="216"/>
      <c r="BK761" s="216"/>
      <c r="BL761" s="216"/>
      <c r="BM761" s="216"/>
      <c r="BN761" s="216"/>
      <c r="BO761" s="216"/>
      <c r="BP761" s="216"/>
      <c r="BQ761" s="216"/>
      <c r="BR761" s="216"/>
      <c r="BS761" s="216"/>
      <c r="BT761" s="216"/>
      <c r="BU761" s="216"/>
      <c r="BV761" s="216"/>
      <c r="BW761" s="216"/>
      <c r="BX761" s="216"/>
      <c r="BY761" s="216"/>
      <c r="BZ761" s="216"/>
      <c r="CA761" s="216"/>
      <c r="CB761" s="216"/>
      <c r="CC761" s="216"/>
      <c r="CD761" s="216"/>
      <c r="CE761" s="216"/>
      <c r="CF761" s="216"/>
      <c r="CG761" s="216"/>
      <c r="CH761" s="216"/>
      <c r="CI761" s="216"/>
      <c r="CJ761" s="216"/>
      <c r="CK761" s="216"/>
      <c r="CL761" s="216"/>
      <c r="CM761" s="216"/>
      <c r="CN761" s="216"/>
      <c r="CO761" s="216"/>
      <c r="CP761" s="216"/>
      <c r="CQ761" s="216"/>
      <c r="CR761" s="216"/>
      <c r="CS761" s="216"/>
      <c r="CT761" s="216"/>
      <c r="CU761" s="216"/>
      <c r="CV761" s="216"/>
      <c r="CW761" s="216"/>
      <c r="CX761" s="216"/>
      <c r="CY761" s="216"/>
    </row>
    <row r="762" spans="1:103" ht="12.75" x14ac:dyDescent="0.2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214"/>
      <c r="L762" s="214"/>
      <c r="M762" s="214"/>
      <c r="N762" s="215"/>
      <c r="O762" s="215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16"/>
      <c r="AN762" s="216"/>
      <c r="AO762" s="216"/>
      <c r="AP762" s="216"/>
      <c r="AQ762" s="216"/>
      <c r="AR762" s="216"/>
      <c r="AS762" s="216"/>
      <c r="AT762" s="216"/>
      <c r="AU762" s="216"/>
      <c r="AV762" s="216"/>
      <c r="AW762" s="216"/>
      <c r="AX762" s="216"/>
      <c r="AY762" s="216"/>
      <c r="AZ762" s="216"/>
      <c r="BA762" s="216"/>
      <c r="BB762" s="216"/>
      <c r="BC762" s="216"/>
      <c r="BD762" s="216"/>
      <c r="BE762" s="216"/>
      <c r="BF762" s="216"/>
      <c r="BG762" s="216"/>
      <c r="BH762" s="216"/>
      <c r="BI762" s="216"/>
      <c r="BJ762" s="216"/>
      <c r="BK762" s="216"/>
      <c r="BL762" s="216"/>
      <c r="BM762" s="216"/>
      <c r="BN762" s="216"/>
      <c r="BO762" s="216"/>
      <c r="BP762" s="216"/>
      <c r="BQ762" s="216"/>
      <c r="BR762" s="216"/>
      <c r="BS762" s="216"/>
      <c r="BT762" s="216"/>
      <c r="BU762" s="216"/>
      <c r="BV762" s="216"/>
      <c r="BW762" s="216"/>
      <c r="BX762" s="216"/>
      <c r="BY762" s="216"/>
      <c r="BZ762" s="216"/>
      <c r="CA762" s="216"/>
      <c r="CB762" s="216"/>
      <c r="CC762" s="216"/>
      <c r="CD762" s="216"/>
      <c r="CE762" s="216"/>
      <c r="CF762" s="216"/>
      <c r="CG762" s="216"/>
      <c r="CH762" s="216"/>
      <c r="CI762" s="216"/>
      <c r="CJ762" s="216"/>
      <c r="CK762" s="216"/>
      <c r="CL762" s="216"/>
      <c r="CM762" s="216"/>
      <c r="CN762" s="216"/>
      <c r="CO762" s="216"/>
      <c r="CP762" s="216"/>
      <c r="CQ762" s="216"/>
      <c r="CR762" s="216"/>
      <c r="CS762" s="216"/>
      <c r="CT762" s="216"/>
      <c r="CU762" s="216"/>
      <c r="CV762" s="216"/>
      <c r="CW762" s="216"/>
      <c r="CX762" s="216"/>
      <c r="CY762" s="216"/>
    </row>
    <row r="763" spans="1:103" ht="12.75" x14ac:dyDescent="0.2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214"/>
      <c r="L763" s="214"/>
      <c r="M763" s="214"/>
      <c r="N763" s="215"/>
      <c r="O763" s="215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16"/>
      <c r="AN763" s="216"/>
      <c r="AO763" s="216"/>
      <c r="AP763" s="216"/>
      <c r="AQ763" s="216"/>
      <c r="AR763" s="216"/>
      <c r="AS763" s="216"/>
      <c r="AT763" s="216"/>
      <c r="AU763" s="216"/>
      <c r="AV763" s="216"/>
      <c r="AW763" s="216"/>
      <c r="AX763" s="216"/>
      <c r="AY763" s="216"/>
      <c r="AZ763" s="216"/>
      <c r="BA763" s="216"/>
      <c r="BB763" s="216"/>
      <c r="BC763" s="216"/>
      <c r="BD763" s="216"/>
      <c r="BE763" s="216"/>
      <c r="BF763" s="216"/>
      <c r="BG763" s="216"/>
      <c r="BH763" s="216"/>
      <c r="BI763" s="216"/>
      <c r="BJ763" s="216"/>
      <c r="BK763" s="216"/>
      <c r="BL763" s="216"/>
      <c r="BM763" s="216"/>
      <c r="BN763" s="216"/>
      <c r="BO763" s="216"/>
      <c r="BP763" s="216"/>
      <c r="BQ763" s="216"/>
      <c r="BR763" s="216"/>
      <c r="BS763" s="216"/>
      <c r="BT763" s="216"/>
      <c r="BU763" s="216"/>
      <c r="BV763" s="216"/>
      <c r="BW763" s="216"/>
      <c r="BX763" s="216"/>
      <c r="BY763" s="216"/>
      <c r="BZ763" s="216"/>
      <c r="CA763" s="216"/>
      <c r="CB763" s="216"/>
      <c r="CC763" s="216"/>
      <c r="CD763" s="216"/>
      <c r="CE763" s="216"/>
      <c r="CF763" s="216"/>
      <c r="CG763" s="216"/>
      <c r="CH763" s="216"/>
      <c r="CI763" s="216"/>
      <c r="CJ763" s="216"/>
      <c r="CK763" s="216"/>
      <c r="CL763" s="216"/>
      <c r="CM763" s="216"/>
      <c r="CN763" s="216"/>
      <c r="CO763" s="216"/>
      <c r="CP763" s="216"/>
      <c r="CQ763" s="216"/>
      <c r="CR763" s="216"/>
      <c r="CS763" s="216"/>
      <c r="CT763" s="216"/>
      <c r="CU763" s="216"/>
      <c r="CV763" s="216"/>
      <c r="CW763" s="216"/>
      <c r="CX763" s="216"/>
      <c r="CY763" s="216"/>
    </row>
    <row r="764" spans="1:103" ht="12.75" x14ac:dyDescent="0.2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214"/>
      <c r="L764" s="214"/>
      <c r="M764" s="214"/>
      <c r="N764" s="215"/>
      <c r="O764" s="215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16"/>
      <c r="AN764" s="216"/>
      <c r="AO764" s="216"/>
      <c r="AP764" s="216"/>
      <c r="AQ764" s="216"/>
      <c r="AR764" s="216"/>
      <c r="AS764" s="216"/>
      <c r="AT764" s="216"/>
      <c r="AU764" s="216"/>
      <c r="AV764" s="216"/>
      <c r="AW764" s="216"/>
      <c r="AX764" s="216"/>
      <c r="AY764" s="216"/>
      <c r="AZ764" s="216"/>
      <c r="BA764" s="216"/>
      <c r="BB764" s="216"/>
      <c r="BC764" s="216"/>
      <c r="BD764" s="216"/>
      <c r="BE764" s="216"/>
      <c r="BF764" s="216"/>
      <c r="BG764" s="216"/>
      <c r="BH764" s="216"/>
      <c r="BI764" s="216"/>
      <c r="BJ764" s="216"/>
      <c r="BK764" s="216"/>
      <c r="BL764" s="216"/>
      <c r="BM764" s="216"/>
      <c r="BN764" s="216"/>
      <c r="BO764" s="216"/>
      <c r="BP764" s="216"/>
      <c r="BQ764" s="216"/>
      <c r="BR764" s="216"/>
      <c r="BS764" s="216"/>
      <c r="BT764" s="216"/>
      <c r="BU764" s="216"/>
      <c r="BV764" s="216"/>
      <c r="BW764" s="216"/>
      <c r="BX764" s="216"/>
      <c r="BY764" s="216"/>
      <c r="BZ764" s="216"/>
      <c r="CA764" s="216"/>
      <c r="CB764" s="216"/>
      <c r="CC764" s="216"/>
      <c r="CD764" s="216"/>
      <c r="CE764" s="216"/>
      <c r="CF764" s="216"/>
      <c r="CG764" s="216"/>
      <c r="CH764" s="216"/>
      <c r="CI764" s="216"/>
      <c r="CJ764" s="216"/>
      <c r="CK764" s="216"/>
      <c r="CL764" s="216"/>
      <c r="CM764" s="216"/>
      <c r="CN764" s="216"/>
      <c r="CO764" s="216"/>
      <c r="CP764" s="216"/>
      <c r="CQ764" s="216"/>
      <c r="CR764" s="216"/>
      <c r="CS764" s="216"/>
      <c r="CT764" s="216"/>
      <c r="CU764" s="216"/>
      <c r="CV764" s="216"/>
      <c r="CW764" s="216"/>
      <c r="CX764" s="216"/>
      <c r="CY764" s="216"/>
    </row>
    <row r="765" spans="1:103" ht="12.75" x14ac:dyDescent="0.2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214"/>
      <c r="L765" s="214"/>
      <c r="M765" s="214"/>
      <c r="N765" s="215"/>
      <c r="O765" s="215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16"/>
      <c r="AN765" s="216"/>
      <c r="AO765" s="216"/>
      <c r="AP765" s="216"/>
      <c r="AQ765" s="216"/>
      <c r="AR765" s="216"/>
      <c r="AS765" s="216"/>
      <c r="AT765" s="216"/>
      <c r="AU765" s="216"/>
      <c r="AV765" s="216"/>
      <c r="AW765" s="216"/>
      <c r="AX765" s="216"/>
      <c r="AY765" s="216"/>
      <c r="AZ765" s="216"/>
      <c r="BA765" s="216"/>
      <c r="BB765" s="216"/>
      <c r="BC765" s="216"/>
      <c r="BD765" s="216"/>
      <c r="BE765" s="216"/>
      <c r="BF765" s="216"/>
      <c r="BG765" s="216"/>
      <c r="BH765" s="216"/>
      <c r="BI765" s="216"/>
      <c r="BJ765" s="216"/>
      <c r="BK765" s="216"/>
      <c r="BL765" s="216"/>
      <c r="BM765" s="216"/>
      <c r="BN765" s="216"/>
      <c r="BO765" s="216"/>
      <c r="BP765" s="216"/>
      <c r="BQ765" s="216"/>
      <c r="BR765" s="216"/>
      <c r="BS765" s="216"/>
      <c r="BT765" s="216"/>
      <c r="BU765" s="216"/>
      <c r="BV765" s="216"/>
      <c r="BW765" s="216"/>
      <c r="BX765" s="216"/>
      <c r="BY765" s="216"/>
      <c r="BZ765" s="216"/>
      <c r="CA765" s="216"/>
      <c r="CB765" s="216"/>
      <c r="CC765" s="216"/>
      <c r="CD765" s="216"/>
      <c r="CE765" s="216"/>
      <c r="CF765" s="216"/>
      <c r="CG765" s="216"/>
      <c r="CH765" s="216"/>
      <c r="CI765" s="216"/>
      <c r="CJ765" s="216"/>
      <c r="CK765" s="216"/>
      <c r="CL765" s="216"/>
      <c r="CM765" s="216"/>
      <c r="CN765" s="216"/>
      <c r="CO765" s="216"/>
      <c r="CP765" s="216"/>
      <c r="CQ765" s="216"/>
      <c r="CR765" s="216"/>
      <c r="CS765" s="216"/>
      <c r="CT765" s="216"/>
      <c r="CU765" s="216"/>
      <c r="CV765" s="216"/>
      <c r="CW765" s="216"/>
      <c r="CX765" s="216"/>
      <c r="CY765" s="216"/>
    </row>
    <row r="766" spans="1:103" ht="12.75" x14ac:dyDescent="0.2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214"/>
      <c r="L766" s="214"/>
      <c r="M766" s="214"/>
      <c r="N766" s="215"/>
      <c r="O766" s="215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  <c r="AM766" s="216"/>
      <c r="AN766" s="216"/>
      <c r="AO766" s="216"/>
      <c r="AP766" s="216"/>
      <c r="AQ766" s="216"/>
      <c r="AR766" s="216"/>
      <c r="AS766" s="216"/>
      <c r="AT766" s="216"/>
      <c r="AU766" s="216"/>
      <c r="AV766" s="216"/>
      <c r="AW766" s="216"/>
      <c r="AX766" s="216"/>
      <c r="AY766" s="216"/>
      <c r="AZ766" s="216"/>
      <c r="BA766" s="216"/>
      <c r="BB766" s="216"/>
      <c r="BC766" s="216"/>
      <c r="BD766" s="216"/>
      <c r="BE766" s="216"/>
      <c r="BF766" s="216"/>
      <c r="BG766" s="216"/>
      <c r="BH766" s="216"/>
      <c r="BI766" s="216"/>
      <c r="BJ766" s="216"/>
      <c r="BK766" s="216"/>
      <c r="BL766" s="216"/>
      <c r="BM766" s="216"/>
      <c r="BN766" s="216"/>
      <c r="BO766" s="216"/>
      <c r="BP766" s="216"/>
      <c r="BQ766" s="216"/>
      <c r="BR766" s="216"/>
      <c r="BS766" s="216"/>
      <c r="BT766" s="216"/>
      <c r="BU766" s="216"/>
      <c r="BV766" s="216"/>
      <c r="BW766" s="216"/>
      <c r="BX766" s="216"/>
      <c r="BY766" s="216"/>
      <c r="BZ766" s="216"/>
      <c r="CA766" s="216"/>
      <c r="CB766" s="216"/>
      <c r="CC766" s="216"/>
      <c r="CD766" s="216"/>
      <c r="CE766" s="216"/>
      <c r="CF766" s="216"/>
      <c r="CG766" s="216"/>
      <c r="CH766" s="216"/>
      <c r="CI766" s="216"/>
      <c r="CJ766" s="216"/>
      <c r="CK766" s="216"/>
      <c r="CL766" s="216"/>
      <c r="CM766" s="216"/>
      <c r="CN766" s="216"/>
      <c r="CO766" s="216"/>
      <c r="CP766" s="216"/>
      <c r="CQ766" s="216"/>
      <c r="CR766" s="216"/>
      <c r="CS766" s="216"/>
      <c r="CT766" s="216"/>
      <c r="CU766" s="216"/>
      <c r="CV766" s="216"/>
      <c r="CW766" s="216"/>
      <c r="CX766" s="216"/>
      <c r="CY766" s="216"/>
    </row>
    <row r="767" spans="1:103" ht="12.75" x14ac:dyDescent="0.2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214"/>
      <c r="L767" s="214"/>
      <c r="M767" s="214"/>
      <c r="N767" s="215"/>
      <c r="O767" s="215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  <c r="AM767" s="216"/>
      <c r="AN767" s="216"/>
      <c r="AO767" s="216"/>
      <c r="AP767" s="216"/>
      <c r="AQ767" s="216"/>
      <c r="AR767" s="216"/>
      <c r="AS767" s="216"/>
      <c r="AT767" s="216"/>
      <c r="AU767" s="216"/>
      <c r="AV767" s="216"/>
      <c r="AW767" s="216"/>
      <c r="AX767" s="216"/>
      <c r="AY767" s="216"/>
      <c r="AZ767" s="216"/>
      <c r="BA767" s="216"/>
      <c r="BB767" s="216"/>
      <c r="BC767" s="216"/>
      <c r="BD767" s="216"/>
      <c r="BE767" s="216"/>
      <c r="BF767" s="216"/>
      <c r="BG767" s="216"/>
      <c r="BH767" s="216"/>
      <c r="BI767" s="216"/>
      <c r="BJ767" s="216"/>
      <c r="BK767" s="216"/>
      <c r="BL767" s="216"/>
      <c r="BM767" s="216"/>
      <c r="BN767" s="216"/>
      <c r="BO767" s="216"/>
      <c r="BP767" s="216"/>
      <c r="BQ767" s="216"/>
      <c r="BR767" s="216"/>
      <c r="BS767" s="216"/>
      <c r="BT767" s="216"/>
      <c r="BU767" s="216"/>
      <c r="BV767" s="216"/>
      <c r="BW767" s="216"/>
      <c r="BX767" s="216"/>
      <c r="BY767" s="216"/>
      <c r="BZ767" s="216"/>
      <c r="CA767" s="216"/>
      <c r="CB767" s="216"/>
      <c r="CC767" s="216"/>
      <c r="CD767" s="216"/>
      <c r="CE767" s="216"/>
      <c r="CF767" s="216"/>
      <c r="CG767" s="216"/>
      <c r="CH767" s="216"/>
      <c r="CI767" s="216"/>
      <c r="CJ767" s="216"/>
      <c r="CK767" s="216"/>
      <c r="CL767" s="216"/>
      <c r="CM767" s="216"/>
      <c r="CN767" s="216"/>
      <c r="CO767" s="216"/>
      <c r="CP767" s="216"/>
      <c r="CQ767" s="216"/>
      <c r="CR767" s="216"/>
      <c r="CS767" s="216"/>
      <c r="CT767" s="216"/>
      <c r="CU767" s="216"/>
      <c r="CV767" s="216"/>
      <c r="CW767" s="216"/>
      <c r="CX767" s="216"/>
      <c r="CY767" s="216"/>
    </row>
    <row r="768" spans="1:103" ht="12.75" x14ac:dyDescent="0.2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214"/>
      <c r="L768" s="214"/>
      <c r="M768" s="214"/>
      <c r="N768" s="215"/>
      <c r="O768" s="215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  <c r="AM768" s="216"/>
      <c r="AN768" s="216"/>
      <c r="AO768" s="216"/>
      <c r="AP768" s="216"/>
      <c r="AQ768" s="216"/>
      <c r="AR768" s="216"/>
      <c r="AS768" s="216"/>
      <c r="AT768" s="216"/>
      <c r="AU768" s="216"/>
      <c r="AV768" s="216"/>
      <c r="AW768" s="216"/>
      <c r="AX768" s="216"/>
      <c r="AY768" s="216"/>
      <c r="AZ768" s="216"/>
      <c r="BA768" s="216"/>
      <c r="BB768" s="216"/>
      <c r="BC768" s="216"/>
      <c r="BD768" s="216"/>
      <c r="BE768" s="216"/>
      <c r="BF768" s="216"/>
      <c r="BG768" s="216"/>
      <c r="BH768" s="216"/>
      <c r="BI768" s="216"/>
      <c r="BJ768" s="216"/>
      <c r="BK768" s="216"/>
      <c r="BL768" s="216"/>
      <c r="BM768" s="216"/>
      <c r="BN768" s="216"/>
      <c r="BO768" s="216"/>
      <c r="BP768" s="216"/>
      <c r="BQ768" s="216"/>
      <c r="BR768" s="216"/>
      <c r="BS768" s="216"/>
      <c r="BT768" s="216"/>
      <c r="BU768" s="216"/>
      <c r="BV768" s="216"/>
      <c r="BW768" s="216"/>
      <c r="BX768" s="216"/>
      <c r="BY768" s="216"/>
      <c r="BZ768" s="216"/>
      <c r="CA768" s="216"/>
      <c r="CB768" s="216"/>
      <c r="CC768" s="216"/>
      <c r="CD768" s="216"/>
      <c r="CE768" s="216"/>
      <c r="CF768" s="216"/>
      <c r="CG768" s="216"/>
      <c r="CH768" s="216"/>
      <c r="CI768" s="216"/>
      <c r="CJ768" s="216"/>
      <c r="CK768" s="216"/>
      <c r="CL768" s="216"/>
      <c r="CM768" s="216"/>
      <c r="CN768" s="216"/>
      <c r="CO768" s="216"/>
      <c r="CP768" s="216"/>
      <c r="CQ768" s="216"/>
      <c r="CR768" s="216"/>
      <c r="CS768" s="216"/>
      <c r="CT768" s="216"/>
      <c r="CU768" s="216"/>
      <c r="CV768" s="216"/>
      <c r="CW768" s="216"/>
      <c r="CX768" s="216"/>
      <c r="CY768" s="216"/>
    </row>
    <row r="769" spans="1:103" ht="12.75" x14ac:dyDescent="0.2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214"/>
      <c r="L769" s="214"/>
      <c r="M769" s="214"/>
      <c r="N769" s="215"/>
      <c r="O769" s="215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16"/>
      <c r="AN769" s="216"/>
      <c r="AO769" s="216"/>
      <c r="AP769" s="216"/>
      <c r="AQ769" s="216"/>
      <c r="AR769" s="216"/>
      <c r="AS769" s="216"/>
      <c r="AT769" s="216"/>
      <c r="AU769" s="216"/>
      <c r="AV769" s="216"/>
      <c r="AW769" s="216"/>
      <c r="AX769" s="216"/>
      <c r="AY769" s="216"/>
      <c r="AZ769" s="216"/>
      <c r="BA769" s="216"/>
      <c r="BB769" s="216"/>
      <c r="BC769" s="216"/>
      <c r="BD769" s="216"/>
      <c r="BE769" s="216"/>
      <c r="BF769" s="216"/>
      <c r="BG769" s="216"/>
      <c r="BH769" s="216"/>
      <c r="BI769" s="216"/>
      <c r="BJ769" s="216"/>
      <c r="BK769" s="216"/>
      <c r="BL769" s="216"/>
      <c r="BM769" s="216"/>
      <c r="BN769" s="216"/>
      <c r="BO769" s="216"/>
      <c r="BP769" s="216"/>
      <c r="BQ769" s="216"/>
      <c r="BR769" s="216"/>
      <c r="BS769" s="216"/>
      <c r="BT769" s="216"/>
      <c r="BU769" s="216"/>
      <c r="BV769" s="216"/>
      <c r="BW769" s="216"/>
      <c r="BX769" s="216"/>
      <c r="BY769" s="216"/>
      <c r="BZ769" s="216"/>
      <c r="CA769" s="216"/>
      <c r="CB769" s="216"/>
      <c r="CC769" s="216"/>
      <c r="CD769" s="216"/>
      <c r="CE769" s="216"/>
      <c r="CF769" s="216"/>
      <c r="CG769" s="216"/>
      <c r="CH769" s="216"/>
      <c r="CI769" s="216"/>
      <c r="CJ769" s="216"/>
      <c r="CK769" s="216"/>
      <c r="CL769" s="216"/>
      <c r="CM769" s="216"/>
      <c r="CN769" s="216"/>
      <c r="CO769" s="216"/>
      <c r="CP769" s="216"/>
      <c r="CQ769" s="216"/>
      <c r="CR769" s="216"/>
      <c r="CS769" s="216"/>
      <c r="CT769" s="216"/>
      <c r="CU769" s="216"/>
      <c r="CV769" s="216"/>
      <c r="CW769" s="216"/>
      <c r="CX769" s="216"/>
      <c r="CY769" s="216"/>
    </row>
    <row r="770" spans="1:103" ht="12.75" x14ac:dyDescent="0.2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214"/>
      <c r="L770" s="214"/>
      <c r="M770" s="214"/>
      <c r="N770" s="215"/>
      <c r="O770" s="215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16"/>
      <c r="AN770" s="216"/>
      <c r="AO770" s="216"/>
      <c r="AP770" s="216"/>
      <c r="AQ770" s="216"/>
      <c r="AR770" s="216"/>
      <c r="AS770" s="216"/>
      <c r="AT770" s="216"/>
      <c r="AU770" s="216"/>
      <c r="AV770" s="216"/>
      <c r="AW770" s="216"/>
      <c r="AX770" s="216"/>
      <c r="AY770" s="216"/>
      <c r="AZ770" s="216"/>
      <c r="BA770" s="216"/>
      <c r="BB770" s="216"/>
      <c r="BC770" s="216"/>
      <c r="BD770" s="216"/>
      <c r="BE770" s="216"/>
      <c r="BF770" s="216"/>
      <c r="BG770" s="216"/>
      <c r="BH770" s="216"/>
      <c r="BI770" s="216"/>
      <c r="BJ770" s="216"/>
      <c r="BK770" s="216"/>
      <c r="BL770" s="216"/>
      <c r="BM770" s="216"/>
      <c r="BN770" s="216"/>
      <c r="BO770" s="216"/>
      <c r="BP770" s="216"/>
      <c r="BQ770" s="216"/>
      <c r="BR770" s="216"/>
      <c r="BS770" s="216"/>
      <c r="BT770" s="216"/>
      <c r="BU770" s="216"/>
      <c r="BV770" s="216"/>
      <c r="BW770" s="216"/>
      <c r="BX770" s="216"/>
      <c r="BY770" s="216"/>
      <c r="BZ770" s="216"/>
      <c r="CA770" s="216"/>
      <c r="CB770" s="216"/>
      <c r="CC770" s="216"/>
      <c r="CD770" s="216"/>
      <c r="CE770" s="216"/>
      <c r="CF770" s="216"/>
      <c r="CG770" s="216"/>
      <c r="CH770" s="216"/>
      <c r="CI770" s="216"/>
      <c r="CJ770" s="216"/>
      <c r="CK770" s="216"/>
      <c r="CL770" s="216"/>
      <c r="CM770" s="216"/>
      <c r="CN770" s="216"/>
      <c r="CO770" s="216"/>
      <c r="CP770" s="216"/>
      <c r="CQ770" s="216"/>
      <c r="CR770" s="216"/>
      <c r="CS770" s="216"/>
      <c r="CT770" s="216"/>
      <c r="CU770" s="216"/>
      <c r="CV770" s="216"/>
      <c r="CW770" s="216"/>
      <c r="CX770" s="216"/>
      <c r="CY770" s="216"/>
    </row>
    <row r="771" spans="1:103" ht="12.75" x14ac:dyDescent="0.2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214"/>
      <c r="L771" s="214"/>
      <c r="M771" s="214"/>
      <c r="N771" s="215"/>
      <c r="O771" s="215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16"/>
      <c r="AN771" s="216"/>
      <c r="AO771" s="216"/>
      <c r="AP771" s="216"/>
      <c r="AQ771" s="216"/>
      <c r="AR771" s="216"/>
      <c r="AS771" s="216"/>
      <c r="AT771" s="216"/>
      <c r="AU771" s="216"/>
      <c r="AV771" s="216"/>
      <c r="AW771" s="216"/>
      <c r="AX771" s="216"/>
      <c r="AY771" s="216"/>
      <c r="AZ771" s="216"/>
      <c r="BA771" s="216"/>
      <c r="BB771" s="216"/>
      <c r="BC771" s="216"/>
      <c r="BD771" s="216"/>
      <c r="BE771" s="216"/>
      <c r="BF771" s="216"/>
      <c r="BG771" s="216"/>
      <c r="BH771" s="216"/>
      <c r="BI771" s="216"/>
      <c r="BJ771" s="216"/>
      <c r="BK771" s="216"/>
      <c r="BL771" s="216"/>
      <c r="BM771" s="216"/>
      <c r="BN771" s="216"/>
      <c r="BO771" s="216"/>
      <c r="BP771" s="216"/>
      <c r="BQ771" s="216"/>
      <c r="BR771" s="216"/>
      <c r="BS771" s="216"/>
      <c r="BT771" s="216"/>
      <c r="BU771" s="216"/>
      <c r="BV771" s="216"/>
      <c r="BW771" s="216"/>
      <c r="BX771" s="216"/>
      <c r="BY771" s="216"/>
      <c r="BZ771" s="216"/>
      <c r="CA771" s="216"/>
      <c r="CB771" s="216"/>
      <c r="CC771" s="216"/>
      <c r="CD771" s="216"/>
      <c r="CE771" s="216"/>
      <c r="CF771" s="216"/>
      <c r="CG771" s="216"/>
      <c r="CH771" s="216"/>
      <c r="CI771" s="216"/>
      <c r="CJ771" s="216"/>
      <c r="CK771" s="216"/>
      <c r="CL771" s="216"/>
      <c r="CM771" s="216"/>
      <c r="CN771" s="216"/>
      <c r="CO771" s="216"/>
      <c r="CP771" s="216"/>
      <c r="CQ771" s="216"/>
      <c r="CR771" s="216"/>
      <c r="CS771" s="216"/>
      <c r="CT771" s="216"/>
      <c r="CU771" s="216"/>
      <c r="CV771" s="216"/>
      <c r="CW771" s="216"/>
      <c r="CX771" s="216"/>
      <c r="CY771" s="216"/>
    </row>
    <row r="772" spans="1:103" ht="12.75" x14ac:dyDescent="0.2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214"/>
      <c r="L772" s="214"/>
      <c r="M772" s="214"/>
      <c r="N772" s="215"/>
      <c r="O772" s="215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216"/>
      <c r="AR772" s="216"/>
      <c r="AS772" s="216"/>
      <c r="AT772" s="216"/>
      <c r="AU772" s="216"/>
      <c r="AV772" s="216"/>
      <c r="AW772" s="216"/>
      <c r="AX772" s="216"/>
      <c r="AY772" s="216"/>
      <c r="AZ772" s="216"/>
      <c r="BA772" s="216"/>
      <c r="BB772" s="216"/>
      <c r="BC772" s="216"/>
      <c r="BD772" s="216"/>
      <c r="BE772" s="216"/>
      <c r="BF772" s="216"/>
      <c r="BG772" s="216"/>
      <c r="BH772" s="216"/>
      <c r="BI772" s="216"/>
      <c r="BJ772" s="216"/>
      <c r="BK772" s="216"/>
      <c r="BL772" s="216"/>
      <c r="BM772" s="216"/>
      <c r="BN772" s="216"/>
      <c r="BO772" s="216"/>
      <c r="BP772" s="216"/>
      <c r="BQ772" s="216"/>
      <c r="BR772" s="216"/>
      <c r="BS772" s="216"/>
      <c r="BT772" s="216"/>
      <c r="BU772" s="216"/>
      <c r="BV772" s="216"/>
      <c r="BW772" s="216"/>
      <c r="BX772" s="216"/>
      <c r="BY772" s="216"/>
      <c r="BZ772" s="216"/>
      <c r="CA772" s="216"/>
      <c r="CB772" s="216"/>
      <c r="CC772" s="216"/>
      <c r="CD772" s="216"/>
      <c r="CE772" s="216"/>
      <c r="CF772" s="216"/>
      <c r="CG772" s="216"/>
      <c r="CH772" s="216"/>
      <c r="CI772" s="216"/>
      <c r="CJ772" s="216"/>
      <c r="CK772" s="216"/>
      <c r="CL772" s="216"/>
      <c r="CM772" s="216"/>
      <c r="CN772" s="216"/>
      <c r="CO772" s="216"/>
      <c r="CP772" s="216"/>
      <c r="CQ772" s="216"/>
      <c r="CR772" s="216"/>
      <c r="CS772" s="216"/>
      <c r="CT772" s="216"/>
      <c r="CU772" s="216"/>
      <c r="CV772" s="216"/>
      <c r="CW772" s="216"/>
      <c r="CX772" s="216"/>
      <c r="CY772" s="216"/>
    </row>
    <row r="773" spans="1:103" ht="12.75" x14ac:dyDescent="0.2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214"/>
      <c r="L773" s="214"/>
      <c r="M773" s="214"/>
      <c r="N773" s="215"/>
      <c r="O773" s="215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216"/>
      <c r="AR773" s="216"/>
      <c r="AS773" s="216"/>
      <c r="AT773" s="216"/>
      <c r="AU773" s="216"/>
      <c r="AV773" s="216"/>
      <c r="AW773" s="216"/>
      <c r="AX773" s="216"/>
      <c r="AY773" s="216"/>
      <c r="AZ773" s="216"/>
      <c r="BA773" s="216"/>
      <c r="BB773" s="216"/>
      <c r="BC773" s="216"/>
      <c r="BD773" s="216"/>
      <c r="BE773" s="216"/>
      <c r="BF773" s="216"/>
      <c r="BG773" s="216"/>
      <c r="BH773" s="216"/>
      <c r="BI773" s="216"/>
      <c r="BJ773" s="216"/>
      <c r="BK773" s="216"/>
      <c r="BL773" s="216"/>
      <c r="BM773" s="216"/>
      <c r="BN773" s="216"/>
      <c r="BO773" s="216"/>
      <c r="BP773" s="216"/>
      <c r="BQ773" s="216"/>
      <c r="BR773" s="216"/>
      <c r="BS773" s="216"/>
      <c r="BT773" s="216"/>
      <c r="BU773" s="216"/>
      <c r="BV773" s="216"/>
      <c r="BW773" s="216"/>
      <c r="BX773" s="216"/>
      <c r="BY773" s="216"/>
      <c r="BZ773" s="216"/>
      <c r="CA773" s="216"/>
      <c r="CB773" s="216"/>
      <c r="CC773" s="216"/>
      <c r="CD773" s="216"/>
      <c r="CE773" s="216"/>
      <c r="CF773" s="216"/>
      <c r="CG773" s="216"/>
      <c r="CH773" s="216"/>
      <c r="CI773" s="216"/>
      <c r="CJ773" s="216"/>
      <c r="CK773" s="216"/>
      <c r="CL773" s="216"/>
      <c r="CM773" s="216"/>
      <c r="CN773" s="216"/>
      <c r="CO773" s="216"/>
      <c r="CP773" s="216"/>
      <c r="CQ773" s="216"/>
      <c r="CR773" s="216"/>
      <c r="CS773" s="216"/>
      <c r="CT773" s="216"/>
      <c r="CU773" s="216"/>
      <c r="CV773" s="216"/>
      <c r="CW773" s="216"/>
      <c r="CX773" s="216"/>
      <c r="CY773" s="216"/>
    </row>
    <row r="774" spans="1:103" ht="12.75" x14ac:dyDescent="0.2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214"/>
      <c r="L774" s="214"/>
      <c r="M774" s="214"/>
      <c r="N774" s="215"/>
      <c r="O774" s="215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6"/>
      <c r="BB774" s="216"/>
      <c r="BC774" s="216"/>
      <c r="BD774" s="216"/>
      <c r="BE774" s="216"/>
      <c r="BF774" s="216"/>
      <c r="BG774" s="216"/>
      <c r="BH774" s="216"/>
      <c r="BI774" s="216"/>
      <c r="BJ774" s="216"/>
      <c r="BK774" s="216"/>
      <c r="BL774" s="216"/>
      <c r="BM774" s="216"/>
      <c r="BN774" s="216"/>
      <c r="BO774" s="216"/>
      <c r="BP774" s="216"/>
      <c r="BQ774" s="216"/>
      <c r="BR774" s="216"/>
      <c r="BS774" s="216"/>
      <c r="BT774" s="216"/>
      <c r="BU774" s="216"/>
      <c r="BV774" s="216"/>
      <c r="BW774" s="216"/>
      <c r="BX774" s="216"/>
      <c r="BY774" s="216"/>
      <c r="BZ774" s="216"/>
      <c r="CA774" s="216"/>
      <c r="CB774" s="216"/>
      <c r="CC774" s="216"/>
      <c r="CD774" s="216"/>
      <c r="CE774" s="216"/>
      <c r="CF774" s="216"/>
      <c r="CG774" s="216"/>
      <c r="CH774" s="216"/>
      <c r="CI774" s="216"/>
      <c r="CJ774" s="216"/>
      <c r="CK774" s="216"/>
      <c r="CL774" s="216"/>
      <c r="CM774" s="216"/>
      <c r="CN774" s="216"/>
      <c r="CO774" s="216"/>
      <c r="CP774" s="216"/>
      <c r="CQ774" s="216"/>
      <c r="CR774" s="216"/>
      <c r="CS774" s="216"/>
      <c r="CT774" s="216"/>
      <c r="CU774" s="216"/>
      <c r="CV774" s="216"/>
      <c r="CW774" s="216"/>
      <c r="CX774" s="216"/>
      <c r="CY774" s="216"/>
    </row>
    <row r="775" spans="1:103" ht="12.75" x14ac:dyDescent="0.2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214"/>
      <c r="L775" s="214"/>
      <c r="M775" s="214"/>
      <c r="N775" s="215"/>
      <c r="O775" s="215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  <c r="BI775" s="216"/>
      <c r="BJ775" s="216"/>
      <c r="BK775" s="216"/>
      <c r="BL775" s="216"/>
      <c r="BM775" s="216"/>
      <c r="BN775" s="216"/>
      <c r="BO775" s="216"/>
      <c r="BP775" s="216"/>
      <c r="BQ775" s="216"/>
      <c r="BR775" s="216"/>
      <c r="BS775" s="216"/>
      <c r="BT775" s="216"/>
      <c r="BU775" s="216"/>
      <c r="BV775" s="216"/>
      <c r="BW775" s="216"/>
      <c r="BX775" s="216"/>
      <c r="BY775" s="216"/>
      <c r="BZ775" s="216"/>
      <c r="CA775" s="216"/>
      <c r="CB775" s="216"/>
      <c r="CC775" s="216"/>
      <c r="CD775" s="216"/>
      <c r="CE775" s="216"/>
      <c r="CF775" s="216"/>
      <c r="CG775" s="216"/>
      <c r="CH775" s="216"/>
      <c r="CI775" s="216"/>
      <c r="CJ775" s="216"/>
      <c r="CK775" s="216"/>
      <c r="CL775" s="216"/>
      <c r="CM775" s="216"/>
      <c r="CN775" s="216"/>
      <c r="CO775" s="216"/>
      <c r="CP775" s="216"/>
      <c r="CQ775" s="216"/>
      <c r="CR775" s="216"/>
      <c r="CS775" s="216"/>
      <c r="CT775" s="216"/>
      <c r="CU775" s="216"/>
      <c r="CV775" s="216"/>
      <c r="CW775" s="216"/>
      <c r="CX775" s="216"/>
      <c r="CY775" s="216"/>
    </row>
    <row r="776" spans="1:103" ht="12.75" x14ac:dyDescent="0.2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214"/>
      <c r="L776" s="214"/>
      <c r="M776" s="214"/>
      <c r="N776" s="215"/>
      <c r="O776" s="215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6"/>
      <c r="BF776" s="216"/>
      <c r="BG776" s="216"/>
      <c r="BH776" s="216"/>
      <c r="BI776" s="216"/>
      <c r="BJ776" s="216"/>
      <c r="BK776" s="216"/>
      <c r="BL776" s="216"/>
      <c r="BM776" s="216"/>
      <c r="BN776" s="216"/>
      <c r="BO776" s="216"/>
      <c r="BP776" s="216"/>
      <c r="BQ776" s="216"/>
      <c r="BR776" s="216"/>
      <c r="BS776" s="216"/>
      <c r="BT776" s="216"/>
      <c r="BU776" s="216"/>
      <c r="BV776" s="216"/>
      <c r="BW776" s="216"/>
      <c r="BX776" s="216"/>
      <c r="BY776" s="216"/>
      <c r="BZ776" s="216"/>
      <c r="CA776" s="216"/>
      <c r="CB776" s="216"/>
      <c r="CC776" s="216"/>
      <c r="CD776" s="216"/>
      <c r="CE776" s="216"/>
      <c r="CF776" s="216"/>
      <c r="CG776" s="216"/>
      <c r="CH776" s="216"/>
      <c r="CI776" s="216"/>
      <c r="CJ776" s="216"/>
      <c r="CK776" s="216"/>
      <c r="CL776" s="216"/>
      <c r="CM776" s="216"/>
      <c r="CN776" s="216"/>
      <c r="CO776" s="216"/>
      <c r="CP776" s="216"/>
      <c r="CQ776" s="216"/>
      <c r="CR776" s="216"/>
      <c r="CS776" s="216"/>
      <c r="CT776" s="216"/>
      <c r="CU776" s="216"/>
      <c r="CV776" s="216"/>
      <c r="CW776" s="216"/>
      <c r="CX776" s="216"/>
      <c r="CY776" s="216"/>
    </row>
    <row r="777" spans="1:103" ht="12.75" x14ac:dyDescent="0.2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214"/>
      <c r="L777" s="214"/>
      <c r="M777" s="214"/>
      <c r="N777" s="215"/>
      <c r="O777" s="215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16"/>
      <c r="AN777" s="216"/>
      <c r="AO777" s="216"/>
      <c r="AP777" s="216"/>
      <c r="AQ777" s="216"/>
      <c r="AR777" s="216"/>
      <c r="AS777" s="216"/>
      <c r="AT777" s="216"/>
      <c r="AU777" s="216"/>
      <c r="AV777" s="216"/>
      <c r="AW777" s="216"/>
      <c r="AX777" s="216"/>
      <c r="AY777" s="216"/>
      <c r="AZ777" s="216"/>
      <c r="BA777" s="216"/>
      <c r="BB777" s="216"/>
      <c r="BC777" s="216"/>
      <c r="BD777" s="216"/>
      <c r="BE777" s="216"/>
      <c r="BF777" s="216"/>
      <c r="BG777" s="216"/>
      <c r="BH777" s="216"/>
      <c r="BI777" s="216"/>
      <c r="BJ777" s="216"/>
      <c r="BK777" s="216"/>
      <c r="BL777" s="216"/>
      <c r="BM777" s="216"/>
      <c r="BN777" s="216"/>
      <c r="BO777" s="216"/>
      <c r="BP777" s="216"/>
      <c r="BQ777" s="216"/>
      <c r="BR777" s="216"/>
      <c r="BS777" s="216"/>
      <c r="BT777" s="216"/>
      <c r="BU777" s="216"/>
      <c r="BV777" s="216"/>
      <c r="BW777" s="216"/>
      <c r="BX777" s="216"/>
      <c r="BY777" s="216"/>
      <c r="BZ777" s="216"/>
      <c r="CA777" s="216"/>
      <c r="CB777" s="216"/>
      <c r="CC777" s="216"/>
      <c r="CD777" s="216"/>
      <c r="CE777" s="216"/>
      <c r="CF777" s="216"/>
      <c r="CG777" s="216"/>
      <c r="CH777" s="216"/>
      <c r="CI777" s="216"/>
      <c r="CJ777" s="216"/>
      <c r="CK777" s="216"/>
      <c r="CL777" s="216"/>
      <c r="CM777" s="216"/>
      <c r="CN777" s="216"/>
      <c r="CO777" s="216"/>
      <c r="CP777" s="216"/>
      <c r="CQ777" s="216"/>
      <c r="CR777" s="216"/>
      <c r="CS777" s="216"/>
      <c r="CT777" s="216"/>
      <c r="CU777" s="216"/>
      <c r="CV777" s="216"/>
      <c r="CW777" s="216"/>
      <c r="CX777" s="216"/>
      <c r="CY777" s="216"/>
    </row>
    <row r="778" spans="1:103" ht="12.75" x14ac:dyDescent="0.2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214"/>
      <c r="L778" s="214"/>
      <c r="M778" s="214"/>
      <c r="N778" s="215"/>
      <c r="O778" s="215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16"/>
      <c r="AN778" s="216"/>
      <c r="AO778" s="216"/>
      <c r="AP778" s="216"/>
      <c r="AQ778" s="216"/>
      <c r="AR778" s="216"/>
      <c r="AS778" s="216"/>
      <c r="AT778" s="216"/>
      <c r="AU778" s="216"/>
      <c r="AV778" s="216"/>
      <c r="AW778" s="216"/>
      <c r="AX778" s="216"/>
      <c r="AY778" s="216"/>
      <c r="AZ778" s="216"/>
      <c r="BA778" s="216"/>
      <c r="BB778" s="216"/>
      <c r="BC778" s="216"/>
      <c r="BD778" s="216"/>
      <c r="BE778" s="216"/>
      <c r="BF778" s="216"/>
      <c r="BG778" s="216"/>
      <c r="BH778" s="216"/>
      <c r="BI778" s="216"/>
      <c r="BJ778" s="216"/>
      <c r="BK778" s="216"/>
      <c r="BL778" s="216"/>
      <c r="BM778" s="216"/>
      <c r="BN778" s="216"/>
      <c r="BO778" s="216"/>
      <c r="BP778" s="216"/>
      <c r="BQ778" s="216"/>
      <c r="BR778" s="216"/>
      <c r="BS778" s="216"/>
      <c r="BT778" s="216"/>
      <c r="BU778" s="216"/>
      <c r="BV778" s="216"/>
      <c r="BW778" s="216"/>
      <c r="BX778" s="216"/>
      <c r="BY778" s="216"/>
      <c r="BZ778" s="216"/>
      <c r="CA778" s="216"/>
      <c r="CB778" s="216"/>
      <c r="CC778" s="216"/>
      <c r="CD778" s="216"/>
      <c r="CE778" s="216"/>
      <c r="CF778" s="216"/>
      <c r="CG778" s="216"/>
      <c r="CH778" s="216"/>
      <c r="CI778" s="216"/>
      <c r="CJ778" s="216"/>
      <c r="CK778" s="216"/>
      <c r="CL778" s="216"/>
      <c r="CM778" s="216"/>
      <c r="CN778" s="216"/>
      <c r="CO778" s="216"/>
      <c r="CP778" s="216"/>
      <c r="CQ778" s="216"/>
      <c r="CR778" s="216"/>
      <c r="CS778" s="216"/>
      <c r="CT778" s="216"/>
      <c r="CU778" s="216"/>
      <c r="CV778" s="216"/>
      <c r="CW778" s="216"/>
      <c r="CX778" s="216"/>
      <c r="CY778" s="216"/>
    </row>
    <row r="779" spans="1:103" ht="12.75" x14ac:dyDescent="0.2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214"/>
      <c r="L779" s="214"/>
      <c r="M779" s="214"/>
      <c r="N779" s="215"/>
      <c r="O779" s="215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216"/>
      <c r="AR779" s="216"/>
      <c r="AS779" s="216"/>
      <c r="AT779" s="216"/>
      <c r="AU779" s="216"/>
      <c r="AV779" s="216"/>
      <c r="AW779" s="216"/>
      <c r="AX779" s="216"/>
      <c r="AY779" s="216"/>
      <c r="AZ779" s="216"/>
      <c r="BA779" s="216"/>
      <c r="BB779" s="216"/>
      <c r="BC779" s="216"/>
      <c r="BD779" s="216"/>
      <c r="BE779" s="216"/>
      <c r="BF779" s="216"/>
      <c r="BG779" s="216"/>
      <c r="BH779" s="216"/>
      <c r="BI779" s="216"/>
      <c r="BJ779" s="216"/>
      <c r="BK779" s="216"/>
      <c r="BL779" s="216"/>
      <c r="BM779" s="216"/>
      <c r="BN779" s="216"/>
      <c r="BO779" s="216"/>
      <c r="BP779" s="216"/>
      <c r="BQ779" s="216"/>
      <c r="BR779" s="216"/>
      <c r="BS779" s="216"/>
      <c r="BT779" s="216"/>
      <c r="BU779" s="216"/>
      <c r="BV779" s="216"/>
      <c r="BW779" s="216"/>
      <c r="BX779" s="216"/>
      <c r="BY779" s="216"/>
      <c r="BZ779" s="216"/>
      <c r="CA779" s="216"/>
      <c r="CB779" s="216"/>
      <c r="CC779" s="216"/>
      <c r="CD779" s="216"/>
      <c r="CE779" s="216"/>
      <c r="CF779" s="216"/>
      <c r="CG779" s="216"/>
      <c r="CH779" s="216"/>
      <c r="CI779" s="216"/>
      <c r="CJ779" s="216"/>
      <c r="CK779" s="216"/>
      <c r="CL779" s="216"/>
      <c r="CM779" s="216"/>
      <c r="CN779" s="216"/>
      <c r="CO779" s="216"/>
      <c r="CP779" s="216"/>
      <c r="CQ779" s="216"/>
      <c r="CR779" s="216"/>
      <c r="CS779" s="216"/>
      <c r="CT779" s="216"/>
      <c r="CU779" s="216"/>
      <c r="CV779" s="216"/>
      <c r="CW779" s="216"/>
      <c r="CX779" s="216"/>
      <c r="CY779" s="216"/>
    </row>
    <row r="780" spans="1:103" ht="12.75" x14ac:dyDescent="0.2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214"/>
      <c r="L780" s="214"/>
      <c r="M780" s="214"/>
      <c r="N780" s="215"/>
      <c r="O780" s="215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16"/>
      <c r="AN780" s="216"/>
      <c r="AO780" s="216"/>
      <c r="AP780" s="216"/>
      <c r="AQ780" s="216"/>
      <c r="AR780" s="216"/>
      <c r="AS780" s="216"/>
      <c r="AT780" s="216"/>
      <c r="AU780" s="216"/>
      <c r="AV780" s="216"/>
      <c r="AW780" s="216"/>
      <c r="AX780" s="216"/>
      <c r="AY780" s="216"/>
      <c r="AZ780" s="216"/>
      <c r="BA780" s="216"/>
      <c r="BB780" s="216"/>
      <c r="BC780" s="216"/>
      <c r="BD780" s="216"/>
      <c r="BE780" s="216"/>
      <c r="BF780" s="216"/>
      <c r="BG780" s="216"/>
      <c r="BH780" s="216"/>
      <c r="BI780" s="216"/>
      <c r="BJ780" s="216"/>
      <c r="BK780" s="216"/>
      <c r="BL780" s="216"/>
      <c r="BM780" s="216"/>
      <c r="BN780" s="216"/>
      <c r="BO780" s="216"/>
      <c r="BP780" s="216"/>
      <c r="BQ780" s="216"/>
      <c r="BR780" s="216"/>
      <c r="BS780" s="216"/>
      <c r="BT780" s="216"/>
      <c r="BU780" s="216"/>
      <c r="BV780" s="216"/>
      <c r="BW780" s="216"/>
      <c r="BX780" s="216"/>
      <c r="BY780" s="216"/>
      <c r="BZ780" s="216"/>
      <c r="CA780" s="216"/>
      <c r="CB780" s="216"/>
      <c r="CC780" s="216"/>
      <c r="CD780" s="216"/>
      <c r="CE780" s="216"/>
      <c r="CF780" s="216"/>
      <c r="CG780" s="216"/>
      <c r="CH780" s="216"/>
      <c r="CI780" s="216"/>
      <c r="CJ780" s="216"/>
      <c r="CK780" s="216"/>
      <c r="CL780" s="216"/>
      <c r="CM780" s="216"/>
      <c r="CN780" s="216"/>
      <c r="CO780" s="216"/>
      <c r="CP780" s="216"/>
      <c r="CQ780" s="216"/>
      <c r="CR780" s="216"/>
      <c r="CS780" s="216"/>
      <c r="CT780" s="216"/>
      <c r="CU780" s="216"/>
      <c r="CV780" s="216"/>
      <c r="CW780" s="216"/>
      <c r="CX780" s="216"/>
      <c r="CY780" s="216"/>
    </row>
    <row r="781" spans="1:103" ht="12.75" x14ac:dyDescent="0.2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214"/>
      <c r="L781" s="214"/>
      <c r="M781" s="214"/>
      <c r="N781" s="215"/>
      <c r="O781" s="215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16"/>
      <c r="AN781" s="216"/>
      <c r="AO781" s="216"/>
      <c r="AP781" s="216"/>
      <c r="AQ781" s="216"/>
      <c r="AR781" s="216"/>
      <c r="AS781" s="216"/>
      <c r="AT781" s="216"/>
      <c r="AU781" s="216"/>
      <c r="AV781" s="216"/>
      <c r="AW781" s="216"/>
      <c r="AX781" s="216"/>
      <c r="AY781" s="216"/>
      <c r="AZ781" s="216"/>
      <c r="BA781" s="216"/>
      <c r="BB781" s="216"/>
      <c r="BC781" s="216"/>
      <c r="BD781" s="216"/>
      <c r="BE781" s="216"/>
      <c r="BF781" s="216"/>
      <c r="BG781" s="216"/>
      <c r="BH781" s="216"/>
      <c r="BI781" s="216"/>
      <c r="BJ781" s="216"/>
      <c r="BK781" s="216"/>
      <c r="BL781" s="216"/>
      <c r="BM781" s="216"/>
      <c r="BN781" s="216"/>
      <c r="BO781" s="216"/>
      <c r="BP781" s="216"/>
      <c r="BQ781" s="216"/>
      <c r="BR781" s="216"/>
      <c r="BS781" s="216"/>
      <c r="BT781" s="216"/>
      <c r="BU781" s="216"/>
      <c r="BV781" s="216"/>
      <c r="BW781" s="216"/>
      <c r="BX781" s="216"/>
      <c r="BY781" s="216"/>
      <c r="BZ781" s="216"/>
      <c r="CA781" s="216"/>
      <c r="CB781" s="216"/>
      <c r="CC781" s="216"/>
      <c r="CD781" s="216"/>
      <c r="CE781" s="216"/>
      <c r="CF781" s="216"/>
      <c r="CG781" s="216"/>
      <c r="CH781" s="216"/>
      <c r="CI781" s="216"/>
      <c r="CJ781" s="216"/>
      <c r="CK781" s="216"/>
      <c r="CL781" s="216"/>
      <c r="CM781" s="216"/>
      <c r="CN781" s="216"/>
      <c r="CO781" s="216"/>
      <c r="CP781" s="216"/>
      <c r="CQ781" s="216"/>
      <c r="CR781" s="216"/>
      <c r="CS781" s="216"/>
      <c r="CT781" s="216"/>
      <c r="CU781" s="216"/>
      <c r="CV781" s="216"/>
      <c r="CW781" s="216"/>
      <c r="CX781" s="216"/>
      <c r="CY781" s="216"/>
    </row>
    <row r="782" spans="1:103" ht="12.75" x14ac:dyDescent="0.2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214"/>
      <c r="L782" s="214"/>
      <c r="M782" s="214"/>
      <c r="N782" s="215"/>
      <c r="O782" s="215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16"/>
      <c r="AN782" s="216"/>
      <c r="AO782" s="216"/>
      <c r="AP782" s="216"/>
      <c r="AQ782" s="216"/>
      <c r="AR782" s="216"/>
      <c r="AS782" s="216"/>
      <c r="AT782" s="216"/>
      <c r="AU782" s="216"/>
      <c r="AV782" s="216"/>
      <c r="AW782" s="216"/>
      <c r="AX782" s="216"/>
      <c r="AY782" s="216"/>
      <c r="AZ782" s="216"/>
      <c r="BA782" s="216"/>
      <c r="BB782" s="216"/>
      <c r="BC782" s="216"/>
      <c r="BD782" s="216"/>
      <c r="BE782" s="216"/>
      <c r="BF782" s="216"/>
      <c r="BG782" s="216"/>
      <c r="BH782" s="216"/>
      <c r="BI782" s="216"/>
      <c r="BJ782" s="216"/>
      <c r="BK782" s="216"/>
      <c r="BL782" s="216"/>
      <c r="BM782" s="216"/>
      <c r="BN782" s="216"/>
      <c r="BO782" s="216"/>
      <c r="BP782" s="216"/>
      <c r="BQ782" s="216"/>
      <c r="BR782" s="216"/>
      <c r="BS782" s="216"/>
      <c r="BT782" s="216"/>
      <c r="BU782" s="216"/>
      <c r="BV782" s="216"/>
      <c r="BW782" s="216"/>
      <c r="BX782" s="216"/>
      <c r="BY782" s="216"/>
      <c r="BZ782" s="216"/>
      <c r="CA782" s="216"/>
      <c r="CB782" s="216"/>
      <c r="CC782" s="216"/>
      <c r="CD782" s="216"/>
      <c r="CE782" s="216"/>
      <c r="CF782" s="216"/>
      <c r="CG782" s="216"/>
      <c r="CH782" s="216"/>
      <c r="CI782" s="216"/>
      <c r="CJ782" s="216"/>
      <c r="CK782" s="216"/>
      <c r="CL782" s="216"/>
      <c r="CM782" s="216"/>
      <c r="CN782" s="216"/>
      <c r="CO782" s="216"/>
      <c r="CP782" s="216"/>
      <c r="CQ782" s="216"/>
      <c r="CR782" s="216"/>
      <c r="CS782" s="216"/>
      <c r="CT782" s="216"/>
      <c r="CU782" s="216"/>
      <c r="CV782" s="216"/>
      <c r="CW782" s="216"/>
      <c r="CX782" s="216"/>
      <c r="CY782" s="216"/>
    </row>
    <row r="783" spans="1:103" ht="12.75" x14ac:dyDescent="0.2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214"/>
      <c r="L783" s="214"/>
      <c r="M783" s="214"/>
      <c r="N783" s="215"/>
      <c r="O783" s="215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  <c r="AM783" s="216"/>
      <c r="AN783" s="216"/>
      <c r="AO783" s="216"/>
      <c r="AP783" s="216"/>
      <c r="AQ783" s="216"/>
      <c r="AR783" s="216"/>
      <c r="AS783" s="216"/>
      <c r="AT783" s="216"/>
      <c r="AU783" s="216"/>
      <c r="AV783" s="216"/>
      <c r="AW783" s="216"/>
      <c r="AX783" s="216"/>
      <c r="AY783" s="216"/>
      <c r="AZ783" s="216"/>
      <c r="BA783" s="216"/>
      <c r="BB783" s="216"/>
      <c r="BC783" s="216"/>
      <c r="BD783" s="216"/>
      <c r="BE783" s="216"/>
      <c r="BF783" s="216"/>
      <c r="BG783" s="216"/>
      <c r="BH783" s="216"/>
      <c r="BI783" s="216"/>
      <c r="BJ783" s="216"/>
      <c r="BK783" s="216"/>
      <c r="BL783" s="216"/>
      <c r="BM783" s="216"/>
      <c r="BN783" s="216"/>
      <c r="BO783" s="216"/>
      <c r="BP783" s="216"/>
      <c r="BQ783" s="216"/>
      <c r="BR783" s="216"/>
      <c r="BS783" s="216"/>
      <c r="BT783" s="216"/>
      <c r="BU783" s="216"/>
      <c r="BV783" s="216"/>
      <c r="BW783" s="216"/>
      <c r="BX783" s="216"/>
      <c r="BY783" s="216"/>
      <c r="BZ783" s="216"/>
      <c r="CA783" s="216"/>
      <c r="CB783" s="216"/>
      <c r="CC783" s="216"/>
      <c r="CD783" s="216"/>
      <c r="CE783" s="216"/>
      <c r="CF783" s="216"/>
      <c r="CG783" s="216"/>
      <c r="CH783" s="216"/>
      <c r="CI783" s="216"/>
      <c r="CJ783" s="216"/>
      <c r="CK783" s="216"/>
      <c r="CL783" s="216"/>
      <c r="CM783" s="216"/>
      <c r="CN783" s="216"/>
      <c r="CO783" s="216"/>
      <c r="CP783" s="216"/>
      <c r="CQ783" s="216"/>
      <c r="CR783" s="216"/>
      <c r="CS783" s="216"/>
      <c r="CT783" s="216"/>
      <c r="CU783" s="216"/>
      <c r="CV783" s="216"/>
      <c r="CW783" s="216"/>
      <c r="CX783" s="216"/>
      <c r="CY783" s="216"/>
    </row>
    <row r="784" spans="1:103" ht="12.75" x14ac:dyDescent="0.2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214"/>
      <c r="L784" s="214"/>
      <c r="M784" s="214"/>
      <c r="N784" s="215"/>
      <c r="O784" s="215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  <c r="AM784" s="216"/>
      <c r="AN784" s="216"/>
      <c r="AO784" s="216"/>
      <c r="AP784" s="216"/>
      <c r="AQ784" s="216"/>
      <c r="AR784" s="216"/>
      <c r="AS784" s="216"/>
      <c r="AT784" s="216"/>
      <c r="AU784" s="216"/>
      <c r="AV784" s="216"/>
      <c r="AW784" s="216"/>
      <c r="AX784" s="216"/>
      <c r="AY784" s="216"/>
      <c r="AZ784" s="216"/>
      <c r="BA784" s="216"/>
      <c r="BB784" s="216"/>
      <c r="BC784" s="216"/>
      <c r="BD784" s="216"/>
      <c r="BE784" s="216"/>
      <c r="BF784" s="216"/>
      <c r="BG784" s="216"/>
      <c r="BH784" s="216"/>
      <c r="BI784" s="216"/>
      <c r="BJ784" s="216"/>
      <c r="BK784" s="216"/>
      <c r="BL784" s="216"/>
      <c r="BM784" s="216"/>
      <c r="BN784" s="216"/>
      <c r="BO784" s="216"/>
      <c r="BP784" s="216"/>
      <c r="BQ784" s="216"/>
      <c r="BR784" s="216"/>
      <c r="BS784" s="216"/>
      <c r="BT784" s="216"/>
      <c r="BU784" s="216"/>
      <c r="BV784" s="216"/>
      <c r="BW784" s="216"/>
      <c r="BX784" s="216"/>
      <c r="BY784" s="216"/>
      <c r="BZ784" s="216"/>
      <c r="CA784" s="216"/>
      <c r="CB784" s="216"/>
      <c r="CC784" s="216"/>
      <c r="CD784" s="216"/>
      <c r="CE784" s="216"/>
      <c r="CF784" s="216"/>
      <c r="CG784" s="216"/>
      <c r="CH784" s="216"/>
      <c r="CI784" s="216"/>
      <c r="CJ784" s="216"/>
      <c r="CK784" s="216"/>
      <c r="CL784" s="216"/>
      <c r="CM784" s="216"/>
      <c r="CN784" s="216"/>
      <c r="CO784" s="216"/>
      <c r="CP784" s="216"/>
      <c r="CQ784" s="216"/>
      <c r="CR784" s="216"/>
      <c r="CS784" s="216"/>
      <c r="CT784" s="216"/>
      <c r="CU784" s="216"/>
      <c r="CV784" s="216"/>
      <c r="CW784" s="216"/>
      <c r="CX784" s="216"/>
      <c r="CY784" s="216"/>
    </row>
    <row r="785" spans="1:103" ht="12.75" x14ac:dyDescent="0.2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214"/>
      <c r="L785" s="214"/>
      <c r="M785" s="214"/>
      <c r="N785" s="215"/>
      <c r="O785" s="215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  <c r="AM785" s="216"/>
      <c r="AN785" s="216"/>
      <c r="AO785" s="216"/>
      <c r="AP785" s="216"/>
      <c r="AQ785" s="216"/>
      <c r="AR785" s="216"/>
      <c r="AS785" s="216"/>
      <c r="AT785" s="216"/>
      <c r="AU785" s="216"/>
      <c r="AV785" s="216"/>
      <c r="AW785" s="216"/>
      <c r="AX785" s="216"/>
      <c r="AY785" s="216"/>
      <c r="AZ785" s="216"/>
      <c r="BA785" s="216"/>
      <c r="BB785" s="216"/>
      <c r="BC785" s="216"/>
      <c r="BD785" s="216"/>
      <c r="BE785" s="216"/>
      <c r="BF785" s="216"/>
      <c r="BG785" s="216"/>
      <c r="BH785" s="216"/>
      <c r="BI785" s="216"/>
      <c r="BJ785" s="216"/>
      <c r="BK785" s="216"/>
      <c r="BL785" s="216"/>
      <c r="BM785" s="216"/>
      <c r="BN785" s="216"/>
      <c r="BO785" s="216"/>
      <c r="BP785" s="216"/>
      <c r="BQ785" s="216"/>
      <c r="BR785" s="216"/>
      <c r="BS785" s="216"/>
      <c r="BT785" s="216"/>
      <c r="BU785" s="216"/>
      <c r="BV785" s="216"/>
      <c r="BW785" s="216"/>
      <c r="BX785" s="216"/>
      <c r="BY785" s="216"/>
      <c r="BZ785" s="216"/>
      <c r="CA785" s="216"/>
      <c r="CB785" s="216"/>
      <c r="CC785" s="216"/>
      <c r="CD785" s="216"/>
      <c r="CE785" s="216"/>
      <c r="CF785" s="216"/>
      <c r="CG785" s="216"/>
      <c r="CH785" s="216"/>
      <c r="CI785" s="216"/>
      <c r="CJ785" s="216"/>
      <c r="CK785" s="216"/>
      <c r="CL785" s="216"/>
      <c r="CM785" s="216"/>
      <c r="CN785" s="216"/>
      <c r="CO785" s="216"/>
      <c r="CP785" s="216"/>
      <c r="CQ785" s="216"/>
      <c r="CR785" s="216"/>
      <c r="CS785" s="216"/>
      <c r="CT785" s="216"/>
      <c r="CU785" s="216"/>
      <c r="CV785" s="216"/>
      <c r="CW785" s="216"/>
      <c r="CX785" s="216"/>
      <c r="CY785" s="216"/>
    </row>
    <row r="786" spans="1:103" ht="12.75" x14ac:dyDescent="0.2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214"/>
      <c r="L786" s="214"/>
      <c r="M786" s="214"/>
      <c r="N786" s="215"/>
      <c r="O786" s="215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  <c r="AM786" s="216"/>
      <c r="AN786" s="216"/>
      <c r="AO786" s="216"/>
      <c r="AP786" s="216"/>
      <c r="AQ786" s="216"/>
      <c r="AR786" s="216"/>
      <c r="AS786" s="216"/>
      <c r="AT786" s="216"/>
      <c r="AU786" s="216"/>
      <c r="AV786" s="216"/>
      <c r="AW786" s="216"/>
      <c r="AX786" s="216"/>
      <c r="AY786" s="216"/>
      <c r="AZ786" s="216"/>
      <c r="BA786" s="216"/>
      <c r="BB786" s="216"/>
      <c r="BC786" s="216"/>
      <c r="BD786" s="216"/>
      <c r="BE786" s="216"/>
      <c r="BF786" s="216"/>
      <c r="BG786" s="216"/>
      <c r="BH786" s="216"/>
      <c r="BI786" s="216"/>
      <c r="BJ786" s="216"/>
      <c r="BK786" s="216"/>
      <c r="BL786" s="216"/>
      <c r="BM786" s="216"/>
      <c r="BN786" s="216"/>
      <c r="BO786" s="216"/>
      <c r="BP786" s="216"/>
      <c r="BQ786" s="216"/>
      <c r="BR786" s="216"/>
      <c r="BS786" s="216"/>
      <c r="BT786" s="216"/>
      <c r="BU786" s="216"/>
      <c r="BV786" s="216"/>
      <c r="BW786" s="216"/>
      <c r="BX786" s="216"/>
      <c r="BY786" s="216"/>
      <c r="BZ786" s="216"/>
      <c r="CA786" s="216"/>
      <c r="CB786" s="216"/>
      <c r="CC786" s="216"/>
      <c r="CD786" s="216"/>
      <c r="CE786" s="216"/>
      <c r="CF786" s="216"/>
      <c r="CG786" s="216"/>
      <c r="CH786" s="216"/>
      <c r="CI786" s="216"/>
      <c r="CJ786" s="216"/>
      <c r="CK786" s="216"/>
      <c r="CL786" s="216"/>
      <c r="CM786" s="216"/>
      <c r="CN786" s="216"/>
      <c r="CO786" s="216"/>
      <c r="CP786" s="216"/>
      <c r="CQ786" s="216"/>
      <c r="CR786" s="216"/>
      <c r="CS786" s="216"/>
      <c r="CT786" s="216"/>
      <c r="CU786" s="216"/>
      <c r="CV786" s="216"/>
      <c r="CW786" s="216"/>
      <c r="CX786" s="216"/>
      <c r="CY786" s="216"/>
    </row>
    <row r="787" spans="1:103" ht="12.75" x14ac:dyDescent="0.2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214"/>
      <c r="L787" s="214"/>
      <c r="M787" s="214"/>
      <c r="N787" s="215"/>
      <c r="O787" s="215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  <c r="AM787" s="216"/>
      <c r="AN787" s="216"/>
      <c r="AO787" s="216"/>
      <c r="AP787" s="216"/>
      <c r="AQ787" s="216"/>
      <c r="AR787" s="216"/>
      <c r="AS787" s="216"/>
      <c r="AT787" s="216"/>
      <c r="AU787" s="216"/>
      <c r="AV787" s="216"/>
      <c r="AW787" s="216"/>
      <c r="AX787" s="216"/>
      <c r="AY787" s="216"/>
      <c r="AZ787" s="216"/>
      <c r="BA787" s="216"/>
      <c r="BB787" s="216"/>
      <c r="BC787" s="216"/>
      <c r="BD787" s="216"/>
      <c r="BE787" s="216"/>
      <c r="BF787" s="216"/>
      <c r="BG787" s="216"/>
      <c r="BH787" s="216"/>
      <c r="BI787" s="216"/>
      <c r="BJ787" s="216"/>
      <c r="BK787" s="216"/>
      <c r="BL787" s="216"/>
      <c r="BM787" s="216"/>
      <c r="BN787" s="216"/>
      <c r="BO787" s="216"/>
      <c r="BP787" s="216"/>
      <c r="BQ787" s="216"/>
      <c r="BR787" s="216"/>
      <c r="BS787" s="216"/>
      <c r="BT787" s="216"/>
      <c r="BU787" s="216"/>
      <c r="BV787" s="216"/>
      <c r="BW787" s="216"/>
      <c r="BX787" s="216"/>
      <c r="BY787" s="216"/>
      <c r="BZ787" s="216"/>
      <c r="CA787" s="216"/>
      <c r="CB787" s="216"/>
      <c r="CC787" s="216"/>
      <c r="CD787" s="216"/>
      <c r="CE787" s="216"/>
      <c r="CF787" s="216"/>
      <c r="CG787" s="216"/>
      <c r="CH787" s="216"/>
      <c r="CI787" s="216"/>
      <c r="CJ787" s="216"/>
      <c r="CK787" s="216"/>
      <c r="CL787" s="216"/>
      <c r="CM787" s="216"/>
      <c r="CN787" s="216"/>
      <c r="CO787" s="216"/>
      <c r="CP787" s="216"/>
      <c r="CQ787" s="216"/>
      <c r="CR787" s="216"/>
      <c r="CS787" s="216"/>
      <c r="CT787" s="216"/>
      <c r="CU787" s="216"/>
      <c r="CV787" s="216"/>
      <c r="CW787" s="216"/>
      <c r="CX787" s="216"/>
      <c r="CY787" s="216"/>
    </row>
    <row r="788" spans="1:103" ht="12.75" x14ac:dyDescent="0.2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214"/>
      <c r="L788" s="214"/>
      <c r="M788" s="214"/>
      <c r="N788" s="215"/>
      <c r="O788" s="215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  <c r="AM788" s="216"/>
      <c r="AN788" s="216"/>
      <c r="AO788" s="216"/>
      <c r="AP788" s="216"/>
      <c r="AQ788" s="216"/>
      <c r="AR788" s="216"/>
      <c r="AS788" s="216"/>
      <c r="AT788" s="216"/>
      <c r="AU788" s="216"/>
      <c r="AV788" s="216"/>
      <c r="AW788" s="216"/>
      <c r="AX788" s="216"/>
      <c r="AY788" s="216"/>
      <c r="AZ788" s="216"/>
      <c r="BA788" s="216"/>
      <c r="BB788" s="216"/>
      <c r="BC788" s="216"/>
      <c r="BD788" s="216"/>
      <c r="BE788" s="216"/>
      <c r="BF788" s="216"/>
      <c r="BG788" s="216"/>
      <c r="BH788" s="216"/>
      <c r="BI788" s="216"/>
      <c r="BJ788" s="216"/>
      <c r="BK788" s="216"/>
      <c r="BL788" s="216"/>
      <c r="BM788" s="216"/>
      <c r="BN788" s="216"/>
      <c r="BO788" s="216"/>
      <c r="BP788" s="216"/>
      <c r="BQ788" s="216"/>
      <c r="BR788" s="216"/>
      <c r="BS788" s="216"/>
      <c r="BT788" s="216"/>
      <c r="BU788" s="216"/>
      <c r="BV788" s="216"/>
      <c r="BW788" s="216"/>
      <c r="BX788" s="216"/>
      <c r="BY788" s="216"/>
      <c r="BZ788" s="216"/>
      <c r="CA788" s="216"/>
      <c r="CB788" s="216"/>
      <c r="CC788" s="216"/>
      <c r="CD788" s="216"/>
      <c r="CE788" s="216"/>
      <c r="CF788" s="216"/>
      <c r="CG788" s="216"/>
      <c r="CH788" s="216"/>
      <c r="CI788" s="216"/>
      <c r="CJ788" s="216"/>
      <c r="CK788" s="216"/>
      <c r="CL788" s="216"/>
      <c r="CM788" s="216"/>
      <c r="CN788" s="216"/>
      <c r="CO788" s="216"/>
      <c r="CP788" s="216"/>
      <c r="CQ788" s="216"/>
      <c r="CR788" s="216"/>
      <c r="CS788" s="216"/>
      <c r="CT788" s="216"/>
      <c r="CU788" s="216"/>
      <c r="CV788" s="216"/>
      <c r="CW788" s="216"/>
      <c r="CX788" s="216"/>
      <c r="CY788" s="216"/>
    </row>
    <row r="789" spans="1:103" ht="12.75" x14ac:dyDescent="0.2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214"/>
      <c r="L789" s="214"/>
      <c r="M789" s="214"/>
      <c r="N789" s="215"/>
      <c r="O789" s="215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  <c r="AM789" s="216"/>
      <c r="AN789" s="216"/>
      <c r="AO789" s="216"/>
      <c r="AP789" s="216"/>
      <c r="AQ789" s="216"/>
      <c r="AR789" s="216"/>
      <c r="AS789" s="216"/>
      <c r="AT789" s="216"/>
      <c r="AU789" s="216"/>
      <c r="AV789" s="216"/>
      <c r="AW789" s="216"/>
      <c r="AX789" s="216"/>
      <c r="AY789" s="216"/>
      <c r="AZ789" s="216"/>
      <c r="BA789" s="216"/>
      <c r="BB789" s="216"/>
      <c r="BC789" s="216"/>
      <c r="BD789" s="216"/>
      <c r="BE789" s="216"/>
      <c r="BF789" s="216"/>
      <c r="BG789" s="216"/>
      <c r="BH789" s="216"/>
      <c r="BI789" s="216"/>
      <c r="BJ789" s="216"/>
      <c r="BK789" s="216"/>
      <c r="BL789" s="216"/>
      <c r="BM789" s="216"/>
      <c r="BN789" s="216"/>
      <c r="BO789" s="216"/>
      <c r="BP789" s="216"/>
      <c r="BQ789" s="216"/>
      <c r="BR789" s="216"/>
      <c r="BS789" s="216"/>
      <c r="BT789" s="216"/>
      <c r="BU789" s="216"/>
      <c r="BV789" s="216"/>
      <c r="BW789" s="216"/>
      <c r="BX789" s="216"/>
      <c r="BY789" s="216"/>
      <c r="BZ789" s="216"/>
      <c r="CA789" s="216"/>
      <c r="CB789" s="216"/>
      <c r="CC789" s="216"/>
      <c r="CD789" s="216"/>
      <c r="CE789" s="216"/>
      <c r="CF789" s="216"/>
      <c r="CG789" s="216"/>
      <c r="CH789" s="216"/>
      <c r="CI789" s="216"/>
      <c r="CJ789" s="216"/>
      <c r="CK789" s="216"/>
      <c r="CL789" s="216"/>
      <c r="CM789" s="216"/>
      <c r="CN789" s="216"/>
      <c r="CO789" s="216"/>
      <c r="CP789" s="216"/>
      <c r="CQ789" s="216"/>
      <c r="CR789" s="216"/>
      <c r="CS789" s="216"/>
      <c r="CT789" s="216"/>
      <c r="CU789" s="216"/>
      <c r="CV789" s="216"/>
      <c r="CW789" s="216"/>
      <c r="CX789" s="216"/>
      <c r="CY789" s="216"/>
    </row>
    <row r="790" spans="1:103" ht="12.75" x14ac:dyDescent="0.2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214"/>
      <c r="L790" s="214"/>
      <c r="M790" s="214"/>
      <c r="N790" s="215"/>
      <c r="O790" s="215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  <c r="AM790" s="216"/>
      <c r="AN790" s="216"/>
      <c r="AO790" s="216"/>
      <c r="AP790" s="216"/>
      <c r="AQ790" s="216"/>
      <c r="AR790" s="216"/>
      <c r="AS790" s="216"/>
      <c r="AT790" s="216"/>
      <c r="AU790" s="216"/>
      <c r="AV790" s="216"/>
      <c r="AW790" s="216"/>
      <c r="AX790" s="216"/>
      <c r="AY790" s="216"/>
      <c r="AZ790" s="216"/>
      <c r="BA790" s="216"/>
      <c r="BB790" s="216"/>
      <c r="BC790" s="216"/>
      <c r="BD790" s="216"/>
      <c r="BE790" s="216"/>
      <c r="BF790" s="216"/>
      <c r="BG790" s="216"/>
      <c r="BH790" s="216"/>
      <c r="BI790" s="216"/>
      <c r="BJ790" s="216"/>
      <c r="BK790" s="216"/>
      <c r="BL790" s="216"/>
      <c r="BM790" s="216"/>
      <c r="BN790" s="216"/>
      <c r="BO790" s="216"/>
      <c r="BP790" s="216"/>
      <c r="BQ790" s="216"/>
      <c r="BR790" s="216"/>
      <c r="BS790" s="216"/>
      <c r="BT790" s="216"/>
      <c r="BU790" s="216"/>
      <c r="BV790" s="216"/>
      <c r="BW790" s="216"/>
      <c r="BX790" s="216"/>
      <c r="BY790" s="216"/>
      <c r="BZ790" s="216"/>
      <c r="CA790" s="216"/>
      <c r="CB790" s="216"/>
      <c r="CC790" s="216"/>
      <c r="CD790" s="216"/>
      <c r="CE790" s="216"/>
      <c r="CF790" s="216"/>
      <c r="CG790" s="216"/>
      <c r="CH790" s="216"/>
      <c r="CI790" s="216"/>
      <c r="CJ790" s="216"/>
      <c r="CK790" s="216"/>
      <c r="CL790" s="216"/>
      <c r="CM790" s="216"/>
      <c r="CN790" s="216"/>
      <c r="CO790" s="216"/>
      <c r="CP790" s="216"/>
      <c r="CQ790" s="216"/>
      <c r="CR790" s="216"/>
      <c r="CS790" s="216"/>
      <c r="CT790" s="216"/>
      <c r="CU790" s="216"/>
      <c r="CV790" s="216"/>
      <c r="CW790" s="216"/>
      <c r="CX790" s="216"/>
      <c r="CY790" s="216"/>
    </row>
    <row r="791" spans="1:103" ht="12.75" x14ac:dyDescent="0.2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214"/>
      <c r="L791" s="214"/>
      <c r="M791" s="214"/>
      <c r="N791" s="215"/>
      <c r="O791" s="215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  <c r="AM791" s="216"/>
      <c r="AN791" s="216"/>
      <c r="AO791" s="216"/>
      <c r="AP791" s="216"/>
      <c r="AQ791" s="216"/>
      <c r="AR791" s="216"/>
      <c r="AS791" s="216"/>
      <c r="AT791" s="216"/>
      <c r="AU791" s="216"/>
      <c r="AV791" s="216"/>
      <c r="AW791" s="216"/>
      <c r="AX791" s="216"/>
      <c r="AY791" s="216"/>
      <c r="AZ791" s="216"/>
      <c r="BA791" s="216"/>
      <c r="BB791" s="216"/>
      <c r="BC791" s="216"/>
      <c r="BD791" s="216"/>
      <c r="BE791" s="216"/>
      <c r="BF791" s="216"/>
      <c r="BG791" s="216"/>
      <c r="BH791" s="216"/>
      <c r="BI791" s="216"/>
      <c r="BJ791" s="216"/>
      <c r="BK791" s="216"/>
      <c r="BL791" s="216"/>
      <c r="BM791" s="216"/>
      <c r="BN791" s="216"/>
      <c r="BO791" s="216"/>
      <c r="BP791" s="216"/>
      <c r="BQ791" s="216"/>
      <c r="BR791" s="216"/>
      <c r="BS791" s="216"/>
      <c r="BT791" s="216"/>
      <c r="BU791" s="216"/>
      <c r="BV791" s="216"/>
      <c r="BW791" s="216"/>
      <c r="BX791" s="216"/>
      <c r="BY791" s="216"/>
      <c r="BZ791" s="216"/>
      <c r="CA791" s="216"/>
      <c r="CB791" s="216"/>
      <c r="CC791" s="216"/>
      <c r="CD791" s="216"/>
      <c r="CE791" s="216"/>
      <c r="CF791" s="216"/>
      <c r="CG791" s="216"/>
      <c r="CH791" s="216"/>
      <c r="CI791" s="216"/>
      <c r="CJ791" s="216"/>
      <c r="CK791" s="216"/>
      <c r="CL791" s="216"/>
      <c r="CM791" s="216"/>
      <c r="CN791" s="216"/>
      <c r="CO791" s="216"/>
      <c r="CP791" s="216"/>
      <c r="CQ791" s="216"/>
      <c r="CR791" s="216"/>
      <c r="CS791" s="216"/>
      <c r="CT791" s="216"/>
      <c r="CU791" s="216"/>
      <c r="CV791" s="216"/>
      <c r="CW791" s="216"/>
      <c r="CX791" s="216"/>
      <c r="CY791" s="216"/>
    </row>
    <row r="792" spans="1:103" ht="12.75" x14ac:dyDescent="0.2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214"/>
      <c r="L792" s="214"/>
      <c r="M792" s="214"/>
      <c r="N792" s="215"/>
      <c r="O792" s="215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16"/>
      <c r="AN792" s="216"/>
      <c r="AO792" s="216"/>
      <c r="AP792" s="216"/>
      <c r="AQ792" s="216"/>
      <c r="AR792" s="216"/>
      <c r="AS792" s="216"/>
      <c r="AT792" s="216"/>
      <c r="AU792" s="216"/>
      <c r="AV792" s="216"/>
      <c r="AW792" s="216"/>
      <c r="AX792" s="216"/>
      <c r="AY792" s="216"/>
      <c r="AZ792" s="216"/>
      <c r="BA792" s="216"/>
      <c r="BB792" s="216"/>
      <c r="BC792" s="216"/>
      <c r="BD792" s="216"/>
      <c r="BE792" s="216"/>
      <c r="BF792" s="216"/>
      <c r="BG792" s="216"/>
      <c r="BH792" s="216"/>
      <c r="BI792" s="216"/>
      <c r="BJ792" s="216"/>
      <c r="BK792" s="216"/>
      <c r="BL792" s="216"/>
      <c r="BM792" s="216"/>
      <c r="BN792" s="216"/>
      <c r="BO792" s="216"/>
      <c r="BP792" s="216"/>
      <c r="BQ792" s="216"/>
      <c r="BR792" s="216"/>
      <c r="BS792" s="216"/>
      <c r="BT792" s="216"/>
      <c r="BU792" s="216"/>
      <c r="BV792" s="216"/>
      <c r="BW792" s="216"/>
      <c r="BX792" s="216"/>
      <c r="BY792" s="216"/>
      <c r="BZ792" s="216"/>
      <c r="CA792" s="216"/>
      <c r="CB792" s="216"/>
      <c r="CC792" s="216"/>
      <c r="CD792" s="216"/>
      <c r="CE792" s="216"/>
      <c r="CF792" s="216"/>
      <c r="CG792" s="216"/>
      <c r="CH792" s="216"/>
      <c r="CI792" s="216"/>
      <c r="CJ792" s="216"/>
      <c r="CK792" s="216"/>
      <c r="CL792" s="216"/>
      <c r="CM792" s="216"/>
      <c r="CN792" s="216"/>
      <c r="CO792" s="216"/>
      <c r="CP792" s="216"/>
      <c r="CQ792" s="216"/>
      <c r="CR792" s="216"/>
      <c r="CS792" s="216"/>
      <c r="CT792" s="216"/>
      <c r="CU792" s="216"/>
      <c r="CV792" s="216"/>
      <c r="CW792" s="216"/>
      <c r="CX792" s="216"/>
      <c r="CY792" s="216"/>
    </row>
    <row r="793" spans="1:103" ht="12.75" x14ac:dyDescent="0.2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214"/>
      <c r="L793" s="214"/>
      <c r="M793" s="214"/>
      <c r="N793" s="215"/>
      <c r="O793" s="215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16"/>
      <c r="AN793" s="216"/>
      <c r="AO793" s="216"/>
      <c r="AP793" s="216"/>
      <c r="AQ793" s="216"/>
      <c r="AR793" s="216"/>
      <c r="AS793" s="216"/>
      <c r="AT793" s="216"/>
      <c r="AU793" s="216"/>
      <c r="AV793" s="216"/>
      <c r="AW793" s="216"/>
      <c r="AX793" s="216"/>
      <c r="AY793" s="216"/>
      <c r="AZ793" s="216"/>
      <c r="BA793" s="216"/>
      <c r="BB793" s="216"/>
      <c r="BC793" s="216"/>
      <c r="BD793" s="216"/>
      <c r="BE793" s="216"/>
      <c r="BF793" s="216"/>
      <c r="BG793" s="216"/>
      <c r="BH793" s="216"/>
      <c r="BI793" s="216"/>
      <c r="BJ793" s="216"/>
      <c r="BK793" s="216"/>
      <c r="BL793" s="216"/>
      <c r="BM793" s="216"/>
      <c r="BN793" s="216"/>
      <c r="BO793" s="216"/>
      <c r="BP793" s="216"/>
      <c r="BQ793" s="216"/>
      <c r="BR793" s="216"/>
      <c r="BS793" s="216"/>
      <c r="BT793" s="216"/>
      <c r="BU793" s="216"/>
      <c r="BV793" s="216"/>
      <c r="BW793" s="216"/>
      <c r="BX793" s="216"/>
      <c r="BY793" s="216"/>
      <c r="BZ793" s="216"/>
      <c r="CA793" s="216"/>
      <c r="CB793" s="216"/>
      <c r="CC793" s="216"/>
      <c r="CD793" s="216"/>
      <c r="CE793" s="216"/>
      <c r="CF793" s="216"/>
      <c r="CG793" s="216"/>
      <c r="CH793" s="216"/>
      <c r="CI793" s="216"/>
      <c r="CJ793" s="216"/>
      <c r="CK793" s="216"/>
      <c r="CL793" s="216"/>
      <c r="CM793" s="216"/>
      <c r="CN793" s="216"/>
      <c r="CO793" s="216"/>
      <c r="CP793" s="216"/>
      <c r="CQ793" s="216"/>
      <c r="CR793" s="216"/>
      <c r="CS793" s="216"/>
      <c r="CT793" s="216"/>
      <c r="CU793" s="216"/>
      <c r="CV793" s="216"/>
      <c r="CW793" s="216"/>
      <c r="CX793" s="216"/>
      <c r="CY793" s="216"/>
    </row>
    <row r="794" spans="1:103" ht="12.75" x14ac:dyDescent="0.2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214"/>
      <c r="L794" s="214"/>
      <c r="M794" s="214"/>
      <c r="N794" s="215"/>
      <c r="O794" s="215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16"/>
      <c r="AN794" s="216"/>
      <c r="AO794" s="216"/>
      <c r="AP794" s="216"/>
      <c r="AQ794" s="216"/>
      <c r="AR794" s="216"/>
      <c r="AS794" s="216"/>
      <c r="AT794" s="216"/>
      <c r="AU794" s="216"/>
      <c r="AV794" s="216"/>
      <c r="AW794" s="216"/>
      <c r="AX794" s="216"/>
      <c r="AY794" s="216"/>
      <c r="AZ794" s="216"/>
      <c r="BA794" s="216"/>
      <c r="BB794" s="216"/>
      <c r="BC794" s="216"/>
      <c r="BD794" s="216"/>
      <c r="BE794" s="216"/>
      <c r="BF794" s="216"/>
      <c r="BG794" s="216"/>
      <c r="BH794" s="216"/>
      <c r="BI794" s="216"/>
      <c r="BJ794" s="216"/>
      <c r="BK794" s="216"/>
      <c r="BL794" s="216"/>
      <c r="BM794" s="216"/>
      <c r="BN794" s="216"/>
      <c r="BO794" s="216"/>
      <c r="BP794" s="216"/>
      <c r="BQ794" s="216"/>
      <c r="BR794" s="216"/>
      <c r="BS794" s="216"/>
      <c r="BT794" s="216"/>
      <c r="BU794" s="216"/>
      <c r="BV794" s="216"/>
      <c r="BW794" s="216"/>
      <c r="BX794" s="216"/>
      <c r="BY794" s="216"/>
      <c r="BZ794" s="216"/>
      <c r="CA794" s="216"/>
      <c r="CB794" s="216"/>
      <c r="CC794" s="216"/>
      <c r="CD794" s="216"/>
      <c r="CE794" s="216"/>
      <c r="CF794" s="216"/>
      <c r="CG794" s="216"/>
      <c r="CH794" s="216"/>
      <c r="CI794" s="216"/>
      <c r="CJ794" s="216"/>
      <c r="CK794" s="216"/>
      <c r="CL794" s="216"/>
      <c r="CM794" s="216"/>
      <c r="CN794" s="216"/>
      <c r="CO794" s="216"/>
      <c r="CP794" s="216"/>
      <c r="CQ794" s="216"/>
      <c r="CR794" s="216"/>
      <c r="CS794" s="216"/>
      <c r="CT794" s="216"/>
      <c r="CU794" s="216"/>
      <c r="CV794" s="216"/>
      <c r="CW794" s="216"/>
      <c r="CX794" s="216"/>
      <c r="CY794" s="216"/>
    </row>
    <row r="795" spans="1:103" ht="12.75" x14ac:dyDescent="0.2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214"/>
      <c r="L795" s="214"/>
      <c r="M795" s="214"/>
      <c r="N795" s="215"/>
      <c r="O795" s="215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16"/>
      <c r="AN795" s="216"/>
      <c r="AO795" s="216"/>
      <c r="AP795" s="216"/>
      <c r="AQ795" s="216"/>
      <c r="AR795" s="216"/>
      <c r="AS795" s="216"/>
      <c r="AT795" s="216"/>
      <c r="AU795" s="216"/>
      <c r="AV795" s="216"/>
      <c r="AW795" s="216"/>
      <c r="AX795" s="216"/>
      <c r="AY795" s="216"/>
      <c r="AZ795" s="216"/>
      <c r="BA795" s="216"/>
      <c r="BB795" s="216"/>
      <c r="BC795" s="216"/>
      <c r="BD795" s="216"/>
      <c r="BE795" s="216"/>
      <c r="BF795" s="216"/>
      <c r="BG795" s="216"/>
      <c r="BH795" s="216"/>
      <c r="BI795" s="216"/>
      <c r="BJ795" s="216"/>
      <c r="BK795" s="216"/>
      <c r="BL795" s="216"/>
      <c r="BM795" s="216"/>
      <c r="BN795" s="216"/>
      <c r="BO795" s="216"/>
      <c r="BP795" s="216"/>
      <c r="BQ795" s="216"/>
      <c r="BR795" s="216"/>
      <c r="BS795" s="216"/>
      <c r="BT795" s="216"/>
      <c r="BU795" s="216"/>
      <c r="BV795" s="216"/>
      <c r="BW795" s="216"/>
      <c r="BX795" s="216"/>
      <c r="BY795" s="216"/>
      <c r="BZ795" s="216"/>
      <c r="CA795" s="216"/>
      <c r="CB795" s="216"/>
      <c r="CC795" s="216"/>
      <c r="CD795" s="216"/>
      <c r="CE795" s="216"/>
      <c r="CF795" s="216"/>
      <c r="CG795" s="216"/>
      <c r="CH795" s="216"/>
      <c r="CI795" s="216"/>
      <c r="CJ795" s="216"/>
      <c r="CK795" s="216"/>
      <c r="CL795" s="216"/>
      <c r="CM795" s="216"/>
      <c r="CN795" s="216"/>
      <c r="CO795" s="216"/>
      <c r="CP795" s="216"/>
      <c r="CQ795" s="216"/>
      <c r="CR795" s="216"/>
      <c r="CS795" s="216"/>
      <c r="CT795" s="216"/>
      <c r="CU795" s="216"/>
      <c r="CV795" s="216"/>
      <c r="CW795" s="216"/>
      <c r="CX795" s="216"/>
      <c r="CY795" s="216"/>
    </row>
    <row r="796" spans="1:103" ht="12.75" x14ac:dyDescent="0.2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214"/>
      <c r="L796" s="214"/>
      <c r="M796" s="214"/>
      <c r="N796" s="215"/>
      <c r="O796" s="215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16"/>
      <c r="AN796" s="216"/>
      <c r="AO796" s="216"/>
      <c r="AP796" s="216"/>
      <c r="AQ796" s="216"/>
      <c r="AR796" s="216"/>
      <c r="AS796" s="216"/>
      <c r="AT796" s="216"/>
      <c r="AU796" s="216"/>
      <c r="AV796" s="216"/>
      <c r="AW796" s="216"/>
      <c r="AX796" s="216"/>
      <c r="AY796" s="216"/>
      <c r="AZ796" s="216"/>
      <c r="BA796" s="216"/>
      <c r="BB796" s="216"/>
      <c r="BC796" s="216"/>
      <c r="BD796" s="216"/>
      <c r="BE796" s="216"/>
      <c r="BF796" s="216"/>
      <c r="BG796" s="216"/>
      <c r="BH796" s="216"/>
      <c r="BI796" s="216"/>
      <c r="BJ796" s="216"/>
      <c r="BK796" s="216"/>
      <c r="BL796" s="216"/>
      <c r="BM796" s="216"/>
      <c r="BN796" s="216"/>
      <c r="BO796" s="216"/>
      <c r="BP796" s="216"/>
      <c r="BQ796" s="216"/>
      <c r="BR796" s="216"/>
      <c r="BS796" s="216"/>
      <c r="BT796" s="216"/>
      <c r="BU796" s="216"/>
      <c r="BV796" s="216"/>
      <c r="BW796" s="216"/>
      <c r="BX796" s="216"/>
      <c r="BY796" s="216"/>
      <c r="BZ796" s="216"/>
      <c r="CA796" s="216"/>
      <c r="CB796" s="216"/>
      <c r="CC796" s="216"/>
      <c r="CD796" s="216"/>
      <c r="CE796" s="216"/>
      <c r="CF796" s="216"/>
      <c r="CG796" s="216"/>
      <c r="CH796" s="216"/>
      <c r="CI796" s="216"/>
      <c r="CJ796" s="216"/>
      <c r="CK796" s="216"/>
      <c r="CL796" s="216"/>
      <c r="CM796" s="216"/>
      <c r="CN796" s="216"/>
      <c r="CO796" s="216"/>
      <c r="CP796" s="216"/>
      <c r="CQ796" s="216"/>
      <c r="CR796" s="216"/>
      <c r="CS796" s="216"/>
      <c r="CT796" s="216"/>
      <c r="CU796" s="216"/>
      <c r="CV796" s="216"/>
      <c r="CW796" s="216"/>
      <c r="CX796" s="216"/>
      <c r="CY796" s="216"/>
    </row>
    <row r="797" spans="1:103" ht="12.75" x14ac:dyDescent="0.2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214"/>
      <c r="L797" s="214"/>
      <c r="M797" s="214"/>
      <c r="N797" s="215"/>
      <c r="O797" s="215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16"/>
      <c r="AN797" s="216"/>
      <c r="AO797" s="216"/>
      <c r="AP797" s="216"/>
      <c r="AQ797" s="216"/>
      <c r="AR797" s="216"/>
      <c r="AS797" s="216"/>
      <c r="AT797" s="216"/>
      <c r="AU797" s="216"/>
      <c r="AV797" s="216"/>
      <c r="AW797" s="216"/>
      <c r="AX797" s="216"/>
      <c r="AY797" s="216"/>
      <c r="AZ797" s="216"/>
      <c r="BA797" s="216"/>
      <c r="BB797" s="216"/>
      <c r="BC797" s="216"/>
      <c r="BD797" s="216"/>
      <c r="BE797" s="216"/>
      <c r="BF797" s="216"/>
      <c r="BG797" s="216"/>
      <c r="BH797" s="216"/>
      <c r="BI797" s="216"/>
      <c r="BJ797" s="216"/>
      <c r="BK797" s="216"/>
      <c r="BL797" s="216"/>
      <c r="BM797" s="216"/>
      <c r="BN797" s="216"/>
      <c r="BO797" s="216"/>
      <c r="BP797" s="216"/>
      <c r="BQ797" s="216"/>
      <c r="BR797" s="216"/>
      <c r="BS797" s="216"/>
      <c r="BT797" s="216"/>
      <c r="BU797" s="216"/>
      <c r="BV797" s="216"/>
      <c r="BW797" s="216"/>
      <c r="BX797" s="216"/>
      <c r="BY797" s="216"/>
      <c r="BZ797" s="216"/>
      <c r="CA797" s="216"/>
      <c r="CB797" s="216"/>
      <c r="CC797" s="216"/>
      <c r="CD797" s="216"/>
      <c r="CE797" s="216"/>
      <c r="CF797" s="216"/>
      <c r="CG797" s="216"/>
      <c r="CH797" s="216"/>
      <c r="CI797" s="216"/>
      <c r="CJ797" s="216"/>
      <c r="CK797" s="216"/>
      <c r="CL797" s="216"/>
      <c r="CM797" s="216"/>
      <c r="CN797" s="216"/>
      <c r="CO797" s="216"/>
      <c r="CP797" s="216"/>
      <c r="CQ797" s="216"/>
      <c r="CR797" s="216"/>
      <c r="CS797" s="216"/>
      <c r="CT797" s="216"/>
      <c r="CU797" s="216"/>
      <c r="CV797" s="216"/>
      <c r="CW797" s="216"/>
      <c r="CX797" s="216"/>
      <c r="CY797" s="216"/>
    </row>
    <row r="798" spans="1:103" ht="12.75" x14ac:dyDescent="0.2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214"/>
      <c r="L798" s="214"/>
      <c r="M798" s="214"/>
      <c r="N798" s="215"/>
      <c r="O798" s="215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16"/>
      <c r="AN798" s="216"/>
      <c r="AO798" s="216"/>
      <c r="AP798" s="216"/>
      <c r="AQ798" s="216"/>
      <c r="AR798" s="216"/>
      <c r="AS798" s="216"/>
      <c r="AT798" s="216"/>
      <c r="AU798" s="216"/>
      <c r="AV798" s="216"/>
      <c r="AW798" s="216"/>
      <c r="AX798" s="216"/>
      <c r="AY798" s="216"/>
      <c r="AZ798" s="216"/>
      <c r="BA798" s="216"/>
      <c r="BB798" s="216"/>
      <c r="BC798" s="216"/>
      <c r="BD798" s="216"/>
      <c r="BE798" s="216"/>
      <c r="BF798" s="216"/>
      <c r="BG798" s="216"/>
      <c r="BH798" s="216"/>
      <c r="BI798" s="216"/>
      <c r="BJ798" s="216"/>
      <c r="BK798" s="216"/>
      <c r="BL798" s="216"/>
      <c r="BM798" s="216"/>
      <c r="BN798" s="216"/>
      <c r="BO798" s="216"/>
      <c r="BP798" s="216"/>
      <c r="BQ798" s="216"/>
      <c r="BR798" s="216"/>
      <c r="BS798" s="216"/>
      <c r="BT798" s="216"/>
      <c r="BU798" s="216"/>
      <c r="BV798" s="216"/>
      <c r="BW798" s="216"/>
      <c r="BX798" s="216"/>
      <c r="BY798" s="216"/>
      <c r="BZ798" s="216"/>
      <c r="CA798" s="216"/>
      <c r="CB798" s="216"/>
      <c r="CC798" s="216"/>
      <c r="CD798" s="216"/>
      <c r="CE798" s="216"/>
      <c r="CF798" s="216"/>
      <c r="CG798" s="216"/>
      <c r="CH798" s="216"/>
      <c r="CI798" s="216"/>
      <c r="CJ798" s="216"/>
      <c r="CK798" s="216"/>
      <c r="CL798" s="216"/>
      <c r="CM798" s="216"/>
      <c r="CN798" s="216"/>
      <c r="CO798" s="216"/>
      <c r="CP798" s="216"/>
      <c r="CQ798" s="216"/>
      <c r="CR798" s="216"/>
      <c r="CS798" s="216"/>
      <c r="CT798" s="216"/>
      <c r="CU798" s="216"/>
      <c r="CV798" s="216"/>
      <c r="CW798" s="216"/>
      <c r="CX798" s="216"/>
      <c r="CY798" s="216"/>
    </row>
    <row r="799" spans="1:103" ht="12.75" x14ac:dyDescent="0.2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214"/>
      <c r="L799" s="214"/>
      <c r="M799" s="214"/>
      <c r="N799" s="215"/>
      <c r="O799" s="215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16"/>
      <c r="AN799" s="216"/>
      <c r="AO799" s="216"/>
      <c r="AP799" s="216"/>
      <c r="AQ799" s="216"/>
      <c r="AR799" s="216"/>
      <c r="AS799" s="216"/>
      <c r="AT799" s="216"/>
      <c r="AU799" s="216"/>
      <c r="AV799" s="216"/>
      <c r="AW799" s="216"/>
      <c r="AX799" s="216"/>
      <c r="AY799" s="216"/>
      <c r="AZ799" s="216"/>
      <c r="BA799" s="216"/>
      <c r="BB799" s="216"/>
      <c r="BC799" s="216"/>
      <c r="BD799" s="216"/>
      <c r="BE799" s="216"/>
      <c r="BF799" s="216"/>
      <c r="BG799" s="216"/>
      <c r="BH799" s="216"/>
      <c r="BI799" s="216"/>
      <c r="BJ799" s="216"/>
      <c r="BK799" s="216"/>
      <c r="BL799" s="216"/>
      <c r="BM799" s="216"/>
      <c r="BN799" s="216"/>
      <c r="BO799" s="216"/>
      <c r="BP799" s="216"/>
      <c r="BQ799" s="216"/>
      <c r="BR799" s="216"/>
      <c r="BS799" s="216"/>
      <c r="BT799" s="216"/>
      <c r="BU799" s="216"/>
      <c r="BV799" s="216"/>
      <c r="BW799" s="216"/>
      <c r="BX799" s="216"/>
      <c r="BY799" s="216"/>
      <c r="BZ799" s="216"/>
      <c r="CA799" s="216"/>
      <c r="CB799" s="216"/>
      <c r="CC799" s="216"/>
      <c r="CD799" s="216"/>
      <c r="CE799" s="216"/>
      <c r="CF799" s="216"/>
      <c r="CG799" s="216"/>
      <c r="CH799" s="216"/>
      <c r="CI799" s="216"/>
      <c r="CJ799" s="216"/>
      <c r="CK799" s="216"/>
      <c r="CL799" s="216"/>
      <c r="CM799" s="216"/>
      <c r="CN799" s="216"/>
      <c r="CO799" s="216"/>
      <c r="CP799" s="216"/>
      <c r="CQ799" s="216"/>
      <c r="CR799" s="216"/>
      <c r="CS799" s="216"/>
      <c r="CT799" s="216"/>
      <c r="CU799" s="216"/>
      <c r="CV799" s="216"/>
      <c r="CW799" s="216"/>
      <c r="CX799" s="216"/>
      <c r="CY799" s="216"/>
    </row>
    <row r="800" spans="1:103" ht="12.75" x14ac:dyDescent="0.2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214"/>
      <c r="L800" s="214"/>
      <c r="M800" s="214"/>
      <c r="N800" s="215"/>
      <c r="O800" s="215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16"/>
      <c r="AN800" s="216"/>
      <c r="AO800" s="216"/>
      <c r="AP800" s="216"/>
      <c r="AQ800" s="216"/>
      <c r="AR800" s="216"/>
      <c r="AS800" s="216"/>
      <c r="AT800" s="216"/>
      <c r="AU800" s="216"/>
      <c r="AV800" s="216"/>
      <c r="AW800" s="216"/>
      <c r="AX800" s="216"/>
      <c r="AY800" s="216"/>
      <c r="AZ800" s="216"/>
      <c r="BA800" s="216"/>
      <c r="BB800" s="216"/>
      <c r="BC800" s="216"/>
      <c r="BD800" s="216"/>
      <c r="BE800" s="216"/>
      <c r="BF800" s="216"/>
      <c r="BG800" s="216"/>
      <c r="BH800" s="216"/>
      <c r="BI800" s="216"/>
      <c r="BJ800" s="216"/>
      <c r="BK800" s="216"/>
      <c r="BL800" s="216"/>
      <c r="BM800" s="216"/>
      <c r="BN800" s="216"/>
      <c r="BO800" s="216"/>
      <c r="BP800" s="216"/>
      <c r="BQ800" s="216"/>
      <c r="BR800" s="216"/>
      <c r="BS800" s="216"/>
      <c r="BT800" s="216"/>
      <c r="BU800" s="216"/>
      <c r="BV800" s="216"/>
      <c r="BW800" s="216"/>
      <c r="BX800" s="216"/>
      <c r="BY800" s="216"/>
      <c r="BZ800" s="216"/>
      <c r="CA800" s="216"/>
      <c r="CB800" s="216"/>
      <c r="CC800" s="216"/>
      <c r="CD800" s="216"/>
      <c r="CE800" s="216"/>
      <c r="CF800" s="216"/>
      <c r="CG800" s="216"/>
      <c r="CH800" s="216"/>
      <c r="CI800" s="216"/>
      <c r="CJ800" s="216"/>
      <c r="CK800" s="216"/>
      <c r="CL800" s="216"/>
      <c r="CM800" s="216"/>
      <c r="CN800" s="216"/>
      <c r="CO800" s="216"/>
      <c r="CP800" s="216"/>
      <c r="CQ800" s="216"/>
      <c r="CR800" s="216"/>
      <c r="CS800" s="216"/>
      <c r="CT800" s="216"/>
      <c r="CU800" s="216"/>
      <c r="CV800" s="216"/>
      <c r="CW800" s="216"/>
      <c r="CX800" s="216"/>
      <c r="CY800" s="216"/>
    </row>
    <row r="801" spans="1:103" ht="12.75" x14ac:dyDescent="0.2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214"/>
      <c r="L801" s="214"/>
      <c r="M801" s="214"/>
      <c r="N801" s="215"/>
      <c r="O801" s="215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  <c r="AM801" s="216"/>
      <c r="AN801" s="216"/>
      <c r="AO801" s="216"/>
      <c r="AP801" s="216"/>
      <c r="AQ801" s="216"/>
      <c r="AR801" s="216"/>
      <c r="AS801" s="216"/>
      <c r="AT801" s="216"/>
      <c r="AU801" s="216"/>
      <c r="AV801" s="216"/>
      <c r="AW801" s="216"/>
      <c r="AX801" s="216"/>
      <c r="AY801" s="216"/>
      <c r="AZ801" s="216"/>
      <c r="BA801" s="216"/>
      <c r="BB801" s="216"/>
      <c r="BC801" s="216"/>
      <c r="BD801" s="216"/>
      <c r="BE801" s="216"/>
      <c r="BF801" s="216"/>
      <c r="BG801" s="216"/>
      <c r="BH801" s="216"/>
      <c r="BI801" s="216"/>
      <c r="BJ801" s="216"/>
      <c r="BK801" s="216"/>
      <c r="BL801" s="216"/>
      <c r="BM801" s="216"/>
      <c r="BN801" s="216"/>
      <c r="BO801" s="216"/>
      <c r="BP801" s="216"/>
      <c r="BQ801" s="216"/>
      <c r="BR801" s="216"/>
      <c r="BS801" s="216"/>
      <c r="BT801" s="216"/>
      <c r="BU801" s="216"/>
      <c r="BV801" s="216"/>
      <c r="BW801" s="216"/>
      <c r="BX801" s="216"/>
      <c r="BY801" s="216"/>
      <c r="BZ801" s="216"/>
      <c r="CA801" s="216"/>
      <c r="CB801" s="216"/>
      <c r="CC801" s="216"/>
      <c r="CD801" s="216"/>
      <c r="CE801" s="216"/>
      <c r="CF801" s="216"/>
      <c r="CG801" s="216"/>
      <c r="CH801" s="216"/>
      <c r="CI801" s="216"/>
      <c r="CJ801" s="216"/>
      <c r="CK801" s="216"/>
      <c r="CL801" s="216"/>
      <c r="CM801" s="216"/>
      <c r="CN801" s="216"/>
      <c r="CO801" s="216"/>
      <c r="CP801" s="216"/>
      <c r="CQ801" s="216"/>
      <c r="CR801" s="216"/>
      <c r="CS801" s="216"/>
      <c r="CT801" s="216"/>
      <c r="CU801" s="216"/>
      <c r="CV801" s="216"/>
      <c r="CW801" s="216"/>
      <c r="CX801" s="216"/>
      <c r="CY801" s="216"/>
    </row>
    <row r="802" spans="1:103" ht="12.75" x14ac:dyDescent="0.2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214"/>
      <c r="L802" s="214"/>
      <c r="M802" s="214"/>
      <c r="N802" s="215"/>
      <c r="O802" s="215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  <c r="AM802" s="216"/>
      <c r="AN802" s="216"/>
      <c r="AO802" s="216"/>
      <c r="AP802" s="216"/>
      <c r="AQ802" s="216"/>
      <c r="AR802" s="216"/>
      <c r="AS802" s="216"/>
      <c r="AT802" s="216"/>
      <c r="AU802" s="216"/>
      <c r="AV802" s="216"/>
      <c r="AW802" s="216"/>
      <c r="AX802" s="216"/>
      <c r="AY802" s="216"/>
      <c r="AZ802" s="216"/>
      <c r="BA802" s="216"/>
      <c r="BB802" s="216"/>
      <c r="BC802" s="216"/>
      <c r="BD802" s="216"/>
      <c r="BE802" s="216"/>
      <c r="BF802" s="216"/>
      <c r="BG802" s="216"/>
      <c r="BH802" s="216"/>
      <c r="BI802" s="216"/>
      <c r="BJ802" s="216"/>
      <c r="BK802" s="216"/>
      <c r="BL802" s="216"/>
      <c r="BM802" s="216"/>
      <c r="BN802" s="216"/>
      <c r="BO802" s="216"/>
      <c r="BP802" s="216"/>
      <c r="BQ802" s="216"/>
      <c r="BR802" s="216"/>
      <c r="BS802" s="216"/>
      <c r="BT802" s="216"/>
      <c r="BU802" s="216"/>
      <c r="BV802" s="216"/>
      <c r="BW802" s="216"/>
      <c r="BX802" s="216"/>
      <c r="BY802" s="216"/>
      <c r="BZ802" s="216"/>
      <c r="CA802" s="216"/>
      <c r="CB802" s="216"/>
      <c r="CC802" s="216"/>
      <c r="CD802" s="216"/>
      <c r="CE802" s="216"/>
      <c r="CF802" s="216"/>
      <c r="CG802" s="216"/>
      <c r="CH802" s="216"/>
      <c r="CI802" s="216"/>
      <c r="CJ802" s="216"/>
      <c r="CK802" s="216"/>
      <c r="CL802" s="216"/>
      <c r="CM802" s="216"/>
      <c r="CN802" s="216"/>
      <c r="CO802" s="216"/>
      <c r="CP802" s="216"/>
      <c r="CQ802" s="216"/>
      <c r="CR802" s="216"/>
      <c r="CS802" s="216"/>
      <c r="CT802" s="216"/>
      <c r="CU802" s="216"/>
      <c r="CV802" s="216"/>
      <c r="CW802" s="216"/>
      <c r="CX802" s="216"/>
      <c r="CY802" s="216"/>
    </row>
    <row r="803" spans="1:103" ht="12.75" x14ac:dyDescent="0.2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214"/>
      <c r="L803" s="214"/>
      <c r="M803" s="214"/>
      <c r="N803" s="215"/>
      <c r="O803" s="215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16"/>
      <c r="AN803" s="216"/>
      <c r="AO803" s="216"/>
      <c r="AP803" s="216"/>
      <c r="AQ803" s="216"/>
      <c r="AR803" s="216"/>
      <c r="AS803" s="216"/>
      <c r="AT803" s="216"/>
      <c r="AU803" s="216"/>
      <c r="AV803" s="216"/>
      <c r="AW803" s="216"/>
      <c r="AX803" s="216"/>
      <c r="AY803" s="216"/>
      <c r="AZ803" s="216"/>
      <c r="BA803" s="216"/>
      <c r="BB803" s="216"/>
      <c r="BC803" s="216"/>
      <c r="BD803" s="216"/>
      <c r="BE803" s="216"/>
      <c r="BF803" s="216"/>
      <c r="BG803" s="216"/>
      <c r="BH803" s="216"/>
      <c r="BI803" s="216"/>
      <c r="BJ803" s="216"/>
      <c r="BK803" s="216"/>
      <c r="BL803" s="216"/>
      <c r="BM803" s="216"/>
      <c r="BN803" s="216"/>
      <c r="BO803" s="216"/>
      <c r="BP803" s="216"/>
      <c r="BQ803" s="216"/>
      <c r="BR803" s="216"/>
      <c r="BS803" s="216"/>
      <c r="BT803" s="216"/>
      <c r="BU803" s="216"/>
      <c r="BV803" s="216"/>
      <c r="BW803" s="216"/>
      <c r="BX803" s="216"/>
      <c r="BY803" s="216"/>
      <c r="BZ803" s="216"/>
      <c r="CA803" s="216"/>
      <c r="CB803" s="216"/>
      <c r="CC803" s="216"/>
      <c r="CD803" s="216"/>
      <c r="CE803" s="216"/>
      <c r="CF803" s="216"/>
      <c r="CG803" s="216"/>
      <c r="CH803" s="216"/>
      <c r="CI803" s="216"/>
      <c r="CJ803" s="216"/>
      <c r="CK803" s="216"/>
      <c r="CL803" s="216"/>
      <c r="CM803" s="216"/>
      <c r="CN803" s="216"/>
      <c r="CO803" s="216"/>
      <c r="CP803" s="216"/>
      <c r="CQ803" s="216"/>
      <c r="CR803" s="216"/>
      <c r="CS803" s="216"/>
      <c r="CT803" s="216"/>
      <c r="CU803" s="216"/>
      <c r="CV803" s="216"/>
      <c r="CW803" s="216"/>
      <c r="CX803" s="216"/>
      <c r="CY803" s="216"/>
    </row>
    <row r="804" spans="1:103" ht="12.75" x14ac:dyDescent="0.2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214"/>
      <c r="L804" s="214"/>
      <c r="M804" s="214"/>
      <c r="N804" s="215"/>
      <c r="O804" s="215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  <c r="AM804" s="216"/>
      <c r="AN804" s="216"/>
      <c r="AO804" s="216"/>
      <c r="AP804" s="216"/>
      <c r="AQ804" s="216"/>
      <c r="AR804" s="216"/>
      <c r="AS804" s="216"/>
      <c r="AT804" s="216"/>
      <c r="AU804" s="216"/>
      <c r="AV804" s="216"/>
      <c r="AW804" s="216"/>
      <c r="AX804" s="216"/>
      <c r="AY804" s="216"/>
      <c r="AZ804" s="216"/>
      <c r="BA804" s="216"/>
      <c r="BB804" s="216"/>
      <c r="BC804" s="216"/>
      <c r="BD804" s="216"/>
      <c r="BE804" s="216"/>
      <c r="BF804" s="216"/>
      <c r="BG804" s="216"/>
      <c r="BH804" s="216"/>
      <c r="BI804" s="216"/>
      <c r="BJ804" s="216"/>
      <c r="BK804" s="216"/>
      <c r="BL804" s="216"/>
      <c r="BM804" s="216"/>
      <c r="BN804" s="216"/>
      <c r="BO804" s="216"/>
      <c r="BP804" s="216"/>
      <c r="BQ804" s="216"/>
      <c r="BR804" s="216"/>
      <c r="BS804" s="216"/>
      <c r="BT804" s="216"/>
      <c r="BU804" s="216"/>
      <c r="BV804" s="216"/>
      <c r="BW804" s="216"/>
      <c r="BX804" s="216"/>
      <c r="BY804" s="216"/>
      <c r="BZ804" s="216"/>
      <c r="CA804" s="216"/>
      <c r="CB804" s="216"/>
      <c r="CC804" s="216"/>
      <c r="CD804" s="216"/>
      <c r="CE804" s="216"/>
      <c r="CF804" s="216"/>
      <c r="CG804" s="216"/>
      <c r="CH804" s="216"/>
      <c r="CI804" s="216"/>
      <c r="CJ804" s="216"/>
      <c r="CK804" s="216"/>
      <c r="CL804" s="216"/>
      <c r="CM804" s="216"/>
      <c r="CN804" s="216"/>
      <c r="CO804" s="216"/>
      <c r="CP804" s="216"/>
      <c r="CQ804" s="216"/>
      <c r="CR804" s="216"/>
      <c r="CS804" s="216"/>
      <c r="CT804" s="216"/>
      <c r="CU804" s="216"/>
      <c r="CV804" s="216"/>
      <c r="CW804" s="216"/>
      <c r="CX804" s="216"/>
      <c r="CY804" s="216"/>
    </row>
    <row r="805" spans="1:103" ht="12.75" x14ac:dyDescent="0.2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214"/>
      <c r="L805" s="214"/>
      <c r="M805" s="214"/>
      <c r="N805" s="215"/>
      <c r="O805" s="215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  <c r="AM805" s="216"/>
      <c r="AN805" s="216"/>
      <c r="AO805" s="216"/>
      <c r="AP805" s="216"/>
      <c r="AQ805" s="216"/>
      <c r="AR805" s="216"/>
      <c r="AS805" s="216"/>
      <c r="AT805" s="216"/>
      <c r="AU805" s="216"/>
      <c r="AV805" s="216"/>
      <c r="AW805" s="216"/>
      <c r="AX805" s="216"/>
      <c r="AY805" s="216"/>
      <c r="AZ805" s="216"/>
      <c r="BA805" s="216"/>
      <c r="BB805" s="216"/>
      <c r="BC805" s="216"/>
      <c r="BD805" s="216"/>
      <c r="BE805" s="216"/>
      <c r="BF805" s="216"/>
      <c r="BG805" s="216"/>
      <c r="BH805" s="216"/>
      <c r="BI805" s="216"/>
      <c r="BJ805" s="216"/>
      <c r="BK805" s="216"/>
      <c r="BL805" s="216"/>
      <c r="BM805" s="216"/>
      <c r="BN805" s="216"/>
      <c r="BO805" s="216"/>
      <c r="BP805" s="216"/>
      <c r="BQ805" s="216"/>
      <c r="BR805" s="216"/>
      <c r="BS805" s="216"/>
      <c r="BT805" s="216"/>
      <c r="BU805" s="216"/>
      <c r="BV805" s="216"/>
      <c r="BW805" s="216"/>
      <c r="BX805" s="216"/>
      <c r="BY805" s="216"/>
      <c r="BZ805" s="216"/>
      <c r="CA805" s="216"/>
      <c r="CB805" s="216"/>
      <c r="CC805" s="216"/>
      <c r="CD805" s="216"/>
      <c r="CE805" s="216"/>
      <c r="CF805" s="216"/>
      <c r="CG805" s="216"/>
      <c r="CH805" s="216"/>
      <c r="CI805" s="216"/>
      <c r="CJ805" s="216"/>
      <c r="CK805" s="216"/>
      <c r="CL805" s="216"/>
      <c r="CM805" s="216"/>
      <c r="CN805" s="216"/>
      <c r="CO805" s="216"/>
      <c r="CP805" s="216"/>
      <c r="CQ805" s="216"/>
      <c r="CR805" s="216"/>
      <c r="CS805" s="216"/>
      <c r="CT805" s="216"/>
      <c r="CU805" s="216"/>
      <c r="CV805" s="216"/>
      <c r="CW805" s="216"/>
      <c r="CX805" s="216"/>
      <c r="CY805" s="216"/>
    </row>
    <row r="806" spans="1:103" ht="12.75" x14ac:dyDescent="0.2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214"/>
      <c r="L806" s="214"/>
      <c r="M806" s="214"/>
      <c r="N806" s="215"/>
      <c r="O806" s="215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  <c r="AM806" s="216"/>
      <c r="AN806" s="216"/>
      <c r="AO806" s="216"/>
      <c r="AP806" s="216"/>
      <c r="AQ806" s="216"/>
      <c r="AR806" s="216"/>
      <c r="AS806" s="216"/>
      <c r="AT806" s="216"/>
      <c r="AU806" s="216"/>
      <c r="AV806" s="216"/>
      <c r="AW806" s="216"/>
      <c r="AX806" s="216"/>
      <c r="AY806" s="216"/>
      <c r="AZ806" s="216"/>
      <c r="BA806" s="216"/>
      <c r="BB806" s="216"/>
      <c r="BC806" s="216"/>
      <c r="BD806" s="216"/>
      <c r="BE806" s="216"/>
      <c r="BF806" s="216"/>
      <c r="BG806" s="216"/>
      <c r="BH806" s="216"/>
      <c r="BI806" s="216"/>
      <c r="BJ806" s="216"/>
      <c r="BK806" s="216"/>
      <c r="BL806" s="216"/>
      <c r="BM806" s="216"/>
      <c r="BN806" s="216"/>
      <c r="BO806" s="216"/>
      <c r="BP806" s="216"/>
      <c r="BQ806" s="216"/>
      <c r="BR806" s="216"/>
      <c r="BS806" s="216"/>
      <c r="BT806" s="216"/>
      <c r="BU806" s="216"/>
      <c r="BV806" s="216"/>
      <c r="BW806" s="216"/>
      <c r="BX806" s="216"/>
      <c r="BY806" s="216"/>
      <c r="BZ806" s="216"/>
      <c r="CA806" s="216"/>
      <c r="CB806" s="216"/>
      <c r="CC806" s="216"/>
      <c r="CD806" s="216"/>
      <c r="CE806" s="216"/>
      <c r="CF806" s="216"/>
      <c r="CG806" s="216"/>
      <c r="CH806" s="216"/>
      <c r="CI806" s="216"/>
      <c r="CJ806" s="216"/>
      <c r="CK806" s="216"/>
      <c r="CL806" s="216"/>
      <c r="CM806" s="216"/>
      <c r="CN806" s="216"/>
      <c r="CO806" s="216"/>
      <c r="CP806" s="216"/>
      <c r="CQ806" s="216"/>
      <c r="CR806" s="216"/>
      <c r="CS806" s="216"/>
      <c r="CT806" s="216"/>
      <c r="CU806" s="216"/>
      <c r="CV806" s="216"/>
      <c r="CW806" s="216"/>
      <c r="CX806" s="216"/>
      <c r="CY806" s="216"/>
    </row>
    <row r="807" spans="1:103" ht="12.75" x14ac:dyDescent="0.2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214"/>
      <c r="L807" s="214"/>
      <c r="M807" s="214"/>
      <c r="N807" s="215"/>
      <c r="O807" s="215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16"/>
      <c r="AN807" s="216"/>
      <c r="AO807" s="216"/>
      <c r="AP807" s="216"/>
      <c r="AQ807" s="216"/>
      <c r="AR807" s="216"/>
      <c r="AS807" s="216"/>
      <c r="AT807" s="216"/>
      <c r="AU807" s="216"/>
      <c r="AV807" s="216"/>
      <c r="AW807" s="216"/>
      <c r="AX807" s="216"/>
      <c r="AY807" s="216"/>
      <c r="AZ807" s="216"/>
      <c r="BA807" s="216"/>
      <c r="BB807" s="216"/>
      <c r="BC807" s="216"/>
      <c r="BD807" s="216"/>
      <c r="BE807" s="216"/>
      <c r="BF807" s="216"/>
      <c r="BG807" s="216"/>
      <c r="BH807" s="216"/>
      <c r="BI807" s="216"/>
      <c r="BJ807" s="216"/>
      <c r="BK807" s="216"/>
      <c r="BL807" s="216"/>
      <c r="BM807" s="216"/>
      <c r="BN807" s="216"/>
      <c r="BO807" s="216"/>
      <c r="BP807" s="216"/>
      <c r="BQ807" s="216"/>
      <c r="BR807" s="216"/>
      <c r="BS807" s="216"/>
      <c r="BT807" s="216"/>
      <c r="BU807" s="216"/>
      <c r="BV807" s="216"/>
      <c r="BW807" s="216"/>
      <c r="BX807" s="216"/>
      <c r="BY807" s="216"/>
      <c r="BZ807" s="216"/>
      <c r="CA807" s="216"/>
      <c r="CB807" s="216"/>
      <c r="CC807" s="216"/>
      <c r="CD807" s="216"/>
      <c r="CE807" s="216"/>
      <c r="CF807" s="216"/>
      <c r="CG807" s="216"/>
      <c r="CH807" s="216"/>
      <c r="CI807" s="216"/>
      <c r="CJ807" s="216"/>
      <c r="CK807" s="216"/>
      <c r="CL807" s="216"/>
      <c r="CM807" s="216"/>
      <c r="CN807" s="216"/>
      <c r="CO807" s="216"/>
      <c r="CP807" s="216"/>
      <c r="CQ807" s="216"/>
      <c r="CR807" s="216"/>
      <c r="CS807" s="216"/>
      <c r="CT807" s="216"/>
      <c r="CU807" s="216"/>
      <c r="CV807" s="216"/>
      <c r="CW807" s="216"/>
      <c r="CX807" s="216"/>
      <c r="CY807" s="216"/>
    </row>
    <row r="808" spans="1:103" ht="12.75" x14ac:dyDescent="0.2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214"/>
      <c r="L808" s="214"/>
      <c r="M808" s="214"/>
      <c r="N808" s="215"/>
      <c r="O808" s="215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16"/>
      <c r="AN808" s="216"/>
      <c r="AO808" s="216"/>
      <c r="AP808" s="216"/>
      <c r="AQ808" s="216"/>
      <c r="AR808" s="216"/>
      <c r="AS808" s="216"/>
      <c r="AT808" s="216"/>
      <c r="AU808" s="216"/>
      <c r="AV808" s="216"/>
      <c r="AW808" s="216"/>
      <c r="AX808" s="216"/>
      <c r="AY808" s="216"/>
      <c r="AZ808" s="216"/>
      <c r="BA808" s="216"/>
      <c r="BB808" s="216"/>
      <c r="BC808" s="216"/>
      <c r="BD808" s="216"/>
      <c r="BE808" s="216"/>
      <c r="BF808" s="216"/>
      <c r="BG808" s="216"/>
      <c r="BH808" s="216"/>
      <c r="BI808" s="216"/>
      <c r="BJ808" s="216"/>
      <c r="BK808" s="216"/>
      <c r="BL808" s="216"/>
      <c r="BM808" s="216"/>
      <c r="BN808" s="216"/>
      <c r="BO808" s="216"/>
      <c r="BP808" s="216"/>
      <c r="BQ808" s="216"/>
      <c r="BR808" s="216"/>
      <c r="BS808" s="216"/>
      <c r="BT808" s="216"/>
      <c r="BU808" s="216"/>
      <c r="BV808" s="216"/>
      <c r="BW808" s="216"/>
      <c r="BX808" s="216"/>
      <c r="BY808" s="216"/>
      <c r="BZ808" s="216"/>
      <c r="CA808" s="216"/>
      <c r="CB808" s="216"/>
      <c r="CC808" s="216"/>
      <c r="CD808" s="216"/>
      <c r="CE808" s="216"/>
      <c r="CF808" s="216"/>
      <c r="CG808" s="216"/>
      <c r="CH808" s="216"/>
      <c r="CI808" s="216"/>
      <c r="CJ808" s="216"/>
      <c r="CK808" s="216"/>
      <c r="CL808" s="216"/>
      <c r="CM808" s="216"/>
      <c r="CN808" s="216"/>
      <c r="CO808" s="216"/>
      <c r="CP808" s="216"/>
      <c r="CQ808" s="216"/>
      <c r="CR808" s="216"/>
      <c r="CS808" s="216"/>
      <c r="CT808" s="216"/>
      <c r="CU808" s="216"/>
      <c r="CV808" s="216"/>
      <c r="CW808" s="216"/>
      <c r="CX808" s="216"/>
      <c r="CY808" s="216"/>
    </row>
    <row r="809" spans="1:103" ht="12.75" x14ac:dyDescent="0.2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214"/>
      <c r="L809" s="214"/>
      <c r="M809" s="214"/>
      <c r="N809" s="215"/>
      <c r="O809" s="215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16"/>
      <c r="AN809" s="216"/>
      <c r="AO809" s="216"/>
      <c r="AP809" s="216"/>
      <c r="AQ809" s="216"/>
      <c r="AR809" s="216"/>
      <c r="AS809" s="216"/>
      <c r="AT809" s="216"/>
      <c r="AU809" s="216"/>
      <c r="AV809" s="216"/>
      <c r="AW809" s="216"/>
      <c r="AX809" s="216"/>
      <c r="AY809" s="216"/>
      <c r="AZ809" s="216"/>
      <c r="BA809" s="216"/>
      <c r="BB809" s="216"/>
      <c r="BC809" s="216"/>
      <c r="BD809" s="216"/>
      <c r="BE809" s="216"/>
      <c r="BF809" s="216"/>
      <c r="BG809" s="216"/>
      <c r="BH809" s="216"/>
      <c r="BI809" s="216"/>
      <c r="BJ809" s="216"/>
      <c r="BK809" s="216"/>
      <c r="BL809" s="216"/>
      <c r="BM809" s="216"/>
      <c r="BN809" s="216"/>
      <c r="BO809" s="216"/>
      <c r="BP809" s="216"/>
      <c r="BQ809" s="216"/>
      <c r="BR809" s="216"/>
      <c r="BS809" s="216"/>
      <c r="BT809" s="216"/>
      <c r="BU809" s="216"/>
      <c r="BV809" s="216"/>
      <c r="BW809" s="216"/>
      <c r="BX809" s="216"/>
      <c r="BY809" s="216"/>
      <c r="BZ809" s="216"/>
      <c r="CA809" s="216"/>
      <c r="CB809" s="216"/>
      <c r="CC809" s="216"/>
      <c r="CD809" s="216"/>
      <c r="CE809" s="216"/>
      <c r="CF809" s="216"/>
      <c r="CG809" s="216"/>
      <c r="CH809" s="216"/>
      <c r="CI809" s="216"/>
      <c r="CJ809" s="216"/>
      <c r="CK809" s="216"/>
      <c r="CL809" s="216"/>
      <c r="CM809" s="216"/>
      <c r="CN809" s="216"/>
      <c r="CO809" s="216"/>
      <c r="CP809" s="216"/>
      <c r="CQ809" s="216"/>
      <c r="CR809" s="216"/>
      <c r="CS809" s="216"/>
      <c r="CT809" s="216"/>
      <c r="CU809" s="216"/>
      <c r="CV809" s="216"/>
      <c r="CW809" s="216"/>
      <c r="CX809" s="216"/>
      <c r="CY809" s="216"/>
    </row>
    <row r="810" spans="1:103" ht="12.75" x14ac:dyDescent="0.2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214"/>
      <c r="L810" s="214"/>
      <c r="M810" s="214"/>
      <c r="N810" s="215"/>
      <c r="O810" s="215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16"/>
      <c r="AN810" s="216"/>
      <c r="AO810" s="216"/>
      <c r="AP810" s="216"/>
      <c r="AQ810" s="216"/>
      <c r="AR810" s="216"/>
      <c r="AS810" s="216"/>
      <c r="AT810" s="216"/>
      <c r="AU810" s="216"/>
      <c r="AV810" s="216"/>
      <c r="AW810" s="216"/>
      <c r="AX810" s="216"/>
      <c r="AY810" s="216"/>
      <c r="AZ810" s="216"/>
      <c r="BA810" s="216"/>
      <c r="BB810" s="216"/>
      <c r="BC810" s="216"/>
      <c r="BD810" s="216"/>
      <c r="BE810" s="216"/>
      <c r="BF810" s="216"/>
      <c r="BG810" s="216"/>
      <c r="BH810" s="216"/>
      <c r="BI810" s="216"/>
      <c r="BJ810" s="216"/>
      <c r="BK810" s="216"/>
      <c r="BL810" s="216"/>
      <c r="BM810" s="216"/>
      <c r="BN810" s="216"/>
      <c r="BO810" s="216"/>
      <c r="BP810" s="216"/>
      <c r="BQ810" s="216"/>
      <c r="BR810" s="216"/>
      <c r="BS810" s="216"/>
      <c r="BT810" s="216"/>
      <c r="BU810" s="216"/>
      <c r="BV810" s="216"/>
      <c r="BW810" s="216"/>
      <c r="BX810" s="216"/>
      <c r="BY810" s="216"/>
      <c r="BZ810" s="216"/>
      <c r="CA810" s="216"/>
      <c r="CB810" s="216"/>
      <c r="CC810" s="216"/>
      <c r="CD810" s="216"/>
      <c r="CE810" s="216"/>
      <c r="CF810" s="216"/>
      <c r="CG810" s="216"/>
      <c r="CH810" s="216"/>
      <c r="CI810" s="216"/>
      <c r="CJ810" s="216"/>
      <c r="CK810" s="216"/>
      <c r="CL810" s="216"/>
      <c r="CM810" s="216"/>
      <c r="CN810" s="216"/>
      <c r="CO810" s="216"/>
      <c r="CP810" s="216"/>
      <c r="CQ810" s="216"/>
      <c r="CR810" s="216"/>
      <c r="CS810" s="216"/>
      <c r="CT810" s="216"/>
      <c r="CU810" s="216"/>
      <c r="CV810" s="216"/>
      <c r="CW810" s="216"/>
      <c r="CX810" s="216"/>
      <c r="CY810" s="216"/>
    </row>
    <row r="811" spans="1:103" ht="12.75" x14ac:dyDescent="0.2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214"/>
      <c r="L811" s="214"/>
      <c r="M811" s="214"/>
      <c r="N811" s="215"/>
      <c r="O811" s="215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16"/>
      <c r="AN811" s="216"/>
      <c r="AO811" s="216"/>
      <c r="AP811" s="216"/>
      <c r="AQ811" s="216"/>
      <c r="AR811" s="216"/>
      <c r="AS811" s="216"/>
      <c r="AT811" s="216"/>
      <c r="AU811" s="216"/>
      <c r="AV811" s="216"/>
      <c r="AW811" s="216"/>
      <c r="AX811" s="216"/>
      <c r="AY811" s="216"/>
      <c r="AZ811" s="216"/>
      <c r="BA811" s="216"/>
      <c r="BB811" s="216"/>
      <c r="BC811" s="216"/>
      <c r="BD811" s="216"/>
      <c r="BE811" s="216"/>
      <c r="BF811" s="216"/>
      <c r="BG811" s="216"/>
      <c r="BH811" s="216"/>
      <c r="BI811" s="216"/>
      <c r="BJ811" s="216"/>
      <c r="BK811" s="216"/>
      <c r="BL811" s="216"/>
      <c r="BM811" s="216"/>
      <c r="BN811" s="216"/>
      <c r="BO811" s="216"/>
      <c r="BP811" s="216"/>
      <c r="BQ811" s="216"/>
      <c r="BR811" s="216"/>
      <c r="BS811" s="216"/>
      <c r="BT811" s="216"/>
      <c r="BU811" s="216"/>
      <c r="BV811" s="216"/>
      <c r="BW811" s="216"/>
      <c r="BX811" s="216"/>
      <c r="BY811" s="216"/>
      <c r="BZ811" s="216"/>
      <c r="CA811" s="216"/>
      <c r="CB811" s="216"/>
      <c r="CC811" s="216"/>
      <c r="CD811" s="216"/>
      <c r="CE811" s="216"/>
      <c r="CF811" s="216"/>
      <c r="CG811" s="216"/>
      <c r="CH811" s="216"/>
      <c r="CI811" s="216"/>
      <c r="CJ811" s="216"/>
      <c r="CK811" s="216"/>
      <c r="CL811" s="216"/>
      <c r="CM811" s="216"/>
      <c r="CN811" s="216"/>
      <c r="CO811" s="216"/>
      <c r="CP811" s="216"/>
      <c r="CQ811" s="216"/>
      <c r="CR811" s="216"/>
      <c r="CS811" s="216"/>
      <c r="CT811" s="216"/>
      <c r="CU811" s="216"/>
      <c r="CV811" s="216"/>
      <c r="CW811" s="216"/>
      <c r="CX811" s="216"/>
      <c r="CY811" s="216"/>
    </row>
    <row r="812" spans="1:103" ht="12.75" x14ac:dyDescent="0.2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214"/>
      <c r="L812" s="214"/>
      <c r="M812" s="214"/>
      <c r="N812" s="215"/>
      <c r="O812" s="215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16"/>
      <c r="AN812" s="216"/>
      <c r="AO812" s="216"/>
      <c r="AP812" s="216"/>
      <c r="AQ812" s="216"/>
      <c r="AR812" s="216"/>
      <c r="AS812" s="216"/>
      <c r="AT812" s="216"/>
      <c r="AU812" s="216"/>
      <c r="AV812" s="216"/>
      <c r="AW812" s="216"/>
      <c r="AX812" s="216"/>
      <c r="AY812" s="216"/>
      <c r="AZ812" s="216"/>
      <c r="BA812" s="216"/>
      <c r="BB812" s="216"/>
      <c r="BC812" s="216"/>
      <c r="BD812" s="216"/>
      <c r="BE812" s="216"/>
      <c r="BF812" s="216"/>
      <c r="BG812" s="216"/>
      <c r="BH812" s="216"/>
      <c r="BI812" s="216"/>
      <c r="BJ812" s="216"/>
      <c r="BK812" s="216"/>
      <c r="BL812" s="216"/>
      <c r="BM812" s="216"/>
      <c r="BN812" s="216"/>
      <c r="BO812" s="216"/>
      <c r="BP812" s="216"/>
      <c r="BQ812" s="216"/>
      <c r="BR812" s="216"/>
      <c r="BS812" s="216"/>
      <c r="BT812" s="216"/>
      <c r="BU812" s="216"/>
      <c r="BV812" s="216"/>
      <c r="BW812" s="216"/>
      <c r="BX812" s="216"/>
      <c r="BY812" s="216"/>
      <c r="BZ812" s="216"/>
      <c r="CA812" s="216"/>
      <c r="CB812" s="216"/>
      <c r="CC812" s="216"/>
      <c r="CD812" s="216"/>
      <c r="CE812" s="216"/>
      <c r="CF812" s="216"/>
      <c r="CG812" s="216"/>
      <c r="CH812" s="216"/>
      <c r="CI812" s="216"/>
      <c r="CJ812" s="216"/>
      <c r="CK812" s="216"/>
      <c r="CL812" s="216"/>
      <c r="CM812" s="216"/>
      <c r="CN812" s="216"/>
      <c r="CO812" s="216"/>
      <c r="CP812" s="216"/>
      <c r="CQ812" s="216"/>
      <c r="CR812" s="216"/>
      <c r="CS812" s="216"/>
      <c r="CT812" s="216"/>
      <c r="CU812" s="216"/>
      <c r="CV812" s="216"/>
      <c r="CW812" s="216"/>
      <c r="CX812" s="216"/>
      <c r="CY812" s="216"/>
    </row>
    <row r="813" spans="1:103" ht="12.75" x14ac:dyDescent="0.2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214"/>
      <c r="L813" s="214"/>
      <c r="M813" s="214"/>
      <c r="N813" s="215"/>
      <c r="O813" s="215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16"/>
      <c r="AN813" s="216"/>
      <c r="AO813" s="216"/>
      <c r="AP813" s="216"/>
      <c r="AQ813" s="216"/>
      <c r="AR813" s="216"/>
      <c r="AS813" s="216"/>
      <c r="AT813" s="216"/>
      <c r="AU813" s="216"/>
      <c r="AV813" s="216"/>
      <c r="AW813" s="216"/>
      <c r="AX813" s="216"/>
      <c r="AY813" s="216"/>
      <c r="AZ813" s="216"/>
      <c r="BA813" s="216"/>
      <c r="BB813" s="216"/>
      <c r="BC813" s="216"/>
      <c r="BD813" s="216"/>
      <c r="BE813" s="216"/>
      <c r="BF813" s="216"/>
      <c r="BG813" s="216"/>
      <c r="BH813" s="216"/>
      <c r="BI813" s="216"/>
      <c r="BJ813" s="216"/>
      <c r="BK813" s="216"/>
      <c r="BL813" s="216"/>
      <c r="BM813" s="216"/>
      <c r="BN813" s="216"/>
      <c r="BO813" s="216"/>
      <c r="BP813" s="216"/>
      <c r="BQ813" s="216"/>
      <c r="BR813" s="216"/>
      <c r="BS813" s="216"/>
      <c r="BT813" s="216"/>
      <c r="BU813" s="216"/>
      <c r="BV813" s="216"/>
      <c r="BW813" s="216"/>
      <c r="BX813" s="216"/>
      <c r="BY813" s="216"/>
      <c r="BZ813" s="216"/>
      <c r="CA813" s="216"/>
      <c r="CB813" s="216"/>
      <c r="CC813" s="216"/>
      <c r="CD813" s="216"/>
      <c r="CE813" s="216"/>
      <c r="CF813" s="216"/>
      <c r="CG813" s="216"/>
      <c r="CH813" s="216"/>
      <c r="CI813" s="216"/>
      <c r="CJ813" s="216"/>
      <c r="CK813" s="216"/>
      <c r="CL813" s="216"/>
      <c r="CM813" s="216"/>
      <c r="CN813" s="216"/>
      <c r="CO813" s="216"/>
      <c r="CP813" s="216"/>
      <c r="CQ813" s="216"/>
      <c r="CR813" s="216"/>
      <c r="CS813" s="216"/>
      <c r="CT813" s="216"/>
      <c r="CU813" s="216"/>
      <c r="CV813" s="216"/>
      <c r="CW813" s="216"/>
      <c r="CX813" s="216"/>
      <c r="CY813" s="216"/>
    </row>
    <row r="814" spans="1:103" ht="12.75" x14ac:dyDescent="0.2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214"/>
      <c r="L814" s="214"/>
      <c r="M814" s="214"/>
      <c r="N814" s="215"/>
      <c r="O814" s="215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16"/>
      <c r="AN814" s="216"/>
      <c r="AO814" s="216"/>
      <c r="AP814" s="216"/>
      <c r="AQ814" s="216"/>
      <c r="AR814" s="216"/>
      <c r="AS814" s="216"/>
      <c r="AT814" s="216"/>
      <c r="AU814" s="216"/>
      <c r="AV814" s="216"/>
      <c r="AW814" s="216"/>
      <c r="AX814" s="216"/>
      <c r="AY814" s="216"/>
      <c r="AZ814" s="216"/>
      <c r="BA814" s="216"/>
      <c r="BB814" s="216"/>
      <c r="BC814" s="216"/>
      <c r="BD814" s="216"/>
      <c r="BE814" s="216"/>
      <c r="BF814" s="216"/>
      <c r="BG814" s="216"/>
      <c r="BH814" s="216"/>
      <c r="BI814" s="216"/>
      <c r="BJ814" s="216"/>
      <c r="BK814" s="216"/>
      <c r="BL814" s="216"/>
      <c r="BM814" s="216"/>
      <c r="BN814" s="216"/>
      <c r="BO814" s="216"/>
      <c r="BP814" s="216"/>
      <c r="BQ814" s="216"/>
      <c r="BR814" s="216"/>
      <c r="BS814" s="216"/>
      <c r="BT814" s="216"/>
      <c r="BU814" s="216"/>
      <c r="BV814" s="216"/>
      <c r="BW814" s="216"/>
      <c r="BX814" s="216"/>
      <c r="BY814" s="216"/>
      <c r="BZ814" s="216"/>
      <c r="CA814" s="216"/>
      <c r="CB814" s="216"/>
      <c r="CC814" s="216"/>
      <c r="CD814" s="216"/>
      <c r="CE814" s="216"/>
      <c r="CF814" s="216"/>
      <c r="CG814" s="216"/>
      <c r="CH814" s="216"/>
      <c r="CI814" s="216"/>
      <c r="CJ814" s="216"/>
      <c r="CK814" s="216"/>
      <c r="CL814" s="216"/>
      <c r="CM814" s="216"/>
      <c r="CN814" s="216"/>
      <c r="CO814" s="216"/>
      <c r="CP814" s="216"/>
      <c r="CQ814" s="216"/>
      <c r="CR814" s="216"/>
      <c r="CS814" s="216"/>
      <c r="CT814" s="216"/>
      <c r="CU814" s="216"/>
      <c r="CV814" s="216"/>
      <c r="CW814" s="216"/>
      <c r="CX814" s="216"/>
      <c r="CY814" s="216"/>
    </row>
    <row r="815" spans="1:103" ht="12.75" x14ac:dyDescent="0.2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214"/>
      <c r="L815" s="214"/>
      <c r="M815" s="214"/>
      <c r="N815" s="215"/>
      <c r="O815" s="215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16"/>
      <c r="AN815" s="216"/>
      <c r="AO815" s="216"/>
      <c r="AP815" s="216"/>
      <c r="AQ815" s="216"/>
      <c r="AR815" s="216"/>
      <c r="AS815" s="216"/>
      <c r="AT815" s="216"/>
      <c r="AU815" s="216"/>
      <c r="AV815" s="216"/>
      <c r="AW815" s="216"/>
      <c r="AX815" s="216"/>
      <c r="AY815" s="216"/>
      <c r="AZ815" s="216"/>
      <c r="BA815" s="216"/>
      <c r="BB815" s="216"/>
      <c r="BC815" s="216"/>
      <c r="BD815" s="216"/>
      <c r="BE815" s="216"/>
      <c r="BF815" s="216"/>
      <c r="BG815" s="216"/>
      <c r="BH815" s="216"/>
      <c r="BI815" s="216"/>
      <c r="BJ815" s="216"/>
      <c r="BK815" s="216"/>
      <c r="BL815" s="216"/>
      <c r="BM815" s="216"/>
      <c r="BN815" s="216"/>
      <c r="BO815" s="216"/>
      <c r="BP815" s="216"/>
      <c r="BQ815" s="216"/>
      <c r="BR815" s="216"/>
      <c r="BS815" s="216"/>
      <c r="BT815" s="216"/>
      <c r="BU815" s="216"/>
      <c r="BV815" s="216"/>
      <c r="BW815" s="216"/>
      <c r="BX815" s="216"/>
      <c r="BY815" s="216"/>
      <c r="BZ815" s="216"/>
      <c r="CA815" s="216"/>
      <c r="CB815" s="216"/>
      <c r="CC815" s="216"/>
      <c r="CD815" s="216"/>
      <c r="CE815" s="216"/>
      <c r="CF815" s="216"/>
      <c r="CG815" s="216"/>
      <c r="CH815" s="216"/>
      <c r="CI815" s="216"/>
      <c r="CJ815" s="216"/>
      <c r="CK815" s="216"/>
      <c r="CL815" s="216"/>
      <c r="CM815" s="216"/>
      <c r="CN815" s="216"/>
      <c r="CO815" s="216"/>
      <c r="CP815" s="216"/>
      <c r="CQ815" s="216"/>
      <c r="CR815" s="216"/>
      <c r="CS815" s="216"/>
      <c r="CT815" s="216"/>
      <c r="CU815" s="216"/>
      <c r="CV815" s="216"/>
      <c r="CW815" s="216"/>
      <c r="CX815" s="216"/>
      <c r="CY815" s="216"/>
    </row>
    <row r="816" spans="1:103" ht="12.75" x14ac:dyDescent="0.2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214"/>
      <c r="L816" s="214"/>
      <c r="M816" s="214"/>
      <c r="N816" s="215"/>
      <c r="O816" s="215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16"/>
      <c r="AN816" s="216"/>
      <c r="AO816" s="216"/>
      <c r="AP816" s="216"/>
      <c r="AQ816" s="216"/>
      <c r="AR816" s="216"/>
      <c r="AS816" s="216"/>
      <c r="AT816" s="216"/>
      <c r="AU816" s="216"/>
      <c r="AV816" s="216"/>
      <c r="AW816" s="216"/>
      <c r="AX816" s="216"/>
      <c r="AY816" s="216"/>
      <c r="AZ816" s="216"/>
      <c r="BA816" s="216"/>
      <c r="BB816" s="216"/>
      <c r="BC816" s="216"/>
      <c r="BD816" s="216"/>
      <c r="BE816" s="216"/>
      <c r="BF816" s="216"/>
      <c r="BG816" s="216"/>
      <c r="BH816" s="216"/>
      <c r="BI816" s="216"/>
      <c r="BJ816" s="216"/>
      <c r="BK816" s="216"/>
      <c r="BL816" s="216"/>
      <c r="BM816" s="216"/>
      <c r="BN816" s="216"/>
      <c r="BO816" s="216"/>
      <c r="BP816" s="216"/>
      <c r="BQ816" s="216"/>
      <c r="BR816" s="216"/>
      <c r="BS816" s="216"/>
      <c r="BT816" s="216"/>
      <c r="BU816" s="216"/>
      <c r="BV816" s="216"/>
      <c r="BW816" s="216"/>
      <c r="BX816" s="216"/>
      <c r="BY816" s="216"/>
      <c r="BZ816" s="216"/>
      <c r="CA816" s="216"/>
      <c r="CB816" s="216"/>
      <c r="CC816" s="216"/>
      <c r="CD816" s="216"/>
      <c r="CE816" s="216"/>
      <c r="CF816" s="216"/>
      <c r="CG816" s="216"/>
      <c r="CH816" s="216"/>
      <c r="CI816" s="216"/>
      <c r="CJ816" s="216"/>
      <c r="CK816" s="216"/>
      <c r="CL816" s="216"/>
      <c r="CM816" s="216"/>
      <c r="CN816" s="216"/>
      <c r="CO816" s="216"/>
      <c r="CP816" s="216"/>
      <c r="CQ816" s="216"/>
      <c r="CR816" s="216"/>
      <c r="CS816" s="216"/>
      <c r="CT816" s="216"/>
      <c r="CU816" s="216"/>
      <c r="CV816" s="216"/>
      <c r="CW816" s="216"/>
      <c r="CX816" s="216"/>
      <c r="CY816" s="216"/>
    </row>
    <row r="817" spans="1:103" ht="12.75" x14ac:dyDescent="0.2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214"/>
      <c r="L817" s="214"/>
      <c r="M817" s="214"/>
      <c r="N817" s="215"/>
      <c r="O817" s="215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  <c r="AM817" s="216"/>
      <c r="AN817" s="216"/>
      <c r="AO817" s="216"/>
      <c r="AP817" s="216"/>
      <c r="AQ817" s="216"/>
      <c r="AR817" s="216"/>
      <c r="AS817" s="216"/>
      <c r="AT817" s="216"/>
      <c r="AU817" s="216"/>
      <c r="AV817" s="216"/>
      <c r="AW817" s="216"/>
      <c r="AX817" s="216"/>
      <c r="AY817" s="216"/>
      <c r="AZ817" s="216"/>
      <c r="BA817" s="216"/>
      <c r="BB817" s="216"/>
      <c r="BC817" s="216"/>
      <c r="BD817" s="216"/>
      <c r="BE817" s="216"/>
      <c r="BF817" s="216"/>
      <c r="BG817" s="216"/>
      <c r="BH817" s="216"/>
      <c r="BI817" s="216"/>
      <c r="BJ817" s="216"/>
      <c r="BK817" s="216"/>
      <c r="BL817" s="216"/>
      <c r="BM817" s="216"/>
      <c r="BN817" s="216"/>
      <c r="BO817" s="216"/>
      <c r="BP817" s="216"/>
      <c r="BQ817" s="216"/>
      <c r="BR817" s="216"/>
      <c r="BS817" s="216"/>
      <c r="BT817" s="216"/>
      <c r="BU817" s="216"/>
      <c r="BV817" s="216"/>
      <c r="BW817" s="216"/>
      <c r="BX817" s="216"/>
      <c r="BY817" s="216"/>
      <c r="BZ817" s="216"/>
      <c r="CA817" s="216"/>
      <c r="CB817" s="216"/>
      <c r="CC817" s="216"/>
      <c r="CD817" s="216"/>
      <c r="CE817" s="216"/>
      <c r="CF817" s="216"/>
      <c r="CG817" s="216"/>
      <c r="CH817" s="216"/>
      <c r="CI817" s="216"/>
      <c r="CJ817" s="216"/>
      <c r="CK817" s="216"/>
      <c r="CL817" s="216"/>
      <c r="CM817" s="216"/>
      <c r="CN817" s="216"/>
      <c r="CO817" s="216"/>
      <c r="CP817" s="216"/>
      <c r="CQ817" s="216"/>
      <c r="CR817" s="216"/>
      <c r="CS817" s="216"/>
      <c r="CT817" s="216"/>
      <c r="CU817" s="216"/>
      <c r="CV817" s="216"/>
      <c r="CW817" s="216"/>
      <c r="CX817" s="216"/>
      <c r="CY817" s="216"/>
    </row>
    <row r="818" spans="1:103" ht="12.75" x14ac:dyDescent="0.2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214"/>
      <c r="L818" s="214"/>
      <c r="M818" s="214"/>
      <c r="N818" s="215"/>
      <c r="O818" s="215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  <c r="AM818" s="216"/>
      <c r="AN818" s="216"/>
      <c r="AO818" s="216"/>
      <c r="AP818" s="216"/>
      <c r="AQ818" s="216"/>
      <c r="AR818" s="216"/>
      <c r="AS818" s="216"/>
      <c r="AT818" s="216"/>
      <c r="AU818" s="216"/>
      <c r="AV818" s="216"/>
      <c r="AW818" s="216"/>
      <c r="AX818" s="216"/>
      <c r="AY818" s="216"/>
      <c r="AZ818" s="216"/>
      <c r="BA818" s="216"/>
      <c r="BB818" s="216"/>
      <c r="BC818" s="216"/>
      <c r="BD818" s="216"/>
      <c r="BE818" s="216"/>
      <c r="BF818" s="216"/>
      <c r="BG818" s="216"/>
      <c r="BH818" s="216"/>
      <c r="BI818" s="216"/>
      <c r="BJ818" s="216"/>
      <c r="BK818" s="216"/>
      <c r="BL818" s="216"/>
      <c r="BM818" s="216"/>
      <c r="BN818" s="216"/>
      <c r="BO818" s="216"/>
      <c r="BP818" s="216"/>
      <c r="BQ818" s="216"/>
      <c r="BR818" s="216"/>
      <c r="BS818" s="216"/>
      <c r="BT818" s="216"/>
      <c r="BU818" s="216"/>
      <c r="BV818" s="216"/>
      <c r="BW818" s="216"/>
      <c r="BX818" s="216"/>
      <c r="BY818" s="216"/>
      <c r="BZ818" s="216"/>
      <c r="CA818" s="216"/>
      <c r="CB818" s="216"/>
      <c r="CC818" s="216"/>
      <c r="CD818" s="216"/>
      <c r="CE818" s="216"/>
      <c r="CF818" s="216"/>
      <c r="CG818" s="216"/>
      <c r="CH818" s="216"/>
      <c r="CI818" s="216"/>
      <c r="CJ818" s="216"/>
      <c r="CK818" s="216"/>
      <c r="CL818" s="216"/>
      <c r="CM818" s="216"/>
      <c r="CN818" s="216"/>
      <c r="CO818" s="216"/>
      <c r="CP818" s="216"/>
      <c r="CQ818" s="216"/>
      <c r="CR818" s="216"/>
      <c r="CS818" s="216"/>
      <c r="CT818" s="216"/>
      <c r="CU818" s="216"/>
      <c r="CV818" s="216"/>
      <c r="CW818" s="216"/>
      <c r="CX818" s="216"/>
      <c r="CY818" s="216"/>
    </row>
    <row r="819" spans="1:103" ht="12.75" x14ac:dyDescent="0.2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214"/>
      <c r="L819" s="214"/>
      <c r="M819" s="214"/>
      <c r="N819" s="215"/>
      <c r="O819" s="215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  <c r="AM819" s="216"/>
      <c r="AN819" s="216"/>
      <c r="AO819" s="216"/>
      <c r="AP819" s="216"/>
      <c r="AQ819" s="216"/>
      <c r="AR819" s="216"/>
      <c r="AS819" s="216"/>
      <c r="AT819" s="216"/>
      <c r="AU819" s="216"/>
      <c r="AV819" s="216"/>
      <c r="AW819" s="216"/>
      <c r="AX819" s="216"/>
      <c r="AY819" s="216"/>
      <c r="AZ819" s="216"/>
      <c r="BA819" s="216"/>
      <c r="BB819" s="216"/>
      <c r="BC819" s="216"/>
      <c r="BD819" s="216"/>
      <c r="BE819" s="216"/>
      <c r="BF819" s="216"/>
      <c r="BG819" s="216"/>
      <c r="BH819" s="216"/>
      <c r="BI819" s="216"/>
      <c r="BJ819" s="216"/>
      <c r="BK819" s="216"/>
      <c r="BL819" s="216"/>
      <c r="BM819" s="216"/>
      <c r="BN819" s="216"/>
      <c r="BO819" s="216"/>
      <c r="BP819" s="216"/>
      <c r="BQ819" s="216"/>
      <c r="BR819" s="216"/>
      <c r="BS819" s="216"/>
      <c r="BT819" s="216"/>
      <c r="BU819" s="216"/>
      <c r="BV819" s="216"/>
      <c r="BW819" s="216"/>
      <c r="BX819" s="216"/>
      <c r="BY819" s="216"/>
      <c r="BZ819" s="216"/>
      <c r="CA819" s="216"/>
      <c r="CB819" s="216"/>
      <c r="CC819" s="216"/>
      <c r="CD819" s="216"/>
      <c r="CE819" s="216"/>
      <c r="CF819" s="216"/>
      <c r="CG819" s="216"/>
      <c r="CH819" s="216"/>
      <c r="CI819" s="216"/>
      <c r="CJ819" s="216"/>
      <c r="CK819" s="216"/>
      <c r="CL819" s="216"/>
      <c r="CM819" s="216"/>
      <c r="CN819" s="216"/>
      <c r="CO819" s="216"/>
      <c r="CP819" s="216"/>
      <c r="CQ819" s="216"/>
      <c r="CR819" s="216"/>
      <c r="CS819" s="216"/>
      <c r="CT819" s="216"/>
      <c r="CU819" s="216"/>
      <c r="CV819" s="216"/>
      <c r="CW819" s="216"/>
      <c r="CX819" s="216"/>
      <c r="CY819" s="216"/>
    </row>
    <row r="820" spans="1:103" ht="12.75" x14ac:dyDescent="0.2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214"/>
      <c r="L820" s="214"/>
      <c r="M820" s="214"/>
      <c r="N820" s="215"/>
      <c r="O820" s="215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  <c r="AM820" s="216"/>
      <c r="AN820" s="216"/>
      <c r="AO820" s="216"/>
      <c r="AP820" s="216"/>
      <c r="AQ820" s="216"/>
      <c r="AR820" s="216"/>
      <c r="AS820" s="216"/>
      <c r="AT820" s="216"/>
      <c r="AU820" s="216"/>
      <c r="AV820" s="216"/>
      <c r="AW820" s="216"/>
      <c r="AX820" s="216"/>
      <c r="AY820" s="216"/>
      <c r="AZ820" s="216"/>
      <c r="BA820" s="216"/>
      <c r="BB820" s="216"/>
      <c r="BC820" s="216"/>
      <c r="BD820" s="216"/>
      <c r="BE820" s="216"/>
      <c r="BF820" s="216"/>
      <c r="BG820" s="216"/>
      <c r="BH820" s="216"/>
      <c r="BI820" s="216"/>
      <c r="BJ820" s="216"/>
      <c r="BK820" s="216"/>
      <c r="BL820" s="216"/>
      <c r="BM820" s="216"/>
      <c r="BN820" s="216"/>
      <c r="BO820" s="216"/>
      <c r="BP820" s="216"/>
      <c r="BQ820" s="216"/>
      <c r="BR820" s="216"/>
      <c r="BS820" s="216"/>
      <c r="BT820" s="216"/>
      <c r="BU820" s="216"/>
      <c r="BV820" s="216"/>
      <c r="BW820" s="216"/>
      <c r="BX820" s="216"/>
      <c r="BY820" s="216"/>
      <c r="BZ820" s="216"/>
      <c r="CA820" s="216"/>
      <c r="CB820" s="216"/>
      <c r="CC820" s="216"/>
      <c r="CD820" s="216"/>
      <c r="CE820" s="216"/>
      <c r="CF820" s="216"/>
      <c r="CG820" s="216"/>
      <c r="CH820" s="216"/>
      <c r="CI820" s="216"/>
      <c r="CJ820" s="216"/>
      <c r="CK820" s="216"/>
      <c r="CL820" s="216"/>
      <c r="CM820" s="216"/>
      <c r="CN820" s="216"/>
      <c r="CO820" s="216"/>
      <c r="CP820" s="216"/>
      <c r="CQ820" s="216"/>
      <c r="CR820" s="216"/>
      <c r="CS820" s="216"/>
      <c r="CT820" s="216"/>
      <c r="CU820" s="216"/>
      <c r="CV820" s="216"/>
      <c r="CW820" s="216"/>
      <c r="CX820" s="216"/>
      <c r="CY820" s="216"/>
    </row>
    <row r="821" spans="1:103" ht="12.75" x14ac:dyDescent="0.2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214"/>
      <c r="L821" s="214"/>
      <c r="M821" s="214"/>
      <c r="N821" s="215"/>
      <c r="O821" s="215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  <c r="AM821" s="216"/>
      <c r="AN821" s="216"/>
      <c r="AO821" s="216"/>
      <c r="AP821" s="216"/>
      <c r="AQ821" s="216"/>
      <c r="AR821" s="216"/>
      <c r="AS821" s="216"/>
      <c r="AT821" s="216"/>
      <c r="AU821" s="216"/>
      <c r="AV821" s="216"/>
      <c r="AW821" s="216"/>
      <c r="AX821" s="216"/>
      <c r="AY821" s="216"/>
      <c r="AZ821" s="216"/>
      <c r="BA821" s="216"/>
      <c r="BB821" s="216"/>
      <c r="BC821" s="216"/>
      <c r="BD821" s="216"/>
      <c r="BE821" s="216"/>
      <c r="BF821" s="216"/>
      <c r="BG821" s="216"/>
      <c r="BH821" s="216"/>
      <c r="BI821" s="216"/>
      <c r="BJ821" s="216"/>
      <c r="BK821" s="216"/>
      <c r="BL821" s="216"/>
      <c r="BM821" s="216"/>
      <c r="BN821" s="216"/>
      <c r="BO821" s="216"/>
      <c r="BP821" s="216"/>
      <c r="BQ821" s="216"/>
      <c r="BR821" s="216"/>
      <c r="BS821" s="216"/>
      <c r="BT821" s="216"/>
      <c r="BU821" s="216"/>
      <c r="BV821" s="216"/>
      <c r="BW821" s="216"/>
      <c r="BX821" s="216"/>
      <c r="BY821" s="216"/>
      <c r="BZ821" s="216"/>
      <c r="CA821" s="216"/>
      <c r="CB821" s="216"/>
      <c r="CC821" s="216"/>
      <c r="CD821" s="216"/>
      <c r="CE821" s="216"/>
      <c r="CF821" s="216"/>
      <c r="CG821" s="216"/>
      <c r="CH821" s="216"/>
      <c r="CI821" s="216"/>
      <c r="CJ821" s="216"/>
      <c r="CK821" s="216"/>
      <c r="CL821" s="216"/>
      <c r="CM821" s="216"/>
      <c r="CN821" s="216"/>
      <c r="CO821" s="216"/>
      <c r="CP821" s="216"/>
      <c r="CQ821" s="216"/>
      <c r="CR821" s="216"/>
      <c r="CS821" s="216"/>
      <c r="CT821" s="216"/>
      <c r="CU821" s="216"/>
      <c r="CV821" s="216"/>
      <c r="CW821" s="216"/>
      <c r="CX821" s="216"/>
      <c r="CY821" s="216"/>
    </row>
    <row r="822" spans="1:103" ht="12.75" x14ac:dyDescent="0.2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214"/>
      <c r="L822" s="214"/>
      <c r="M822" s="214"/>
      <c r="N822" s="215"/>
      <c r="O822" s="215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  <c r="AM822" s="216"/>
      <c r="AN822" s="216"/>
      <c r="AO822" s="216"/>
      <c r="AP822" s="216"/>
      <c r="AQ822" s="216"/>
      <c r="AR822" s="216"/>
      <c r="AS822" s="216"/>
      <c r="AT822" s="216"/>
      <c r="AU822" s="216"/>
      <c r="AV822" s="216"/>
      <c r="AW822" s="216"/>
      <c r="AX822" s="216"/>
      <c r="AY822" s="216"/>
      <c r="AZ822" s="216"/>
      <c r="BA822" s="216"/>
      <c r="BB822" s="216"/>
      <c r="BC822" s="216"/>
      <c r="BD822" s="216"/>
      <c r="BE822" s="216"/>
      <c r="BF822" s="216"/>
      <c r="BG822" s="216"/>
      <c r="BH822" s="216"/>
      <c r="BI822" s="216"/>
      <c r="BJ822" s="216"/>
      <c r="BK822" s="216"/>
      <c r="BL822" s="216"/>
      <c r="BM822" s="216"/>
      <c r="BN822" s="216"/>
      <c r="BO822" s="216"/>
      <c r="BP822" s="216"/>
      <c r="BQ822" s="216"/>
      <c r="BR822" s="216"/>
      <c r="BS822" s="216"/>
      <c r="BT822" s="216"/>
      <c r="BU822" s="216"/>
      <c r="BV822" s="216"/>
      <c r="BW822" s="216"/>
      <c r="BX822" s="216"/>
      <c r="BY822" s="216"/>
      <c r="BZ822" s="216"/>
      <c r="CA822" s="216"/>
      <c r="CB822" s="216"/>
      <c r="CC822" s="216"/>
      <c r="CD822" s="216"/>
      <c r="CE822" s="216"/>
      <c r="CF822" s="216"/>
      <c r="CG822" s="216"/>
      <c r="CH822" s="216"/>
      <c r="CI822" s="216"/>
      <c r="CJ822" s="216"/>
      <c r="CK822" s="216"/>
      <c r="CL822" s="216"/>
      <c r="CM822" s="216"/>
      <c r="CN822" s="216"/>
      <c r="CO822" s="216"/>
      <c r="CP822" s="216"/>
      <c r="CQ822" s="216"/>
      <c r="CR822" s="216"/>
      <c r="CS822" s="216"/>
      <c r="CT822" s="216"/>
      <c r="CU822" s="216"/>
      <c r="CV822" s="216"/>
      <c r="CW822" s="216"/>
      <c r="CX822" s="216"/>
      <c r="CY822" s="216"/>
    </row>
    <row r="823" spans="1:103" ht="12.75" x14ac:dyDescent="0.2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214"/>
      <c r="L823" s="214"/>
      <c r="M823" s="214"/>
      <c r="N823" s="215"/>
      <c r="O823" s="215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  <c r="AM823" s="216"/>
      <c r="AN823" s="216"/>
      <c r="AO823" s="216"/>
      <c r="AP823" s="216"/>
      <c r="AQ823" s="216"/>
      <c r="AR823" s="216"/>
      <c r="AS823" s="216"/>
      <c r="AT823" s="216"/>
      <c r="AU823" s="216"/>
      <c r="AV823" s="216"/>
      <c r="AW823" s="216"/>
      <c r="AX823" s="216"/>
      <c r="AY823" s="216"/>
      <c r="AZ823" s="216"/>
      <c r="BA823" s="216"/>
      <c r="BB823" s="216"/>
      <c r="BC823" s="216"/>
      <c r="BD823" s="216"/>
      <c r="BE823" s="216"/>
      <c r="BF823" s="216"/>
      <c r="BG823" s="216"/>
      <c r="BH823" s="216"/>
      <c r="BI823" s="216"/>
      <c r="BJ823" s="216"/>
      <c r="BK823" s="216"/>
      <c r="BL823" s="216"/>
      <c r="BM823" s="216"/>
      <c r="BN823" s="216"/>
      <c r="BO823" s="216"/>
      <c r="BP823" s="216"/>
      <c r="BQ823" s="216"/>
      <c r="BR823" s="216"/>
      <c r="BS823" s="216"/>
      <c r="BT823" s="216"/>
      <c r="BU823" s="216"/>
      <c r="BV823" s="216"/>
      <c r="BW823" s="216"/>
      <c r="BX823" s="216"/>
      <c r="BY823" s="216"/>
      <c r="BZ823" s="216"/>
      <c r="CA823" s="216"/>
      <c r="CB823" s="216"/>
      <c r="CC823" s="216"/>
      <c r="CD823" s="216"/>
      <c r="CE823" s="216"/>
      <c r="CF823" s="216"/>
      <c r="CG823" s="216"/>
      <c r="CH823" s="216"/>
      <c r="CI823" s="216"/>
      <c r="CJ823" s="216"/>
      <c r="CK823" s="216"/>
      <c r="CL823" s="216"/>
      <c r="CM823" s="216"/>
      <c r="CN823" s="216"/>
      <c r="CO823" s="216"/>
      <c r="CP823" s="216"/>
      <c r="CQ823" s="216"/>
      <c r="CR823" s="216"/>
      <c r="CS823" s="216"/>
      <c r="CT823" s="216"/>
      <c r="CU823" s="216"/>
      <c r="CV823" s="216"/>
      <c r="CW823" s="216"/>
      <c r="CX823" s="216"/>
      <c r="CY823" s="216"/>
    </row>
    <row r="824" spans="1:103" ht="12.75" x14ac:dyDescent="0.2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214"/>
      <c r="L824" s="214"/>
      <c r="M824" s="214"/>
      <c r="N824" s="215"/>
      <c r="O824" s="215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  <c r="AM824" s="216"/>
      <c r="AN824" s="216"/>
      <c r="AO824" s="216"/>
      <c r="AP824" s="216"/>
      <c r="AQ824" s="216"/>
      <c r="AR824" s="216"/>
      <c r="AS824" s="216"/>
      <c r="AT824" s="216"/>
      <c r="AU824" s="216"/>
      <c r="AV824" s="216"/>
      <c r="AW824" s="216"/>
      <c r="AX824" s="216"/>
      <c r="AY824" s="216"/>
      <c r="AZ824" s="216"/>
      <c r="BA824" s="216"/>
      <c r="BB824" s="216"/>
      <c r="BC824" s="216"/>
      <c r="BD824" s="216"/>
      <c r="BE824" s="216"/>
      <c r="BF824" s="216"/>
      <c r="BG824" s="216"/>
      <c r="BH824" s="216"/>
      <c r="BI824" s="216"/>
      <c r="BJ824" s="216"/>
      <c r="BK824" s="216"/>
      <c r="BL824" s="216"/>
      <c r="BM824" s="216"/>
      <c r="BN824" s="216"/>
      <c r="BO824" s="216"/>
      <c r="BP824" s="216"/>
      <c r="BQ824" s="216"/>
      <c r="BR824" s="216"/>
      <c r="BS824" s="216"/>
      <c r="BT824" s="216"/>
      <c r="BU824" s="216"/>
      <c r="BV824" s="216"/>
      <c r="BW824" s="216"/>
      <c r="BX824" s="216"/>
      <c r="BY824" s="216"/>
      <c r="BZ824" s="216"/>
      <c r="CA824" s="216"/>
      <c r="CB824" s="216"/>
      <c r="CC824" s="216"/>
      <c r="CD824" s="216"/>
      <c r="CE824" s="216"/>
      <c r="CF824" s="216"/>
      <c r="CG824" s="216"/>
      <c r="CH824" s="216"/>
      <c r="CI824" s="216"/>
      <c r="CJ824" s="216"/>
      <c r="CK824" s="216"/>
      <c r="CL824" s="216"/>
      <c r="CM824" s="216"/>
      <c r="CN824" s="216"/>
      <c r="CO824" s="216"/>
      <c r="CP824" s="216"/>
      <c r="CQ824" s="216"/>
      <c r="CR824" s="216"/>
      <c r="CS824" s="216"/>
      <c r="CT824" s="216"/>
      <c r="CU824" s="216"/>
      <c r="CV824" s="216"/>
      <c r="CW824" s="216"/>
      <c r="CX824" s="216"/>
      <c r="CY824" s="216"/>
    </row>
    <row r="825" spans="1:103" ht="12.75" x14ac:dyDescent="0.2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214"/>
      <c r="L825" s="214"/>
      <c r="M825" s="214"/>
      <c r="N825" s="215"/>
      <c r="O825" s="215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16"/>
      <c r="AN825" s="216"/>
      <c r="AO825" s="216"/>
      <c r="AP825" s="216"/>
      <c r="AQ825" s="216"/>
      <c r="AR825" s="216"/>
      <c r="AS825" s="216"/>
      <c r="AT825" s="216"/>
      <c r="AU825" s="216"/>
      <c r="AV825" s="216"/>
      <c r="AW825" s="216"/>
      <c r="AX825" s="216"/>
      <c r="AY825" s="216"/>
      <c r="AZ825" s="216"/>
      <c r="BA825" s="216"/>
      <c r="BB825" s="216"/>
      <c r="BC825" s="216"/>
      <c r="BD825" s="216"/>
      <c r="BE825" s="216"/>
      <c r="BF825" s="216"/>
      <c r="BG825" s="216"/>
      <c r="BH825" s="216"/>
      <c r="BI825" s="216"/>
      <c r="BJ825" s="216"/>
      <c r="BK825" s="216"/>
      <c r="BL825" s="216"/>
      <c r="BM825" s="216"/>
      <c r="BN825" s="216"/>
      <c r="BO825" s="216"/>
      <c r="BP825" s="216"/>
      <c r="BQ825" s="216"/>
      <c r="BR825" s="216"/>
      <c r="BS825" s="216"/>
      <c r="BT825" s="216"/>
      <c r="BU825" s="216"/>
      <c r="BV825" s="216"/>
      <c r="BW825" s="216"/>
      <c r="BX825" s="216"/>
      <c r="BY825" s="216"/>
      <c r="BZ825" s="216"/>
      <c r="CA825" s="216"/>
      <c r="CB825" s="216"/>
      <c r="CC825" s="216"/>
      <c r="CD825" s="216"/>
      <c r="CE825" s="216"/>
      <c r="CF825" s="216"/>
      <c r="CG825" s="216"/>
      <c r="CH825" s="216"/>
      <c r="CI825" s="216"/>
      <c r="CJ825" s="216"/>
      <c r="CK825" s="216"/>
      <c r="CL825" s="216"/>
      <c r="CM825" s="216"/>
      <c r="CN825" s="216"/>
      <c r="CO825" s="216"/>
      <c r="CP825" s="216"/>
      <c r="CQ825" s="216"/>
      <c r="CR825" s="216"/>
      <c r="CS825" s="216"/>
      <c r="CT825" s="216"/>
      <c r="CU825" s="216"/>
      <c r="CV825" s="216"/>
      <c r="CW825" s="216"/>
      <c r="CX825" s="216"/>
      <c r="CY825" s="216"/>
    </row>
    <row r="826" spans="1:103" ht="12.75" x14ac:dyDescent="0.2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214"/>
      <c r="L826" s="214"/>
      <c r="M826" s="214"/>
      <c r="N826" s="215"/>
      <c r="O826" s="215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16"/>
      <c r="AN826" s="216"/>
      <c r="AO826" s="216"/>
      <c r="AP826" s="216"/>
      <c r="AQ826" s="216"/>
      <c r="AR826" s="216"/>
      <c r="AS826" s="216"/>
      <c r="AT826" s="216"/>
      <c r="AU826" s="216"/>
      <c r="AV826" s="216"/>
      <c r="AW826" s="216"/>
      <c r="AX826" s="216"/>
      <c r="AY826" s="216"/>
      <c r="AZ826" s="216"/>
      <c r="BA826" s="216"/>
      <c r="BB826" s="216"/>
      <c r="BC826" s="216"/>
      <c r="BD826" s="216"/>
      <c r="BE826" s="216"/>
      <c r="BF826" s="216"/>
      <c r="BG826" s="216"/>
      <c r="BH826" s="216"/>
      <c r="BI826" s="216"/>
      <c r="BJ826" s="216"/>
      <c r="BK826" s="216"/>
      <c r="BL826" s="216"/>
      <c r="BM826" s="216"/>
      <c r="BN826" s="216"/>
      <c r="BO826" s="216"/>
      <c r="BP826" s="216"/>
      <c r="BQ826" s="216"/>
      <c r="BR826" s="216"/>
      <c r="BS826" s="216"/>
      <c r="BT826" s="216"/>
      <c r="BU826" s="216"/>
      <c r="BV826" s="216"/>
      <c r="BW826" s="216"/>
      <c r="BX826" s="216"/>
      <c r="BY826" s="216"/>
      <c r="BZ826" s="216"/>
      <c r="CA826" s="216"/>
      <c r="CB826" s="216"/>
      <c r="CC826" s="216"/>
      <c r="CD826" s="216"/>
      <c r="CE826" s="216"/>
      <c r="CF826" s="216"/>
      <c r="CG826" s="216"/>
      <c r="CH826" s="216"/>
      <c r="CI826" s="216"/>
      <c r="CJ826" s="216"/>
      <c r="CK826" s="216"/>
      <c r="CL826" s="216"/>
      <c r="CM826" s="216"/>
      <c r="CN826" s="216"/>
      <c r="CO826" s="216"/>
      <c r="CP826" s="216"/>
      <c r="CQ826" s="216"/>
      <c r="CR826" s="216"/>
      <c r="CS826" s="216"/>
      <c r="CT826" s="216"/>
      <c r="CU826" s="216"/>
      <c r="CV826" s="216"/>
      <c r="CW826" s="216"/>
      <c r="CX826" s="216"/>
      <c r="CY826" s="216"/>
    </row>
    <row r="827" spans="1:103" ht="12.75" x14ac:dyDescent="0.2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214"/>
      <c r="L827" s="214"/>
      <c r="M827" s="214"/>
      <c r="N827" s="215"/>
      <c r="O827" s="215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16"/>
      <c r="AN827" s="216"/>
      <c r="AO827" s="216"/>
      <c r="AP827" s="216"/>
      <c r="AQ827" s="216"/>
      <c r="AR827" s="216"/>
      <c r="AS827" s="216"/>
      <c r="AT827" s="216"/>
      <c r="AU827" s="216"/>
      <c r="AV827" s="216"/>
      <c r="AW827" s="216"/>
      <c r="AX827" s="216"/>
      <c r="AY827" s="216"/>
      <c r="AZ827" s="216"/>
      <c r="BA827" s="216"/>
      <c r="BB827" s="216"/>
      <c r="BC827" s="216"/>
      <c r="BD827" s="216"/>
      <c r="BE827" s="216"/>
      <c r="BF827" s="216"/>
      <c r="BG827" s="216"/>
      <c r="BH827" s="216"/>
      <c r="BI827" s="216"/>
      <c r="BJ827" s="216"/>
      <c r="BK827" s="216"/>
      <c r="BL827" s="216"/>
      <c r="BM827" s="216"/>
      <c r="BN827" s="216"/>
      <c r="BO827" s="216"/>
      <c r="BP827" s="216"/>
      <c r="BQ827" s="216"/>
      <c r="BR827" s="216"/>
      <c r="BS827" s="216"/>
      <c r="BT827" s="216"/>
      <c r="BU827" s="216"/>
      <c r="BV827" s="216"/>
      <c r="BW827" s="216"/>
      <c r="BX827" s="216"/>
      <c r="BY827" s="216"/>
      <c r="BZ827" s="216"/>
      <c r="CA827" s="216"/>
      <c r="CB827" s="216"/>
      <c r="CC827" s="216"/>
      <c r="CD827" s="216"/>
      <c r="CE827" s="216"/>
      <c r="CF827" s="216"/>
      <c r="CG827" s="216"/>
      <c r="CH827" s="216"/>
      <c r="CI827" s="216"/>
      <c r="CJ827" s="216"/>
      <c r="CK827" s="216"/>
      <c r="CL827" s="216"/>
      <c r="CM827" s="216"/>
      <c r="CN827" s="216"/>
      <c r="CO827" s="216"/>
      <c r="CP827" s="216"/>
      <c r="CQ827" s="216"/>
      <c r="CR827" s="216"/>
      <c r="CS827" s="216"/>
      <c r="CT827" s="216"/>
      <c r="CU827" s="216"/>
      <c r="CV827" s="216"/>
      <c r="CW827" s="216"/>
      <c r="CX827" s="216"/>
      <c r="CY827" s="216"/>
    </row>
    <row r="828" spans="1:103" ht="12.75" x14ac:dyDescent="0.2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214"/>
      <c r="L828" s="214"/>
      <c r="M828" s="214"/>
      <c r="N828" s="215"/>
      <c r="O828" s="215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16"/>
      <c r="AN828" s="216"/>
      <c r="AO828" s="216"/>
      <c r="AP828" s="216"/>
      <c r="AQ828" s="216"/>
      <c r="AR828" s="216"/>
      <c r="AS828" s="216"/>
      <c r="AT828" s="216"/>
      <c r="AU828" s="216"/>
      <c r="AV828" s="216"/>
      <c r="AW828" s="216"/>
      <c r="AX828" s="216"/>
      <c r="AY828" s="216"/>
      <c r="AZ828" s="216"/>
      <c r="BA828" s="216"/>
      <c r="BB828" s="216"/>
      <c r="BC828" s="216"/>
      <c r="BD828" s="216"/>
      <c r="BE828" s="216"/>
      <c r="BF828" s="216"/>
      <c r="BG828" s="216"/>
      <c r="BH828" s="216"/>
      <c r="BI828" s="216"/>
      <c r="BJ828" s="216"/>
      <c r="BK828" s="216"/>
      <c r="BL828" s="216"/>
      <c r="BM828" s="216"/>
      <c r="BN828" s="216"/>
      <c r="BO828" s="216"/>
      <c r="BP828" s="216"/>
      <c r="BQ828" s="216"/>
      <c r="BR828" s="216"/>
      <c r="BS828" s="216"/>
      <c r="BT828" s="216"/>
      <c r="BU828" s="216"/>
      <c r="BV828" s="216"/>
      <c r="BW828" s="216"/>
      <c r="BX828" s="216"/>
      <c r="BY828" s="216"/>
      <c r="BZ828" s="216"/>
      <c r="CA828" s="216"/>
      <c r="CB828" s="216"/>
      <c r="CC828" s="216"/>
      <c r="CD828" s="216"/>
      <c r="CE828" s="216"/>
      <c r="CF828" s="216"/>
      <c r="CG828" s="216"/>
      <c r="CH828" s="216"/>
      <c r="CI828" s="216"/>
      <c r="CJ828" s="216"/>
      <c r="CK828" s="216"/>
      <c r="CL828" s="216"/>
      <c r="CM828" s="216"/>
      <c r="CN828" s="216"/>
      <c r="CO828" s="216"/>
      <c r="CP828" s="216"/>
      <c r="CQ828" s="216"/>
      <c r="CR828" s="216"/>
      <c r="CS828" s="216"/>
      <c r="CT828" s="216"/>
      <c r="CU828" s="216"/>
      <c r="CV828" s="216"/>
      <c r="CW828" s="216"/>
      <c r="CX828" s="216"/>
      <c r="CY828" s="216"/>
    </row>
    <row r="829" spans="1:103" ht="12.75" x14ac:dyDescent="0.2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214"/>
      <c r="L829" s="214"/>
      <c r="M829" s="214"/>
      <c r="N829" s="215"/>
      <c r="O829" s="215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16"/>
      <c r="AN829" s="216"/>
      <c r="AO829" s="216"/>
      <c r="AP829" s="216"/>
      <c r="AQ829" s="216"/>
      <c r="AR829" s="216"/>
      <c r="AS829" s="216"/>
      <c r="AT829" s="216"/>
      <c r="AU829" s="216"/>
      <c r="AV829" s="216"/>
      <c r="AW829" s="216"/>
      <c r="AX829" s="216"/>
      <c r="AY829" s="216"/>
      <c r="AZ829" s="216"/>
      <c r="BA829" s="216"/>
      <c r="BB829" s="216"/>
      <c r="BC829" s="216"/>
      <c r="BD829" s="216"/>
      <c r="BE829" s="216"/>
      <c r="BF829" s="216"/>
      <c r="BG829" s="216"/>
      <c r="BH829" s="216"/>
      <c r="BI829" s="216"/>
      <c r="BJ829" s="216"/>
      <c r="BK829" s="216"/>
      <c r="BL829" s="216"/>
      <c r="BM829" s="216"/>
      <c r="BN829" s="216"/>
      <c r="BO829" s="216"/>
      <c r="BP829" s="216"/>
      <c r="BQ829" s="216"/>
      <c r="BR829" s="216"/>
      <c r="BS829" s="216"/>
      <c r="BT829" s="216"/>
      <c r="BU829" s="216"/>
      <c r="BV829" s="216"/>
      <c r="BW829" s="216"/>
      <c r="BX829" s="216"/>
      <c r="BY829" s="216"/>
      <c r="BZ829" s="216"/>
      <c r="CA829" s="216"/>
      <c r="CB829" s="216"/>
      <c r="CC829" s="216"/>
      <c r="CD829" s="216"/>
      <c r="CE829" s="216"/>
      <c r="CF829" s="216"/>
      <c r="CG829" s="216"/>
      <c r="CH829" s="216"/>
      <c r="CI829" s="216"/>
      <c r="CJ829" s="216"/>
      <c r="CK829" s="216"/>
      <c r="CL829" s="216"/>
      <c r="CM829" s="216"/>
      <c r="CN829" s="216"/>
      <c r="CO829" s="216"/>
      <c r="CP829" s="216"/>
      <c r="CQ829" s="216"/>
      <c r="CR829" s="216"/>
      <c r="CS829" s="216"/>
      <c r="CT829" s="216"/>
      <c r="CU829" s="216"/>
      <c r="CV829" s="216"/>
      <c r="CW829" s="216"/>
      <c r="CX829" s="216"/>
      <c r="CY829" s="216"/>
    </row>
    <row r="830" spans="1:103" ht="12.75" x14ac:dyDescent="0.2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214"/>
      <c r="L830" s="214"/>
      <c r="M830" s="214"/>
      <c r="N830" s="215"/>
      <c r="O830" s="215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16"/>
      <c r="AN830" s="216"/>
      <c r="AO830" s="216"/>
      <c r="AP830" s="216"/>
      <c r="AQ830" s="216"/>
      <c r="AR830" s="216"/>
      <c r="AS830" s="216"/>
      <c r="AT830" s="216"/>
      <c r="AU830" s="216"/>
      <c r="AV830" s="216"/>
      <c r="AW830" s="216"/>
      <c r="AX830" s="216"/>
      <c r="AY830" s="216"/>
      <c r="AZ830" s="216"/>
      <c r="BA830" s="216"/>
      <c r="BB830" s="216"/>
      <c r="BC830" s="216"/>
      <c r="BD830" s="216"/>
      <c r="BE830" s="216"/>
      <c r="BF830" s="216"/>
      <c r="BG830" s="216"/>
      <c r="BH830" s="216"/>
      <c r="BI830" s="216"/>
      <c r="BJ830" s="216"/>
      <c r="BK830" s="216"/>
      <c r="BL830" s="216"/>
      <c r="BM830" s="216"/>
      <c r="BN830" s="216"/>
      <c r="BO830" s="216"/>
      <c r="BP830" s="216"/>
      <c r="BQ830" s="216"/>
      <c r="BR830" s="216"/>
      <c r="BS830" s="216"/>
      <c r="BT830" s="216"/>
      <c r="BU830" s="216"/>
      <c r="BV830" s="216"/>
      <c r="BW830" s="216"/>
      <c r="BX830" s="216"/>
      <c r="BY830" s="216"/>
      <c r="BZ830" s="216"/>
      <c r="CA830" s="216"/>
      <c r="CB830" s="216"/>
      <c r="CC830" s="216"/>
      <c r="CD830" s="216"/>
      <c r="CE830" s="216"/>
      <c r="CF830" s="216"/>
      <c r="CG830" s="216"/>
      <c r="CH830" s="216"/>
      <c r="CI830" s="216"/>
      <c r="CJ830" s="216"/>
      <c r="CK830" s="216"/>
      <c r="CL830" s="216"/>
      <c r="CM830" s="216"/>
      <c r="CN830" s="216"/>
      <c r="CO830" s="216"/>
      <c r="CP830" s="216"/>
      <c r="CQ830" s="216"/>
      <c r="CR830" s="216"/>
      <c r="CS830" s="216"/>
      <c r="CT830" s="216"/>
      <c r="CU830" s="216"/>
      <c r="CV830" s="216"/>
      <c r="CW830" s="216"/>
      <c r="CX830" s="216"/>
      <c r="CY830" s="216"/>
    </row>
    <row r="831" spans="1:103" ht="12.75" x14ac:dyDescent="0.2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214"/>
      <c r="L831" s="214"/>
      <c r="M831" s="214"/>
      <c r="N831" s="215"/>
      <c r="O831" s="215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16"/>
      <c r="AN831" s="216"/>
      <c r="AO831" s="216"/>
      <c r="AP831" s="216"/>
      <c r="AQ831" s="216"/>
      <c r="AR831" s="216"/>
      <c r="AS831" s="216"/>
      <c r="AT831" s="216"/>
      <c r="AU831" s="216"/>
      <c r="AV831" s="216"/>
      <c r="AW831" s="216"/>
      <c r="AX831" s="216"/>
      <c r="AY831" s="216"/>
      <c r="AZ831" s="216"/>
      <c r="BA831" s="216"/>
      <c r="BB831" s="216"/>
      <c r="BC831" s="216"/>
      <c r="BD831" s="216"/>
      <c r="BE831" s="216"/>
      <c r="BF831" s="216"/>
      <c r="BG831" s="216"/>
      <c r="BH831" s="216"/>
      <c r="BI831" s="216"/>
      <c r="BJ831" s="216"/>
      <c r="BK831" s="216"/>
      <c r="BL831" s="216"/>
      <c r="BM831" s="216"/>
      <c r="BN831" s="216"/>
      <c r="BO831" s="216"/>
      <c r="BP831" s="216"/>
      <c r="BQ831" s="216"/>
      <c r="BR831" s="216"/>
      <c r="BS831" s="216"/>
      <c r="BT831" s="216"/>
      <c r="BU831" s="216"/>
      <c r="BV831" s="216"/>
      <c r="BW831" s="216"/>
      <c r="BX831" s="216"/>
      <c r="BY831" s="216"/>
      <c r="BZ831" s="216"/>
      <c r="CA831" s="216"/>
      <c r="CB831" s="216"/>
      <c r="CC831" s="216"/>
      <c r="CD831" s="216"/>
      <c r="CE831" s="216"/>
      <c r="CF831" s="216"/>
      <c r="CG831" s="216"/>
      <c r="CH831" s="216"/>
      <c r="CI831" s="216"/>
      <c r="CJ831" s="216"/>
      <c r="CK831" s="216"/>
      <c r="CL831" s="216"/>
      <c r="CM831" s="216"/>
      <c r="CN831" s="216"/>
      <c r="CO831" s="216"/>
      <c r="CP831" s="216"/>
      <c r="CQ831" s="216"/>
      <c r="CR831" s="216"/>
      <c r="CS831" s="216"/>
      <c r="CT831" s="216"/>
      <c r="CU831" s="216"/>
      <c r="CV831" s="216"/>
      <c r="CW831" s="216"/>
      <c r="CX831" s="216"/>
      <c r="CY831" s="216"/>
    </row>
    <row r="832" spans="1:103" ht="12.75" x14ac:dyDescent="0.2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214"/>
      <c r="L832" s="214"/>
      <c r="M832" s="214"/>
      <c r="N832" s="215"/>
      <c r="O832" s="215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16"/>
      <c r="AN832" s="216"/>
      <c r="AO832" s="216"/>
      <c r="AP832" s="216"/>
      <c r="AQ832" s="216"/>
      <c r="AR832" s="216"/>
      <c r="AS832" s="216"/>
      <c r="AT832" s="216"/>
      <c r="AU832" s="216"/>
      <c r="AV832" s="216"/>
      <c r="AW832" s="216"/>
      <c r="AX832" s="216"/>
      <c r="AY832" s="216"/>
      <c r="AZ832" s="216"/>
      <c r="BA832" s="216"/>
      <c r="BB832" s="216"/>
      <c r="BC832" s="216"/>
      <c r="BD832" s="216"/>
      <c r="BE832" s="216"/>
      <c r="BF832" s="216"/>
      <c r="BG832" s="216"/>
      <c r="BH832" s="216"/>
      <c r="BI832" s="216"/>
      <c r="BJ832" s="216"/>
      <c r="BK832" s="216"/>
      <c r="BL832" s="216"/>
      <c r="BM832" s="216"/>
      <c r="BN832" s="216"/>
      <c r="BO832" s="216"/>
      <c r="BP832" s="216"/>
      <c r="BQ832" s="216"/>
      <c r="BR832" s="216"/>
      <c r="BS832" s="216"/>
      <c r="BT832" s="216"/>
      <c r="BU832" s="216"/>
      <c r="BV832" s="216"/>
      <c r="BW832" s="216"/>
      <c r="BX832" s="216"/>
      <c r="BY832" s="216"/>
      <c r="BZ832" s="216"/>
      <c r="CA832" s="216"/>
      <c r="CB832" s="216"/>
      <c r="CC832" s="216"/>
      <c r="CD832" s="216"/>
      <c r="CE832" s="216"/>
      <c r="CF832" s="216"/>
      <c r="CG832" s="216"/>
      <c r="CH832" s="216"/>
      <c r="CI832" s="216"/>
      <c r="CJ832" s="216"/>
      <c r="CK832" s="216"/>
      <c r="CL832" s="216"/>
      <c r="CM832" s="216"/>
      <c r="CN832" s="216"/>
      <c r="CO832" s="216"/>
      <c r="CP832" s="216"/>
      <c r="CQ832" s="216"/>
      <c r="CR832" s="216"/>
      <c r="CS832" s="216"/>
      <c r="CT832" s="216"/>
      <c r="CU832" s="216"/>
      <c r="CV832" s="216"/>
      <c r="CW832" s="216"/>
      <c r="CX832" s="216"/>
      <c r="CY832" s="216"/>
    </row>
    <row r="833" spans="1:103" ht="12.75" x14ac:dyDescent="0.2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214"/>
      <c r="L833" s="214"/>
      <c r="M833" s="214"/>
      <c r="N833" s="215"/>
      <c r="O833" s="215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16"/>
      <c r="AN833" s="216"/>
      <c r="AO833" s="216"/>
      <c r="AP833" s="216"/>
      <c r="AQ833" s="216"/>
      <c r="AR833" s="216"/>
      <c r="AS833" s="216"/>
      <c r="AT833" s="216"/>
      <c r="AU833" s="216"/>
      <c r="AV833" s="216"/>
      <c r="AW833" s="216"/>
      <c r="AX833" s="216"/>
      <c r="AY833" s="216"/>
      <c r="AZ833" s="216"/>
      <c r="BA833" s="216"/>
      <c r="BB833" s="216"/>
      <c r="BC833" s="216"/>
      <c r="BD833" s="216"/>
      <c r="BE833" s="216"/>
      <c r="BF833" s="216"/>
      <c r="BG833" s="216"/>
      <c r="BH833" s="216"/>
      <c r="BI833" s="216"/>
      <c r="BJ833" s="216"/>
      <c r="BK833" s="216"/>
      <c r="BL833" s="216"/>
      <c r="BM833" s="216"/>
      <c r="BN833" s="216"/>
      <c r="BO833" s="216"/>
      <c r="BP833" s="216"/>
      <c r="BQ833" s="216"/>
      <c r="BR833" s="216"/>
      <c r="BS833" s="216"/>
      <c r="BT833" s="216"/>
      <c r="BU833" s="216"/>
      <c r="BV833" s="216"/>
      <c r="BW833" s="216"/>
      <c r="BX833" s="216"/>
      <c r="BY833" s="216"/>
      <c r="BZ833" s="216"/>
      <c r="CA833" s="216"/>
      <c r="CB833" s="216"/>
      <c r="CC833" s="216"/>
      <c r="CD833" s="216"/>
      <c r="CE833" s="216"/>
      <c r="CF833" s="216"/>
      <c r="CG833" s="216"/>
      <c r="CH833" s="216"/>
      <c r="CI833" s="216"/>
      <c r="CJ833" s="216"/>
      <c r="CK833" s="216"/>
      <c r="CL833" s="216"/>
      <c r="CM833" s="216"/>
      <c r="CN833" s="216"/>
      <c r="CO833" s="216"/>
      <c r="CP833" s="216"/>
      <c r="CQ833" s="216"/>
      <c r="CR833" s="216"/>
      <c r="CS833" s="216"/>
      <c r="CT833" s="216"/>
      <c r="CU833" s="216"/>
      <c r="CV833" s="216"/>
      <c r="CW833" s="216"/>
      <c r="CX833" s="216"/>
      <c r="CY833" s="216"/>
    </row>
    <row r="834" spans="1:103" ht="12.75" x14ac:dyDescent="0.2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214"/>
      <c r="L834" s="214"/>
      <c r="M834" s="214"/>
      <c r="N834" s="215"/>
      <c r="O834" s="215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16"/>
      <c r="AN834" s="216"/>
      <c r="AO834" s="216"/>
      <c r="AP834" s="216"/>
      <c r="AQ834" s="216"/>
      <c r="AR834" s="216"/>
      <c r="AS834" s="216"/>
      <c r="AT834" s="216"/>
      <c r="AU834" s="216"/>
      <c r="AV834" s="216"/>
      <c r="AW834" s="216"/>
      <c r="AX834" s="216"/>
      <c r="AY834" s="216"/>
      <c r="AZ834" s="216"/>
      <c r="BA834" s="216"/>
      <c r="BB834" s="216"/>
      <c r="BC834" s="216"/>
      <c r="BD834" s="216"/>
      <c r="BE834" s="216"/>
      <c r="BF834" s="216"/>
      <c r="BG834" s="216"/>
      <c r="BH834" s="216"/>
      <c r="BI834" s="216"/>
      <c r="BJ834" s="216"/>
      <c r="BK834" s="216"/>
      <c r="BL834" s="216"/>
      <c r="BM834" s="216"/>
      <c r="BN834" s="216"/>
      <c r="BO834" s="216"/>
      <c r="BP834" s="216"/>
      <c r="BQ834" s="216"/>
      <c r="BR834" s="216"/>
      <c r="BS834" s="216"/>
      <c r="BT834" s="216"/>
      <c r="BU834" s="216"/>
      <c r="BV834" s="216"/>
      <c r="BW834" s="216"/>
      <c r="BX834" s="216"/>
      <c r="BY834" s="216"/>
      <c r="BZ834" s="216"/>
      <c r="CA834" s="216"/>
      <c r="CB834" s="216"/>
      <c r="CC834" s="216"/>
      <c r="CD834" s="216"/>
      <c r="CE834" s="216"/>
      <c r="CF834" s="216"/>
      <c r="CG834" s="216"/>
      <c r="CH834" s="216"/>
      <c r="CI834" s="216"/>
      <c r="CJ834" s="216"/>
      <c r="CK834" s="216"/>
      <c r="CL834" s="216"/>
      <c r="CM834" s="216"/>
      <c r="CN834" s="216"/>
      <c r="CO834" s="216"/>
      <c r="CP834" s="216"/>
      <c r="CQ834" s="216"/>
      <c r="CR834" s="216"/>
      <c r="CS834" s="216"/>
      <c r="CT834" s="216"/>
      <c r="CU834" s="216"/>
      <c r="CV834" s="216"/>
      <c r="CW834" s="216"/>
      <c r="CX834" s="216"/>
      <c r="CY834" s="216"/>
    </row>
    <row r="835" spans="1:103" ht="12.75" x14ac:dyDescent="0.2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214"/>
      <c r="L835" s="214"/>
      <c r="M835" s="214"/>
      <c r="N835" s="215"/>
      <c r="O835" s="215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  <c r="AM835" s="216"/>
      <c r="AN835" s="216"/>
      <c r="AO835" s="216"/>
      <c r="AP835" s="216"/>
      <c r="AQ835" s="216"/>
      <c r="AR835" s="216"/>
      <c r="AS835" s="216"/>
      <c r="AT835" s="216"/>
      <c r="AU835" s="216"/>
      <c r="AV835" s="216"/>
      <c r="AW835" s="216"/>
      <c r="AX835" s="216"/>
      <c r="AY835" s="216"/>
      <c r="AZ835" s="216"/>
      <c r="BA835" s="216"/>
      <c r="BB835" s="216"/>
      <c r="BC835" s="216"/>
      <c r="BD835" s="216"/>
      <c r="BE835" s="216"/>
      <c r="BF835" s="216"/>
      <c r="BG835" s="216"/>
      <c r="BH835" s="216"/>
      <c r="BI835" s="216"/>
      <c r="BJ835" s="216"/>
      <c r="BK835" s="216"/>
      <c r="BL835" s="216"/>
      <c r="BM835" s="216"/>
      <c r="BN835" s="216"/>
      <c r="BO835" s="216"/>
      <c r="BP835" s="216"/>
      <c r="BQ835" s="216"/>
      <c r="BR835" s="216"/>
      <c r="BS835" s="216"/>
      <c r="BT835" s="216"/>
      <c r="BU835" s="216"/>
      <c r="BV835" s="216"/>
      <c r="BW835" s="216"/>
      <c r="BX835" s="216"/>
      <c r="BY835" s="216"/>
      <c r="BZ835" s="216"/>
      <c r="CA835" s="216"/>
      <c r="CB835" s="216"/>
      <c r="CC835" s="216"/>
      <c r="CD835" s="216"/>
      <c r="CE835" s="216"/>
      <c r="CF835" s="216"/>
      <c r="CG835" s="216"/>
      <c r="CH835" s="216"/>
      <c r="CI835" s="216"/>
      <c r="CJ835" s="216"/>
      <c r="CK835" s="216"/>
      <c r="CL835" s="216"/>
      <c r="CM835" s="216"/>
      <c r="CN835" s="216"/>
      <c r="CO835" s="216"/>
      <c r="CP835" s="216"/>
      <c r="CQ835" s="216"/>
      <c r="CR835" s="216"/>
      <c r="CS835" s="216"/>
      <c r="CT835" s="216"/>
      <c r="CU835" s="216"/>
      <c r="CV835" s="216"/>
      <c r="CW835" s="216"/>
      <c r="CX835" s="216"/>
      <c r="CY835" s="216"/>
    </row>
    <row r="836" spans="1:103" ht="12.75" x14ac:dyDescent="0.2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214"/>
      <c r="L836" s="214"/>
      <c r="M836" s="214"/>
      <c r="N836" s="215"/>
      <c r="O836" s="215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  <c r="AM836" s="216"/>
      <c r="AN836" s="216"/>
      <c r="AO836" s="216"/>
      <c r="AP836" s="216"/>
      <c r="AQ836" s="216"/>
      <c r="AR836" s="216"/>
      <c r="AS836" s="216"/>
      <c r="AT836" s="216"/>
      <c r="AU836" s="216"/>
      <c r="AV836" s="216"/>
      <c r="AW836" s="216"/>
      <c r="AX836" s="216"/>
      <c r="AY836" s="216"/>
      <c r="AZ836" s="216"/>
      <c r="BA836" s="216"/>
      <c r="BB836" s="216"/>
      <c r="BC836" s="216"/>
      <c r="BD836" s="216"/>
      <c r="BE836" s="216"/>
      <c r="BF836" s="216"/>
      <c r="BG836" s="216"/>
      <c r="BH836" s="216"/>
      <c r="BI836" s="216"/>
      <c r="BJ836" s="216"/>
      <c r="BK836" s="216"/>
      <c r="BL836" s="216"/>
      <c r="BM836" s="216"/>
      <c r="BN836" s="216"/>
      <c r="BO836" s="216"/>
      <c r="BP836" s="216"/>
      <c r="BQ836" s="216"/>
      <c r="BR836" s="216"/>
      <c r="BS836" s="216"/>
      <c r="BT836" s="216"/>
      <c r="BU836" s="216"/>
      <c r="BV836" s="216"/>
      <c r="BW836" s="216"/>
      <c r="BX836" s="216"/>
      <c r="BY836" s="216"/>
      <c r="BZ836" s="216"/>
      <c r="CA836" s="216"/>
      <c r="CB836" s="216"/>
      <c r="CC836" s="216"/>
      <c r="CD836" s="216"/>
      <c r="CE836" s="216"/>
      <c r="CF836" s="216"/>
      <c r="CG836" s="216"/>
      <c r="CH836" s="216"/>
      <c r="CI836" s="216"/>
      <c r="CJ836" s="216"/>
      <c r="CK836" s="216"/>
      <c r="CL836" s="216"/>
      <c r="CM836" s="216"/>
      <c r="CN836" s="216"/>
      <c r="CO836" s="216"/>
      <c r="CP836" s="216"/>
      <c r="CQ836" s="216"/>
      <c r="CR836" s="216"/>
      <c r="CS836" s="216"/>
      <c r="CT836" s="216"/>
      <c r="CU836" s="216"/>
      <c r="CV836" s="216"/>
      <c r="CW836" s="216"/>
      <c r="CX836" s="216"/>
      <c r="CY836" s="216"/>
    </row>
    <row r="837" spans="1:103" ht="12.75" x14ac:dyDescent="0.2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214"/>
      <c r="L837" s="214"/>
      <c r="M837" s="214"/>
      <c r="N837" s="215"/>
      <c r="O837" s="215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16"/>
      <c r="AN837" s="216"/>
      <c r="AO837" s="216"/>
      <c r="AP837" s="216"/>
      <c r="AQ837" s="216"/>
      <c r="AR837" s="216"/>
      <c r="AS837" s="216"/>
      <c r="AT837" s="216"/>
      <c r="AU837" s="216"/>
      <c r="AV837" s="216"/>
      <c r="AW837" s="216"/>
      <c r="AX837" s="216"/>
      <c r="AY837" s="216"/>
      <c r="AZ837" s="216"/>
      <c r="BA837" s="216"/>
      <c r="BB837" s="216"/>
      <c r="BC837" s="216"/>
      <c r="BD837" s="216"/>
      <c r="BE837" s="216"/>
      <c r="BF837" s="216"/>
      <c r="BG837" s="216"/>
      <c r="BH837" s="216"/>
      <c r="BI837" s="216"/>
      <c r="BJ837" s="216"/>
      <c r="BK837" s="216"/>
      <c r="BL837" s="216"/>
      <c r="BM837" s="216"/>
      <c r="BN837" s="216"/>
      <c r="BO837" s="216"/>
      <c r="BP837" s="216"/>
      <c r="BQ837" s="216"/>
      <c r="BR837" s="216"/>
      <c r="BS837" s="216"/>
      <c r="BT837" s="216"/>
      <c r="BU837" s="216"/>
      <c r="BV837" s="216"/>
      <c r="BW837" s="216"/>
      <c r="BX837" s="216"/>
      <c r="BY837" s="216"/>
      <c r="BZ837" s="216"/>
      <c r="CA837" s="216"/>
      <c r="CB837" s="216"/>
      <c r="CC837" s="216"/>
      <c r="CD837" s="216"/>
      <c r="CE837" s="216"/>
      <c r="CF837" s="216"/>
      <c r="CG837" s="216"/>
      <c r="CH837" s="216"/>
      <c r="CI837" s="216"/>
      <c r="CJ837" s="216"/>
      <c r="CK837" s="216"/>
      <c r="CL837" s="216"/>
      <c r="CM837" s="216"/>
      <c r="CN837" s="216"/>
      <c r="CO837" s="216"/>
      <c r="CP837" s="216"/>
      <c r="CQ837" s="216"/>
      <c r="CR837" s="216"/>
      <c r="CS837" s="216"/>
      <c r="CT837" s="216"/>
      <c r="CU837" s="216"/>
      <c r="CV837" s="216"/>
      <c r="CW837" s="216"/>
      <c r="CX837" s="216"/>
      <c r="CY837" s="216"/>
    </row>
    <row r="838" spans="1:103" ht="12.75" x14ac:dyDescent="0.2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214"/>
      <c r="L838" s="214"/>
      <c r="M838" s="214"/>
      <c r="N838" s="215"/>
      <c r="O838" s="215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  <c r="AM838" s="216"/>
      <c r="AN838" s="216"/>
      <c r="AO838" s="216"/>
      <c r="AP838" s="216"/>
      <c r="AQ838" s="216"/>
      <c r="AR838" s="216"/>
      <c r="AS838" s="216"/>
      <c r="AT838" s="216"/>
      <c r="AU838" s="216"/>
      <c r="AV838" s="216"/>
      <c r="AW838" s="216"/>
      <c r="AX838" s="216"/>
      <c r="AY838" s="216"/>
      <c r="AZ838" s="216"/>
      <c r="BA838" s="216"/>
      <c r="BB838" s="216"/>
      <c r="BC838" s="216"/>
      <c r="BD838" s="216"/>
      <c r="BE838" s="216"/>
      <c r="BF838" s="216"/>
      <c r="BG838" s="216"/>
      <c r="BH838" s="216"/>
      <c r="BI838" s="216"/>
      <c r="BJ838" s="216"/>
      <c r="BK838" s="216"/>
      <c r="BL838" s="216"/>
      <c r="BM838" s="216"/>
      <c r="BN838" s="216"/>
      <c r="BO838" s="216"/>
      <c r="BP838" s="216"/>
      <c r="BQ838" s="216"/>
      <c r="BR838" s="216"/>
      <c r="BS838" s="216"/>
      <c r="BT838" s="216"/>
      <c r="BU838" s="216"/>
      <c r="BV838" s="216"/>
      <c r="BW838" s="216"/>
      <c r="BX838" s="216"/>
      <c r="BY838" s="216"/>
      <c r="BZ838" s="216"/>
      <c r="CA838" s="216"/>
      <c r="CB838" s="216"/>
      <c r="CC838" s="216"/>
      <c r="CD838" s="216"/>
      <c r="CE838" s="216"/>
      <c r="CF838" s="216"/>
      <c r="CG838" s="216"/>
      <c r="CH838" s="216"/>
      <c r="CI838" s="216"/>
      <c r="CJ838" s="216"/>
      <c r="CK838" s="216"/>
      <c r="CL838" s="216"/>
      <c r="CM838" s="216"/>
      <c r="CN838" s="216"/>
      <c r="CO838" s="216"/>
      <c r="CP838" s="216"/>
      <c r="CQ838" s="216"/>
      <c r="CR838" s="216"/>
      <c r="CS838" s="216"/>
      <c r="CT838" s="216"/>
      <c r="CU838" s="216"/>
      <c r="CV838" s="216"/>
      <c r="CW838" s="216"/>
      <c r="CX838" s="216"/>
      <c r="CY838" s="216"/>
    </row>
    <row r="839" spans="1:103" ht="12.75" x14ac:dyDescent="0.2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214"/>
      <c r="L839" s="214"/>
      <c r="M839" s="214"/>
      <c r="N839" s="215"/>
      <c r="O839" s="215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  <c r="AM839" s="216"/>
      <c r="AN839" s="216"/>
      <c r="AO839" s="216"/>
      <c r="AP839" s="216"/>
      <c r="AQ839" s="216"/>
      <c r="AR839" s="216"/>
      <c r="AS839" s="216"/>
      <c r="AT839" s="216"/>
      <c r="AU839" s="216"/>
      <c r="AV839" s="216"/>
      <c r="AW839" s="216"/>
      <c r="AX839" s="216"/>
      <c r="AY839" s="216"/>
      <c r="AZ839" s="216"/>
      <c r="BA839" s="216"/>
      <c r="BB839" s="216"/>
      <c r="BC839" s="216"/>
      <c r="BD839" s="216"/>
      <c r="BE839" s="216"/>
      <c r="BF839" s="216"/>
      <c r="BG839" s="216"/>
      <c r="BH839" s="216"/>
      <c r="BI839" s="216"/>
      <c r="BJ839" s="216"/>
      <c r="BK839" s="216"/>
      <c r="BL839" s="216"/>
      <c r="BM839" s="216"/>
      <c r="BN839" s="216"/>
      <c r="BO839" s="216"/>
      <c r="BP839" s="216"/>
      <c r="BQ839" s="216"/>
      <c r="BR839" s="216"/>
      <c r="BS839" s="216"/>
      <c r="BT839" s="216"/>
      <c r="BU839" s="216"/>
      <c r="BV839" s="216"/>
      <c r="BW839" s="216"/>
      <c r="BX839" s="216"/>
      <c r="BY839" s="216"/>
      <c r="BZ839" s="216"/>
      <c r="CA839" s="216"/>
      <c r="CB839" s="216"/>
      <c r="CC839" s="216"/>
      <c r="CD839" s="216"/>
      <c r="CE839" s="216"/>
      <c r="CF839" s="216"/>
      <c r="CG839" s="216"/>
      <c r="CH839" s="216"/>
      <c r="CI839" s="216"/>
      <c r="CJ839" s="216"/>
      <c r="CK839" s="216"/>
      <c r="CL839" s="216"/>
      <c r="CM839" s="216"/>
      <c r="CN839" s="216"/>
      <c r="CO839" s="216"/>
      <c r="CP839" s="216"/>
      <c r="CQ839" s="216"/>
      <c r="CR839" s="216"/>
      <c r="CS839" s="216"/>
      <c r="CT839" s="216"/>
      <c r="CU839" s="216"/>
      <c r="CV839" s="216"/>
      <c r="CW839" s="216"/>
      <c r="CX839" s="216"/>
      <c r="CY839" s="216"/>
    </row>
    <row r="840" spans="1:103" ht="12.75" x14ac:dyDescent="0.2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214"/>
      <c r="L840" s="214"/>
      <c r="M840" s="214"/>
      <c r="N840" s="215"/>
      <c r="O840" s="215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  <c r="AM840" s="216"/>
      <c r="AN840" s="216"/>
      <c r="AO840" s="216"/>
      <c r="AP840" s="216"/>
      <c r="AQ840" s="216"/>
      <c r="AR840" s="216"/>
      <c r="AS840" s="216"/>
      <c r="AT840" s="216"/>
      <c r="AU840" s="216"/>
      <c r="AV840" s="216"/>
      <c r="AW840" s="216"/>
      <c r="AX840" s="216"/>
      <c r="AY840" s="216"/>
      <c r="AZ840" s="216"/>
      <c r="BA840" s="216"/>
      <c r="BB840" s="216"/>
      <c r="BC840" s="216"/>
      <c r="BD840" s="216"/>
      <c r="BE840" s="216"/>
      <c r="BF840" s="216"/>
      <c r="BG840" s="216"/>
      <c r="BH840" s="216"/>
      <c r="BI840" s="216"/>
      <c r="BJ840" s="216"/>
      <c r="BK840" s="216"/>
      <c r="BL840" s="216"/>
      <c r="BM840" s="216"/>
      <c r="BN840" s="216"/>
      <c r="BO840" s="216"/>
      <c r="BP840" s="216"/>
      <c r="BQ840" s="216"/>
      <c r="BR840" s="216"/>
      <c r="BS840" s="216"/>
      <c r="BT840" s="216"/>
      <c r="BU840" s="216"/>
      <c r="BV840" s="216"/>
      <c r="BW840" s="216"/>
      <c r="BX840" s="216"/>
      <c r="BY840" s="216"/>
      <c r="BZ840" s="216"/>
      <c r="CA840" s="216"/>
      <c r="CB840" s="216"/>
      <c r="CC840" s="216"/>
      <c r="CD840" s="216"/>
      <c r="CE840" s="216"/>
      <c r="CF840" s="216"/>
      <c r="CG840" s="216"/>
      <c r="CH840" s="216"/>
      <c r="CI840" s="216"/>
      <c r="CJ840" s="216"/>
      <c r="CK840" s="216"/>
      <c r="CL840" s="216"/>
      <c r="CM840" s="216"/>
      <c r="CN840" s="216"/>
      <c r="CO840" s="216"/>
      <c r="CP840" s="216"/>
      <c r="CQ840" s="216"/>
      <c r="CR840" s="216"/>
      <c r="CS840" s="216"/>
      <c r="CT840" s="216"/>
      <c r="CU840" s="216"/>
      <c r="CV840" s="216"/>
      <c r="CW840" s="216"/>
      <c r="CX840" s="216"/>
      <c r="CY840" s="216"/>
    </row>
    <row r="841" spans="1:103" ht="12.75" x14ac:dyDescent="0.2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214"/>
      <c r="L841" s="214"/>
      <c r="M841" s="214"/>
      <c r="N841" s="215"/>
      <c r="O841" s="215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  <c r="AM841" s="216"/>
      <c r="AN841" s="216"/>
      <c r="AO841" s="216"/>
      <c r="AP841" s="216"/>
      <c r="AQ841" s="216"/>
      <c r="AR841" s="216"/>
      <c r="AS841" s="216"/>
      <c r="AT841" s="216"/>
      <c r="AU841" s="216"/>
      <c r="AV841" s="216"/>
      <c r="AW841" s="216"/>
      <c r="AX841" s="216"/>
      <c r="AY841" s="216"/>
      <c r="AZ841" s="216"/>
      <c r="BA841" s="216"/>
      <c r="BB841" s="216"/>
      <c r="BC841" s="216"/>
      <c r="BD841" s="216"/>
      <c r="BE841" s="216"/>
      <c r="BF841" s="216"/>
      <c r="BG841" s="216"/>
      <c r="BH841" s="216"/>
      <c r="BI841" s="216"/>
      <c r="BJ841" s="216"/>
      <c r="BK841" s="216"/>
      <c r="BL841" s="216"/>
      <c r="BM841" s="216"/>
      <c r="BN841" s="216"/>
      <c r="BO841" s="216"/>
      <c r="BP841" s="216"/>
      <c r="BQ841" s="216"/>
      <c r="BR841" s="216"/>
      <c r="BS841" s="216"/>
      <c r="BT841" s="216"/>
      <c r="BU841" s="216"/>
      <c r="BV841" s="216"/>
      <c r="BW841" s="216"/>
      <c r="BX841" s="216"/>
      <c r="BY841" s="216"/>
      <c r="BZ841" s="216"/>
      <c r="CA841" s="216"/>
      <c r="CB841" s="216"/>
      <c r="CC841" s="216"/>
      <c r="CD841" s="216"/>
      <c r="CE841" s="216"/>
      <c r="CF841" s="216"/>
      <c r="CG841" s="216"/>
      <c r="CH841" s="216"/>
      <c r="CI841" s="216"/>
      <c r="CJ841" s="216"/>
      <c r="CK841" s="216"/>
      <c r="CL841" s="216"/>
      <c r="CM841" s="216"/>
      <c r="CN841" s="216"/>
      <c r="CO841" s="216"/>
      <c r="CP841" s="216"/>
      <c r="CQ841" s="216"/>
      <c r="CR841" s="216"/>
      <c r="CS841" s="216"/>
      <c r="CT841" s="216"/>
      <c r="CU841" s="216"/>
      <c r="CV841" s="216"/>
      <c r="CW841" s="216"/>
      <c r="CX841" s="216"/>
      <c r="CY841" s="216"/>
    </row>
    <row r="842" spans="1:103" ht="12.75" x14ac:dyDescent="0.2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214"/>
      <c r="L842" s="214"/>
      <c r="M842" s="214"/>
      <c r="N842" s="215"/>
      <c r="O842" s="215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  <c r="AM842" s="216"/>
      <c r="AN842" s="216"/>
      <c r="AO842" s="216"/>
      <c r="AP842" s="216"/>
      <c r="AQ842" s="216"/>
      <c r="AR842" s="216"/>
      <c r="AS842" s="216"/>
      <c r="AT842" s="216"/>
      <c r="AU842" s="216"/>
      <c r="AV842" s="216"/>
      <c r="AW842" s="216"/>
      <c r="AX842" s="216"/>
      <c r="AY842" s="216"/>
      <c r="AZ842" s="216"/>
      <c r="BA842" s="216"/>
      <c r="BB842" s="216"/>
      <c r="BC842" s="216"/>
      <c r="BD842" s="216"/>
      <c r="BE842" s="216"/>
      <c r="BF842" s="216"/>
      <c r="BG842" s="216"/>
      <c r="BH842" s="216"/>
      <c r="BI842" s="216"/>
      <c r="BJ842" s="216"/>
      <c r="BK842" s="216"/>
      <c r="BL842" s="216"/>
      <c r="BM842" s="216"/>
      <c r="BN842" s="216"/>
      <c r="BO842" s="216"/>
      <c r="BP842" s="216"/>
      <c r="BQ842" s="216"/>
      <c r="BR842" s="216"/>
      <c r="BS842" s="216"/>
      <c r="BT842" s="216"/>
      <c r="BU842" s="216"/>
      <c r="BV842" s="216"/>
      <c r="BW842" s="216"/>
      <c r="BX842" s="216"/>
      <c r="BY842" s="216"/>
      <c r="BZ842" s="216"/>
      <c r="CA842" s="216"/>
      <c r="CB842" s="216"/>
      <c r="CC842" s="216"/>
      <c r="CD842" s="216"/>
      <c r="CE842" s="216"/>
      <c r="CF842" s="216"/>
      <c r="CG842" s="216"/>
      <c r="CH842" s="216"/>
      <c r="CI842" s="216"/>
      <c r="CJ842" s="216"/>
      <c r="CK842" s="216"/>
      <c r="CL842" s="216"/>
      <c r="CM842" s="216"/>
      <c r="CN842" s="216"/>
      <c r="CO842" s="216"/>
      <c r="CP842" s="216"/>
      <c r="CQ842" s="216"/>
      <c r="CR842" s="216"/>
      <c r="CS842" s="216"/>
      <c r="CT842" s="216"/>
      <c r="CU842" s="216"/>
      <c r="CV842" s="216"/>
      <c r="CW842" s="216"/>
      <c r="CX842" s="216"/>
      <c r="CY842" s="216"/>
    </row>
    <row r="843" spans="1:103" ht="12.75" x14ac:dyDescent="0.2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214"/>
      <c r="L843" s="214"/>
      <c r="M843" s="214"/>
      <c r="N843" s="215"/>
      <c r="O843" s="215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  <c r="AM843" s="216"/>
      <c r="AN843" s="216"/>
      <c r="AO843" s="216"/>
      <c r="AP843" s="216"/>
      <c r="AQ843" s="216"/>
      <c r="AR843" s="216"/>
      <c r="AS843" s="216"/>
      <c r="AT843" s="216"/>
      <c r="AU843" s="216"/>
      <c r="AV843" s="216"/>
      <c r="AW843" s="216"/>
      <c r="AX843" s="216"/>
      <c r="AY843" s="216"/>
      <c r="AZ843" s="216"/>
      <c r="BA843" s="216"/>
      <c r="BB843" s="216"/>
      <c r="BC843" s="216"/>
      <c r="BD843" s="216"/>
      <c r="BE843" s="216"/>
      <c r="BF843" s="216"/>
      <c r="BG843" s="216"/>
      <c r="BH843" s="216"/>
      <c r="BI843" s="216"/>
      <c r="BJ843" s="216"/>
      <c r="BK843" s="216"/>
      <c r="BL843" s="216"/>
      <c r="BM843" s="216"/>
      <c r="BN843" s="216"/>
      <c r="BO843" s="216"/>
      <c r="BP843" s="216"/>
      <c r="BQ843" s="216"/>
      <c r="BR843" s="216"/>
      <c r="BS843" s="216"/>
      <c r="BT843" s="216"/>
      <c r="BU843" s="216"/>
      <c r="BV843" s="216"/>
      <c r="BW843" s="216"/>
      <c r="BX843" s="216"/>
      <c r="BY843" s="216"/>
      <c r="BZ843" s="216"/>
      <c r="CA843" s="216"/>
      <c r="CB843" s="216"/>
      <c r="CC843" s="216"/>
      <c r="CD843" s="216"/>
      <c r="CE843" s="216"/>
      <c r="CF843" s="216"/>
      <c r="CG843" s="216"/>
      <c r="CH843" s="216"/>
      <c r="CI843" s="216"/>
      <c r="CJ843" s="216"/>
      <c r="CK843" s="216"/>
      <c r="CL843" s="216"/>
      <c r="CM843" s="216"/>
      <c r="CN843" s="216"/>
      <c r="CO843" s="216"/>
      <c r="CP843" s="216"/>
      <c r="CQ843" s="216"/>
      <c r="CR843" s="216"/>
      <c r="CS843" s="216"/>
      <c r="CT843" s="216"/>
      <c r="CU843" s="216"/>
      <c r="CV843" s="216"/>
      <c r="CW843" s="216"/>
      <c r="CX843" s="216"/>
      <c r="CY843" s="216"/>
    </row>
    <row r="844" spans="1:103" ht="12.75" x14ac:dyDescent="0.2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214"/>
      <c r="L844" s="214"/>
      <c r="M844" s="214"/>
      <c r="N844" s="215"/>
      <c r="O844" s="215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  <c r="AM844" s="216"/>
      <c r="AN844" s="216"/>
      <c r="AO844" s="216"/>
      <c r="AP844" s="216"/>
      <c r="AQ844" s="216"/>
      <c r="AR844" s="216"/>
      <c r="AS844" s="216"/>
      <c r="AT844" s="216"/>
      <c r="AU844" s="216"/>
      <c r="AV844" s="216"/>
      <c r="AW844" s="216"/>
      <c r="AX844" s="216"/>
      <c r="AY844" s="216"/>
      <c r="AZ844" s="216"/>
      <c r="BA844" s="216"/>
      <c r="BB844" s="216"/>
      <c r="BC844" s="216"/>
      <c r="BD844" s="216"/>
      <c r="BE844" s="216"/>
      <c r="BF844" s="216"/>
      <c r="BG844" s="216"/>
      <c r="BH844" s="216"/>
      <c r="BI844" s="216"/>
      <c r="BJ844" s="216"/>
      <c r="BK844" s="216"/>
      <c r="BL844" s="216"/>
      <c r="BM844" s="216"/>
      <c r="BN844" s="216"/>
      <c r="BO844" s="216"/>
      <c r="BP844" s="216"/>
      <c r="BQ844" s="216"/>
      <c r="BR844" s="216"/>
      <c r="BS844" s="216"/>
      <c r="BT844" s="216"/>
      <c r="BU844" s="216"/>
      <c r="BV844" s="216"/>
      <c r="BW844" s="216"/>
      <c r="BX844" s="216"/>
      <c r="BY844" s="216"/>
      <c r="BZ844" s="216"/>
      <c r="CA844" s="216"/>
      <c r="CB844" s="216"/>
      <c r="CC844" s="216"/>
      <c r="CD844" s="216"/>
      <c r="CE844" s="216"/>
      <c r="CF844" s="216"/>
      <c r="CG844" s="216"/>
      <c r="CH844" s="216"/>
      <c r="CI844" s="216"/>
      <c r="CJ844" s="216"/>
      <c r="CK844" s="216"/>
      <c r="CL844" s="216"/>
      <c r="CM844" s="216"/>
      <c r="CN844" s="216"/>
      <c r="CO844" s="216"/>
      <c r="CP844" s="216"/>
      <c r="CQ844" s="216"/>
      <c r="CR844" s="216"/>
      <c r="CS844" s="216"/>
      <c r="CT844" s="216"/>
      <c r="CU844" s="216"/>
      <c r="CV844" s="216"/>
      <c r="CW844" s="216"/>
      <c r="CX844" s="216"/>
      <c r="CY844" s="216"/>
    </row>
    <row r="845" spans="1:103" ht="12.75" x14ac:dyDescent="0.2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214"/>
      <c r="L845" s="214"/>
      <c r="M845" s="214"/>
      <c r="N845" s="215"/>
      <c r="O845" s="215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  <c r="AM845" s="216"/>
      <c r="AN845" s="216"/>
      <c r="AO845" s="216"/>
      <c r="AP845" s="216"/>
      <c r="AQ845" s="216"/>
      <c r="AR845" s="216"/>
      <c r="AS845" s="216"/>
      <c r="AT845" s="216"/>
      <c r="AU845" s="216"/>
      <c r="AV845" s="216"/>
      <c r="AW845" s="216"/>
      <c r="AX845" s="216"/>
      <c r="AY845" s="216"/>
      <c r="AZ845" s="216"/>
      <c r="BA845" s="216"/>
      <c r="BB845" s="216"/>
      <c r="BC845" s="216"/>
      <c r="BD845" s="216"/>
      <c r="BE845" s="216"/>
      <c r="BF845" s="216"/>
      <c r="BG845" s="216"/>
      <c r="BH845" s="216"/>
      <c r="BI845" s="216"/>
      <c r="BJ845" s="216"/>
      <c r="BK845" s="216"/>
      <c r="BL845" s="216"/>
      <c r="BM845" s="216"/>
      <c r="BN845" s="216"/>
      <c r="BO845" s="216"/>
      <c r="BP845" s="216"/>
      <c r="BQ845" s="216"/>
      <c r="BR845" s="216"/>
      <c r="BS845" s="216"/>
      <c r="BT845" s="216"/>
      <c r="BU845" s="216"/>
      <c r="BV845" s="216"/>
      <c r="BW845" s="216"/>
      <c r="BX845" s="216"/>
      <c r="BY845" s="216"/>
      <c r="BZ845" s="216"/>
      <c r="CA845" s="216"/>
      <c r="CB845" s="216"/>
      <c r="CC845" s="216"/>
      <c r="CD845" s="216"/>
      <c r="CE845" s="216"/>
      <c r="CF845" s="216"/>
      <c r="CG845" s="216"/>
      <c r="CH845" s="216"/>
      <c r="CI845" s="216"/>
      <c r="CJ845" s="216"/>
      <c r="CK845" s="216"/>
      <c r="CL845" s="216"/>
      <c r="CM845" s="216"/>
      <c r="CN845" s="216"/>
      <c r="CO845" s="216"/>
      <c r="CP845" s="216"/>
      <c r="CQ845" s="216"/>
      <c r="CR845" s="216"/>
      <c r="CS845" s="216"/>
      <c r="CT845" s="216"/>
      <c r="CU845" s="216"/>
      <c r="CV845" s="216"/>
      <c r="CW845" s="216"/>
      <c r="CX845" s="216"/>
      <c r="CY845" s="216"/>
    </row>
    <row r="846" spans="1:103" ht="12.75" x14ac:dyDescent="0.2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214"/>
      <c r="L846" s="214"/>
      <c r="M846" s="214"/>
      <c r="N846" s="215"/>
      <c r="O846" s="215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  <c r="AM846" s="216"/>
      <c r="AN846" s="216"/>
      <c r="AO846" s="216"/>
      <c r="AP846" s="216"/>
      <c r="AQ846" s="216"/>
      <c r="AR846" s="216"/>
      <c r="AS846" s="216"/>
      <c r="AT846" s="216"/>
      <c r="AU846" s="216"/>
      <c r="AV846" s="216"/>
      <c r="AW846" s="216"/>
      <c r="AX846" s="216"/>
      <c r="AY846" s="216"/>
      <c r="AZ846" s="216"/>
      <c r="BA846" s="216"/>
      <c r="BB846" s="216"/>
      <c r="BC846" s="216"/>
      <c r="BD846" s="216"/>
      <c r="BE846" s="216"/>
      <c r="BF846" s="216"/>
      <c r="BG846" s="216"/>
      <c r="BH846" s="216"/>
      <c r="BI846" s="216"/>
      <c r="BJ846" s="216"/>
      <c r="BK846" s="216"/>
      <c r="BL846" s="216"/>
      <c r="BM846" s="216"/>
      <c r="BN846" s="216"/>
      <c r="BO846" s="216"/>
      <c r="BP846" s="216"/>
      <c r="BQ846" s="216"/>
      <c r="BR846" s="216"/>
      <c r="BS846" s="216"/>
      <c r="BT846" s="216"/>
      <c r="BU846" s="216"/>
      <c r="BV846" s="216"/>
      <c r="BW846" s="216"/>
      <c r="BX846" s="216"/>
      <c r="BY846" s="216"/>
      <c r="BZ846" s="216"/>
      <c r="CA846" s="216"/>
      <c r="CB846" s="216"/>
      <c r="CC846" s="216"/>
      <c r="CD846" s="216"/>
      <c r="CE846" s="216"/>
      <c r="CF846" s="216"/>
      <c r="CG846" s="216"/>
      <c r="CH846" s="216"/>
      <c r="CI846" s="216"/>
      <c r="CJ846" s="216"/>
      <c r="CK846" s="216"/>
      <c r="CL846" s="216"/>
      <c r="CM846" s="216"/>
      <c r="CN846" s="216"/>
      <c r="CO846" s="216"/>
      <c r="CP846" s="216"/>
      <c r="CQ846" s="216"/>
      <c r="CR846" s="216"/>
      <c r="CS846" s="216"/>
      <c r="CT846" s="216"/>
      <c r="CU846" s="216"/>
      <c r="CV846" s="216"/>
      <c r="CW846" s="216"/>
      <c r="CX846" s="216"/>
      <c r="CY846" s="216"/>
    </row>
    <row r="847" spans="1:103" ht="12.75" x14ac:dyDescent="0.2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214"/>
      <c r="L847" s="214"/>
      <c r="M847" s="214"/>
      <c r="N847" s="215"/>
      <c r="O847" s="215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  <c r="AM847" s="216"/>
      <c r="AN847" s="216"/>
      <c r="AO847" s="216"/>
      <c r="AP847" s="216"/>
      <c r="AQ847" s="216"/>
      <c r="AR847" s="216"/>
      <c r="AS847" s="216"/>
      <c r="AT847" s="216"/>
      <c r="AU847" s="216"/>
      <c r="AV847" s="216"/>
      <c r="AW847" s="216"/>
      <c r="AX847" s="216"/>
      <c r="AY847" s="216"/>
      <c r="AZ847" s="216"/>
      <c r="BA847" s="216"/>
      <c r="BB847" s="216"/>
      <c r="BC847" s="216"/>
      <c r="BD847" s="216"/>
      <c r="BE847" s="216"/>
      <c r="BF847" s="216"/>
      <c r="BG847" s="216"/>
      <c r="BH847" s="216"/>
      <c r="BI847" s="216"/>
      <c r="BJ847" s="216"/>
      <c r="BK847" s="216"/>
      <c r="BL847" s="216"/>
      <c r="BM847" s="216"/>
      <c r="BN847" s="216"/>
      <c r="BO847" s="216"/>
      <c r="BP847" s="216"/>
      <c r="BQ847" s="216"/>
      <c r="BR847" s="216"/>
      <c r="BS847" s="216"/>
      <c r="BT847" s="216"/>
      <c r="BU847" s="216"/>
      <c r="BV847" s="216"/>
      <c r="BW847" s="216"/>
      <c r="BX847" s="216"/>
      <c r="BY847" s="216"/>
      <c r="BZ847" s="216"/>
      <c r="CA847" s="216"/>
      <c r="CB847" s="216"/>
      <c r="CC847" s="216"/>
      <c r="CD847" s="216"/>
      <c r="CE847" s="216"/>
      <c r="CF847" s="216"/>
      <c r="CG847" s="216"/>
      <c r="CH847" s="216"/>
      <c r="CI847" s="216"/>
      <c r="CJ847" s="216"/>
      <c r="CK847" s="216"/>
      <c r="CL847" s="216"/>
      <c r="CM847" s="216"/>
      <c r="CN847" s="216"/>
      <c r="CO847" s="216"/>
      <c r="CP847" s="216"/>
      <c r="CQ847" s="216"/>
      <c r="CR847" s="216"/>
      <c r="CS847" s="216"/>
      <c r="CT847" s="216"/>
      <c r="CU847" s="216"/>
      <c r="CV847" s="216"/>
      <c r="CW847" s="216"/>
      <c r="CX847" s="216"/>
      <c r="CY847" s="216"/>
    </row>
    <row r="848" spans="1:103" ht="12.75" x14ac:dyDescent="0.2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214"/>
      <c r="L848" s="214"/>
      <c r="M848" s="214"/>
      <c r="N848" s="215"/>
      <c r="O848" s="215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  <c r="AM848" s="216"/>
      <c r="AN848" s="216"/>
      <c r="AO848" s="216"/>
      <c r="AP848" s="216"/>
      <c r="AQ848" s="216"/>
      <c r="AR848" s="216"/>
      <c r="AS848" s="216"/>
      <c r="AT848" s="216"/>
      <c r="AU848" s="216"/>
      <c r="AV848" s="216"/>
      <c r="AW848" s="216"/>
      <c r="AX848" s="216"/>
      <c r="AY848" s="216"/>
      <c r="AZ848" s="216"/>
      <c r="BA848" s="216"/>
      <c r="BB848" s="216"/>
      <c r="BC848" s="216"/>
      <c r="BD848" s="216"/>
      <c r="BE848" s="216"/>
      <c r="BF848" s="216"/>
      <c r="BG848" s="216"/>
      <c r="BH848" s="216"/>
      <c r="BI848" s="216"/>
      <c r="BJ848" s="216"/>
      <c r="BK848" s="216"/>
      <c r="BL848" s="216"/>
      <c r="BM848" s="216"/>
      <c r="BN848" s="216"/>
      <c r="BO848" s="216"/>
      <c r="BP848" s="216"/>
      <c r="BQ848" s="216"/>
      <c r="BR848" s="216"/>
      <c r="BS848" s="216"/>
      <c r="BT848" s="216"/>
      <c r="BU848" s="216"/>
      <c r="BV848" s="216"/>
      <c r="BW848" s="216"/>
      <c r="BX848" s="216"/>
      <c r="BY848" s="216"/>
      <c r="BZ848" s="216"/>
      <c r="CA848" s="216"/>
      <c r="CB848" s="216"/>
      <c r="CC848" s="216"/>
      <c r="CD848" s="216"/>
      <c r="CE848" s="216"/>
      <c r="CF848" s="216"/>
      <c r="CG848" s="216"/>
      <c r="CH848" s="216"/>
      <c r="CI848" s="216"/>
      <c r="CJ848" s="216"/>
      <c r="CK848" s="216"/>
      <c r="CL848" s="216"/>
      <c r="CM848" s="216"/>
      <c r="CN848" s="216"/>
      <c r="CO848" s="216"/>
      <c r="CP848" s="216"/>
      <c r="CQ848" s="216"/>
      <c r="CR848" s="216"/>
      <c r="CS848" s="216"/>
      <c r="CT848" s="216"/>
      <c r="CU848" s="216"/>
      <c r="CV848" s="216"/>
      <c r="CW848" s="216"/>
      <c r="CX848" s="216"/>
      <c r="CY848" s="216"/>
    </row>
    <row r="849" spans="1:103" ht="12.75" x14ac:dyDescent="0.2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214"/>
      <c r="L849" s="214"/>
      <c r="M849" s="214"/>
      <c r="N849" s="215"/>
      <c r="O849" s="215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16"/>
      <c r="AN849" s="216"/>
      <c r="AO849" s="216"/>
      <c r="AP849" s="216"/>
      <c r="AQ849" s="216"/>
      <c r="AR849" s="216"/>
      <c r="AS849" s="216"/>
      <c r="AT849" s="216"/>
      <c r="AU849" s="216"/>
      <c r="AV849" s="216"/>
      <c r="AW849" s="216"/>
      <c r="AX849" s="216"/>
      <c r="AY849" s="216"/>
      <c r="AZ849" s="216"/>
      <c r="BA849" s="216"/>
      <c r="BB849" s="216"/>
      <c r="BC849" s="216"/>
      <c r="BD849" s="216"/>
      <c r="BE849" s="216"/>
      <c r="BF849" s="216"/>
      <c r="BG849" s="216"/>
      <c r="BH849" s="216"/>
      <c r="BI849" s="216"/>
      <c r="BJ849" s="216"/>
      <c r="BK849" s="216"/>
      <c r="BL849" s="216"/>
      <c r="BM849" s="216"/>
      <c r="BN849" s="216"/>
      <c r="BO849" s="216"/>
      <c r="BP849" s="216"/>
      <c r="BQ849" s="216"/>
      <c r="BR849" s="216"/>
      <c r="BS849" s="216"/>
      <c r="BT849" s="216"/>
      <c r="BU849" s="216"/>
      <c r="BV849" s="216"/>
      <c r="BW849" s="216"/>
      <c r="BX849" s="216"/>
      <c r="BY849" s="216"/>
      <c r="BZ849" s="216"/>
      <c r="CA849" s="216"/>
      <c r="CB849" s="216"/>
      <c r="CC849" s="216"/>
      <c r="CD849" s="216"/>
      <c r="CE849" s="216"/>
      <c r="CF849" s="216"/>
      <c r="CG849" s="216"/>
      <c r="CH849" s="216"/>
      <c r="CI849" s="216"/>
      <c r="CJ849" s="216"/>
      <c r="CK849" s="216"/>
      <c r="CL849" s="216"/>
      <c r="CM849" s="216"/>
      <c r="CN849" s="216"/>
      <c r="CO849" s="216"/>
      <c r="CP849" s="216"/>
      <c r="CQ849" s="216"/>
      <c r="CR849" s="216"/>
      <c r="CS849" s="216"/>
      <c r="CT849" s="216"/>
      <c r="CU849" s="216"/>
      <c r="CV849" s="216"/>
      <c r="CW849" s="216"/>
      <c r="CX849" s="216"/>
      <c r="CY849" s="216"/>
    </row>
    <row r="850" spans="1:103" ht="12.75" x14ac:dyDescent="0.2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214"/>
      <c r="L850" s="214"/>
      <c r="M850" s="214"/>
      <c r="N850" s="215"/>
      <c r="O850" s="215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16"/>
      <c r="AN850" s="216"/>
      <c r="AO850" s="216"/>
      <c r="AP850" s="216"/>
      <c r="AQ850" s="216"/>
      <c r="AR850" s="216"/>
      <c r="AS850" s="216"/>
      <c r="AT850" s="216"/>
      <c r="AU850" s="216"/>
      <c r="AV850" s="216"/>
      <c r="AW850" s="216"/>
      <c r="AX850" s="216"/>
      <c r="AY850" s="216"/>
      <c r="AZ850" s="216"/>
      <c r="BA850" s="216"/>
      <c r="BB850" s="216"/>
      <c r="BC850" s="216"/>
      <c r="BD850" s="216"/>
      <c r="BE850" s="216"/>
      <c r="BF850" s="216"/>
      <c r="BG850" s="216"/>
      <c r="BH850" s="216"/>
      <c r="BI850" s="216"/>
      <c r="BJ850" s="216"/>
      <c r="BK850" s="216"/>
      <c r="BL850" s="216"/>
      <c r="BM850" s="216"/>
      <c r="BN850" s="216"/>
      <c r="BO850" s="216"/>
      <c r="BP850" s="216"/>
      <c r="BQ850" s="216"/>
      <c r="BR850" s="216"/>
      <c r="BS850" s="216"/>
      <c r="BT850" s="216"/>
      <c r="BU850" s="216"/>
      <c r="BV850" s="216"/>
      <c r="BW850" s="216"/>
      <c r="BX850" s="216"/>
      <c r="BY850" s="216"/>
      <c r="BZ850" s="216"/>
      <c r="CA850" s="216"/>
      <c r="CB850" s="216"/>
      <c r="CC850" s="216"/>
      <c r="CD850" s="216"/>
      <c r="CE850" s="216"/>
      <c r="CF850" s="216"/>
      <c r="CG850" s="216"/>
      <c r="CH850" s="216"/>
      <c r="CI850" s="216"/>
      <c r="CJ850" s="216"/>
      <c r="CK850" s="216"/>
      <c r="CL850" s="216"/>
      <c r="CM850" s="216"/>
      <c r="CN850" s="216"/>
      <c r="CO850" s="216"/>
      <c r="CP850" s="216"/>
      <c r="CQ850" s="216"/>
      <c r="CR850" s="216"/>
      <c r="CS850" s="216"/>
      <c r="CT850" s="216"/>
      <c r="CU850" s="216"/>
      <c r="CV850" s="216"/>
      <c r="CW850" s="216"/>
      <c r="CX850" s="216"/>
      <c r="CY850" s="216"/>
    </row>
    <row r="851" spans="1:103" ht="12.75" x14ac:dyDescent="0.2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214"/>
      <c r="L851" s="214"/>
      <c r="M851" s="214"/>
      <c r="N851" s="215"/>
      <c r="O851" s="215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16"/>
      <c r="AN851" s="216"/>
      <c r="AO851" s="216"/>
      <c r="AP851" s="216"/>
      <c r="AQ851" s="216"/>
      <c r="AR851" s="216"/>
      <c r="AS851" s="216"/>
      <c r="AT851" s="216"/>
      <c r="AU851" s="216"/>
      <c r="AV851" s="216"/>
      <c r="AW851" s="216"/>
      <c r="AX851" s="216"/>
      <c r="AY851" s="216"/>
      <c r="AZ851" s="216"/>
      <c r="BA851" s="216"/>
      <c r="BB851" s="216"/>
      <c r="BC851" s="216"/>
      <c r="BD851" s="216"/>
      <c r="BE851" s="216"/>
      <c r="BF851" s="216"/>
      <c r="BG851" s="216"/>
      <c r="BH851" s="216"/>
      <c r="BI851" s="216"/>
      <c r="BJ851" s="216"/>
      <c r="BK851" s="216"/>
      <c r="BL851" s="216"/>
      <c r="BM851" s="216"/>
      <c r="BN851" s="216"/>
      <c r="BO851" s="216"/>
      <c r="BP851" s="216"/>
      <c r="BQ851" s="216"/>
      <c r="BR851" s="216"/>
      <c r="BS851" s="216"/>
      <c r="BT851" s="216"/>
      <c r="BU851" s="216"/>
      <c r="BV851" s="216"/>
      <c r="BW851" s="216"/>
      <c r="BX851" s="216"/>
      <c r="BY851" s="216"/>
      <c r="BZ851" s="216"/>
      <c r="CA851" s="216"/>
      <c r="CB851" s="216"/>
      <c r="CC851" s="216"/>
      <c r="CD851" s="216"/>
      <c r="CE851" s="216"/>
      <c r="CF851" s="216"/>
      <c r="CG851" s="216"/>
      <c r="CH851" s="216"/>
      <c r="CI851" s="216"/>
      <c r="CJ851" s="216"/>
      <c r="CK851" s="216"/>
      <c r="CL851" s="216"/>
      <c r="CM851" s="216"/>
      <c r="CN851" s="216"/>
      <c r="CO851" s="216"/>
      <c r="CP851" s="216"/>
      <c r="CQ851" s="216"/>
      <c r="CR851" s="216"/>
      <c r="CS851" s="216"/>
      <c r="CT851" s="216"/>
      <c r="CU851" s="216"/>
      <c r="CV851" s="216"/>
      <c r="CW851" s="216"/>
      <c r="CX851" s="216"/>
      <c r="CY851" s="216"/>
    </row>
    <row r="852" spans="1:103" ht="12.75" x14ac:dyDescent="0.2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214"/>
      <c r="L852" s="214"/>
      <c r="M852" s="214"/>
      <c r="N852" s="215"/>
      <c r="O852" s="215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16"/>
      <c r="AN852" s="216"/>
      <c r="AO852" s="216"/>
      <c r="AP852" s="216"/>
      <c r="AQ852" s="216"/>
      <c r="AR852" s="216"/>
      <c r="AS852" s="216"/>
      <c r="AT852" s="216"/>
      <c r="AU852" s="216"/>
      <c r="AV852" s="216"/>
      <c r="AW852" s="216"/>
      <c r="AX852" s="216"/>
      <c r="AY852" s="216"/>
      <c r="AZ852" s="216"/>
      <c r="BA852" s="216"/>
      <c r="BB852" s="216"/>
      <c r="BC852" s="216"/>
      <c r="BD852" s="216"/>
      <c r="BE852" s="216"/>
      <c r="BF852" s="216"/>
      <c r="BG852" s="216"/>
      <c r="BH852" s="216"/>
      <c r="BI852" s="216"/>
      <c r="BJ852" s="216"/>
      <c r="BK852" s="216"/>
      <c r="BL852" s="216"/>
      <c r="BM852" s="216"/>
      <c r="BN852" s="216"/>
      <c r="BO852" s="216"/>
      <c r="BP852" s="216"/>
      <c r="BQ852" s="216"/>
      <c r="BR852" s="216"/>
      <c r="BS852" s="216"/>
      <c r="BT852" s="216"/>
      <c r="BU852" s="216"/>
      <c r="BV852" s="216"/>
      <c r="BW852" s="216"/>
      <c r="BX852" s="216"/>
      <c r="BY852" s="216"/>
      <c r="BZ852" s="216"/>
      <c r="CA852" s="216"/>
      <c r="CB852" s="216"/>
      <c r="CC852" s="216"/>
      <c r="CD852" s="216"/>
      <c r="CE852" s="216"/>
      <c r="CF852" s="216"/>
      <c r="CG852" s="216"/>
      <c r="CH852" s="216"/>
      <c r="CI852" s="216"/>
      <c r="CJ852" s="216"/>
      <c r="CK852" s="216"/>
      <c r="CL852" s="216"/>
      <c r="CM852" s="216"/>
      <c r="CN852" s="216"/>
      <c r="CO852" s="216"/>
      <c r="CP852" s="216"/>
      <c r="CQ852" s="216"/>
      <c r="CR852" s="216"/>
      <c r="CS852" s="216"/>
      <c r="CT852" s="216"/>
      <c r="CU852" s="216"/>
      <c r="CV852" s="216"/>
      <c r="CW852" s="216"/>
      <c r="CX852" s="216"/>
      <c r="CY852" s="216"/>
    </row>
    <row r="853" spans="1:103" ht="12.75" x14ac:dyDescent="0.2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214"/>
      <c r="L853" s="214"/>
      <c r="M853" s="214"/>
      <c r="N853" s="215"/>
      <c r="O853" s="215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16"/>
      <c r="AN853" s="216"/>
      <c r="AO853" s="216"/>
      <c r="AP853" s="216"/>
      <c r="AQ853" s="216"/>
      <c r="AR853" s="216"/>
      <c r="AS853" s="216"/>
      <c r="AT853" s="216"/>
      <c r="AU853" s="216"/>
      <c r="AV853" s="216"/>
      <c r="AW853" s="216"/>
      <c r="AX853" s="216"/>
      <c r="AY853" s="216"/>
      <c r="AZ853" s="216"/>
      <c r="BA853" s="216"/>
      <c r="BB853" s="216"/>
      <c r="BC853" s="216"/>
      <c r="BD853" s="216"/>
      <c r="BE853" s="216"/>
      <c r="BF853" s="216"/>
      <c r="BG853" s="216"/>
      <c r="BH853" s="216"/>
      <c r="BI853" s="216"/>
      <c r="BJ853" s="216"/>
      <c r="BK853" s="216"/>
      <c r="BL853" s="216"/>
      <c r="BM853" s="216"/>
      <c r="BN853" s="216"/>
      <c r="BO853" s="216"/>
      <c r="BP853" s="216"/>
      <c r="BQ853" s="216"/>
      <c r="BR853" s="216"/>
      <c r="BS853" s="216"/>
      <c r="BT853" s="216"/>
      <c r="BU853" s="216"/>
      <c r="BV853" s="216"/>
      <c r="BW853" s="216"/>
      <c r="BX853" s="216"/>
      <c r="BY853" s="216"/>
      <c r="BZ853" s="216"/>
      <c r="CA853" s="216"/>
      <c r="CB853" s="216"/>
      <c r="CC853" s="216"/>
      <c r="CD853" s="216"/>
      <c r="CE853" s="216"/>
      <c r="CF853" s="216"/>
      <c r="CG853" s="216"/>
      <c r="CH853" s="216"/>
      <c r="CI853" s="216"/>
      <c r="CJ853" s="216"/>
      <c r="CK853" s="216"/>
      <c r="CL853" s="216"/>
      <c r="CM853" s="216"/>
      <c r="CN853" s="216"/>
      <c r="CO853" s="216"/>
      <c r="CP853" s="216"/>
      <c r="CQ853" s="216"/>
      <c r="CR853" s="216"/>
      <c r="CS853" s="216"/>
      <c r="CT853" s="216"/>
      <c r="CU853" s="216"/>
      <c r="CV853" s="216"/>
      <c r="CW853" s="216"/>
      <c r="CX853" s="216"/>
      <c r="CY853" s="216"/>
    </row>
    <row r="854" spans="1:103" ht="12.75" x14ac:dyDescent="0.2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214"/>
      <c r="L854" s="214"/>
      <c r="M854" s="214"/>
      <c r="N854" s="215"/>
      <c r="O854" s="215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16"/>
      <c r="AN854" s="216"/>
      <c r="AO854" s="216"/>
      <c r="AP854" s="216"/>
      <c r="AQ854" s="216"/>
      <c r="AR854" s="216"/>
      <c r="AS854" s="216"/>
      <c r="AT854" s="216"/>
      <c r="AU854" s="216"/>
      <c r="AV854" s="216"/>
      <c r="AW854" s="216"/>
      <c r="AX854" s="216"/>
      <c r="AY854" s="216"/>
      <c r="AZ854" s="216"/>
      <c r="BA854" s="216"/>
      <c r="BB854" s="216"/>
      <c r="BC854" s="216"/>
      <c r="BD854" s="216"/>
      <c r="BE854" s="216"/>
      <c r="BF854" s="216"/>
      <c r="BG854" s="216"/>
      <c r="BH854" s="216"/>
      <c r="BI854" s="216"/>
      <c r="BJ854" s="216"/>
      <c r="BK854" s="216"/>
      <c r="BL854" s="216"/>
      <c r="BM854" s="216"/>
      <c r="BN854" s="216"/>
      <c r="BO854" s="216"/>
      <c r="BP854" s="216"/>
      <c r="BQ854" s="216"/>
      <c r="BR854" s="216"/>
      <c r="BS854" s="216"/>
      <c r="BT854" s="216"/>
      <c r="BU854" s="216"/>
      <c r="BV854" s="216"/>
      <c r="BW854" s="216"/>
      <c r="BX854" s="216"/>
      <c r="BY854" s="216"/>
      <c r="BZ854" s="216"/>
      <c r="CA854" s="216"/>
      <c r="CB854" s="216"/>
      <c r="CC854" s="216"/>
      <c r="CD854" s="216"/>
      <c r="CE854" s="216"/>
      <c r="CF854" s="216"/>
      <c r="CG854" s="216"/>
      <c r="CH854" s="216"/>
      <c r="CI854" s="216"/>
      <c r="CJ854" s="216"/>
      <c r="CK854" s="216"/>
      <c r="CL854" s="216"/>
      <c r="CM854" s="216"/>
      <c r="CN854" s="216"/>
      <c r="CO854" s="216"/>
      <c r="CP854" s="216"/>
      <c r="CQ854" s="216"/>
      <c r="CR854" s="216"/>
      <c r="CS854" s="216"/>
      <c r="CT854" s="216"/>
      <c r="CU854" s="216"/>
      <c r="CV854" s="216"/>
      <c r="CW854" s="216"/>
      <c r="CX854" s="216"/>
      <c r="CY854" s="216"/>
    </row>
    <row r="855" spans="1:103" ht="12.75" x14ac:dyDescent="0.2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214"/>
      <c r="L855" s="214"/>
      <c r="M855" s="214"/>
      <c r="N855" s="215"/>
      <c r="O855" s="215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16"/>
      <c r="AN855" s="216"/>
      <c r="AO855" s="216"/>
      <c r="AP855" s="216"/>
      <c r="AQ855" s="216"/>
      <c r="AR855" s="216"/>
      <c r="AS855" s="216"/>
      <c r="AT855" s="216"/>
      <c r="AU855" s="216"/>
      <c r="AV855" s="216"/>
      <c r="AW855" s="216"/>
      <c r="AX855" s="216"/>
      <c r="AY855" s="216"/>
      <c r="AZ855" s="216"/>
      <c r="BA855" s="216"/>
      <c r="BB855" s="216"/>
      <c r="BC855" s="216"/>
      <c r="BD855" s="216"/>
      <c r="BE855" s="216"/>
      <c r="BF855" s="216"/>
      <c r="BG855" s="216"/>
      <c r="BH855" s="216"/>
      <c r="BI855" s="216"/>
      <c r="BJ855" s="216"/>
      <c r="BK855" s="216"/>
      <c r="BL855" s="216"/>
      <c r="BM855" s="216"/>
      <c r="BN855" s="216"/>
      <c r="BO855" s="216"/>
      <c r="BP855" s="216"/>
      <c r="BQ855" s="216"/>
      <c r="BR855" s="216"/>
      <c r="BS855" s="216"/>
      <c r="BT855" s="216"/>
      <c r="BU855" s="216"/>
      <c r="BV855" s="216"/>
      <c r="BW855" s="216"/>
      <c r="BX855" s="216"/>
      <c r="BY855" s="216"/>
      <c r="BZ855" s="216"/>
      <c r="CA855" s="216"/>
      <c r="CB855" s="216"/>
      <c r="CC855" s="216"/>
      <c r="CD855" s="216"/>
      <c r="CE855" s="216"/>
      <c r="CF855" s="216"/>
      <c r="CG855" s="216"/>
      <c r="CH855" s="216"/>
      <c r="CI855" s="216"/>
      <c r="CJ855" s="216"/>
      <c r="CK855" s="216"/>
      <c r="CL855" s="216"/>
      <c r="CM855" s="216"/>
      <c r="CN855" s="216"/>
      <c r="CO855" s="216"/>
      <c r="CP855" s="216"/>
      <c r="CQ855" s="216"/>
      <c r="CR855" s="216"/>
      <c r="CS855" s="216"/>
      <c r="CT855" s="216"/>
      <c r="CU855" s="216"/>
      <c r="CV855" s="216"/>
      <c r="CW855" s="216"/>
      <c r="CX855" s="216"/>
      <c r="CY855" s="216"/>
    </row>
    <row r="856" spans="1:103" ht="12.75" x14ac:dyDescent="0.2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214"/>
      <c r="L856" s="214"/>
      <c r="M856" s="214"/>
      <c r="N856" s="215"/>
      <c r="O856" s="215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16"/>
      <c r="AN856" s="216"/>
      <c r="AO856" s="216"/>
      <c r="AP856" s="216"/>
      <c r="AQ856" s="216"/>
      <c r="AR856" s="216"/>
      <c r="AS856" s="216"/>
      <c r="AT856" s="216"/>
      <c r="AU856" s="216"/>
      <c r="AV856" s="216"/>
      <c r="AW856" s="216"/>
      <c r="AX856" s="216"/>
      <c r="AY856" s="216"/>
      <c r="AZ856" s="216"/>
      <c r="BA856" s="216"/>
      <c r="BB856" s="216"/>
      <c r="BC856" s="216"/>
      <c r="BD856" s="216"/>
      <c r="BE856" s="216"/>
      <c r="BF856" s="216"/>
      <c r="BG856" s="216"/>
      <c r="BH856" s="216"/>
      <c r="BI856" s="216"/>
      <c r="BJ856" s="216"/>
      <c r="BK856" s="216"/>
      <c r="BL856" s="216"/>
      <c r="BM856" s="216"/>
      <c r="BN856" s="216"/>
      <c r="BO856" s="216"/>
      <c r="BP856" s="216"/>
      <c r="BQ856" s="216"/>
      <c r="BR856" s="216"/>
      <c r="BS856" s="216"/>
      <c r="BT856" s="216"/>
      <c r="BU856" s="216"/>
      <c r="BV856" s="216"/>
      <c r="BW856" s="216"/>
      <c r="BX856" s="216"/>
      <c r="BY856" s="216"/>
      <c r="BZ856" s="216"/>
      <c r="CA856" s="216"/>
      <c r="CB856" s="216"/>
      <c r="CC856" s="216"/>
      <c r="CD856" s="216"/>
      <c r="CE856" s="216"/>
      <c r="CF856" s="216"/>
      <c r="CG856" s="216"/>
      <c r="CH856" s="216"/>
      <c r="CI856" s="216"/>
      <c r="CJ856" s="216"/>
      <c r="CK856" s="216"/>
      <c r="CL856" s="216"/>
      <c r="CM856" s="216"/>
      <c r="CN856" s="216"/>
      <c r="CO856" s="216"/>
      <c r="CP856" s="216"/>
      <c r="CQ856" s="216"/>
      <c r="CR856" s="216"/>
      <c r="CS856" s="216"/>
      <c r="CT856" s="216"/>
      <c r="CU856" s="216"/>
      <c r="CV856" s="216"/>
      <c r="CW856" s="216"/>
      <c r="CX856" s="216"/>
      <c r="CY856" s="216"/>
    </row>
    <row r="857" spans="1:103" ht="12.75" x14ac:dyDescent="0.2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214"/>
      <c r="L857" s="214"/>
      <c r="M857" s="214"/>
      <c r="N857" s="215"/>
      <c r="O857" s="215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16"/>
      <c r="AN857" s="216"/>
      <c r="AO857" s="216"/>
      <c r="AP857" s="216"/>
      <c r="AQ857" s="216"/>
      <c r="AR857" s="216"/>
      <c r="AS857" s="216"/>
      <c r="AT857" s="216"/>
      <c r="AU857" s="216"/>
      <c r="AV857" s="216"/>
      <c r="AW857" s="216"/>
      <c r="AX857" s="216"/>
      <c r="AY857" s="216"/>
      <c r="AZ857" s="216"/>
      <c r="BA857" s="216"/>
      <c r="BB857" s="216"/>
      <c r="BC857" s="216"/>
      <c r="BD857" s="216"/>
      <c r="BE857" s="216"/>
      <c r="BF857" s="216"/>
      <c r="BG857" s="216"/>
      <c r="BH857" s="216"/>
      <c r="BI857" s="216"/>
      <c r="BJ857" s="216"/>
      <c r="BK857" s="216"/>
      <c r="BL857" s="216"/>
      <c r="BM857" s="216"/>
      <c r="BN857" s="216"/>
      <c r="BO857" s="216"/>
      <c r="BP857" s="216"/>
      <c r="BQ857" s="216"/>
      <c r="BR857" s="216"/>
      <c r="BS857" s="216"/>
      <c r="BT857" s="216"/>
      <c r="BU857" s="216"/>
      <c r="BV857" s="216"/>
      <c r="BW857" s="216"/>
      <c r="BX857" s="216"/>
      <c r="BY857" s="216"/>
      <c r="BZ857" s="216"/>
      <c r="CA857" s="216"/>
      <c r="CB857" s="216"/>
      <c r="CC857" s="216"/>
      <c r="CD857" s="216"/>
      <c r="CE857" s="216"/>
      <c r="CF857" s="216"/>
      <c r="CG857" s="216"/>
      <c r="CH857" s="216"/>
      <c r="CI857" s="216"/>
      <c r="CJ857" s="216"/>
      <c r="CK857" s="216"/>
      <c r="CL857" s="216"/>
      <c r="CM857" s="216"/>
      <c r="CN857" s="216"/>
      <c r="CO857" s="216"/>
      <c r="CP857" s="216"/>
      <c r="CQ857" s="216"/>
      <c r="CR857" s="216"/>
      <c r="CS857" s="216"/>
      <c r="CT857" s="216"/>
      <c r="CU857" s="216"/>
      <c r="CV857" s="216"/>
      <c r="CW857" s="216"/>
      <c r="CX857" s="216"/>
      <c r="CY857" s="216"/>
    </row>
    <row r="858" spans="1:103" ht="12.75" x14ac:dyDescent="0.2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214"/>
      <c r="L858" s="214"/>
      <c r="M858" s="214"/>
      <c r="N858" s="215"/>
      <c r="O858" s="215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16"/>
      <c r="AN858" s="216"/>
      <c r="AO858" s="216"/>
      <c r="AP858" s="216"/>
      <c r="AQ858" s="216"/>
      <c r="AR858" s="216"/>
      <c r="AS858" s="216"/>
      <c r="AT858" s="216"/>
      <c r="AU858" s="216"/>
      <c r="AV858" s="216"/>
      <c r="AW858" s="216"/>
      <c r="AX858" s="216"/>
      <c r="AY858" s="216"/>
      <c r="AZ858" s="216"/>
      <c r="BA858" s="216"/>
      <c r="BB858" s="216"/>
      <c r="BC858" s="216"/>
      <c r="BD858" s="216"/>
      <c r="BE858" s="216"/>
      <c r="BF858" s="216"/>
      <c r="BG858" s="216"/>
      <c r="BH858" s="216"/>
      <c r="BI858" s="216"/>
      <c r="BJ858" s="216"/>
      <c r="BK858" s="216"/>
      <c r="BL858" s="216"/>
      <c r="BM858" s="216"/>
      <c r="BN858" s="216"/>
      <c r="BO858" s="216"/>
      <c r="BP858" s="216"/>
      <c r="BQ858" s="216"/>
      <c r="BR858" s="216"/>
      <c r="BS858" s="216"/>
      <c r="BT858" s="216"/>
      <c r="BU858" s="216"/>
      <c r="BV858" s="216"/>
      <c r="BW858" s="216"/>
      <c r="BX858" s="216"/>
      <c r="BY858" s="216"/>
      <c r="BZ858" s="216"/>
      <c r="CA858" s="216"/>
      <c r="CB858" s="216"/>
      <c r="CC858" s="216"/>
      <c r="CD858" s="216"/>
      <c r="CE858" s="216"/>
      <c r="CF858" s="216"/>
      <c r="CG858" s="216"/>
      <c r="CH858" s="216"/>
      <c r="CI858" s="216"/>
      <c r="CJ858" s="216"/>
      <c r="CK858" s="216"/>
      <c r="CL858" s="216"/>
      <c r="CM858" s="216"/>
      <c r="CN858" s="216"/>
      <c r="CO858" s="216"/>
      <c r="CP858" s="216"/>
      <c r="CQ858" s="216"/>
      <c r="CR858" s="216"/>
      <c r="CS858" s="216"/>
      <c r="CT858" s="216"/>
      <c r="CU858" s="216"/>
      <c r="CV858" s="216"/>
      <c r="CW858" s="216"/>
      <c r="CX858" s="216"/>
      <c r="CY858" s="216"/>
    </row>
    <row r="859" spans="1:103" ht="12.75" x14ac:dyDescent="0.2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214"/>
      <c r="L859" s="214"/>
      <c r="M859" s="214"/>
      <c r="N859" s="215"/>
      <c r="O859" s="215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  <c r="AM859" s="216"/>
      <c r="AN859" s="216"/>
      <c r="AO859" s="216"/>
      <c r="AP859" s="216"/>
      <c r="AQ859" s="216"/>
      <c r="AR859" s="216"/>
      <c r="AS859" s="216"/>
      <c r="AT859" s="216"/>
      <c r="AU859" s="216"/>
      <c r="AV859" s="216"/>
      <c r="AW859" s="216"/>
      <c r="AX859" s="216"/>
      <c r="AY859" s="216"/>
      <c r="AZ859" s="216"/>
      <c r="BA859" s="216"/>
      <c r="BB859" s="216"/>
      <c r="BC859" s="216"/>
      <c r="BD859" s="216"/>
      <c r="BE859" s="216"/>
      <c r="BF859" s="216"/>
      <c r="BG859" s="216"/>
      <c r="BH859" s="216"/>
      <c r="BI859" s="216"/>
      <c r="BJ859" s="216"/>
      <c r="BK859" s="216"/>
      <c r="BL859" s="216"/>
      <c r="BM859" s="216"/>
      <c r="BN859" s="216"/>
      <c r="BO859" s="216"/>
      <c r="BP859" s="216"/>
      <c r="BQ859" s="216"/>
      <c r="BR859" s="216"/>
      <c r="BS859" s="216"/>
      <c r="BT859" s="216"/>
      <c r="BU859" s="216"/>
      <c r="BV859" s="216"/>
      <c r="BW859" s="216"/>
      <c r="BX859" s="216"/>
      <c r="BY859" s="216"/>
      <c r="BZ859" s="216"/>
      <c r="CA859" s="216"/>
      <c r="CB859" s="216"/>
      <c r="CC859" s="216"/>
      <c r="CD859" s="216"/>
      <c r="CE859" s="216"/>
      <c r="CF859" s="216"/>
      <c r="CG859" s="216"/>
      <c r="CH859" s="216"/>
      <c r="CI859" s="216"/>
      <c r="CJ859" s="216"/>
      <c r="CK859" s="216"/>
      <c r="CL859" s="216"/>
      <c r="CM859" s="216"/>
      <c r="CN859" s="216"/>
      <c r="CO859" s="216"/>
      <c r="CP859" s="216"/>
      <c r="CQ859" s="216"/>
      <c r="CR859" s="216"/>
      <c r="CS859" s="216"/>
      <c r="CT859" s="216"/>
      <c r="CU859" s="216"/>
      <c r="CV859" s="216"/>
      <c r="CW859" s="216"/>
      <c r="CX859" s="216"/>
      <c r="CY859" s="216"/>
    </row>
    <row r="860" spans="1:103" ht="12.75" x14ac:dyDescent="0.2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214"/>
      <c r="L860" s="214"/>
      <c r="M860" s="214"/>
      <c r="N860" s="215"/>
      <c r="O860" s="215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  <c r="AM860" s="216"/>
      <c r="AN860" s="216"/>
      <c r="AO860" s="216"/>
      <c r="AP860" s="216"/>
      <c r="AQ860" s="216"/>
      <c r="AR860" s="216"/>
      <c r="AS860" s="216"/>
      <c r="AT860" s="216"/>
      <c r="AU860" s="216"/>
      <c r="AV860" s="216"/>
      <c r="AW860" s="216"/>
      <c r="AX860" s="216"/>
      <c r="AY860" s="216"/>
      <c r="AZ860" s="216"/>
      <c r="BA860" s="216"/>
      <c r="BB860" s="216"/>
      <c r="BC860" s="216"/>
      <c r="BD860" s="216"/>
      <c r="BE860" s="216"/>
      <c r="BF860" s="216"/>
      <c r="BG860" s="216"/>
      <c r="BH860" s="216"/>
      <c r="BI860" s="216"/>
      <c r="BJ860" s="216"/>
      <c r="BK860" s="216"/>
      <c r="BL860" s="216"/>
      <c r="BM860" s="216"/>
      <c r="BN860" s="216"/>
      <c r="BO860" s="216"/>
      <c r="BP860" s="216"/>
      <c r="BQ860" s="216"/>
      <c r="BR860" s="216"/>
      <c r="BS860" s="216"/>
      <c r="BT860" s="216"/>
      <c r="BU860" s="216"/>
      <c r="BV860" s="216"/>
      <c r="BW860" s="216"/>
      <c r="BX860" s="216"/>
      <c r="BY860" s="216"/>
      <c r="BZ860" s="216"/>
      <c r="CA860" s="216"/>
      <c r="CB860" s="216"/>
      <c r="CC860" s="216"/>
      <c r="CD860" s="216"/>
      <c r="CE860" s="216"/>
      <c r="CF860" s="216"/>
      <c r="CG860" s="216"/>
      <c r="CH860" s="216"/>
      <c r="CI860" s="216"/>
      <c r="CJ860" s="216"/>
      <c r="CK860" s="216"/>
      <c r="CL860" s="216"/>
      <c r="CM860" s="216"/>
      <c r="CN860" s="216"/>
      <c r="CO860" s="216"/>
      <c r="CP860" s="216"/>
      <c r="CQ860" s="216"/>
      <c r="CR860" s="216"/>
      <c r="CS860" s="216"/>
      <c r="CT860" s="216"/>
      <c r="CU860" s="216"/>
      <c r="CV860" s="216"/>
      <c r="CW860" s="216"/>
      <c r="CX860" s="216"/>
      <c r="CY860" s="216"/>
    </row>
    <row r="861" spans="1:103" ht="12.75" x14ac:dyDescent="0.2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214"/>
      <c r="L861" s="214"/>
      <c r="M861" s="214"/>
      <c r="N861" s="215"/>
      <c r="O861" s="215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  <c r="AM861" s="216"/>
      <c r="AN861" s="216"/>
      <c r="AO861" s="216"/>
      <c r="AP861" s="216"/>
      <c r="AQ861" s="216"/>
      <c r="AR861" s="216"/>
      <c r="AS861" s="216"/>
      <c r="AT861" s="216"/>
      <c r="AU861" s="216"/>
      <c r="AV861" s="216"/>
      <c r="AW861" s="216"/>
      <c r="AX861" s="216"/>
      <c r="AY861" s="216"/>
      <c r="AZ861" s="216"/>
      <c r="BA861" s="216"/>
      <c r="BB861" s="216"/>
      <c r="BC861" s="216"/>
      <c r="BD861" s="216"/>
      <c r="BE861" s="216"/>
      <c r="BF861" s="216"/>
      <c r="BG861" s="216"/>
      <c r="BH861" s="216"/>
      <c r="BI861" s="216"/>
      <c r="BJ861" s="216"/>
      <c r="BK861" s="216"/>
      <c r="BL861" s="216"/>
      <c r="BM861" s="216"/>
      <c r="BN861" s="216"/>
      <c r="BO861" s="216"/>
      <c r="BP861" s="216"/>
      <c r="BQ861" s="216"/>
      <c r="BR861" s="216"/>
      <c r="BS861" s="216"/>
      <c r="BT861" s="216"/>
      <c r="BU861" s="216"/>
      <c r="BV861" s="216"/>
      <c r="BW861" s="216"/>
      <c r="BX861" s="216"/>
      <c r="BY861" s="216"/>
      <c r="BZ861" s="216"/>
      <c r="CA861" s="216"/>
      <c r="CB861" s="216"/>
      <c r="CC861" s="216"/>
      <c r="CD861" s="216"/>
      <c r="CE861" s="216"/>
      <c r="CF861" s="216"/>
      <c r="CG861" s="216"/>
      <c r="CH861" s="216"/>
      <c r="CI861" s="216"/>
      <c r="CJ861" s="216"/>
      <c r="CK861" s="216"/>
      <c r="CL861" s="216"/>
      <c r="CM861" s="216"/>
      <c r="CN861" s="216"/>
      <c r="CO861" s="216"/>
      <c r="CP861" s="216"/>
      <c r="CQ861" s="216"/>
      <c r="CR861" s="216"/>
      <c r="CS861" s="216"/>
      <c r="CT861" s="216"/>
      <c r="CU861" s="216"/>
      <c r="CV861" s="216"/>
      <c r="CW861" s="216"/>
      <c r="CX861" s="216"/>
      <c r="CY861" s="216"/>
    </row>
    <row r="862" spans="1:103" ht="12.75" x14ac:dyDescent="0.2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214"/>
      <c r="L862" s="214"/>
      <c r="M862" s="214"/>
      <c r="N862" s="215"/>
      <c r="O862" s="215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  <c r="AM862" s="216"/>
      <c r="AN862" s="216"/>
      <c r="AO862" s="216"/>
      <c r="AP862" s="216"/>
      <c r="AQ862" s="216"/>
      <c r="AR862" s="216"/>
      <c r="AS862" s="216"/>
      <c r="AT862" s="216"/>
      <c r="AU862" s="216"/>
      <c r="AV862" s="216"/>
      <c r="AW862" s="216"/>
      <c r="AX862" s="216"/>
      <c r="AY862" s="216"/>
      <c r="AZ862" s="216"/>
      <c r="BA862" s="216"/>
      <c r="BB862" s="216"/>
      <c r="BC862" s="216"/>
      <c r="BD862" s="216"/>
      <c r="BE862" s="216"/>
      <c r="BF862" s="216"/>
      <c r="BG862" s="216"/>
      <c r="BH862" s="216"/>
      <c r="BI862" s="216"/>
      <c r="BJ862" s="216"/>
      <c r="BK862" s="216"/>
      <c r="BL862" s="216"/>
      <c r="BM862" s="216"/>
      <c r="BN862" s="216"/>
      <c r="BO862" s="216"/>
      <c r="BP862" s="216"/>
      <c r="BQ862" s="216"/>
      <c r="BR862" s="216"/>
      <c r="BS862" s="216"/>
      <c r="BT862" s="216"/>
      <c r="BU862" s="216"/>
      <c r="BV862" s="216"/>
      <c r="BW862" s="216"/>
      <c r="BX862" s="216"/>
      <c r="BY862" s="216"/>
      <c r="BZ862" s="216"/>
      <c r="CA862" s="216"/>
      <c r="CB862" s="216"/>
      <c r="CC862" s="216"/>
      <c r="CD862" s="216"/>
      <c r="CE862" s="216"/>
      <c r="CF862" s="216"/>
      <c r="CG862" s="216"/>
      <c r="CH862" s="216"/>
      <c r="CI862" s="216"/>
      <c r="CJ862" s="216"/>
      <c r="CK862" s="216"/>
      <c r="CL862" s="216"/>
      <c r="CM862" s="216"/>
      <c r="CN862" s="216"/>
      <c r="CO862" s="216"/>
      <c r="CP862" s="216"/>
      <c r="CQ862" s="216"/>
      <c r="CR862" s="216"/>
      <c r="CS862" s="216"/>
      <c r="CT862" s="216"/>
      <c r="CU862" s="216"/>
      <c r="CV862" s="216"/>
      <c r="CW862" s="216"/>
      <c r="CX862" s="216"/>
      <c r="CY862" s="216"/>
    </row>
    <row r="863" spans="1:103" ht="12.75" x14ac:dyDescent="0.2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214"/>
      <c r="L863" s="214"/>
      <c r="M863" s="214"/>
      <c r="N863" s="215"/>
      <c r="O863" s="215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  <c r="AM863" s="216"/>
      <c r="AN863" s="216"/>
      <c r="AO863" s="216"/>
      <c r="AP863" s="216"/>
      <c r="AQ863" s="216"/>
      <c r="AR863" s="216"/>
      <c r="AS863" s="216"/>
      <c r="AT863" s="216"/>
      <c r="AU863" s="216"/>
      <c r="AV863" s="216"/>
      <c r="AW863" s="216"/>
      <c r="AX863" s="216"/>
      <c r="AY863" s="216"/>
      <c r="AZ863" s="216"/>
      <c r="BA863" s="216"/>
      <c r="BB863" s="216"/>
      <c r="BC863" s="216"/>
      <c r="BD863" s="216"/>
      <c r="BE863" s="216"/>
      <c r="BF863" s="216"/>
      <c r="BG863" s="216"/>
      <c r="BH863" s="216"/>
      <c r="BI863" s="216"/>
      <c r="BJ863" s="216"/>
      <c r="BK863" s="216"/>
      <c r="BL863" s="216"/>
      <c r="BM863" s="216"/>
      <c r="BN863" s="216"/>
      <c r="BO863" s="216"/>
      <c r="BP863" s="216"/>
      <c r="BQ863" s="216"/>
      <c r="BR863" s="216"/>
      <c r="BS863" s="216"/>
      <c r="BT863" s="216"/>
      <c r="BU863" s="216"/>
      <c r="BV863" s="216"/>
      <c r="BW863" s="216"/>
      <c r="BX863" s="216"/>
      <c r="BY863" s="216"/>
      <c r="BZ863" s="216"/>
      <c r="CA863" s="216"/>
      <c r="CB863" s="216"/>
      <c r="CC863" s="216"/>
      <c r="CD863" s="216"/>
      <c r="CE863" s="216"/>
      <c r="CF863" s="216"/>
      <c r="CG863" s="216"/>
      <c r="CH863" s="216"/>
      <c r="CI863" s="216"/>
      <c r="CJ863" s="216"/>
      <c r="CK863" s="216"/>
      <c r="CL863" s="216"/>
      <c r="CM863" s="216"/>
      <c r="CN863" s="216"/>
      <c r="CO863" s="216"/>
      <c r="CP863" s="216"/>
      <c r="CQ863" s="216"/>
      <c r="CR863" s="216"/>
      <c r="CS863" s="216"/>
      <c r="CT863" s="216"/>
      <c r="CU863" s="216"/>
      <c r="CV863" s="216"/>
      <c r="CW863" s="216"/>
      <c r="CX863" s="216"/>
      <c r="CY863" s="216"/>
    </row>
    <row r="864" spans="1:103" ht="12.75" x14ac:dyDescent="0.2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214"/>
      <c r="L864" s="214"/>
      <c r="M864" s="214"/>
      <c r="N864" s="215"/>
      <c r="O864" s="215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  <c r="AM864" s="216"/>
      <c r="AN864" s="216"/>
      <c r="AO864" s="216"/>
      <c r="AP864" s="216"/>
      <c r="AQ864" s="216"/>
      <c r="AR864" s="216"/>
      <c r="AS864" s="216"/>
      <c r="AT864" s="216"/>
      <c r="AU864" s="216"/>
      <c r="AV864" s="216"/>
      <c r="AW864" s="216"/>
      <c r="AX864" s="216"/>
      <c r="AY864" s="216"/>
      <c r="AZ864" s="216"/>
      <c r="BA864" s="216"/>
      <c r="BB864" s="216"/>
      <c r="BC864" s="216"/>
      <c r="BD864" s="216"/>
      <c r="BE864" s="216"/>
      <c r="BF864" s="216"/>
      <c r="BG864" s="216"/>
      <c r="BH864" s="216"/>
      <c r="BI864" s="216"/>
      <c r="BJ864" s="216"/>
      <c r="BK864" s="216"/>
      <c r="BL864" s="216"/>
      <c r="BM864" s="216"/>
      <c r="BN864" s="216"/>
      <c r="BO864" s="216"/>
      <c r="BP864" s="216"/>
      <c r="BQ864" s="216"/>
      <c r="BR864" s="216"/>
      <c r="BS864" s="216"/>
      <c r="BT864" s="216"/>
      <c r="BU864" s="216"/>
      <c r="BV864" s="216"/>
      <c r="BW864" s="216"/>
      <c r="BX864" s="216"/>
      <c r="BY864" s="216"/>
      <c r="BZ864" s="216"/>
      <c r="CA864" s="216"/>
      <c r="CB864" s="216"/>
      <c r="CC864" s="216"/>
      <c r="CD864" s="216"/>
      <c r="CE864" s="216"/>
      <c r="CF864" s="216"/>
      <c r="CG864" s="216"/>
      <c r="CH864" s="216"/>
      <c r="CI864" s="216"/>
      <c r="CJ864" s="216"/>
      <c r="CK864" s="216"/>
      <c r="CL864" s="216"/>
      <c r="CM864" s="216"/>
      <c r="CN864" s="216"/>
      <c r="CO864" s="216"/>
      <c r="CP864" s="216"/>
      <c r="CQ864" s="216"/>
      <c r="CR864" s="216"/>
      <c r="CS864" s="216"/>
      <c r="CT864" s="216"/>
      <c r="CU864" s="216"/>
      <c r="CV864" s="216"/>
      <c r="CW864" s="216"/>
      <c r="CX864" s="216"/>
      <c r="CY864" s="216"/>
    </row>
    <row r="865" spans="1:103" ht="12.75" x14ac:dyDescent="0.2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214"/>
      <c r="L865" s="214"/>
      <c r="M865" s="214"/>
      <c r="N865" s="215"/>
      <c r="O865" s="215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  <c r="AM865" s="216"/>
      <c r="AN865" s="216"/>
      <c r="AO865" s="216"/>
      <c r="AP865" s="216"/>
      <c r="AQ865" s="216"/>
      <c r="AR865" s="216"/>
      <c r="AS865" s="216"/>
      <c r="AT865" s="216"/>
      <c r="AU865" s="216"/>
      <c r="AV865" s="216"/>
      <c r="AW865" s="216"/>
      <c r="AX865" s="216"/>
      <c r="AY865" s="216"/>
      <c r="AZ865" s="216"/>
      <c r="BA865" s="216"/>
      <c r="BB865" s="216"/>
      <c r="BC865" s="216"/>
      <c r="BD865" s="216"/>
      <c r="BE865" s="216"/>
      <c r="BF865" s="216"/>
      <c r="BG865" s="216"/>
      <c r="BH865" s="216"/>
      <c r="BI865" s="216"/>
      <c r="BJ865" s="216"/>
      <c r="BK865" s="216"/>
      <c r="BL865" s="216"/>
      <c r="BM865" s="216"/>
      <c r="BN865" s="216"/>
      <c r="BO865" s="216"/>
      <c r="BP865" s="216"/>
      <c r="BQ865" s="216"/>
      <c r="BR865" s="216"/>
      <c r="BS865" s="216"/>
      <c r="BT865" s="216"/>
      <c r="BU865" s="216"/>
      <c r="BV865" s="216"/>
      <c r="BW865" s="216"/>
      <c r="BX865" s="216"/>
      <c r="BY865" s="216"/>
      <c r="BZ865" s="216"/>
      <c r="CA865" s="216"/>
      <c r="CB865" s="216"/>
      <c r="CC865" s="216"/>
      <c r="CD865" s="216"/>
      <c r="CE865" s="216"/>
      <c r="CF865" s="216"/>
      <c r="CG865" s="216"/>
      <c r="CH865" s="216"/>
      <c r="CI865" s="216"/>
      <c r="CJ865" s="216"/>
      <c r="CK865" s="216"/>
      <c r="CL865" s="216"/>
      <c r="CM865" s="216"/>
      <c r="CN865" s="216"/>
      <c r="CO865" s="216"/>
      <c r="CP865" s="216"/>
      <c r="CQ865" s="216"/>
      <c r="CR865" s="216"/>
      <c r="CS865" s="216"/>
      <c r="CT865" s="216"/>
      <c r="CU865" s="216"/>
      <c r="CV865" s="216"/>
      <c r="CW865" s="216"/>
      <c r="CX865" s="216"/>
      <c r="CY865" s="216"/>
    </row>
    <row r="866" spans="1:103" ht="12.75" x14ac:dyDescent="0.2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214"/>
      <c r="L866" s="214"/>
      <c r="M866" s="214"/>
      <c r="N866" s="215"/>
      <c r="O866" s="215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  <c r="AM866" s="216"/>
      <c r="AN866" s="216"/>
      <c r="AO866" s="216"/>
      <c r="AP866" s="216"/>
      <c r="AQ866" s="216"/>
      <c r="AR866" s="216"/>
      <c r="AS866" s="216"/>
      <c r="AT866" s="216"/>
      <c r="AU866" s="216"/>
      <c r="AV866" s="216"/>
      <c r="AW866" s="216"/>
      <c r="AX866" s="216"/>
      <c r="AY866" s="216"/>
      <c r="AZ866" s="216"/>
      <c r="BA866" s="216"/>
      <c r="BB866" s="216"/>
      <c r="BC866" s="216"/>
      <c r="BD866" s="216"/>
      <c r="BE866" s="216"/>
      <c r="BF866" s="216"/>
      <c r="BG866" s="216"/>
      <c r="BH866" s="216"/>
      <c r="BI866" s="216"/>
      <c r="BJ866" s="216"/>
      <c r="BK866" s="216"/>
      <c r="BL866" s="216"/>
      <c r="BM866" s="216"/>
      <c r="BN866" s="216"/>
      <c r="BO866" s="216"/>
      <c r="BP866" s="216"/>
      <c r="BQ866" s="216"/>
      <c r="BR866" s="216"/>
      <c r="BS866" s="216"/>
      <c r="BT866" s="216"/>
      <c r="BU866" s="216"/>
      <c r="BV866" s="216"/>
      <c r="BW866" s="216"/>
      <c r="BX866" s="216"/>
      <c r="BY866" s="216"/>
      <c r="BZ866" s="216"/>
      <c r="CA866" s="216"/>
      <c r="CB866" s="216"/>
      <c r="CC866" s="216"/>
      <c r="CD866" s="216"/>
      <c r="CE866" s="216"/>
      <c r="CF866" s="216"/>
      <c r="CG866" s="216"/>
      <c r="CH866" s="216"/>
      <c r="CI866" s="216"/>
      <c r="CJ866" s="216"/>
      <c r="CK866" s="216"/>
      <c r="CL866" s="216"/>
      <c r="CM866" s="216"/>
      <c r="CN866" s="216"/>
      <c r="CO866" s="216"/>
      <c r="CP866" s="216"/>
      <c r="CQ866" s="216"/>
      <c r="CR866" s="216"/>
      <c r="CS866" s="216"/>
      <c r="CT866" s="216"/>
      <c r="CU866" s="216"/>
      <c r="CV866" s="216"/>
      <c r="CW866" s="216"/>
      <c r="CX866" s="216"/>
      <c r="CY866" s="216"/>
    </row>
    <row r="867" spans="1:103" ht="12.75" x14ac:dyDescent="0.2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214"/>
      <c r="L867" s="214"/>
      <c r="M867" s="214"/>
      <c r="N867" s="215"/>
      <c r="O867" s="215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16"/>
      <c r="AN867" s="216"/>
      <c r="AO867" s="216"/>
      <c r="AP867" s="216"/>
      <c r="AQ867" s="216"/>
      <c r="AR867" s="216"/>
      <c r="AS867" s="216"/>
      <c r="AT867" s="216"/>
      <c r="AU867" s="216"/>
      <c r="AV867" s="216"/>
      <c r="AW867" s="216"/>
      <c r="AX867" s="216"/>
      <c r="AY867" s="216"/>
      <c r="AZ867" s="216"/>
      <c r="BA867" s="216"/>
      <c r="BB867" s="216"/>
      <c r="BC867" s="216"/>
      <c r="BD867" s="216"/>
      <c r="BE867" s="216"/>
      <c r="BF867" s="216"/>
      <c r="BG867" s="216"/>
      <c r="BH867" s="216"/>
      <c r="BI867" s="216"/>
      <c r="BJ867" s="216"/>
      <c r="BK867" s="216"/>
      <c r="BL867" s="216"/>
      <c r="BM867" s="216"/>
      <c r="BN867" s="216"/>
      <c r="BO867" s="216"/>
      <c r="BP867" s="216"/>
      <c r="BQ867" s="216"/>
      <c r="BR867" s="216"/>
      <c r="BS867" s="216"/>
      <c r="BT867" s="216"/>
      <c r="BU867" s="216"/>
      <c r="BV867" s="216"/>
      <c r="BW867" s="216"/>
      <c r="BX867" s="216"/>
      <c r="BY867" s="216"/>
      <c r="BZ867" s="216"/>
      <c r="CA867" s="216"/>
      <c r="CB867" s="216"/>
      <c r="CC867" s="216"/>
      <c r="CD867" s="216"/>
      <c r="CE867" s="216"/>
      <c r="CF867" s="216"/>
      <c r="CG867" s="216"/>
      <c r="CH867" s="216"/>
      <c r="CI867" s="216"/>
      <c r="CJ867" s="216"/>
      <c r="CK867" s="216"/>
      <c r="CL867" s="216"/>
      <c r="CM867" s="216"/>
      <c r="CN867" s="216"/>
      <c r="CO867" s="216"/>
      <c r="CP867" s="216"/>
      <c r="CQ867" s="216"/>
      <c r="CR867" s="216"/>
      <c r="CS867" s="216"/>
      <c r="CT867" s="216"/>
      <c r="CU867" s="216"/>
      <c r="CV867" s="216"/>
      <c r="CW867" s="216"/>
      <c r="CX867" s="216"/>
      <c r="CY867" s="216"/>
    </row>
    <row r="868" spans="1:103" ht="12.75" x14ac:dyDescent="0.2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214"/>
      <c r="L868" s="214"/>
      <c r="M868" s="214"/>
      <c r="N868" s="215"/>
      <c r="O868" s="215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16"/>
      <c r="AN868" s="216"/>
      <c r="AO868" s="216"/>
      <c r="AP868" s="216"/>
      <c r="AQ868" s="216"/>
      <c r="AR868" s="216"/>
      <c r="AS868" s="216"/>
      <c r="AT868" s="216"/>
      <c r="AU868" s="216"/>
      <c r="AV868" s="216"/>
      <c r="AW868" s="216"/>
      <c r="AX868" s="216"/>
      <c r="AY868" s="216"/>
      <c r="AZ868" s="216"/>
      <c r="BA868" s="216"/>
      <c r="BB868" s="216"/>
      <c r="BC868" s="216"/>
      <c r="BD868" s="216"/>
      <c r="BE868" s="216"/>
      <c r="BF868" s="216"/>
      <c r="BG868" s="216"/>
      <c r="BH868" s="216"/>
      <c r="BI868" s="216"/>
      <c r="BJ868" s="216"/>
      <c r="BK868" s="216"/>
      <c r="BL868" s="216"/>
      <c r="BM868" s="216"/>
      <c r="BN868" s="216"/>
      <c r="BO868" s="216"/>
      <c r="BP868" s="216"/>
      <c r="BQ868" s="216"/>
      <c r="BR868" s="216"/>
      <c r="BS868" s="216"/>
      <c r="BT868" s="216"/>
      <c r="BU868" s="216"/>
      <c r="BV868" s="216"/>
      <c r="BW868" s="216"/>
      <c r="BX868" s="216"/>
      <c r="BY868" s="216"/>
      <c r="BZ868" s="216"/>
      <c r="CA868" s="216"/>
      <c r="CB868" s="216"/>
      <c r="CC868" s="216"/>
      <c r="CD868" s="216"/>
      <c r="CE868" s="216"/>
      <c r="CF868" s="216"/>
      <c r="CG868" s="216"/>
      <c r="CH868" s="216"/>
      <c r="CI868" s="216"/>
      <c r="CJ868" s="216"/>
      <c r="CK868" s="216"/>
      <c r="CL868" s="216"/>
      <c r="CM868" s="216"/>
      <c r="CN868" s="216"/>
      <c r="CO868" s="216"/>
      <c r="CP868" s="216"/>
      <c r="CQ868" s="216"/>
      <c r="CR868" s="216"/>
      <c r="CS868" s="216"/>
      <c r="CT868" s="216"/>
      <c r="CU868" s="216"/>
      <c r="CV868" s="216"/>
      <c r="CW868" s="216"/>
      <c r="CX868" s="216"/>
      <c r="CY868" s="216"/>
    </row>
    <row r="869" spans="1:103" ht="12.75" x14ac:dyDescent="0.2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214"/>
      <c r="L869" s="214"/>
      <c r="M869" s="214"/>
      <c r="N869" s="215"/>
      <c r="O869" s="215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16"/>
      <c r="AN869" s="216"/>
      <c r="AO869" s="216"/>
      <c r="AP869" s="216"/>
      <c r="AQ869" s="216"/>
      <c r="AR869" s="216"/>
      <c r="AS869" s="216"/>
      <c r="AT869" s="216"/>
      <c r="AU869" s="216"/>
      <c r="AV869" s="216"/>
      <c r="AW869" s="216"/>
      <c r="AX869" s="216"/>
      <c r="AY869" s="216"/>
      <c r="AZ869" s="216"/>
      <c r="BA869" s="216"/>
      <c r="BB869" s="216"/>
      <c r="BC869" s="216"/>
      <c r="BD869" s="216"/>
      <c r="BE869" s="216"/>
      <c r="BF869" s="216"/>
      <c r="BG869" s="216"/>
      <c r="BH869" s="216"/>
      <c r="BI869" s="216"/>
      <c r="BJ869" s="216"/>
      <c r="BK869" s="216"/>
      <c r="BL869" s="216"/>
      <c r="BM869" s="216"/>
      <c r="BN869" s="216"/>
      <c r="BO869" s="216"/>
      <c r="BP869" s="216"/>
      <c r="BQ869" s="216"/>
      <c r="BR869" s="216"/>
      <c r="BS869" s="216"/>
      <c r="BT869" s="216"/>
      <c r="BU869" s="216"/>
      <c r="BV869" s="216"/>
      <c r="BW869" s="216"/>
      <c r="BX869" s="216"/>
      <c r="BY869" s="216"/>
      <c r="BZ869" s="216"/>
      <c r="CA869" s="216"/>
      <c r="CB869" s="216"/>
      <c r="CC869" s="216"/>
      <c r="CD869" s="216"/>
      <c r="CE869" s="216"/>
      <c r="CF869" s="216"/>
      <c r="CG869" s="216"/>
      <c r="CH869" s="216"/>
      <c r="CI869" s="216"/>
      <c r="CJ869" s="216"/>
      <c r="CK869" s="216"/>
      <c r="CL869" s="216"/>
      <c r="CM869" s="216"/>
      <c r="CN869" s="216"/>
      <c r="CO869" s="216"/>
      <c r="CP869" s="216"/>
      <c r="CQ869" s="216"/>
      <c r="CR869" s="216"/>
      <c r="CS869" s="216"/>
      <c r="CT869" s="216"/>
      <c r="CU869" s="216"/>
      <c r="CV869" s="216"/>
      <c r="CW869" s="216"/>
      <c r="CX869" s="216"/>
      <c r="CY869" s="216"/>
    </row>
    <row r="870" spans="1:103" ht="12.75" x14ac:dyDescent="0.2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214"/>
      <c r="L870" s="214"/>
      <c r="M870" s="214"/>
      <c r="N870" s="215"/>
      <c r="O870" s="215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16"/>
      <c r="AN870" s="216"/>
      <c r="AO870" s="216"/>
      <c r="AP870" s="216"/>
      <c r="AQ870" s="216"/>
      <c r="AR870" s="216"/>
      <c r="AS870" s="216"/>
      <c r="AT870" s="216"/>
      <c r="AU870" s="216"/>
      <c r="AV870" s="216"/>
      <c r="AW870" s="216"/>
      <c r="AX870" s="216"/>
      <c r="AY870" s="216"/>
      <c r="AZ870" s="216"/>
      <c r="BA870" s="216"/>
      <c r="BB870" s="216"/>
      <c r="BC870" s="216"/>
      <c r="BD870" s="216"/>
      <c r="BE870" s="216"/>
      <c r="BF870" s="216"/>
      <c r="BG870" s="216"/>
      <c r="BH870" s="216"/>
      <c r="BI870" s="216"/>
      <c r="BJ870" s="216"/>
      <c r="BK870" s="216"/>
      <c r="BL870" s="216"/>
      <c r="BM870" s="216"/>
      <c r="BN870" s="216"/>
      <c r="BO870" s="216"/>
      <c r="BP870" s="216"/>
      <c r="BQ870" s="216"/>
      <c r="BR870" s="216"/>
      <c r="BS870" s="216"/>
      <c r="BT870" s="216"/>
      <c r="BU870" s="216"/>
      <c r="BV870" s="216"/>
      <c r="BW870" s="216"/>
      <c r="BX870" s="216"/>
      <c r="BY870" s="216"/>
      <c r="BZ870" s="216"/>
      <c r="CA870" s="216"/>
      <c r="CB870" s="216"/>
      <c r="CC870" s="216"/>
      <c r="CD870" s="216"/>
      <c r="CE870" s="216"/>
      <c r="CF870" s="216"/>
      <c r="CG870" s="216"/>
      <c r="CH870" s="216"/>
      <c r="CI870" s="216"/>
      <c r="CJ870" s="216"/>
      <c r="CK870" s="216"/>
      <c r="CL870" s="216"/>
      <c r="CM870" s="216"/>
      <c r="CN870" s="216"/>
      <c r="CO870" s="216"/>
      <c r="CP870" s="216"/>
      <c r="CQ870" s="216"/>
      <c r="CR870" s="216"/>
      <c r="CS870" s="216"/>
      <c r="CT870" s="216"/>
      <c r="CU870" s="216"/>
      <c r="CV870" s="216"/>
      <c r="CW870" s="216"/>
      <c r="CX870" s="216"/>
      <c r="CY870" s="216"/>
    </row>
    <row r="871" spans="1:103" ht="12.75" x14ac:dyDescent="0.2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214"/>
      <c r="L871" s="214"/>
      <c r="M871" s="214"/>
      <c r="N871" s="215"/>
      <c r="O871" s="215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16"/>
      <c r="AN871" s="216"/>
      <c r="AO871" s="216"/>
      <c r="AP871" s="216"/>
      <c r="AQ871" s="216"/>
      <c r="AR871" s="216"/>
      <c r="AS871" s="216"/>
      <c r="AT871" s="216"/>
      <c r="AU871" s="216"/>
      <c r="AV871" s="216"/>
      <c r="AW871" s="216"/>
      <c r="AX871" s="216"/>
      <c r="AY871" s="216"/>
      <c r="AZ871" s="216"/>
      <c r="BA871" s="216"/>
      <c r="BB871" s="216"/>
      <c r="BC871" s="216"/>
      <c r="BD871" s="216"/>
      <c r="BE871" s="216"/>
      <c r="BF871" s="216"/>
      <c r="BG871" s="216"/>
      <c r="BH871" s="216"/>
      <c r="BI871" s="216"/>
      <c r="BJ871" s="216"/>
      <c r="BK871" s="216"/>
      <c r="BL871" s="216"/>
      <c r="BM871" s="216"/>
      <c r="BN871" s="216"/>
      <c r="BO871" s="216"/>
      <c r="BP871" s="216"/>
      <c r="BQ871" s="216"/>
      <c r="BR871" s="216"/>
      <c r="BS871" s="216"/>
      <c r="BT871" s="216"/>
      <c r="BU871" s="216"/>
      <c r="BV871" s="216"/>
      <c r="BW871" s="216"/>
      <c r="BX871" s="216"/>
      <c r="BY871" s="216"/>
      <c r="BZ871" s="216"/>
      <c r="CA871" s="216"/>
      <c r="CB871" s="216"/>
      <c r="CC871" s="216"/>
      <c r="CD871" s="216"/>
      <c r="CE871" s="216"/>
      <c r="CF871" s="216"/>
      <c r="CG871" s="216"/>
      <c r="CH871" s="216"/>
      <c r="CI871" s="216"/>
      <c r="CJ871" s="216"/>
      <c r="CK871" s="216"/>
      <c r="CL871" s="216"/>
      <c r="CM871" s="216"/>
      <c r="CN871" s="216"/>
      <c r="CO871" s="216"/>
      <c r="CP871" s="216"/>
      <c r="CQ871" s="216"/>
      <c r="CR871" s="216"/>
      <c r="CS871" s="216"/>
      <c r="CT871" s="216"/>
      <c r="CU871" s="216"/>
      <c r="CV871" s="216"/>
      <c r="CW871" s="216"/>
      <c r="CX871" s="216"/>
      <c r="CY871" s="216"/>
    </row>
    <row r="872" spans="1:103" ht="12.75" x14ac:dyDescent="0.2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214"/>
      <c r="L872" s="214"/>
      <c r="M872" s="214"/>
      <c r="N872" s="215"/>
      <c r="O872" s="215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16"/>
      <c r="AN872" s="216"/>
      <c r="AO872" s="216"/>
      <c r="AP872" s="216"/>
      <c r="AQ872" s="216"/>
      <c r="AR872" s="216"/>
      <c r="AS872" s="216"/>
      <c r="AT872" s="216"/>
      <c r="AU872" s="216"/>
      <c r="AV872" s="216"/>
      <c r="AW872" s="216"/>
      <c r="AX872" s="216"/>
      <c r="AY872" s="216"/>
      <c r="AZ872" s="216"/>
      <c r="BA872" s="216"/>
      <c r="BB872" s="216"/>
      <c r="BC872" s="216"/>
      <c r="BD872" s="216"/>
      <c r="BE872" s="216"/>
      <c r="BF872" s="216"/>
      <c r="BG872" s="216"/>
      <c r="BH872" s="216"/>
      <c r="BI872" s="216"/>
      <c r="BJ872" s="216"/>
      <c r="BK872" s="216"/>
      <c r="BL872" s="216"/>
      <c r="BM872" s="216"/>
      <c r="BN872" s="216"/>
      <c r="BO872" s="216"/>
      <c r="BP872" s="216"/>
      <c r="BQ872" s="216"/>
      <c r="BR872" s="216"/>
      <c r="BS872" s="216"/>
      <c r="BT872" s="216"/>
      <c r="BU872" s="216"/>
      <c r="BV872" s="216"/>
      <c r="BW872" s="216"/>
      <c r="BX872" s="216"/>
      <c r="BY872" s="216"/>
      <c r="BZ872" s="216"/>
      <c r="CA872" s="216"/>
      <c r="CB872" s="216"/>
      <c r="CC872" s="216"/>
      <c r="CD872" s="216"/>
      <c r="CE872" s="216"/>
      <c r="CF872" s="216"/>
      <c r="CG872" s="216"/>
      <c r="CH872" s="216"/>
      <c r="CI872" s="216"/>
      <c r="CJ872" s="216"/>
      <c r="CK872" s="216"/>
      <c r="CL872" s="216"/>
      <c r="CM872" s="216"/>
      <c r="CN872" s="216"/>
      <c r="CO872" s="216"/>
      <c r="CP872" s="216"/>
      <c r="CQ872" s="216"/>
      <c r="CR872" s="216"/>
      <c r="CS872" s="216"/>
      <c r="CT872" s="216"/>
      <c r="CU872" s="216"/>
      <c r="CV872" s="216"/>
      <c r="CW872" s="216"/>
      <c r="CX872" s="216"/>
      <c r="CY872" s="216"/>
    </row>
    <row r="873" spans="1:103" ht="12.75" x14ac:dyDescent="0.2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214"/>
      <c r="L873" s="214"/>
      <c r="M873" s="214"/>
      <c r="N873" s="215"/>
      <c r="O873" s="215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16"/>
      <c r="AN873" s="216"/>
      <c r="AO873" s="216"/>
      <c r="AP873" s="216"/>
      <c r="AQ873" s="216"/>
      <c r="AR873" s="216"/>
      <c r="AS873" s="216"/>
      <c r="AT873" s="216"/>
      <c r="AU873" s="216"/>
      <c r="AV873" s="216"/>
      <c r="AW873" s="216"/>
      <c r="AX873" s="216"/>
      <c r="AY873" s="216"/>
      <c r="AZ873" s="216"/>
      <c r="BA873" s="216"/>
      <c r="BB873" s="216"/>
      <c r="BC873" s="216"/>
      <c r="BD873" s="216"/>
      <c r="BE873" s="216"/>
      <c r="BF873" s="216"/>
      <c r="BG873" s="216"/>
      <c r="BH873" s="216"/>
      <c r="BI873" s="216"/>
      <c r="BJ873" s="216"/>
      <c r="BK873" s="216"/>
      <c r="BL873" s="216"/>
      <c r="BM873" s="216"/>
      <c r="BN873" s="216"/>
      <c r="BO873" s="216"/>
      <c r="BP873" s="216"/>
      <c r="BQ873" s="216"/>
      <c r="BR873" s="216"/>
      <c r="BS873" s="216"/>
      <c r="BT873" s="216"/>
      <c r="BU873" s="216"/>
      <c r="BV873" s="216"/>
      <c r="BW873" s="216"/>
      <c r="BX873" s="216"/>
      <c r="BY873" s="216"/>
      <c r="BZ873" s="216"/>
      <c r="CA873" s="216"/>
      <c r="CB873" s="216"/>
      <c r="CC873" s="216"/>
      <c r="CD873" s="216"/>
      <c r="CE873" s="216"/>
      <c r="CF873" s="216"/>
      <c r="CG873" s="216"/>
      <c r="CH873" s="216"/>
      <c r="CI873" s="216"/>
      <c r="CJ873" s="216"/>
      <c r="CK873" s="216"/>
      <c r="CL873" s="216"/>
      <c r="CM873" s="216"/>
      <c r="CN873" s="216"/>
      <c r="CO873" s="216"/>
      <c r="CP873" s="216"/>
      <c r="CQ873" s="216"/>
      <c r="CR873" s="216"/>
      <c r="CS873" s="216"/>
      <c r="CT873" s="216"/>
      <c r="CU873" s="216"/>
      <c r="CV873" s="216"/>
      <c r="CW873" s="216"/>
      <c r="CX873" s="216"/>
      <c r="CY873" s="216"/>
    </row>
    <row r="874" spans="1:103" ht="12.75" x14ac:dyDescent="0.2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214"/>
      <c r="L874" s="214"/>
      <c r="M874" s="214"/>
      <c r="N874" s="215"/>
      <c r="O874" s="215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16"/>
      <c r="AN874" s="216"/>
      <c r="AO874" s="216"/>
      <c r="AP874" s="216"/>
      <c r="AQ874" s="216"/>
      <c r="AR874" s="216"/>
      <c r="AS874" s="216"/>
      <c r="AT874" s="216"/>
      <c r="AU874" s="216"/>
      <c r="AV874" s="216"/>
      <c r="AW874" s="216"/>
      <c r="AX874" s="216"/>
      <c r="AY874" s="216"/>
      <c r="AZ874" s="216"/>
      <c r="BA874" s="216"/>
      <c r="BB874" s="216"/>
      <c r="BC874" s="216"/>
      <c r="BD874" s="216"/>
      <c r="BE874" s="216"/>
      <c r="BF874" s="216"/>
      <c r="BG874" s="216"/>
      <c r="BH874" s="216"/>
      <c r="BI874" s="216"/>
      <c r="BJ874" s="216"/>
      <c r="BK874" s="216"/>
      <c r="BL874" s="216"/>
      <c r="BM874" s="216"/>
      <c r="BN874" s="216"/>
      <c r="BO874" s="216"/>
      <c r="BP874" s="216"/>
      <c r="BQ874" s="216"/>
      <c r="BR874" s="216"/>
      <c r="BS874" s="216"/>
      <c r="BT874" s="216"/>
      <c r="BU874" s="216"/>
      <c r="BV874" s="216"/>
      <c r="BW874" s="216"/>
      <c r="BX874" s="216"/>
      <c r="BY874" s="216"/>
      <c r="BZ874" s="216"/>
      <c r="CA874" s="216"/>
      <c r="CB874" s="216"/>
      <c r="CC874" s="216"/>
      <c r="CD874" s="216"/>
      <c r="CE874" s="216"/>
      <c r="CF874" s="216"/>
      <c r="CG874" s="216"/>
      <c r="CH874" s="216"/>
      <c r="CI874" s="216"/>
      <c r="CJ874" s="216"/>
      <c r="CK874" s="216"/>
      <c r="CL874" s="216"/>
      <c r="CM874" s="216"/>
      <c r="CN874" s="216"/>
      <c r="CO874" s="216"/>
      <c r="CP874" s="216"/>
      <c r="CQ874" s="216"/>
      <c r="CR874" s="216"/>
      <c r="CS874" s="216"/>
      <c r="CT874" s="216"/>
      <c r="CU874" s="216"/>
      <c r="CV874" s="216"/>
      <c r="CW874" s="216"/>
      <c r="CX874" s="216"/>
      <c r="CY874" s="216"/>
    </row>
    <row r="875" spans="1:103" ht="12.75" x14ac:dyDescent="0.2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214"/>
      <c r="L875" s="214"/>
      <c r="M875" s="214"/>
      <c r="N875" s="215"/>
      <c r="O875" s="215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16"/>
      <c r="AN875" s="216"/>
      <c r="AO875" s="216"/>
      <c r="AP875" s="216"/>
      <c r="AQ875" s="216"/>
      <c r="AR875" s="216"/>
      <c r="AS875" s="216"/>
      <c r="AT875" s="216"/>
      <c r="AU875" s="216"/>
      <c r="AV875" s="216"/>
      <c r="AW875" s="216"/>
      <c r="AX875" s="216"/>
      <c r="AY875" s="216"/>
      <c r="AZ875" s="216"/>
      <c r="BA875" s="216"/>
      <c r="BB875" s="216"/>
      <c r="BC875" s="216"/>
      <c r="BD875" s="216"/>
      <c r="BE875" s="216"/>
      <c r="BF875" s="216"/>
      <c r="BG875" s="216"/>
      <c r="BH875" s="216"/>
      <c r="BI875" s="216"/>
      <c r="BJ875" s="216"/>
      <c r="BK875" s="216"/>
      <c r="BL875" s="216"/>
      <c r="BM875" s="216"/>
      <c r="BN875" s="216"/>
      <c r="BO875" s="216"/>
      <c r="BP875" s="216"/>
      <c r="BQ875" s="216"/>
      <c r="BR875" s="216"/>
      <c r="BS875" s="216"/>
      <c r="BT875" s="216"/>
      <c r="BU875" s="216"/>
      <c r="BV875" s="216"/>
      <c r="BW875" s="216"/>
      <c r="BX875" s="216"/>
      <c r="BY875" s="216"/>
      <c r="BZ875" s="216"/>
      <c r="CA875" s="216"/>
      <c r="CB875" s="216"/>
      <c r="CC875" s="216"/>
      <c r="CD875" s="216"/>
      <c r="CE875" s="216"/>
      <c r="CF875" s="216"/>
      <c r="CG875" s="216"/>
      <c r="CH875" s="216"/>
      <c r="CI875" s="216"/>
      <c r="CJ875" s="216"/>
      <c r="CK875" s="216"/>
      <c r="CL875" s="216"/>
      <c r="CM875" s="216"/>
      <c r="CN875" s="216"/>
      <c r="CO875" s="216"/>
      <c r="CP875" s="216"/>
      <c r="CQ875" s="216"/>
      <c r="CR875" s="216"/>
      <c r="CS875" s="216"/>
      <c r="CT875" s="216"/>
      <c r="CU875" s="216"/>
      <c r="CV875" s="216"/>
      <c r="CW875" s="216"/>
      <c r="CX875" s="216"/>
      <c r="CY875" s="216"/>
    </row>
    <row r="876" spans="1:103" ht="12.75" x14ac:dyDescent="0.2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214"/>
      <c r="L876" s="214"/>
      <c r="M876" s="214"/>
      <c r="N876" s="215"/>
      <c r="O876" s="215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  <c r="AM876" s="216"/>
      <c r="AN876" s="216"/>
      <c r="AO876" s="216"/>
      <c r="AP876" s="216"/>
      <c r="AQ876" s="216"/>
      <c r="AR876" s="216"/>
      <c r="AS876" s="216"/>
      <c r="AT876" s="216"/>
      <c r="AU876" s="216"/>
      <c r="AV876" s="216"/>
      <c r="AW876" s="216"/>
      <c r="AX876" s="216"/>
      <c r="AY876" s="216"/>
      <c r="AZ876" s="216"/>
      <c r="BA876" s="216"/>
      <c r="BB876" s="216"/>
      <c r="BC876" s="216"/>
      <c r="BD876" s="216"/>
      <c r="BE876" s="216"/>
      <c r="BF876" s="216"/>
      <c r="BG876" s="216"/>
      <c r="BH876" s="216"/>
      <c r="BI876" s="216"/>
      <c r="BJ876" s="216"/>
      <c r="BK876" s="216"/>
      <c r="BL876" s="216"/>
      <c r="BM876" s="216"/>
      <c r="BN876" s="216"/>
      <c r="BO876" s="216"/>
      <c r="BP876" s="216"/>
      <c r="BQ876" s="216"/>
      <c r="BR876" s="216"/>
      <c r="BS876" s="216"/>
      <c r="BT876" s="216"/>
      <c r="BU876" s="216"/>
      <c r="BV876" s="216"/>
      <c r="BW876" s="216"/>
      <c r="BX876" s="216"/>
      <c r="BY876" s="216"/>
      <c r="BZ876" s="216"/>
      <c r="CA876" s="216"/>
      <c r="CB876" s="216"/>
      <c r="CC876" s="216"/>
      <c r="CD876" s="216"/>
      <c r="CE876" s="216"/>
      <c r="CF876" s="216"/>
      <c r="CG876" s="216"/>
      <c r="CH876" s="216"/>
      <c r="CI876" s="216"/>
      <c r="CJ876" s="216"/>
      <c r="CK876" s="216"/>
      <c r="CL876" s="216"/>
      <c r="CM876" s="216"/>
      <c r="CN876" s="216"/>
      <c r="CO876" s="216"/>
      <c r="CP876" s="216"/>
      <c r="CQ876" s="216"/>
      <c r="CR876" s="216"/>
      <c r="CS876" s="216"/>
      <c r="CT876" s="216"/>
      <c r="CU876" s="216"/>
      <c r="CV876" s="216"/>
      <c r="CW876" s="216"/>
      <c r="CX876" s="216"/>
      <c r="CY876" s="216"/>
    </row>
    <row r="877" spans="1:103" ht="12.75" x14ac:dyDescent="0.2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214"/>
      <c r="L877" s="214"/>
      <c r="M877" s="214"/>
      <c r="N877" s="215"/>
      <c r="O877" s="215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  <c r="AM877" s="216"/>
      <c r="AN877" s="216"/>
      <c r="AO877" s="216"/>
      <c r="AP877" s="216"/>
      <c r="AQ877" s="216"/>
      <c r="AR877" s="216"/>
      <c r="AS877" s="216"/>
      <c r="AT877" s="216"/>
      <c r="AU877" s="216"/>
      <c r="AV877" s="216"/>
      <c r="AW877" s="216"/>
      <c r="AX877" s="216"/>
      <c r="AY877" s="216"/>
      <c r="AZ877" s="216"/>
      <c r="BA877" s="216"/>
      <c r="BB877" s="216"/>
      <c r="BC877" s="216"/>
      <c r="BD877" s="216"/>
      <c r="BE877" s="216"/>
      <c r="BF877" s="216"/>
      <c r="BG877" s="216"/>
      <c r="BH877" s="216"/>
      <c r="BI877" s="216"/>
      <c r="BJ877" s="216"/>
      <c r="BK877" s="216"/>
      <c r="BL877" s="216"/>
      <c r="BM877" s="216"/>
      <c r="BN877" s="216"/>
      <c r="BO877" s="216"/>
      <c r="BP877" s="216"/>
      <c r="BQ877" s="216"/>
      <c r="BR877" s="216"/>
      <c r="BS877" s="216"/>
      <c r="BT877" s="216"/>
      <c r="BU877" s="216"/>
      <c r="BV877" s="216"/>
      <c r="BW877" s="216"/>
      <c r="BX877" s="216"/>
      <c r="BY877" s="216"/>
      <c r="BZ877" s="216"/>
      <c r="CA877" s="216"/>
      <c r="CB877" s="216"/>
      <c r="CC877" s="216"/>
      <c r="CD877" s="216"/>
      <c r="CE877" s="216"/>
      <c r="CF877" s="216"/>
      <c r="CG877" s="216"/>
      <c r="CH877" s="216"/>
      <c r="CI877" s="216"/>
      <c r="CJ877" s="216"/>
      <c r="CK877" s="216"/>
      <c r="CL877" s="216"/>
      <c r="CM877" s="216"/>
      <c r="CN877" s="216"/>
      <c r="CO877" s="216"/>
      <c r="CP877" s="216"/>
      <c r="CQ877" s="216"/>
      <c r="CR877" s="216"/>
      <c r="CS877" s="216"/>
      <c r="CT877" s="216"/>
      <c r="CU877" s="216"/>
      <c r="CV877" s="216"/>
      <c r="CW877" s="216"/>
      <c r="CX877" s="216"/>
      <c r="CY877" s="216"/>
    </row>
    <row r="878" spans="1:103" ht="12.75" x14ac:dyDescent="0.2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214"/>
      <c r="L878" s="214"/>
      <c r="M878" s="214"/>
      <c r="N878" s="215"/>
      <c r="O878" s="215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  <c r="AM878" s="216"/>
      <c r="AN878" s="216"/>
      <c r="AO878" s="216"/>
      <c r="AP878" s="216"/>
      <c r="AQ878" s="216"/>
      <c r="AR878" s="216"/>
      <c r="AS878" s="216"/>
      <c r="AT878" s="216"/>
      <c r="AU878" s="216"/>
      <c r="AV878" s="216"/>
      <c r="AW878" s="216"/>
      <c r="AX878" s="216"/>
      <c r="AY878" s="216"/>
      <c r="AZ878" s="216"/>
      <c r="BA878" s="216"/>
      <c r="BB878" s="216"/>
      <c r="BC878" s="216"/>
      <c r="BD878" s="216"/>
      <c r="BE878" s="216"/>
      <c r="BF878" s="216"/>
      <c r="BG878" s="216"/>
      <c r="BH878" s="216"/>
      <c r="BI878" s="216"/>
      <c r="BJ878" s="216"/>
      <c r="BK878" s="216"/>
      <c r="BL878" s="216"/>
      <c r="BM878" s="216"/>
      <c r="BN878" s="216"/>
      <c r="BO878" s="216"/>
      <c r="BP878" s="216"/>
      <c r="BQ878" s="216"/>
      <c r="BR878" s="216"/>
      <c r="BS878" s="216"/>
      <c r="BT878" s="216"/>
      <c r="BU878" s="216"/>
      <c r="BV878" s="216"/>
      <c r="BW878" s="216"/>
      <c r="BX878" s="216"/>
      <c r="BY878" s="216"/>
      <c r="BZ878" s="216"/>
      <c r="CA878" s="216"/>
      <c r="CB878" s="216"/>
      <c r="CC878" s="216"/>
      <c r="CD878" s="216"/>
      <c r="CE878" s="216"/>
      <c r="CF878" s="216"/>
      <c r="CG878" s="216"/>
      <c r="CH878" s="216"/>
      <c r="CI878" s="216"/>
      <c r="CJ878" s="216"/>
      <c r="CK878" s="216"/>
      <c r="CL878" s="216"/>
      <c r="CM878" s="216"/>
      <c r="CN878" s="216"/>
      <c r="CO878" s="216"/>
      <c r="CP878" s="216"/>
      <c r="CQ878" s="216"/>
      <c r="CR878" s="216"/>
      <c r="CS878" s="216"/>
      <c r="CT878" s="216"/>
      <c r="CU878" s="216"/>
      <c r="CV878" s="216"/>
      <c r="CW878" s="216"/>
      <c r="CX878" s="216"/>
      <c r="CY878" s="216"/>
    </row>
    <row r="879" spans="1:103" ht="12.75" x14ac:dyDescent="0.2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214"/>
      <c r="L879" s="214"/>
      <c r="M879" s="214"/>
      <c r="N879" s="215"/>
      <c r="O879" s="215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  <c r="AM879" s="216"/>
      <c r="AN879" s="216"/>
      <c r="AO879" s="216"/>
      <c r="AP879" s="216"/>
      <c r="AQ879" s="216"/>
      <c r="AR879" s="216"/>
      <c r="AS879" s="216"/>
      <c r="AT879" s="216"/>
      <c r="AU879" s="216"/>
      <c r="AV879" s="216"/>
      <c r="AW879" s="216"/>
      <c r="AX879" s="216"/>
      <c r="AY879" s="216"/>
      <c r="AZ879" s="216"/>
      <c r="BA879" s="216"/>
      <c r="BB879" s="216"/>
      <c r="BC879" s="216"/>
      <c r="BD879" s="216"/>
      <c r="BE879" s="216"/>
      <c r="BF879" s="216"/>
      <c r="BG879" s="216"/>
      <c r="BH879" s="216"/>
      <c r="BI879" s="216"/>
      <c r="BJ879" s="216"/>
      <c r="BK879" s="216"/>
      <c r="BL879" s="216"/>
      <c r="BM879" s="216"/>
      <c r="BN879" s="216"/>
      <c r="BO879" s="216"/>
      <c r="BP879" s="216"/>
      <c r="BQ879" s="216"/>
      <c r="BR879" s="216"/>
      <c r="BS879" s="216"/>
      <c r="BT879" s="216"/>
      <c r="BU879" s="216"/>
      <c r="BV879" s="216"/>
      <c r="BW879" s="216"/>
      <c r="BX879" s="216"/>
      <c r="BY879" s="216"/>
      <c r="BZ879" s="216"/>
      <c r="CA879" s="216"/>
      <c r="CB879" s="216"/>
      <c r="CC879" s="216"/>
      <c r="CD879" s="216"/>
      <c r="CE879" s="216"/>
      <c r="CF879" s="216"/>
      <c r="CG879" s="216"/>
      <c r="CH879" s="216"/>
      <c r="CI879" s="216"/>
      <c r="CJ879" s="216"/>
      <c r="CK879" s="216"/>
      <c r="CL879" s="216"/>
      <c r="CM879" s="216"/>
      <c r="CN879" s="216"/>
      <c r="CO879" s="216"/>
      <c r="CP879" s="216"/>
      <c r="CQ879" s="216"/>
      <c r="CR879" s="216"/>
      <c r="CS879" s="216"/>
      <c r="CT879" s="216"/>
      <c r="CU879" s="216"/>
      <c r="CV879" s="216"/>
      <c r="CW879" s="216"/>
      <c r="CX879" s="216"/>
      <c r="CY879" s="216"/>
    </row>
    <row r="880" spans="1:103" ht="12.75" x14ac:dyDescent="0.2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214"/>
      <c r="L880" s="214"/>
      <c r="M880" s="214"/>
      <c r="N880" s="215"/>
      <c r="O880" s="215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  <c r="AM880" s="216"/>
      <c r="AN880" s="216"/>
      <c r="AO880" s="216"/>
      <c r="AP880" s="216"/>
      <c r="AQ880" s="216"/>
      <c r="AR880" s="216"/>
      <c r="AS880" s="216"/>
      <c r="AT880" s="216"/>
      <c r="AU880" s="216"/>
      <c r="AV880" s="216"/>
      <c r="AW880" s="216"/>
      <c r="AX880" s="216"/>
      <c r="AY880" s="216"/>
      <c r="AZ880" s="216"/>
      <c r="BA880" s="216"/>
      <c r="BB880" s="216"/>
      <c r="BC880" s="216"/>
      <c r="BD880" s="216"/>
      <c r="BE880" s="216"/>
      <c r="BF880" s="216"/>
      <c r="BG880" s="216"/>
      <c r="BH880" s="216"/>
      <c r="BI880" s="216"/>
      <c r="BJ880" s="216"/>
      <c r="BK880" s="216"/>
      <c r="BL880" s="216"/>
      <c r="BM880" s="216"/>
      <c r="BN880" s="216"/>
      <c r="BO880" s="216"/>
      <c r="BP880" s="216"/>
      <c r="BQ880" s="216"/>
      <c r="BR880" s="216"/>
      <c r="BS880" s="216"/>
      <c r="BT880" s="216"/>
      <c r="BU880" s="216"/>
      <c r="BV880" s="216"/>
      <c r="BW880" s="216"/>
      <c r="BX880" s="216"/>
      <c r="BY880" s="216"/>
      <c r="BZ880" s="216"/>
      <c r="CA880" s="216"/>
      <c r="CB880" s="216"/>
      <c r="CC880" s="216"/>
      <c r="CD880" s="216"/>
      <c r="CE880" s="216"/>
      <c r="CF880" s="216"/>
      <c r="CG880" s="216"/>
      <c r="CH880" s="216"/>
      <c r="CI880" s="216"/>
      <c r="CJ880" s="216"/>
      <c r="CK880" s="216"/>
      <c r="CL880" s="216"/>
      <c r="CM880" s="216"/>
      <c r="CN880" s="216"/>
      <c r="CO880" s="216"/>
      <c r="CP880" s="216"/>
      <c r="CQ880" s="216"/>
      <c r="CR880" s="216"/>
      <c r="CS880" s="216"/>
      <c r="CT880" s="216"/>
      <c r="CU880" s="216"/>
      <c r="CV880" s="216"/>
      <c r="CW880" s="216"/>
      <c r="CX880" s="216"/>
      <c r="CY880" s="216"/>
    </row>
    <row r="881" spans="1:103" ht="12.75" x14ac:dyDescent="0.2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214"/>
      <c r="L881" s="214"/>
      <c r="M881" s="214"/>
      <c r="N881" s="215"/>
      <c r="O881" s="215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  <c r="AM881" s="216"/>
      <c r="AN881" s="216"/>
      <c r="AO881" s="216"/>
      <c r="AP881" s="216"/>
      <c r="AQ881" s="216"/>
      <c r="AR881" s="216"/>
      <c r="AS881" s="216"/>
      <c r="AT881" s="216"/>
      <c r="AU881" s="216"/>
      <c r="AV881" s="216"/>
      <c r="AW881" s="216"/>
      <c r="AX881" s="216"/>
      <c r="AY881" s="216"/>
      <c r="AZ881" s="216"/>
      <c r="BA881" s="216"/>
      <c r="BB881" s="216"/>
      <c r="BC881" s="216"/>
      <c r="BD881" s="216"/>
      <c r="BE881" s="216"/>
      <c r="BF881" s="216"/>
      <c r="BG881" s="216"/>
      <c r="BH881" s="216"/>
      <c r="BI881" s="216"/>
      <c r="BJ881" s="216"/>
      <c r="BK881" s="216"/>
      <c r="BL881" s="216"/>
      <c r="BM881" s="216"/>
      <c r="BN881" s="216"/>
      <c r="BO881" s="216"/>
      <c r="BP881" s="216"/>
      <c r="BQ881" s="216"/>
      <c r="BR881" s="216"/>
      <c r="BS881" s="216"/>
      <c r="BT881" s="216"/>
      <c r="BU881" s="216"/>
      <c r="BV881" s="216"/>
      <c r="BW881" s="216"/>
      <c r="BX881" s="216"/>
      <c r="BY881" s="216"/>
      <c r="BZ881" s="216"/>
      <c r="CA881" s="216"/>
      <c r="CB881" s="216"/>
      <c r="CC881" s="216"/>
      <c r="CD881" s="216"/>
      <c r="CE881" s="216"/>
      <c r="CF881" s="216"/>
      <c r="CG881" s="216"/>
      <c r="CH881" s="216"/>
      <c r="CI881" s="216"/>
      <c r="CJ881" s="216"/>
      <c r="CK881" s="216"/>
      <c r="CL881" s="216"/>
      <c r="CM881" s="216"/>
      <c r="CN881" s="216"/>
      <c r="CO881" s="216"/>
      <c r="CP881" s="216"/>
      <c r="CQ881" s="216"/>
      <c r="CR881" s="216"/>
      <c r="CS881" s="216"/>
      <c r="CT881" s="216"/>
      <c r="CU881" s="216"/>
      <c r="CV881" s="216"/>
      <c r="CW881" s="216"/>
      <c r="CX881" s="216"/>
      <c r="CY881" s="216"/>
    </row>
    <row r="882" spans="1:103" ht="12.75" x14ac:dyDescent="0.2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214"/>
      <c r="L882" s="214"/>
      <c r="M882" s="214"/>
      <c r="N882" s="215"/>
      <c r="O882" s="215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  <c r="AM882" s="216"/>
      <c r="AN882" s="216"/>
      <c r="AO882" s="216"/>
      <c r="AP882" s="216"/>
      <c r="AQ882" s="216"/>
      <c r="AR882" s="216"/>
      <c r="AS882" s="216"/>
      <c r="AT882" s="216"/>
      <c r="AU882" s="216"/>
      <c r="AV882" s="216"/>
      <c r="AW882" s="216"/>
      <c r="AX882" s="216"/>
      <c r="AY882" s="216"/>
      <c r="AZ882" s="216"/>
      <c r="BA882" s="216"/>
      <c r="BB882" s="216"/>
      <c r="BC882" s="216"/>
      <c r="BD882" s="216"/>
      <c r="BE882" s="216"/>
      <c r="BF882" s="216"/>
      <c r="BG882" s="216"/>
      <c r="BH882" s="216"/>
      <c r="BI882" s="216"/>
      <c r="BJ882" s="216"/>
      <c r="BK882" s="216"/>
      <c r="BL882" s="216"/>
      <c r="BM882" s="216"/>
      <c r="BN882" s="216"/>
      <c r="BO882" s="216"/>
      <c r="BP882" s="216"/>
      <c r="BQ882" s="216"/>
      <c r="BR882" s="216"/>
      <c r="BS882" s="216"/>
      <c r="BT882" s="216"/>
      <c r="BU882" s="216"/>
      <c r="BV882" s="216"/>
      <c r="BW882" s="216"/>
      <c r="BX882" s="216"/>
      <c r="BY882" s="216"/>
      <c r="BZ882" s="216"/>
      <c r="CA882" s="216"/>
      <c r="CB882" s="216"/>
      <c r="CC882" s="216"/>
      <c r="CD882" s="216"/>
      <c r="CE882" s="216"/>
      <c r="CF882" s="216"/>
      <c r="CG882" s="216"/>
      <c r="CH882" s="216"/>
      <c r="CI882" s="216"/>
      <c r="CJ882" s="216"/>
      <c r="CK882" s="216"/>
      <c r="CL882" s="216"/>
      <c r="CM882" s="216"/>
      <c r="CN882" s="216"/>
      <c r="CO882" s="216"/>
      <c r="CP882" s="216"/>
      <c r="CQ882" s="216"/>
      <c r="CR882" s="216"/>
      <c r="CS882" s="216"/>
      <c r="CT882" s="216"/>
      <c r="CU882" s="216"/>
      <c r="CV882" s="216"/>
      <c r="CW882" s="216"/>
      <c r="CX882" s="216"/>
      <c r="CY882" s="216"/>
    </row>
    <row r="883" spans="1:103" ht="12.75" x14ac:dyDescent="0.2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214"/>
      <c r="L883" s="214"/>
      <c r="M883" s="214"/>
      <c r="N883" s="215"/>
      <c r="O883" s="215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  <c r="AM883" s="216"/>
      <c r="AN883" s="216"/>
      <c r="AO883" s="216"/>
      <c r="AP883" s="216"/>
      <c r="AQ883" s="216"/>
      <c r="AR883" s="216"/>
      <c r="AS883" s="216"/>
      <c r="AT883" s="216"/>
      <c r="AU883" s="216"/>
      <c r="AV883" s="216"/>
      <c r="AW883" s="216"/>
      <c r="AX883" s="216"/>
      <c r="AY883" s="216"/>
      <c r="AZ883" s="216"/>
      <c r="BA883" s="216"/>
      <c r="BB883" s="216"/>
      <c r="BC883" s="216"/>
      <c r="BD883" s="216"/>
      <c r="BE883" s="216"/>
      <c r="BF883" s="216"/>
      <c r="BG883" s="216"/>
      <c r="BH883" s="216"/>
      <c r="BI883" s="216"/>
      <c r="BJ883" s="216"/>
      <c r="BK883" s="216"/>
      <c r="BL883" s="216"/>
      <c r="BM883" s="216"/>
      <c r="BN883" s="216"/>
      <c r="BO883" s="216"/>
      <c r="BP883" s="216"/>
      <c r="BQ883" s="216"/>
      <c r="BR883" s="216"/>
      <c r="BS883" s="216"/>
      <c r="BT883" s="216"/>
      <c r="BU883" s="216"/>
      <c r="BV883" s="216"/>
      <c r="BW883" s="216"/>
      <c r="BX883" s="216"/>
      <c r="BY883" s="216"/>
      <c r="BZ883" s="216"/>
      <c r="CA883" s="216"/>
      <c r="CB883" s="216"/>
      <c r="CC883" s="216"/>
      <c r="CD883" s="216"/>
      <c r="CE883" s="216"/>
      <c r="CF883" s="216"/>
      <c r="CG883" s="216"/>
      <c r="CH883" s="216"/>
      <c r="CI883" s="216"/>
      <c r="CJ883" s="216"/>
      <c r="CK883" s="216"/>
      <c r="CL883" s="216"/>
      <c r="CM883" s="216"/>
      <c r="CN883" s="216"/>
      <c r="CO883" s="216"/>
      <c r="CP883" s="216"/>
      <c r="CQ883" s="216"/>
      <c r="CR883" s="216"/>
      <c r="CS883" s="216"/>
      <c r="CT883" s="216"/>
      <c r="CU883" s="216"/>
      <c r="CV883" s="216"/>
      <c r="CW883" s="216"/>
      <c r="CX883" s="216"/>
      <c r="CY883" s="216"/>
    </row>
    <row r="884" spans="1:103" ht="12.75" x14ac:dyDescent="0.2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214"/>
      <c r="L884" s="214"/>
      <c r="M884" s="214"/>
      <c r="N884" s="215"/>
      <c r="O884" s="215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  <c r="AM884" s="216"/>
      <c r="AN884" s="216"/>
      <c r="AO884" s="216"/>
      <c r="AP884" s="216"/>
      <c r="AQ884" s="216"/>
      <c r="AR884" s="216"/>
      <c r="AS884" s="216"/>
      <c r="AT884" s="216"/>
      <c r="AU884" s="216"/>
      <c r="AV884" s="216"/>
      <c r="AW884" s="216"/>
      <c r="AX884" s="216"/>
      <c r="AY884" s="216"/>
      <c r="AZ884" s="216"/>
      <c r="BA884" s="216"/>
      <c r="BB884" s="216"/>
      <c r="BC884" s="216"/>
      <c r="BD884" s="216"/>
      <c r="BE884" s="216"/>
      <c r="BF884" s="216"/>
      <c r="BG884" s="216"/>
      <c r="BH884" s="216"/>
      <c r="BI884" s="216"/>
      <c r="BJ884" s="216"/>
      <c r="BK884" s="216"/>
      <c r="BL884" s="216"/>
      <c r="BM884" s="216"/>
      <c r="BN884" s="216"/>
      <c r="BO884" s="216"/>
      <c r="BP884" s="216"/>
      <c r="BQ884" s="216"/>
      <c r="BR884" s="216"/>
      <c r="BS884" s="216"/>
      <c r="BT884" s="216"/>
      <c r="BU884" s="216"/>
      <c r="BV884" s="216"/>
      <c r="BW884" s="216"/>
      <c r="BX884" s="216"/>
      <c r="BY884" s="216"/>
      <c r="BZ884" s="216"/>
      <c r="CA884" s="216"/>
      <c r="CB884" s="216"/>
      <c r="CC884" s="216"/>
      <c r="CD884" s="216"/>
      <c r="CE884" s="216"/>
      <c r="CF884" s="216"/>
      <c r="CG884" s="216"/>
      <c r="CH884" s="216"/>
      <c r="CI884" s="216"/>
      <c r="CJ884" s="216"/>
      <c r="CK884" s="216"/>
      <c r="CL884" s="216"/>
      <c r="CM884" s="216"/>
      <c r="CN884" s="216"/>
      <c r="CO884" s="216"/>
      <c r="CP884" s="216"/>
      <c r="CQ884" s="216"/>
      <c r="CR884" s="216"/>
      <c r="CS884" s="216"/>
      <c r="CT884" s="216"/>
      <c r="CU884" s="216"/>
      <c r="CV884" s="216"/>
      <c r="CW884" s="216"/>
      <c r="CX884" s="216"/>
      <c r="CY884" s="216"/>
    </row>
    <row r="885" spans="1:103" ht="12.75" x14ac:dyDescent="0.2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214"/>
      <c r="L885" s="214"/>
      <c r="M885" s="214"/>
      <c r="N885" s="215"/>
      <c r="O885" s="215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  <c r="AM885" s="216"/>
      <c r="AN885" s="216"/>
      <c r="AO885" s="216"/>
      <c r="AP885" s="216"/>
      <c r="AQ885" s="216"/>
      <c r="AR885" s="216"/>
      <c r="AS885" s="216"/>
      <c r="AT885" s="216"/>
      <c r="AU885" s="216"/>
      <c r="AV885" s="216"/>
      <c r="AW885" s="216"/>
      <c r="AX885" s="216"/>
      <c r="AY885" s="216"/>
      <c r="AZ885" s="216"/>
      <c r="BA885" s="216"/>
      <c r="BB885" s="216"/>
      <c r="BC885" s="216"/>
      <c r="BD885" s="216"/>
      <c r="BE885" s="216"/>
      <c r="BF885" s="216"/>
      <c r="BG885" s="216"/>
      <c r="BH885" s="216"/>
      <c r="BI885" s="216"/>
      <c r="BJ885" s="216"/>
      <c r="BK885" s="216"/>
      <c r="BL885" s="216"/>
      <c r="BM885" s="216"/>
      <c r="BN885" s="216"/>
      <c r="BO885" s="216"/>
      <c r="BP885" s="216"/>
      <c r="BQ885" s="216"/>
      <c r="BR885" s="216"/>
      <c r="BS885" s="216"/>
      <c r="BT885" s="216"/>
      <c r="BU885" s="216"/>
      <c r="BV885" s="216"/>
      <c r="BW885" s="216"/>
      <c r="BX885" s="216"/>
      <c r="BY885" s="216"/>
      <c r="BZ885" s="216"/>
      <c r="CA885" s="216"/>
      <c r="CB885" s="216"/>
      <c r="CC885" s="216"/>
      <c r="CD885" s="216"/>
      <c r="CE885" s="216"/>
      <c r="CF885" s="216"/>
      <c r="CG885" s="216"/>
      <c r="CH885" s="216"/>
      <c r="CI885" s="216"/>
      <c r="CJ885" s="216"/>
      <c r="CK885" s="216"/>
      <c r="CL885" s="216"/>
      <c r="CM885" s="216"/>
      <c r="CN885" s="216"/>
      <c r="CO885" s="216"/>
      <c r="CP885" s="216"/>
      <c r="CQ885" s="216"/>
      <c r="CR885" s="216"/>
      <c r="CS885" s="216"/>
      <c r="CT885" s="216"/>
      <c r="CU885" s="216"/>
      <c r="CV885" s="216"/>
      <c r="CW885" s="216"/>
      <c r="CX885" s="216"/>
      <c r="CY885" s="216"/>
    </row>
    <row r="886" spans="1:103" ht="12.75" x14ac:dyDescent="0.2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214"/>
      <c r="L886" s="214"/>
      <c r="M886" s="214"/>
      <c r="N886" s="215"/>
      <c r="O886" s="215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  <c r="AM886" s="216"/>
      <c r="AN886" s="216"/>
      <c r="AO886" s="216"/>
      <c r="AP886" s="216"/>
      <c r="AQ886" s="216"/>
      <c r="AR886" s="216"/>
      <c r="AS886" s="216"/>
      <c r="AT886" s="216"/>
      <c r="AU886" s="216"/>
      <c r="AV886" s="216"/>
      <c r="AW886" s="216"/>
      <c r="AX886" s="216"/>
      <c r="AY886" s="216"/>
      <c r="AZ886" s="216"/>
      <c r="BA886" s="216"/>
      <c r="BB886" s="216"/>
      <c r="BC886" s="216"/>
      <c r="BD886" s="216"/>
      <c r="BE886" s="216"/>
      <c r="BF886" s="216"/>
      <c r="BG886" s="216"/>
      <c r="BH886" s="216"/>
      <c r="BI886" s="216"/>
      <c r="BJ886" s="216"/>
      <c r="BK886" s="216"/>
      <c r="BL886" s="216"/>
      <c r="BM886" s="216"/>
      <c r="BN886" s="216"/>
      <c r="BO886" s="216"/>
      <c r="BP886" s="216"/>
      <c r="BQ886" s="216"/>
      <c r="BR886" s="216"/>
      <c r="BS886" s="216"/>
      <c r="BT886" s="216"/>
      <c r="BU886" s="216"/>
      <c r="BV886" s="216"/>
      <c r="BW886" s="216"/>
      <c r="BX886" s="216"/>
      <c r="BY886" s="216"/>
      <c r="BZ886" s="216"/>
      <c r="CA886" s="216"/>
      <c r="CB886" s="216"/>
      <c r="CC886" s="216"/>
      <c r="CD886" s="216"/>
      <c r="CE886" s="216"/>
      <c r="CF886" s="216"/>
      <c r="CG886" s="216"/>
      <c r="CH886" s="216"/>
      <c r="CI886" s="216"/>
      <c r="CJ886" s="216"/>
      <c r="CK886" s="216"/>
      <c r="CL886" s="216"/>
      <c r="CM886" s="216"/>
      <c r="CN886" s="216"/>
      <c r="CO886" s="216"/>
      <c r="CP886" s="216"/>
      <c r="CQ886" s="216"/>
      <c r="CR886" s="216"/>
      <c r="CS886" s="216"/>
      <c r="CT886" s="216"/>
      <c r="CU886" s="216"/>
      <c r="CV886" s="216"/>
      <c r="CW886" s="216"/>
      <c r="CX886" s="216"/>
      <c r="CY886" s="216"/>
    </row>
    <row r="887" spans="1:103" ht="12.75" x14ac:dyDescent="0.2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214"/>
      <c r="L887" s="214"/>
      <c r="M887" s="214"/>
      <c r="N887" s="215"/>
      <c r="O887" s="215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  <c r="AM887" s="216"/>
      <c r="AN887" s="216"/>
      <c r="AO887" s="216"/>
      <c r="AP887" s="216"/>
      <c r="AQ887" s="216"/>
      <c r="AR887" s="216"/>
      <c r="AS887" s="216"/>
      <c r="AT887" s="216"/>
      <c r="AU887" s="216"/>
      <c r="AV887" s="216"/>
      <c r="AW887" s="216"/>
      <c r="AX887" s="216"/>
      <c r="AY887" s="216"/>
      <c r="AZ887" s="216"/>
      <c r="BA887" s="216"/>
      <c r="BB887" s="216"/>
      <c r="BC887" s="216"/>
      <c r="BD887" s="216"/>
      <c r="BE887" s="216"/>
      <c r="BF887" s="216"/>
      <c r="BG887" s="216"/>
      <c r="BH887" s="216"/>
      <c r="BI887" s="216"/>
      <c r="BJ887" s="216"/>
      <c r="BK887" s="216"/>
      <c r="BL887" s="216"/>
      <c r="BM887" s="216"/>
      <c r="BN887" s="216"/>
      <c r="BO887" s="216"/>
      <c r="BP887" s="216"/>
      <c r="BQ887" s="216"/>
      <c r="BR887" s="216"/>
      <c r="BS887" s="216"/>
      <c r="BT887" s="216"/>
      <c r="BU887" s="216"/>
      <c r="BV887" s="216"/>
      <c r="BW887" s="216"/>
      <c r="BX887" s="216"/>
      <c r="BY887" s="216"/>
      <c r="BZ887" s="216"/>
      <c r="CA887" s="216"/>
      <c r="CB887" s="216"/>
      <c r="CC887" s="216"/>
      <c r="CD887" s="216"/>
      <c r="CE887" s="216"/>
      <c r="CF887" s="216"/>
      <c r="CG887" s="216"/>
      <c r="CH887" s="216"/>
      <c r="CI887" s="216"/>
      <c r="CJ887" s="216"/>
      <c r="CK887" s="216"/>
      <c r="CL887" s="216"/>
      <c r="CM887" s="216"/>
      <c r="CN887" s="216"/>
      <c r="CO887" s="216"/>
      <c r="CP887" s="216"/>
      <c r="CQ887" s="216"/>
      <c r="CR887" s="216"/>
      <c r="CS887" s="216"/>
      <c r="CT887" s="216"/>
      <c r="CU887" s="216"/>
      <c r="CV887" s="216"/>
      <c r="CW887" s="216"/>
      <c r="CX887" s="216"/>
      <c r="CY887" s="216"/>
    </row>
    <row r="888" spans="1:103" ht="12.75" x14ac:dyDescent="0.2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214"/>
      <c r="L888" s="214"/>
      <c r="M888" s="214"/>
      <c r="N888" s="215"/>
      <c r="O888" s="215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  <c r="AM888" s="216"/>
      <c r="AN888" s="216"/>
      <c r="AO888" s="216"/>
      <c r="AP888" s="216"/>
      <c r="AQ888" s="216"/>
      <c r="AR888" s="216"/>
      <c r="AS888" s="216"/>
      <c r="AT888" s="216"/>
      <c r="AU888" s="216"/>
      <c r="AV888" s="216"/>
      <c r="AW888" s="216"/>
      <c r="AX888" s="216"/>
      <c r="AY888" s="216"/>
      <c r="AZ888" s="216"/>
      <c r="BA888" s="216"/>
      <c r="BB888" s="216"/>
      <c r="BC888" s="216"/>
      <c r="BD888" s="216"/>
      <c r="BE888" s="216"/>
      <c r="BF888" s="216"/>
      <c r="BG888" s="216"/>
      <c r="BH888" s="216"/>
      <c r="BI888" s="216"/>
      <c r="BJ888" s="216"/>
      <c r="BK888" s="216"/>
      <c r="BL888" s="216"/>
      <c r="BM888" s="216"/>
      <c r="BN888" s="216"/>
      <c r="BO888" s="216"/>
      <c r="BP888" s="216"/>
      <c r="BQ888" s="216"/>
      <c r="BR888" s="216"/>
      <c r="BS888" s="216"/>
      <c r="BT888" s="216"/>
      <c r="BU888" s="216"/>
      <c r="BV888" s="216"/>
      <c r="BW888" s="216"/>
      <c r="BX888" s="216"/>
      <c r="BY888" s="216"/>
      <c r="BZ888" s="216"/>
      <c r="CA888" s="216"/>
      <c r="CB888" s="216"/>
      <c r="CC888" s="216"/>
      <c r="CD888" s="216"/>
      <c r="CE888" s="216"/>
      <c r="CF888" s="216"/>
      <c r="CG888" s="216"/>
      <c r="CH888" s="216"/>
      <c r="CI888" s="216"/>
      <c r="CJ888" s="216"/>
      <c r="CK888" s="216"/>
      <c r="CL888" s="216"/>
      <c r="CM888" s="216"/>
      <c r="CN888" s="216"/>
      <c r="CO888" s="216"/>
      <c r="CP888" s="216"/>
      <c r="CQ888" s="216"/>
      <c r="CR888" s="216"/>
      <c r="CS888" s="216"/>
      <c r="CT888" s="216"/>
      <c r="CU888" s="216"/>
      <c r="CV888" s="216"/>
      <c r="CW888" s="216"/>
      <c r="CX888" s="216"/>
      <c r="CY888" s="216"/>
    </row>
    <row r="889" spans="1:103" ht="12.75" x14ac:dyDescent="0.2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214"/>
      <c r="L889" s="214"/>
      <c r="M889" s="214"/>
      <c r="N889" s="215"/>
      <c r="O889" s="215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  <c r="AM889" s="216"/>
      <c r="AN889" s="216"/>
      <c r="AO889" s="216"/>
      <c r="AP889" s="216"/>
      <c r="AQ889" s="216"/>
      <c r="AR889" s="216"/>
      <c r="AS889" s="216"/>
      <c r="AT889" s="216"/>
      <c r="AU889" s="216"/>
      <c r="AV889" s="216"/>
      <c r="AW889" s="216"/>
      <c r="AX889" s="216"/>
      <c r="AY889" s="216"/>
      <c r="AZ889" s="216"/>
      <c r="BA889" s="216"/>
      <c r="BB889" s="216"/>
      <c r="BC889" s="216"/>
      <c r="BD889" s="216"/>
      <c r="BE889" s="216"/>
      <c r="BF889" s="216"/>
      <c r="BG889" s="216"/>
      <c r="BH889" s="216"/>
      <c r="BI889" s="216"/>
      <c r="BJ889" s="216"/>
      <c r="BK889" s="216"/>
      <c r="BL889" s="216"/>
      <c r="BM889" s="216"/>
      <c r="BN889" s="216"/>
      <c r="BO889" s="216"/>
      <c r="BP889" s="216"/>
      <c r="BQ889" s="216"/>
      <c r="BR889" s="216"/>
      <c r="BS889" s="216"/>
      <c r="BT889" s="216"/>
      <c r="BU889" s="216"/>
      <c r="BV889" s="216"/>
      <c r="BW889" s="216"/>
      <c r="BX889" s="216"/>
      <c r="BY889" s="216"/>
      <c r="BZ889" s="216"/>
      <c r="CA889" s="216"/>
      <c r="CB889" s="216"/>
      <c r="CC889" s="216"/>
      <c r="CD889" s="216"/>
      <c r="CE889" s="216"/>
      <c r="CF889" s="216"/>
      <c r="CG889" s="216"/>
      <c r="CH889" s="216"/>
      <c r="CI889" s="216"/>
      <c r="CJ889" s="216"/>
      <c r="CK889" s="216"/>
      <c r="CL889" s="216"/>
      <c r="CM889" s="216"/>
      <c r="CN889" s="216"/>
      <c r="CO889" s="216"/>
      <c r="CP889" s="216"/>
      <c r="CQ889" s="216"/>
      <c r="CR889" s="216"/>
      <c r="CS889" s="216"/>
      <c r="CT889" s="216"/>
      <c r="CU889" s="216"/>
      <c r="CV889" s="216"/>
      <c r="CW889" s="216"/>
      <c r="CX889" s="216"/>
      <c r="CY889" s="216"/>
    </row>
    <row r="890" spans="1:103" ht="12.75" x14ac:dyDescent="0.2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214"/>
      <c r="L890" s="214"/>
      <c r="M890" s="214"/>
      <c r="N890" s="215"/>
      <c r="O890" s="215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  <c r="AM890" s="216"/>
      <c r="AN890" s="216"/>
      <c r="AO890" s="216"/>
      <c r="AP890" s="216"/>
      <c r="AQ890" s="216"/>
      <c r="AR890" s="216"/>
      <c r="AS890" s="216"/>
      <c r="AT890" s="216"/>
      <c r="AU890" s="216"/>
      <c r="AV890" s="216"/>
      <c r="AW890" s="216"/>
      <c r="AX890" s="216"/>
      <c r="AY890" s="216"/>
      <c r="AZ890" s="216"/>
      <c r="BA890" s="216"/>
      <c r="BB890" s="216"/>
      <c r="BC890" s="216"/>
      <c r="BD890" s="216"/>
      <c r="BE890" s="216"/>
      <c r="BF890" s="216"/>
      <c r="BG890" s="216"/>
      <c r="BH890" s="216"/>
      <c r="BI890" s="216"/>
      <c r="BJ890" s="216"/>
      <c r="BK890" s="216"/>
      <c r="BL890" s="216"/>
      <c r="BM890" s="216"/>
      <c r="BN890" s="216"/>
      <c r="BO890" s="216"/>
      <c r="BP890" s="216"/>
      <c r="BQ890" s="216"/>
      <c r="BR890" s="216"/>
      <c r="BS890" s="216"/>
      <c r="BT890" s="216"/>
      <c r="BU890" s="216"/>
      <c r="BV890" s="216"/>
      <c r="BW890" s="216"/>
      <c r="BX890" s="216"/>
      <c r="BY890" s="216"/>
      <c r="BZ890" s="216"/>
      <c r="CA890" s="216"/>
      <c r="CB890" s="216"/>
      <c r="CC890" s="216"/>
      <c r="CD890" s="216"/>
      <c r="CE890" s="216"/>
      <c r="CF890" s="216"/>
      <c r="CG890" s="216"/>
      <c r="CH890" s="216"/>
      <c r="CI890" s="216"/>
      <c r="CJ890" s="216"/>
      <c r="CK890" s="216"/>
      <c r="CL890" s="216"/>
      <c r="CM890" s="216"/>
      <c r="CN890" s="216"/>
      <c r="CO890" s="216"/>
      <c r="CP890" s="216"/>
      <c r="CQ890" s="216"/>
      <c r="CR890" s="216"/>
      <c r="CS890" s="216"/>
      <c r="CT890" s="216"/>
      <c r="CU890" s="216"/>
      <c r="CV890" s="216"/>
      <c r="CW890" s="216"/>
      <c r="CX890" s="216"/>
      <c r="CY890" s="216"/>
    </row>
    <row r="891" spans="1:103" ht="12.75" x14ac:dyDescent="0.2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214"/>
      <c r="L891" s="214"/>
      <c r="M891" s="214"/>
      <c r="N891" s="215"/>
      <c r="O891" s="215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  <c r="AM891" s="216"/>
      <c r="AN891" s="216"/>
      <c r="AO891" s="216"/>
      <c r="AP891" s="216"/>
      <c r="AQ891" s="216"/>
      <c r="AR891" s="216"/>
      <c r="AS891" s="216"/>
      <c r="AT891" s="216"/>
      <c r="AU891" s="216"/>
      <c r="AV891" s="216"/>
      <c r="AW891" s="216"/>
      <c r="AX891" s="216"/>
      <c r="AY891" s="216"/>
      <c r="AZ891" s="216"/>
      <c r="BA891" s="216"/>
      <c r="BB891" s="216"/>
      <c r="BC891" s="216"/>
      <c r="BD891" s="216"/>
      <c r="BE891" s="216"/>
      <c r="BF891" s="216"/>
      <c r="BG891" s="216"/>
      <c r="BH891" s="216"/>
      <c r="BI891" s="216"/>
      <c r="BJ891" s="216"/>
      <c r="BK891" s="216"/>
      <c r="BL891" s="216"/>
      <c r="BM891" s="216"/>
      <c r="BN891" s="216"/>
      <c r="BO891" s="216"/>
      <c r="BP891" s="216"/>
      <c r="BQ891" s="216"/>
      <c r="BR891" s="216"/>
      <c r="BS891" s="216"/>
      <c r="BT891" s="216"/>
      <c r="BU891" s="216"/>
      <c r="BV891" s="216"/>
      <c r="BW891" s="216"/>
      <c r="BX891" s="216"/>
      <c r="BY891" s="216"/>
      <c r="BZ891" s="216"/>
      <c r="CA891" s="216"/>
      <c r="CB891" s="216"/>
      <c r="CC891" s="216"/>
      <c r="CD891" s="216"/>
      <c r="CE891" s="216"/>
      <c r="CF891" s="216"/>
      <c r="CG891" s="216"/>
      <c r="CH891" s="216"/>
      <c r="CI891" s="216"/>
      <c r="CJ891" s="216"/>
      <c r="CK891" s="216"/>
      <c r="CL891" s="216"/>
      <c r="CM891" s="216"/>
      <c r="CN891" s="216"/>
      <c r="CO891" s="216"/>
      <c r="CP891" s="216"/>
      <c r="CQ891" s="216"/>
      <c r="CR891" s="216"/>
      <c r="CS891" s="216"/>
      <c r="CT891" s="216"/>
      <c r="CU891" s="216"/>
      <c r="CV891" s="216"/>
      <c r="CW891" s="216"/>
      <c r="CX891" s="216"/>
      <c r="CY891" s="216"/>
    </row>
    <row r="892" spans="1:103" ht="12.75" x14ac:dyDescent="0.2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214"/>
      <c r="L892" s="214"/>
      <c r="M892" s="214"/>
      <c r="N892" s="215"/>
      <c r="O892" s="215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  <c r="AM892" s="216"/>
      <c r="AN892" s="216"/>
      <c r="AO892" s="216"/>
      <c r="AP892" s="216"/>
      <c r="AQ892" s="216"/>
      <c r="AR892" s="216"/>
      <c r="AS892" s="216"/>
      <c r="AT892" s="216"/>
      <c r="AU892" s="216"/>
      <c r="AV892" s="216"/>
      <c r="AW892" s="216"/>
      <c r="AX892" s="216"/>
      <c r="AY892" s="216"/>
      <c r="AZ892" s="216"/>
      <c r="BA892" s="216"/>
      <c r="BB892" s="216"/>
      <c r="BC892" s="216"/>
      <c r="BD892" s="216"/>
      <c r="BE892" s="216"/>
      <c r="BF892" s="216"/>
      <c r="BG892" s="216"/>
      <c r="BH892" s="216"/>
      <c r="BI892" s="216"/>
      <c r="BJ892" s="216"/>
      <c r="BK892" s="216"/>
      <c r="BL892" s="216"/>
      <c r="BM892" s="216"/>
      <c r="BN892" s="216"/>
      <c r="BO892" s="216"/>
      <c r="BP892" s="216"/>
      <c r="BQ892" s="216"/>
      <c r="BR892" s="216"/>
      <c r="BS892" s="216"/>
      <c r="BT892" s="216"/>
      <c r="BU892" s="216"/>
      <c r="BV892" s="216"/>
      <c r="BW892" s="216"/>
      <c r="BX892" s="216"/>
      <c r="BY892" s="216"/>
      <c r="BZ892" s="216"/>
      <c r="CA892" s="216"/>
      <c r="CB892" s="216"/>
      <c r="CC892" s="216"/>
      <c r="CD892" s="216"/>
      <c r="CE892" s="216"/>
      <c r="CF892" s="216"/>
      <c r="CG892" s="216"/>
      <c r="CH892" s="216"/>
      <c r="CI892" s="216"/>
      <c r="CJ892" s="216"/>
      <c r="CK892" s="216"/>
      <c r="CL892" s="216"/>
      <c r="CM892" s="216"/>
      <c r="CN892" s="216"/>
      <c r="CO892" s="216"/>
      <c r="CP892" s="216"/>
      <c r="CQ892" s="216"/>
      <c r="CR892" s="216"/>
      <c r="CS892" s="216"/>
      <c r="CT892" s="216"/>
      <c r="CU892" s="216"/>
      <c r="CV892" s="216"/>
      <c r="CW892" s="216"/>
      <c r="CX892" s="216"/>
      <c r="CY892" s="216"/>
    </row>
    <row r="893" spans="1:103" ht="12.75" x14ac:dyDescent="0.2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214"/>
      <c r="L893" s="214"/>
      <c r="M893" s="214"/>
      <c r="N893" s="215"/>
      <c r="O893" s="215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  <c r="AM893" s="216"/>
      <c r="AN893" s="216"/>
      <c r="AO893" s="216"/>
      <c r="AP893" s="216"/>
      <c r="AQ893" s="216"/>
      <c r="AR893" s="216"/>
      <c r="AS893" s="216"/>
      <c r="AT893" s="216"/>
      <c r="AU893" s="216"/>
      <c r="AV893" s="216"/>
      <c r="AW893" s="216"/>
      <c r="AX893" s="216"/>
      <c r="AY893" s="216"/>
      <c r="AZ893" s="216"/>
      <c r="BA893" s="216"/>
      <c r="BB893" s="216"/>
      <c r="BC893" s="216"/>
      <c r="BD893" s="216"/>
      <c r="BE893" s="216"/>
      <c r="BF893" s="216"/>
      <c r="BG893" s="216"/>
      <c r="BH893" s="216"/>
      <c r="BI893" s="216"/>
      <c r="BJ893" s="216"/>
      <c r="BK893" s="216"/>
      <c r="BL893" s="216"/>
      <c r="BM893" s="216"/>
      <c r="BN893" s="216"/>
      <c r="BO893" s="216"/>
      <c r="BP893" s="216"/>
      <c r="BQ893" s="216"/>
      <c r="BR893" s="216"/>
      <c r="BS893" s="216"/>
      <c r="BT893" s="216"/>
      <c r="BU893" s="216"/>
      <c r="BV893" s="216"/>
      <c r="BW893" s="216"/>
      <c r="BX893" s="216"/>
      <c r="BY893" s="216"/>
      <c r="BZ893" s="216"/>
      <c r="CA893" s="216"/>
      <c r="CB893" s="216"/>
      <c r="CC893" s="216"/>
      <c r="CD893" s="216"/>
      <c r="CE893" s="216"/>
      <c r="CF893" s="216"/>
      <c r="CG893" s="216"/>
      <c r="CH893" s="216"/>
      <c r="CI893" s="216"/>
      <c r="CJ893" s="216"/>
      <c r="CK893" s="216"/>
      <c r="CL893" s="216"/>
      <c r="CM893" s="216"/>
      <c r="CN893" s="216"/>
      <c r="CO893" s="216"/>
      <c r="CP893" s="216"/>
      <c r="CQ893" s="216"/>
      <c r="CR893" s="216"/>
      <c r="CS893" s="216"/>
      <c r="CT893" s="216"/>
      <c r="CU893" s="216"/>
      <c r="CV893" s="216"/>
      <c r="CW893" s="216"/>
      <c r="CX893" s="216"/>
      <c r="CY893" s="216"/>
    </row>
    <row r="894" spans="1:103" ht="12.75" x14ac:dyDescent="0.2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214"/>
      <c r="L894" s="214"/>
      <c r="M894" s="214"/>
      <c r="N894" s="215"/>
      <c r="O894" s="215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  <c r="AM894" s="216"/>
      <c r="AN894" s="216"/>
      <c r="AO894" s="216"/>
      <c r="AP894" s="216"/>
      <c r="AQ894" s="216"/>
      <c r="AR894" s="216"/>
      <c r="AS894" s="216"/>
      <c r="AT894" s="216"/>
      <c r="AU894" s="216"/>
      <c r="AV894" s="216"/>
      <c r="AW894" s="216"/>
      <c r="AX894" s="216"/>
      <c r="AY894" s="216"/>
      <c r="AZ894" s="216"/>
      <c r="BA894" s="216"/>
      <c r="BB894" s="216"/>
      <c r="BC894" s="216"/>
      <c r="BD894" s="216"/>
      <c r="BE894" s="216"/>
      <c r="BF894" s="216"/>
      <c r="BG894" s="216"/>
      <c r="BH894" s="216"/>
      <c r="BI894" s="216"/>
      <c r="BJ894" s="216"/>
      <c r="BK894" s="216"/>
      <c r="BL894" s="216"/>
      <c r="BM894" s="216"/>
      <c r="BN894" s="216"/>
      <c r="BO894" s="216"/>
      <c r="BP894" s="216"/>
      <c r="BQ894" s="216"/>
      <c r="BR894" s="216"/>
      <c r="BS894" s="216"/>
      <c r="BT894" s="216"/>
      <c r="BU894" s="216"/>
      <c r="BV894" s="216"/>
      <c r="BW894" s="216"/>
      <c r="BX894" s="216"/>
      <c r="BY894" s="216"/>
      <c r="BZ894" s="216"/>
      <c r="CA894" s="216"/>
      <c r="CB894" s="216"/>
      <c r="CC894" s="216"/>
      <c r="CD894" s="216"/>
      <c r="CE894" s="216"/>
      <c r="CF894" s="216"/>
      <c r="CG894" s="216"/>
      <c r="CH894" s="216"/>
      <c r="CI894" s="216"/>
      <c r="CJ894" s="216"/>
      <c r="CK894" s="216"/>
      <c r="CL894" s="216"/>
      <c r="CM894" s="216"/>
      <c r="CN894" s="216"/>
      <c r="CO894" s="216"/>
      <c r="CP894" s="216"/>
      <c r="CQ894" s="216"/>
      <c r="CR894" s="216"/>
      <c r="CS894" s="216"/>
      <c r="CT894" s="216"/>
      <c r="CU894" s="216"/>
      <c r="CV894" s="216"/>
      <c r="CW894" s="216"/>
      <c r="CX894" s="216"/>
      <c r="CY894" s="216"/>
    </row>
    <row r="895" spans="1:103" ht="12.75" x14ac:dyDescent="0.2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214"/>
      <c r="L895" s="214"/>
      <c r="M895" s="214"/>
      <c r="N895" s="215"/>
      <c r="O895" s="215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  <c r="AM895" s="216"/>
      <c r="AN895" s="216"/>
      <c r="AO895" s="216"/>
      <c r="AP895" s="216"/>
      <c r="AQ895" s="216"/>
      <c r="AR895" s="216"/>
      <c r="AS895" s="216"/>
      <c r="AT895" s="216"/>
      <c r="AU895" s="216"/>
      <c r="AV895" s="216"/>
      <c r="AW895" s="216"/>
      <c r="AX895" s="216"/>
      <c r="AY895" s="216"/>
      <c r="AZ895" s="216"/>
      <c r="BA895" s="216"/>
      <c r="BB895" s="216"/>
      <c r="BC895" s="216"/>
      <c r="BD895" s="216"/>
      <c r="BE895" s="216"/>
      <c r="BF895" s="216"/>
      <c r="BG895" s="216"/>
      <c r="BH895" s="216"/>
      <c r="BI895" s="216"/>
      <c r="BJ895" s="216"/>
      <c r="BK895" s="216"/>
      <c r="BL895" s="216"/>
      <c r="BM895" s="216"/>
      <c r="BN895" s="216"/>
      <c r="BO895" s="216"/>
      <c r="BP895" s="216"/>
      <c r="BQ895" s="216"/>
      <c r="BR895" s="216"/>
      <c r="BS895" s="216"/>
      <c r="BT895" s="216"/>
      <c r="BU895" s="216"/>
      <c r="BV895" s="216"/>
      <c r="BW895" s="216"/>
      <c r="BX895" s="216"/>
      <c r="BY895" s="216"/>
      <c r="BZ895" s="216"/>
      <c r="CA895" s="216"/>
      <c r="CB895" s="216"/>
      <c r="CC895" s="216"/>
      <c r="CD895" s="216"/>
      <c r="CE895" s="216"/>
      <c r="CF895" s="216"/>
      <c r="CG895" s="216"/>
      <c r="CH895" s="216"/>
      <c r="CI895" s="216"/>
      <c r="CJ895" s="216"/>
      <c r="CK895" s="216"/>
      <c r="CL895" s="216"/>
      <c r="CM895" s="216"/>
      <c r="CN895" s="216"/>
      <c r="CO895" s="216"/>
      <c r="CP895" s="216"/>
      <c r="CQ895" s="216"/>
      <c r="CR895" s="216"/>
      <c r="CS895" s="216"/>
      <c r="CT895" s="216"/>
      <c r="CU895" s="216"/>
      <c r="CV895" s="216"/>
      <c r="CW895" s="216"/>
      <c r="CX895" s="216"/>
      <c r="CY895" s="216"/>
    </row>
    <row r="896" spans="1:103" ht="12.75" x14ac:dyDescent="0.2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214"/>
      <c r="L896" s="214"/>
      <c r="M896" s="214"/>
      <c r="N896" s="215"/>
      <c r="O896" s="215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  <c r="AM896" s="216"/>
      <c r="AN896" s="216"/>
      <c r="AO896" s="216"/>
      <c r="AP896" s="216"/>
      <c r="AQ896" s="216"/>
      <c r="AR896" s="216"/>
      <c r="AS896" s="216"/>
      <c r="AT896" s="216"/>
      <c r="AU896" s="216"/>
      <c r="AV896" s="216"/>
      <c r="AW896" s="216"/>
      <c r="AX896" s="216"/>
      <c r="AY896" s="216"/>
      <c r="AZ896" s="216"/>
      <c r="BA896" s="216"/>
      <c r="BB896" s="216"/>
      <c r="BC896" s="216"/>
      <c r="BD896" s="216"/>
      <c r="BE896" s="216"/>
      <c r="BF896" s="216"/>
      <c r="BG896" s="216"/>
      <c r="BH896" s="216"/>
      <c r="BI896" s="216"/>
      <c r="BJ896" s="216"/>
      <c r="BK896" s="216"/>
      <c r="BL896" s="216"/>
      <c r="BM896" s="216"/>
      <c r="BN896" s="216"/>
      <c r="BO896" s="216"/>
      <c r="BP896" s="216"/>
      <c r="BQ896" s="216"/>
      <c r="BR896" s="216"/>
      <c r="BS896" s="216"/>
      <c r="BT896" s="216"/>
      <c r="BU896" s="216"/>
      <c r="BV896" s="216"/>
      <c r="BW896" s="216"/>
      <c r="BX896" s="216"/>
      <c r="BY896" s="216"/>
      <c r="BZ896" s="216"/>
      <c r="CA896" s="216"/>
      <c r="CB896" s="216"/>
      <c r="CC896" s="216"/>
      <c r="CD896" s="216"/>
      <c r="CE896" s="216"/>
      <c r="CF896" s="216"/>
      <c r="CG896" s="216"/>
      <c r="CH896" s="216"/>
      <c r="CI896" s="216"/>
      <c r="CJ896" s="216"/>
      <c r="CK896" s="216"/>
      <c r="CL896" s="216"/>
      <c r="CM896" s="216"/>
      <c r="CN896" s="216"/>
      <c r="CO896" s="216"/>
      <c r="CP896" s="216"/>
      <c r="CQ896" s="216"/>
      <c r="CR896" s="216"/>
      <c r="CS896" s="216"/>
      <c r="CT896" s="216"/>
      <c r="CU896" s="216"/>
      <c r="CV896" s="216"/>
      <c r="CW896" s="216"/>
      <c r="CX896" s="216"/>
      <c r="CY896" s="216"/>
    </row>
    <row r="897" spans="1:103" ht="12.75" x14ac:dyDescent="0.2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214"/>
      <c r="L897" s="214"/>
      <c r="M897" s="214"/>
      <c r="N897" s="215"/>
      <c r="O897" s="215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16"/>
      <c r="AN897" s="216"/>
      <c r="AO897" s="216"/>
      <c r="AP897" s="216"/>
      <c r="AQ897" s="216"/>
      <c r="AR897" s="216"/>
      <c r="AS897" s="216"/>
      <c r="AT897" s="216"/>
      <c r="AU897" s="216"/>
      <c r="AV897" s="216"/>
      <c r="AW897" s="216"/>
      <c r="AX897" s="216"/>
      <c r="AY897" s="216"/>
      <c r="AZ897" s="216"/>
      <c r="BA897" s="216"/>
      <c r="BB897" s="216"/>
      <c r="BC897" s="216"/>
      <c r="BD897" s="216"/>
      <c r="BE897" s="216"/>
      <c r="BF897" s="216"/>
      <c r="BG897" s="216"/>
      <c r="BH897" s="216"/>
      <c r="BI897" s="216"/>
      <c r="BJ897" s="216"/>
      <c r="BK897" s="216"/>
      <c r="BL897" s="216"/>
      <c r="BM897" s="216"/>
      <c r="BN897" s="216"/>
      <c r="BO897" s="216"/>
      <c r="BP897" s="216"/>
      <c r="BQ897" s="216"/>
      <c r="BR897" s="216"/>
      <c r="BS897" s="216"/>
      <c r="BT897" s="216"/>
      <c r="BU897" s="216"/>
      <c r="BV897" s="216"/>
      <c r="BW897" s="216"/>
      <c r="BX897" s="216"/>
      <c r="BY897" s="216"/>
      <c r="BZ897" s="216"/>
      <c r="CA897" s="216"/>
      <c r="CB897" s="216"/>
      <c r="CC897" s="216"/>
      <c r="CD897" s="216"/>
      <c r="CE897" s="216"/>
      <c r="CF897" s="216"/>
      <c r="CG897" s="216"/>
      <c r="CH897" s="216"/>
      <c r="CI897" s="216"/>
      <c r="CJ897" s="216"/>
      <c r="CK897" s="216"/>
      <c r="CL897" s="216"/>
      <c r="CM897" s="216"/>
      <c r="CN897" s="216"/>
      <c r="CO897" s="216"/>
      <c r="CP897" s="216"/>
      <c r="CQ897" s="216"/>
      <c r="CR897" s="216"/>
      <c r="CS897" s="216"/>
      <c r="CT897" s="216"/>
      <c r="CU897" s="216"/>
      <c r="CV897" s="216"/>
      <c r="CW897" s="216"/>
      <c r="CX897" s="216"/>
      <c r="CY897" s="216"/>
    </row>
    <row r="898" spans="1:103" ht="12.75" x14ac:dyDescent="0.2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214"/>
      <c r="L898" s="214"/>
      <c r="M898" s="214"/>
      <c r="N898" s="215"/>
      <c r="O898" s="215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16"/>
      <c r="AN898" s="216"/>
      <c r="AO898" s="216"/>
      <c r="AP898" s="216"/>
      <c r="AQ898" s="216"/>
      <c r="AR898" s="216"/>
      <c r="AS898" s="216"/>
      <c r="AT898" s="216"/>
      <c r="AU898" s="216"/>
      <c r="AV898" s="216"/>
      <c r="AW898" s="216"/>
      <c r="AX898" s="216"/>
      <c r="AY898" s="216"/>
      <c r="AZ898" s="216"/>
      <c r="BA898" s="216"/>
      <c r="BB898" s="216"/>
      <c r="BC898" s="216"/>
      <c r="BD898" s="216"/>
      <c r="BE898" s="216"/>
      <c r="BF898" s="216"/>
      <c r="BG898" s="216"/>
      <c r="BH898" s="216"/>
      <c r="BI898" s="216"/>
      <c r="BJ898" s="216"/>
      <c r="BK898" s="216"/>
      <c r="BL898" s="216"/>
      <c r="BM898" s="216"/>
      <c r="BN898" s="216"/>
      <c r="BO898" s="216"/>
      <c r="BP898" s="216"/>
      <c r="BQ898" s="216"/>
      <c r="BR898" s="216"/>
      <c r="BS898" s="216"/>
      <c r="BT898" s="216"/>
      <c r="BU898" s="216"/>
      <c r="BV898" s="216"/>
      <c r="BW898" s="216"/>
      <c r="BX898" s="216"/>
      <c r="BY898" s="216"/>
      <c r="BZ898" s="216"/>
      <c r="CA898" s="216"/>
      <c r="CB898" s="216"/>
      <c r="CC898" s="216"/>
      <c r="CD898" s="216"/>
      <c r="CE898" s="216"/>
      <c r="CF898" s="216"/>
      <c r="CG898" s="216"/>
      <c r="CH898" s="216"/>
      <c r="CI898" s="216"/>
      <c r="CJ898" s="216"/>
      <c r="CK898" s="216"/>
      <c r="CL898" s="216"/>
      <c r="CM898" s="216"/>
      <c r="CN898" s="216"/>
      <c r="CO898" s="216"/>
      <c r="CP898" s="216"/>
      <c r="CQ898" s="216"/>
      <c r="CR898" s="216"/>
      <c r="CS898" s="216"/>
      <c r="CT898" s="216"/>
      <c r="CU898" s="216"/>
      <c r="CV898" s="216"/>
      <c r="CW898" s="216"/>
      <c r="CX898" s="216"/>
      <c r="CY898" s="216"/>
    </row>
    <row r="899" spans="1:103" ht="12.75" x14ac:dyDescent="0.2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214"/>
      <c r="L899" s="214"/>
      <c r="M899" s="214"/>
      <c r="N899" s="215"/>
      <c r="O899" s="215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16"/>
      <c r="AN899" s="216"/>
      <c r="AO899" s="216"/>
      <c r="AP899" s="216"/>
      <c r="AQ899" s="216"/>
      <c r="AR899" s="216"/>
      <c r="AS899" s="216"/>
      <c r="AT899" s="216"/>
      <c r="AU899" s="216"/>
      <c r="AV899" s="216"/>
      <c r="AW899" s="216"/>
      <c r="AX899" s="216"/>
      <c r="AY899" s="216"/>
      <c r="AZ899" s="216"/>
      <c r="BA899" s="216"/>
      <c r="BB899" s="216"/>
      <c r="BC899" s="216"/>
      <c r="BD899" s="216"/>
      <c r="BE899" s="216"/>
      <c r="BF899" s="216"/>
      <c r="BG899" s="216"/>
      <c r="BH899" s="216"/>
      <c r="BI899" s="216"/>
      <c r="BJ899" s="216"/>
      <c r="BK899" s="216"/>
      <c r="BL899" s="216"/>
      <c r="BM899" s="216"/>
      <c r="BN899" s="216"/>
      <c r="BO899" s="216"/>
      <c r="BP899" s="216"/>
      <c r="BQ899" s="216"/>
      <c r="BR899" s="216"/>
      <c r="BS899" s="216"/>
      <c r="BT899" s="216"/>
      <c r="BU899" s="216"/>
      <c r="BV899" s="216"/>
      <c r="BW899" s="216"/>
      <c r="BX899" s="216"/>
      <c r="BY899" s="216"/>
      <c r="BZ899" s="216"/>
      <c r="CA899" s="216"/>
      <c r="CB899" s="216"/>
      <c r="CC899" s="216"/>
      <c r="CD899" s="216"/>
      <c r="CE899" s="216"/>
      <c r="CF899" s="216"/>
      <c r="CG899" s="216"/>
      <c r="CH899" s="216"/>
      <c r="CI899" s="216"/>
      <c r="CJ899" s="216"/>
      <c r="CK899" s="216"/>
      <c r="CL899" s="216"/>
      <c r="CM899" s="216"/>
      <c r="CN899" s="216"/>
      <c r="CO899" s="216"/>
      <c r="CP899" s="216"/>
      <c r="CQ899" s="216"/>
      <c r="CR899" s="216"/>
      <c r="CS899" s="216"/>
      <c r="CT899" s="216"/>
      <c r="CU899" s="216"/>
      <c r="CV899" s="216"/>
      <c r="CW899" s="216"/>
      <c r="CX899" s="216"/>
      <c r="CY899" s="216"/>
    </row>
    <row r="900" spans="1:103" ht="12.75" x14ac:dyDescent="0.2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214"/>
      <c r="L900" s="214"/>
      <c r="M900" s="214"/>
      <c r="N900" s="215"/>
      <c r="O900" s="215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16"/>
      <c r="AN900" s="216"/>
      <c r="AO900" s="216"/>
      <c r="AP900" s="216"/>
      <c r="AQ900" s="216"/>
      <c r="AR900" s="216"/>
      <c r="AS900" s="216"/>
      <c r="AT900" s="216"/>
      <c r="AU900" s="216"/>
      <c r="AV900" s="216"/>
      <c r="AW900" s="216"/>
      <c r="AX900" s="216"/>
      <c r="AY900" s="216"/>
      <c r="AZ900" s="216"/>
      <c r="BA900" s="216"/>
      <c r="BB900" s="216"/>
      <c r="BC900" s="216"/>
      <c r="BD900" s="216"/>
      <c r="BE900" s="216"/>
      <c r="BF900" s="216"/>
      <c r="BG900" s="216"/>
      <c r="BH900" s="216"/>
      <c r="BI900" s="216"/>
      <c r="BJ900" s="216"/>
      <c r="BK900" s="216"/>
      <c r="BL900" s="216"/>
      <c r="BM900" s="216"/>
      <c r="BN900" s="216"/>
      <c r="BO900" s="216"/>
      <c r="BP900" s="216"/>
      <c r="BQ900" s="216"/>
      <c r="BR900" s="216"/>
      <c r="BS900" s="216"/>
      <c r="BT900" s="216"/>
      <c r="BU900" s="216"/>
      <c r="BV900" s="216"/>
      <c r="BW900" s="216"/>
      <c r="BX900" s="216"/>
      <c r="BY900" s="216"/>
      <c r="BZ900" s="216"/>
      <c r="CA900" s="216"/>
      <c r="CB900" s="216"/>
      <c r="CC900" s="216"/>
      <c r="CD900" s="216"/>
      <c r="CE900" s="216"/>
      <c r="CF900" s="216"/>
      <c r="CG900" s="216"/>
      <c r="CH900" s="216"/>
      <c r="CI900" s="216"/>
      <c r="CJ900" s="216"/>
      <c r="CK900" s="216"/>
      <c r="CL900" s="216"/>
      <c r="CM900" s="216"/>
      <c r="CN900" s="216"/>
      <c r="CO900" s="216"/>
      <c r="CP900" s="216"/>
      <c r="CQ900" s="216"/>
      <c r="CR900" s="216"/>
      <c r="CS900" s="216"/>
      <c r="CT900" s="216"/>
      <c r="CU900" s="216"/>
      <c r="CV900" s="216"/>
      <c r="CW900" s="216"/>
      <c r="CX900" s="216"/>
      <c r="CY900" s="216"/>
    </row>
    <row r="901" spans="1:103" ht="12.75" x14ac:dyDescent="0.2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214"/>
      <c r="L901" s="214"/>
      <c r="M901" s="214"/>
      <c r="N901" s="215"/>
      <c r="O901" s="215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16"/>
      <c r="AN901" s="216"/>
      <c r="AO901" s="216"/>
      <c r="AP901" s="216"/>
      <c r="AQ901" s="216"/>
      <c r="AR901" s="216"/>
      <c r="AS901" s="216"/>
      <c r="AT901" s="216"/>
      <c r="AU901" s="216"/>
      <c r="AV901" s="216"/>
      <c r="AW901" s="216"/>
      <c r="AX901" s="216"/>
      <c r="AY901" s="216"/>
      <c r="AZ901" s="216"/>
      <c r="BA901" s="216"/>
      <c r="BB901" s="216"/>
      <c r="BC901" s="216"/>
      <c r="BD901" s="216"/>
      <c r="BE901" s="216"/>
      <c r="BF901" s="216"/>
      <c r="BG901" s="216"/>
      <c r="BH901" s="216"/>
      <c r="BI901" s="216"/>
      <c r="BJ901" s="216"/>
      <c r="BK901" s="216"/>
      <c r="BL901" s="216"/>
      <c r="BM901" s="216"/>
      <c r="BN901" s="216"/>
      <c r="BO901" s="216"/>
      <c r="BP901" s="216"/>
      <c r="BQ901" s="216"/>
      <c r="BR901" s="216"/>
      <c r="BS901" s="216"/>
      <c r="BT901" s="216"/>
      <c r="BU901" s="216"/>
      <c r="BV901" s="216"/>
      <c r="BW901" s="216"/>
      <c r="BX901" s="216"/>
      <c r="BY901" s="216"/>
      <c r="BZ901" s="216"/>
      <c r="CA901" s="216"/>
      <c r="CB901" s="216"/>
      <c r="CC901" s="216"/>
      <c r="CD901" s="216"/>
      <c r="CE901" s="216"/>
      <c r="CF901" s="216"/>
      <c r="CG901" s="216"/>
      <c r="CH901" s="216"/>
      <c r="CI901" s="216"/>
      <c r="CJ901" s="216"/>
      <c r="CK901" s="216"/>
      <c r="CL901" s="216"/>
      <c r="CM901" s="216"/>
      <c r="CN901" s="216"/>
      <c r="CO901" s="216"/>
      <c r="CP901" s="216"/>
      <c r="CQ901" s="216"/>
      <c r="CR901" s="216"/>
      <c r="CS901" s="216"/>
      <c r="CT901" s="216"/>
      <c r="CU901" s="216"/>
      <c r="CV901" s="216"/>
      <c r="CW901" s="216"/>
      <c r="CX901" s="216"/>
      <c r="CY901" s="216"/>
    </row>
    <row r="902" spans="1:103" ht="12.75" x14ac:dyDescent="0.2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214"/>
      <c r="L902" s="214"/>
      <c r="M902" s="214"/>
      <c r="N902" s="215"/>
      <c r="O902" s="215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216"/>
      <c r="AR902" s="216"/>
      <c r="AS902" s="216"/>
      <c r="AT902" s="216"/>
      <c r="AU902" s="216"/>
      <c r="AV902" s="216"/>
      <c r="AW902" s="216"/>
      <c r="AX902" s="216"/>
      <c r="AY902" s="216"/>
      <c r="AZ902" s="216"/>
      <c r="BA902" s="216"/>
      <c r="BB902" s="216"/>
      <c r="BC902" s="216"/>
      <c r="BD902" s="216"/>
      <c r="BE902" s="216"/>
      <c r="BF902" s="216"/>
      <c r="BG902" s="216"/>
      <c r="BH902" s="216"/>
      <c r="BI902" s="216"/>
      <c r="BJ902" s="216"/>
      <c r="BK902" s="216"/>
      <c r="BL902" s="216"/>
      <c r="BM902" s="216"/>
      <c r="BN902" s="216"/>
      <c r="BO902" s="216"/>
      <c r="BP902" s="216"/>
      <c r="BQ902" s="216"/>
      <c r="BR902" s="216"/>
      <c r="BS902" s="216"/>
      <c r="BT902" s="216"/>
      <c r="BU902" s="216"/>
      <c r="BV902" s="216"/>
      <c r="BW902" s="216"/>
      <c r="BX902" s="216"/>
      <c r="BY902" s="216"/>
      <c r="BZ902" s="216"/>
      <c r="CA902" s="216"/>
      <c r="CB902" s="216"/>
      <c r="CC902" s="216"/>
      <c r="CD902" s="216"/>
      <c r="CE902" s="216"/>
      <c r="CF902" s="216"/>
      <c r="CG902" s="216"/>
      <c r="CH902" s="216"/>
      <c r="CI902" s="216"/>
      <c r="CJ902" s="216"/>
      <c r="CK902" s="216"/>
      <c r="CL902" s="216"/>
      <c r="CM902" s="216"/>
      <c r="CN902" s="216"/>
      <c r="CO902" s="216"/>
      <c r="CP902" s="216"/>
      <c r="CQ902" s="216"/>
      <c r="CR902" s="216"/>
      <c r="CS902" s="216"/>
      <c r="CT902" s="216"/>
      <c r="CU902" s="216"/>
      <c r="CV902" s="216"/>
      <c r="CW902" s="216"/>
      <c r="CX902" s="216"/>
      <c r="CY902" s="216"/>
    </row>
    <row r="903" spans="1:103" ht="12.75" x14ac:dyDescent="0.2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214"/>
      <c r="L903" s="214"/>
      <c r="M903" s="214"/>
      <c r="N903" s="215"/>
      <c r="O903" s="215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6"/>
      <c r="AT903" s="216"/>
      <c r="AU903" s="216"/>
      <c r="AV903" s="216"/>
      <c r="AW903" s="216"/>
      <c r="AX903" s="216"/>
      <c r="AY903" s="216"/>
      <c r="AZ903" s="216"/>
      <c r="BA903" s="216"/>
      <c r="BB903" s="216"/>
      <c r="BC903" s="216"/>
      <c r="BD903" s="216"/>
      <c r="BE903" s="216"/>
      <c r="BF903" s="216"/>
      <c r="BG903" s="216"/>
      <c r="BH903" s="216"/>
      <c r="BI903" s="216"/>
      <c r="BJ903" s="216"/>
      <c r="BK903" s="216"/>
      <c r="BL903" s="216"/>
      <c r="BM903" s="216"/>
      <c r="BN903" s="216"/>
      <c r="BO903" s="216"/>
      <c r="BP903" s="216"/>
      <c r="BQ903" s="216"/>
      <c r="BR903" s="216"/>
      <c r="BS903" s="216"/>
      <c r="BT903" s="216"/>
      <c r="BU903" s="216"/>
      <c r="BV903" s="216"/>
      <c r="BW903" s="216"/>
      <c r="BX903" s="216"/>
      <c r="BY903" s="216"/>
      <c r="BZ903" s="216"/>
      <c r="CA903" s="216"/>
      <c r="CB903" s="216"/>
      <c r="CC903" s="216"/>
      <c r="CD903" s="216"/>
      <c r="CE903" s="216"/>
      <c r="CF903" s="216"/>
      <c r="CG903" s="216"/>
      <c r="CH903" s="216"/>
      <c r="CI903" s="216"/>
      <c r="CJ903" s="216"/>
      <c r="CK903" s="216"/>
      <c r="CL903" s="216"/>
      <c r="CM903" s="216"/>
      <c r="CN903" s="216"/>
      <c r="CO903" s="216"/>
      <c r="CP903" s="216"/>
      <c r="CQ903" s="216"/>
      <c r="CR903" s="216"/>
      <c r="CS903" s="216"/>
      <c r="CT903" s="216"/>
      <c r="CU903" s="216"/>
      <c r="CV903" s="216"/>
      <c r="CW903" s="216"/>
      <c r="CX903" s="216"/>
      <c r="CY903" s="216"/>
    </row>
    <row r="904" spans="1:103" ht="12.75" x14ac:dyDescent="0.2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214"/>
      <c r="L904" s="214"/>
      <c r="M904" s="214"/>
      <c r="N904" s="215"/>
      <c r="O904" s="215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16"/>
      <c r="AT904" s="216"/>
      <c r="AU904" s="216"/>
      <c r="AV904" s="216"/>
      <c r="AW904" s="216"/>
      <c r="AX904" s="216"/>
      <c r="AY904" s="216"/>
      <c r="AZ904" s="216"/>
      <c r="BA904" s="216"/>
      <c r="BB904" s="216"/>
      <c r="BC904" s="216"/>
      <c r="BD904" s="216"/>
      <c r="BE904" s="216"/>
      <c r="BF904" s="216"/>
      <c r="BG904" s="216"/>
      <c r="BH904" s="216"/>
      <c r="BI904" s="216"/>
      <c r="BJ904" s="216"/>
      <c r="BK904" s="216"/>
      <c r="BL904" s="216"/>
      <c r="BM904" s="216"/>
      <c r="BN904" s="216"/>
      <c r="BO904" s="216"/>
      <c r="BP904" s="216"/>
      <c r="BQ904" s="216"/>
      <c r="BR904" s="216"/>
      <c r="BS904" s="216"/>
      <c r="BT904" s="216"/>
      <c r="BU904" s="216"/>
      <c r="BV904" s="216"/>
      <c r="BW904" s="216"/>
      <c r="BX904" s="216"/>
      <c r="BY904" s="216"/>
      <c r="BZ904" s="216"/>
      <c r="CA904" s="216"/>
      <c r="CB904" s="216"/>
      <c r="CC904" s="216"/>
      <c r="CD904" s="216"/>
      <c r="CE904" s="216"/>
      <c r="CF904" s="216"/>
      <c r="CG904" s="216"/>
      <c r="CH904" s="216"/>
      <c r="CI904" s="216"/>
      <c r="CJ904" s="216"/>
      <c r="CK904" s="216"/>
      <c r="CL904" s="216"/>
      <c r="CM904" s="216"/>
      <c r="CN904" s="216"/>
      <c r="CO904" s="216"/>
      <c r="CP904" s="216"/>
      <c r="CQ904" s="216"/>
      <c r="CR904" s="216"/>
      <c r="CS904" s="216"/>
      <c r="CT904" s="216"/>
      <c r="CU904" s="216"/>
      <c r="CV904" s="216"/>
      <c r="CW904" s="216"/>
      <c r="CX904" s="216"/>
      <c r="CY904" s="216"/>
    </row>
    <row r="905" spans="1:103" ht="12.75" x14ac:dyDescent="0.2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214"/>
      <c r="L905" s="214"/>
      <c r="M905" s="214"/>
      <c r="N905" s="215"/>
      <c r="O905" s="215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16"/>
      <c r="AT905" s="216"/>
      <c r="AU905" s="216"/>
      <c r="AV905" s="216"/>
      <c r="AW905" s="216"/>
      <c r="AX905" s="216"/>
      <c r="AY905" s="216"/>
      <c r="AZ905" s="216"/>
      <c r="BA905" s="216"/>
      <c r="BB905" s="216"/>
      <c r="BC905" s="216"/>
      <c r="BD905" s="216"/>
      <c r="BE905" s="216"/>
      <c r="BF905" s="216"/>
      <c r="BG905" s="216"/>
      <c r="BH905" s="216"/>
      <c r="BI905" s="216"/>
      <c r="BJ905" s="216"/>
      <c r="BK905" s="216"/>
      <c r="BL905" s="216"/>
      <c r="BM905" s="216"/>
      <c r="BN905" s="216"/>
      <c r="BO905" s="216"/>
      <c r="BP905" s="216"/>
      <c r="BQ905" s="216"/>
      <c r="BR905" s="216"/>
      <c r="BS905" s="216"/>
      <c r="BT905" s="216"/>
      <c r="BU905" s="216"/>
      <c r="BV905" s="216"/>
      <c r="BW905" s="216"/>
      <c r="BX905" s="216"/>
      <c r="BY905" s="216"/>
      <c r="BZ905" s="216"/>
      <c r="CA905" s="216"/>
      <c r="CB905" s="216"/>
      <c r="CC905" s="216"/>
      <c r="CD905" s="216"/>
      <c r="CE905" s="216"/>
      <c r="CF905" s="216"/>
      <c r="CG905" s="216"/>
      <c r="CH905" s="216"/>
      <c r="CI905" s="216"/>
      <c r="CJ905" s="216"/>
      <c r="CK905" s="216"/>
      <c r="CL905" s="216"/>
      <c r="CM905" s="216"/>
      <c r="CN905" s="216"/>
      <c r="CO905" s="216"/>
      <c r="CP905" s="216"/>
      <c r="CQ905" s="216"/>
      <c r="CR905" s="216"/>
      <c r="CS905" s="216"/>
      <c r="CT905" s="216"/>
      <c r="CU905" s="216"/>
      <c r="CV905" s="216"/>
      <c r="CW905" s="216"/>
      <c r="CX905" s="216"/>
      <c r="CY905" s="216"/>
    </row>
    <row r="906" spans="1:103" ht="12.75" x14ac:dyDescent="0.2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214"/>
      <c r="L906" s="214"/>
      <c r="M906" s="214"/>
      <c r="N906" s="215"/>
      <c r="O906" s="215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216"/>
      <c r="AR906" s="216"/>
      <c r="AS906" s="216"/>
      <c r="AT906" s="216"/>
      <c r="AU906" s="216"/>
      <c r="AV906" s="216"/>
      <c r="AW906" s="216"/>
      <c r="AX906" s="216"/>
      <c r="AY906" s="216"/>
      <c r="AZ906" s="216"/>
      <c r="BA906" s="216"/>
      <c r="BB906" s="216"/>
      <c r="BC906" s="216"/>
      <c r="BD906" s="216"/>
      <c r="BE906" s="216"/>
      <c r="BF906" s="216"/>
      <c r="BG906" s="216"/>
      <c r="BH906" s="216"/>
      <c r="BI906" s="216"/>
      <c r="BJ906" s="216"/>
      <c r="BK906" s="216"/>
      <c r="BL906" s="216"/>
      <c r="BM906" s="216"/>
      <c r="BN906" s="216"/>
      <c r="BO906" s="216"/>
      <c r="BP906" s="216"/>
      <c r="BQ906" s="216"/>
      <c r="BR906" s="216"/>
      <c r="BS906" s="216"/>
      <c r="BT906" s="216"/>
      <c r="BU906" s="216"/>
      <c r="BV906" s="216"/>
      <c r="BW906" s="216"/>
      <c r="BX906" s="216"/>
      <c r="BY906" s="216"/>
      <c r="BZ906" s="216"/>
      <c r="CA906" s="216"/>
      <c r="CB906" s="216"/>
      <c r="CC906" s="216"/>
      <c r="CD906" s="216"/>
      <c r="CE906" s="216"/>
      <c r="CF906" s="216"/>
      <c r="CG906" s="216"/>
      <c r="CH906" s="216"/>
      <c r="CI906" s="216"/>
      <c r="CJ906" s="216"/>
      <c r="CK906" s="216"/>
      <c r="CL906" s="216"/>
      <c r="CM906" s="216"/>
      <c r="CN906" s="216"/>
      <c r="CO906" s="216"/>
      <c r="CP906" s="216"/>
      <c r="CQ906" s="216"/>
      <c r="CR906" s="216"/>
      <c r="CS906" s="216"/>
      <c r="CT906" s="216"/>
      <c r="CU906" s="216"/>
      <c r="CV906" s="216"/>
      <c r="CW906" s="216"/>
      <c r="CX906" s="216"/>
      <c r="CY906" s="216"/>
    </row>
    <row r="907" spans="1:103" ht="12.75" x14ac:dyDescent="0.2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214"/>
      <c r="L907" s="214"/>
      <c r="M907" s="214"/>
      <c r="N907" s="215"/>
      <c r="O907" s="215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16"/>
      <c r="BN907" s="216"/>
      <c r="BO907" s="216"/>
      <c r="BP907" s="216"/>
      <c r="BQ907" s="216"/>
      <c r="BR907" s="216"/>
      <c r="BS907" s="216"/>
      <c r="BT907" s="216"/>
      <c r="BU907" s="216"/>
      <c r="BV907" s="216"/>
      <c r="BW907" s="216"/>
      <c r="BX907" s="216"/>
      <c r="BY907" s="216"/>
      <c r="BZ907" s="216"/>
      <c r="CA907" s="216"/>
      <c r="CB907" s="216"/>
      <c r="CC907" s="216"/>
      <c r="CD907" s="216"/>
      <c r="CE907" s="216"/>
      <c r="CF907" s="216"/>
      <c r="CG907" s="216"/>
      <c r="CH907" s="216"/>
      <c r="CI907" s="216"/>
      <c r="CJ907" s="216"/>
      <c r="CK907" s="216"/>
      <c r="CL907" s="216"/>
      <c r="CM907" s="216"/>
      <c r="CN907" s="216"/>
      <c r="CO907" s="216"/>
      <c r="CP907" s="216"/>
      <c r="CQ907" s="216"/>
      <c r="CR907" s="216"/>
      <c r="CS907" s="216"/>
      <c r="CT907" s="216"/>
      <c r="CU907" s="216"/>
      <c r="CV907" s="216"/>
      <c r="CW907" s="216"/>
      <c r="CX907" s="216"/>
      <c r="CY907" s="216"/>
    </row>
    <row r="908" spans="1:103" ht="12.75" x14ac:dyDescent="0.2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214"/>
      <c r="L908" s="214"/>
      <c r="M908" s="214"/>
      <c r="N908" s="215"/>
      <c r="O908" s="215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16"/>
      <c r="AN908" s="216"/>
      <c r="AO908" s="216"/>
      <c r="AP908" s="216"/>
      <c r="AQ908" s="216"/>
      <c r="AR908" s="216"/>
      <c r="AS908" s="216"/>
      <c r="AT908" s="216"/>
      <c r="AU908" s="216"/>
      <c r="AV908" s="216"/>
      <c r="AW908" s="216"/>
      <c r="AX908" s="216"/>
      <c r="AY908" s="216"/>
      <c r="AZ908" s="216"/>
      <c r="BA908" s="216"/>
      <c r="BB908" s="216"/>
      <c r="BC908" s="216"/>
      <c r="BD908" s="216"/>
      <c r="BE908" s="216"/>
      <c r="BF908" s="216"/>
      <c r="BG908" s="216"/>
      <c r="BH908" s="216"/>
      <c r="BI908" s="216"/>
      <c r="BJ908" s="216"/>
      <c r="BK908" s="216"/>
      <c r="BL908" s="216"/>
      <c r="BM908" s="216"/>
      <c r="BN908" s="216"/>
      <c r="BO908" s="216"/>
      <c r="BP908" s="216"/>
      <c r="BQ908" s="216"/>
      <c r="BR908" s="216"/>
      <c r="BS908" s="216"/>
      <c r="BT908" s="216"/>
      <c r="BU908" s="216"/>
      <c r="BV908" s="216"/>
      <c r="BW908" s="216"/>
      <c r="BX908" s="216"/>
      <c r="BY908" s="216"/>
      <c r="BZ908" s="216"/>
      <c r="CA908" s="216"/>
      <c r="CB908" s="216"/>
      <c r="CC908" s="216"/>
      <c r="CD908" s="216"/>
      <c r="CE908" s="216"/>
      <c r="CF908" s="216"/>
      <c r="CG908" s="216"/>
      <c r="CH908" s="216"/>
      <c r="CI908" s="216"/>
      <c r="CJ908" s="216"/>
      <c r="CK908" s="216"/>
      <c r="CL908" s="216"/>
      <c r="CM908" s="216"/>
      <c r="CN908" s="216"/>
      <c r="CO908" s="216"/>
      <c r="CP908" s="216"/>
      <c r="CQ908" s="216"/>
      <c r="CR908" s="216"/>
      <c r="CS908" s="216"/>
      <c r="CT908" s="216"/>
      <c r="CU908" s="216"/>
      <c r="CV908" s="216"/>
      <c r="CW908" s="216"/>
      <c r="CX908" s="216"/>
      <c r="CY908" s="216"/>
    </row>
    <row r="909" spans="1:103" ht="12.75" x14ac:dyDescent="0.2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214"/>
      <c r="L909" s="214"/>
      <c r="M909" s="214"/>
      <c r="N909" s="215"/>
      <c r="O909" s="215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  <c r="AU909" s="216"/>
      <c r="AV909" s="216"/>
      <c r="AW909" s="216"/>
      <c r="AX909" s="216"/>
      <c r="AY909" s="216"/>
      <c r="AZ909" s="216"/>
      <c r="BA909" s="216"/>
      <c r="BB909" s="216"/>
      <c r="BC909" s="216"/>
      <c r="BD909" s="216"/>
      <c r="BE909" s="216"/>
      <c r="BF909" s="216"/>
      <c r="BG909" s="216"/>
      <c r="BH909" s="216"/>
      <c r="BI909" s="216"/>
      <c r="BJ909" s="216"/>
      <c r="BK909" s="216"/>
      <c r="BL909" s="216"/>
      <c r="BM909" s="216"/>
      <c r="BN909" s="216"/>
      <c r="BO909" s="216"/>
      <c r="BP909" s="216"/>
      <c r="BQ909" s="216"/>
      <c r="BR909" s="216"/>
      <c r="BS909" s="216"/>
      <c r="BT909" s="216"/>
      <c r="BU909" s="216"/>
      <c r="BV909" s="216"/>
      <c r="BW909" s="216"/>
      <c r="BX909" s="216"/>
      <c r="BY909" s="216"/>
      <c r="BZ909" s="216"/>
      <c r="CA909" s="216"/>
      <c r="CB909" s="216"/>
      <c r="CC909" s="216"/>
      <c r="CD909" s="216"/>
      <c r="CE909" s="216"/>
      <c r="CF909" s="216"/>
      <c r="CG909" s="216"/>
      <c r="CH909" s="216"/>
      <c r="CI909" s="216"/>
      <c r="CJ909" s="216"/>
      <c r="CK909" s="216"/>
      <c r="CL909" s="216"/>
      <c r="CM909" s="216"/>
      <c r="CN909" s="216"/>
      <c r="CO909" s="216"/>
      <c r="CP909" s="216"/>
      <c r="CQ909" s="216"/>
      <c r="CR909" s="216"/>
      <c r="CS909" s="216"/>
      <c r="CT909" s="216"/>
      <c r="CU909" s="216"/>
      <c r="CV909" s="216"/>
      <c r="CW909" s="216"/>
      <c r="CX909" s="216"/>
      <c r="CY909" s="216"/>
    </row>
    <row r="910" spans="1:103" ht="12.75" x14ac:dyDescent="0.2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214"/>
      <c r="L910" s="214"/>
      <c r="M910" s="214"/>
      <c r="N910" s="215"/>
      <c r="O910" s="215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16"/>
      <c r="AN910" s="216"/>
      <c r="AO910" s="216"/>
      <c r="AP910" s="216"/>
      <c r="AQ910" s="216"/>
      <c r="AR910" s="216"/>
      <c r="AS910" s="216"/>
      <c r="AT910" s="216"/>
      <c r="AU910" s="216"/>
      <c r="AV910" s="216"/>
      <c r="AW910" s="216"/>
      <c r="AX910" s="216"/>
      <c r="AY910" s="216"/>
      <c r="AZ910" s="216"/>
      <c r="BA910" s="216"/>
      <c r="BB910" s="216"/>
      <c r="BC910" s="216"/>
      <c r="BD910" s="216"/>
      <c r="BE910" s="216"/>
      <c r="BF910" s="216"/>
      <c r="BG910" s="216"/>
      <c r="BH910" s="216"/>
      <c r="BI910" s="216"/>
      <c r="BJ910" s="216"/>
      <c r="BK910" s="216"/>
      <c r="BL910" s="216"/>
      <c r="BM910" s="216"/>
      <c r="BN910" s="216"/>
      <c r="BO910" s="216"/>
      <c r="BP910" s="216"/>
      <c r="BQ910" s="216"/>
      <c r="BR910" s="216"/>
      <c r="BS910" s="216"/>
      <c r="BT910" s="216"/>
      <c r="BU910" s="216"/>
      <c r="BV910" s="216"/>
      <c r="BW910" s="216"/>
      <c r="BX910" s="216"/>
      <c r="BY910" s="216"/>
      <c r="BZ910" s="216"/>
      <c r="CA910" s="216"/>
      <c r="CB910" s="216"/>
      <c r="CC910" s="216"/>
      <c r="CD910" s="216"/>
      <c r="CE910" s="216"/>
      <c r="CF910" s="216"/>
      <c r="CG910" s="216"/>
      <c r="CH910" s="216"/>
      <c r="CI910" s="216"/>
      <c r="CJ910" s="216"/>
      <c r="CK910" s="216"/>
      <c r="CL910" s="216"/>
      <c r="CM910" s="216"/>
      <c r="CN910" s="216"/>
      <c r="CO910" s="216"/>
      <c r="CP910" s="216"/>
      <c r="CQ910" s="216"/>
      <c r="CR910" s="216"/>
      <c r="CS910" s="216"/>
      <c r="CT910" s="216"/>
      <c r="CU910" s="216"/>
      <c r="CV910" s="216"/>
      <c r="CW910" s="216"/>
      <c r="CX910" s="216"/>
      <c r="CY910" s="216"/>
    </row>
    <row r="911" spans="1:103" ht="12.75" x14ac:dyDescent="0.2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214"/>
      <c r="L911" s="214"/>
      <c r="M911" s="214"/>
      <c r="N911" s="215"/>
      <c r="O911" s="215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16"/>
      <c r="AN911" s="216"/>
      <c r="AO911" s="216"/>
      <c r="AP911" s="216"/>
      <c r="AQ911" s="216"/>
      <c r="AR911" s="216"/>
      <c r="AS911" s="216"/>
      <c r="AT911" s="216"/>
      <c r="AU911" s="216"/>
      <c r="AV911" s="216"/>
      <c r="AW911" s="216"/>
      <c r="AX911" s="216"/>
      <c r="AY911" s="216"/>
      <c r="AZ911" s="216"/>
      <c r="BA911" s="216"/>
      <c r="BB911" s="216"/>
      <c r="BC911" s="216"/>
      <c r="BD911" s="216"/>
      <c r="BE911" s="216"/>
      <c r="BF911" s="216"/>
      <c r="BG911" s="216"/>
      <c r="BH911" s="216"/>
      <c r="BI911" s="216"/>
      <c r="BJ911" s="216"/>
      <c r="BK911" s="216"/>
      <c r="BL911" s="216"/>
      <c r="BM911" s="216"/>
      <c r="BN911" s="216"/>
      <c r="BO911" s="216"/>
      <c r="BP911" s="216"/>
      <c r="BQ911" s="216"/>
      <c r="BR911" s="216"/>
      <c r="BS911" s="216"/>
      <c r="BT911" s="216"/>
      <c r="BU911" s="216"/>
      <c r="BV911" s="216"/>
      <c r="BW911" s="216"/>
      <c r="BX911" s="216"/>
      <c r="BY911" s="216"/>
      <c r="BZ911" s="216"/>
      <c r="CA911" s="216"/>
      <c r="CB911" s="216"/>
      <c r="CC911" s="216"/>
      <c r="CD911" s="216"/>
      <c r="CE911" s="216"/>
      <c r="CF911" s="216"/>
      <c r="CG911" s="216"/>
      <c r="CH911" s="216"/>
      <c r="CI911" s="216"/>
      <c r="CJ911" s="216"/>
      <c r="CK911" s="216"/>
      <c r="CL911" s="216"/>
      <c r="CM911" s="216"/>
      <c r="CN911" s="216"/>
      <c r="CO911" s="216"/>
      <c r="CP911" s="216"/>
      <c r="CQ911" s="216"/>
      <c r="CR911" s="216"/>
      <c r="CS911" s="216"/>
      <c r="CT911" s="216"/>
      <c r="CU911" s="216"/>
      <c r="CV911" s="216"/>
      <c r="CW911" s="216"/>
      <c r="CX911" s="216"/>
      <c r="CY911" s="216"/>
    </row>
    <row r="912" spans="1:103" ht="12.75" x14ac:dyDescent="0.2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214"/>
      <c r="L912" s="214"/>
      <c r="M912" s="214"/>
      <c r="N912" s="215"/>
      <c r="O912" s="215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16"/>
      <c r="AN912" s="216"/>
      <c r="AO912" s="216"/>
      <c r="AP912" s="216"/>
      <c r="AQ912" s="216"/>
      <c r="AR912" s="216"/>
      <c r="AS912" s="216"/>
      <c r="AT912" s="216"/>
      <c r="AU912" s="216"/>
      <c r="AV912" s="216"/>
      <c r="AW912" s="216"/>
      <c r="AX912" s="216"/>
      <c r="AY912" s="216"/>
      <c r="AZ912" s="216"/>
      <c r="BA912" s="216"/>
      <c r="BB912" s="216"/>
      <c r="BC912" s="216"/>
      <c r="BD912" s="216"/>
      <c r="BE912" s="216"/>
      <c r="BF912" s="216"/>
      <c r="BG912" s="216"/>
      <c r="BH912" s="216"/>
      <c r="BI912" s="216"/>
      <c r="BJ912" s="216"/>
      <c r="BK912" s="216"/>
      <c r="BL912" s="216"/>
      <c r="BM912" s="216"/>
      <c r="BN912" s="216"/>
      <c r="BO912" s="216"/>
      <c r="BP912" s="216"/>
      <c r="BQ912" s="216"/>
      <c r="BR912" s="216"/>
      <c r="BS912" s="216"/>
      <c r="BT912" s="216"/>
      <c r="BU912" s="216"/>
      <c r="BV912" s="216"/>
      <c r="BW912" s="216"/>
      <c r="BX912" s="216"/>
      <c r="BY912" s="216"/>
      <c r="BZ912" s="216"/>
      <c r="CA912" s="216"/>
      <c r="CB912" s="216"/>
      <c r="CC912" s="216"/>
      <c r="CD912" s="216"/>
      <c r="CE912" s="216"/>
      <c r="CF912" s="216"/>
      <c r="CG912" s="216"/>
      <c r="CH912" s="216"/>
      <c r="CI912" s="216"/>
      <c r="CJ912" s="216"/>
      <c r="CK912" s="216"/>
      <c r="CL912" s="216"/>
      <c r="CM912" s="216"/>
      <c r="CN912" s="216"/>
      <c r="CO912" s="216"/>
      <c r="CP912" s="216"/>
      <c r="CQ912" s="216"/>
      <c r="CR912" s="216"/>
      <c r="CS912" s="216"/>
      <c r="CT912" s="216"/>
      <c r="CU912" s="216"/>
      <c r="CV912" s="216"/>
      <c r="CW912" s="216"/>
      <c r="CX912" s="216"/>
      <c r="CY912" s="216"/>
    </row>
    <row r="913" spans="1:103" ht="12.75" x14ac:dyDescent="0.2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214"/>
      <c r="L913" s="214"/>
      <c r="M913" s="214"/>
      <c r="N913" s="215"/>
      <c r="O913" s="215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  <c r="AJ913" s="216"/>
      <c r="AK913" s="216"/>
      <c r="AL913" s="216"/>
      <c r="AM913" s="216"/>
      <c r="AN913" s="216"/>
      <c r="AO913" s="216"/>
      <c r="AP913" s="216"/>
      <c r="AQ913" s="216"/>
      <c r="AR913" s="216"/>
      <c r="AS913" s="216"/>
      <c r="AT913" s="216"/>
      <c r="AU913" s="216"/>
      <c r="AV913" s="216"/>
      <c r="AW913" s="216"/>
      <c r="AX913" s="216"/>
      <c r="AY913" s="216"/>
      <c r="AZ913" s="216"/>
      <c r="BA913" s="216"/>
      <c r="BB913" s="216"/>
      <c r="BC913" s="216"/>
      <c r="BD913" s="216"/>
      <c r="BE913" s="216"/>
      <c r="BF913" s="216"/>
      <c r="BG913" s="216"/>
      <c r="BH913" s="216"/>
      <c r="BI913" s="216"/>
      <c r="BJ913" s="216"/>
      <c r="BK913" s="216"/>
      <c r="BL913" s="216"/>
      <c r="BM913" s="216"/>
      <c r="BN913" s="216"/>
      <c r="BO913" s="216"/>
      <c r="BP913" s="216"/>
      <c r="BQ913" s="216"/>
      <c r="BR913" s="216"/>
      <c r="BS913" s="216"/>
      <c r="BT913" s="216"/>
      <c r="BU913" s="216"/>
      <c r="BV913" s="216"/>
      <c r="BW913" s="216"/>
      <c r="BX913" s="216"/>
      <c r="BY913" s="216"/>
      <c r="BZ913" s="216"/>
      <c r="CA913" s="216"/>
      <c r="CB913" s="216"/>
      <c r="CC913" s="216"/>
      <c r="CD913" s="216"/>
      <c r="CE913" s="216"/>
      <c r="CF913" s="216"/>
      <c r="CG913" s="216"/>
      <c r="CH913" s="216"/>
      <c r="CI913" s="216"/>
      <c r="CJ913" s="216"/>
      <c r="CK913" s="216"/>
      <c r="CL913" s="216"/>
      <c r="CM913" s="216"/>
      <c r="CN913" s="216"/>
      <c r="CO913" s="216"/>
      <c r="CP913" s="216"/>
      <c r="CQ913" s="216"/>
      <c r="CR913" s="216"/>
      <c r="CS913" s="216"/>
      <c r="CT913" s="216"/>
      <c r="CU913" s="216"/>
      <c r="CV913" s="216"/>
      <c r="CW913" s="216"/>
      <c r="CX913" s="216"/>
      <c r="CY913" s="216"/>
    </row>
    <row r="914" spans="1:103" ht="12.75" x14ac:dyDescent="0.2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214"/>
      <c r="L914" s="214"/>
      <c r="M914" s="214"/>
      <c r="N914" s="215"/>
      <c r="O914" s="215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  <c r="AJ914" s="216"/>
      <c r="AK914" s="216"/>
      <c r="AL914" s="216"/>
      <c r="AM914" s="216"/>
      <c r="AN914" s="216"/>
      <c r="AO914" s="216"/>
      <c r="AP914" s="216"/>
      <c r="AQ914" s="216"/>
      <c r="AR914" s="216"/>
      <c r="AS914" s="216"/>
      <c r="AT914" s="216"/>
      <c r="AU914" s="216"/>
      <c r="AV914" s="216"/>
      <c r="AW914" s="216"/>
      <c r="AX914" s="216"/>
      <c r="AY914" s="216"/>
      <c r="AZ914" s="216"/>
      <c r="BA914" s="216"/>
      <c r="BB914" s="216"/>
      <c r="BC914" s="216"/>
      <c r="BD914" s="216"/>
      <c r="BE914" s="216"/>
      <c r="BF914" s="216"/>
      <c r="BG914" s="216"/>
      <c r="BH914" s="216"/>
      <c r="BI914" s="216"/>
      <c r="BJ914" s="216"/>
      <c r="BK914" s="216"/>
      <c r="BL914" s="216"/>
      <c r="BM914" s="216"/>
      <c r="BN914" s="216"/>
      <c r="BO914" s="216"/>
      <c r="BP914" s="216"/>
      <c r="BQ914" s="216"/>
      <c r="BR914" s="216"/>
      <c r="BS914" s="216"/>
      <c r="BT914" s="216"/>
      <c r="BU914" s="216"/>
      <c r="BV914" s="216"/>
      <c r="BW914" s="216"/>
      <c r="BX914" s="216"/>
      <c r="BY914" s="216"/>
      <c r="BZ914" s="216"/>
      <c r="CA914" s="216"/>
      <c r="CB914" s="216"/>
      <c r="CC914" s="216"/>
      <c r="CD914" s="216"/>
      <c r="CE914" s="216"/>
      <c r="CF914" s="216"/>
      <c r="CG914" s="216"/>
      <c r="CH914" s="216"/>
      <c r="CI914" s="216"/>
      <c r="CJ914" s="216"/>
      <c r="CK914" s="216"/>
      <c r="CL914" s="216"/>
      <c r="CM914" s="216"/>
      <c r="CN914" s="216"/>
      <c r="CO914" s="216"/>
      <c r="CP914" s="216"/>
      <c r="CQ914" s="216"/>
      <c r="CR914" s="216"/>
      <c r="CS914" s="216"/>
      <c r="CT914" s="216"/>
      <c r="CU914" s="216"/>
      <c r="CV914" s="216"/>
      <c r="CW914" s="216"/>
      <c r="CX914" s="216"/>
      <c r="CY914" s="216"/>
    </row>
    <row r="915" spans="1:103" ht="12.75" x14ac:dyDescent="0.2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214"/>
      <c r="L915" s="214"/>
      <c r="M915" s="214"/>
      <c r="N915" s="215"/>
      <c r="O915" s="215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  <c r="AJ915" s="216"/>
      <c r="AK915" s="216"/>
      <c r="AL915" s="216"/>
      <c r="AM915" s="216"/>
      <c r="AN915" s="216"/>
      <c r="AO915" s="216"/>
      <c r="AP915" s="216"/>
      <c r="AQ915" s="216"/>
      <c r="AR915" s="216"/>
      <c r="AS915" s="216"/>
      <c r="AT915" s="216"/>
      <c r="AU915" s="216"/>
      <c r="AV915" s="216"/>
      <c r="AW915" s="216"/>
      <c r="AX915" s="216"/>
      <c r="AY915" s="216"/>
      <c r="AZ915" s="216"/>
      <c r="BA915" s="216"/>
      <c r="BB915" s="216"/>
      <c r="BC915" s="216"/>
      <c r="BD915" s="216"/>
      <c r="BE915" s="216"/>
      <c r="BF915" s="216"/>
      <c r="BG915" s="216"/>
      <c r="BH915" s="216"/>
      <c r="BI915" s="216"/>
      <c r="BJ915" s="216"/>
      <c r="BK915" s="216"/>
      <c r="BL915" s="216"/>
      <c r="BM915" s="216"/>
      <c r="BN915" s="216"/>
      <c r="BO915" s="216"/>
      <c r="BP915" s="216"/>
      <c r="BQ915" s="216"/>
      <c r="BR915" s="216"/>
      <c r="BS915" s="216"/>
      <c r="BT915" s="216"/>
      <c r="BU915" s="216"/>
      <c r="BV915" s="216"/>
      <c r="BW915" s="216"/>
      <c r="BX915" s="216"/>
      <c r="BY915" s="216"/>
      <c r="BZ915" s="216"/>
      <c r="CA915" s="216"/>
      <c r="CB915" s="216"/>
      <c r="CC915" s="216"/>
      <c r="CD915" s="216"/>
      <c r="CE915" s="216"/>
      <c r="CF915" s="216"/>
      <c r="CG915" s="216"/>
      <c r="CH915" s="216"/>
      <c r="CI915" s="216"/>
      <c r="CJ915" s="216"/>
      <c r="CK915" s="216"/>
      <c r="CL915" s="216"/>
      <c r="CM915" s="216"/>
      <c r="CN915" s="216"/>
      <c r="CO915" s="216"/>
      <c r="CP915" s="216"/>
      <c r="CQ915" s="216"/>
      <c r="CR915" s="216"/>
      <c r="CS915" s="216"/>
      <c r="CT915" s="216"/>
      <c r="CU915" s="216"/>
      <c r="CV915" s="216"/>
      <c r="CW915" s="216"/>
      <c r="CX915" s="216"/>
      <c r="CY915" s="216"/>
    </row>
    <row r="916" spans="1:103" ht="12.75" x14ac:dyDescent="0.2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214"/>
      <c r="L916" s="214"/>
      <c r="M916" s="214"/>
      <c r="N916" s="215"/>
      <c r="O916" s="215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  <c r="AJ916" s="216"/>
      <c r="AK916" s="216"/>
      <c r="AL916" s="216"/>
      <c r="AM916" s="216"/>
      <c r="AN916" s="216"/>
      <c r="AO916" s="216"/>
      <c r="AP916" s="216"/>
      <c r="AQ916" s="216"/>
      <c r="AR916" s="216"/>
      <c r="AS916" s="216"/>
      <c r="AT916" s="216"/>
      <c r="AU916" s="216"/>
      <c r="AV916" s="216"/>
      <c r="AW916" s="216"/>
      <c r="AX916" s="216"/>
      <c r="AY916" s="216"/>
      <c r="AZ916" s="216"/>
      <c r="BA916" s="216"/>
      <c r="BB916" s="216"/>
      <c r="BC916" s="216"/>
      <c r="BD916" s="216"/>
      <c r="BE916" s="216"/>
      <c r="BF916" s="216"/>
      <c r="BG916" s="216"/>
      <c r="BH916" s="216"/>
      <c r="BI916" s="216"/>
      <c r="BJ916" s="216"/>
      <c r="BK916" s="216"/>
      <c r="BL916" s="216"/>
      <c r="BM916" s="216"/>
      <c r="BN916" s="216"/>
      <c r="BO916" s="216"/>
      <c r="BP916" s="216"/>
      <c r="BQ916" s="216"/>
      <c r="BR916" s="216"/>
      <c r="BS916" s="216"/>
      <c r="BT916" s="216"/>
      <c r="BU916" s="216"/>
      <c r="BV916" s="216"/>
      <c r="BW916" s="216"/>
      <c r="BX916" s="216"/>
      <c r="BY916" s="216"/>
      <c r="BZ916" s="216"/>
      <c r="CA916" s="216"/>
      <c r="CB916" s="216"/>
      <c r="CC916" s="216"/>
      <c r="CD916" s="216"/>
      <c r="CE916" s="216"/>
      <c r="CF916" s="216"/>
      <c r="CG916" s="216"/>
      <c r="CH916" s="216"/>
      <c r="CI916" s="216"/>
      <c r="CJ916" s="216"/>
      <c r="CK916" s="216"/>
      <c r="CL916" s="216"/>
      <c r="CM916" s="216"/>
      <c r="CN916" s="216"/>
      <c r="CO916" s="216"/>
      <c r="CP916" s="216"/>
      <c r="CQ916" s="216"/>
      <c r="CR916" s="216"/>
      <c r="CS916" s="216"/>
      <c r="CT916" s="216"/>
      <c r="CU916" s="216"/>
      <c r="CV916" s="216"/>
      <c r="CW916" s="216"/>
      <c r="CX916" s="216"/>
      <c r="CY916" s="216"/>
    </row>
    <row r="917" spans="1:103" ht="12.75" x14ac:dyDescent="0.2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214"/>
      <c r="L917" s="214"/>
      <c r="M917" s="214"/>
      <c r="N917" s="215"/>
      <c r="O917" s="215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  <c r="AJ917" s="216"/>
      <c r="AK917" s="216"/>
      <c r="AL917" s="216"/>
      <c r="AM917" s="216"/>
      <c r="AN917" s="216"/>
      <c r="AO917" s="216"/>
      <c r="AP917" s="216"/>
      <c r="AQ917" s="216"/>
      <c r="AR917" s="216"/>
      <c r="AS917" s="216"/>
      <c r="AT917" s="216"/>
      <c r="AU917" s="216"/>
      <c r="AV917" s="216"/>
      <c r="AW917" s="216"/>
      <c r="AX917" s="216"/>
      <c r="AY917" s="216"/>
      <c r="AZ917" s="216"/>
      <c r="BA917" s="216"/>
      <c r="BB917" s="216"/>
      <c r="BC917" s="216"/>
      <c r="BD917" s="216"/>
      <c r="BE917" s="216"/>
      <c r="BF917" s="216"/>
      <c r="BG917" s="216"/>
      <c r="BH917" s="216"/>
      <c r="BI917" s="216"/>
      <c r="BJ917" s="216"/>
      <c r="BK917" s="216"/>
      <c r="BL917" s="216"/>
      <c r="BM917" s="216"/>
      <c r="BN917" s="216"/>
      <c r="BO917" s="216"/>
      <c r="BP917" s="216"/>
      <c r="BQ917" s="216"/>
      <c r="BR917" s="216"/>
      <c r="BS917" s="216"/>
      <c r="BT917" s="216"/>
      <c r="BU917" s="216"/>
      <c r="BV917" s="216"/>
      <c r="BW917" s="216"/>
      <c r="BX917" s="216"/>
      <c r="BY917" s="216"/>
      <c r="BZ917" s="216"/>
      <c r="CA917" s="216"/>
      <c r="CB917" s="216"/>
      <c r="CC917" s="216"/>
      <c r="CD917" s="216"/>
      <c r="CE917" s="216"/>
      <c r="CF917" s="216"/>
      <c r="CG917" s="216"/>
      <c r="CH917" s="216"/>
      <c r="CI917" s="216"/>
      <c r="CJ917" s="216"/>
      <c r="CK917" s="216"/>
      <c r="CL917" s="216"/>
      <c r="CM917" s="216"/>
      <c r="CN917" s="216"/>
      <c r="CO917" s="216"/>
      <c r="CP917" s="216"/>
      <c r="CQ917" s="216"/>
      <c r="CR917" s="216"/>
      <c r="CS917" s="216"/>
      <c r="CT917" s="216"/>
      <c r="CU917" s="216"/>
      <c r="CV917" s="216"/>
      <c r="CW917" s="216"/>
      <c r="CX917" s="216"/>
      <c r="CY917" s="216"/>
    </row>
    <row r="918" spans="1:103" ht="12.75" x14ac:dyDescent="0.2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214"/>
      <c r="L918" s="214"/>
      <c r="M918" s="214"/>
      <c r="N918" s="215"/>
      <c r="O918" s="215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  <c r="AJ918" s="216"/>
      <c r="AK918" s="216"/>
      <c r="AL918" s="216"/>
      <c r="AM918" s="216"/>
      <c r="AN918" s="216"/>
      <c r="AO918" s="216"/>
      <c r="AP918" s="216"/>
      <c r="AQ918" s="216"/>
      <c r="AR918" s="216"/>
      <c r="AS918" s="216"/>
      <c r="AT918" s="216"/>
      <c r="AU918" s="216"/>
      <c r="AV918" s="216"/>
      <c r="AW918" s="216"/>
      <c r="AX918" s="216"/>
      <c r="AY918" s="216"/>
      <c r="AZ918" s="216"/>
      <c r="BA918" s="216"/>
      <c r="BB918" s="216"/>
      <c r="BC918" s="216"/>
      <c r="BD918" s="216"/>
      <c r="BE918" s="216"/>
      <c r="BF918" s="216"/>
      <c r="BG918" s="216"/>
      <c r="BH918" s="216"/>
      <c r="BI918" s="216"/>
      <c r="BJ918" s="216"/>
      <c r="BK918" s="216"/>
      <c r="BL918" s="216"/>
      <c r="BM918" s="216"/>
      <c r="BN918" s="216"/>
      <c r="BO918" s="216"/>
      <c r="BP918" s="216"/>
      <c r="BQ918" s="216"/>
      <c r="BR918" s="216"/>
      <c r="BS918" s="216"/>
      <c r="BT918" s="216"/>
      <c r="BU918" s="216"/>
      <c r="BV918" s="216"/>
      <c r="BW918" s="216"/>
      <c r="BX918" s="216"/>
      <c r="BY918" s="216"/>
      <c r="BZ918" s="216"/>
      <c r="CA918" s="216"/>
      <c r="CB918" s="216"/>
      <c r="CC918" s="216"/>
      <c r="CD918" s="216"/>
      <c r="CE918" s="216"/>
      <c r="CF918" s="216"/>
      <c r="CG918" s="216"/>
      <c r="CH918" s="216"/>
      <c r="CI918" s="216"/>
      <c r="CJ918" s="216"/>
      <c r="CK918" s="216"/>
      <c r="CL918" s="216"/>
      <c r="CM918" s="216"/>
      <c r="CN918" s="216"/>
      <c r="CO918" s="216"/>
      <c r="CP918" s="216"/>
      <c r="CQ918" s="216"/>
      <c r="CR918" s="216"/>
      <c r="CS918" s="216"/>
      <c r="CT918" s="216"/>
      <c r="CU918" s="216"/>
      <c r="CV918" s="216"/>
      <c r="CW918" s="216"/>
      <c r="CX918" s="216"/>
      <c r="CY918" s="216"/>
    </row>
    <row r="919" spans="1:103" ht="12.75" x14ac:dyDescent="0.2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214"/>
      <c r="L919" s="214"/>
      <c r="M919" s="214"/>
      <c r="N919" s="215"/>
      <c r="O919" s="215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  <c r="AJ919" s="216"/>
      <c r="AK919" s="216"/>
      <c r="AL919" s="216"/>
      <c r="AM919" s="216"/>
      <c r="AN919" s="216"/>
      <c r="AO919" s="216"/>
      <c r="AP919" s="216"/>
      <c r="AQ919" s="216"/>
      <c r="AR919" s="216"/>
      <c r="AS919" s="216"/>
      <c r="AT919" s="216"/>
      <c r="AU919" s="216"/>
      <c r="AV919" s="216"/>
      <c r="AW919" s="216"/>
      <c r="AX919" s="216"/>
      <c r="AY919" s="216"/>
      <c r="AZ919" s="216"/>
      <c r="BA919" s="216"/>
      <c r="BB919" s="216"/>
      <c r="BC919" s="216"/>
      <c r="BD919" s="216"/>
      <c r="BE919" s="216"/>
      <c r="BF919" s="216"/>
      <c r="BG919" s="216"/>
      <c r="BH919" s="216"/>
      <c r="BI919" s="216"/>
      <c r="BJ919" s="216"/>
      <c r="BK919" s="216"/>
      <c r="BL919" s="216"/>
      <c r="BM919" s="216"/>
      <c r="BN919" s="216"/>
      <c r="BO919" s="216"/>
      <c r="BP919" s="216"/>
      <c r="BQ919" s="216"/>
      <c r="BR919" s="216"/>
      <c r="BS919" s="216"/>
      <c r="BT919" s="216"/>
      <c r="BU919" s="216"/>
      <c r="BV919" s="216"/>
      <c r="BW919" s="216"/>
      <c r="BX919" s="216"/>
      <c r="BY919" s="216"/>
      <c r="BZ919" s="216"/>
      <c r="CA919" s="216"/>
      <c r="CB919" s="216"/>
      <c r="CC919" s="216"/>
      <c r="CD919" s="216"/>
      <c r="CE919" s="216"/>
      <c r="CF919" s="216"/>
      <c r="CG919" s="216"/>
      <c r="CH919" s="216"/>
      <c r="CI919" s="216"/>
      <c r="CJ919" s="216"/>
      <c r="CK919" s="216"/>
      <c r="CL919" s="216"/>
      <c r="CM919" s="216"/>
      <c r="CN919" s="216"/>
      <c r="CO919" s="216"/>
      <c r="CP919" s="216"/>
      <c r="CQ919" s="216"/>
      <c r="CR919" s="216"/>
      <c r="CS919" s="216"/>
      <c r="CT919" s="216"/>
      <c r="CU919" s="216"/>
      <c r="CV919" s="216"/>
      <c r="CW919" s="216"/>
      <c r="CX919" s="216"/>
      <c r="CY919" s="216"/>
    </row>
    <row r="920" spans="1:103" ht="12.75" x14ac:dyDescent="0.2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214"/>
      <c r="L920" s="214"/>
      <c r="M920" s="214"/>
      <c r="N920" s="215"/>
      <c r="O920" s="215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  <c r="AJ920" s="216"/>
      <c r="AK920" s="216"/>
      <c r="AL920" s="216"/>
      <c r="AM920" s="216"/>
      <c r="AN920" s="216"/>
      <c r="AO920" s="216"/>
      <c r="AP920" s="216"/>
      <c r="AQ920" s="216"/>
      <c r="AR920" s="216"/>
      <c r="AS920" s="216"/>
      <c r="AT920" s="216"/>
      <c r="AU920" s="216"/>
      <c r="AV920" s="216"/>
      <c r="AW920" s="216"/>
      <c r="AX920" s="216"/>
      <c r="AY920" s="216"/>
      <c r="AZ920" s="216"/>
      <c r="BA920" s="216"/>
      <c r="BB920" s="216"/>
      <c r="BC920" s="216"/>
      <c r="BD920" s="216"/>
      <c r="BE920" s="216"/>
      <c r="BF920" s="216"/>
      <c r="BG920" s="216"/>
      <c r="BH920" s="216"/>
      <c r="BI920" s="216"/>
      <c r="BJ920" s="216"/>
      <c r="BK920" s="216"/>
      <c r="BL920" s="216"/>
      <c r="BM920" s="216"/>
      <c r="BN920" s="216"/>
      <c r="BO920" s="216"/>
      <c r="BP920" s="216"/>
      <c r="BQ920" s="216"/>
      <c r="BR920" s="216"/>
      <c r="BS920" s="216"/>
      <c r="BT920" s="216"/>
      <c r="BU920" s="216"/>
      <c r="BV920" s="216"/>
      <c r="BW920" s="216"/>
      <c r="BX920" s="216"/>
      <c r="BY920" s="216"/>
      <c r="BZ920" s="216"/>
      <c r="CA920" s="216"/>
      <c r="CB920" s="216"/>
      <c r="CC920" s="216"/>
      <c r="CD920" s="216"/>
      <c r="CE920" s="216"/>
      <c r="CF920" s="216"/>
      <c r="CG920" s="216"/>
      <c r="CH920" s="216"/>
      <c r="CI920" s="216"/>
      <c r="CJ920" s="216"/>
      <c r="CK920" s="216"/>
      <c r="CL920" s="216"/>
      <c r="CM920" s="216"/>
      <c r="CN920" s="216"/>
      <c r="CO920" s="216"/>
      <c r="CP920" s="216"/>
      <c r="CQ920" s="216"/>
      <c r="CR920" s="216"/>
      <c r="CS920" s="216"/>
      <c r="CT920" s="216"/>
      <c r="CU920" s="216"/>
      <c r="CV920" s="216"/>
      <c r="CW920" s="216"/>
      <c r="CX920" s="216"/>
      <c r="CY920" s="216"/>
    </row>
    <row r="921" spans="1:103" ht="12.75" x14ac:dyDescent="0.2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214"/>
      <c r="L921" s="214"/>
      <c r="M921" s="214"/>
      <c r="N921" s="215"/>
      <c r="O921" s="215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  <c r="AJ921" s="216"/>
      <c r="AK921" s="216"/>
      <c r="AL921" s="216"/>
      <c r="AM921" s="216"/>
      <c r="AN921" s="216"/>
      <c r="AO921" s="216"/>
      <c r="AP921" s="216"/>
      <c r="AQ921" s="216"/>
      <c r="AR921" s="216"/>
      <c r="AS921" s="216"/>
      <c r="AT921" s="216"/>
      <c r="AU921" s="216"/>
      <c r="AV921" s="216"/>
      <c r="AW921" s="216"/>
      <c r="AX921" s="216"/>
      <c r="AY921" s="216"/>
      <c r="AZ921" s="216"/>
      <c r="BA921" s="216"/>
      <c r="BB921" s="216"/>
      <c r="BC921" s="216"/>
      <c r="BD921" s="216"/>
      <c r="BE921" s="216"/>
      <c r="BF921" s="216"/>
      <c r="BG921" s="216"/>
      <c r="BH921" s="216"/>
      <c r="BI921" s="216"/>
      <c r="BJ921" s="216"/>
      <c r="BK921" s="216"/>
      <c r="BL921" s="216"/>
      <c r="BM921" s="216"/>
      <c r="BN921" s="216"/>
      <c r="BO921" s="216"/>
      <c r="BP921" s="216"/>
      <c r="BQ921" s="216"/>
      <c r="BR921" s="216"/>
      <c r="BS921" s="216"/>
      <c r="BT921" s="216"/>
      <c r="BU921" s="216"/>
      <c r="BV921" s="216"/>
      <c r="BW921" s="216"/>
      <c r="BX921" s="216"/>
      <c r="BY921" s="216"/>
      <c r="BZ921" s="216"/>
      <c r="CA921" s="216"/>
      <c r="CB921" s="216"/>
      <c r="CC921" s="216"/>
      <c r="CD921" s="216"/>
      <c r="CE921" s="216"/>
      <c r="CF921" s="216"/>
      <c r="CG921" s="216"/>
      <c r="CH921" s="216"/>
      <c r="CI921" s="216"/>
      <c r="CJ921" s="216"/>
      <c r="CK921" s="216"/>
      <c r="CL921" s="216"/>
      <c r="CM921" s="216"/>
      <c r="CN921" s="216"/>
      <c r="CO921" s="216"/>
      <c r="CP921" s="216"/>
      <c r="CQ921" s="216"/>
      <c r="CR921" s="216"/>
      <c r="CS921" s="216"/>
      <c r="CT921" s="216"/>
      <c r="CU921" s="216"/>
      <c r="CV921" s="216"/>
      <c r="CW921" s="216"/>
      <c r="CX921" s="216"/>
      <c r="CY921" s="216"/>
    </row>
    <row r="922" spans="1:103" ht="12.75" x14ac:dyDescent="0.2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214"/>
      <c r="L922" s="214"/>
      <c r="M922" s="214"/>
      <c r="N922" s="215"/>
      <c r="O922" s="215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  <c r="AJ922" s="216"/>
      <c r="AK922" s="216"/>
      <c r="AL922" s="216"/>
      <c r="AM922" s="216"/>
      <c r="AN922" s="216"/>
      <c r="AO922" s="216"/>
      <c r="AP922" s="216"/>
      <c r="AQ922" s="216"/>
      <c r="AR922" s="216"/>
      <c r="AS922" s="216"/>
      <c r="AT922" s="216"/>
      <c r="AU922" s="216"/>
      <c r="AV922" s="216"/>
      <c r="AW922" s="216"/>
      <c r="AX922" s="216"/>
      <c r="AY922" s="216"/>
      <c r="AZ922" s="216"/>
      <c r="BA922" s="216"/>
      <c r="BB922" s="216"/>
      <c r="BC922" s="216"/>
      <c r="BD922" s="216"/>
      <c r="BE922" s="216"/>
      <c r="BF922" s="216"/>
      <c r="BG922" s="216"/>
      <c r="BH922" s="216"/>
      <c r="BI922" s="216"/>
      <c r="BJ922" s="216"/>
      <c r="BK922" s="216"/>
      <c r="BL922" s="216"/>
      <c r="BM922" s="216"/>
      <c r="BN922" s="216"/>
      <c r="BO922" s="216"/>
      <c r="BP922" s="216"/>
      <c r="BQ922" s="216"/>
      <c r="BR922" s="216"/>
      <c r="BS922" s="216"/>
      <c r="BT922" s="216"/>
      <c r="BU922" s="216"/>
      <c r="BV922" s="216"/>
      <c r="BW922" s="216"/>
      <c r="BX922" s="216"/>
      <c r="BY922" s="216"/>
      <c r="BZ922" s="216"/>
      <c r="CA922" s="216"/>
      <c r="CB922" s="216"/>
      <c r="CC922" s="216"/>
      <c r="CD922" s="216"/>
      <c r="CE922" s="216"/>
      <c r="CF922" s="216"/>
      <c r="CG922" s="216"/>
      <c r="CH922" s="216"/>
      <c r="CI922" s="216"/>
      <c r="CJ922" s="216"/>
      <c r="CK922" s="216"/>
      <c r="CL922" s="216"/>
      <c r="CM922" s="216"/>
      <c r="CN922" s="216"/>
      <c r="CO922" s="216"/>
      <c r="CP922" s="216"/>
      <c r="CQ922" s="216"/>
      <c r="CR922" s="216"/>
      <c r="CS922" s="216"/>
      <c r="CT922" s="216"/>
      <c r="CU922" s="216"/>
      <c r="CV922" s="216"/>
      <c r="CW922" s="216"/>
      <c r="CX922" s="216"/>
      <c r="CY922" s="216"/>
    </row>
    <row r="923" spans="1:103" ht="12.75" x14ac:dyDescent="0.2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214"/>
      <c r="L923" s="214"/>
      <c r="M923" s="214"/>
      <c r="N923" s="215"/>
      <c r="O923" s="215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  <c r="AJ923" s="216"/>
      <c r="AK923" s="216"/>
      <c r="AL923" s="216"/>
      <c r="AM923" s="216"/>
      <c r="AN923" s="216"/>
      <c r="AO923" s="216"/>
      <c r="AP923" s="216"/>
      <c r="AQ923" s="216"/>
      <c r="AR923" s="216"/>
      <c r="AS923" s="216"/>
      <c r="AT923" s="216"/>
      <c r="AU923" s="216"/>
      <c r="AV923" s="216"/>
      <c r="AW923" s="216"/>
      <c r="AX923" s="216"/>
      <c r="AY923" s="216"/>
      <c r="AZ923" s="216"/>
      <c r="BA923" s="216"/>
      <c r="BB923" s="216"/>
      <c r="BC923" s="216"/>
      <c r="BD923" s="216"/>
      <c r="BE923" s="216"/>
      <c r="BF923" s="216"/>
      <c r="BG923" s="216"/>
      <c r="BH923" s="216"/>
      <c r="BI923" s="216"/>
      <c r="BJ923" s="216"/>
      <c r="BK923" s="216"/>
      <c r="BL923" s="216"/>
      <c r="BM923" s="216"/>
      <c r="BN923" s="216"/>
      <c r="BO923" s="216"/>
      <c r="BP923" s="216"/>
      <c r="BQ923" s="216"/>
      <c r="BR923" s="216"/>
      <c r="BS923" s="216"/>
      <c r="BT923" s="216"/>
      <c r="BU923" s="216"/>
      <c r="BV923" s="216"/>
      <c r="BW923" s="216"/>
      <c r="BX923" s="216"/>
      <c r="BY923" s="216"/>
      <c r="BZ923" s="216"/>
      <c r="CA923" s="216"/>
      <c r="CB923" s="216"/>
      <c r="CC923" s="216"/>
      <c r="CD923" s="216"/>
      <c r="CE923" s="216"/>
      <c r="CF923" s="216"/>
      <c r="CG923" s="216"/>
      <c r="CH923" s="216"/>
      <c r="CI923" s="216"/>
      <c r="CJ923" s="216"/>
      <c r="CK923" s="216"/>
      <c r="CL923" s="216"/>
      <c r="CM923" s="216"/>
      <c r="CN923" s="216"/>
      <c r="CO923" s="216"/>
      <c r="CP923" s="216"/>
      <c r="CQ923" s="216"/>
      <c r="CR923" s="216"/>
      <c r="CS923" s="216"/>
      <c r="CT923" s="216"/>
      <c r="CU923" s="216"/>
      <c r="CV923" s="216"/>
      <c r="CW923" s="216"/>
      <c r="CX923" s="216"/>
      <c r="CY923" s="216"/>
    </row>
    <row r="924" spans="1:103" ht="12.75" x14ac:dyDescent="0.2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214"/>
      <c r="L924" s="214"/>
      <c r="M924" s="214"/>
      <c r="N924" s="215"/>
      <c r="O924" s="215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  <c r="AJ924" s="216"/>
      <c r="AK924" s="216"/>
      <c r="AL924" s="216"/>
      <c r="AM924" s="216"/>
      <c r="AN924" s="216"/>
      <c r="AO924" s="216"/>
      <c r="AP924" s="216"/>
      <c r="AQ924" s="216"/>
      <c r="AR924" s="216"/>
      <c r="AS924" s="216"/>
      <c r="AT924" s="216"/>
      <c r="AU924" s="216"/>
      <c r="AV924" s="216"/>
      <c r="AW924" s="216"/>
      <c r="AX924" s="216"/>
      <c r="AY924" s="216"/>
      <c r="AZ924" s="216"/>
      <c r="BA924" s="216"/>
      <c r="BB924" s="216"/>
      <c r="BC924" s="216"/>
      <c r="BD924" s="216"/>
      <c r="BE924" s="216"/>
      <c r="BF924" s="216"/>
      <c r="BG924" s="216"/>
      <c r="BH924" s="216"/>
      <c r="BI924" s="216"/>
      <c r="BJ924" s="216"/>
      <c r="BK924" s="216"/>
      <c r="BL924" s="216"/>
      <c r="BM924" s="216"/>
      <c r="BN924" s="216"/>
      <c r="BO924" s="216"/>
      <c r="BP924" s="216"/>
      <c r="BQ924" s="216"/>
      <c r="BR924" s="216"/>
      <c r="BS924" s="216"/>
      <c r="BT924" s="216"/>
      <c r="BU924" s="216"/>
      <c r="BV924" s="216"/>
      <c r="BW924" s="216"/>
      <c r="BX924" s="216"/>
      <c r="BY924" s="216"/>
      <c r="BZ924" s="216"/>
      <c r="CA924" s="216"/>
      <c r="CB924" s="216"/>
      <c r="CC924" s="216"/>
      <c r="CD924" s="216"/>
      <c r="CE924" s="216"/>
      <c r="CF924" s="216"/>
      <c r="CG924" s="216"/>
      <c r="CH924" s="216"/>
      <c r="CI924" s="216"/>
      <c r="CJ924" s="216"/>
      <c r="CK924" s="216"/>
      <c r="CL924" s="216"/>
      <c r="CM924" s="216"/>
      <c r="CN924" s="216"/>
      <c r="CO924" s="216"/>
      <c r="CP924" s="216"/>
      <c r="CQ924" s="216"/>
      <c r="CR924" s="216"/>
      <c r="CS924" s="216"/>
      <c r="CT924" s="216"/>
      <c r="CU924" s="216"/>
      <c r="CV924" s="216"/>
      <c r="CW924" s="216"/>
      <c r="CX924" s="216"/>
      <c r="CY924" s="216"/>
    </row>
    <row r="925" spans="1:103" ht="12.75" x14ac:dyDescent="0.2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214"/>
      <c r="L925" s="214"/>
      <c r="M925" s="214"/>
      <c r="N925" s="215"/>
      <c r="O925" s="215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  <c r="AJ925" s="216"/>
      <c r="AK925" s="216"/>
      <c r="AL925" s="216"/>
      <c r="AM925" s="216"/>
      <c r="AN925" s="216"/>
      <c r="AO925" s="216"/>
      <c r="AP925" s="216"/>
      <c r="AQ925" s="216"/>
      <c r="AR925" s="216"/>
      <c r="AS925" s="216"/>
      <c r="AT925" s="216"/>
      <c r="AU925" s="216"/>
      <c r="AV925" s="216"/>
      <c r="AW925" s="216"/>
      <c r="AX925" s="216"/>
      <c r="AY925" s="216"/>
      <c r="AZ925" s="216"/>
      <c r="BA925" s="216"/>
      <c r="BB925" s="216"/>
      <c r="BC925" s="216"/>
      <c r="BD925" s="216"/>
      <c r="BE925" s="216"/>
      <c r="BF925" s="216"/>
      <c r="BG925" s="216"/>
      <c r="BH925" s="216"/>
      <c r="BI925" s="216"/>
      <c r="BJ925" s="216"/>
      <c r="BK925" s="216"/>
      <c r="BL925" s="216"/>
      <c r="BM925" s="216"/>
      <c r="BN925" s="216"/>
      <c r="BO925" s="216"/>
      <c r="BP925" s="216"/>
      <c r="BQ925" s="216"/>
      <c r="BR925" s="216"/>
      <c r="BS925" s="216"/>
      <c r="BT925" s="216"/>
      <c r="BU925" s="216"/>
      <c r="BV925" s="216"/>
      <c r="BW925" s="216"/>
      <c r="BX925" s="216"/>
      <c r="BY925" s="216"/>
      <c r="BZ925" s="216"/>
      <c r="CA925" s="216"/>
      <c r="CB925" s="216"/>
      <c r="CC925" s="216"/>
      <c r="CD925" s="216"/>
      <c r="CE925" s="216"/>
      <c r="CF925" s="216"/>
      <c r="CG925" s="216"/>
      <c r="CH925" s="216"/>
      <c r="CI925" s="216"/>
      <c r="CJ925" s="216"/>
      <c r="CK925" s="216"/>
      <c r="CL925" s="216"/>
      <c r="CM925" s="216"/>
      <c r="CN925" s="216"/>
      <c r="CO925" s="216"/>
      <c r="CP925" s="216"/>
      <c r="CQ925" s="216"/>
      <c r="CR925" s="216"/>
      <c r="CS925" s="216"/>
      <c r="CT925" s="216"/>
      <c r="CU925" s="216"/>
      <c r="CV925" s="216"/>
      <c r="CW925" s="216"/>
      <c r="CX925" s="216"/>
      <c r="CY925" s="216"/>
    </row>
    <row r="926" spans="1:103" ht="12.75" x14ac:dyDescent="0.2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214"/>
      <c r="L926" s="214"/>
      <c r="M926" s="214"/>
      <c r="N926" s="215"/>
      <c r="O926" s="215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  <c r="AJ926" s="216"/>
      <c r="AK926" s="216"/>
      <c r="AL926" s="216"/>
      <c r="AM926" s="216"/>
      <c r="AN926" s="216"/>
      <c r="AO926" s="216"/>
      <c r="AP926" s="216"/>
      <c r="AQ926" s="216"/>
      <c r="AR926" s="216"/>
      <c r="AS926" s="216"/>
      <c r="AT926" s="216"/>
      <c r="AU926" s="216"/>
      <c r="AV926" s="216"/>
      <c r="AW926" s="216"/>
      <c r="AX926" s="216"/>
      <c r="AY926" s="216"/>
      <c r="AZ926" s="216"/>
      <c r="BA926" s="216"/>
      <c r="BB926" s="216"/>
      <c r="BC926" s="216"/>
      <c r="BD926" s="216"/>
      <c r="BE926" s="216"/>
      <c r="BF926" s="216"/>
      <c r="BG926" s="216"/>
      <c r="BH926" s="216"/>
      <c r="BI926" s="216"/>
      <c r="BJ926" s="216"/>
      <c r="BK926" s="216"/>
      <c r="BL926" s="216"/>
      <c r="BM926" s="216"/>
      <c r="BN926" s="216"/>
      <c r="BO926" s="216"/>
      <c r="BP926" s="216"/>
      <c r="BQ926" s="216"/>
      <c r="BR926" s="216"/>
      <c r="BS926" s="216"/>
      <c r="BT926" s="216"/>
      <c r="BU926" s="216"/>
      <c r="BV926" s="216"/>
      <c r="BW926" s="216"/>
      <c r="BX926" s="216"/>
      <c r="BY926" s="216"/>
      <c r="BZ926" s="216"/>
      <c r="CA926" s="216"/>
      <c r="CB926" s="216"/>
      <c r="CC926" s="216"/>
      <c r="CD926" s="216"/>
      <c r="CE926" s="216"/>
      <c r="CF926" s="216"/>
      <c r="CG926" s="216"/>
      <c r="CH926" s="216"/>
      <c r="CI926" s="216"/>
      <c r="CJ926" s="216"/>
      <c r="CK926" s="216"/>
      <c r="CL926" s="216"/>
      <c r="CM926" s="216"/>
      <c r="CN926" s="216"/>
      <c r="CO926" s="216"/>
      <c r="CP926" s="216"/>
      <c r="CQ926" s="216"/>
      <c r="CR926" s="216"/>
      <c r="CS926" s="216"/>
      <c r="CT926" s="216"/>
      <c r="CU926" s="216"/>
      <c r="CV926" s="216"/>
      <c r="CW926" s="216"/>
      <c r="CX926" s="216"/>
      <c r="CY926" s="216"/>
    </row>
    <row r="927" spans="1:103" ht="12.75" x14ac:dyDescent="0.2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214"/>
      <c r="L927" s="214"/>
      <c r="M927" s="214"/>
      <c r="N927" s="215"/>
      <c r="O927" s="215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  <c r="AJ927" s="216"/>
      <c r="AK927" s="216"/>
      <c r="AL927" s="216"/>
      <c r="AM927" s="216"/>
      <c r="AN927" s="216"/>
      <c r="AO927" s="216"/>
      <c r="AP927" s="216"/>
      <c r="AQ927" s="216"/>
      <c r="AR927" s="216"/>
      <c r="AS927" s="216"/>
      <c r="AT927" s="216"/>
      <c r="AU927" s="216"/>
      <c r="AV927" s="216"/>
      <c r="AW927" s="216"/>
      <c r="AX927" s="216"/>
      <c r="AY927" s="216"/>
      <c r="AZ927" s="216"/>
      <c r="BA927" s="216"/>
      <c r="BB927" s="216"/>
      <c r="BC927" s="216"/>
      <c r="BD927" s="216"/>
      <c r="BE927" s="216"/>
      <c r="BF927" s="216"/>
      <c r="BG927" s="216"/>
      <c r="BH927" s="216"/>
      <c r="BI927" s="216"/>
      <c r="BJ927" s="216"/>
      <c r="BK927" s="216"/>
      <c r="BL927" s="216"/>
      <c r="BM927" s="216"/>
      <c r="BN927" s="216"/>
      <c r="BO927" s="216"/>
      <c r="BP927" s="216"/>
      <c r="BQ927" s="216"/>
      <c r="BR927" s="216"/>
      <c r="BS927" s="216"/>
      <c r="BT927" s="216"/>
      <c r="BU927" s="216"/>
      <c r="BV927" s="216"/>
      <c r="BW927" s="216"/>
      <c r="BX927" s="216"/>
      <c r="BY927" s="216"/>
      <c r="BZ927" s="216"/>
      <c r="CA927" s="216"/>
      <c r="CB927" s="216"/>
      <c r="CC927" s="216"/>
      <c r="CD927" s="216"/>
      <c r="CE927" s="216"/>
      <c r="CF927" s="216"/>
      <c r="CG927" s="216"/>
      <c r="CH927" s="216"/>
      <c r="CI927" s="216"/>
      <c r="CJ927" s="216"/>
      <c r="CK927" s="216"/>
      <c r="CL927" s="216"/>
      <c r="CM927" s="216"/>
      <c r="CN927" s="216"/>
      <c r="CO927" s="216"/>
      <c r="CP927" s="216"/>
      <c r="CQ927" s="216"/>
      <c r="CR927" s="216"/>
      <c r="CS927" s="216"/>
      <c r="CT927" s="216"/>
      <c r="CU927" s="216"/>
      <c r="CV927" s="216"/>
      <c r="CW927" s="216"/>
      <c r="CX927" s="216"/>
      <c r="CY927" s="216"/>
    </row>
    <row r="928" spans="1:103" ht="12.75" x14ac:dyDescent="0.2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214"/>
      <c r="L928" s="214"/>
      <c r="M928" s="214"/>
      <c r="N928" s="215"/>
      <c r="O928" s="215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  <c r="AJ928" s="216"/>
      <c r="AK928" s="216"/>
      <c r="AL928" s="216"/>
      <c r="AM928" s="216"/>
      <c r="AN928" s="216"/>
      <c r="AO928" s="216"/>
      <c r="AP928" s="216"/>
      <c r="AQ928" s="216"/>
      <c r="AR928" s="216"/>
      <c r="AS928" s="216"/>
      <c r="AT928" s="216"/>
      <c r="AU928" s="216"/>
      <c r="AV928" s="216"/>
      <c r="AW928" s="216"/>
      <c r="AX928" s="216"/>
      <c r="AY928" s="216"/>
      <c r="AZ928" s="216"/>
      <c r="BA928" s="216"/>
      <c r="BB928" s="216"/>
      <c r="BC928" s="216"/>
      <c r="BD928" s="216"/>
      <c r="BE928" s="216"/>
      <c r="BF928" s="216"/>
      <c r="BG928" s="216"/>
      <c r="BH928" s="216"/>
      <c r="BI928" s="216"/>
      <c r="BJ928" s="216"/>
      <c r="BK928" s="216"/>
      <c r="BL928" s="216"/>
      <c r="BM928" s="216"/>
      <c r="BN928" s="216"/>
      <c r="BO928" s="216"/>
      <c r="BP928" s="216"/>
      <c r="BQ928" s="216"/>
      <c r="BR928" s="216"/>
      <c r="BS928" s="216"/>
      <c r="BT928" s="216"/>
      <c r="BU928" s="216"/>
      <c r="BV928" s="216"/>
      <c r="BW928" s="216"/>
      <c r="BX928" s="216"/>
      <c r="BY928" s="216"/>
      <c r="BZ928" s="216"/>
      <c r="CA928" s="216"/>
      <c r="CB928" s="216"/>
      <c r="CC928" s="216"/>
      <c r="CD928" s="216"/>
      <c r="CE928" s="216"/>
      <c r="CF928" s="216"/>
      <c r="CG928" s="216"/>
      <c r="CH928" s="216"/>
      <c r="CI928" s="216"/>
      <c r="CJ928" s="216"/>
      <c r="CK928" s="216"/>
      <c r="CL928" s="216"/>
      <c r="CM928" s="216"/>
      <c r="CN928" s="216"/>
      <c r="CO928" s="216"/>
      <c r="CP928" s="216"/>
      <c r="CQ928" s="216"/>
      <c r="CR928" s="216"/>
      <c r="CS928" s="216"/>
      <c r="CT928" s="216"/>
      <c r="CU928" s="216"/>
      <c r="CV928" s="216"/>
      <c r="CW928" s="216"/>
      <c r="CX928" s="216"/>
      <c r="CY928" s="216"/>
    </row>
    <row r="929" spans="1:103" ht="12.75" x14ac:dyDescent="0.2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214"/>
      <c r="L929" s="214"/>
      <c r="M929" s="214"/>
      <c r="N929" s="215"/>
      <c r="O929" s="215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  <c r="AJ929" s="216"/>
      <c r="AK929" s="216"/>
      <c r="AL929" s="216"/>
      <c r="AM929" s="216"/>
      <c r="AN929" s="216"/>
      <c r="AO929" s="216"/>
      <c r="AP929" s="216"/>
      <c r="AQ929" s="216"/>
      <c r="AR929" s="216"/>
      <c r="AS929" s="216"/>
      <c r="AT929" s="216"/>
      <c r="AU929" s="216"/>
      <c r="AV929" s="216"/>
      <c r="AW929" s="216"/>
      <c r="AX929" s="216"/>
      <c r="AY929" s="216"/>
      <c r="AZ929" s="216"/>
      <c r="BA929" s="216"/>
      <c r="BB929" s="216"/>
      <c r="BC929" s="216"/>
      <c r="BD929" s="216"/>
      <c r="BE929" s="216"/>
      <c r="BF929" s="216"/>
      <c r="BG929" s="216"/>
      <c r="BH929" s="216"/>
      <c r="BI929" s="216"/>
      <c r="BJ929" s="216"/>
      <c r="BK929" s="216"/>
      <c r="BL929" s="216"/>
      <c r="BM929" s="216"/>
      <c r="BN929" s="216"/>
      <c r="BO929" s="216"/>
      <c r="BP929" s="216"/>
      <c r="BQ929" s="216"/>
      <c r="BR929" s="216"/>
      <c r="BS929" s="216"/>
      <c r="BT929" s="216"/>
      <c r="BU929" s="216"/>
      <c r="BV929" s="216"/>
      <c r="BW929" s="216"/>
      <c r="BX929" s="216"/>
      <c r="BY929" s="216"/>
      <c r="BZ929" s="216"/>
      <c r="CA929" s="216"/>
      <c r="CB929" s="216"/>
      <c r="CC929" s="216"/>
      <c r="CD929" s="216"/>
      <c r="CE929" s="216"/>
      <c r="CF929" s="216"/>
      <c r="CG929" s="216"/>
      <c r="CH929" s="216"/>
      <c r="CI929" s="216"/>
      <c r="CJ929" s="216"/>
      <c r="CK929" s="216"/>
      <c r="CL929" s="216"/>
      <c r="CM929" s="216"/>
      <c r="CN929" s="216"/>
      <c r="CO929" s="216"/>
      <c r="CP929" s="216"/>
      <c r="CQ929" s="216"/>
      <c r="CR929" s="216"/>
      <c r="CS929" s="216"/>
      <c r="CT929" s="216"/>
      <c r="CU929" s="216"/>
      <c r="CV929" s="216"/>
      <c r="CW929" s="216"/>
      <c r="CX929" s="216"/>
      <c r="CY929" s="216"/>
    </row>
    <row r="930" spans="1:103" ht="12.75" x14ac:dyDescent="0.2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214"/>
      <c r="L930" s="214"/>
      <c r="M930" s="214"/>
      <c r="N930" s="215"/>
      <c r="O930" s="215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  <c r="AJ930" s="216"/>
      <c r="AK930" s="216"/>
      <c r="AL930" s="216"/>
      <c r="AM930" s="216"/>
      <c r="AN930" s="216"/>
      <c r="AO930" s="216"/>
      <c r="AP930" s="216"/>
      <c r="AQ930" s="216"/>
      <c r="AR930" s="216"/>
      <c r="AS930" s="216"/>
      <c r="AT930" s="216"/>
      <c r="AU930" s="216"/>
      <c r="AV930" s="216"/>
      <c r="AW930" s="216"/>
      <c r="AX930" s="216"/>
      <c r="AY930" s="216"/>
      <c r="AZ930" s="216"/>
      <c r="BA930" s="216"/>
      <c r="BB930" s="216"/>
      <c r="BC930" s="216"/>
      <c r="BD930" s="216"/>
      <c r="BE930" s="216"/>
      <c r="BF930" s="216"/>
      <c r="BG930" s="216"/>
      <c r="BH930" s="216"/>
      <c r="BI930" s="216"/>
      <c r="BJ930" s="216"/>
      <c r="BK930" s="216"/>
      <c r="BL930" s="216"/>
      <c r="BM930" s="216"/>
      <c r="BN930" s="216"/>
      <c r="BO930" s="216"/>
      <c r="BP930" s="216"/>
      <c r="BQ930" s="216"/>
      <c r="BR930" s="216"/>
      <c r="BS930" s="216"/>
      <c r="BT930" s="216"/>
      <c r="BU930" s="216"/>
      <c r="BV930" s="216"/>
      <c r="BW930" s="216"/>
      <c r="BX930" s="216"/>
      <c r="BY930" s="216"/>
      <c r="BZ930" s="216"/>
      <c r="CA930" s="216"/>
      <c r="CB930" s="216"/>
      <c r="CC930" s="216"/>
      <c r="CD930" s="216"/>
      <c r="CE930" s="216"/>
      <c r="CF930" s="216"/>
      <c r="CG930" s="216"/>
      <c r="CH930" s="216"/>
      <c r="CI930" s="216"/>
      <c r="CJ930" s="216"/>
      <c r="CK930" s="216"/>
      <c r="CL930" s="216"/>
      <c r="CM930" s="216"/>
      <c r="CN930" s="216"/>
      <c r="CO930" s="216"/>
      <c r="CP930" s="216"/>
      <c r="CQ930" s="216"/>
      <c r="CR930" s="216"/>
      <c r="CS930" s="216"/>
      <c r="CT930" s="216"/>
      <c r="CU930" s="216"/>
      <c r="CV930" s="216"/>
      <c r="CW930" s="216"/>
      <c r="CX930" s="216"/>
      <c r="CY930" s="216"/>
    </row>
    <row r="931" spans="1:103" ht="12.75" x14ac:dyDescent="0.2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214"/>
      <c r="L931" s="214"/>
      <c r="M931" s="214"/>
      <c r="N931" s="215"/>
      <c r="O931" s="215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  <c r="AJ931" s="216"/>
      <c r="AK931" s="216"/>
      <c r="AL931" s="216"/>
      <c r="AM931" s="216"/>
      <c r="AN931" s="216"/>
      <c r="AO931" s="216"/>
      <c r="AP931" s="216"/>
      <c r="AQ931" s="216"/>
      <c r="AR931" s="216"/>
      <c r="AS931" s="216"/>
      <c r="AT931" s="216"/>
      <c r="AU931" s="216"/>
      <c r="AV931" s="216"/>
      <c r="AW931" s="216"/>
      <c r="AX931" s="216"/>
      <c r="AY931" s="216"/>
      <c r="AZ931" s="216"/>
      <c r="BA931" s="216"/>
      <c r="BB931" s="216"/>
      <c r="BC931" s="216"/>
      <c r="BD931" s="216"/>
      <c r="BE931" s="216"/>
      <c r="BF931" s="216"/>
      <c r="BG931" s="216"/>
      <c r="BH931" s="216"/>
      <c r="BI931" s="216"/>
      <c r="BJ931" s="216"/>
      <c r="BK931" s="216"/>
      <c r="BL931" s="216"/>
      <c r="BM931" s="216"/>
      <c r="BN931" s="216"/>
      <c r="BO931" s="216"/>
      <c r="BP931" s="216"/>
      <c r="BQ931" s="216"/>
      <c r="BR931" s="216"/>
      <c r="BS931" s="216"/>
      <c r="BT931" s="216"/>
      <c r="BU931" s="216"/>
      <c r="BV931" s="216"/>
      <c r="BW931" s="216"/>
      <c r="BX931" s="216"/>
      <c r="BY931" s="216"/>
      <c r="BZ931" s="216"/>
      <c r="CA931" s="216"/>
      <c r="CB931" s="216"/>
      <c r="CC931" s="216"/>
      <c r="CD931" s="216"/>
      <c r="CE931" s="216"/>
      <c r="CF931" s="216"/>
      <c r="CG931" s="216"/>
      <c r="CH931" s="216"/>
      <c r="CI931" s="216"/>
      <c r="CJ931" s="216"/>
      <c r="CK931" s="216"/>
      <c r="CL931" s="216"/>
      <c r="CM931" s="216"/>
      <c r="CN931" s="216"/>
      <c r="CO931" s="216"/>
      <c r="CP931" s="216"/>
      <c r="CQ931" s="216"/>
      <c r="CR931" s="216"/>
      <c r="CS931" s="216"/>
      <c r="CT931" s="216"/>
      <c r="CU931" s="216"/>
      <c r="CV931" s="216"/>
      <c r="CW931" s="216"/>
      <c r="CX931" s="216"/>
      <c r="CY931" s="216"/>
    </row>
    <row r="932" spans="1:103" ht="12.75" x14ac:dyDescent="0.2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214"/>
      <c r="L932" s="214"/>
      <c r="M932" s="214"/>
      <c r="N932" s="215"/>
      <c r="O932" s="215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  <c r="AJ932" s="216"/>
      <c r="AK932" s="216"/>
      <c r="AL932" s="216"/>
      <c r="AM932" s="216"/>
      <c r="AN932" s="216"/>
      <c r="AO932" s="216"/>
      <c r="AP932" s="216"/>
      <c r="AQ932" s="216"/>
      <c r="AR932" s="216"/>
      <c r="AS932" s="216"/>
      <c r="AT932" s="216"/>
      <c r="AU932" s="216"/>
      <c r="AV932" s="216"/>
      <c r="AW932" s="216"/>
      <c r="AX932" s="216"/>
      <c r="AY932" s="216"/>
      <c r="AZ932" s="216"/>
      <c r="BA932" s="216"/>
      <c r="BB932" s="216"/>
      <c r="BC932" s="216"/>
      <c r="BD932" s="216"/>
      <c r="BE932" s="216"/>
      <c r="BF932" s="216"/>
      <c r="BG932" s="216"/>
      <c r="BH932" s="216"/>
      <c r="BI932" s="216"/>
      <c r="BJ932" s="216"/>
      <c r="BK932" s="216"/>
      <c r="BL932" s="216"/>
      <c r="BM932" s="216"/>
      <c r="BN932" s="216"/>
      <c r="BO932" s="216"/>
      <c r="BP932" s="216"/>
      <c r="BQ932" s="216"/>
      <c r="BR932" s="216"/>
      <c r="BS932" s="216"/>
      <c r="BT932" s="216"/>
      <c r="BU932" s="216"/>
      <c r="BV932" s="216"/>
      <c r="BW932" s="216"/>
      <c r="BX932" s="216"/>
      <c r="BY932" s="216"/>
      <c r="BZ932" s="216"/>
      <c r="CA932" s="216"/>
      <c r="CB932" s="216"/>
      <c r="CC932" s="216"/>
      <c r="CD932" s="216"/>
      <c r="CE932" s="216"/>
      <c r="CF932" s="216"/>
      <c r="CG932" s="216"/>
      <c r="CH932" s="216"/>
      <c r="CI932" s="216"/>
      <c r="CJ932" s="216"/>
      <c r="CK932" s="216"/>
      <c r="CL932" s="216"/>
      <c r="CM932" s="216"/>
      <c r="CN932" s="216"/>
      <c r="CO932" s="216"/>
      <c r="CP932" s="216"/>
      <c r="CQ932" s="216"/>
      <c r="CR932" s="216"/>
      <c r="CS932" s="216"/>
      <c r="CT932" s="216"/>
      <c r="CU932" s="216"/>
      <c r="CV932" s="216"/>
      <c r="CW932" s="216"/>
      <c r="CX932" s="216"/>
      <c r="CY932" s="216"/>
    </row>
    <row r="933" spans="1:103" ht="12.75" x14ac:dyDescent="0.2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214"/>
      <c r="L933" s="214"/>
      <c r="M933" s="214"/>
      <c r="N933" s="215"/>
      <c r="O933" s="215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  <c r="AJ933" s="216"/>
      <c r="AK933" s="216"/>
      <c r="AL933" s="216"/>
      <c r="AM933" s="216"/>
      <c r="AN933" s="216"/>
      <c r="AO933" s="216"/>
      <c r="AP933" s="216"/>
      <c r="AQ933" s="216"/>
      <c r="AR933" s="216"/>
      <c r="AS933" s="216"/>
      <c r="AT933" s="216"/>
      <c r="AU933" s="216"/>
      <c r="AV933" s="216"/>
      <c r="AW933" s="216"/>
      <c r="AX933" s="216"/>
      <c r="AY933" s="216"/>
      <c r="AZ933" s="216"/>
      <c r="BA933" s="216"/>
      <c r="BB933" s="216"/>
      <c r="BC933" s="216"/>
      <c r="BD933" s="216"/>
      <c r="BE933" s="216"/>
      <c r="BF933" s="216"/>
      <c r="BG933" s="216"/>
      <c r="BH933" s="216"/>
      <c r="BI933" s="216"/>
      <c r="BJ933" s="216"/>
      <c r="BK933" s="216"/>
      <c r="BL933" s="216"/>
      <c r="BM933" s="216"/>
      <c r="BN933" s="216"/>
      <c r="BO933" s="216"/>
      <c r="BP933" s="216"/>
      <c r="BQ933" s="216"/>
      <c r="BR933" s="216"/>
      <c r="BS933" s="216"/>
      <c r="BT933" s="216"/>
      <c r="BU933" s="216"/>
      <c r="BV933" s="216"/>
      <c r="BW933" s="216"/>
      <c r="BX933" s="216"/>
      <c r="BY933" s="216"/>
      <c r="BZ933" s="216"/>
      <c r="CA933" s="216"/>
      <c r="CB933" s="216"/>
      <c r="CC933" s="216"/>
      <c r="CD933" s="216"/>
      <c r="CE933" s="216"/>
      <c r="CF933" s="216"/>
      <c r="CG933" s="216"/>
      <c r="CH933" s="216"/>
      <c r="CI933" s="216"/>
      <c r="CJ933" s="216"/>
      <c r="CK933" s="216"/>
      <c r="CL933" s="216"/>
      <c r="CM933" s="216"/>
      <c r="CN933" s="216"/>
      <c r="CO933" s="216"/>
      <c r="CP933" s="216"/>
      <c r="CQ933" s="216"/>
      <c r="CR933" s="216"/>
      <c r="CS933" s="216"/>
      <c r="CT933" s="216"/>
      <c r="CU933" s="216"/>
      <c r="CV933" s="216"/>
      <c r="CW933" s="216"/>
      <c r="CX933" s="216"/>
      <c r="CY933" s="216"/>
    </row>
    <row r="934" spans="1:103" ht="12.75" x14ac:dyDescent="0.2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214"/>
      <c r="L934" s="214"/>
      <c r="M934" s="214"/>
      <c r="N934" s="215"/>
      <c r="O934" s="215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  <c r="AJ934" s="216"/>
      <c r="AK934" s="216"/>
      <c r="AL934" s="216"/>
      <c r="AM934" s="216"/>
      <c r="AN934" s="216"/>
      <c r="AO934" s="216"/>
      <c r="AP934" s="216"/>
      <c r="AQ934" s="216"/>
      <c r="AR934" s="216"/>
      <c r="AS934" s="216"/>
      <c r="AT934" s="216"/>
      <c r="AU934" s="216"/>
      <c r="AV934" s="216"/>
      <c r="AW934" s="216"/>
      <c r="AX934" s="216"/>
      <c r="AY934" s="216"/>
      <c r="AZ934" s="216"/>
      <c r="BA934" s="216"/>
      <c r="BB934" s="216"/>
      <c r="BC934" s="216"/>
      <c r="BD934" s="216"/>
      <c r="BE934" s="216"/>
      <c r="BF934" s="216"/>
      <c r="BG934" s="216"/>
      <c r="BH934" s="216"/>
      <c r="BI934" s="216"/>
      <c r="BJ934" s="216"/>
      <c r="BK934" s="216"/>
      <c r="BL934" s="216"/>
      <c r="BM934" s="216"/>
      <c r="BN934" s="216"/>
      <c r="BO934" s="216"/>
      <c r="BP934" s="216"/>
      <c r="BQ934" s="216"/>
      <c r="BR934" s="216"/>
      <c r="BS934" s="216"/>
      <c r="BT934" s="216"/>
      <c r="BU934" s="216"/>
      <c r="BV934" s="216"/>
      <c r="BW934" s="216"/>
      <c r="BX934" s="216"/>
      <c r="BY934" s="216"/>
      <c r="BZ934" s="216"/>
      <c r="CA934" s="216"/>
      <c r="CB934" s="216"/>
      <c r="CC934" s="216"/>
      <c r="CD934" s="216"/>
      <c r="CE934" s="216"/>
      <c r="CF934" s="216"/>
      <c r="CG934" s="216"/>
      <c r="CH934" s="216"/>
      <c r="CI934" s="216"/>
      <c r="CJ934" s="216"/>
      <c r="CK934" s="216"/>
      <c r="CL934" s="216"/>
      <c r="CM934" s="216"/>
      <c r="CN934" s="216"/>
      <c r="CO934" s="216"/>
      <c r="CP934" s="216"/>
      <c r="CQ934" s="216"/>
      <c r="CR934" s="216"/>
      <c r="CS934" s="216"/>
      <c r="CT934" s="216"/>
      <c r="CU934" s="216"/>
      <c r="CV934" s="216"/>
      <c r="CW934" s="216"/>
      <c r="CX934" s="216"/>
      <c r="CY934" s="216"/>
    </row>
    <row r="935" spans="1:103" ht="12.75" x14ac:dyDescent="0.2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214"/>
      <c r="L935" s="214"/>
      <c r="M935" s="214"/>
      <c r="N935" s="215"/>
      <c r="O935" s="215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  <c r="AJ935" s="216"/>
      <c r="AK935" s="216"/>
      <c r="AL935" s="216"/>
      <c r="AM935" s="216"/>
      <c r="AN935" s="216"/>
      <c r="AO935" s="216"/>
      <c r="AP935" s="216"/>
      <c r="AQ935" s="216"/>
      <c r="AR935" s="216"/>
      <c r="AS935" s="216"/>
      <c r="AT935" s="216"/>
      <c r="AU935" s="216"/>
      <c r="AV935" s="216"/>
      <c r="AW935" s="216"/>
      <c r="AX935" s="216"/>
      <c r="AY935" s="216"/>
      <c r="AZ935" s="216"/>
      <c r="BA935" s="216"/>
      <c r="BB935" s="216"/>
      <c r="BC935" s="216"/>
      <c r="BD935" s="216"/>
      <c r="BE935" s="216"/>
      <c r="BF935" s="216"/>
      <c r="BG935" s="216"/>
      <c r="BH935" s="216"/>
      <c r="BI935" s="216"/>
      <c r="BJ935" s="216"/>
      <c r="BK935" s="216"/>
      <c r="BL935" s="216"/>
      <c r="BM935" s="216"/>
      <c r="BN935" s="216"/>
      <c r="BO935" s="216"/>
      <c r="BP935" s="216"/>
      <c r="BQ935" s="216"/>
      <c r="BR935" s="216"/>
      <c r="BS935" s="216"/>
      <c r="BT935" s="216"/>
      <c r="BU935" s="216"/>
      <c r="BV935" s="216"/>
      <c r="BW935" s="216"/>
      <c r="BX935" s="216"/>
      <c r="BY935" s="216"/>
      <c r="BZ935" s="216"/>
      <c r="CA935" s="216"/>
      <c r="CB935" s="216"/>
      <c r="CC935" s="216"/>
      <c r="CD935" s="216"/>
      <c r="CE935" s="216"/>
      <c r="CF935" s="216"/>
      <c r="CG935" s="216"/>
      <c r="CH935" s="216"/>
      <c r="CI935" s="216"/>
      <c r="CJ935" s="216"/>
      <c r="CK935" s="216"/>
      <c r="CL935" s="216"/>
      <c r="CM935" s="216"/>
      <c r="CN935" s="216"/>
      <c r="CO935" s="216"/>
      <c r="CP935" s="216"/>
      <c r="CQ935" s="216"/>
      <c r="CR935" s="216"/>
      <c r="CS935" s="216"/>
      <c r="CT935" s="216"/>
      <c r="CU935" s="216"/>
      <c r="CV935" s="216"/>
      <c r="CW935" s="216"/>
      <c r="CX935" s="216"/>
      <c r="CY935" s="216"/>
    </row>
    <row r="936" spans="1:103" ht="12.75" x14ac:dyDescent="0.2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214"/>
      <c r="L936" s="214"/>
      <c r="M936" s="214"/>
      <c r="N936" s="215"/>
      <c r="O936" s="215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  <c r="AJ936" s="216"/>
      <c r="AK936" s="216"/>
      <c r="AL936" s="216"/>
      <c r="AM936" s="216"/>
      <c r="AN936" s="216"/>
      <c r="AO936" s="216"/>
      <c r="AP936" s="216"/>
      <c r="AQ936" s="216"/>
      <c r="AR936" s="216"/>
      <c r="AS936" s="216"/>
      <c r="AT936" s="216"/>
      <c r="AU936" s="216"/>
      <c r="AV936" s="216"/>
      <c r="AW936" s="216"/>
      <c r="AX936" s="216"/>
      <c r="AY936" s="216"/>
      <c r="AZ936" s="216"/>
      <c r="BA936" s="216"/>
      <c r="BB936" s="216"/>
      <c r="BC936" s="216"/>
      <c r="BD936" s="216"/>
      <c r="BE936" s="216"/>
      <c r="BF936" s="216"/>
      <c r="BG936" s="216"/>
      <c r="BH936" s="216"/>
      <c r="BI936" s="216"/>
      <c r="BJ936" s="216"/>
      <c r="BK936" s="216"/>
      <c r="BL936" s="216"/>
      <c r="BM936" s="216"/>
      <c r="BN936" s="216"/>
      <c r="BO936" s="216"/>
      <c r="BP936" s="216"/>
      <c r="BQ936" s="216"/>
      <c r="BR936" s="216"/>
      <c r="BS936" s="216"/>
      <c r="BT936" s="216"/>
      <c r="BU936" s="216"/>
      <c r="BV936" s="216"/>
      <c r="BW936" s="216"/>
      <c r="BX936" s="216"/>
      <c r="BY936" s="216"/>
      <c r="BZ936" s="216"/>
      <c r="CA936" s="216"/>
      <c r="CB936" s="216"/>
      <c r="CC936" s="216"/>
      <c r="CD936" s="216"/>
      <c r="CE936" s="216"/>
      <c r="CF936" s="216"/>
      <c r="CG936" s="216"/>
      <c r="CH936" s="216"/>
      <c r="CI936" s="216"/>
      <c r="CJ936" s="216"/>
      <c r="CK936" s="216"/>
      <c r="CL936" s="216"/>
      <c r="CM936" s="216"/>
      <c r="CN936" s="216"/>
      <c r="CO936" s="216"/>
      <c r="CP936" s="216"/>
      <c r="CQ936" s="216"/>
      <c r="CR936" s="216"/>
      <c r="CS936" s="216"/>
      <c r="CT936" s="216"/>
      <c r="CU936" s="216"/>
      <c r="CV936" s="216"/>
      <c r="CW936" s="216"/>
      <c r="CX936" s="216"/>
      <c r="CY936" s="216"/>
    </row>
    <row r="937" spans="1:103" ht="12.75" x14ac:dyDescent="0.2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214"/>
      <c r="L937" s="214"/>
      <c r="M937" s="214"/>
      <c r="N937" s="215"/>
      <c r="O937" s="215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  <c r="AJ937" s="216"/>
      <c r="AK937" s="216"/>
      <c r="AL937" s="216"/>
      <c r="AM937" s="216"/>
      <c r="AN937" s="216"/>
      <c r="AO937" s="216"/>
      <c r="AP937" s="216"/>
      <c r="AQ937" s="216"/>
      <c r="AR937" s="216"/>
      <c r="AS937" s="216"/>
      <c r="AT937" s="216"/>
      <c r="AU937" s="216"/>
      <c r="AV937" s="216"/>
      <c r="AW937" s="216"/>
      <c r="AX937" s="216"/>
      <c r="AY937" s="216"/>
      <c r="AZ937" s="216"/>
      <c r="BA937" s="216"/>
      <c r="BB937" s="216"/>
      <c r="BC937" s="216"/>
      <c r="BD937" s="216"/>
      <c r="BE937" s="216"/>
      <c r="BF937" s="216"/>
      <c r="BG937" s="216"/>
      <c r="BH937" s="216"/>
      <c r="BI937" s="216"/>
      <c r="BJ937" s="216"/>
      <c r="BK937" s="216"/>
      <c r="BL937" s="216"/>
      <c r="BM937" s="216"/>
      <c r="BN937" s="216"/>
      <c r="BO937" s="216"/>
      <c r="BP937" s="216"/>
      <c r="BQ937" s="216"/>
      <c r="BR937" s="216"/>
      <c r="BS937" s="216"/>
      <c r="BT937" s="216"/>
      <c r="BU937" s="216"/>
      <c r="BV937" s="216"/>
      <c r="BW937" s="216"/>
      <c r="BX937" s="216"/>
      <c r="BY937" s="216"/>
      <c r="BZ937" s="216"/>
      <c r="CA937" s="216"/>
      <c r="CB937" s="216"/>
      <c r="CC937" s="216"/>
      <c r="CD937" s="216"/>
      <c r="CE937" s="216"/>
      <c r="CF937" s="216"/>
      <c r="CG937" s="216"/>
      <c r="CH937" s="216"/>
      <c r="CI937" s="216"/>
      <c r="CJ937" s="216"/>
      <c r="CK937" s="216"/>
      <c r="CL937" s="216"/>
      <c r="CM937" s="216"/>
      <c r="CN937" s="216"/>
      <c r="CO937" s="216"/>
      <c r="CP937" s="216"/>
      <c r="CQ937" s="216"/>
      <c r="CR937" s="216"/>
      <c r="CS937" s="216"/>
      <c r="CT937" s="216"/>
      <c r="CU937" s="216"/>
      <c r="CV937" s="216"/>
      <c r="CW937" s="216"/>
      <c r="CX937" s="216"/>
      <c r="CY937" s="216"/>
    </row>
    <row r="938" spans="1:103" ht="12.75" x14ac:dyDescent="0.2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214"/>
      <c r="L938" s="214"/>
      <c r="M938" s="214"/>
      <c r="N938" s="215"/>
      <c r="O938" s="215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  <c r="AJ938" s="216"/>
      <c r="AK938" s="216"/>
      <c r="AL938" s="216"/>
      <c r="AM938" s="216"/>
      <c r="AN938" s="216"/>
      <c r="AO938" s="216"/>
      <c r="AP938" s="216"/>
      <c r="AQ938" s="216"/>
      <c r="AR938" s="216"/>
      <c r="AS938" s="216"/>
      <c r="AT938" s="216"/>
      <c r="AU938" s="216"/>
      <c r="AV938" s="216"/>
      <c r="AW938" s="216"/>
      <c r="AX938" s="216"/>
      <c r="AY938" s="216"/>
      <c r="AZ938" s="216"/>
      <c r="BA938" s="216"/>
      <c r="BB938" s="216"/>
      <c r="BC938" s="216"/>
      <c r="BD938" s="216"/>
      <c r="BE938" s="216"/>
      <c r="BF938" s="216"/>
      <c r="BG938" s="216"/>
      <c r="BH938" s="216"/>
      <c r="BI938" s="216"/>
      <c r="BJ938" s="216"/>
      <c r="BK938" s="216"/>
      <c r="BL938" s="216"/>
      <c r="BM938" s="216"/>
      <c r="BN938" s="216"/>
      <c r="BO938" s="216"/>
      <c r="BP938" s="216"/>
      <c r="BQ938" s="216"/>
      <c r="BR938" s="216"/>
      <c r="BS938" s="216"/>
      <c r="BT938" s="216"/>
      <c r="BU938" s="216"/>
      <c r="BV938" s="216"/>
      <c r="BW938" s="216"/>
      <c r="BX938" s="216"/>
      <c r="BY938" s="216"/>
      <c r="BZ938" s="216"/>
      <c r="CA938" s="216"/>
      <c r="CB938" s="216"/>
      <c r="CC938" s="216"/>
      <c r="CD938" s="216"/>
      <c r="CE938" s="216"/>
      <c r="CF938" s="216"/>
      <c r="CG938" s="216"/>
      <c r="CH938" s="216"/>
      <c r="CI938" s="216"/>
      <c r="CJ938" s="216"/>
      <c r="CK938" s="216"/>
      <c r="CL938" s="216"/>
      <c r="CM938" s="216"/>
      <c r="CN938" s="216"/>
      <c r="CO938" s="216"/>
      <c r="CP938" s="216"/>
      <c r="CQ938" s="216"/>
      <c r="CR938" s="216"/>
      <c r="CS938" s="216"/>
      <c r="CT938" s="216"/>
      <c r="CU938" s="216"/>
      <c r="CV938" s="216"/>
      <c r="CW938" s="216"/>
      <c r="CX938" s="216"/>
      <c r="CY938" s="216"/>
    </row>
    <row r="939" spans="1:103" ht="12.75" x14ac:dyDescent="0.2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214"/>
      <c r="L939" s="214"/>
      <c r="M939" s="214"/>
      <c r="N939" s="215"/>
      <c r="O939" s="215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16"/>
      <c r="AN939" s="216"/>
      <c r="AO939" s="216"/>
      <c r="AP939" s="216"/>
      <c r="AQ939" s="216"/>
      <c r="AR939" s="216"/>
      <c r="AS939" s="216"/>
      <c r="AT939" s="216"/>
      <c r="AU939" s="216"/>
      <c r="AV939" s="216"/>
      <c r="AW939" s="216"/>
      <c r="AX939" s="216"/>
      <c r="AY939" s="216"/>
      <c r="AZ939" s="216"/>
      <c r="BA939" s="216"/>
      <c r="BB939" s="216"/>
      <c r="BC939" s="216"/>
      <c r="BD939" s="216"/>
      <c r="BE939" s="216"/>
      <c r="BF939" s="216"/>
      <c r="BG939" s="216"/>
      <c r="BH939" s="216"/>
      <c r="BI939" s="216"/>
      <c r="BJ939" s="216"/>
      <c r="BK939" s="216"/>
      <c r="BL939" s="216"/>
      <c r="BM939" s="216"/>
      <c r="BN939" s="216"/>
      <c r="BO939" s="216"/>
      <c r="BP939" s="216"/>
      <c r="BQ939" s="216"/>
      <c r="BR939" s="216"/>
      <c r="BS939" s="216"/>
      <c r="BT939" s="216"/>
      <c r="BU939" s="216"/>
      <c r="BV939" s="216"/>
      <c r="BW939" s="216"/>
      <c r="BX939" s="216"/>
      <c r="BY939" s="216"/>
      <c r="BZ939" s="216"/>
      <c r="CA939" s="216"/>
      <c r="CB939" s="216"/>
      <c r="CC939" s="216"/>
      <c r="CD939" s="216"/>
      <c r="CE939" s="216"/>
      <c r="CF939" s="216"/>
      <c r="CG939" s="216"/>
      <c r="CH939" s="216"/>
      <c r="CI939" s="216"/>
      <c r="CJ939" s="216"/>
      <c r="CK939" s="216"/>
      <c r="CL939" s="216"/>
      <c r="CM939" s="216"/>
      <c r="CN939" s="216"/>
      <c r="CO939" s="216"/>
      <c r="CP939" s="216"/>
      <c r="CQ939" s="216"/>
      <c r="CR939" s="216"/>
      <c r="CS939" s="216"/>
      <c r="CT939" s="216"/>
      <c r="CU939" s="216"/>
      <c r="CV939" s="216"/>
      <c r="CW939" s="216"/>
      <c r="CX939" s="216"/>
      <c r="CY939" s="216"/>
    </row>
    <row r="940" spans="1:103" ht="12.75" x14ac:dyDescent="0.2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214"/>
      <c r="L940" s="214"/>
      <c r="M940" s="214"/>
      <c r="N940" s="215"/>
      <c r="O940" s="215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16"/>
      <c r="AN940" s="216"/>
      <c r="AO940" s="216"/>
      <c r="AP940" s="216"/>
      <c r="AQ940" s="216"/>
      <c r="AR940" s="216"/>
      <c r="AS940" s="216"/>
      <c r="AT940" s="216"/>
      <c r="AU940" s="216"/>
      <c r="AV940" s="216"/>
      <c r="AW940" s="216"/>
      <c r="AX940" s="216"/>
      <c r="AY940" s="216"/>
      <c r="AZ940" s="216"/>
      <c r="BA940" s="216"/>
      <c r="BB940" s="216"/>
      <c r="BC940" s="216"/>
      <c r="BD940" s="216"/>
      <c r="BE940" s="216"/>
      <c r="BF940" s="216"/>
      <c r="BG940" s="216"/>
      <c r="BH940" s="216"/>
      <c r="BI940" s="216"/>
      <c r="BJ940" s="216"/>
      <c r="BK940" s="216"/>
      <c r="BL940" s="216"/>
      <c r="BM940" s="216"/>
      <c r="BN940" s="216"/>
      <c r="BO940" s="216"/>
      <c r="BP940" s="216"/>
      <c r="BQ940" s="216"/>
      <c r="BR940" s="216"/>
      <c r="BS940" s="216"/>
      <c r="BT940" s="216"/>
      <c r="BU940" s="216"/>
      <c r="BV940" s="216"/>
      <c r="BW940" s="216"/>
      <c r="BX940" s="216"/>
      <c r="BY940" s="216"/>
      <c r="BZ940" s="216"/>
      <c r="CA940" s="216"/>
      <c r="CB940" s="216"/>
      <c r="CC940" s="216"/>
      <c r="CD940" s="216"/>
      <c r="CE940" s="216"/>
      <c r="CF940" s="216"/>
      <c r="CG940" s="216"/>
      <c r="CH940" s="216"/>
      <c r="CI940" s="216"/>
      <c r="CJ940" s="216"/>
      <c r="CK940" s="216"/>
      <c r="CL940" s="216"/>
      <c r="CM940" s="216"/>
      <c r="CN940" s="216"/>
      <c r="CO940" s="216"/>
      <c r="CP940" s="216"/>
      <c r="CQ940" s="216"/>
      <c r="CR940" s="216"/>
      <c r="CS940" s="216"/>
      <c r="CT940" s="216"/>
      <c r="CU940" s="216"/>
      <c r="CV940" s="216"/>
      <c r="CW940" s="216"/>
      <c r="CX940" s="216"/>
      <c r="CY940" s="216"/>
    </row>
    <row r="941" spans="1:103" ht="12.75" x14ac:dyDescent="0.2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214"/>
      <c r="L941" s="214"/>
      <c r="M941" s="214"/>
      <c r="N941" s="215"/>
      <c r="O941" s="215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16"/>
      <c r="AN941" s="216"/>
      <c r="AO941" s="216"/>
      <c r="AP941" s="216"/>
      <c r="AQ941" s="216"/>
      <c r="AR941" s="216"/>
      <c r="AS941" s="216"/>
      <c r="AT941" s="216"/>
      <c r="AU941" s="216"/>
      <c r="AV941" s="216"/>
      <c r="AW941" s="216"/>
      <c r="AX941" s="216"/>
      <c r="AY941" s="216"/>
      <c r="AZ941" s="216"/>
      <c r="BA941" s="216"/>
      <c r="BB941" s="216"/>
      <c r="BC941" s="216"/>
      <c r="BD941" s="216"/>
      <c r="BE941" s="216"/>
      <c r="BF941" s="216"/>
      <c r="BG941" s="216"/>
      <c r="BH941" s="216"/>
      <c r="BI941" s="216"/>
      <c r="BJ941" s="216"/>
      <c r="BK941" s="216"/>
      <c r="BL941" s="216"/>
      <c r="BM941" s="216"/>
      <c r="BN941" s="216"/>
      <c r="BO941" s="216"/>
      <c r="BP941" s="216"/>
      <c r="BQ941" s="216"/>
      <c r="BR941" s="216"/>
      <c r="BS941" s="216"/>
      <c r="BT941" s="216"/>
      <c r="BU941" s="216"/>
      <c r="BV941" s="216"/>
      <c r="BW941" s="216"/>
      <c r="BX941" s="216"/>
      <c r="BY941" s="216"/>
      <c r="BZ941" s="216"/>
      <c r="CA941" s="216"/>
      <c r="CB941" s="216"/>
      <c r="CC941" s="216"/>
      <c r="CD941" s="216"/>
      <c r="CE941" s="216"/>
      <c r="CF941" s="216"/>
      <c r="CG941" s="216"/>
      <c r="CH941" s="216"/>
      <c r="CI941" s="216"/>
      <c r="CJ941" s="216"/>
      <c r="CK941" s="216"/>
      <c r="CL941" s="216"/>
      <c r="CM941" s="216"/>
      <c r="CN941" s="216"/>
      <c r="CO941" s="216"/>
      <c r="CP941" s="216"/>
      <c r="CQ941" s="216"/>
      <c r="CR941" s="216"/>
      <c r="CS941" s="216"/>
      <c r="CT941" s="216"/>
      <c r="CU941" s="216"/>
      <c r="CV941" s="216"/>
      <c r="CW941" s="216"/>
      <c r="CX941" s="216"/>
      <c r="CY941" s="216"/>
    </row>
    <row r="942" spans="1:103" ht="12.75" x14ac:dyDescent="0.2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214"/>
      <c r="L942" s="214"/>
      <c r="M942" s="214"/>
      <c r="N942" s="215"/>
      <c r="O942" s="215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16"/>
      <c r="AN942" s="216"/>
      <c r="AO942" s="216"/>
      <c r="AP942" s="216"/>
      <c r="AQ942" s="216"/>
      <c r="AR942" s="216"/>
      <c r="AS942" s="216"/>
      <c r="AT942" s="216"/>
      <c r="AU942" s="216"/>
      <c r="AV942" s="216"/>
      <c r="AW942" s="216"/>
      <c r="AX942" s="216"/>
      <c r="AY942" s="216"/>
      <c r="AZ942" s="216"/>
      <c r="BA942" s="216"/>
      <c r="BB942" s="216"/>
      <c r="BC942" s="216"/>
      <c r="BD942" s="216"/>
      <c r="BE942" s="216"/>
      <c r="BF942" s="216"/>
      <c r="BG942" s="216"/>
      <c r="BH942" s="216"/>
      <c r="BI942" s="216"/>
      <c r="BJ942" s="216"/>
      <c r="BK942" s="216"/>
      <c r="BL942" s="216"/>
      <c r="BM942" s="216"/>
      <c r="BN942" s="216"/>
      <c r="BO942" s="216"/>
      <c r="BP942" s="216"/>
      <c r="BQ942" s="216"/>
      <c r="BR942" s="216"/>
      <c r="BS942" s="216"/>
      <c r="BT942" s="216"/>
      <c r="BU942" s="216"/>
      <c r="BV942" s="216"/>
      <c r="BW942" s="216"/>
      <c r="BX942" s="216"/>
      <c r="BY942" s="216"/>
      <c r="BZ942" s="216"/>
      <c r="CA942" s="216"/>
      <c r="CB942" s="216"/>
      <c r="CC942" s="216"/>
      <c r="CD942" s="216"/>
      <c r="CE942" s="216"/>
      <c r="CF942" s="216"/>
      <c r="CG942" s="216"/>
      <c r="CH942" s="216"/>
      <c r="CI942" s="216"/>
      <c r="CJ942" s="216"/>
      <c r="CK942" s="216"/>
      <c r="CL942" s="216"/>
      <c r="CM942" s="216"/>
      <c r="CN942" s="216"/>
      <c r="CO942" s="216"/>
      <c r="CP942" s="216"/>
      <c r="CQ942" s="216"/>
      <c r="CR942" s="216"/>
      <c r="CS942" s="216"/>
      <c r="CT942" s="216"/>
      <c r="CU942" s="216"/>
      <c r="CV942" s="216"/>
      <c r="CW942" s="216"/>
      <c r="CX942" s="216"/>
      <c r="CY942" s="216"/>
    </row>
    <row r="943" spans="1:103" ht="12.75" x14ac:dyDescent="0.2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214"/>
      <c r="L943" s="214"/>
      <c r="M943" s="214"/>
      <c r="N943" s="215"/>
      <c r="O943" s="215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16"/>
      <c r="AN943" s="216"/>
      <c r="AO943" s="216"/>
      <c r="AP943" s="216"/>
      <c r="AQ943" s="216"/>
      <c r="AR943" s="216"/>
      <c r="AS943" s="216"/>
      <c r="AT943" s="216"/>
      <c r="AU943" s="216"/>
      <c r="AV943" s="216"/>
      <c r="AW943" s="216"/>
      <c r="AX943" s="216"/>
      <c r="AY943" s="216"/>
      <c r="AZ943" s="216"/>
      <c r="BA943" s="216"/>
      <c r="BB943" s="216"/>
      <c r="BC943" s="216"/>
      <c r="BD943" s="216"/>
      <c r="BE943" s="216"/>
      <c r="BF943" s="216"/>
      <c r="BG943" s="216"/>
      <c r="BH943" s="216"/>
      <c r="BI943" s="216"/>
      <c r="BJ943" s="216"/>
      <c r="BK943" s="216"/>
      <c r="BL943" s="216"/>
      <c r="BM943" s="216"/>
      <c r="BN943" s="216"/>
      <c r="BO943" s="216"/>
      <c r="BP943" s="216"/>
      <c r="BQ943" s="216"/>
      <c r="BR943" s="216"/>
      <c r="BS943" s="216"/>
      <c r="BT943" s="216"/>
      <c r="BU943" s="216"/>
      <c r="BV943" s="216"/>
      <c r="BW943" s="216"/>
      <c r="BX943" s="216"/>
      <c r="BY943" s="216"/>
      <c r="BZ943" s="216"/>
      <c r="CA943" s="216"/>
      <c r="CB943" s="216"/>
      <c r="CC943" s="216"/>
      <c r="CD943" s="216"/>
      <c r="CE943" s="216"/>
      <c r="CF943" s="216"/>
      <c r="CG943" s="216"/>
      <c r="CH943" s="216"/>
      <c r="CI943" s="216"/>
      <c r="CJ943" s="216"/>
      <c r="CK943" s="216"/>
      <c r="CL943" s="216"/>
      <c r="CM943" s="216"/>
      <c r="CN943" s="216"/>
      <c r="CO943" s="216"/>
      <c r="CP943" s="216"/>
      <c r="CQ943" s="216"/>
      <c r="CR943" s="216"/>
      <c r="CS943" s="216"/>
      <c r="CT943" s="216"/>
      <c r="CU943" s="216"/>
      <c r="CV943" s="216"/>
      <c r="CW943" s="216"/>
      <c r="CX943" s="216"/>
      <c r="CY943" s="216"/>
    </row>
    <row r="944" spans="1:103" ht="12.75" x14ac:dyDescent="0.2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214"/>
      <c r="L944" s="214"/>
      <c r="M944" s="214"/>
      <c r="N944" s="215"/>
      <c r="O944" s="215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16"/>
      <c r="AN944" s="216"/>
      <c r="AO944" s="216"/>
      <c r="AP944" s="216"/>
      <c r="AQ944" s="216"/>
      <c r="AR944" s="216"/>
      <c r="AS944" s="216"/>
      <c r="AT944" s="216"/>
      <c r="AU944" s="216"/>
      <c r="AV944" s="216"/>
      <c r="AW944" s="216"/>
      <c r="AX944" s="216"/>
      <c r="AY944" s="216"/>
      <c r="AZ944" s="216"/>
      <c r="BA944" s="216"/>
      <c r="BB944" s="216"/>
      <c r="BC944" s="216"/>
      <c r="BD944" s="216"/>
      <c r="BE944" s="216"/>
      <c r="BF944" s="216"/>
      <c r="BG944" s="216"/>
      <c r="BH944" s="216"/>
      <c r="BI944" s="216"/>
      <c r="BJ944" s="216"/>
      <c r="BK944" s="216"/>
      <c r="BL944" s="216"/>
      <c r="BM944" s="216"/>
      <c r="BN944" s="216"/>
      <c r="BO944" s="216"/>
      <c r="BP944" s="216"/>
      <c r="BQ944" s="216"/>
      <c r="BR944" s="216"/>
      <c r="BS944" s="216"/>
      <c r="BT944" s="216"/>
      <c r="BU944" s="216"/>
      <c r="BV944" s="216"/>
      <c r="BW944" s="216"/>
      <c r="BX944" s="216"/>
      <c r="BY944" s="216"/>
      <c r="BZ944" s="216"/>
      <c r="CA944" s="216"/>
      <c r="CB944" s="216"/>
      <c r="CC944" s="216"/>
      <c r="CD944" s="216"/>
      <c r="CE944" s="216"/>
      <c r="CF944" s="216"/>
      <c r="CG944" s="216"/>
      <c r="CH944" s="216"/>
      <c r="CI944" s="216"/>
      <c r="CJ944" s="216"/>
      <c r="CK944" s="216"/>
      <c r="CL944" s="216"/>
      <c r="CM944" s="216"/>
      <c r="CN944" s="216"/>
      <c r="CO944" s="216"/>
      <c r="CP944" s="216"/>
      <c r="CQ944" s="216"/>
      <c r="CR944" s="216"/>
      <c r="CS944" s="216"/>
      <c r="CT944" s="216"/>
      <c r="CU944" s="216"/>
      <c r="CV944" s="216"/>
      <c r="CW944" s="216"/>
      <c r="CX944" s="216"/>
      <c r="CY944" s="216"/>
    </row>
    <row r="945" spans="1:103" ht="12.75" x14ac:dyDescent="0.2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214"/>
      <c r="L945" s="214"/>
      <c r="M945" s="214"/>
      <c r="N945" s="215"/>
      <c r="O945" s="215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16"/>
      <c r="AN945" s="216"/>
      <c r="AO945" s="216"/>
      <c r="AP945" s="216"/>
      <c r="AQ945" s="216"/>
      <c r="AR945" s="216"/>
      <c r="AS945" s="216"/>
      <c r="AT945" s="216"/>
      <c r="AU945" s="216"/>
      <c r="AV945" s="216"/>
      <c r="AW945" s="216"/>
      <c r="AX945" s="216"/>
      <c r="AY945" s="216"/>
      <c r="AZ945" s="216"/>
      <c r="BA945" s="216"/>
      <c r="BB945" s="216"/>
      <c r="BC945" s="216"/>
      <c r="BD945" s="216"/>
      <c r="BE945" s="216"/>
      <c r="BF945" s="216"/>
      <c r="BG945" s="216"/>
      <c r="BH945" s="216"/>
      <c r="BI945" s="216"/>
      <c r="BJ945" s="216"/>
      <c r="BK945" s="216"/>
      <c r="BL945" s="216"/>
      <c r="BM945" s="216"/>
      <c r="BN945" s="216"/>
      <c r="BO945" s="216"/>
      <c r="BP945" s="216"/>
      <c r="BQ945" s="216"/>
      <c r="BR945" s="216"/>
      <c r="BS945" s="216"/>
      <c r="BT945" s="216"/>
      <c r="BU945" s="216"/>
      <c r="BV945" s="216"/>
      <c r="BW945" s="216"/>
      <c r="BX945" s="216"/>
      <c r="BY945" s="216"/>
      <c r="BZ945" s="216"/>
      <c r="CA945" s="216"/>
      <c r="CB945" s="216"/>
      <c r="CC945" s="216"/>
      <c r="CD945" s="216"/>
      <c r="CE945" s="216"/>
      <c r="CF945" s="216"/>
      <c r="CG945" s="216"/>
      <c r="CH945" s="216"/>
      <c r="CI945" s="216"/>
      <c r="CJ945" s="216"/>
      <c r="CK945" s="216"/>
      <c r="CL945" s="216"/>
      <c r="CM945" s="216"/>
      <c r="CN945" s="216"/>
      <c r="CO945" s="216"/>
      <c r="CP945" s="216"/>
      <c r="CQ945" s="216"/>
      <c r="CR945" s="216"/>
      <c r="CS945" s="216"/>
      <c r="CT945" s="216"/>
      <c r="CU945" s="216"/>
      <c r="CV945" s="216"/>
      <c r="CW945" s="216"/>
      <c r="CX945" s="216"/>
      <c r="CY945" s="216"/>
    </row>
    <row r="946" spans="1:103" ht="12.75" x14ac:dyDescent="0.2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214"/>
      <c r="L946" s="214"/>
      <c r="M946" s="214"/>
      <c r="N946" s="215"/>
      <c r="O946" s="215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16"/>
      <c r="AN946" s="216"/>
      <c r="AO946" s="216"/>
      <c r="AP946" s="216"/>
      <c r="AQ946" s="216"/>
      <c r="AR946" s="216"/>
      <c r="AS946" s="216"/>
      <c r="AT946" s="216"/>
      <c r="AU946" s="216"/>
      <c r="AV946" s="216"/>
      <c r="AW946" s="216"/>
      <c r="AX946" s="216"/>
      <c r="AY946" s="216"/>
      <c r="AZ946" s="216"/>
      <c r="BA946" s="216"/>
      <c r="BB946" s="216"/>
      <c r="BC946" s="216"/>
      <c r="BD946" s="216"/>
      <c r="BE946" s="216"/>
      <c r="BF946" s="216"/>
      <c r="BG946" s="216"/>
      <c r="BH946" s="216"/>
      <c r="BI946" s="216"/>
      <c r="BJ946" s="216"/>
      <c r="BK946" s="216"/>
      <c r="BL946" s="216"/>
      <c r="BM946" s="216"/>
      <c r="BN946" s="216"/>
      <c r="BO946" s="216"/>
      <c r="BP946" s="216"/>
      <c r="BQ946" s="216"/>
      <c r="BR946" s="216"/>
      <c r="BS946" s="216"/>
      <c r="BT946" s="216"/>
      <c r="BU946" s="216"/>
      <c r="BV946" s="216"/>
      <c r="BW946" s="216"/>
      <c r="BX946" s="216"/>
      <c r="BY946" s="216"/>
      <c r="BZ946" s="216"/>
      <c r="CA946" s="216"/>
      <c r="CB946" s="216"/>
      <c r="CC946" s="216"/>
      <c r="CD946" s="216"/>
      <c r="CE946" s="216"/>
      <c r="CF946" s="216"/>
      <c r="CG946" s="216"/>
      <c r="CH946" s="216"/>
      <c r="CI946" s="216"/>
      <c r="CJ946" s="216"/>
      <c r="CK946" s="216"/>
      <c r="CL946" s="216"/>
      <c r="CM946" s="216"/>
      <c r="CN946" s="216"/>
      <c r="CO946" s="216"/>
      <c r="CP946" s="216"/>
      <c r="CQ946" s="216"/>
      <c r="CR946" s="216"/>
      <c r="CS946" s="216"/>
      <c r="CT946" s="216"/>
      <c r="CU946" s="216"/>
      <c r="CV946" s="216"/>
      <c r="CW946" s="216"/>
      <c r="CX946" s="216"/>
      <c r="CY946" s="216"/>
    </row>
    <row r="947" spans="1:103" ht="12.75" x14ac:dyDescent="0.2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214"/>
      <c r="L947" s="214"/>
      <c r="M947" s="214"/>
      <c r="N947" s="215"/>
      <c r="O947" s="215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16"/>
      <c r="AN947" s="216"/>
      <c r="AO947" s="216"/>
      <c r="AP947" s="216"/>
      <c r="AQ947" s="216"/>
      <c r="AR947" s="216"/>
      <c r="AS947" s="216"/>
      <c r="AT947" s="216"/>
      <c r="AU947" s="216"/>
      <c r="AV947" s="216"/>
      <c r="AW947" s="216"/>
      <c r="AX947" s="216"/>
      <c r="AY947" s="216"/>
      <c r="AZ947" s="216"/>
      <c r="BA947" s="216"/>
      <c r="BB947" s="216"/>
      <c r="BC947" s="216"/>
      <c r="BD947" s="216"/>
      <c r="BE947" s="216"/>
      <c r="BF947" s="216"/>
      <c r="BG947" s="216"/>
      <c r="BH947" s="216"/>
      <c r="BI947" s="216"/>
      <c r="BJ947" s="216"/>
      <c r="BK947" s="216"/>
      <c r="BL947" s="216"/>
      <c r="BM947" s="216"/>
      <c r="BN947" s="216"/>
      <c r="BO947" s="216"/>
      <c r="BP947" s="216"/>
      <c r="BQ947" s="216"/>
      <c r="BR947" s="216"/>
      <c r="BS947" s="216"/>
      <c r="BT947" s="216"/>
      <c r="BU947" s="216"/>
      <c r="BV947" s="216"/>
      <c r="BW947" s="216"/>
      <c r="BX947" s="216"/>
      <c r="BY947" s="216"/>
      <c r="BZ947" s="216"/>
      <c r="CA947" s="216"/>
      <c r="CB947" s="216"/>
      <c r="CC947" s="216"/>
      <c r="CD947" s="216"/>
      <c r="CE947" s="216"/>
      <c r="CF947" s="216"/>
      <c r="CG947" s="216"/>
      <c r="CH947" s="216"/>
      <c r="CI947" s="216"/>
      <c r="CJ947" s="216"/>
      <c r="CK947" s="216"/>
      <c r="CL947" s="216"/>
      <c r="CM947" s="216"/>
      <c r="CN947" s="216"/>
      <c r="CO947" s="216"/>
      <c r="CP947" s="216"/>
      <c r="CQ947" s="216"/>
      <c r="CR947" s="216"/>
      <c r="CS947" s="216"/>
      <c r="CT947" s="216"/>
      <c r="CU947" s="216"/>
      <c r="CV947" s="216"/>
      <c r="CW947" s="216"/>
      <c r="CX947" s="216"/>
      <c r="CY947" s="216"/>
    </row>
    <row r="948" spans="1:103" ht="12.75" x14ac:dyDescent="0.2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214"/>
      <c r="L948" s="214"/>
      <c r="M948" s="214"/>
      <c r="N948" s="215"/>
      <c r="O948" s="215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  <c r="AJ948" s="216"/>
      <c r="AK948" s="216"/>
      <c r="AL948" s="216"/>
      <c r="AM948" s="216"/>
      <c r="AN948" s="216"/>
      <c r="AO948" s="216"/>
      <c r="AP948" s="216"/>
      <c r="AQ948" s="216"/>
      <c r="AR948" s="216"/>
      <c r="AS948" s="216"/>
      <c r="AT948" s="216"/>
      <c r="AU948" s="216"/>
      <c r="AV948" s="216"/>
      <c r="AW948" s="216"/>
      <c r="AX948" s="216"/>
      <c r="AY948" s="216"/>
      <c r="AZ948" s="216"/>
      <c r="BA948" s="216"/>
      <c r="BB948" s="216"/>
      <c r="BC948" s="216"/>
      <c r="BD948" s="216"/>
      <c r="BE948" s="216"/>
      <c r="BF948" s="216"/>
      <c r="BG948" s="216"/>
      <c r="BH948" s="216"/>
      <c r="BI948" s="216"/>
      <c r="BJ948" s="216"/>
      <c r="BK948" s="216"/>
      <c r="BL948" s="216"/>
      <c r="BM948" s="216"/>
      <c r="BN948" s="216"/>
      <c r="BO948" s="216"/>
      <c r="BP948" s="216"/>
      <c r="BQ948" s="216"/>
      <c r="BR948" s="216"/>
      <c r="BS948" s="216"/>
      <c r="BT948" s="216"/>
      <c r="BU948" s="216"/>
      <c r="BV948" s="216"/>
      <c r="BW948" s="216"/>
      <c r="BX948" s="216"/>
      <c r="BY948" s="216"/>
      <c r="BZ948" s="216"/>
      <c r="CA948" s="216"/>
      <c r="CB948" s="216"/>
      <c r="CC948" s="216"/>
      <c r="CD948" s="216"/>
      <c r="CE948" s="216"/>
      <c r="CF948" s="216"/>
      <c r="CG948" s="216"/>
      <c r="CH948" s="216"/>
      <c r="CI948" s="216"/>
      <c r="CJ948" s="216"/>
      <c r="CK948" s="216"/>
      <c r="CL948" s="216"/>
      <c r="CM948" s="216"/>
      <c r="CN948" s="216"/>
      <c r="CO948" s="216"/>
      <c r="CP948" s="216"/>
      <c r="CQ948" s="216"/>
      <c r="CR948" s="216"/>
      <c r="CS948" s="216"/>
      <c r="CT948" s="216"/>
      <c r="CU948" s="216"/>
      <c r="CV948" s="216"/>
      <c r="CW948" s="216"/>
      <c r="CX948" s="216"/>
      <c r="CY948" s="216"/>
    </row>
    <row r="949" spans="1:103" ht="12.75" x14ac:dyDescent="0.2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214"/>
      <c r="L949" s="214"/>
      <c r="M949" s="214"/>
      <c r="N949" s="215"/>
      <c r="O949" s="215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  <c r="AJ949" s="216"/>
      <c r="AK949" s="216"/>
      <c r="AL949" s="216"/>
      <c r="AM949" s="216"/>
      <c r="AN949" s="216"/>
      <c r="AO949" s="216"/>
      <c r="AP949" s="216"/>
      <c r="AQ949" s="216"/>
      <c r="AR949" s="216"/>
      <c r="AS949" s="216"/>
      <c r="AT949" s="216"/>
      <c r="AU949" s="216"/>
      <c r="AV949" s="216"/>
      <c r="AW949" s="216"/>
      <c r="AX949" s="216"/>
      <c r="AY949" s="216"/>
      <c r="AZ949" s="216"/>
      <c r="BA949" s="216"/>
      <c r="BB949" s="216"/>
      <c r="BC949" s="216"/>
      <c r="BD949" s="216"/>
      <c r="BE949" s="216"/>
      <c r="BF949" s="216"/>
      <c r="BG949" s="216"/>
      <c r="BH949" s="216"/>
      <c r="BI949" s="216"/>
      <c r="BJ949" s="216"/>
      <c r="BK949" s="216"/>
      <c r="BL949" s="216"/>
      <c r="BM949" s="216"/>
      <c r="BN949" s="216"/>
      <c r="BO949" s="216"/>
      <c r="BP949" s="216"/>
      <c r="BQ949" s="216"/>
      <c r="BR949" s="216"/>
      <c r="BS949" s="216"/>
      <c r="BT949" s="216"/>
      <c r="BU949" s="216"/>
      <c r="BV949" s="216"/>
      <c r="BW949" s="216"/>
      <c r="BX949" s="216"/>
      <c r="BY949" s="216"/>
      <c r="BZ949" s="216"/>
      <c r="CA949" s="216"/>
      <c r="CB949" s="216"/>
      <c r="CC949" s="216"/>
      <c r="CD949" s="216"/>
      <c r="CE949" s="216"/>
      <c r="CF949" s="216"/>
      <c r="CG949" s="216"/>
      <c r="CH949" s="216"/>
      <c r="CI949" s="216"/>
      <c r="CJ949" s="216"/>
      <c r="CK949" s="216"/>
      <c r="CL949" s="216"/>
      <c r="CM949" s="216"/>
      <c r="CN949" s="216"/>
      <c r="CO949" s="216"/>
      <c r="CP949" s="216"/>
      <c r="CQ949" s="216"/>
      <c r="CR949" s="216"/>
      <c r="CS949" s="216"/>
      <c r="CT949" s="216"/>
      <c r="CU949" s="216"/>
      <c r="CV949" s="216"/>
      <c r="CW949" s="216"/>
      <c r="CX949" s="216"/>
      <c r="CY949" s="216"/>
    </row>
    <row r="950" spans="1:103" ht="12.75" x14ac:dyDescent="0.2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214"/>
      <c r="L950" s="214"/>
      <c r="M950" s="214"/>
      <c r="N950" s="215"/>
      <c r="O950" s="215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  <c r="AJ950" s="216"/>
      <c r="AK950" s="216"/>
      <c r="AL950" s="216"/>
      <c r="AM950" s="216"/>
      <c r="AN950" s="216"/>
      <c r="AO950" s="216"/>
      <c r="AP950" s="216"/>
      <c r="AQ950" s="216"/>
      <c r="AR950" s="216"/>
      <c r="AS950" s="216"/>
      <c r="AT950" s="216"/>
      <c r="AU950" s="216"/>
      <c r="AV950" s="216"/>
      <c r="AW950" s="216"/>
      <c r="AX950" s="216"/>
      <c r="AY950" s="216"/>
      <c r="AZ950" s="216"/>
      <c r="BA950" s="216"/>
      <c r="BB950" s="216"/>
      <c r="BC950" s="216"/>
      <c r="BD950" s="216"/>
      <c r="BE950" s="216"/>
      <c r="BF950" s="216"/>
      <c r="BG950" s="216"/>
      <c r="BH950" s="216"/>
      <c r="BI950" s="216"/>
      <c r="BJ950" s="216"/>
      <c r="BK950" s="216"/>
      <c r="BL950" s="216"/>
      <c r="BM950" s="216"/>
      <c r="BN950" s="216"/>
      <c r="BO950" s="216"/>
      <c r="BP950" s="216"/>
      <c r="BQ950" s="216"/>
      <c r="BR950" s="216"/>
      <c r="BS950" s="216"/>
      <c r="BT950" s="216"/>
      <c r="BU950" s="216"/>
      <c r="BV950" s="216"/>
      <c r="BW950" s="216"/>
      <c r="BX950" s="216"/>
      <c r="BY950" s="216"/>
      <c r="BZ950" s="216"/>
      <c r="CA950" s="216"/>
      <c r="CB950" s="216"/>
      <c r="CC950" s="216"/>
      <c r="CD950" s="216"/>
      <c r="CE950" s="216"/>
      <c r="CF950" s="216"/>
      <c r="CG950" s="216"/>
      <c r="CH950" s="216"/>
      <c r="CI950" s="216"/>
      <c r="CJ950" s="216"/>
      <c r="CK950" s="216"/>
      <c r="CL950" s="216"/>
      <c r="CM950" s="216"/>
      <c r="CN950" s="216"/>
      <c r="CO950" s="216"/>
      <c r="CP950" s="216"/>
      <c r="CQ950" s="216"/>
      <c r="CR950" s="216"/>
      <c r="CS950" s="216"/>
      <c r="CT950" s="216"/>
      <c r="CU950" s="216"/>
      <c r="CV950" s="216"/>
      <c r="CW950" s="216"/>
      <c r="CX950" s="216"/>
      <c r="CY950" s="216"/>
    </row>
    <row r="951" spans="1:103" ht="12.75" x14ac:dyDescent="0.2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214"/>
      <c r="L951" s="214"/>
      <c r="M951" s="214"/>
      <c r="N951" s="215"/>
      <c r="O951" s="215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  <c r="AJ951" s="216"/>
      <c r="AK951" s="216"/>
      <c r="AL951" s="216"/>
      <c r="AM951" s="216"/>
      <c r="AN951" s="216"/>
      <c r="AO951" s="216"/>
      <c r="AP951" s="216"/>
      <c r="AQ951" s="216"/>
      <c r="AR951" s="216"/>
      <c r="AS951" s="216"/>
      <c r="AT951" s="216"/>
      <c r="AU951" s="216"/>
      <c r="AV951" s="216"/>
      <c r="AW951" s="216"/>
      <c r="AX951" s="216"/>
      <c r="AY951" s="216"/>
      <c r="AZ951" s="216"/>
      <c r="BA951" s="216"/>
      <c r="BB951" s="216"/>
      <c r="BC951" s="216"/>
      <c r="BD951" s="216"/>
      <c r="BE951" s="216"/>
      <c r="BF951" s="216"/>
      <c r="BG951" s="216"/>
      <c r="BH951" s="216"/>
      <c r="BI951" s="216"/>
      <c r="BJ951" s="216"/>
      <c r="BK951" s="216"/>
      <c r="BL951" s="216"/>
      <c r="BM951" s="216"/>
      <c r="BN951" s="216"/>
      <c r="BO951" s="216"/>
      <c r="BP951" s="216"/>
      <c r="BQ951" s="216"/>
      <c r="BR951" s="216"/>
      <c r="BS951" s="216"/>
      <c r="BT951" s="216"/>
      <c r="BU951" s="216"/>
      <c r="BV951" s="216"/>
      <c r="BW951" s="216"/>
      <c r="BX951" s="216"/>
      <c r="BY951" s="216"/>
      <c r="BZ951" s="216"/>
      <c r="CA951" s="216"/>
      <c r="CB951" s="216"/>
      <c r="CC951" s="216"/>
      <c r="CD951" s="216"/>
      <c r="CE951" s="216"/>
      <c r="CF951" s="216"/>
      <c r="CG951" s="216"/>
      <c r="CH951" s="216"/>
      <c r="CI951" s="216"/>
      <c r="CJ951" s="216"/>
      <c r="CK951" s="216"/>
      <c r="CL951" s="216"/>
      <c r="CM951" s="216"/>
      <c r="CN951" s="216"/>
      <c r="CO951" s="216"/>
      <c r="CP951" s="216"/>
      <c r="CQ951" s="216"/>
      <c r="CR951" s="216"/>
      <c r="CS951" s="216"/>
      <c r="CT951" s="216"/>
      <c r="CU951" s="216"/>
      <c r="CV951" s="216"/>
      <c r="CW951" s="216"/>
      <c r="CX951" s="216"/>
      <c r="CY951" s="216"/>
    </row>
    <row r="952" spans="1:103" ht="12.75" x14ac:dyDescent="0.2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214"/>
      <c r="L952" s="214"/>
      <c r="M952" s="214"/>
      <c r="N952" s="215"/>
      <c r="O952" s="215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16"/>
      <c r="AN952" s="216"/>
      <c r="AO952" s="216"/>
      <c r="AP952" s="216"/>
      <c r="AQ952" s="216"/>
      <c r="AR952" s="216"/>
      <c r="AS952" s="216"/>
      <c r="AT952" s="216"/>
      <c r="AU952" s="216"/>
      <c r="AV952" s="216"/>
      <c r="AW952" s="216"/>
      <c r="AX952" s="216"/>
      <c r="AY952" s="216"/>
      <c r="AZ952" s="216"/>
      <c r="BA952" s="216"/>
      <c r="BB952" s="216"/>
      <c r="BC952" s="216"/>
      <c r="BD952" s="216"/>
      <c r="BE952" s="216"/>
      <c r="BF952" s="216"/>
      <c r="BG952" s="216"/>
      <c r="BH952" s="216"/>
      <c r="BI952" s="216"/>
      <c r="BJ952" s="216"/>
      <c r="BK952" s="216"/>
      <c r="BL952" s="216"/>
      <c r="BM952" s="216"/>
      <c r="BN952" s="216"/>
      <c r="BO952" s="216"/>
      <c r="BP952" s="216"/>
      <c r="BQ952" s="216"/>
      <c r="BR952" s="216"/>
      <c r="BS952" s="216"/>
      <c r="BT952" s="216"/>
      <c r="BU952" s="216"/>
      <c r="BV952" s="216"/>
      <c r="BW952" s="216"/>
      <c r="BX952" s="216"/>
      <c r="BY952" s="216"/>
      <c r="BZ952" s="216"/>
      <c r="CA952" s="216"/>
      <c r="CB952" s="216"/>
      <c r="CC952" s="216"/>
      <c r="CD952" s="216"/>
      <c r="CE952" s="216"/>
      <c r="CF952" s="216"/>
      <c r="CG952" s="216"/>
      <c r="CH952" s="216"/>
      <c r="CI952" s="216"/>
      <c r="CJ952" s="216"/>
      <c r="CK952" s="216"/>
      <c r="CL952" s="216"/>
      <c r="CM952" s="216"/>
      <c r="CN952" s="216"/>
      <c r="CO952" s="216"/>
      <c r="CP952" s="216"/>
      <c r="CQ952" s="216"/>
      <c r="CR952" s="216"/>
      <c r="CS952" s="216"/>
      <c r="CT952" s="216"/>
      <c r="CU952" s="216"/>
      <c r="CV952" s="216"/>
      <c r="CW952" s="216"/>
      <c r="CX952" s="216"/>
      <c r="CY952" s="216"/>
    </row>
    <row r="953" spans="1:103" ht="12.75" x14ac:dyDescent="0.2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214"/>
      <c r="L953" s="214"/>
      <c r="M953" s="214"/>
      <c r="N953" s="215"/>
      <c r="O953" s="215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16"/>
      <c r="AN953" s="216"/>
      <c r="AO953" s="216"/>
      <c r="AP953" s="216"/>
      <c r="AQ953" s="216"/>
      <c r="AR953" s="216"/>
      <c r="AS953" s="216"/>
      <c r="AT953" s="216"/>
      <c r="AU953" s="216"/>
      <c r="AV953" s="216"/>
      <c r="AW953" s="216"/>
      <c r="AX953" s="216"/>
      <c r="AY953" s="216"/>
      <c r="AZ953" s="216"/>
      <c r="BA953" s="216"/>
      <c r="BB953" s="216"/>
      <c r="BC953" s="216"/>
      <c r="BD953" s="216"/>
      <c r="BE953" s="216"/>
      <c r="BF953" s="216"/>
      <c r="BG953" s="216"/>
      <c r="BH953" s="216"/>
      <c r="BI953" s="216"/>
      <c r="BJ953" s="216"/>
      <c r="BK953" s="216"/>
      <c r="BL953" s="216"/>
      <c r="BM953" s="216"/>
      <c r="BN953" s="216"/>
      <c r="BO953" s="216"/>
      <c r="BP953" s="216"/>
      <c r="BQ953" s="216"/>
      <c r="BR953" s="216"/>
      <c r="BS953" s="216"/>
      <c r="BT953" s="216"/>
      <c r="BU953" s="216"/>
      <c r="BV953" s="216"/>
      <c r="BW953" s="216"/>
      <c r="BX953" s="216"/>
      <c r="BY953" s="216"/>
      <c r="BZ953" s="216"/>
      <c r="CA953" s="216"/>
      <c r="CB953" s="216"/>
      <c r="CC953" s="216"/>
      <c r="CD953" s="216"/>
      <c r="CE953" s="216"/>
      <c r="CF953" s="216"/>
      <c r="CG953" s="216"/>
      <c r="CH953" s="216"/>
      <c r="CI953" s="216"/>
      <c r="CJ953" s="216"/>
      <c r="CK953" s="216"/>
      <c r="CL953" s="216"/>
      <c r="CM953" s="216"/>
      <c r="CN953" s="216"/>
      <c r="CO953" s="216"/>
      <c r="CP953" s="216"/>
      <c r="CQ953" s="216"/>
      <c r="CR953" s="216"/>
      <c r="CS953" s="216"/>
      <c r="CT953" s="216"/>
      <c r="CU953" s="216"/>
      <c r="CV953" s="216"/>
      <c r="CW953" s="216"/>
      <c r="CX953" s="216"/>
      <c r="CY953" s="216"/>
    </row>
    <row r="954" spans="1:103" ht="12.75" x14ac:dyDescent="0.2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214"/>
      <c r="L954" s="214"/>
      <c r="M954" s="214"/>
      <c r="N954" s="215"/>
      <c r="O954" s="215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16"/>
      <c r="AN954" s="216"/>
      <c r="AO954" s="216"/>
      <c r="AP954" s="216"/>
      <c r="AQ954" s="216"/>
      <c r="AR954" s="216"/>
      <c r="AS954" s="216"/>
      <c r="AT954" s="216"/>
      <c r="AU954" s="216"/>
      <c r="AV954" s="216"/>
      <c r="AW954" s="216"/>
      <c r="AX954" s="216"/>
      <c r="AY954" s="216"/>
      <c r="AZ954" s="216"/>
      <c r="BA954" s="216"/>
      <c r="BB954" s="216"/>
      <c r="BC954" s="216"/>
      <c r="BD954" s="216"/>
      <c r="BE954" s="216"/>
      <c r="BF954" s="216"/>
      <c r="BG954" s="216"/>
      <c r="BH954" s="216"/>
      <c r="BI954" s="216"/>
      <c r="BJ954" s="216"/>
      <c r="BK954" s="216"/>
      <c r="BL954" s="216"/>
      <c r="BM954" s="216"/>
      <c r="BN954" s="216"/>
      <c r="BO954" s="216"/>
      <c r="BP954" s="216"/>
      <c r="BQ954" s="216"/>
      <c r="BR954" s="216"/>
      <c r="BS954" s="216"/>
      <c r="BT954" s="216"/>
      <c r="BU954" s="216"/>
      <c r="BV954" s="216"/>
      <c r="BW954" s="216"/>
      <c r="BX954" s="216"/>
      <c r="BY954" s="216"/>
      <c r="BZ954" s="216"/>
      <c r="CA954" s="216"/>
      <c r="CB954" s="216"/>
      <c r="CC954" s="216"/>
      <c r="CD954" s="216"/>
      <c r="CE954" s="216"/>
      <c r="CF954" s="216"/>
      <c r="CG954" s="216"/>
      <c r="CH954" s="216"/>
      <c r="CI954" s="216"/>
      <c r="CJ954" s="216"/>
      <c r="CK954" s="216"/>
      <c r="CL954" s="216"/>
      <c r="CM954" s="216"/>
      <c r="CN954" s="216"/>
      <c r="CO954" s="216"/>
      <c r="CP954" s="216"/>
      <c r="CQ954" s="216"/>
      <c r="CR954" s="216"/>
      <c r="CS954" s="216"/>
      <c r="CT954" s="216"/>
      <c r="CU954" s="216"/>
      <c r="CV954" s="216"/>
      <c r="CW954" s="216"/>
      <c r="CX954" s="216"/>
      <c r="CY954" s="216"/>
    </row>
    <row r="955" spans="1:103" ht="12.75" x14ac:dyDescent="0.2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214"/>
      <c r="L955" s="214"/>
      <c r="M955" s="214"/>
      <c r="N955" s="215"/>
      <c r="O955" s="215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16"/>
      <c r="AN955" s="216"/>
      <c r="AO955" s="216"/>
      <c r="AP955" s="216"/>
      <c r="AQ955" s="216"/>
      <c r="AR955" s="216"/>
      <c r="AS955" s="216"/>
      <c r="AT955" s="216"/>
      <c r="AU955" s="216"/>
      <c r="AV955" s="216"/>
      <c r="AW955" s="216"/>
      <c r="AX955" s="216"/>
      <c r="AY955" s="216"/>
      <c r="AZ955" s="216"/>
      <c r="BA955" s="216"/>
      <c r="BB955" s="216"/>
      <c r="BC955" s="216"/>
      <c r="BD955" s="216"/>
      <c r="BE955" s="216"/>
      <c r="BF955" s="216"/>
      <c r="BG955" s="216"/>
      <c r="BH955" s="216"/>
      <c r="BI955" s="216"/>
      <c r="BJ955" s="216"/>
      <c r="BK955" s="216"/>
      <c r="BL955" s="216"/>
      <c r="BM955" s="216"/>
      <c r="BN955" s="216"/>
      <c r="BO955" s="216"/>
      <c r="BP955" s="216"/>
      <c r="BQ955" s="216"/>
      <c r="BR955" s="216"/>
      <c r="BS955" s="216"/>
      <c r="BT955" s="216"/>
      <c r="BU955" s="216"/>
      <c r="BV955" s="216"/>
      <c r="BW955" s="216"/>
      <c r="BX955" s="216"/>
      <c r="BY955" s="216"/>
      <c r="BZ955" s="216"/>
      <c r="CA955" s="216"/>
      <c r="CB955" s="216"/>
      <c r="CC955" s="216"/>
      <c r="CD955" s="216"/>
      <c r="CE955" s="216"/>
      <c r="CF955" s="216"/>
      <c r="CG955" s="216"/>
      <c r="CH955" s="216"/>
      <c r="CI955" s="216"/>
      <c r="CJ955" s="216"/>
      <c r="CK955" s="216"/>
      <c r="CL955" s="216"/>
      <c r="CM955" s="216"/>
      <c r="CN955" s="216"/>
      <c r="CO955" s="216"/>
      <c r="CP955" s="216"/>
      <c r="CQ955" s="216"/>
      <c r="CR955" s="216"/>
      <c r="CS955" s="216"/>
      <c r="CT955" s="216"/>
      <c r="CU955" s="216"/>
      <c r="CV955" s="216"/>
      <c r="CW955" s="216"/>
      <c r="CX955" s="216"/>
      <c r="CY955" s="216"/>
    </row>
    <row r="956" spans="1:103" ht="12.75" x14ac:dyDescent="0.2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214"/>
      <c r="L956" s="214"/>
      <c r="M956" s="214"/>
      <c r="N956" s="215"/>
      <c r="O956" s="215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16"/>
      <c r="AN956" s="216"/>
      <c r="AO956" s="216"/>
      <c r="AP956" s="216"/>
      <c r="AQ956" s="216"/>
      <c r="AR956" s="216"/>
      <c r="AS956" s="216"/>
      <c r="AT956" s="216"/>
      <c r="AU956" s="216"/>
      <c r="AV956" s="216"/>
      <c r="AW956" s="216"/>
      <c r="AX956" s="216"/>
      <c r="AY956" s="216"/>
      <c r="AZ956" s="216"/>
      <c r="BA956" s="216"/>
      <c r="BB956" s="216"/>
      <c r="BC956" s="216"/>
      <c r="BD956" s="216"/>
      <c r="BE956" s="216"/>
      <c r="BF956" s="216"/>
      <c r="BG956" s="216"/>
      <c r="BH956" s="216"/>
      <c r="BI956" s="216"/>
      <c r="BJ956" s="216"/>
      <c r="BK956" s="216"/>
      <c r="BL956" s="216"/>
      <c r="BM956" s="216"/>
      <c r="BN956" s="216"/>
      <c r="BO956" s="216"/>
      <c r="BP956" s="216"/>
      <c r="BQ956" s="216"/>
      <c r="BR956" s="216"/>
      <c r="BS956" s="216"/>
      <c r="BT956" s="216"/>
      <c r="BU956" s="216"/>
      <c r="BV956" s="216"/>
      <c r="BW956" s="216"/>
      <c r="BX956" s="216"/>
      <c r="BY956" s="216"/>
      <c r="BZ956" s="216"/>
      <c r="CA956" s="216"/>
      <c r="CB956" s="216"/>
      <c r="CC956" s="216"/>
      <c r="CD956" s="216"/>
      <c r="CE956" s="216"/>
      <c r="CF956" s="216"/>
      <c r="CG956" s="216"/>
      <c r="CH956" s="216"/>
      <c r="CI956" s="216"/>
      <c r="CJ956" s="216"/>
      <c r="CK956" s="216"/>
      <c r="CL956" s="216"/>
      <c r="CM956" s="216"/>
      <c r="CN956" s="216"/>
      <c r="CO956" s="216"/>
      <c r="CP956" s="216"/>
      <c r="CQ956" s="216"/>
      <c r="CR956" s="216"/>
      <c r="CS956" s="216"/>
      <c r="CT956" s="216"/>
      <c r="CU956" s="216"/>
      <c r="CV956" s="216"/>
      <c r="CW956" s="216"/>
      <c r="CX956" s="216"/>
      <c r="CY956" s="216"/>
    </row>
    <row r="957" spans="1:103" ht="12.75" x14ac:dyDescent="0.2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214"/>
      <c r="L957" s="214"/>
      <c r="M957" s="214"/>
      <c r="N957" s="215"/>
      <c r="O957" s="215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16"/>
      <c r="AN957" s="216"/>
      <c r="AO957" s="216"/>
      <c r="AP957" s="216"/>
      <c r="AQ957" s="216"/>
      <c r="AR957" s="216"/>
      <c r="AS957" s="216"/>
      <c r="AT957" s="216"/>
      <c r="AU957" s="216"/>
      <c r="AV957" s="216"/>
      <c r="AW957" s="216"/>
      <c r="AX957" s="216"/>
      <c r="AY957" s="216"/>
      <c r="AZ957" s="216"/>
      <c r="BA957" s="216"/>
      <c r="BB957" s="216"/>
      <c r="BC957" s="216"/>
      <c r="BD957" s="216"/>
      <c r="BE957" s="216"/>
      <c r="BF957" s="216"/>
      <c r="BG957" s="216"/>
      <c r="BH957" s="216"/>
      <c r="BI957" s="216"/>
      <c r="BJ957" s="216"/>
      <c r="BK957" s="216"/>
      <c r="BL957" s="216"/>
      <c r="BM957" s="216"/>
      <c r="BN957" s="216"/>
      <c r="BO957" s="216"/>
      <c r="BP957" s="216"/>
      <c r="BQ957" s="216"/>
      <c r="BR957" s="216"/>
      <c r="BS957" s="216"/>
      <c r="BT957" s="216"/>
      <c r="BU957" s="216"/>
      <c r="BV957" s="216"/>
      <c r="BW957" s="216"/>
      <c r="BX957" s="216"/>
      <c r="BY957" s="216"/>
      <c r="BZ957" s="216"/>
      <c r="CA957" s="216"/>
      <c r="CB957" s="216"/>
      <c r="CC957" s="216"/>
      <c r="CD957" s="216"/>
      <c r="CE957" s="216"/>
      <c r="CF957" s="216"/>
      <c r="CG957" s="216"/>
      <c r="CH957" s="216"/>
      <c r="CI957" s="216"/>
      <c r="CJ957" s="216"/>
      <c r="CK957" s="216"/>
      <c r="CL957" s="216"/>
      <c r="CM957" s="216"/>
      <c r="CN957" s="216"/>
      <c r="CO957" s="216"/>
      <c r="CP957" s="216"/>
      <c r="CQ957" s="216"/>
      <c r="CR957" s="216"/>
      <c r="CS957" s="216"/>
      <c r="CT957" s="216"/>
      <c r="CU957" s="216"/>
      <c r="CV957" s="216"/>
      <c r="CW957" s="216"/>
      <c r="CX957" s="216"/>
      <c r="CY957" s="216"/>
    </row>
    <row r="958" spans="1:103" ht="12.75" x14ac:dyDescent="0.2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214"/>
      <c r="L958" s="214"/>
      <c r="M958" s="214"/>
      <c r="N958" s="215"/>
      <c r="O958" s="215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16"/>
      <c r="AN958" s="216"/>
      <c r="AO958" s="216"/>
      <c r="AP958" s="216"/>
      <c r="AQ958" s="216"/>
      <c r="AR958" s="216"/>
      <c r="AS958" s="216"/>
      <c r="AT958" s="216"/>
      <c r="AU958" s="216"/>
      <c r="AV958" s="216"/>
      <c r="AW958" s="216"/>
      <c r="AX958" s="216"/>
      <c r="AY958" s="216"/>
      <c r="AZ958" s="216"/>
      <c r="BA958" s="216"/>
      <c r="BB958" s="216"/>
      <c r="BC958" s="216"/>
      <c r="BD958" s="216"/>
      <c r="BE958" s="216"/>
      <c r="BF958" s="216"/>
      <c r="BG958" s="216"/>
      <c r="BH958" s="216"/>
      <c r="BI958" s="216"/>
      <c r="BJ958" s="216"/>
      <c r="BK958" s="216"/>
      <c r="BL958" s="216"/>
      <c r="BM958" s="216"/>
      <c r="BN958" s="216"/>
      <c r="BO958" s="216"/>
      <c r="BP958" s="216"/>
      <c r="BQ958" s="216"/>
      <c r="BR958" s="216"/>
      <c r="BS958" s="216"/>
      <c r="BT958" s="216"/>
      <c r="BU958" s="216"/>
      <c r="BV958" s="216"/>
      <c r="BW958" s="216"/>
      <c r="BX958" s="216"/>
      <c r="BY958" s="216"/>
      <c r="BZ958" s="216"/>
      <c r="CA958" s="216"/>
      <c r="CB958" s="216"/>
      <c r="CC958" s="216"/>
      <c r="CD958" s="216"/>
      <c r="CE958" s="216"/>
      <c r="CF958" s="216"/>
      <c r="CG958" s="216"/>
      <c r="CH958" s="216"/>
      <c r="CI958" s="216"/>
      <c r="CJ958" s="216"/>
      <c r="CK958" s="216"/>
      <c r="CL958" s="216"/>
      <c r="CM958" s="216"/>
      <c r="CN958" s="216"/>
      <c r="CO958" s="216"/>
      <c r="CP958" s="216"/>
      <c r="CQ958" s="216"/>
      <c r="CR958" s="216"/>
      <c r="CS958" s="216"/>
      <c r="CT958" s="216"/>
      <c r="CU958" s="216"/>
      <c r="CV958" s="216"/>
      <c r="CW958" s="216"/>
      <c r="CX958" s="216"/>
      <c r="CY958" s="216"/>
    </row>
    <row r="959" spans="1:103" ht="12.75" x14ac:dyDescent="0.2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214"/>
      <c r="L959" s="214"/>
      <c r="M959" s="214"/>
      <c r="N959" s="215"/>
      <c r="O959" s="215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16"/>
      <c r="AN959" s="216"/>
      <c r="AO959" s="216"/>
      <c r="AP959" s="216"/>
      <c r="AQ959" s="216"/>
      <c r="AR959" s="216"/>
      <c r="AS959" s="216"/>
      <c r="AT959" s="216"/>
      <c r="AU959" s="216"/>
      <c r="AV959" s="216"/>
      <c r="AW959" s="216"/>
      <c r="AX959" s="216"/>
      <c r="AY959" s="216"/>
      <c r="AZ959" s="216"/>
      <c r="BA959" s="216"/>
      <c r="BB959" s="216"/>
      <c r="BC959" s="216"/>
      <c r="BD959" s="216"/>
      <c r="BE959" s="216"/>
      <c r="BF959" s="216"/>
      <c r="BG959" s="216"/>
      <c r="BH959" s="216"/>
      <c r="BI959" s="216"/>
      <c r="BJ959" s="216"/>
      <c r="BK959" s="216"/>
      <c r="BL959" s="216"/>
      <c r="BM959" s="216"/>
      <c r="BN959" s="216"/>
      <c r="BO959" s="216"/>
      <c r="BP959" s="216"/>
      <c r="BQ959" s="216"/>
      <c r="BR959" s="216"/>
      <c r="BS959" s="216"/>
      <c r="BT959" s="216"/>
      <c r="BU959" s="216"/>
      <c r="BV959" s="216"/>
      <c r="BW959" s="216"/>
      <c r="BX959" s="216"/>
      <c r="BY959" s="216"/>
      <c r="BZ959" s="216"/>
      <c r="CA959" s="216"/>
      <c r="CB959" s="216"/>
      <c r="CC959" s="216"/>
      <c r="CD959" s="216"/>
      <c r="CE959" s="216"/>
      <c r="CF959" s="216"/>
      <c r="CG959" s="216"/>
      <c r="CH959" s="216"/>
      <c r="CI959" s="216"/>
      <c r="CJ959" s="216"/>
      <c r="CK959" s="216"/>
      <c r="CL959" s="216"/>
      <c r="CM959" s="216"/>
      <c r="CN959" s="216"/>
      <c r="CO959" s="216"/>
      <c r="CP959" s="216"/>
      <c r="CQ959" s="216"/>
      <c r="CR959" s="216"/>
      <c r="CS959" s="216"/>
      <c r="CT959" s="216"/>
      <c r="CU959" s="216"/>
      <c r="CV959" s="216"/>
      <c r="CW959" s="216"/>
      <c r="CX959" s="216"/>
      <c r="CY959" s="216"/>
    </row>
    <row r="960" spans="1:103" ht="12.75" x14ac:dyDescent="0.2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214"/>
      <c r="L960" s="214"/>
      <c r="M960" s="214"/>
      <c r="N960" s="215"/>
      <c r="O960" s="215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16"/>
      <c r="AN960" s="216"/>
      <c r="AO960" s="216"/>
      <c r="AP960" s="216"/>
      <c r="AQ960" s="216"/>
      <c r="AR960" s="216"/>
      <c r="AS960" s="216"/>
      <c r="AT960" s="216"/>
      <c r="AU960" s="216"/>
      <c r="AV960" s="216"/>
      <c r="AW960" s="216"/>
      <c r="AX960" s="216"/>
      <c r="AY960" s="216"/>
      <c r="AZ960" s="216"/>
      <c r="BA960" s="216"/>
      <c r="BB960" s="216"/>
      <c r="BC960" s="216"/>
      <c r="BD960" s="216"/>
      <c r="BE960" s="216"/>
      <c r="BF960" s="216"/>
      <c r="BG960" s="216"/>
      <c r="BH960" s="216"/>
      <c r="BI960" s="216"/>
      <c r="BJ960" s="216"/>
      <c r="BK960" s="216"/>
      <c r="BL960" s="216"/>
      <c r="BM960" s="216"/>
      <c r="BN960" s="216"/>
      <c r="BO960" s="216"/>
      <c r="BP960" s="216"/>
      <c r="BQ960" s="216"/>
      <c r="BR960" s="216"/>
      <c r="BS960" s="216"/>
      <c r="BT960" s="216"/>
      <c r="BU960" s="216"/>
      <c r="BV960" s="216"/>
      <c r="BW960" s="216"/>
      <c r="BX960" s="216"/>
      <c r="BY960" s="216"/>
      <c r="BZ960" s="216"/>
      <c r="CA960" s="216"/>
      <c r="CB960" s="216"/>
      <c r="CC960" s="216"/>
      <c r="CD960" s="216"/>
      <c r="CE960" s="216"/>
      <c r="CF960" s="216"/>
      <c r="CG960" s="216"/>
      <c r="CH960" s="216"/>
      <c r="CI960" s="216"/>
      <c r="CJ960" s="216"/>
      <c r="CK960" s="216"/>
      <c r="CL960" s="216"/>
      <c r="CM960" s="216"/>
      <c r="CN960" s="216"/>
      <c r="CO960" s="216"/>
      <c r="CP960" s="216"/>
      <c r="CQ960" s="216"/>
      <c r="CR960" s="216"/>
      <c r="CS960" s="216"/>
      <c r="CT960" s="216"/>
      <c r="CU960" s="216"/>
      <c r="CV960" s="216"/>
      <c r="CW960" s="216"/>
      <c r="CX960" s="216"/>
      <c r="CY960" s="216"/>
    </row>
    <row r="961" spans="1:103" ht="12.75" x14ac:dyDescent="0.2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214"/>
      <c r="L961" s="214"/>
      <c r="M961" s="214"/>
      <c r="N961" s="215"/>
      <c r="O961" s="215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16"/>
      <c r="AN961" s="216"/>
      <c r="AO961" s="216"/>
      <c r="AP961" s="216"/>
      <c r="AQ961" s="216"/>
      <c r="AR961" s="216"/>
      <c r="AS961" s="216"/>
      <c r="AT961" s="216"/>
      <c r="AU961" s="216"/>
      <c r="AV961" s="216"/>
      <c r="AW961" s="216"/>
      <c r="AX961" s="216"/>
      <c r="AY961" s="216"/>
      <c r="AZ961" s="216"/>
      <c r="BA961" s="216"/>
      <c r="BB961" s="216"/>
      <c r="BC961" s="216"/>
      <c r="BD961" s="216"/>
      <c r="BE961" s="216"/>
      <c r="BF961" s="216"/>
      <c r="BG961" s="216"/>
      <c r="BH961" s="216"/>
      <c r="BI961" s="216"/>
      <c r="BJ961" s="216"/>
      <c r="BK961" s="216"/>
      <c r="BL961" s="216"/>
      <c r="BM961" s="216"/>
      <c r="BN961" s="216"/>
      <c r="BO961" s="216"/>
      <c r="BP961" s="216"/>
      <c r="BQ961" s="216"/>
      <c r="BR961" s="216"/>
      <c r="BS961" s="216"/>
      <c r="BT961" s="216"/>
      <c r="BU961" s="216"/>
      <c r="BV961" s="216"/>
      <c r="BW961" s="216"/>
      <c r="BX961" s="216"/>
      <c r="BY961" s="216"/>
      <c r="BZ961" s="216"/>
      <c r="CA961" s="216"/>
      <c r="CB961" s="216"/>
      <c r="CC961" s="216"/>
      <c r="CD961" s="216"/>
      <c r="CE961" s="216"/>
      <c r="CF961" s="216"/>
      <c r="CG961" s="216"/>
      <c r="CH961" s="216"/>
      <c r="CI961" s="216"/>
      <c r="CJ961" s="216"/>
      <c r="CK961" s="216"/>
      <c r="CL961" s="216"/>
      <c r="CM961" s="216"/>
      <c r="CN961" s="216"/>
      <c r="CO961" s="216"/>
      <c r="CP961" s="216"/>
      <c r="CQ961" s="216"/>
      <c r="CR961" s="216"/>
      <c r="CS961" s="216"/>
      <c r="CT961" s="216"/>
      <c r="CU961" s="216"/>
      <c r="CV961" s="216"/>
      <c r="CW961" s="216"/>
      <c r="CX961" s="216"/>
      <c r="CY961" s="216"/>
    </row>
    <row r="962" spans="1:103" ht="12.75" x14ac:dyDescent="0.2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214"/>
      <c r="L962" s="214"/>
      <c r="M962" s="214"/>
      <c r="N962" s="215"/>
      <c r="O962" s="215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16"/>
      <c r="AN962" s="216"/>
      <c r="AO962" s="216"/>
      <c r="AP962" s="216"/>
      <c r="AQ962" s="216"/>
      <c r="AR962" s="216"/>
      <c r="AS962" s="216"/>
      <c r="AT962" s="216"/>
      <c r="AU962" s="216"/>
      <c r="AV962" s="216"/>
      <c r="AW962" s="216"/>
      <c r="AX962" s="216"/>
      <c r="AY962" s="216"/>
      <c r="AZ962" s="216"/>
      <c r="BA962" s="216"/>
      <c r="BB962" s="216"/>
      <c r="BC962" s="216"/>
      <c r="BD962" s="216"/>
      <c r="BE962" s="216"/>
      <c r="BF962" s="216"/>
      <c r="BG962" s="216"/>
      <c r="BH962" s="216"/>
      <c r="BI962" s="216"/>
      <c r="BJ962" s="216"/>
      <c r="BK962" s="216"/>
      <c r="BL962" s="216"/>
      <c r="BM962" s="216"/>
      <c r="BN962" s="216"/>
      <c r="BO962" s="216"/>
      <c r="BP962" s="216"/>
      <c r="BQ962" s="216"/>
      <c r="BR962" s="216"/>
      <c r="BS962" s="216"/>
      <c r="BT962" s="216"/>
      <c r="BU962" s="216"/>
      <c r="BV962" s="216"/>
      <c r="BW962" s="216"/>
      <c r="BX962" s="216"/>
      <c r="BY962" s="216"/>
      <c r="BZ962" s="216"/>
      <c r="CA962" s="216"/>
      <c r="CB962" s="216"/>
      <c r="CC962" s="216"/>
      <c r="CD962" s="216"/>
      <c r="CE962" s="216"/>
      <c r="CF962" s="216"/>
      <c r="CG962" s="216"/>
      <c r="CH962" s="216"/>
      <c r="CI962" s="216"/>
      <c r="CJ962" s="216"/>
      <c r="CK962" s="216"/>
      <c r="CL962" s="216"/>
      <c r="CM962" s="216"/>
      <c r="CN962" s="216"/>
      <c r="CO962" s="216"/>
      <c r="CP962" s="216"/>
      <c r="CQ962" s="216"/>
      <c r="CR962" s="216"/>
      <c r="CS962" s="216"/>
      <c r="CT962" s="216"/>
      <c r="CU962" s="216"/>
      <c r="CV962" s="216"/>
      <c r="CW962" s="216"/>
      <c r="CX962" s="216"/>
      <c r="CY962" s="216"/>
    </row>
    <row r="963" spans="1:103" ht="12.75" x14ac:dyDescent="0.2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214"/>
      <c r="L963" s="214"/>
      <c r="M963" s="214"/>
      <c r="N963" s="215"/>
      <c r="O963" s="215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  <c r="AJ963" s="216"/>
      <c r="AK963" s="216"/>
      <c r="AL963" s="216"/>
      <c r="AM963" s="216"/>
      <c r="AN963" s="216"/>
      <c r="AO963" s="216"/>
      <c r="AP963" s="216"/>
      <c r="AQ963" s="216"/>
      <c r="AR963" s="216"/>
      <c r="AS963" s="216"/>
      <c r="AT963" s="216"/>
      <c r="AU963" s="216"/>
      <c r="AV963" s="216"/>
      <c r="AW963" s="216"/>
      <c r="AX963" s="216"/>
      <c r="AY963" s="216"/>
      <c r="AZ963" s="216"/>
      <c r="BA963" s="216"/>
      <c r="BB963" s="216"/>
      <c r="BC963" s="216"/>
      <c r="BD963" s="216"/>
      <c r="BE963" s="216"/>
      <c r="BF963" s="216"/>
      <c r="BG963" s="216"/>
      <c r="BH963" s="216"/>
      <c r="BI963" s="216"/>
      <c r="BJ963" s="216"/>
      <c r="BK963" s="216"/>
      <c r="BL963" s="216"/>
      <c r="BM963" s="216"/>
      <c r="BN963" s="216"/>
      <c r="BO963" s="216"/>
      <c r="BP963" s="216"/>
      <c r="BQ963" s="216"/>
      <c r="BR963" s="216"/>
      <c r="BS963" s="216"/>
      <c r="BT963" s="216"/>
      <c r="BU963" s="216"/>
      <c r="BV963" s="216"/>
      <c r="BW963" s="216"/>
      <c r="BX963" s="216"/>
      <c r="BY963" s="216"/>
      <c r="BZ963" s="216"/>
      <c r="CA963" s="216"/>
      <c r="CB963" s="216"/>
      <c r="CC963" s="216"/>
      <c r="CD963" s="216"/>
      <c r="CE963" s="216"/>
      <c r="CF963" s="216"/>
      <c r="CG963" s="216"/>
      <c r="CH963" s="216"/>
      <c r="CI963" s="216"/>
      <c r="CJ963" s="216"/>
      <c r="CK963" s="216"/>
      <c r="CL963" s="216"/>
      <c r="CM963" s="216"/>
      <c r="CN963" s="216"/>
      <c r="CO963" s="216"/>
      <c r="CP963" s="216"/>
      <c r="CQ963" s="216"/>
      <c r="CR963" s="216"/>
      <c r="CS963" s="216"/>
      <c r="CT963" s="216"/>
      <c r="CU963" s="216"/>
      <c r="CV963" s="216"/>
      <c r="CW963" s="216"/>
      <c r="CX963" s="216"/>
      <c r="CY963" s="216"/>
    </row>
    <row r="964" spans="1:103" ht="12.75" x14ac:dyDescent="0.2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214"/>
      <c r="L964" s="214"/>
      <c r="M964" s="214"/>
      <c r="N964" s="215"/>
      <c r="O964" s="215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  <c r="AJ964" s="216"/>
      <c r="AK964" s="216"/>
      <c r="AL964" s="216"/>
      <c r="AM964" s="216"/>
      <c r="AN964" s="216"/>
      <c r="AO964" s="216"/>
      <c r="AP964" s="216"/>
      <c r="AQ964" s="216"/>
      <c r="AR964" s="216"/>
      <c r="AS964" s="216"/>
      <c r="AT964" s="216"/>
      <c r="AU964" s="216"/>
      <c r="AV964" s="216"/>
      <c r="AW964" s="216"/>
      <c r="AX964" s="216"/>
      <c r="AY964" s="216"/>
      <c r="AZ964" s="216"/>
      <c r="BA964" s="216"/>
      <c r="BB964" s="216"/>
      <c r="BC964" s="216"/>
      <c r="BD964" s="216"/>
      <c r="BE964" s="216"/>
      <c r="BF964" s="216"/>
      <c r="BG964" s="216"/>
      <c r="BH964" s="216"/>
      <c r="BI964" s="216"/>
      <c r="BJ964" s="216"/>
      <c r="BK964" s="216"/>
      <c r="BL964" s="216"/>
      <c r="BM964" s="216"/>
      <c r="BN964" s="216"/>
      <c r="BO964" s="216"/>
      <c r="BP964" s="216"/>
      <c r="BQ964" s="216"/>
      <c r="BR964" s="216"/>
      <c r="BS964" s="216"/>
      <c r="BT964" s="216"/>
      <c r="BU964" s="216"/>
      <c r="BV964" s="216"/>
      <c r="BW964" s="216"/>
      <c r="BX964" s="216"/>
      <c r="BY964" s="216"/>
      <c r="BZ964" s="216"/>
      <c r="CA964" s="216"/>
      <c r="CB964" s="216"/>
      <c r="CC964" s="216"/>
      <c r="CD964" s="216"/>
      <c r="CE964" s="216"/>
      <c r="CF964" s="216"/>
      <c r="CG964" s="216"/>
      <c r="CH964" s="216"/>
      <c r="CI964" s="216"/>
      <c r="CJ964" s="216"/>
      <c r="CK964" s="216"/>
      <c r="CL964" s="216"/>
      <c r="CM964" s="216"/>
      <c r="CN964" s="216"/>
      <c r="CO964" s="216"/>
      <c r="CP964" s="216"/>
      <c r="CQ964" s="216"/>
      <c r="CR964" s="216"/>
      <c r="CS964" s="216"/>
      <c r="CT964" s="216"/>
      <c r="CU964" s="216"/>
      <c r="CV964" s="216"/>
      <c r="CW964" s="216"/>
      <c r="CX964" s="216"/>
      <c r="CY964" s="216"/>
    </row>
    <row r="965" spans="1:103" ht="12.75" x14ac:dyDescent="0.2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214"/>
      <c r="L965" s="214"/>
      <c r="M965" s="214"/>
      <c r="N965" s="215"/>
      <c r="O965" s="215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  <c r="AJ965" s="216"/>
      <c r="AK965" s="216"/>
      <c r="AL965" s="216"/>
      <c r="AM965" s="216"/>
      <c r="AN965" s="216"/>
      <c r="AO965" s="216"/>
      <c r="AP965" s="216"/>
      <c r="AQ965" s="216"/>
      <c r="AR965" s="216"/>
      <c r="AS965" s="216"/>
      <c r="AT965" s="216"/>
      <c r="AU965" s="216"/>
      <c r="AV965" s="216"/>
      <c r="AW965" s="216"/>
      <c r="AX965" s="216"/>
      <c r="AY965" s="216"/>
      <c r="AZ965" s="216"/>
      <c r="BA965" s="216"/>
      <c r="BB965" s="216"/>
      <c r="BC965" s="216"/>
      <c r="BD965" s="216"/>
      <c r="BE965" s="216"/>
      <c r="BF965" s="216"/>
      <c r="BG965" s="216"/>
      <c r="BH965" s="216"/>
      <c r="BI965" s="216"/>
      <c r="BJ965" s="216"/>
      <c r="BK965" s="216"/>
      <c r="BL965" s="216"/>
      <c r="BM965" s="216"/>
      <c r="BN965" s="216"/>
      <c r="BO965" s="216"/>
      <c r="BP965" s="216"/>
      <c r="BQ965" s="216"/>
      <c r="BR965" s="216"/>
      <c r="BS965" s="216"/>
      <c r="BT965" s="216"/>
      <c r="BU965" s="216"/>
      <c r="BV965" s="216"/>
      <c r="BW965" s="216"/>
      <c r="BX965" s="216"/>
      <c r="BY965" s="216"/>
      <c r="BZ965" s="216"/>
      <c r="CA965" s="216"/>
      <c r="CB965" s="216"/>
      <c r="CC965" s="216"/>
      <c r="CD965" s="216"/>
      <c r="CE965" s="216"/>
      <c r="CF965" s="216"/>
      <c r="CG965" s="216"/>
      <c r="CH965" s="216"/>
      <c r="CI965" s="216"/>
      <c r="CJ965" s="216"/>
      <c r="CK965" s="216"/>
      <c r="CL965" s="216"/>
      <c r="CM965" s="216"/>
      <c r="CN965" s="216"/>
      <c r="CO965" s="216"/>
      <c r="CP965" s="216"/>
      <c r="CQ965" s="216"/>
      <c r="CR965" s="216"/>
      <c r="CS965" s="216"/>
      <c r="CT965" s="216"/>
      <c r="CU965" s="216"/>
      <c r="CV965" s="216"/>
      <c r="CW965" s="216"/>
      <c r="CX965" s="216"/>
      <c r="CY965" s="216"/>
    </row>
    <row r="966" spans="1:103" ht="12.75" x14ac:dyDescent="0.2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214"/>
      <c r="L966" s="214"/>
      <c r="M966" s="214"/>
      <c r="N966" s="215"/>
      <c r="O966" s="215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  <c r="AJ966" s="216"/>
      <c r="AK966" s="216"/>
      <c r="AL966" s="216"/>
      <c r="AM966" s="216"/>
      <c r="AN966" s="216"/>
      <c r="AO966" s="216"/>
      <c r="AP966" s="216"/>
      <c r="AQ966" s="216"/>
      <c r="AR966" s="216"/>
      <c r="AS966" s="216"/>
      <c r="AT966" s="216"/>
      <c r="AU966" s="216"/>
      <c r="AV966" s="216"/>
      <c r="AW966" s="216"/>
      <c r="AX966" s="216"/>
      <c r="AY966" s="216"/>
      <c r="AZ966" s="216"/>
      <c r="BA966" s="216"/>
      <c r="BB966" s="216"/>
      <c r="BC966" s="216"/>
      <c r="BD966" s="216"/>
      <c r="BE966" s="216"/>
      <c r="BF966" s="216"/>
      <c r="BG966" s="216"/>
      <c r="BH966" s="216"/>
      <c r="BI966" s="216"/>
      <c r="BJ966" s="216"/>
      <c r="BK966" s="216"/>
      <c r="BL966" s="216"/>
      <c r="BM966" s="216"/>
      <c r="BN966" s="216"/>
      <c r="BO966" s="216"/>
      <c r="BP966" s="216"/>
      <c r="BQ966" s="216"/>
      <c r="BR966" s="216"/>
      <c r="BS966" s="216"/>
      <c r="BT966" s="216"/>
      <c r="BU966" s="216"/>
      <c r="BV966" s="216"/>
      <c r="BW966" s="216"/>
      <c r="BX966" s="216"/>
      <c r="BY966" s="216"/>
      <c r="BZ966" s="216"/>
      <c r="CA966" s="216"/>
      <c r="CB966" s="216"/>
      <c r="CC966" s="216"/>
      <c r="CD966" s="216"/>
      <c r="CE966" s="216"/>
      <c r="CF966" s="216"/>
      <c r="CG966" s="216"/>
      <c r="CH966" s="216"/>
      <c r="CI966" s="216"/>
      <c r="CJ966" s="216"/>
      <c r="CK966" s="216"/>
      <c r="CL966" s="216"/>
      <c r="CM966" s="216"/>
      <c r="CN966" s="216"/>
      <c r="CO966" s="216"/>
      <c r="CP966" s="216"/>
      <c r="CQ966" s="216"/>
      <c r="CR966" s="216"/>
      <c r="CS966" s="216"/>
      <c r="CT966" s="216"/>
      <c r="CU966" s="216"/>
      <c r="CV966" s="216"/>
      <c r="CW966" s="216"/>
      <c r="CX966" s="216"/>
      <c r="CY966" s="216"/>
    </row>
    <row r="967" spans="1:103" ht="12.75" x14ac:dyDescent="0.2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214"/>
      <c r="L967" s="214"/>
      <c r="M967" s="214"/>
      <c r="N967" s="215"/>
      <c r="O967" s="215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  <c r="AJ967" s="216"/>
      <c r="AK967" s="216"/>
      <c r="AL967" s="216"/>
      <c r="AM967" s="216"/>
      <c r="AN967" s="216"/>
      <c r="AO967" s="216"/>
      <c r="AP967" s="216"/>
      <c r="AQ967" s="216"/>
      <c r="AR967" s="216"/>
      <c r="AS967" s="216"/>
      <c r="AT967" s="216"/>
      <c r="AU967" s="216"/>
      <c r="AV967" s="216"/>
      <c r="AW967" s="216"/>
      <c r="AX967" s="216"/>
      <c r="AY967" s="216"/>
      <c r="AZ967" s="216"/>
      <c r="BA967" s="216"/>
      <c r="BB967" s="216"/>
      <c r="BC967" s="216"/>
      <c r="BD967" s="216"/>
      <c r="BE967" s="216"/>
      <c r="BF967" s="216"/>
      <c r="BG967" s="216"/>
      <c r="BH967" s="216"/>
      <c r="BI967" s="216"/>
      <c r="BJ967" s="216"/>
      <c r="BK967" s="216"/>
      <c r="BL967" s="216"/>
      <c r="BM967" s="216"/>
      <c r="BN967" s="216"/>
      <c r="BO967" s="216"/>
      <c r="BP967" s="216"/>
      <c r="BQ967" s="216"/>
      <c r="BR967" s="216"/>
      <c r="BS967" s="216"/>
      <c r="BT967" s="216"/>
      <c r="BU967" s="216"/>
      <c r="BV967" s="216"/>
      <c r="BW967" s="216"/>
      <c r="BX967" s="216"/>
      <c r="BY967" s="216"/>
      <c r="BZ967" s="216"/>
      <c r="CA967" s="216"/>
      <c r="CB967" s="216"/>
      <c r="CC967" s="216"/>
      <c r="CD967" s="216"/>
      <c r="CE967" s="216"/>
      <c r="CF967" s="216"/>
      <c r="CG967" s="216"/>
      <c r="CH967" s="216"/>
      <c r="CI967" s="216"/>
      <c r="CJ967" s="216"/>
      <c r="CK967" s="216"/>
      <c r="CL967" s="216"/>
      <c r="CM967" s="216"/>
      <c r="CN967" s="216"/>
      <c r="CO967" s="216"/>
      <c r="CP967" s="216"/>
      <c r="CQ967" s="216"/>
      <c r="CR967" s="216"/>
      <c r="CS967" s="216"/>
      <c r="CT967" s="216"/>
      <c r="CU967" s="216"/>
      <c r="CV967" s="216"/>
      <c r="CW967" s="216"/>
      <c r="CX967" s="216"/>
      <c r="CY967" s="216"/>
    </row>
    <row r="968" spans="1:103" ht="12.75" x14ac:dyDescent="0.2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214"/>
      <c r="L968" s="214"/>
      <c r="M968" s="214"/>
      <c r="N968" s="215"/>
      <c r="O968" s="215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  <c r="AJ968" s="216"/>
      <c r="AK968" s="216"/>
      <c r="AL968" s="216"/>
      <c r="AM968" s="216"/>
      <c r="AN968" s="216"/>
      <c r="AO968" s="216"/>
      <c r="AP968" s="216"/>
      <c r="AQ968" s="216"/>
      <c r="AR968" s="216"/>
      <c r="AS968" s="216"/>
      <c r="AT968" s="216"/>
      <c r="AU968" s="216"/>
      <c r="AV968" s="216"/>
      <c r="AW968" s="216"/>
      <c r="AX968" s="216"/>
      <c r="AY968" s="216"/>
      <c r="AZ968" s="216"/>
      <c r="BA968" s="216"/>
      <c r="BB968" s="216"/>
      <c r="BC968" s="216"/>
      <c r="BD968" s="216"/>
      <c r="BE968" s="216"/>
      <c r="BF968" s="216"/>
      <c r="BG968" s="216"/>
      <c r="BH968" s="216"/>
      <c r="BI968" s="216"/>
      <c r="BJ968" s="216"/>
      <c r="BK968" s="216"/>
      <c r="BL968" s="216"/>
      <c r="BM968" s="216"/>
      <c r="BN968" s="216"/>
      <c r="BO968" s="216"/>
      <c r="BP968" s="216"/>
      <c r="BQ968" s="216"/>
      <c r="BR968" s="216"/>
      <c r="BS968" s="216"/>
      <c r="BT968" s="216"/>
      <c r="BU968" s="216"/>
      <c r="BV968" s="216"/>
      <c r="BW968" s="216"/>
      <c r="BX968" s="216"/>
      <c r="BY968" s="216"/>
      <c r="BZ968" s="216"/>
      <c r="CA968" s="216"/>
      <c r="CB968" s="216"/>
      <c r="CC968" s="216"/>
      <c r="CD968" s="216"/>
      <c r="CE968" s="216"/>
      <c r="CF968" s="216"/>
      <c r="CG968" s="216"/>
      <c r="CH968" s="216"/>
      <c r="CI968" s="216"/>
      <c r="CJ968" s="216"/>
      <c r="CK968" s="216"/>
      <c r="CL968" s="216"/>
      <c r="CM968" s="216"/>
      <c r="CN968" s="216"/>
      <c r="CO968" s="216"/>
      <c r="CP968" s="216"/>
      <c r="CQ968" s="216"/>
      <c r="CR968" s="216"/>
      <c r="CS968" s="216"/>
      <c r="CT968" s="216"/>
      <c r="CU968" s="216"/>
      <c r="CV968" s="216"/>
      <c r="CW968" s="216"/>
      <c r="CX968" s="216"/>
      <c r="CY968" s="216"/>
    </row>
    <row r="969" spans="1:103" ht="12.75" x14ac:dyDescent="0.2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214"/>
      <c r="L969" s="214"/>
      <c r="M969" s="214"/>
      <c r="N969" s="215"/>
      <c r="O969" s="215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  <c r="AJ969" s="216"/>
      <c r="AK969" s="216"/>
      <c r="AL969" s="216"/>
      <c r="AM969" s="216"/>
      <c r="AN969" s="216"/>
      <c r="AO969" s="216"/>
      <c r="AP969" s="216"/>
      <c r="AQ969" s="216"/>
      <c r="AR969" s="216"/>
      <c r="AS969" s="216"/>
      <c r="AT969" s="216"/>
      <c r="AU969" s="216"/>
      <c r="AV969" s="216"/>
      <c r="AW969" s="216"/>
      <c r="AX969" s="216"/>
      <c r="AY969" s="216"/>
      <c r="AZ969" s="216"/>
      <c r="BA969" s="216"/>
      <c r="BB969" s="216"/>
      <c r="BC969" s="216"/>
      <c r="BD969" s="216"/>
      <c r="BE969" s="216"/>
      <c r="BF969" s="216"/>
      <c r="BG969" s="216"/>
      <c r="BH969" s="216"/>
      <c r="BI969" s="216"/>
      <c r="BJ969" s="216"/>
      <c r="BK969" s="216"/>
      <c r="BL969" s="216"/>
      <c r="BM969" s="216"/>
      <c r="BN969" s="216"/>
      <c r="BO969" s="216"/>
      <c r="BP969" s="216"/>
      <c r="BQ969" s="216"/>
      <c r="BR969" s="216"/>
      <c r="BS969" s="216"/>
      <c r="BT969" s="216"/>
      <c r="BU969" s="216"/>
      <c r="BV969" s="216"/>
      <c r="BW969" s="216"/>
      <c r="BX969" s="216"/>
      <c r="BY969" s="216"/>
      <c r="BZ969" s="216"/>
      <c r="CA969" s="216"/>
      <c r="CB969" s="216"/>
      <c r="CC969" s="216"/>
      <c r="CD969" s="216"/>
      <c r="CE969" s="216"/>
      <c r="CF969" s="216"/>
      <c r="CG969" s="216"/>
      <c r="CH969" s="216"/>
      <c r="CI969" s="216"/>
      <c r="CJ969" s="216"/>
      <c r="CK969" s="216"/>
      <c r="CL969" s="216"/>
      <c r="CM969" s="216"/>
      <c r="CN969" s="216"/>
      <c r="CO969" s="216"/>
      <c r="CP969" s="216"/>
      <c r="CQ969" s="216"/>
      <c r="CR969" s="216"/>
      <c r="CS969" s="216"/>
      <c r="CT969" s="216"/>
      <c r="CU969" s="216"/>
      <c r="CV969" s="216"/>
      <c r="CW969" s="216"/>
      <c r="CX969" s="216"/>
      <c r="CY969" s="216"/>
    </row>
    <row r="970" spans="1:103" ht="12.75" x14ac:dyDescent="0.2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214"/>
      <c r="L970" s="214"/>
      <c r="M970" s="214"/>
      <c r="N970" s="215"/>
      <c r="O970" s="215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  <c r="AJ970" s="216"/>
      <c r="AK970" s="216"/>
      <c r="AL970" s="216"/>
      <c r="AM970" s="216"/>
      <c r="AN970" s="216"/>
      <c r="AO970" s="216"/>
      <c r="AP970" s="216"/>
      <c r="AQ970" s="216"/>
      <c r="AR970" s="216"/>
      <c r="AS970" s="216"/>
      <c r="AT970" s="216"/>
      <c r="AU970" s="216"/>
      <c r="AV970" s="216"/>
      <c r="AW970" s="216"/>
      <c r="AX970" s="216"/>
      <c r="AY970" s="216"/>
      <c r="AZ970" s="216"/>
      <c r="BA970" s="216"/>
      <c r="BB970" s="216"/>
      <c r="BC970" s="216"/>
      <c r="BD970" s="216"/>
      <c r="BE970" s="216"/>
      <c r="BF970" s="216"/>
      <c r="BG970" s="216"/>
      <c r="BH970" s="216"/>
      <c r="BI970" s="216"/>
      <c r="BJ970" s="216"/>
      <c r="BK970" s="216"/>
      <c r="BL970" s="216"/>
      <c r="BM970" s="216"/>
      <c r="BN970" s="216"/>
      <c r="BO970" s="216"/>
      <c r="BP970" s="216"/>
      <c r="BQ970" s="216"/>
      <c r="BR970" s="216"/>
      <c r="BS970" s="216"/>
      <c r="BT970" s="216"/>
      <c r="BU970" s="216"/>
      <c r="BV970" s="216"/>
      <c r="BW970" s="216"/>
      <c r="BX970" s="216"/>
      <c r="BY970" s="216"/>
      <c r="BZ970" s="216"/>
      <c r="CA970" s="216"/>
      <c r="CB970" s="216"/>
      <c r="CC970" s="216"/>
      <c r="CD970" s="216"/>
      <c r="CE970" s="216"/>
      <c r="CF970" s="216"/>
      <c r="CG970" s="216"/>
      <c r="CH970" s="216"/>
      <c r="CI970" s="216"/>
      <c r="CJ970" s="216"/>
      <c r="CK970" s="216"/>
      <c r="CL970" s="216"/>
      <c r="CM970" s="216"/>
      <c r="CN970" s="216"/>
      <c r="CO970" s="216"/>
      <c r="CP970" s="216"/>
      <c r="CQ970" s="216"/>
      <c r="CR970" s="216"/>
      <c r="CS970" s="216"/>
      <c r="CT970" s="216"/>
      <c r="CU970" s="216"/>
      <c r="CV970" s="216"/>
      <c r="CW970" s="216"/>
      <c r="CX970" s="216"/>
      <c r="CY970" s="216"/>
    </row>
    <row r="971" spans="1:103" ht="12.75" x14ac:dyDescent="0.2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214"/>
      <c r="L971" s="214"/>
      <c r="M971" s="214"/>
      <c r="N971" s="215"/>
      <c r="O971" s="215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  <c r="AJ971" s="216"/>
      <c r="AK971" s="216"/>
      <c r="AL971" s="216"/>
      <c r="AM971" s="216"/>
      <c r="AN971" s="216"/>
      <c r="AO971" s="216"/>
      <c r="AP971" s="216"/>
      <c r="AQ971" s="216"/>
      <c r="AR971" s="216"/>
      <c r="AS971" s="216"/>
      <c r="AT971" s="216"/>
      <c r="AU971" s="216"/>
      <c r="AV971" s="216"/>
      <c r="AW971" s="216"/>
      <c r="AX971" s="216"/>
      <c r="AY971" s="216"/>
      <c r="AZ971" s="216"/>
      <c r="BA971" s="216"/>
      <c r="BB971" s="216"/>
      <c r="BC971" s="216"/>
      <c r="BD971" s="216"/>
      <c r="BE971" s="216"/>
      <c r="BF971" s="216"/>
      <c r="BG971" s="216"/>
      <c r="BH971" s="216"/>
      <c r="BI971" s="216"/>
      <c r="BJ971" s="216"/>
      <c r="BK971" s="216"/>
      <c r="BL971" s="216"/>
      <c r="BM971" s="216"/>
      <c r="BN971" s="216"/>
      <c r="BO971" s="216"/>
      <c r="BP971" s="216"/>
      <c r="BQ971" s="216"/>
      <c r="BR971" s="216"/>
      <c r="BS971" s="216"/>
      <c r="BT971" s="216"/>
      <c r="BU971" s="216"/>
      <c r="BV971" s="216"/>
      <c r="BW971" s="216"/>
      <c r="BX971" s="216"/>
      <c r="BY971" s="216"/>
      <c r="BZ971" s="216"/>
      <c r="CA971" s="216"/>
      <c r="CB971" s="216"/>
      <c r="CC971" s="216"/>
      <c r="CD971" s="216"/>
      <c r="CE971" s="216"/>
      <c r="CF971" s="216"/>
      <c r="CG971" s="216"/>
      <c r="CH971" s="216"/>
      <c r="CI971" s="216"/>
      <c r="CJ971" s="216"/>
      <c r="CK971" s="216"/>
      <c r="CL971" s="216"/>
      <c r="CM971" s="216"/>
      <c r="CN971" s="216"/>
      <c r="CO971" s="216"/>
      <c r="CP971" s="216"/>
      <c r="CQ971" s="216"/>
      <c r="CR971" s="216"/>
      <c r="CS971" s="216"/>
      <c r="CT971" s="216"/>
      <c r="CU971" s="216"/>
      <c r="CV971" s="216"/>
      <c r="CW971" s="216"/>
      <c r="CX971" s="216"/>
      <c r="CY971" s="216"/>
    </row>
    <row r="972" spans="1:103" ht="12.75" x14ac:dyDescent="0.2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214"/>
      <c r="L972" s="214"/>
      <c r="M972" s="214"/>
      <c r="N972" s="215"/>
      <c r="O972" s="215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  <c r="AJ972" s="216"/>
      <c r="AK972" s="216"/>
      <c r="AL972" s="216"/>
      <c r="AM972" s="216"/>
      <c r="AN972" s="216"/>
      <c r="AO972" s="216"/>
      <c r="AP972" s="216"/>
      <c r="AQ972" s="216"/>
      <c r="AR972" s="216"/>
      <c r="AS972" s="216"/>
      <c r="AT972" s="216"/>
      <c r="AU972" s="216"/>
      <c r="AV972" s="216"/>
      <c r="AW972" s="216"/>
      <c r="AX972" s="216"/>
      <c r="AY972" s="216"/>
      <c r="AZ972" s="216"/>
      <c r="BA972" s="216"/>
      <c r="BB972" s="216"/>
      <c r="BC972" s="216"/>
      <c r="BD972" s="216"/>
      <c r="BE972" s="216"/>
      <c r="BF972" s="216"/>
      <c r="BG972" s="216"/>
      <c r="BH972" s="216"/>
      <c r="BI972" s="216"/>
      <c r="BJ972" s="216"/>
      <c r="BK972" s="216"/>
      <c r="BL972" s="216"/>
      <c r="BM972" s="216"/>
      <c r="BN972" s="216"/>
      <c r="BO972" s="216"/>
      <c r="BP972" s="216"/>
      <c r="BQ972" s="216"/>
      <c r="BR972" s="216"/>
      <c r="BS972" s="216"/>
      <c r="BT972" s="216"/>
      <c r="BU972" s="216"/>
      <c r="BV972" s="216"/>
      <c r="BW972" s="216"/>
      <c r="BX972" s="216"/>
      <c r="BY972" s="216"/>
      <c r="BZ972" s="216"/>
      <c r="CA972" s="216"/>
      <c r="CB972" s="216"/>
      <c r="CC972" s="216"/>
      <c r="CD972" s="216"/>
      <c r="CE972" s="216"/>
      <c r="CF972" s="216"/>
      <c r="CG972" s="216"/>
      <c r="CH972" s="216"/>
      <c r="CI972" s="216"/>
      <c r="CJ972" s="216"/>
      <c r="CK972" s="216"/>
      <c r="CL972" s="216"/>
      <c r="CM972" s="216"/>
      <c r="CN972" s="216"/>
      <c r="CO972" s="216"/>
      <c r="CP972" s="216"/>
      <c r="CQ972" s="216"/>
      <c r="CR972" s="216"/>
      <c r="CS972" s="216"/>
      <c r="CT972" s="216"/>
      <c r="CU972" s="216"/>
      <c r="CV972" s="216"/>
      <c r="CW972" s="216"/>
      <c r="CX972" s="216"/>
      <c r="CY972" s="216"/>
    </row>
    <row r="973" spans="1:103" ht="12.75" x14ac:dyDescent="0.2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214"/>
      <c r="L973" s="214"/>
      <c r="M973" s="214"/>
      <c r="N973" s="215"/>
      <c r="O973" s="215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  <c r="AJ973" s="216"/>
      <c r="AK973" s="216"/>
      <c r="AL973" s="216"/>
      <c r="AM973" s="216"/>
      <c r="AN973" s="216"/>
      <c r="AO973" s="216"/>
      <c r="AP973" s="216"/>
      <c r="AQ973" s="216"/>
      <c r="AR973" s="216"/>
      <c r="AS973" s="216"/>
      <c r="AT973" s="216"/>
      <c r="AU973" s="216"/>
      <c r="AV973" s="216"/>
      <c r="AW973" s="216"/>
      <c r="AX973" s="216"/>
      <c r="AY973" s="216"/>
      <c r="AZ973" s="216"/>
      <c r="BA973" s="216"/>
      <c r="BB973" s="216"/>
      <c r="BC973" s="216"/>
      <c r="BD973" s="216"/>
      <c r="BE973" s="216"/>
      <c r="BF973" s="216"/>
      <c r="BG973" s="216"/>
      <c r="BH973" s="216"/>
      <c r="BI973" s="216"/>
      <c r="BJ973" s="216"/>
      <c r="BK973" s="216"/>
      <c r="BL973" s="216"/>
      <c r="BM973" s="216"/>
      <c r="BN973" s="216"/>
      <c r="BO973" s="216"/>
      <c r="BP973" s="216"/>
      <c r="BQ973" s="216"/>
      <c r="BR973" s="216"/>
      <c r="BS973" s="216"/>
      <c r="BT973" s="216"/>
      <c r="BU973" s="216"/>
      <c r="BV973" s="216"/>
      <c r="BW973" s="216"/>
      <c r="BX973" s="216"/>
      <c r="BY973" s="216"/>
      <c r="BZ973" s="216"/>
      <c r="CA973" s="216"/>
      <c r="CB973" s="216"/>
      <c r="CC973" s="216"/>
      <c r="CD973" s="216"/>
      <c r="CE973" s="216"/>
      <c r="CF973" s="216"/>
      <c r="CG973" s="216"/>
      <c r="CH973" s="216"/>
      <c r="CI973" s="216"/>
      <c r="CJ973" s="216"/>
      <c r="CK973" s="216"/>
      <c r="CL973" s="216"/>
      <c r="CM973" s="216"/>
      <c r="CN973" s="216"/>
      <c r="CO973" s="216"/>
      <c r="CP973" s="216"/>
      <c r="CQ973" s="216"/>
      <c r="CR973" s="216"/>
      <c r="CS973" s="216"/>
      <c r="CT973" s="216"/>
      <c r="CU973" s="216"/>
      <c r="CV973" s="216"/>
      <c r="CW973" s="216"/>
      <c r="CX973" s="216"/>
      <c r="CY973" s="216"/>
    </row>
    <row r="974" spans="1:103" ht="12.75" x14ac:dyDescent="0.2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214"/>
      <c r="L974" s="214"/>
      <c r="M974" s="214"/>
      <c r="N974" s="215"/>
      <c r="O974" s="215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  <c r="AJ974" s="216"/>
      <c r="AK974" s="216"/>
      <c r="AL974" s="216"/>
      <c r="AM974" s="216"/>
      <c r="AN974" s="216"/>
      <c r="AO974" s="216"/>
      <c r="AP974" s="216"/>
      <c r="AQ974" s="216"/>
      <c r="AR974" s="216"/>
      <c r="AS974" s="216"/>
      <c r="AT974" s="216"/>
      <c r="AU974" s="216"/>
      <c r="AV974" s="216"/>
      <c r="AW974" s="216"/>
      <c r="AX974" s="216"/>
      <c r="AY974" s="216"/>
      <c r="AZ974" s="216"/>
      <c r="BA974" s="216"/>
      <c r="BB974" s="216"/>
      <c r="BC974" s="216"/>
      <c r="BD974" s="216"/>
      <c r="BE974" s="216"/>
      <c r="BF974" s="216"/>
      <c r="BG974" s="216"/>
      <c r="BH974" s="216"/>
      <c r="BI974" s="216"/>
      <c r="BJ974" s="216"/>
      <c r="BK974" s="216"/>
      <c r="BL974" s="216"/>
      <c r="BM974" s="216"/>
      <c r="BN974" s="216"/>
      <c r="BO974" s="216"/>
      <c r="BP974" s="216"/>
      <c r="BQ974" s="216"/>
      <c r="BR974" s="216"/>
      <c r="BS974" s="216"/>
      <c r="BT974" s="216"/>
      <c r="BU974" s="216"/>
      <c r="BV974" s="216"/>
      <c r="BW974" s="216"/>
      <c r="BX974" s="216"/>
      <c r="BY974" s="216"/>
      <c r="BZ974" s="216"/>
      <c r="CA974" s="216"/>
      <c r="CB974" s="216"/>
      <c r="CC974" s="216"/>
      <c r="CD974" s="216"/>
      <c r="CE974" s="216"/>
      <c r="CF974" s="216"/>
      <c r="CG974" s="216"/>
      <c r="CH974" s="216"/>
      <c r="CI974" s="216"/>
      <c r="CJ974" s="216"/>
      <c r="CK974" s="216"/>
      <c r="CL974" s="216"/>
      <c r="CM974" s="216"/>
      <c r="CN974" s="216"/>
      <c r="CO974" s="216"/>
      <c r="CP974" s="216"/>
      <c r="CQ974" s="216"/>
      <c r="CR974" s="216"/>
      <c r="CS974" s="216"/>
      <c r="CT974" s="216"/>
      <c r="CU974" s="216"/>
      <c r="CV974" s="216"/>
      <c r="CW974" s="216"/>
      <c r="CX974" s="216"/>
      <c r="CY974" s="216"/>
    </row>
    <row r="975" spans="1:103" ht="12.75" x14ac:dyDescent="0.2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214"/>
      <c r="L975" s="214"/>
      <c r="M975" s="214"/>
      <c r="N975" s="215"/>
      <c r="O975" s="215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  <c r="AJ975" s="216"/>
      <c r="AK975" s="216"/>
      <c r="AL975" s="216"/>
      <c r="AM975" s="216"/>
      <c r="AN975" s="216"/>
      <c r="AO975" s="216"/>
      <c r="AP975" s="216"/>
      <c r="AQ975" s="216"/>
      <c r="AR975" s="216"/>
      <c r="AS975" s="216"/>
      <c r="AT975" s="216"/>
      <c r="AU975" s="216"/>
      <c r="AV975" s="216"/>
      <c r="AW975" s="216"/>
      <c r="AX975" s="216"/>
      <c r="AY975" s="216"/>
      <c r="AZ975" s="216"/>
      <c r="BA975" s="216"/>
      <c r="BB975" s="216"/>
      <c r="BC975" s="216"/>
      <c r="BD975" s="216"/>
      <c r="BE975" s="216"/>
      <c r="BF975" s="216"/>
      <c r="BG975" s="216"/>
      <c r="BH975" s="216"/>
      <c r="BI975" s="216"/>
      <c r="BJ975" s="216"/>
      <c r="BK975" s="216"/>
      <c r="BL975" s="216"/>
      <c r="BM975" s="216"/>
      <c r="BN975" s="216"/>
      <c r="BO975" s="216"/>
      <c r="BP975" s="216"/>
      <c r="BQ975" s="216"/>
      <c r="BR975" s="216"/>
      <c r="BS975" s="216"/>
      <c r="BT975" s="216"/>
      <c r="BU975" s="216"/>
      <c r="BV975" s="216"/>
      <c r="BW975" s="216"/>
      <c r="BX975" s="216"/>
      <c r="BY975" s="216"/>
      <c r="BZ975" s="216"/>
      <c r="CA975" s="216"/>
      <c r="CB975" s="216"/>
      <c r="CC975" s="216"/>
      <c r="CD975" s="216"/>
      <c r="CE975" s="216"/>
      <c r="CF975" s="216"/>
      <c r="CG975" s="216"/>
      <c r="CH975" s="216"/>
      <c r="CI975" s="216"/>
      <c r="CJ975" s="216"/>
      <c r="CK975" s="216"/>
      <c r="CL975" s="216"/>
      <c r="CM975" s="216"/>
      <c r="CN975" s="216"/>
      <c r="CO975" s="216"/>
      <c r="CP975" s="216"/>
      <c r="CQ975" s="216"/>
      <c r="CR975" s="216"/>
      <c r="CS975" s="216"/>
      <c r="CT975" s="216"/>
      <c r="CU975" s="216"/>
      <c r="CV975" s="216"/>
      <c r="CW975" s="216"/>
      <c r="CX975" s="216"/>
      <c r="CY975" s="216"/>
    </row>
    <row r="976" spans="1:103" ht="12.75" x14ac:dyDescent="0.2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214"/>
      <c r="L976" s="214"/>
      <c r="M976" s="214"/>
      <c r="N976" s="215"/>
      <c r="O976" s="215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  <c r="AJ976" s="216"/>
      <c r="AK976" s="216"/>
      <c r="AL976" s="216"/>
      <c r="AM976" s="216"/>
      <c r="AN976" s="216"/>
      <c r="AO976" s="216"/>
      <c r="AP976" s="216"/>
      <c r="AQ976" s="216"/>
      <c r="AR976" s="216"/>
      <c r="AS976" s="216"/>
      <c r="AT976" s="216"/>
      <c r="AU976" s="216"/>
      <c r="AV976" s="216"/>
      <c r="AW976" s="216"/>
      <c r="AX976" s="216"/>
      <c r="AY976" s="216"/>
      <c r="AZ976" s="216"/>
      <c r="BA976" s="216"/>
      <c r="BB976" s="216"/>
      <c r="BC976" s="216"/>
      <c r="BD976" s="216"/>
      <c r="BE976" s="216"/>
      <c r="BF976" s="216"/>
      <c r="BG976" s="216"/>
      <c r="BH976" s="216"/>
      <c r="BI976" s="216"/>
      <c r="BJ976" s="216"/>
      <c r="BK976" s="216"/>
      <c r="BL976" s="216"/>
      <c r="BM976" s="216"/>
      <c r="BN976" s="216"/>
      <c r="BO976" s="216"/>
      <c r="BP976" s="216"/>
      <c r="BQ976" s="216"/>
      <c r="BR976" s="216"/>
      <c r="BS976" s="216"/>
      <c r="BT976" s="216"/>
      <c r="BU976" s="216"/>
      <c r="BV976" s="216"/>
      <c r="BW976" s="216"/>
      <c r="BX976" s="216"/>
      <c r="BY976" s="216"/>
      <c r="BZ976" s="216"/>
      <c r="CA976" s="216"/>
      <c r="CB976" s="216"/>
      <c r="CC976" s="216"/>
      <c r="CD976" s="216"/>
      <c r="CE976" s="216"/>
      <c r="CF976" s="216"/>
      <c r="CG976" s="216"/>
      <c r="CH976" s="216"/>
      <c r="CI976" s="216"/>
      <c r="CJ976" s="216"/>
      <c r="CK976" s="216"/>
      <c r="CL976" s="216"/>
      <c r="CM976" s="216"/>
      <c r="CN976" s="216"/>
      <c r="CO976" s="216"/>
      <c r="CP976" s="216"/>
      <c r="CQ976" s="216"/>
      <c r="CR976" s="216"/>
      <c r="CS976" s="216"/>
      <c r="CT976" s="216"/>
      <c r="CU976" s="216"/>
      <c r="CV976" s="216"/>
      <c r="CW976" s="216"/>
      <c r="CX976" s="216"/>
      <c r="CY976" s="216"/>
    </row>
    <row r="977" spans="1:103" ht="12.75" x14ac:dyDescent="0.2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214"/>
      <c r="L977" s="214"/>
      <c r="M977" s="214"/>
      <c r="N977" s="215"/>
      <c r="O977" s="215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  <c r="AJ977" s="216"/>
      <c r="AK977" s="216"/>
      <c r="AL977" s="216"/>
      <c r="AM977" s="216"/>
      <c r="AN977" s="216"/>
      <c r="AO977" s="216"/>
      <c r="AP977" s="216"/>
      <c r="AQ977" s="216"/>
      <c r="AR977" s="216"/>
      <c r="AS977" s="216"/>
      <c r="AT977" s="216"/>
      <c r="AU977" s="216"/>
      <c r="AV977" s="216"/>
      <c r="AW977" s="216"/>
      <c r="AX977" s="216"/>
      <c r="AY977" s="216"/>
      <c r="AZ977" s="216"/>
      <c r="BA977" s="216"/>
      <c r="BB977" s="216"/>
      <c r="BC977" s="216"/>
      <c r="BD977" s="216"/>
      <c r="BE977" s="216"/>
      <c r="BF977" s="216"/>
      <c r="BG977" s="216"/>
      <c r="BH977" s="216"/>
      <c r="BI977" s="216"/>
      <c r="BJ977" s="216"/>
      <c r="BK977" s="216"/>
      <c r="BL977" s="216"/>
      <c r="BM977" s="216"/>
      <c r="BN977" s="216"/>
      <c r="BO977" s="216"/>
      <c r="BP977" s="216"/>
      <c r="BQ977" s="216"/>
      <c r="BR977" s="216"/>
      <c r="BS977" s="216"/>
      <c r="BT977" s="216"/>
      <c r="BU977" s="216"/>
      <c r="BV977" s="216"/>
      <c r="BW977" s="216"/>
      <c r="BX977" s="216"/>
      <c r="BY977" s="216"/>
      <c r="BZ977" s="216"/>
      <c r="CA977" s="216"/>
      <c r="CB977" s="216"/>
      <c r="CC977" s="216"/>
      <c r="CD977" s="216"/>
      <c r="CE977" s="216"/>
      <c r="CF977" s="216"/>
      <c r="CG977" s="216"/>
      <c r="CH977" s="216"/>
      <c r="CI977" s="216"/>
      <c r="CJ977" s="216"/>
      <c r="CK977" s="216"/>
      <c r="CL977" s="216"/>
      <c r="CM977" s="216"/>
      <c r="CN977" s="216"/>
      <c r="CO977" s="216"/>
      <c r="CP977" s="216"/>
      <c r="CQ977" s="216"/>
      <c r="CR977" s="216"/>
      <c r="CS977" s="216"/>
      <c r="CT977" s="216"/>
      <c r="CU977" s="216"/>
      <c r="CV977" s="216"/>
      <c r="CW977" s="216"/>
      <c r="CX977" s="216"/>
      <c r="CY977" s="216"/>
    </row>
    <row r="978" spans="1:103" ht="12.75" x14ac:dyDescent="0.2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214"/>
      <c r="L978" s="214"/>
      <c r="M978" s="214"/>
      <c r="N978" s="215"/>
      <c r="O978" s="215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  <c r="AJ978" s="216"/>
      <c r="AK978" s="216"/>
      <c r="AL978" s="216"/>
      <c r="AM978" s="216"/>
      <c r="AN978" s="216"/>
      <c r="AO978" s="216"/>
      <c r="AP978" s="216"/>
      <c r="AQ978" s="216"/>
      <c r="AR978" s="216"/>
      <c r="AS978" s="216"/>
      <c r="AT978" s="216"/>
      <c r="AU978" s="216"/>
      <c r="AV978" s="216"/>
      <c r="AW978" s="216"/>
      <c r="AX978" s="216"/>
      <c r="AY978" s="216"/>
      <c r="AZ978" s="216"/>
      <c r="BA978" s="216"/>
      <c r="BB978" s="216"/>
      <c r="BC978" s="216"/>
      <c r="BD978" s="216"/>
      <c r="BE978" s="216"/>
      <c r="BF978" s="216"/>
      <c r="BG978" s="216"/>
      <c r="BH978" s="216"/>
      <c r="BI978" s="216"/>
      <c r="BJ978" s="216"/>
      <c r="BK978" s="216"/>
      <c r="BL978" s="216"/>
      <c r="BM978" s="216"/>
      <c r="BN978" s="216"/>
      <c r="BO978" s="216"/>
      <c r="BP978" s="216"/>
      <c r="BQ978" s="216"/>
      <c r="BR978" s="216"/>
      <c r="BS978" s="216"/>
      <c r="BT978" s="216"/>
      <c r="BU978" s="216"/>
      <c r="BV978" s="216"/>
      <c r="BW978" s="216"/>
      <c r="BX978" s="216"/>
      <c r="BY978" s="216"/>
      <c r="BZ978" s="216"/>
      <c r="CA978" s="216"/>
      <c r="CB978" s="216"/>
      <c r="CC978" s="216"/>
      <c r="CD978" s="216"/>
      <c r="CE978" s="216"/>
      <c r="CF978" s="216"/>
      <c r="CG978" s="216"/>
      <c r="CH978" s="216"/>
      <c r="CI978" s="216"/>
      <c r="CJ978" s="216"/>
      <c r="CK978" s="216"/>
      <c r="CL978" s="216"/>
      <c r="CM978" s="216"/>
      <c r="CN978" s="216"/>
      <c r="CO978" s="216"/>
      <c r="CP978" s="216"/>
      <c r="CQ978" s="216"/>
      <c r="CR978" s="216"/>
      <c r="CS978" s="216"/>
      <c r="CT978" s="216"/>
      <c r="CU978" s="216"/>
      <c r="CV978" s="216"/>
      <c r="CW978" s="216"/>
      <c r="CX978" s="216"/>
      <c r="CY978" s="216"/>
    </row>
    <row r="979" spans="1:103" ht="12.75" x14ac:dyDescent="0.2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214"/>
      <c r="L979" s="214"/>
      <c r="M979" s="214"/>
      <c r="N979" s="215"/>
      <c r="O979" s="215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  <c r="AJ979" s="216"/>
      <c r="AK979" s="216"/>
      <c r="AL979" s="216"/>
      <c r="AM979" s="216"/>
      <c r="AN979" s="216"/>
      <c r="AO979" s="216"/>
      <c r="AP979" s="216"/>
      <c r="AQ979" s="216"/>
      <c r="AR979" s="216"/>
      <c r="AS979" s="216"/>
      <c r="AT979" s="216"/>
      <c r="AU979" s="216"/>
      <c r="AV979" s="216"/>
      <c r="AW979" s="216"/>
      <c r="AX979" s="216"/>
      <c r="AY979" s="216"/>
      <c r="AZ979" s="216"/>
      <c r="BA979" s="216"/>
      <c r="BB979" s="216"/>
      <c r="BC979" s="216"/>
      <c r="BD979" s="216"/>
      <c r="BE979" s="216"/>
      <c r="BF979" s="216"/>
      <c r="BG979" s="216"/>
      <c r="BH979" s="216"/>
      <c r="BI979" s="216"/>
      <c r="BJ979" s="216"/>
      <c r="BK979" s="216"/>
      <c r="BL979" s="216"/>
      <c r="BM979" s="216"/>
      <c r="BN979" s="216"/>
      <c r="BO979" s="216"/>
      <c r="BP979" s="216"/>
      <c r="BQ979" s="216"/>
      <c r="BR979" s="216"/>
      <c r="BS979" s="216"/>
      <c r="BT979" s="216"/>
      <c r="BU979" s="216"/>
      <c r="BV979" s="216"/>
      <c r="BW979" s="216"/>
      <c r="BX979" s="216"/>
      <c r="BY979" s="216"/>
      <c r="BZ979" s="216"/>
      <c r="CA979" s="216"/>
      <c r="CB979" s="216"/>
      <c r="CC979" s="216"/>
      <c r="CD979" s="216"/>
      <c r="CE979" s="216"/>
      <c r="CF979" s="216"/>
      <c r="CG979" s="216"/>
      <c r="CH979" s="216"/>
      <c r="CI979" s="216"/>
      <c r="CJ979" s="216"/>
      <c r="CK979" s="216"/>
      <c r="CL979" s="216"/>
      <c r="CM979" s="216"/>
      <c r="CN979" s="216"/>
      <c r="CO979" s="216"/>
      <c r="CP979" s="216"/>
      <c r="CQ979" s="216"/>
      <c r="CR979" s="216"/>
      <c r="CS979" s="216"/>
      <c r="CT979" s="216"/>
      <c r="CU979" s="216"/>
      <c r="CV979" s="216"/>
      <c r="CW979" s="216"/>
      <c r="CX979" s="216"/>
      <c r="CY979" s="216"/>
    </row>
    <row r="980" spans="1:103" ht="12.75" x14ac:dyDescent="0.2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214"/>
      <c r="L980" s="214"/>
      <c r="M980" s="214"/>
      <c r="N980" s="215"/>
      <c r="O980" s="215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  <c r="AJ980" s="216"/>
      <c r="AK980" s="216"/>
      <c r="AL980" s="216"/>
      <c r="AM980" s="216"/>
      <c r="AN980" s="216"/>
      <c r="AO980" s="216"/>
      <c r="AP980" s="216"/>
      <c r="AQ980" s="216"/>
      <c r="AR980" s="216"/>
      <c r="AS980" s="216"/>
      <c r="AT980" s="216"/>
      <c r="AU980" s="216"/>
      <c r="AV980" s="216"/>
      <c r="AW980" s="216"/>
      <c r="AX980" s="216"/>
      <c r="AY980" s="216"/>
      <c r="AZ980" s="216"/>
      <c r="BA980" s="216"/>
      <c r="BB980" s="216"/>
      <c r="BC980" s="216"/>
      <c r="BD980" s="216"/>
      <c r="BE980" s="216"/>
      <c r="BF980" s="216"/>
      <c r="BG980" s="216"/>
      <c r="BH980" s="216"/>
      <c r="BI980" s="216"/>
      <c r="BJ980" s="216"/>
      <c r="BK980" s="216"/>
      <c r="BL980" s="216"/>
      <c r="BM980" s="216"/>
      <c r="BN980" s="216"/>
      <c r="BO980" s="216"/>
      <c r="BP980" s="216"/>
      <c r="BQ980" s="216"/>
      <c r="BR980" s="216"/>
      <c r="BS980" s="216"/>
      <c r="BT980" s="216"/>
      <c r="BU980" s="216"/>
      <c r="BV980" s="216"/>
      <c r="BW980" s="216"/>
      <c r="BX980" s="216"/>
      <c r="BY980" s="216"/>
      <c r="BZ980" s="216"/>
      <c r="CA980" s="216"/>
      <c r="CB980" s="216"/>
      <c r="CC980" s="216"/>
      <c r="CD980" s="216"/>
      <c r="CE980" s="216"/>
      <c r="CF980" s="216"/>
      <c r="CG980" s="216"/>
      <c r="CH980" s="216"/>
      <c r="CI980" s="216"/>
      <c r="CJ980" s="216"/>
      <c r="CK980" s="216"/>
      <c r="CL980" s="216"/>
      <c r="CM980" s="216"/>
      <c r="CN980" s="216"/>
      <c r="CO980" s="216"/>
      <c r="CP980" s="216"/>
      <c r="CQ980" s="216"/>
      <c r="CR980" s="216"/>
      <c r="CS980" s="216"/>
      <c r="CT980" s="216"/>
      <c r="CU980" s="216"/>
      <c r="CV980" s="216"/>
      <c r="CW980" s="216"/>
      <c r="CX980" s="216"/>
      <c r="CY980" s="216"/>
    </row>
    <row r="981" spans="1:103" ht="12.75" x14ac:dyDescent="0.2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214"/>
      <c r="L981" s="214"/>
      <c r="M981" s="214"/>
      <c r="N981" s="215"/>
      <c r="O981" s="215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  <c r="AJ981" s="216"/>
      <c r="AK981" s="216"/>
      <c r="AL981" s="216"/>
      <c r="AM981" s="216"/>
      <c r="AN981" s="216"/>
      <c r="AO981" s="216"/>
      <c r="AP981" s="216"/>
      <c r="AQ981" s="216"/>
      <c r="AR981" s="216"/>
      <c r="AS981" s="216"/>
      <c r="AT981" s="216"/>
      <c r="AU981" s="216"/>
      <c r="AV981" s="216"/>
      <c r="AW981" s="216"/>
      <c r="AX981" s="216"/>
      <c r="AY981" s="216"/>
      <c r="AZ981" s="216"/>
      <c r="BA981" s="216"/>
      <c r="BB981" s="216"/>
      <c r="BC981" s="216"/>
      <c r="BD981" s="216"/>
      <c r="BE981" s="216"/>
      <c r="BF981" s="216"/>
      <c r="BG981" s="216"/>
      <c r="BH981" s="216"/>
      <c r="BI981" s="216"/>
      <c r="BJ981" s="216"/>
      <c r="BK981" s="216"/>
      <c r="BL981" s="216"/>
      <c r="BM981" s="216"/>
      <c r="BN981" s="216"/>
      <c r="BO981" s="216"/>
      <c r="BP981" s="216"/>
      <c r="BQ981" s="216"/>
      <c r="BR981" s="216"/>
      <c r="BS981" s="216"/>
      <c r="BT981" s="216"/>
      <c r="BU981" s="216"/>
      <c r="BV981" s="216"/>
      <c r="BW981" s="216"/>
      <c r="BX981" s="216"/>
      <c r="BY981" s="216"/>
      <c r="BZ981" s="216"/>
      <c r="CA981" s="216"/>
      <c r="CB981" s="216"/>
      <c r="CC981" s="216"/>
      <c r="CD981" s="216"/>
      <c r="CE981" s="216"/>
      <c r="CF981" s="216"/>
      <c r="CG981" s="216"/>
      <c r="CH981" s="216"/>
      <c r="CI981" s="216"/>
      <c r="CJ981" s="216"/>
      <c r="CK981" s="216"/>
      <c r="CL981" s="216"/>
      <c r="CM981" s="216"/>
      <c r="CN981" s="216"/>
      <c r="CO981" s="216"/>
      <c r="CP981" s="216"/>
      <c r="CQ981" s="216"/>
      <c r="CR981" s="216"/>
      <c r="CS981" s="216"/>
      <c r="CT981" s="216"/>
      <c r="CU981" s="216"/>
      <c r="CV981" s="216"/>
      <c r="CW981" s="216"/>
      <c r="CX981" s="216"/>
      <c r="CY981" s="216"/>
    </row>
    <row r="982" spans="1:103" ht="12.75" x14ac:dyDescent="0.2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214"/>
      <c r="L982" s="214"/>
      <c r="M982" s="214"/>
      <c r="N982" s="215"/>
      <c r="O982" s="215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  <c r="AJ982" s="216"/>
      <c r="AK982" s="216"/>
      <c r="AL982" s="216"/>
      <c r="AM982" s="216"/>
      <c r="AN982" s="216"/>
      <c r="AO982" s="216"/>
      <c r="AP982" s="216"/>
      <c r="AQ982" s="216"/>
      <c r="AR982" s="216"/>
      <c r="AS982" s="216"/>
      <c r="AT982" s="216"/>
      <c r="AU982" s="216"/>
      <c r="AV982" s="216"/>
      <c r="AW982" s="216"/>
      <c r="AX982" s="216"/>
      <c r="AY982" s="216"/>
      <c r="AZ982" s="216"/>
      <c r="BA982" s="216"/>
      <c r="BB982" s="216"/>
      <c r="BC982" s="216"/>
      <c r="BD982" s="216"/>
      <c r="BE982" s="216"/>
      <c r="BF982" s="216"/>
      <c r="BG982" s="216"/>
      <c r="BH982" s="216"/>
      <c r="BI982" s="216"/>
      <c r="BJ982" s="216"/>
      <c r="BK982" s="216"/>
      <c r="BL982" s="216"/>
      <c r="BM982" s="216"/>
      <c r="BN982" s="216"/>
      <c r="BO982" s="216"/>
      <c r="BP982" s="216"/>
      <c r="BQ982" s="216"/>
      <c r="BR982" s="216"/>
      <c r="BS982" s="216"/>
      <c r="BT982" s="216"/>
      <c r="BU982" s="216"/>
      <c r="BV982" s="216"/>
      <c r="BW982" s="216"/>
      <c r="BX982" s="216"/>
      <c r="BY982" s="216"/>
      <c r="BZ982" s="216"/>
      <c r="CA982" s="216"/>
      <c r="CB982" s="216"/>
      <c r="CC982" s="216"/>
      <c r="CD982" s="216"/>
      <c r="CE982" s="216"/>
      <c r="CF982" s="216"/>
      <c r="CG982" s="216"/>
      <c r="CH982" s="216"/>
      <c r="CI982" s="216"/>
      <c r="CJ982" s="216"/>
      <c r="CK982" s="216"/>
      <c r="CL982" s="216"/>
      <c r="CM982" s="216"/>
      <c r="CN982" s="216"/>
      <c r="CO982" s="216"/>
      <c r="CP982" s="216"/>
      <c r="CQ982" s="216"/>
      <c r="CR982" s="216"/>
      <c r="CS982" s="216"/>
      <c r="CT982" s="216"/>
      <c r="CU982" s="216"/>
      <c r="CV982" s="216"/>
      <c r="CW982" s="216"/>
      <c r="CX982" s="216"/>
      <c r="CY982" s="216"/>
    </row>
    <row r="983" spans="1:103" ht="12.75" x14ac:dyDescent="0.2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214"/>
      <c r="L983" s="214"/>
      <c r="M983" s="214"/>
      <c r="N983" s="215"/>
      <c r="O983" s="215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  <c r="AJ983" s="216"/>
      <c r="AK983" s="216"/>
      <c r="AL983" s="216"/>
      <c r="AM983" s="216"/>
      <c r="AN983" s="216"/>
      <c r="AO983" s="216"/>
      <c r="AP983" s="216"/>
      <c r="AQ983" s="216"/>
      <c r="AR983" s="216"/>
      <c r="AS983" s="216"/>
      <c r="AT983" s="216"/>
      <c r="AU983" s="216"/>
      <c r="AV983" s="216"/>
      <c r="AW983" s="216"/>
      <c r="AX983" s="216"/>
      <c r="AY983" s="216"/>
      <c r="AZ983" s="216"/>
      <c r="BA983" s="216"/>
      <c r="BB983" s="216"/>
      <c r="BC983" s="216"/>
      <c r="BD983" s="216"/>
      <c r="BE983" s="216"/>
      <c r="BF983" s="216"/>
      <c r="BG983" s="216"/>
      <c r="BH983" s="216"/>
      <c r="BI983" s="216"/>
      <c r="BJ983" s="216"/>
      <c r="BK983" s="216"/>
      <c r="BL983" s="216"/>
      <c r="BM983" s="216"/>
      <c r="BN983" s="216"/>
      <c r="BO983" s="216"/>
      <c r="BP983" s="216"/>
      <c r="BQ983" s="216"/>
      <c r="BR983" s="216"/>
      <c r="BS983" s="216"/>
      <c r="BT983" s="216"/>
      <c r="BU983" s="216"/>
      <c r="BV983" s="216"/>
      <c r="BW983" s="216"/>
      <c r="BX983" s="216"/>
      <c r="BY983" s="216"/>
      <c r="BZ983" s="216"/>
      <c r="CA983" s="216"/>
      <c r="CB983" s="216"/>
      <c r="CC983" s="216"/>
      <c r="CD983" s="216"/>
      <c r="CE983" s="216"/>
      <c r="CF983" s="216"/>
      <c r="CG983" s="216"/>
      <c r="CH983" s="216"/>
      <c r="CI983" s="216"/>
      <c r="CJ983" s="216"/>
      <c r="CK983" s="216"/>
      <c r="CL983" s="216"/>
      <c r="CM983" s="216"/>
      <c r="CN983" s="216"/>
      <c r="CO983" s="216"/>
      <c r="CP983" s="216"/>
      <c r="CQ983" s="216"/>
      <c r="CR983" s="216"/>
      <c r="CS983" s="216"/>
      <c r="CT983" s="216"/>
      <c r="CU983" s="216"/>
      <c r="CV983" s="216"/>
      <c r="CW983" s="216"/>
      <c r="CX983" s="216"/>
      <c r="CY983" s="216"/>
    </row>
    <row r="984" spans="1:103" ht="12.75" x14ac:dyDescent="0.2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214"/>
      <c r="L984" s="214"/>
      <c r="M984" s="214"/>
      <c r="N984" s="215"/>
      <c r="O984" s="215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  <c r="AJ984" s="216"/>
      <c r="AK984" s="216"/>
      <c r="AL984" s="216"/>
      <c r="AM984" s="216"/>
      <c r="AN984" s="216"/>
      <c r="AO984" s="216"/>
      <c r="AP984" s="216"/>
      <c r="AQ984" s="216"/>
      <c r="AR984" s="216"/>
      <c r="AS984" s="216"/>
      <c r="AT984" s="216"/>
      <c r="AU984" s="216"/>
      <c r="AV984" s="216"/>
      <c r="AW984" s="216"/>
      <c r="AX984" s="216"/>
      <c r="AY984" s="216"/>
      <c r="AZ984" s="216"/>
      <c r="BA984" s="216"/>
      <c r="BB984" s="216"/>
      <c r="BC984" s="216"/>
      <c r="BD984" s="216"/>
      <c r="BE984" s="216"/>
      <c r="BF984" s="216"/>
      <c r="BG984" s="216"/>
      <c r="BH984" s="216"/>
      <c r="BI984" s="216"/>
      <c r="BJ984" s="216"/>
      <c r="BK984" s="216"/>
      <c r="BL984" s="216"/>
      <c r="BM984" s="216"/>
      <c r="BN984" s="216"/>
      <c r="BO984" s="216"/>
      <c r="BP984" s="216"/>
      <c r="BQ984" s="216"/>
      <c r="BR984" s="216"/>
      <c r="BS984" s="216"/>
      <c r="BT984" s="216"/>
      <c r="BU984" s="216"/>
      <c r="BV984" s="216"/>
      <c r="BW984" s="216"/>
      <c r="BX984" s="216"/>
      <c r="BY984" s="216"/>
      <c r="BZ984" s="216"/>
      <c r="CA984" s="216"/>
      <c r="CB984" s="216"/>
      <c r="CC984" s="216"/>
      <c r="CD984" s="216"/>
      <c r="CE984" s="216"/>
      <c r="CF984" s="216"/>
      <c r="CG984" s="216"/>
      <c r="CH984" s="216"/>
      <c r="CI984" s="216"/>
      <c r="CJ984" s="216"/>
      <c r="CK984" s="216"/>
      <c r="CL984" s="216"/>
      <c r="CM984" s="216"/>
      <c r="CN984" s="216"/>
      <c r="CO984" s="216"/>
      <c r="CP984" s="216"/>
      <c r="CQ984" s="216"/>
      <c r="CR984" s="216"/>
      <c r="CS984" s="216"/>
      <c r="CT984" s="216"/>
      <c r="CU984" s="216"/>
      <c r="CV984" s="216"/>
      <c r="CW984" s="216"/>
      <c r="CX984" s="216"/>
      <c r="CY984" s="216"/>
    </row>
    <row r="985" spans="1:103" ht="12.75" x14ac:dyDescent="0.2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214"/>
      <c r="L985" s="214"/>
      <c r="M985" s="214"/>
      <c r="N985" s="215"/>
      <c r="O985" s="215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  <c r="AJ985" s="216"/>
      <c r="AK985" s="216"/>
      <c r="AL985" s="216"/>
      <c r="AM985" s="216"/>
      <c r="AN985" s="216"/>
      <c r="AO985" s="216"/>
      <c r="AP985" s="216"/>
      <c r="AQ985" s="216"/>
      <c r="AR985" s="216"/>
      <c r="AS985" s="216"/>
      <c r="AT985" s="216"/>
      <c r="AU985" s="216"/>
      <c r="AV985" s="216"/>
      <c r="AW985" s="216"/>
      <c r="AX985" s="216"/>
      <c r="AY985" s="216"/>
      <c r="AZ985" s="216"/>
      <c r="BA985" s="216"/>
      <c r="BB985" s="216"/>
      <c r="BC985" s="216"/>
      <c r="BD985" s="216"/>
      <c r="BE985" s="216"/>
      <c r="BF985" s="216"/>
      <c r="BG985" s="216"/>
      <c r="BH985" s="216"/>
      <c r="BI985" s="216"/>
      <c r="BJ985" s="216"/>
      <c r="BK985" s="216"/>
      <c r="BL985" s="216"/>
      <c r="BM985" s="216"/>
      <c r="BN985" s="216"/>
      <c r="BO985" s="216"/>
      <c r="BP985" s="216"/>
      <c r="BQ985" s="216"/>
      <c r="BR985" s="216"/>
      <c r="BS985" s="216"/>
      <c r="BT985" s="216"/>
      <c r="BU985" s="216"/>
      <c r="BV985" s="216"/>
      <c r="BW985" s="216"/>
      <c r="BX985" s="216"/>
      <c r="BY985" s="216"/>
      <c r="BZ985" s="216"/>
      <c r="CA985" s="216"/>
      <c r="CB985" s="216"/>
      <c r="CC985" s="216"/>
      <c r="CD985" s="216"/>
      <c r="CE985" s="216"/>
      <c r="CF985" s="216"/>
      <c r="CG985" s="216"/>
      <c r="CH985" s="216"/>
      <c r="CI985" s="216"/>
      <c r="CJ985" s="216"/>
      <c r="CK985" s="216"/>
      <c r="CL985" s="216"/>
      <c r="CM985" s="216"/>
      <c r="CN985" s="216"/>
      <c r="CO985" s="216"/>
      <c r="CP985" s="216"/>
      <c r="CQ985" s="216"/>
      <c r="CR985" s="216"/>
      <c r="CS985" s="216"/>
      <c r="CT985" s="216"/>
      <c r="CU985" s="216"/>
      <c r="CV985" s="216"/>
      <c r="CW985" s="216"/>
      <c r="CX985" s="216"/>
      <c r="CY985" s="216"/>
    </row>
    <row r="986" spans="1:103" ht="12.75" x14ac:dyDescent="0.2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214"/>
      <c r="L986" s="214"/>
      <c r="M986" s="214"/>
      <c r="N986" s="215"/>
      <c r="O986" s="215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  <c r="AJ986" s="216"/>
      <c r="AK986" s="216"/>
      <c r="AL986" s="216"/>
      <c r="AM986" s="216"/>
      <c r="AN986" s="216"/>
      <c r="AO986" s="216"/>
      <c r="AP986" s="216"/>
      <c r="AQ986" s="216"/>
      <c r="AR986" s="216"/>
      <c r="AS986" s="216"/>
      <c r="AT986" s="216"/>
      <c r="AU986" s="216"/>
      <c r="AV986" s="216"/>
      <c r="AW986" s="216"/>
      <c r="AX986" s="216"/>
      <c r="AY986" s="216"/>
      <c r="AZ986" s="216"/>
      <c r="BA986" s="216"/>
      <c r="BB986" s="216"/>
      <c r="BC986" s="216"/>
      <c r="BD986" s="216"/>
      <c r="BE986" s="216"/>
      <c r="BF986" s="216"/>
      <c r="BG986" s="216"/>
      <c r="BH986" s="216"/>
      <c r="BI986" s="216"/>
      <c r="BJ986" s="216"/>
      <c r="BK986" s="216"/>
      <c r="BL986" s="216"/>
      <c r="BM986" s="216"/>
      <c r="BN986" s="216"/>
      <c r="BO986" s="216"/>
      <c r="BP986" s="216"/>
      <c r="BQ986" s="216"/>
      <c r="BR986" s="216"/>
      <c r="BS986" s="216"/>
      <c r="BT986" s="216"/>
      <c r="BU986" s="216"/>
      <c r="BV986" s="216"/>
      <c r="BW986" s="216"/>
      <c r="BX986" s="216"/>
      <c r="BY986" s="216"/>
      <c r="BZ986" s="216"/>
      <c r="CA986" s="216"/>
      <c r="CB986" s="216"/>
      <c r="CC986" s="216"/>
      <c r="CD986" s="216"/>
      <c r="CE986" s="216"/>
      <c r="CF986" s="216"/>
      <c r="CG986" s="216"/>
      <c r="CH986" s="216"/>
      <c r="CI986" s="216"/>
      <c r="CJ986" s="216"/>
      <c r="CK986" s="216"/>
      <c r="CL986" s="216"/>
      <c r="CM986" s="216"/>
      <c r="CN986" s="216"/>
      <c r="CO986" s="216"/>
      <c r="CP986" s="216"/>
      <c r="CQ986" s="216"/>
      <c r="CR986" s="216"/>
      <c r="CS986" s="216"/>
      <c r="CT986" s="216"/>
      <c r="CU986" s="216"/>
      <c r="CV986" s="216"/>
      <c r="CW986" s="216"/>
      <c r="CX986" s="216"/>
      <c r="CY986" s="216"/>
    </row>
    <row r="987" spans="1:103" ht="12.75" x14ac:dyDescent="0.2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214"/>
      <c r="L987" s="214"/>
      <c r="M987" s="214"/>
      <c r="N987" s="215"/>
      <c r="O987" s="215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  <c r="AJ987" s="216"/>
      <c r="AK987" s="216"/>
      <c r="AL987" s="216"/>
      <c r="AM987" s="216"/>
      <c r="AN987" s="216"/>
      <c r="AO987" s="216"/>
      <c r="AP987" s="216"/>
      <c r="AQ987" s="216"/>
      <c r="AR987" s="216"/>
      <c r="AS987" s="216"/>
      <c r="AT987" s="216"/>
      <c r="AU987" s="216"/>
      <c r="AV987" s="216"/>
      <c r="AW987" s="216"/>
      <c r="AX987" s="216"/>
      <c r="AY987" s="216"/>
      <c r="AZ987" s="216"/>
      <c r="BA987" s="216"/>
      <c r="BB987" s="216"/>
      <c r="BC987" s="216"/>
      <c r="BD987" s="216"/>
      <c r="BE987" s="216"/>
      <c r="BF987" s="216"/>
      <c r="BG987" s="216"/>
      <c r="BH987" s="216"/>
      <c r="BI987" s="216"/>
      <c r="BJ987" s="216"/>
      <c r="BK987" s="216"/>
      <c r="BL987" s="216"/>
      <c r="BM987" s="216"/>
      <c r="BN987" s="216"/>
      <c r="BO987" s="216"/>
      <c r="BP987" s="216"/>
      <c r="BQ987" s="216"/>
      <c r="BR987" s="216"/>
      <c r="BS987" s="216"/>
      <c r="BT987" s="216"/>
      <c r="BU987" s="216"/>
      <c r="BV987" s="216"/>
      <c r="BW987" s="216"/>
      <c r="BX987" s="216"/>
      <c r="BY987" s="216"/>
      <c r="BZ987" s="216"/>
      <c r="CA987" s="216"/>
      <c r="CB987" s="216"/>
      <c r="CC987" s="216"/>
      <c r="CD987" s="216"/>
      <c r="CE987" s="216"/>
      <c r="CF987" s="216"/>
      <c r="CG987" s="216"/>
      <c r="CH987" s="216"/>
      <c r="CI987" s="216"/>
      <c r="CJ987" s="216"/>
      <c r="CK987" s="216"/>
      <c r="CL987" s="216"/>
      <c r="CM987" s="216"/>
      <c r="CN987" s="216"/>
      <c r="CO987" s="216"/>
      <c r="CP987" s="216"/>
      <c r="CQ987" s="216"/>
      <c r="CR987" s="216"/>
      <c r="CS987" s="216"/>
      <c r="CT987" s="216"/>
      <c r="CU987" s="216"/>
      <c r="CV987" s="216"/>
      <c r="CW987" s="216"/>
      <c r="CX987" s="216"/>
      <c r="CY987" s="216"/>
    </row>
    <row r="988" spans="1:103" ht="12.75" x14ac:dyDescent="0.2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214"/>
      <c r="L988" s="214"/>
      <c r="M988" s="214"/>
      <c r="N988" s="215"/>
      <c r="O988" s="215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  <c r="AJ988" s="216"/>
      <c r="AK988" s="216"/>
      <c r="AL988" s="216"/>
      <c r="AM988" s="216"/>
      <c r="AN988" s="216"/>
      <c r="AO988" s="216"/>
      <c r="AP988" s="216"/>
      <c r="AQ988" s="216"/>
      <c r="AR988" s="216"/>
      <c r="AS988" s="216"/>
      <c r="AT988" s="216"/>
      <c r="AU988" s="216"/>
      <c r="AV988" s="216"/>
      <c r="AW988" s="216"/>
      <c r="AX988" s="216"/>
      <c r="AY988" s="216"/>
      <c r="AZ988" s="216"/>
      <c r="BA988" s="216"/>
      <c r="BB988" s="216"/>
      <c r="BC988" s="216"/>
      <c r="BD988" s="216"/>
      <c r="BE988" s="216"/>
      <c r="BF988" s="216"/>
      <c r="BG988" s="216"/>
      <c r="BH988" s="216"/>
      <c r="BI988" s="216"/>
      <c r="BJ988" s="216"/>
      <c r="BK988" s="216"/>
      <c r="BL988" s="216"/>
      <c r="BM988" s="216"/>
      <c r="BN988" s="216"/>
      <c r="BO988" s="216"/>
      <c r="BP988" s="216"/>
      <c r="BQ988" s="216"/>
      <c r="BR988" s="216"/>
      <c r="BS988" s="216"/>
      <c r="BT988" s="216"/>
      <c r="BU988" s="216"/>
      <c r="BV988" s="216"/>
      <c r="BW988" s="216"/>
      <c r="BX988" s="216"/>
      <c r="BY988" s="216"/>
      <c r="BZ988" s="216"/>
      <c r="CA988" s="216"/>
      <c r="CB988" s="216"/>
      <c r="CC988" s="216"/>
      <c r="CD988" s="216"/>
      <c r="CE988" s="216"/>
      <c r="CF988" s="216"/>
      <c r="CG988" s="216"/>
      <c r="CH988" s="216"/>
      <c r="CI988" s="216"/>
      <c r="CJ988" s="216"/>
      <c r="CK988" s="216"/>
      <c r="CL988" s="216"/>
      <c r="CM988" s="216"/>
      <c r="CN988" s="216"/>
      <c r="CO988" s="216"/>
      <c r="CP988" s="216"/>
      <c r="CQ988" s="216"/>
      <c r="CR988" s="216"/>
      <c r="CS988" s="216"/>
      <c r="CT988" s="216"/>
      <c r="CU988" s="216"/>
      <c r="CV988" s="216"/>
      <c r="CW988" s="216"/>
      <c r="CX988" s="216"/>
      <c r="CY988" s="216"/>
    </row>
    <row r="989" spans="1:103" ht="12.75" x14ac:dyDescent="0.2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214"/>
      <c r="L989" s="214"/>
      <c r="M989" s="214"/>
      <c r="N989" s="215"/>
      <c r="O989" s="215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  <c r="AJ989" s="216"/>
      <c r="AK989" s="216"/>
      <c r="AL989" s="216"/>
      <c r="AM989" s="216"/>
      <c r="AN989" s="216"/>
      <c r="AO989" s="216"/>
      <c r="AP989" s="216"/>
      <c r="AQ989" s="216"/>
      <c r="AR989" s="216"/>
      <c r="AS989" s="216"/>
      <c r="AT989" s="216"/>
      <c r="AU989" s="216"/>
      <c r="AV989" s="216"/>
      <c r="AW989" s="216"/>
      <c r="AX989" s="216"/>
      <c r="AY989" s="216"/>
      <c r="AZ989" s="216"/>
      <c r="BA989" s="216"/>
      <c r="BB989" s="216"/>
      <c r="BC989" s="216"/>
      <c r="BD989" s="216"/>
      <c r="BE989" s="216"/>
      <c r="BF989" s="216"/>
      <c r="BG989" s="216"/>
      <c r="BH989" s="216"/>
      <c r="BI989" s="216"/>
      <c r="BJ989" s="216"/>
      <c r="BK989" s="216"/>
      <c r="BL989" s="216"/>
      <c r="BM989" s="216"/>
      <c r="BN989" s="216"/>
      <c r="BO989" s="216"/>
      <c r="BP989" s="216"/>
      <c r="BQ989" s="216"/>
      <c r="BR989" s="216"/>
      <c r="BS989" s="216"/>
      <c r="BT989" s="216"/>
      <c r="BU989" s="216"/>
      <c r="BV989" s="216"/>
      <c r="BW989" s="216"/>
      <c r="BX989" s="216"/>
      <c r="BY989" s="216"/>
      <c r="BZ989" s="216"/>
      <c r="CA989" s="216"/>
      <c r="CB989" s="216"/>
      <c r="CC989" s="216"/>
      <c r="CD989" s="216"/>
      <c r="CE989" s="216"/>
      <c r="CF989" s="216"/>
      <c r="CG989" s="216"/>
      <c r="CH989" s="216"/>
      <c r="CI989" s="216"/>
      <c r="CJ989" s="216"/>
      <c r="CK989" s="216"/>
      <c r="CL989" s="216"/>
      <c r="CM989" s="216"/>
      <c r="CN989" s="216"/>
      <c r="CO989" s="216"/>
      <c r="CP989" s="216"/>
      <c r="CQ989" s="216"/>
      <c r="CR989" s="216"/>
      <c r="CS989" s="216"/>
      <c r="CT989" s="216"/>
      <c r="CU989" s="216"/>
      <c r="CV989" s="216"/>
      <c r="CW989" s="216"/>
      <c r="CX989" s="216"/>
      <c r="CY989" s="216"/>
    </row>
    <row r="990" spans="1:103" ht="12.75" x14ac:dyDescent="0.2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214"/>
      <c r="L990" s="214"/>
      <c r="M990" s="214"/>
      <c r="N990" s="215"/>
      <c r="O990" s="215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  <c r="AJ990" s="216"/>
      <c r="AK990" s="216"/>
      <c r="AL990" s="216"/>
      <c r="AM990" s="216"/>
      <c r="AN990" s="216"/>
      <c r="AO990" s="216"/>
      <c r="AP990" s="216"/>
      <c r="AQ990" s="216"/>
      <c r="AR990" s="216"/>
      <c r="AS990" s="216"/>
      <c r="AT990" s="216"/>
      <c r="AU990" s="216"/>
      <c r="AV990" s="216"/>
      <c r="AW990" s="216"/>
      <c r="AX990" s="216"/>
      <c r="AY990" s="216"/>
      <c r="AZ990" s="216"/>
      <c r="BA990" s="216"/>
      <c r="BB990" s="216"/>
      <c r="BC990" s="216"/>
      <c r="BD990" s="216"/>
      <c r="BE990" s="216"/>
      <c r="BF990" s="216"/>
      <c r="BG990" s="216"/>
      <c r="BH990" s="216"/>
      <c r="BI990" s="216"/>
      <c r="BJ990" s="216"/>
      <c r="BK990" s="216"/>
      <c r="BL990" s="216"/>
      <c r="BM990" s="216"/>
      <c r="BN990" s="216"/>
      <c r="BO990" s="216"/>
      <c r="BP990" s="216"/>
      <c r="BQ990" s="216"/>
      <c r="BR990" s="216"/>
      <c r="BS990" s="216"/>
      <c r="BT990" s="216"/>
      <c r="BU990" s="216"/>
      <c r="BV990" s="216"/>
      <c r="BW990" s="216"/>
      <c r="BX990" s="216"/>
      <c r="BY990" s="216"/>
      <c r="BZ990" s="216"/>
      <c r="CA990" s="216"/>
      <c r="CB990" s="216"/>
      <c r="CC990" s="216"/>
      <c r="CD990" s="216"/>
      <c r="CE990" s="216"/>
      <c r="CF990" s="216"/>
      <c r="CG990" s="216"/>
      <c r="CH990" s="216"/>
      <c r="CI990" s="216"/>
      <c r="CJ990" s="216"/>
      <c r="CK990" s="216"/>
      <c r="CL990" s="216"/>
      <c r="CM990" s="216"/>
      <c r="CN990" s="216"/>
      <c r="CO990" s="216"/>
      <c r="CP990" s="216"/>
      <c r="CQ990" s="216"/>
      <c r="CR990" s="216"/>
      <c r="CS990" s="216"/>
      <c r="CT990" s="216"/>
      <c r="CU990" s="216"/>
      <c r="CV990" s="216"/>
      <c r="CW990" s="216"/>
      <c r="CX990" s="216"/>
      <c r="CY990" s="216"/>
    </row>
    <row r="991" spans="1:103" ht="12.75" x14ac:dyDescent="0.2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214"/>
      <c r="L991" s="214"/>
      <c r="M991" s="214"/>
      <c r="N991" s="215"/>
      <c r="O991" s="215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  <c r="AJ991" s="216"/>
      <c r="AK991" s="216"/>
      <c r="AL991" s="216"/>
      <c r="AM991" s="216"/>
      <c r="AN991" s="216"/>
      <c r="AO991" s="216"/>
      <c r="AP991" s="216"/>
      <c r="AQ991" s="216"/>
      <c r="AR991" s="216"/>
      <c r="AS991" s="216"/>
      <c r="AT991" s="216"/>
      <c r="AU991" s="216"/>
      <c r="AV991" s="216"/>
      <c r="AW991" s="216"/>
      <c r="AX991" s="216"/>
      <c r="AY991" s="216"/>
      <c r="AZ991" s="216"/>
      <c r="BA991" s="216"/>
      <c r="BB991" s="216"/>
      <c r="BC991" s="216"/>
      <c r="BD991" s="216"/>
      <c r="BE991" s="216"/>
      <c r="BF991" s="216"/>
      <c r="BG991" s="216"/>
      <c r="BH991" s="216"/>
      <c r="BI991" s="216"/>
      <c r="BJ991" s="216"/>
      <c r="BK991" s="216"/>
      <c r="BL991" s="216"/>
      <c r="BM991" s="216"/>
      <c r="BN991" s="216"/>
      <c r="BO991" s="216"/>
      <c r="BP991" s="216"/>
      <c r="BQ991" s="216"/>
      <c r="BR991" s="216"/>
      <c r="BS991" s="216"/>
      <c r="BT991" s="216"/>
      <c r="BU991" s="216"/>
      <c r="BV991" s="216"/>
      <c r="BW991" s="216"/>
      <c r="BX991" s="216"/>
      <c r="BY991" s="216"/>
      <c r="BZ991" s="216"/>
      <c r="CA991" s="216"/>
      <c r="CB991" s="216"/>
      <c r="CC991" s="216"/>
      <c r="CD991" s="216"/>
      <c r="CE991" s="216"/>
      <c r="CF991" s="216"/>
      <c r="CG991" s="216"/>
      <c r="CH991" s="216"/>
      <c r="CI991" s="216"/>
      <c r="CJ991" s="216"/>
      <c r="CK991" s="216"/>
      <c r="CL991" s="216"/>
      <c r="CM991" s="216"/>
      <c r="CN991" s="216"/>
      <c r="CO991" s="216"/>
      <c r="CP991" s="216"/>
      <c r="CQ991" s="216"/>
      <c r="CR991" s="216"/>
      <c r="CS991" s="216"/>
      <c r="CT991" s="216"/>
      <c r="CU991" s="216"/>
      <c r="CV991" s="216"/>
      <c r="CW991" s="216"/>
      <c r="CX991" s="216"/>
      <c r="CY991" s="216"/>
    </row>
    <row r="992" spans="1:103" ht="12.75" x14ac:dyDescent="0.2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214"/>
      <c r="L992" s="214"/>
      <c r="M992" s="214"/>
      <c r="N992" s="215"/>
      <c r="O992" s="215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  <c r="AJ992" s="216"/>
      <c r="AK992" s="216"/>
      <c r="AL992" s="216"/>
      <c r="AM992" s="216"/>
      <c r="AN992" s="216"/>
      <c r="AO992" s="216"/>
      <c r="AP992" s="216"/>
      <c r="AQ992" s="216"/>
      <c r="AR992" s="216"/>
      <c r="AS992" s="216"/>
      <c r="AT992" s="216"/>
      <c r="AU992" s="216"/>
      <c r="AV992" s="216"/>
      <c r="AW992" s="216"/>
      <c r="AX992" s="216"/>
      <c r="AY992" s="216"/>
      <c r="AZ992" s="216"/>
      <c r="BA992" s="216"/>
      <c r="BB992" s="216"/>
      <c r="BC992" s="216"/>
      <c r="BD992" s="216"/>
      <c r="BE992" s="216"/>
      <c r="BF992" s="216"/>
      <c r="BG992" s="216"/>
      <c r="BH992" s="216"/>
      <c r="BI992" s="216"/>
      <c r="BJ992" s="216"/>
      <c r="BK992" s="216"/>
      <c r="BL992" s="216"/>
      <c r="BM992" s="216"/>
      <c r="BN992" s="216"/>
      <c r="BO992" s="216"/>
      <c r="BP992" s="216"/>
      <c r="BQ992" s="216"/>
      <c r="BR992" s="216"/>
      <c r="BS992" s="216"/>
      <c r="BT992" s="216"/>
      <c r="BU992" s="216"/>
      <c r="BV992" s="216"/>
      <c r="BW992" s="216"/>
      <c r="BX992" s="216"/>
      <c r="BY992" s="216"/>
      <c r="BZ992" s="216"/>
      <c r="CA992" s="216"/>
      <c r="CB992" s="216"/>
      <c r="CC992" s="216"/>
      <c r="CD992" s="216"/>
      <c r="CE992" s="216"/>
      <c r="CF992" s="216"/>
      <c r="CG992" s="216"/>
      <c r="CH992" s="216"/>
      <c r="CI992" s="216"/>
      <c r="CJ992" s="216"/>
      <c r="CK992" s="216"/>
      <c r="CL992" s="216"/>
      <c r="CM992" s="216"/>
      <c r="CN992" s="216"/>
      <c r="CO992" s="216"/>
      <c r="CP992" s="216"/>
      <c r="CQ992" s="216"/>
      <c r="CR992" s="216"/>
      <c r="CS992" s="216"/>
      <c r="CT992" s="216"/>
      <c r="CU992" s="216"/>
      <c r="CV992" s="216"/>
      <c r="CW992" s="216"/>
      <c r="CX992" s="216"/>
      <c r="CY992" s="216"/>
    </row>
    <row r="993" spans="1:103" ht="12.75" x14ac:dyDescent="0.2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214"/>
      <c r="L993" s="214"/>
      <c r="M993" s="214"/>
      <c r="N993" s="215"/>
      <c r="O993" s="215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  <c r="AJ993" s="216"/>
      <c r="AK993" s="216"/>
      <c r="AL993" s="216"/>
      <c r="AM993" s="216"/>
      <c r="AN993" s="216"/>
      <c r="AO993" s="216"/>
      <c r="AP993" s="216"/>
      <c r="AQ993" s="216"/>
      <c r="AR993" s="216"/>
      <c r="AS993" s="216"/>
      <c r="AT993" s="216"/>
      <c r="AU993" s="216"/>
      <c r="AV993" s="216"/>
      <c r="AW993" s="216"/>
      <c r="AX993" s="216"/>
      <c r="AY993" s="216"/>
      <c r="AZ993" s="216"/>
      <c r="BA993" s="216"/>
      <c r="BB993" s="216"/>
      <c r="BC993" s="216"/>
      <c r="BD993" s="216"/>
      <c r="BE993" s="216"/>
      <c r="BF993" s="216"/>
      <c r="BG993" s="216"/>
      <c r="BH993" s="216"/>
      <c r="BI993" s="216"/>
      <c r="BJ993" s="216"/>
      <c r="BK993" s="216"/>
      <c r="BL993" s="216"/>
      <c r="BM993" s="216"/>
      <c r="BN993" s="216"/>
      <c r="BO993" s="216"/>
      <c r="BP993" s="216"/>
      <c r="BQ993" s="216"/>
      <c r="BR993" s="216"/>
      <c r="BS993" s="216"/>
      <c r="BT993" s="216"/>
      <c r="BU993" s="216"/>
      <c r="BV993" s="216"/>
      <c r="BW993" s="216"/>
      <c r="BX993" s="216"/>
      <c r="BY993" s="216"/>
      <c r="BZ993" s="216"/>
      <c r="CA993" s="216"/>
      <c r="CB993" s="216"/>
      <c r="CC993" s="216"/>
      <c r="CD993" s="216"/>
      <c r="CE993" s="216"/>
      <c r="CF993" s="216"/>
      <c r="CG993" s="216"/>
      <c r="CH993" s="216"/>
      <c r="CI993" s="216"/>
      <c r="CJ993" s="216"/>
      <c r="CK993" s="216"/>
      <c r="CL993" s="216"/>
      <c r="CM993" s="216"/>
      <c r="CN993" s="216"/>
      <c r="CO993" s="216"/>
      <c r="CP993" s="216"/>
      <c r="CQ993" s="216"/>
      <c r="CR993" s="216"/>
      <c r="CS993" s="216"/>
      <c r="CT993" s="216"/>
      <c r="CU993" s="216"/>
      <c r="CV993" s="216"/>
      <c r="CW993" s="216"/>
      <c r="CX993" s="216"/>
      <c r="CY993" s="216"/>
    </row>
    <row r="994" spans="1:103" ht="12.75" x14ac:dyDescent="0.2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214"/>
      <c r="L994" s="214"/>
      <c r="M994" s="214"/>
      <c r="N994" s="215"/>
      <c r="O994" s="215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  <c r="AJ994" s="216"/>
      <c r="AK994" s="216"/>
      <c r="AL994" s="216"/>
      <c r="AM994" s="216"/>
      <c r="AN994" s="216"/>
      <c r="AO994" s="216"/>
      <c r="AP994" s="216"/>
      <c r="AQ994" s="216"/>
      <c r="AR994" s="216"/>
      <c r="AS994" s="216"/>
      <c r="AT994" s="216"/>
      <c r="AU994" s="216"/>
      <c r="AV994" s="216"/>
      <c r="AW994" s="216"/>
      <c r="AX994" s="216"/>
      <c r="AY994" s="216"/>
      <c r="AZ994" s="216"/>
      <c r="BA994" s="216"/>
      <c r="BB994" s="216"/>
      <c r="BC994" s="216"/>
      <c r="BD994" s="216"/>
      <c r="BE994" s="216"/>
      <c r="BF994" s="216"/>
      <c r="BG994" s="216"/>
      <c r="BH994" s="216"/>
      <c r="BI994" s="216"/>
      <c r="BJ994" s="216"/>
      <c r="BK994" s="216"/>
      <c r="BL994" s="216"/>
      <c r="BM994" s="216"/>
      <c r="BN994" s="216"/>
      <c r="BO994" s="216"/>
      <c r="BP994" s="216"/>
      <c r="BQ994" s="216"/>
      <c r="BR994" s="216"/>
      <c r="BS994" s="216"/>
      <c r="BT994" s="216"/>
      <c r="BU994" s="216"/>
      <c r="BV994" s="216"/>
      <c r="BW994" s="216"/>
      <c r="BX994" s="216"/>
      <c r="BY994" s="216"/>
      <c r="BZ994" s="216"/>
      <c r="CA994" s="216"/>
      <c r="CB994" s="216"/>
      <c r="CC994" s="216"/>
      <c r="CD994" s="216"/>
      <c r="CE994" s="216"/>
      <c r="CF994" s="216"/>
      <c r="CG994" s="216"/>
      <c r="CH994" s="216"/>
      <c r="CI994" s="216"/>
      <c r="CJ994" s="216"/>
      <c r="CK994" s="216"/>
      <c r="CL994" s="216"/>
      <c r="CM994" s="216"/>
      <c r="CN994" s="216"/>
      <c r="CO994" s="216"/>
      <c r="CP994" s="216"/>
      <c r="CQ994" s="216"/>
      <c r="CR994" s="216"/>
      <c r="CS994" s="216"/>
      <c r="CT994" s="216"/>
      <c r="CU994" s="216"/>
      <c r="CV994" s="216"/>
      <c r="CW994" s="216"/>
      <c r="CX994" s="216"/>
      <c r="CY994" s="216"/>
    </row>
    <row r="995" spans="1:103" ht="12.75" x14ac:dyDescent="0.2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214"/>
      <c r="L995" s="214"/>
      <c r="M995" s="214"/>
      <c r="N995" s="215"/>
      <c r="O995" s="215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  <c r="AJ995" s="216"/>
      <c r="AK995" s="216"/>
      <c r="AL995" s="216"/>
      <c r="AM995" s="216"/>
      <c r="AN995" s="216"/>
      <c r="AO995" s="216"/>
      <c r="AP995" s="216"/>
      <c r="AQ995" s="216"/>
      <c r="AR995" s="216"/>
      <c r="AS995" s="216"/>
      <c r="AT995" s="216"/>
      <c r="AU995" s="216"/>
      <c r="AV995" s="216"/>
      <c r="AW995" s="216"/>
      <c r="AX995" s="216"/>
      <c r="AY995" s="216"/>
      <c r="AZ995" s="216"/>
      <c r="BA995" s="216"/>
      <c r="BB995" s="216"/>
      <c r="BC995" s="216"/>
      <c r="BD995" s="216"/>
      <c r="BE995" s="216"/>
      <c r="BF995" s="216"/>
      <c r="BG995" s="216"/>
      <c r="BH995" s="216"/>
      <c r="BI995" s="216"/>
      <c r="BJ995" s="216"/>
      <c r="BK995" s="216"/>
      <c r="BL995" s="216"/>
      <c r="BM995" s="216"/>
      <c r="BN995" s="216"/>
      <c r="BO995" s="216"/>
      <c r="BP995" s="216"/>
      <c r="BQ995" s="216"/>
      <c r="BR995" s="216"/>
      <c r="BS995" s="216"/>
      <c r="BT995" s="216"/>
      <c r="BU995" s="216"/>
      <c r="BV995" s="216"/>
      <c r="BW995" s="216"/>
      <c r="BX995" s="216"/>
      <c r="BY995" s="216"/>
      <c r="BZ995" s="216"/>
      <c r="CA995" s="216"/>
      <c r="CB995" s="216"/>
      <c r="CC995" s="216"/>
      <c r="CD995" s="216"/>
      <c r="CE995" s="216"/>
      <c r="CF995" s="216"/>
      <c r="CG995" s="216"/>
      <c r="CH995" s="216"/>
      <c r="CI995" s="216"/>
      <c r="CJ995" s="216"/>
      <c r="CK995" s="216"/>
      <c r="CL995" s="216"/>
      <c r="CM995" s="216"/>
      <c r="CN995" s="216"/>
      <c r="CO995" s="216"/>
      <c r="CP995" s="216"/>
      <c r="CQ995" s="216"/>
      <c r="CR995" s="216"/>
      <c r="CS995" s="216"/>
      <c r="CT995" s="216"/>
      <c r="CU995" s="216"/>
      <c r="CV995" s="216"/>
      <c r="CW995" s="216"/>
      <c r="CX995" s="216"/>
      <c r="CY995" s="216"/>
    </row>
    <row r="996" spans="1:103" ht="12.75" x14ac:dyDescent="0.2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214"/>
      <c r="L996" s="214"/>
      <c r="M996" s="214"/>
      <c r="N996" s="215"/>
      <c r="O996" s="215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  <c r="AJ996" s="216"/>
      <c r="AK996" s="216"/>
      <c r="AL996" s="216"/>
      <c r="AM996" s="216"/>
      <c r="AN996" s="216"/>
      <c r="AO996" s="216"/>
      <c r="AP996" s="216"/>
      <c r="AQ996" s="216"/>
      <c r="AR996" s="216"/>
      <c r="AS996" s="216"/>
      <c r="AT996" s="216"/>
      <c r="AU996" s="216"/>
      <c r="AV996" s="216"/>
      <c r="AW996" s="216"/>
      <c r="AX996" s="216"/>
      <c r="AY996" s="216"/>
      <c r="AZ996" s="216"/>
      <c r="BA996" s="216"/>
      <c r="BB996" s="216"/>
      <c r="BC996" s="216"/>
      <c r="BD996" s="216"/>
      <c r="BE996" s="216"/>
      <c r="BF996" s="216"/>
      <c r="BG996" s="216"/>
      <c r="BH996" s="216"/>
      <c r="BI996" s="216"/>
      <c r="BJ996" s="216"/>
      <c r="BK996" s="216"/>
      <c r="BL996" s="216"/>
      <c r="BM996" s="216"/>
      <c r="BN996" s="216"/>
      <c r="BO996" s="216"/>
      <c r="BP996" s="216"/>
      <c r="BQ996" s="216"/>
      <c r="BR996" s="216"/>
      <c r="BS996" s="216"/>
      <c r="BT996" s="216"/>
      <c r="BU996" s="216"/>
      <c r="BV996" s="216"/>
      <c r="BW996" s="216"/>
      <c r="BX996" s="216"/>
      <c r="BY996" s="216"/>
      <c r="BZ996" s="216"/>
      <c r="CA996" s="216"/>
      <c r="CB996" s="216"/>
      <c r="CC996" s="216"/>
      <c r="CD996" s="216"/>
      <c r="CE996" s="216"/>
      <c r="CF996" s="216"/>
      <c r="CG996" s="216"/>
      <c r="CH996" s="216"/>
      <c r="CI996" s="216"/>
      <c r="CJ996" s="216"/>
      <c r="CK996" s="216"/>
      <c r="CL996" s="216"/>
      <c r="CM996" s="216"/>
      <c r="CN996" s="216"/>
      <c r="CO996" s="216"/>
      <c r="CP996" s="216"/>
      <c r="CQ996" s="216"/>
      <c r="CR996" s="216"/>
      <c r="CS996" s="216"/>
      <c r="CT996" s="216"/>
      <c r="CU996" s="216"/>
      <c r="CV996" s="216"/>
      <c r="CW996" s="216"/>
      <c r="CX996" s="216"/>
      <c r="CY996" s="216"/>
    </row>
    <row r="997" spans="1:103" ht="12.75" x14ac:dyDescent="0.2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214"/>
      <c r="L997" s="214"/>
      <c r="M997" s="214"/>
      <c r="N997" s="215"/>
      <c r="O997" s="215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  <c r="AJ997" s="216"/>
      <c r="AK997" s="216"/>
      <c r="AL997" s="216"/>
      <c r="AM997" s="216"/>
      <c r="AN997" s="216"/>
      <c r="AO997" s="216"/>
      <c r="AP997" s="216"/>
      <c r="AQ997" s="216"/>
      <c r="AR997" s="216"/>
      <c r="AS997" s="216"/>
      <c r="AT997" s="216"/>
      <c r="AU997" s="216"/>
      <c r="AV997" s="216"/>
      <c r="AW997" s="216"/>
      <c r="AX997" s="216"/>
      <c r="AY997" s="216"/>
      <c r="AZ997" s="216"/>
      <c r="BA997" s="216"/>
      <c r="BB997" s="216"/>
      <c r="BC997" s="216"/>
      <c r="BD997" s="216"/>
      <c r="BE997" s="216"/>
      <c r="BF997" s="216"/>
      <c r="BG997" s="216"/>
      <c r="BH997" s="216"/>
      <c r="BI997" s="216"/>
      <c r="BJ997" s="216"/>
      <c r="BK997" s="216"/>
      <c r="BL997" s="216"/>
      <c r="BM997" s="216"/>
      <c r="BN997" s="216"/>
      <c r="BO997" s="216"/>
      <c r="BP997" s="216"/>
      <c r="BQ997" s="216"/>
      <c r="BR997" s="216"/>
      <c r="BS997" s="216"/>
      <c r="BT997" s="216"/>
      <c r="BU997" s="216"/>
      <c r="BV997" s="216"/>
      <c r="BW997" s="216"/>
      <c r="BX997" s="216"/>
      <c r="BY997" s="216"/>
      <c r="BZ997" s="216"/>
      <c r="CA997" s="216"/>
      <c r="CB997" s="216"/>
      <c r="CC997" s="216"/>
      <c r="CD997" s="216"/>
      <c r="CE997" s="216"/>
      <c r="CF997" s="216"/>
      <c r="CG997" s="216"/>
      <c r="CH997" s="216"/>
      <c r="CI997" s="216"/>
      <c r="CJ997" s="216"/>
      <c r="CK997" s="216"/>
      <c r="CL997" s="216"/>
      <c r="CM997" s="216"/>
      <c r="CN997" s="216"/>
      <c r="CO997" s="216"/>
      <c r="CP997" s="216"/>
      <c r="CQ997" s="216"/>
      <c r="CR997" s="216"/>
      <c r="CS997" s="216"/>
      <c r="CT997" s="216"/>
      <c r="CU997" s="216"/>
      <c r="CV997" s="216"/>
      <c r="CW997" s="216"/>
      <c r="CX997" s="216"/>
      <c r="CY997" s="216"/>
    </row>
    <row r="998" spans="1:103" ht="12.75" x14ac:dyDescent="0.2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214"/>
      <c r="L998" s="214"/>
      <c r="M998" s="214"/>
      <c r="N998" s="215"/>
      <c r="O998" s="215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  <c r="AJ998" s="216"/>
      <c r="AK998" s="216"/>
      <c r="AL998" s="216"/>
      <c r="AM998" s="216"/>
      <c r="AN998" s="216"/>
      <c r="AO998" s="216"/>
      <c r="AP998" s="216"/>
      <c r="AQ998" s="216"/>
      <c r="AR998" s="216"/>
      <c r="AS998" s="216"/>
      <c r="AT998" s="216"/>
      <c r="AU998" s="216"/>
      <c r="AV998" s="216"/>
      <c r="AW998" s="216"/>
      <c r="AX998" s="216"/>
      <c r="AY998" s="216"/>
      <c r="AZ998" s="216"/>
      <c r="BA998" s="216"/>
      <c r="BB998" s="216"/>
      <c r="BC998" s="216"/>
      <c r="BD998" s="216"/>
      <c r="BE998" s="216"/>
      <c r="BF998" s="216"/>
      <c r="BG998" s="216"/>
      <c r="BH998" s="216"/>
      <c r="BI998" s="216"/>
      <c r="BJ998" s="216"/>
      <c r="BK998" s="216"/>
      <c r="BL998" s="216"/>
      <c r="BM998" s="216"/>
      <c r="BN998" s="216"/>
      <c r="BO998" s="216"/>
      <c r="BP998" s="216"/>
      <c r="BQ998" s="216"/>
      <c r="BR998" s="216"/>
      <c r="BS998" s="216"/>
      <c r="BT998" s="216"/>
      <c r="BU998" s="216"/>
      <c r="BV998" s="216"/>
      <c r="BW998" s="216"/>
      <c r="BX998" s="216"/>
      <c r="BY998" s="216"/>
      <c r="BZ998" s="216"/>
      <c r="CA998" s="216"/>
      <c r="CB998" s="216"/>
      <c r="CC998" s="216"/>
      <c r="CD998" s="216"/>
      <c r="CE998" s="216"/>
      <c r="CF998" s="216"/>
      <c r="CG998" s="216"/>
      <c r="CH998" s="216"/>
      <c r="CI998" s="216"/>
      <c r="CJ998" s="216"/>
      <c r="CK998" s="216"/>
      <c r="CL998" s="216"/>
      <c r="CM998" s="216"/>
      <c r="CN998" s="216"/>
      <c r="CO998" s="216"/>
      <c r="CP998" s="216"/>
      <c r="CQ998" s="216"/>
      <c r="CR998" s="216"/>
      <c r="CS998" s="216"/>
      <c r="CT998" s="216"/>
      <c r="CU998" s="216"/>
      <c r="CV998" s="216"/>
      <c r="CW998" s="216"/>
      <c r="CX998" s="216"/>
      <c r="CY998" s="216"/>
    </row>
    <row r="999" spans="1:103" ht="12.75" x14ac:dyDescent="0.2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214"/>
      <c r="L999" s="214"/>
      <c r="M999" s="214"/>
      <c r="N999" s="215"/>
      <c r="O999" s="215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  <c r="AJ999" s="216"/>
      <c r="AK999" s="216"/>
      <c r="AL999" s="216"/>
      <c r="AM999" s="216"/>
      <c r="AN999" s="216"/>
      <c r="AO999" s="216"/>
      <c r="AP999" s="216"/>
      <c r="AQ999" s="216"/>
      <c r="AR999" s="216"/>
      <c r="AS999" s="216"/>
      <c r="AT999" s="216"/>
      <c r="AU999" s="216"/>
      <c r="AV999" s="216"/>
      <c r="AW999" s="216"/>
      <c r="AX999" s="216"/>
      <c r="AY999" s="216"/>
      <c r="AZ999" s="216"/>
      <c r="BA999" s="216"/>
      <c r="BB999" s="216"/>
      <c r="BC999" s="216"/>
      <c r="BD999" s="216"/>
      <c r="BE999" s="216"/>
      <c r="BF999" s="216"/>
      <c r="BG999" s="216"/>
      <c r="BH999" s="216"/>
      <c r="BI999" s="216"/>
      <c r="BJ999" s="216"/>
      <c r="BK999" s="216"/>
      <c r="BL999" s="216"/>
      <c r="BM999" s="216"/>
      <c r="BN999" s="216"/>
      <c r="BO999" s="216"/>
      <c r="BP999" s="216"/>
      <c r="BQ999" s="216"/>
      <c r="BR999" s="216"/>
      <c r="BS999" s="216"/>
      <c r="BT999" s="216"/>
      <c r="BU999" s="216"/>
      <c r="BV999" s="216"/>
      <c r="BW999" s="216"/>
      <c r="BX999" s="216"/>
      <c r="BY999" s="216"/>
      <c r="BZ999" s="216"/>
      <c r="CA999" s="216"/>
      <c r="CB999" s="216"/>
      <c r="CC999" s="216"/>
      <c r="CD999" s="216"/>
      <c r="CE999" s="216"/>
      <c r="CF999" s="216"/>
      <c r="CG999" s="216"/>
      <c r="CH999" s="216"/>
      <c r="CI999" s="216"/>
      <c r="CJ999" s="216"/>
      <c r="CK999" s="216"/>
      <c r="CL999" s="216"/>
      <c r="CM999" s="216"/>
      <c r="CN999" s="216"/>
      <c r="CO999" s="216"/>
      <c r="CP999" s="216"/>
      <c r="CQ999" s="216"/>
      <c r="CR999" s="216"/>
      <c r="CS999" s="216"/>
      <c r="CT999" s="216"/>
      <c r="CU999" s="216"/>
      <c r="CV999" s="216"/>
      <c r="CW999" s="216"/>
      <c r="CX999" s="216"/>
      <c r="CY999" s="216"/>
    </row>
    <row r="1000" spans="1:103" ht="12.75" x14ac:dyDescent="0.2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  <c r="AA1000" s="216"/>
      <c r="AB1000" s="216"/>
      <c r="AC1000" s="216"/>
      <c r="AD1000" s="216"/>
      <c r="AE1000" s="216"/>
      <c r="AF1000" s="216"/>
      <c r="AG1000" s="216"/>
      <c r="AH1000" s="216"/>
      <c r="AI1000" s="216"/>
      <c r="AJ1000" s="216"/>
      <c r="AK1000" s="216"/>
      <c r="AL1000" s="216"/>
      <c r="AM1000" s="216"/>
      <c r="AN1000" s="216"/>
      <c r="AO1000" s="216"/>
      <c r="AP1000" s="216"/>
      <c r="AQ1000" s="216"/>
      <c r="AR1000" s="216"/>
      <c r="AS1000" s="216"/>
      <c r="AT1000" s="216"/>
      <c r="AU1000" s="216"/>
      <c r="AV1000" s="216"/>
      <c r="AW1000" s="216"/>
      <c r="AX1000" s="216"/>
      <c r="AY1000" s="216"/>
      <c r="AZ1000" s="216"/>
      <c r="BA1000" s="216"/>
      <c r="BB1000" s="216"/>
      <c r="BC1000" s="216"/>
      <c r="BD1000" s="216"/>
      <c r="BE1000" s="216"/>
      <c r="BF1000" s="216"/>
      <c r="BG1000" s="216"/>
      <c r="BH1000" s="216"/>
      <c r="BI1000" s="216"/>
      <c r="BJ1000" s="216"/>
      <c r="BK1000" s="216"/>
      <c r="BL1000" s="216"/>
      <c r="BM1000" s="216"/>
      <c r="BN1000" s="216"/>
      <c r="BO1000" s="216"/>
      <c r="BP1000" s="216"/>
      <c r="BQ1000" s="216"/>
      <c r="BR1000" s="216"/>
      <c r="BS1000" s="216"/>
      <c r="BT1000" s="216"/>
      <c r="BU1000" s="216"/>
      <c r="BV1000" s="216"/>
      <c r="BW1000" s="216"/>
      <c r="BX1000" s="216"/>
      <c r="BY1000" s="216"/>
      <c r="BZ1000" s="216"/>
      <c r="CA1000" s="216"/>
      <c r="CB1000" s="216"/>
      <c r="CC1000" s="216"/>
      <c r="CD1000" s="216"/>
      <c r="CE1000" s="216"/>
      <c r="CF1000" s="216"/>
      <c r="CG1000" s="216"/>
      <c r="CH1000" s="216"/>
      <c r="CI1000" s="216"/>
      <c r="CJ1000" s="216"/>
      <c r="CK1000" s="216"/>
      <c r="CL1000" s="216"/>
      <c r="CM1000" s="216"/>
      <c r="CN1000" s="216"/>
      <c r="CO1000" s="216"/>
      <c r="CP1000" s="216"/>
      <c r="CQ1000" s="216"/>
      <c r="CR1000" s="216"/>
      <c r="CS1000" s="216"/>
      <c r="CT1000" s="216"/>
      <c r="CU1000" s="216"/>
      <c r="CV1000" s="216"/>
      <c r="CW1000" s="216"/>
      <c r="CX1000" s="216"/>
      <c r="CY1000" s="216"/>
    </row>
  </sheetData>
  <mergeCells count="92">
    <mergeCell ref="CN4:CS4"/>
    <mergeCell ref="CT4:CU4"/>
    <mergeCell ref="CV4:CW4"/>
    <mergeCell ref="CX4:CY4"/>
    <mergeCell ref="C5:C6"/>
    <mergeCell ref="D5:D6"/>
    <mergeCell ref="E5:E6"/>
    <mergeCell ref="F5:G5"/>
    <mergeCell ref="N5:O5"/>
    <mergeCell ref="P5:Q5"/>
    <mergeCell ref="R5:U5"/>
    <mergeCell ref="V5:W5"/>
    <mergeCell ref="X5:Y5"/>
    <mergeCell ref="Z5:AA5"/>
    <mergeCell ref="BH5:BI5"/>
    <mergeCell ref="BJ5:BM5"/>
    <mergeCell ref="BD5:BE5"/>
    <mergeCell ref="BF5:BG5"/>
    <mergeCell ref="CJ5:CK5"/>
    <mergeCell ref="CL5:CM5"/>
    <mergeCell ref="BT5:BU5"/>
    <mergeCell ref="BV5:BW5"/>
    <mergeCell ref="BX5:BY5"/>
    <mergeCell ref="BZ5:CA5"/>
    <mergeCell ref="CB5:CC5"/>
    <mergeCell ref="CD5:CE5"/>
    <mergeCell ref="CF5:CI5"/>
    <mergeCell ref="BN5:BO5"/>
    <mergeCell ref="BP5:BQ5"/>
    <mergeCell ref="BR5:BS5"/>
    <mergeCell ref="AT5:AU5"/>
    <mergeCell ref="AV5:AW5"/>
    <mergeCell ref="AX5:AY5"/>
    <mergeCell ref="AZ5:BA5"/>
    <mergeCell ref="BB5:BC5"/>
    <mergeCell ref="A104:B104"/>
    <mergeCell ref="AH5:AI5"/>
    <mergeCell ref="AJ5:AK5"/>
    <mergeCell ref="AL5:AM5"/>
    <mergeCell ref="AN5:AO5"/>
    <mergeCell ref="A13:B13"/>
    <mergeCell ref="A31:B31"/>
    <mergeCell ref="A52:B52"/>
    <mergeCell ref="A74:B74"/>
    <mergeCell ref="A89:B89"/>
    <mergeCell ref="A7:B7"/>
    <mergeCell ref="CN5:CO5"/>
    <mergeCell ref="CP5:CS5"/>
    <mergeCell ref="CT5:CU5"/>
    <mergeCell ref="CV5:CW5"/>
    <mergeCell ref="A2:B6"/>
    <mergeCell ref="C2:CY2"/>
    <mergeCell ref="P3:AA3"/>
    <mergeCell ref="AB3:AM3"/>
    <mergeCell ref="AN3:BG3"/>
    <mergeCell ref="BH3:CC3"/>
    <mergeCell ref="CD3:CY3"/>
    <mergeCell ref="CX5:CY5"/>
    <mergeCell ref="AB5:AC5"/>
    <mergeCell ref="AD5:AG5"/>
    <mergeCell ref="AP5:AS5"/>
    <mergeCell ref="CD4:CI4"/>
    <mergeCell ref="CJ4:CK4"/>
    <mergeCell ref="CL4:CM4"/>
    <mergeCell ref="C3:O3"/>
    <mergeCell ref="C4:E4"/>
    <mergeCell ref="F4:O4"/>
    <mergeCell ref="BT4:BU4"/>
    <mergeCell ref="BV4:BW4"/>
    <mergeCell ref="BX4:BY4"/>
    <mergeCell ref="BZ4:CA4"/>
    <mergeCell ref="CB4:CC4"/>
    <mergeCell ref="BF4:BG4"/>
    <mergeCell ref="BH4:BM4"/>
    <mergeCell ref="BN4:BO4"/>
    <mergeCell ref="BP4:BQ4"/>
    <mergeCell ref="BR4:BS4"/>
    <mergeCell ref="AV4:AW4"/>
    <mergeCell ref="AX4:AY4"/>
    <mergeCell ref="AZ4:BA4"/>
    <mergeCell ref="BB4:BC4"/>
    <mergeCell ref="BD4:BE4"/>
    <mergeCell ref="AH4:AI4"/>
    <mergeCell ref="AJ4:AK4"/>
    <mergeCell ref="AL4:AM4"/>
    <mergeCell ref="AN4:AS4"/>
    <mergeCell ref="AT4:AU4"/>
    <mergeCell ref="P4:U4"/>
    <mergeCell ref="V4:W4"/>
    <mergeCell ref="X4:Y4"/>
    <mergeCell ref="Z4:AA4"/>
    <mergeCell ref="AB4:AG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5" manualBreakCount="5">
    <brk id="15" max="1048575" man="1"/>
    <brk id="27" max="1048575" man="1"/>
    <brk id="39" max="1048575" man="1"/>
    <brk id="59" max="1048575" man="1"/>
    <brk id="8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H1000"/>
  <sheetViews>
    <sheetView view="pageBreakPreview" zoomScale="60" zoomScaleNormal="100" workbookViewId="0">
      <pane xSplit="2" ySplit="7" topLeftCell="K8" activePane="bottomRight" state="frozen"/>
      <selection activeCell="P71" sqref="P71"/>
      <selection pane="topRight" activeCell="P71" sqref="P71"/>
      <selection pane="bottomLeft" activeCell="P71" sqref="P71"/>
      <selection pane="bottomRight" activeCell="V18" sqref="V18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34" width="13.85546875" customWidth="1"/>
  </cols>
  <sheetData>
    <row r="1" spans="1:34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4" ht="24" customHeight="1" x14ac:dyDescent="0.2">
      <c r="A2" s="357" t="s">
        <v>1</v>
      </c>
      <c r="B2" s="358"/>
      <c r="C2" s="320" t="s">
        <v>202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2"/>
    </row>
    <row r="3" spans="1:34" ht="30" customHeight="1" x14ac:dyDescent="0.2">
      <c r="A3" s="344"/>
      <c r="B3" s="343"/>
      <c r="C3" s="353" t="s">
        <v>3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4"/>
      <c r="O3" s="383" t="s">
        <v>203</v>
      </c>
      <c r="P3" s="384"/>
      <c r="Q3" s="385"/>
      <c r="R3" s="383" t="s">
        <v>204</v>
      </c>
      <c r="S3" s="384"/>
      <c r="T3" s="385"/>
      <c r="U3" s="391" t="s">
        <v>205</v>
      </c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392"/>
      <c r="AH3" s="393"/>
    </row>
    <row r="4" spans="1:34" ht="60" customHeight="1" x14ac:dyDescent="0.2">
      <c r="A4" s="344"/>
      <c r="B4" s="343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86"/>
      <c r="P4" s="387"/>
      <c r="Q4" s="348"/>
      <c r="R4" s="386"/>
      <c r="S4" s="387"/>
      <c r="T4" s="348"/>
      <c r="U4" s="388" t="s">
        <v>206</v>
      </c>
      <c r="V4" s="313"/>
      <c r="W4" s="350" t="s">
        <v>207</v>
      </c>
      <c r="X4" s="325"/>
      <c r="Y4" s="325"/>
      <c r="Z4" s="313"/>
      <c r="AA4" s="390" t="s">
        <v>208</v>
      </c>
      <c r="AB4" s="325"/>
      <c r="AC4" s="325"/>
      <c r="AD4" s="313"/>
      <c r="AE4" s="390" t="s">
        <v>209</v>
      </c>
      <c r="AF4" s="325"/>
      <c r="AG4" s="325"/>
      <c r="AH4" s="313"/>
    </row>
    <row r="5" spans="1:34" ht="56.25" customHeight="1" x14ac:dyDescent="0.2">
      <c r="A5" s="344"/>
      <c r="B5" s="343"/>
      <c r="C5" s="405" t="s">
        <v>10</v>
      </c>
      <c r="D5" s="406" t="s">
        <v>11</v>
      </c>
      <c r="E5" s="407" t="s">
        <v>12</v>
      </c>
      <c r="F5" s="413" t="s">
        <v>13</v>
      </c>
      <c r="G5" s="414"/>
      <c r="H5" s="415" t="s">
        <v>14</v>
      </c>
      <c r="I5" s="416" t="s">
        <v>15</v>
      </c>
      <c r="J5" s="416" t="s">
        <v>16</v>
      </c>
      <c r="K5" s="416" t="s">
        <v>17</v>
      </c>
      <c r="L5" s="416" t="s">
        <v>18</v>
      </c>
      <c r="M5" s="417" t="s">
        <v>19</v>
      </c>
      <c r="N5" s="412"/>
      <c r="O5" s="270" t="s">
        <v>20</v>
      </c>
      <c r="P5" s="389" t="s">
        <v>21</v>
      </c>
      <c r="Q5" s="313"/>
      <c r="R5" s="270" t="s">
        <v>20</v>
      </c>
      <c r="S5" s="389" t="s">
        <v>21</v>
      </c>
      <c r="T5" s="313"/>
      <c r="U5" s="315" t="s">
        <v>21</v>
      </c>
      <c r="V5" s="304"/>
      <c r="W5" s="218" t="s">
        <v>20</v>
      </c>
      <c r="X5" s="351" t="s">
        <v>21</v>
      </c>
      <c r="Y5" s="309"/>
      <c r="Z5" s="304"/>
      <c r="AA5" s="219" t="s">
        <v>20</v>
      </c>
      <c r="AB5" s="351" t="s">
        <v>21</v>
      </c>
      <c r="AC5" s="309"/>
      <c r="AD5" s="304"/>
      <c r="AE5" s="219" t="s">
        <v>20</v>
      </c>
      <c r="AF5" s="351" t="s">
        <v>21</v>
      </c>
      <c r="AG5" s="309"/>
      <c r="AH5" s="304"/>
    </row>
    <row r="6" spans="1:34" ht="30" customHeight="1" x14ac:dyDescent="0.3">
      <c r="A6" s="345"/>
      <c r="B6" s="346"/>
      <c r="C6" s="408"/>
      <c r="D6" s="408"/>
      <c r="E6" s="408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1" t="s">
        <v>210</v>
      </c>
      <c r="P6" s="21" t="s">
        <v>210</v>
      </c>
      <c r="Q6" s="20" t="s">
        <v>23</v>
      </c>
      <c r="R6" s="221" t="s">
        <v>210</v>
      </c>
      <c r="S6" s="21" t="s">
        <v>210</v>
      </c>
      <c r="T6" s="20" t="s">
        <v>23</v>
      </c>
      <c r="U6" s="21" t="s">
        <v>201</v>
      </c>
      <c r="V6" s="21" t="s">
        <v>139</v>
      </c>
      <c r="W6" s="218" t="s">
        <v>24</v>
      </c>
      <c r="X6" s="21" t="s">
        <v>24</v>
      </c>
      <c r="Y6" s="21" t="s">
        <v>139</v>
      </c>
      <c r="Z6" s="20" t="s">
        <v>23</v>
      </c>
      <c r="AA6" s="223" t="s">
        <v>24</v>
      </c>
      <c r="AB6" s="21" t="s">
        <v>24</v>
      </c>
      <c r="AC6" s="21" t="s">
        <v>139</v>
      </c>
      <c r="AD6" s="20" t="s">
        <v>23</v>
      </c>
      <c r="AE6" s="223" t="s">
        <v>24</v>
      </c>
      <c r="AF6" s="21" t="s">
        <v>24</v>
      </c>
      <c r="AG6" s="21" t="s">
        <v>139</v>
      </c>
      <c r="AH6" s="20" t="s">
        <v>23</v>
      </c>
    </row>
    <row r="7" spans="1:34" ht="24" customHeight="1" x14ac:dyDescent="0.3">
      <c r="A7" s="359" t="s">
        <v>248</v>
      </c>
      <c r="B7" s="360"/>
      <c r="C7" s="23">
        <f ca="1">C8+C9+C12</f>
        <v>22857440</v>
      </c>
      <c r="D7" s="24">
        <f t="shared" ref="D7:E7" ca="1" si="0">D8</f>
        <v>22857440</v>
      </c>
      <c r="E7" s="25">
        <f t="shared" ca="1" si="0"/>
        <v>0</v>
      </c>
      <c r="F7" s="26">
        <f t="shared" ref="F7:F116" ca="1" si="1">H7+M7</f>
        <v>5864084.2599999998</v>
      </c>
      <c r="G7" s="27">
        <f t="shared" ref="G7:G116" ca="1" si="2">IF(D7&gt;0,F7*100/D7,0)</f>
        <v>25.655035122043415</v>
      </c>
      <c r="H7" s="26">
        <f t="shared" ref="H7:M7" ca="1" si="3">H8</f>
        <v>5864084.2599999998</v>
      </c>
      <c r="I7" s="26">
        <f t="shared" ca="1" si="3"/>
        <v>27040</v>
      </c>
      <c r="J7" s="26">
        <f t="shared" ca="1" si="3"/>
        <v>61320</v>
      </c>
      <c r="K7" s="26">
        <f t="shared" ca="1" si="3"/>
        <v>1801331.5899999999</v>
      </c>
      <c r="L7" s="26">
        <f t="shared" ca="1" si="3"/>
        <v>3974392.67</v>
      </c>
      <c r="M7" s="28">
        <f t="shared" ca="1" si="3"/>
        <v>0</v>
      </c>
      <c r="N7" s="28">
        <f t="shared" ref="N7:N11" ca="1" si="4">IF(E7&gt;0,M7*100/E7,0)</f>
        <v>0</v>
      </c>
      <c r="O7" s="226">
        <f t="shared" ref="O7:P7" ca="1" si="5">O8</f>
        <v>36</v>
      </c>
      <c r="P7" s="30">
        <f t="shared" ca="1" si="5"/>
        <v>20</v>
      </c>
      <c r="Q7" s="31">
        <f t="shared" ref="Q7:Q8" ca="1" si="6">IF(O7&gt;0,P7*100/O7,0)</f>
        <v>55.555555555555557</v>
      </c>
      <c r="R7" s="226">
        <f t="shared" ref="R7:S7" ca="1" si="7">R8</f>
        <v>36</v>
      </c>
      <c r="S7" s="30">
        <f t="shared" ca="1" si="7"/>
        <v>11</v>
      </c>
      <c r="T7" s="31">
        <f t="shared" ref="T7:T8" ca="1" si="8">IF(R7&gt;0,S7*100/R7,0)</f>
        <v>30.555555555555557</v>
      </c>
      <c r="U7" s="30">
        <f t="shared" ref="U7:Y7" ca="1" si="9">U8</f>
        <v>4215</v>
      </c>
      <c r="V7" s="31">
        <f t="shared" ca="1" si="9"/>
        <v>2604.9300000000003</v>
      </c>
      <c r="W7" s="228">
        <f t="shared" ca="1" si="9"/>
        <v>13000</v>
      </c>
      <c r="X7" s="30">
        <f t="shared" ca="1" si="9"/>
        <v>5103</v>
      </c>
      <c r="Y7" s="31">
        <f t="shared" ca="1" si="9"/>
        <v>3037.7399999999989</v>
      </c>
      <c r="Z7" s="31">
        <f t="shared" ref="Z7:Z8" ca="1" si="10">IF(W7&gt;0,X7*100/W7,0)</f>
        <v>39.253846153846155</v>
      </c>
      <c r="AA7" s="229">
        <f t="shared" ref="AA7:AC7" ca="1" si="11">AA8</f>
        <v>13000</v>
      </c>
      <c r="AB7" s="30">
        <f t="shared" ca="1" si="11"/>
        <v>4177</v>
      </c>
      <c r="AC7" s="31">
        <f t="shared" ca="1" si="11"/>
        <v>2397.0700000000006</v>
      </c>
      <c r="AD7" s="31">
        <f t="shared" ref="AD7:AD8" ca="1" si="12">IF(AA7&gt;0,AB7*100/AA7,0)</f>
        <v>32.130769230769232</v>
      </c>
      <c r="AE7" s="229">
        <f t="shared" ref="AE7:AG7" ca="1" si="13">AE8</f>
        <v>13000</v>
      </c>
      <c r="AF7" s="30">
        <f t="shared" ca="1" si="13"/>
        <v>963</v>
      </c>
      <c r="AG7" s="31">
        <f t="shared" ca="1" si="13"/>
        <v>504.62500000000006</v>
      </c>
      <c r="AH7" s="31">
        <f t="shared" ref="AH7:AH8" ca="1" si="14">IF(AE7&gt;0,AF7*100/AE7,0)</f>
        <v>7.407692307692308</v>
      </c>
    </row>
    <row r="8" spans="1:34" ht="28.5" customHeight="1" x14ac:dyDescent="0.3">
      <c r="A8" s="32" t="s">
        <v>26</v>
      </c>
      <c r="B8" s="33"/>
      <c r="C8" s="34">
        <f t="shared" ref="C8:E8" ca="1" si="15">+C13+C31+C52+C74</f>
        <v>22857440</v>
      </c>
      <c r="D8" s="35">
        <f t="shared" ca="1" si="15"/>
        <v>22857440</v>
      </c>
      <c r="E8" s="36">
        <f t="shared" ca="1" si="15"/>
        <v>0</v>
      </c>
      <c r="F8" s="36">
        <f t="shared" ca="1" si="1"/>
        <v>5864084.2599999998</v>
      </c>
      <c r="G8" s="37">
        <f t="shared" ca="1" si="2"/>
        <v>25.655035122043415</v>
      </c>
      <c r="H8" s="36">
        <f t="shared" ref="H8:M8" ca="1" si="16">+H13+H31+H52+H74</f>
        <v>5864084.2599999998</v>
      </c>
      <c r="I8" s="36">
        <f t="shared" ca="1" si="16"/>
        <v>27040</v>
      </c>
      <c r="J8" s="36">
        <f t="shared" ca="1" si="16"/>
        <v>61320</v>
      </c>
      <c r="K8" s="36">
        <f t="shared" ca="1" si="16"/>
        <v>1801331.5899999999</v>
      </c>
      <c r="L8" s="36">
        <f t="shared" ca="1" si="16"/>
        <v>3974392.67</v>
      </c>
      <c r="M8" s="38">
        <f t="shared" ca="1" si="16"/>
        <v>0</v>
      </c>
      <c r="N8" s="38">
        <f t="shared" ca="1" si="4"/>
        <v>0</v>
      </c>
      <c r="O8" s="36">
        <f t="shared" ref="O8:P8" ca="1" si="17">+O13+O31+O52+O74</f>
        <v>36</v>
      </c>
      <c r="P8" s="36">
        <f t="shared" ca="1" si="17"/>
        <v>20</v>
      </c>
      <c r="Q8" s="39">
        <f t="shared" ca="1" si="6"/>
        <v>55.555555555555557</v>
      </c>
      <c r="R8" s="36">
        <f t="shared" ref="R8:S8" ca="1" si="18">+R13+R31+R52+R74</f>
        <v>36</v>
      </c>
      <c r="S8" s="36">
        <f t="shared" ca="1" si="18"/>
        <v>11</v>
      </c>
      <c r="T8" s="39">
        <f t="shared" ca="1" si="8"/>
        <v>30.555555555555557</v>
      </c>
      <c r="U8" s="36">
        <f t="shared" ref="U8:Y8" ca="1" si="19">+U13+U31+U52+U74</f>
        <v>4215</v>
      </c>
      <c r="V8" s="271">
        <f t="shared" ca="1" si="19"/>
        <v>2604.9300000000003</v>
      </c>
      <c r="W8" s="35">
        <f t="shared" ca="1" si="19"/>
        <v>13000</v>
      </c>
      <c r="X8" s="36">
        <f t="shared" ca="1" si="19"/>
        <v>5103</v>
      </c>
      <c r="Y8" s="271">
        <f t="shared" ca="1" si="19"/>
        <v>3037.7399999999989</v>
      </c>
      <c r="Z8" s="39">
        <f t="shared" ca="1" si="10"/>
        <v>39.253846153846155</v>
      </c>
      <c r="AA8" s="231">
        <f t="shared" ref="AA8:AC8" ca="1" si="20">+AA13+AA31+AA52+AA74</f>
        <v>13000</v>
      </c>
      <c r="AB8" s="36">
        <f t="shared" ca="1" si="20"/>
        <v>4177</v>
      </c>
      <c r="AC8" s="271">
        <f t="shared" ca="1" si="20"/>
        <v>2397.0700000000006</v>
      </c>
      <c r="AD8" s="39">
        <f t="shared" ca="1" si="12"/>
        <v>32.130769230769232</v>
      </c>
      <c r="AE8" s="231">
        <f t="shared" ref="AE8:AG8" ca="1" si="21">+AE13+AE31+AE52+AE74</f>
        <v>13000</v>
      </c>
      <c r="AF8" s="36">
        <f t="shared" ca="1" si="21"/>
        <v>963</v>
      </c>
      <c r="AG8" s="271">
        <f t="shared" ca="1" si="21"/>
        <v>504.62500000000006</v>
      </c>
      <c r="AH8" s="39">
        <f t="shared" ca="1" si="14"/>
        <v>7.407692307692308</v>
      </c>
    </row>
    <row r="9" spans="1:34" ht="28.5" customHeight="1" x14ac:dyDescent="0.2">
      <c r="A9" s="40" t="s">
        <v>249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272"/>
      <c r="W9" s="43"/>
      <c r="X9" s="43"/>
      <c r="Y9" s="272"/>
      <c r="Z9" s="46"/>
      <c r="AA9" s="232"/>
      <c r="AB9" s="43"/>
      <c r="AC9" s="272"/>
      <c r="AD9" s="46"/>
      <c r="AE9" s="232"/>
      <c r="AF9" s="43"/>
      <c r="AG9" s="272"/>
      <c r="AH9" s="46"/>
    </row>
    <row r="10" spans="1:34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272"/>
      <c r="W10" s="43"/>
      <c r="X10" s="43"/>
      <c r="Y10" s="272"/>
      <c r="Z10" s="46"/>
      <c r="AA10" s="232"/>
      <c r="AB10" s="43"/>
      <c r="AC10" s="272"/>
      <c r="AD10" s="46"/>
      <c r="AE10" s="232"/>
      <c r="AF10" s="43"/>
      <c r="AG10" s="272"/>
      <c r="AH10" s="46"/>
    </row>
    <row r="11" spans="1:34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272"/>
      <c r="W11" s="43"/>
      <c r="X11" s="43"/>
      <c r="Y11" s="272"/>
      <c r="Z11" s="46"/>
      <c r="AA11" s="232"/>
      <c r="AB11" s="43"/>
      <c r="AC11" s="272"/>
      <c r="AD11" s="46"/>
      <c r="AE11" s="232"/>
      <c r="AF11" s="43"/>
      <c r="AG11" s="272"/>
      <c r="AH11" s="46"/>
    </row>
    <row r="12" spans="1:34" ht="28.5" hidden="1" customHeight="1" x14ac:dyDescent="0.3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2">IF(O12&gt;0,P12*100/O12,0)</f>
        <v>0</v>
      </c>
      <c r="R12" s="52">
        <v>0</v>
      </c>
      <c r="S12" s="52">
        <v>0</v>
      </c>
      <c r="T12" s="55">
        <f t="shared" ref="T12:T88" si="23">IF(R12&gt;0,S12*100/R12,0)</f>
        <v>0</v>
      </c>
      <c r="U12" s="52">
        <v>0</v>
      </c>
      <c r="V12" s="273">
        <v>0</v>
      </c>
      <c r="W12" s="52">
        <v>0</v>
      </c>
      <c r="X12" s="52">
        <v>0</v>
      </c>
      <c r="Y12" s="273">
        <v>0</v>
      </c>
      <c r="Z12" s="55">
        <f t="shared" ref="Z12:Z88" si="24">IF(W12&gt;0,X12*100/W12,0)</f>
        <v>0</v>
      </c>
      <c r="AA12" s="233">
        <v>0</v>
      </c>
      <c r="AB12" s="52">
        <v>0</v>
      </c>
      <c r="AC12" s="273">
        <v>0</v>
      </c>
      <c r="AD12" s="55">
        <f t="shared" ref="AD12:AD88" si="25">IF(AA12&gt;0,AB12*100/AA12,0)</f>
        <v>0</v>
      </c>
      <c r="AE12" s="233">
        <v>0</v>
      </c>
      <c r="AF12" s="52">
        <v>0</v>
      </c>
      <c r="AG12" s="273">
        <v>0</v>
      </c>
      <c r="AH12" s="55">
        <f t="shared" ref="AH12:AH88" si="26">IF(AE12&gt;0,AF12*100/AE12,0)</f>
        <v>0</v>
      </c>
    </row>
    <row r="13" spans="1:34" ht="28.5" customHeight="1" x14ac:dyDescent="0.3">
      <c r="A13" s="303" t="s">
        <v>30</v>
      </c>
      <c r="B13" s="304"/>
      <c r="C13" s="56">
        <f t="shared" ref="C13:E13" ca="1" si="27">SUM(C14:C30)</f>
        <v>5684995</v>
      </c>
      <c r="D13" s="57">
        <f t="shared" ca="1" si="27"/>
        <v>5684995</v>
      </c>
      <c r="E13" s="58">
        <f t="shared" ca="1" si="27"/>
        <v>0</v>
      </c>
      <c r="F13" s="58">
        <f t="shared" ca="1" si="1"/>
        <v>1026356.95</v>
      </c>
      <c r="G13" s="59">
        <f t="shared" ca="1" si="2"/>
        <v>18.053788086005351</v>
      </c>
      <c r="H13" s="58">
        <f t="shared" ref="H13:M13" ca="1" si="28">SUM(H14:H30)</f>
        <v>1026356.95</v>
      </c>
      <c r="I13" s="58">
        <f t="shared" ca="1" si="28"/>
        <v>0</v>
      </c>
      <c r="J13" s="58">
        <f t="shared" ca="1" si="28"/>
        <v>0</v>
      </c>
      <c r="K13" s="58">
        <f t="shared" ca="1" si="28"/>
        <v>298566.67</v>
      </c>
      <c r="L13" s="58">
        <f t="shared" ca="1" si="28"/>
        <v>727790.27999999991</v>
      </c>
      <c r="M13" s="60">
        <f t="shared" ca="1" si="28"/>
        <v>0</v>
      </c>
      <c r="N13" s="60">
        <f t="shared" ref="N13:N116" ca="1" si="29">IF(E13&gt;0,M13*100/E13,0)</f>
        <v>0</v>
      </c>
      <c r="O13" s="58">
        <f t="shared" ref="O13:P13" ca="1" si="30">SUM(O14:O30)</f>
        <v>14</v>
      </c>
      <c r="P13" s="58">
        <f t="shared" ca="1" si="30"/>
        <v>5</v>
      </c>
      <c r="Q13" s="61">
        <f t="shared" ca="1" si="22"/>
        <v>35.714285714285715</v>
      </c>
      <c r="R13" s="58">
        <f t="shared" ref="R13:S13" ca="1" si="31">SUM(R14:R30)</f>
        <v>14</v>
      </c>
      <c r="S13" s="58">
        <f t="shared" ca="1" si="31"/>
        <v>5</v>
      </c>
      <c r="T13" s="61">
        <f t="shared" ca="1" si="23"/>
        <v>35.714285714285715</v>
      </c>
      <c r="U13" s="58">
        <f t="shared" ref="U13:Y13" ca="1" si="32">SUM(U14:U30)</f>
        <v>753</v>
      </c>
      <c r="V13" s="274">
        <f t="shared" ca="1" si="32"/>
        <v>463.07</v>
      </c>
      <c r="W13" s="58">
        <f t="shared" ca="1" si="32"/>
        <v>2481</v>
      </c>
      <c r="X13" s="58">
        <f t="shared" ca="1" si="32"/>
        <v>469</v>
      </c>
      <c r="Y13" s="274">
        <f t="shared" ca="1" si="32"/>
        <v>312.70999999999998</v>
      </c>
      <c r="Z13" s="61">
        <f t="shared" ca="1" si="24"/>
        <v>18.90366787585651</v>
      </c>
      <c r="AA13" s="231">
        <f t="shared" ref="AA13:AC13" ca="1" si="33">SUM(AA14:AA30)</f>
        <v>2481</v>
      </c>
      <c r="AB13" s="58">
        <f t="shared" ca="1" si="33"/>
        <v>287</v>
      </c>
      <c r="AC13" s="274">
        <f t="shared" ca="1" si="33"/>
        <v>170.84</v>
      </c>
      <c r="AD13" s="61">
        <f t="shared" ca="1" si="25"/>
        <v>11.567916162837566</v>
      </c>
      <c r="AE13" s="231">
        <f t="shared" ref="AE13:AG13" ca="1" si="34">SUM(AE14:AE30)</f>
        <v>2481</v>
      </c>
      <c r="AF13" s="58">
        <f t="shared" ca="1" si="34"/>
        <v>202</v>
      </c>
      <c r="AG13" s="274">
        <f t="shared" ca="1" si="34"/>
        <v>95.25</v>
      </c>
      <c r="AH13" s="61">
        <f t="shared" ca="1" si="26"/>
        <v>8.1418782748891569</v>
      </c>
    </row>
    <row r="14" spans="1:34" ht="24" customHeight="1" x14ac:dyDescent="0.3">
      <c r="A14" s="62">
        <v>1</v>
      </c>
      <c r="B14" s="63" t="s">
        <v>31</v>
      </c>
      <c r="C14" s="64">
        <f t="shared" ref="C14:C30" ca="1" si="35">D14+E14</f>
        <v>509340</v>
      </c>
      <c r="D14" s="65">
        <f ca="1">IFERROR(__xludf.DUMMYFUNCTION("IMPORTRANGE(""https://docs.google.com/spreadsheets/d/1KxicF4apzSqm0-jIpmueT4kyZtE-Cwn5zskl7GD4loQ/edit?usp=sharing"",""กำแพงเพชร!L634"")"),509340)</f>
        <v>509340</v>
      </c>
      <c r="E14" s="66">
        <f ca="1">IFERROR(__xludf.DUMMYFUNCTION("IMPORTRANGE(""https://docs.google.com/spreadsheets/d/1KxicF4apzSqm0-jIpmueT4kyZtE-Cwn5zskl7GD4loQ/edit?usp=sharing"",""กำแพงเพชร!L641"")"),0)</f>
        <v>0</v>
      </c>
      <c r="F14" s="67">
        <f t="shared" ca="1" si="1"/>
        <v>257070</v>
      </c>
      <c r="G14" s="68">
        <f t="shared" ca="1" si="2"/>
        <v>50.471198020968309</v>
      </c>
      <c r="H14" s="69">
        <f t="shared" ref="H14:H30" ca="1" si="36">I14+J14+K14+L14</f>
        <v>257070</v>
      </c>
      <c r="I14" s="66">
        <f ca="1">IFERROR(__xludf.DUMMYFUNCTION("IMPORTRANGE(""https://docs.google.com/spreadsheets/d/1KxicF4apzSqm0-jIpmueT4kyZtE-Cwn5zskl7GD4loQ/edit?usp=sharing"",""กำแพงเพชร!N635"")"),0)</f>
        <v>0</v>
      </c>
      <c r="J14" s="66">
        <f ca="1">IFERROR(__xludf.DUMMYFUNCTION("IMPORTRANGE(""https://docs.google.com/spreadsheets/d/1KxicF4apzSqm0-jIpmueT4kyZtE-Cwn5zskl7GD4loQ/edit?usp=sharing"",""กำแพงเพชร!N636"")"),0)</f>
        <v>0</v>
      </c>
      <c r="K14" s="66">
        <f ca="1">IFERROR(__xludf.DUMMYFUNCTION("IMPORTRANGE(""https://docs.google.com/spreadsheets/d/1KxicF4apzSqm0-jIpmueT4kyZtE-Cwn5zskl7GD4loQ/edit?usp=sharing"",""กำแพงเพชร!N637"")"),39000)</f>
        <v>39000</v>
      </c>
      <c r="L14" s="66">
        <f ca="1">IFERROR(__xludf.DUMMYFUNCTION("IMPORTRANGE(""https://docs.google.com/spreadsheets/d/1KxicF4apzSqm0-jIpmueT4kyZtE-Cwn5zskl7GD4loQ/edit?usp=sharing"",""กำแพงเพชร!N638"")"),218070)</f>
        <v>218070</v>
      </c>
      <c r="M14" s="70">
        <f ca="1">IFERROR(__xludf.DUMMYFUNCTION("IMPORTRANGE(""https://docs.google.com/spreadsheets/d/1KxicF4apzSqm0-jIpmueT4kyZtE-Cwn5zskl7GD4loQ/edit?usp=sharing"",""กำแพงเพชร!N641"")"),0)</f>
        <v>0</v>
      </c>
      <c r="N14" s="70">
        <f t="shared" ca="1" si="29"/>
        <v>0</v>
      </c>
      <c r="O14" s="66">
        <f ca="1">IFERROR(__xludf.DUMMYFUNCTION("IMPORTRANGE(""https://docs.google.com/spreadsheets/d/1KxicF4apzSqm0-jIpmueT4kyZtE-Cwn5zskl7GD4loQ/edit?usp=sharing"",""กำแพงเพชร!I643"")"),0)</f>
        <v>0</v>
      </c>
      <c r="P14" s="66">
        <f ca="1">IFERROR(__xludf.DUMMYFUNCTION("IMPORTRANGE(""https://docs.google.com/spreadsheets/d/1KxicF4apzSqm0-jIpmueT4kyZtE-Cwn5zskl7GD4loQ/edit?usp=sharing"",""กำแพงเพชร!J643"")"),0)</f>
        <v>0</v>
      </c>
      <c r="Q14" s="71">
        <f t="shared" ca="1" si="22"/>
        <v>0</v>
      </c>
      <c r="R14" s="66">
        <f ca="1">IFERROR(__xludf.DUMMYFUNCTION("IMPORTRANGE(""https://docs.google.com/spreadsheets/d/1KxicF4apzSqm0-jIpmueT4kyZtE-Cwn5zskl7GD4loQ/edit?usp=sharing"",""กำแพงเพชร!I644"")"),0)</f>
        <v>0</v>
      </c>
      <c r="S14" s="66">
        <f ca="1">IFERROR(__xludf.DUMMYFUNCTION("IMPORTRANGE(""https://docs.google.com/spreadsheets/d/1KxicF4apzSqm0-jIpmueT4kyZtE-Cwn5zskl7GD4loQ/edit?usp=sharing"",""กำแพงเพชร!J644"")"),0)</f>
        <v>0</v>
      </c>
      <c r="T14" s="71">
        <f t="shared" ca="1" si="23"/>
        <v>0</v>
      </c>
      <c r="U14" s="66">
        <f ca="1">IFERROR(__xludf.DUMMYFUNCTION("IMPORTRANGE(""https://docs.google.com/spreadsheets/d/1KxicF4apzSqm0-jIpmueT4kyZtE-Cwn5zskl7GD4loQ/edit?usp=sharing"",""กำแพงเพชร!J645"")"),54)</f>
        <v>54</v>
      </c>
      <c r="V14" s="275">
        <f ca="1">IFERROR(__xludf.DUMMYFUNCTION("IMPORTRANGE(""https://docs.google.com/spreadsheets/d/1KxicF4apzSqm0-jIpmueT4kyZtE-Cwn5zskl7GD4loQ/edit?usp=sharing"",""กำแพงเพชร!J646"")"),59.97)</f>
        <v>59.97</v>
      </c>
      <c r="W14" s="66">
        <f ca="1">IFERROR(__xludf.DUMMYFUNCTION("IMPORTRANGE(""https://docs.google.com/spreadsheets/d/1KxicF4apzSqm0-jIpmueT4kyZtE-Cwn5zskl7GD4loQ/edit?usp=sharing"",""กำแพงเพชร!I647"")"),350)</f>
        <v>350</v>
      </c>
      <c r="X14" s="66">
        <f ca="1">IFERROR(__xludf.DUMMYFUNCTION("IMPORTRANGE(""https://docs.google.com/spreadsheets/d/1KxicF4apzSqm0-jIpmueT4kyZtE-Cwn5zskl7GD4loQ/edit?usp=sharing"",""กำแพงเพชร!J647"")"),53)</f>
        <v>53</v>
      </c>
      <c r="Y14" s="275">
        <f ca="1">IFERROR(__xludf.DUMMYFUNCTION("IMPORTRANGE(""https://docs.google.com/spreadsheets/d/1KxicF4apzSqm0-jIpmueT4kyZtE-Cwn5zskl7GD4loQ/edit?usp=sharing"",""กำแพงเพชร!J648"")"),60.17)</f>
        <v>60.17</v>
      </c>
      <c r="Z14" s="71">
        <f t="shared" ca="1" si="24"/>
        <v>15.142857142857142</v>
      </c>
      <c r="AA14" s="234">
        <f ca="1">IFERROR(__xludf.DUMMYFUNCTION("IMPORTRANGE(""https://docs.google.com/spreadsheets/d/1KxicF4apzSqm0-jIpmueT4kyZtE-Cwn5zskl7GD4loQ/edit?usp=sharing"",""กำแพงเพชร!I649"")"),350)</f>
        <v>350</v>
      </c>
      <c r="AB14" s="66">
        <f ca="1">IFERROR(__xludf.DUMMYFUNCTION("IMPORTRANGE(""https://docs.google.com/spreadsheets/d/1KxicF4apzSqm0-jIpmueT4kyZtE-Cwn5zskl7GD4loQ/edit?usp=sharing"",""กำแพงเพชร!J649"")"),0)</f>
        <v>0</v>
      </c>
      <c r="AC14" s="275">
        <f ca="1">IFERROR(__xludf.DUMMYFUNCTION("IMPORTRANGE(""https://docs.google.com/spreadsheets/d/1KxicF4apzSqm0-jIpmueT4kyZtE-Cwn5zskl7GD4loQ/edit?usp=sharing"",""กำแพงเพชร!J650"")"),0)</f>
        <v>0</v>
      </c>
      <c r="AD14" s="71">
        <f t="shared" ca="1" si="25"/>
        <v>0</v>
      </c>
      <c r="AE14" s="234">
        <f ca="1">IFERROR(__xludf.DUMMYFUNCTION("IMPORTRANGE(""https://docs.google.com/spreadsheets/d/1KxicF4apzSqm0-jIpmueT4kyZtE-Cwn5zskl7GD4loQ/edit?usp=sharing"",""กำแพงเพชร!I651"")"),350)</f>
        <v>350</v>
      </c>
      <c r="AF14" s="66">
        <f ca="1">IFERROR(__xludf.DUMMYFUNCTION("IMPORTRANGE(""https://docs.google.com/spreadsheets/d/1KxicF4apzSqm0-jIpmueT4kyZtE-Cwn5zskl7GD4loQ/edit?usp=sharing"",""กำแพงเพชร!J651"")"),0)</f>
        <v>0</v>
      </c>
      <c r="AG14" s="275">
        <f ca="1">IFERROR(__xludf.DUMMYFUNCTION("IMPORTRANGE(""https://docs.google.com/spreadsheets/d/1KxicF4apzSqm0-jIpmueT4kyZtE-Cwn5zskl7GD4loQ/edit?usp=sharing"",""กำแพงเพชร!J652"")"),0)</f>
        <v>0</v>
      </c>
      <c r="AH14" s="71">
        <f t="shared" ca="1" si="26"/>
        <v>0</v>
      </c>
    </row>
    <row r="15" spans="1:34" ht="24" customHeight="1" x14ac:dyDescent="0.3">
      <c r="A15" s="72">
        <v>2</v>
      </c>
      <c r="B15" s="73" t="s">
        <v>32</v>
      </c>
      <c r="C15" s="74">
        <f t="shared" ca="1" si="35"/>
        <v>400230</v>
      </c>
      <c r="D15" s="75">
        <f ca="1">IFERROR(__xludf.DUMMYFUNCTION("IMPORTRANGE(""https://docs.google.com/spreadsheets/d/1ZNYWeiFoFA1K1U4xKWqRX29MBvEyRHXORjo734Gnq_c/edit?usp=sharing"",""เชียงราย!L634"")"),400230)</f>
        <v>400230</v>
      </c>
      <c r="E15" s="76">
        <f ca="1">IFERROR(__xludf.DUMMYFUNCTION("IMPORTRANGE(""https://docs.google.com/spreadsheets/d/1ZNYWeiFoFA1K1U4xKWqRX29MBvEyRHXORjo734Gnq_c/edit?usp=sharing"",""เชียงราย!L641"")"),0)</f>
        <v>0</v>
      </c>
      <c r="F15" s="77">
        <f t="shared" ca="1" si="1"/>
        <v>0</v>
      </c>
      <c r="G15" s="78">
        <f t="shared" ca="1" si="2"/>
        <v>0</v>
      </c>
      <c r="H15" s="79">
        <f t="shared" ca="1" si="36"/>
        <v>0</v>
      </c>
      <c r="I15" s="76">
        <f ca="1">IFERROR(__xludf.DUMMYFUNCTION("IMPORTRANGE(""https://docs.google.com/spreadsheets/d/1ZNYWeiFoFA1K1U4xKWqRX29MBvEyRHXORjo734Gnq_c/edit?usp=sharing"",""เชียงราย!N635"")"),0)</f>
        <v>0</v>
      </c>
      <c r="J15" s="76">
        <f ca="1">IFERROR(__xludf.DUMMYFUNCTION("IMPORTRANGE(""https://docs.google.com/spreadsheets/d/1ZNYWeiFoFA1K1U4xKWqRX29MBvEyRHXORjo734Gnq_c/edit?usp=sharing"",""เชียงราย!N636"")"),0)</f>
        <v>0</v>
      </c>
      <c r="K15" s="76">
        <f ca="1">IFERROR(__xludf.DUMMYFUNCTION("IMPORTRANGE(""https://docs.google.com/spreadsheets/d/1ZNYWeiFoFA1K1U4xKWqRX29MBvEyRHXORjo734Gnq_c/edit?usp=sharing"",""เชียงราย!N637"")"),0)</f>
        <v>0</v>
      </c>
      <c r="L15" s="76">
        <f ca="1">IFERROR(__xludf.DUMMYFUNCTION("IMPORTRANGE(""https://docs.google.com/spreadsheets/d/1ZNYWeiFoFA1K1U4xKWqRX29MBvEyRHXORjo734Gnq_c/edit?usp=sharing"",""เชียงราย!N638"")"),0)</f>
        <v>0</v>
      </c>
      <c r="M15" s="80">
        <f ca="1">IFERROR(__xludf.DUMMYFUNCTION("IMPORTRANGE(""https://docs.google.com/spreadsheets/d/1ZNYWeiFoFA1K1U4xKWqRX29MBvEyRHXORjo734Gnq_c/edit?usp=sharing"",""เชียงราย!N641"")"),0)</f>
        <v>0</v>
      </c>
      <c r="N15" s="80">
        <f t="shared" ca="1" si="29"/>
        <v>0</v>
      </c>
      <c r="O15" s="81">
        <f ca="1">IFERROR(__xludf.DUMMYFUNCTION("IMPORTRANGE(""https://docs.google.com/spreadsheets/d/1ZNYWeiFoFA1K1U4xKWqRX29MBvEyRHXORjo734Gnq_c/edit?usp=sharing"",""เชียงราย!I643"")"),0)</f>
        <v>0</v>
      </c>
      <c r="P15" s="81">
        <f ca="1">IFERROR(__xludf.DUMMYFUNCTION("IMPORTRANGE(""https://docs.google.com/spreadsheets/d/1ZNYWeiFoFA1K1U4xKWqRX29MBvEyRHXORjo734Gnq_c/edit?usp=sharing"",""เชียงราย!J643"")"),0)</f>
        <v>0</v>
      </c>
      <c r="Q15" s="82">
        <f t="shared" ca="1" si="22"/>
        <v>0</v>
      </c>
      <c r="R15" s="81">
        <f ca="1">IFERROR(__xludf.DUMMYFUNCTION("IMPORTRANGE(""https://docs.google.com/spreadsheets/d/1ZNYWeiFoFA1K1U4xKWqRX29MBvEyRHXORjo734Gnq_c/edit?usp=sharing"",""เชียงราย!I644"")"),0)</f>
        <v>0</v>
      </c>
      <c r="S15" s="81">
        <f ca="1">IFERROR(__xludf.DUMMYFUNCTION("IMPORTRANGE(""https://docs.google.com/spreadsheets/d/1ZNYWeiFoFA1K1U4xKWqRX29MBvEyRHXORjo734Gnq_c/edit?usp=sharing"",""เชียงราย!J644"")"),0)</f>
        <v>0</v>
      </c>
      <c r="T15" s="82">
        <f t="shared" ca="1" si="23"/>
        <v>0</v>
      </c>
      <c r="U15" s="81">
        <f ca="1">IFERROR(__xludf.DUMMYFUNCTION("IMPORTRANGE(""https://docs.google.com/spreadsheets/d/1ZNYWeiFoFA1K1U4xKWqRX29MBvEyRHXORjo734Gnq_c/edit?usp=sharing"",""เชียงราย!J645"")"),2)</f>
        <v>2</v>
      </c>
      <c r="V15" s="276">
        <f ca="1">IFERROR(__xludf.DUMMYFUNCTION("IMPORTRANGE(""https://docs.google.com/spreadsheets/d/1ZNYWeiFoFA1K1U4xKWqRX29MBvEyRHXORjo734Gnq_c/edit?usp=sharing"",""เชียงราย!J646"")"),1.5)</f>
        <v>1.5</v>
      </c>
      <c r="W15" s="81">
        <f ca="1">IFERROR(__xludf.DUMMYFUNCTION("IMPORTRANGE(""https://docs.google.com/spreadsheets/d/1ZNYWeiFoFA1K1U4xKWqRX29MBvEyRHXORjo734Gnq_c/edit?usp=sharing"",""เชียงราย!I647"")"),140)</f>
        <v>140</v>
      </c>
      <c r="X15" s="81">
        <f ca="1">IFERROR(__xludf.DUMMYFUNCTION("IMPORTRANGE(""https://docs.google.com/spreadsheets/d/1ZNYWeiFoFA1K1U4xKWqRX29MBvEyRHXORjo734Gnq_c/edit?usp=sharing"",""เชียงราย!J647"")"),41)</f>
        <v>41</v>
      </c>
      <c r="Y15" s="276">
        <f ca="1">IFERROR(__xludf.DUMMYFUNCTION("IMPORTRANGE(""https://docs.google.com/spreadsheets/d/1ZNYWeiFoFA1K1U4xKWqRX29MBvEyRHXORjo734Gnq_c/edit?usp=sharing"",""เชียงราย!J648"")"),23.54)</f>
        <v>23.54</v>
      </c>
      <c r="Z15" s="82">
        <f t="shared" ca="1" si="24"/>
        <v>29.285714285714285</v>
      </c>
      <c r="AA15" s="234">
        <f ca="1">IFERROR(__xludf.DUMMYFUNCTION("IMPORTRANGE(""https://docs.google.com/spreadsheets/d/1ZNYWeiFoFA1K1U4xKWqRX29MBvEyRHXORjo734Gnq_c/edit?usp=sharing"",""เชียงราย!I649"")"),140)</f>
        <v>140</v>
      </c>
      <c r="AB15" s="81">
        <f ca="1">IFERROR(__xludf.DUMMYFUNCTION("IMPORTRANGE(""https://docs.google.com/spreadsheets/d/1ZNYWeiFoFA1K1U4xKWqRX29MBvEyRHXORjo734Gnq_c/edit?usp=sharing"",""เชียงราย!J649"")"),46)</f>
        <v>46</v>
      </c>
      <c r="AC15" s="276">
        <f ca="1">IFERROR(__xludf.DUMMYFUNCTION("IMPORTRANGE(""https://docs.google.com/spreadsheets/d/1ZNYWeiFoFA1K1U4xKWqRX29MBvEyRHXORjo734Gnq_c/edit?usp=sharing"",""เชียงราย!J650"")"),27.55)</f>
        <v>27.55</v>
      </c>
      <c r="AD15" s="82">
        <f t="shared" ca="1" si="25"/>
        <v>32.857142857142854</v>
      </c>
      <c r="AE15" s="234">
        <f ca="1">IFERROR(__xludf.DUMMYFUNCTION("IMPORTRANGE(""https://docs.google.com/spreadsheets/d/1ZNYWeiFoFA1K1U4xKWqRX29MBvEyRHXORjo734Gnq_c/edit?usp=sharing"",""เชียงราย!I651"")"),140)</f>
        <v>140</v>
      </c>
      <c r="AF15" s="81">
        <f ca="1">IFERROR(__xludf.DUMMYFUNCTION("IMPORTRANGE(""https://docs.google.com/spreadsheets/d/1ZNYWeiFoFA1K1U4xKWqRX29MBvEyRHXORjo734Gnq_c/edit?usp=sharing"",""เชียงราย!J651"")"),0)</f>
        <v>0</v>
      </c>
      <c r="AG15" s="276">
        <f ca="1">IFERROR(__xludf.DUMMYFUNCTION("IMPORTRANGE(""https://docs.google.com/spreadsheets/d/1ZNYWeiFoFA1K1U4xKWqRX29MBvEyRHXORjo734Gnq_c/edit?usp=sharing"",""เชียงราย!J652"")"),0)</f>
        <v>0</v>
      </c>
      <c r="AH15" s="82">
        <f t="shared" ca="1" si="26"/>
        <v>0</v>
      </c>
    </row>
    <row r="16" spans="1:34" ht="24" customHeight="1" x14ac:dyDescent="0.3">
      <c r="A16" s="72">
        <v>3</v>
      </c>
      <c r="B16" s="73" t="s">
        <v>33</v>
      </c>
      <c r="C16" s="74">
        <f t="shared" ca="1" si="35"/>
        <v>233605</v>
      </c>
      <c r="D16" s="75">
        <f ca="1">IFERROR(__xludf.DUMMYFUNCTION("IMPORTRANGE(""https://docs.google.com/spreadsheets/d/1Jgv0Y7YlHDtsiDawwp-uvifEJ8HVaSn0k2aGHG8-hwM/edit?usp=sharing"",""เชียงใหม่!L634"")"),233605)</f>
        <v>233605</v>
      </c>
      <c r="E16" s="76">
        <f ca="1">IFERROR(__xludf.DUMMYFUNCTION("IMPORTRANGE(""https://docs.google.com/spreadsheets/d/1Jgv0Y7YlHDtsiDawwp-uvifEJ8HVaSn0k2aGHG8-hwM/edit?usp=sharing"",""เชียงใหม่!L641"")"),0)</f>
        <v>0</v>
      </c>
      <c r="F16" s="77">
        <f t="shared" ca="1" si="1"/>
        <v>0</v>
      </c>
      <c r="G16" s="78">
        <f t="shared" ca="1" si="2"/>
        <v>0</v>
      </c>
      <c r="H16" s="79">
        <f t="shared" ca="1" si="36"/>
        <v>0</v>
      </c>
      <c r="I16" s="76">
        <f ca="1">IFERROR(__xludf.DUMMYFUNCTION("IMPORTRANGE(""https://docs.google.com/spreadsheets/d/1Jgv0Y7YlHDtsiDawwp-uvifEJ8HVaSn0k2aGHG8-hwM/edit?usp=sharing"",""เชียงใหม่!N635"")"),0)</f>
        <v>0</v>
      </c>
      <c r="J16" s="76">
        <f ca="1">IFERROR(__xludf.DUMMYFUNCTION("IMPORTRANGE(""https://docs.google.com/spreadsheets/d/1Jgv0Y7YlHDtsiDawwp-uvifEJ8HVaSn0k2aGHG8-hwM/edit?usp=sharing"",""เชียงใหม่!N636"")"),0)</f>
        <v>0</v>
      </c>
      <c r="K16" s="76">
        <f ca="1">IFERROR(__xludf.DUMMYFUNCTION("IMPORTRANGE(""https://docs.google.com/spreadsheets/d/1Jgv0Y7YlHDtsiDawwp-uvifEJ8HVaSn0k2aGHG8-hwM/edit?usp=sharing"",""เชียงใหม่!N637"")"),0)</f>
        <v>0</v>
      </c>
      <c r="L16" s="76">
        <f ca="1">IFERROR(__xludf.DUMMYFUNCTION("IMPORTRANGE(""https://docs.google.com/spreadsheets/d/1Jgv0Y7YlHDtsiDawwp-uvifEJ8HVaSn0k2aGHG8-hwM/edit?usp=sharing"",""เชียงใหม่!N638"")"),0)</f>
        <v>0</v>
      </c>
      <c r="M16" s="80">
        <f ca="1">IFERROR(__xludf.DUMMYFUNCTION("IMPORTRANGE(""https://docs.google.com/spreadsheets/d/1Jgv0Y7YlHDtsiDawwp-uvifEJ8HVaSn0k2aGHG8-hwM/edit?usp=sharing"",""เชียงใหม่!N641"")"),0)</f>
        <v>0</v>
      </c>
      <c r="N16" s="80">
        <f t="shared" ca="1" si="29"/>
        <v>0</v>
      </c>
      <c r="O16" s="81">
        <f ca="1">IFERROR(__xludf.DUMMYFUNCTION("IMPORTRANGE(""https://docs.google.com/spreadsheets/d/1Jgv0Y7YlHDtsiDawwp-uvifEJ8HVaSn0k2aGHG8-hwM/edit?usp=sharing"",""เชียงใหม่!I643"")"),2)</f>
        <v>2</v>
      </c>
      <c r="P16" s="81">
        <f ca="1">IFERROR(__xludf.DUMMYFUNCTION("IMPORTRANGE(""https://docs.google.com/spreadsheets/d/1Jgv0Y7YlHDtsiDawwp-uvifEJ8HVaSn0k2aGHG8-hwM/edit?usp=sharing"",""เชียงใหม่!J643"")"),0)</f>
        <v>0</v>
      </c>
      <c r="Q16" s="82">
        <f t="shared" ca="1" si="22"/>
        <v>0</v>
      </c>
      <c r="R16" s="81">
        <f ca="1">IFERROR(__xludf.DUMMYFUNCTION("IMPORTRANGE(""https://docs.google.com/spreadsheets/d/1Jgv0Y7YlHDtsiDawwp-uvifEJ8HVaSn0k2aGHG8-hwM/edit?usp=sharing"",""เชียงใหม่!I644"")"),2)</f>
        <v>2</v>
      </c>
      <c r="S16" s="81">
        <f ca="1">IFERROR(__xludf.DUMMYFUNCTION("IMPORTRANGE(""https://docs.google.com/spreadsheets/d/1Jgv0Y7YlHDtsiDawwp-uvifEJ8HVaSn0k2aGHG8-hwM/edit?usp=sharing"",""เชียงใหม่!J644"")"),0)</f>
        <v>0</v>
      </c>
      <c r="T16" s="82">
        <f t="shared" ca="1" si="23"/>
        <v>0</v>
      </c>
      <c r="U16" s="81">
        <f ca="1">IFERROR(__xludf.DUMMYFUNCTION("IMPORTRANGE(""https://docs.google.com/spreadsheets/d/1Jgv0Y7YlHDtsiDawwp-uvifEJ8HVaSn0k2aGHG8-hwM/edit?usp=sharing"",""เชียงใหม่!J645"")"),0)</f>
        <v>0</v>
      </c>
      <c r="V16" s="276">
        <f ca="1">IFERROR(__xludf.DUMMYFUNCTION("IMPORTRANGE(""https://docs.google.com/spreadsheets/d/1Jgv0Y7YlHDtsiDawwp-uvifEJ8HVaSn0k2aGHG8-hwM/edit?usp=sharing"",""เชียงใหม่!J646"")"),0)</f>
        <v>0</v>
      </c>
      <c r="W16" s="81">
        <f ca="1">IFERROR(__xludf.DUMMYFUNCTION("IMPORTRANGE(""https://docs.google.com/spreadsheets/d/1Jgv0Y7YlHDtsiDawwp-uvifEJ8HVaSn0k2aGHG8-hwM/edit?usp=sharing"",""เชียงใหม่!I647"")"),21)</f>
        <v>21</v>
      </c>
      <c r="X16" s="81">
        <f ca="1">IFERROR(__xludf.DUMMYFUNCTION("IMPORTRANGE(""https://docs.google.com/spreadsheets/d/1Jgv0Y7YlHDtsiDawwp-uvifEJ8HVaSn0k2aGHG8-hwM/edit?usp=sharing"",""เชียงใหม่!J647"")"),0)</f>
        <v>0</v>
      </c>
      <c r="Y16" s="276">
        <f ca="1">IFERROR(__xludf.DUMMYFUNCTION("IMPORTRANGE(""https://docs.google.com/spreadsheets/d/1Jgv0Y7YlHDtsiDawwp-uvifEJ8HVaSn0k2aGHG8-hwM/edit?usp=sharing"",""เชียงใหม่!J648"")"),0)</f>
        <v>0</v>
      </c>
      <c r="Z16" s="82">
        <f t="shared" ca="1" si="24"/>
        <v>0</v>
      </c>
      <c r="AA16" s="234">
        <f ca="1">IFERROR(__xludf.DUMMYFUNCTION("IMPORTRANGE(""https://docs.google.com/spreadsheets/d/1Jgv0Y7YlHDtsiDawwp-uvifEJ8HVaSn0k2aGHG8-hwM/edit?usp=sharing"",""เชียงใหม่!I649"")"),21)</f>
        <v>21</v>
      </c>
      <c r="AB16" s="81">
        <f ca="1">IFERROR(__xludf.DUMMYFUNCTION("IMPORTRANGE(""https://docs.google.com/spreadsheets/d/1Jgv0Y7YlHDtsiDawwp-uvifEJ8HVaSn0k2aGHG8-hwM/edit?usp=sharing"",""เชียงใหม่!J649"")"),0)</f>
        <v>0</v>
      </c>
      <c r="AC16" s="276">
        <f ca="1">IFERROR(__xludf.DUMMYFUNCTION("IMPORTRANGE(""https://docs.google.com/spreadsheets/d/1Jgv0Y7YlHDtsiDawwp-uvifEJ8HVaSn0k2aGHG8-hwM/edit?usp=sharing"",""เชียงใหม่!J650"")"),0)</f>
        <v>0</v>
      </c>
      <c r="AD16" s="82">
        <f t="shared" ca="1" si="25"/>
        <v>0</v>
      </c>
      <c r="AE16" s="234">
        <f ca="1">IFERROR(__xludf.DUMMYFUNCTION("IMPORTRANGE(""https://docs.google.com/spreadsheets/d/1Jgv0Y7YlHDtsiDawwp-uvifEJ8HVaSn0k2aGHG8-hwM/edit?usp=sharing"",""เชียงใหม่!I651"")"),21)</f>
        <v>21</v>
      </c>
      <c r="AF16" s="81">
        <f ca="1">IFERROR(__xludf.DUMMYFUNCTION("IMPORTRANGE(""https://docs.google.com/spreadsheets/d/1Jgv0Y7YlHDtsiDawwp-uvifEJ8HVaSn0k2aGHG8-hwM/edit?usp=sharing"",""เชียงใหม่!J651"")"),0)</f>
        <v>0</v>
      </c>
      <c r="AG16" s="276">
        <f ca="1">IFERROR(__xludf.DUMMYFUNCTION("IMPORTRANGE(""https://docs.google.com/spreadsheets/d/1Jgv0Y7YlHDtsiDawwp-uvifEJ8HVaSn0k2aGHG8-hwM/edit?usp=sharing"",""เชียงใหม่!J652"")"),0)</f>
        <v>0</v>
      </c>
      <c r="AH16" s="82">
        <f t="shared" ca="1" si="26"/>
        <v>0</v>
      </c>
    </row>
    <row r="17" spans="1:34" ht="24" customHeight="1" x14ac:dyDescent="0.3">
      <c r="A17" s="72">
        <v>4</v>
      </c>
      <c r="B17" s="73" t="s">
        <v>34</v>
      </c>
      <c r="C17" s="74">
        <f t="shared" ca="1" si="35"/>
        <v>440980</v>
      </c>
      <c r="D17" s="75">
        <f ca="1">IFERROR(__xludf.DUMMYFUNCTION("IMPORTRANGE(""https://docs.google.com/spreadsheets/d/1JWG2rZePOz9pe-f-ObA-yDr0VoOX2kSb0qIix2mTUo8/edit?usp=sharing"",""ตาก!L634"")"),440980)</f>
        <v>440980</v>
      </c>
      <c r="E17" s="76">
        <f ca="1">IFERROR(__xludf.DUMMYFUNCTION("IMPORTRANGE(""https://docs.google.com/spreadsheets/d/1JWG2rZePOz9pe-f-ObA-yDr0VoOX2kSb0qIix2mTUo8/edit?usp=sharing"",""ตาก!L641"")"),0)</f>
        <v>0</v>
      </c>
      <c r="F17" s="77">
        <f t="shared" ca="1" si="1"/>
        <v>82740</v>
      </c>
      <c r="G17" s="78">
        <f t="shared" ca="1" si="2"/>
        <v>18.762755680529729</v>
      </c>
      <c r="H17" s="79">
        <f t="shared" ca="1" si="36"/>
        <v>82740</v>
      </c>
      <c r="I17" s="76">
        <f ca="1">IFERROR(__xludf.DUMMYFUNCTION("IMPORTRANGE(""https://docs.google.com/spreadsheets/d/1JWG2rZePOz9pe-f-ObA-yDr0VoOX2kSb0qIix2mTUo8/edit?usp=sharing"",""ตาก!N635"")"),0)</f>
        <v>0</v>
      </c>
      <c r="J17" s="76">
        <f ca="1">IFERROR(__xludf.DUMMYFUNCTION("IMPORTRANGE(""https://docs.google.com/spreadsheets/d/1JWG2rZePOz9pe-f-ObA-yDr0VoOX2kSb0qIix2mTUo8/edit?usp=sharing"",""ตาก!N636"")"),0)</f>
        <v>0</v>
      </c>
      <c r="K17" s="76">
        <f ca="1">IFERROR(__xludf.DUMMYFUNCTION("IMPORTRANGE(""https://docs.google.com/spreadsheets/d/1JWG2rZePOz9pe-f-ObA-yDr0VoOX2kSb0qIix2mTUo8/edit?usp=sharing"",""ตาก!N637"")"),39000)</f>
        <v>39000</v>
      </c>
      <c r="L17" s="76">
        <f ca="1">IFERROR(__xludf.DUMMYFUNCTION("IMPORTRANGE(""https://docs.google.com/spreadsheets/d/1JWG2rZePOz9pe-f-ObA-yDr0VoOX2kSb0qIix2mTUo8/edit?usp=sharing"",""ตาก!N638"")"),43740)</f>
        <v>43740</v>
      </c>
      <c r="M17" s="80">
        <f ca="1">IFERROR(__xludf.DUMMYFUNCTION("IMPORTRANGE(""https://docs.google.com/spreadsheets/d/1JWG2rZePOz9pe-f-ObA-yDr0VoOX2kSb0qIix2mTUo8/edit?usp=sharing"",""ตาก!N641"")"),0)</f>
        <v>0</v>
      </c>
      <c r="N17" s="80">
        <f t="shared" ca="1" si="29"/>
        <v>0</v>
      </c>
      <c r="O17" s="81">
        <f ca="1">IFERROR(__xludf.DUMMYFUNCTION("IMPORTRANGE(""https://docs.google.com/spreadsheets/d/1JWG2rZePOz9pe-f-ObA-yDr0VoOX2kSb0qIix2mTUo8/edit?usp=sharing"",""ตาก!I643"")"),0)</f>
        <v>0</v>
      </c>
      <c r="P17" s="81">
        <f ca="1">IFERROR(__xludf.DUMMYFUNCTION("IMPORTRANGE(""https://docs.google.com/spreadsheets/d/1JWG2rZePOz9pe-f-ObA-yDr0VoOX2kSb0qIix2mTUo8/edit?usp=sharing"",""ตาก!J643"")"),0)</f>
        <v>0</v>
      </c>
      <c r="Q17" s="82">
        <f t="shared" ca="1" si="22"/>
        <v>0</v>
      </c>
      <c r="R17" s="81">
        <f ca="1">IFERROR(__xludf.DUMMYFUNCTION("IMPORTRANGE(""https://docs.google.com/spreadsheets/d/1JWG2rZePOz9pe-f-ObA-yDr0VoOX2kSb0qIix2mTUo8/edit?usp=sharing"",""ตาก!I644"")"),0)</f>
        <v>0</v>
      </c>
      <c r="S17" s="81">
        <f ca="1">IFERROR(__xludf.DUMMYFUNCTION("IMPORTRANGE(""https://docs.google.com/spreadsheets/d/1JWG2rZePOz9pe-f-ObA-yDr0VoOX2kSb0qIix2mTUo8/edit?usp=sharing"",""ตาก!J644"")"),0)</f>
        <v>0</v>
      </c>
      <c r="T17" s="82">
        <f t="shared" ca="1" si="23"/>
        <v>0</v>
      </c>
      <c r="U17" s="81">
        <f ca="1">IFERROR(__xludf.DUMMYFUNCTION("IMPORTRANGE(""https://docs.google.com/spreadsheets/d/1JWG2rZePOz9pe-f-ObA-yDr0VoOX2kSb0qIix2mTUo8/edit?usp=sharing"",""ตาก!J645"")"),46)</f>
        <v>46</v>
      </c>
      <c r="V17" s="276">
        <f ca="1">IFERROR(__xludf.DUMMYFUNCTION("IMPORTRANGE(""https://docs.google.com/spreadsheets/d/1JWG2rZePOz9pe-f-ObA-yDr0VoOX2kSb0qIix2mTUo8/edit?usp=sharing"",""ตาก!J646"")"),23.06)</f>
        <v>23.06</v>
      </c>
      <c r="W17" s="81">
        <f ca="1">IFERROR(__xludf.DUMMYFUNCTION("IMPORTRANGE(""https://docs.google.com/spreadsheets/d/1JWG2rZePOz9pe-f-ObA-yDr0VoOX2kSb0qIix2mTUo8/edit?usp=sharing"",""ตาก!I647"")"),250)</f>
        <v>250</v>
      </c>
      <c r="X17" s="81">
        <f ca="1">IFERROR(__xludf.DUMMYFUNCTION("IMPORTRANGE(""https://docs.google.com/spreadsheets/d/1JWG2rZePOz9pe-f-ObA-yDr0VoOX2kSb0qIix2mTUo8/edit?usp=sharing"",""ตาก!J647"")"),7)</f>
        <v>7</v>
      </c>
      <c r="Y17" s="276">
        <f ca="1">IFERROR(__xludf.DUMMYFUNCTION("IMPORTRANGE(""https://docs.google.com/spreadsheets/d/1JWG2rZePOz9pe-f-ObA-yDr0VoOX2kSb0qIix2mTUo8/edit?usp=sharing"",""ตาก!J648"")"),4.57)</f>
        <v>4.57</v>
      </c>
      <c r="Z17" s="82">
        <f t="shared" ca="1" si="24"/>
        <v>2.8</v>
      </c>
      <c r="AA17" s="234">
        <f ca="1">IFERROR(__xludf.DUMMYFUNCTION("IMPORTRANGE(""https://docs.google.com/spreadsheets/d/1JWG2rZePOz9pe-f-ObA-yDr0VoOX2kSb0qIix2mTUo8/edit?usp=sharing"",""ตาก!I649"")"),250)</f>
        <v>250</v>
      </c>
      <c r="AB17" s="81">
        <f ca="1">IFERROR(__xludf.DUMMYFUNCTION("IMPORTRANGE(""https://docs.google.com/spreadsheets/d/1JWG2rZePOz9pe-f-ObA-yDr0VoOX2kSb0qIix2mTUo8/edit?usp=sharing"",""ตาก!J649"")"),0)</f>
        <v>0</v>
      </c>
      <c r="AC17" s="276">
        <f ca="1">IFERROR(__xludf.DUMMYFUNCTION("IMPORTRANGE(""https://docs.google.com/spreadsheets/d/1JWG2rZePOz9pe-f-ObA-yDr0VoOX2kSb0qIix2mTUo8/edit?usp=sharing"",""ตาก!J650"")"),0)</f>
        <v>0</v>
      </c>
      <c r="AD17" s="82">
        <f t="shared" ca="1" si="25"/>
        <v>0</v>
      </c>
      <c r="AE17" s="234">
        <f ca="1">IFERROR(__xludf.DUMMYFUNCTION("IMPORTRANGE(""https://docs.google.com/spreadsheets/d/1JWG2rZePOz9pe-f-ObA-yDr0VoOX2kSb0qIix2mTUo8/edit?usp=sharing"",""ตาก!I651"")"),250)</f>
        <v>250</v>
      </c>
      <c r="AF17" s="81">
        <f ca="1">IFERROR(__xludf.DUMMYFUNCTION("IMPORTRANGE(""https://docs.google.com/spreadsheets/d/1JWG2rZePOz9pe-f-ObA-yDr0VoOX2kSb0qIix2mTUo8/edit?usp=sharing"",""ตาก!J651"")"),0)</f>
        <v>0</v>
      </c>
      <c r="AG17" s="276">
        <f ca="1">IFERROR(__xludf.DUMMYFUNCTION("IMPORTRANGE(""https://docs.google.com/spreadsheets/d/1JWG2rZePOz9pe-f-ObA-yDr0VoOX2kSb0qIix2mTUo8/edit?usp=sharing"",""ตาก!J652"")"),0)</f>
        <v>0</v>
      </c>
      <c r="AH17" s="82">
        <f t="shared" ca="1" si="26"/>
        <v>0</v>
      </c>
    </row>
    <row r="18" spans="1:34" ht="24" customHeight="1" x14ac:dyDescent="0.3">
      <c r="A18" s="72">
        <v>5</v>
      </c>
      <c r="B18" s="73" t="s">
        <v>35</v>
      </c>
      <c r="C18" s="74">
        <f t="shared" ca="1" si="35"/>
        <v>1015785</v>
      </c>
      <c r="D18" s="75">
        <f ca="1">IFERROR(__xludf.DUMMYFUNCTION("IMPORTRANGE(""https://docs.google.com/spreadsheets/d/10nSRjK08hx8Y6HgSOQKNw81lyY46Zc7U_Cj72hBMp9U/edit?usp=sharing"",""นครสวรรค์!L634"")"),1015785)</f>
        <v>1015785</v>
      </c>
      <c r="E18" s="76">
        <f ca="1">IFERROR(__xludf.DUMMYFUNCTION("IMPORTRANGE(""https://docs.google.com/spreadsheets/d/10nSRjK08hx8Y6HgSOQKNw81lyY46Zc7U_Cj72hBMp9U/edit?usp=sharing"",""นครสวรรค์!L641"")"),0)</f>
        <v>0</v>
      </c>
      <c r="F18" s="77">
        <f t="shared" ca="1" si="1"/>
        <v>58921.7</v>
      </c>
      <c r="G18" s="78">
        <f t="shared" ca="1" si="2"/>
        <v>5.8006074120015558</v>
      </c>
      <c r="H18" s="79">
        <f t="shared" ca="1" si="36"/>
        <v>58921.7</v>
      </c>
      <c r="I18" s="76">
        <f ca="1">IFERROR(__xludf.DUMMYFUNCTION("IMPORTRANGE(""https://docs.google.com/spreadsheets/d/10nSRjK08hx8Y6HgSOQKNw81lyY46Zc7U_Cj72hBMp9U/edit?usp=sharing"",""นครสวรรค์!N635"")"),0)</f>
        <v>0</v>
      </c>
      <c r="J18" s="76">
        <f ca="1">IFERROR(__xludf.DUMMYFUNCTION("IMPORTRANGE(""https://docs.google.com/spreadsheets/d/10nSRjK08hx8Y6HgSOQKNw81lyY46Zc7U_Cj72hBMp9U/edit?usp=sharing"",""นครสวรรค์!N636"")"),0)</f>
        <v>0</v>
      </c>
      <c r="K18" s="76">
        <f ca="1">IFERROR(__xludf.DUMMYFUNCTION("IMPORTRANGE(""https://docs.google.com/spreadsheets/d/10nSRjK08hx8Y6HgSOQKNw81lyY46Zc7U_Cj72hBMp9U/edit?usp=sharing"",""นครสวรรค์!N637"")"),0)</f>
        <v>0</v>
      </c>
      <c r="L18" s="76">
        <f ca="1">IFERROR(__xludf.DUMMYFUNCTION("IMPORTRANGE(""https://docs.google.com/spreadsheets/d/10nSRjK08hx8Y6HgSOQKNw81lyY46Zc7U_Cj72hBMp9U/edit?usp=sharing"",""นครสวรรค์!N638"")"),58921.7)</f>
        <v>58921.7</v>
      </c>
      <c r="M18" s="80">
        <f ca="1">IFERROR(__xludf.DUMMYFUNCTION("IMPORTRANGE(""https://docs.google.com/spreadsheets/d/10nSRjK08hx8Y6HgSOQKNw81lyY46Zc7U_Cj72hBMp9U/edit?usp=sharing"",""นครสวรรค์!N641"")"),0)</f>
        <v>0</v>
      </c>
      <c r="N18" s="80">
        <f t="shared" ca="1" si="29"/>
        <v>0</v>
      </c>
      <c r="O18" s="81">
        <f ca="1">IFERROR(__xludf.DUMMYFUNCTION("IMPORTRANGE(""https://docs.google.com/spreadsheets/d/10nSRjK08hx8Y6HgSOQKNw81lyY46Zc7U_Cj72hBMp9U/edit?usp=sharing"",""นครสวรรค์!I643"")"),9)</f>
        <v>9</v>
      </c>
      <c r="P18" s="81">
        <f ca="1">IFERROR(__xludf.DUMMYFUNCTION("IMPORTRANGE(""https://docs.google.com/spreadsheets/d/10nSRjK08hx8Y6HgSOQKNw81lyY46Zc7U_Cj72hBMp9U/edit?usp=sharing"",""นครสวรรค์!J643"")"),0)</f>
        <v>0</v>
      </c>
      <c r="Q18" s="82">
        <f t="shared" ca="1" si="22"/>
        <v>0</v>
      </c>
      <c r="R18" s="81">
        <f ca="1">IFERROR(__xludf.DUMMYFUNCTION("IMPORTRANGE(""https://docs.google.com/spreadsheets/d/10nSRjK08hx8Y6HgSOQKNw81lyY46Zc7U_Cj72hBMp9U/edit?usp=sharing"",""นครสวรรค์!I644"")"),9)</f>
        <v>9</v>
      </c>
      <c r="S18" s="81">
        <f ca="1">IFERROR(__xludf.DUMMYFUNCTION("IMPORTRANGE(""https://docs.google.com/spreadsheets/d/10nSRjK08hx8Y6HgSOQKNw81lyY46Zc7U_Cj72hBMp9U/edit?usp=sharing"",""นครสวรรค์!J644"")"),0)</f>
        <v>0</v>
      </c>
      <c r="T18" s="82">
        <f t="shared" ca="1" si="23"/>
        <v>0</v>
      </c>
      <c r="U18" s="81">
        <f ca="1">IFERROR(__xludf.DUMMYFUNCTION("IMPORTRANGE(""https://docs.google.com/spreadsheets/d/10nSRjK08hx8Y6HgSOQKNw81lyY46Zc7U_Cj72hBMp9U/edit?usp=sharing"",""นครสวรรค์!J645"")"),138)</f>
        <v>138</v>
      </c>
      <c r="V18" s="276">
        <f ca="1">IFERROR(__xludf.DUMMYFUNCTION("IMPORTRANGE(""https://docs.google.com/spreadsheets/d/10nSRjK08hx8Y6HgSOQKNw81lyY46Zc7U_Cj72hBMp9U/edit?usp=sharing"",""นครสวรรค์!J646"")"),62.17)</f>
        <v>62.17</v>
      </c>
      <c r="W18" s="81">
        <f ca="1">IFERROR(__xludf.DUMMYFUNCTION("IMPORTRANGE(""https://docs.google.com/spreadsheets/d/10nSRjK08hx8Y6HgSOQKNw81lyY46Zc7U_Cj72hBMp9U/edit?usp=sharing"",""นครสวรรค์!I647"")"),715)</f>
        <v>715</v>
      </c>
      <c r="X18" s="81">
        <f ca="1">IFERROR(__xludf.DUMMYFUNCTION("IMPORTRANGE(""https://docs.google.com/spreadsheets/d/10nSRjK08hx8Y6HgSOQKNw81lyY46Zc7U_Cj72hBMp9U/edit?usp=sharing"",""นครสวรรค์!J647"")"),0)</f>
        <v>0</v>
      </c>
      <c r="Y18" s="276">
        <f ca="1">IFERROR(__xludf.DUMMYFUNCTION("IMPORTRANGE(""https://docs.google.com/spreadsheets/d/10nSRjK08hx8Y6HgSOQKNw81lyY46Zc7U_Cj72hBMp9U/edit?usp=sharing"",""นครสวรรค์!J648"")"),0)</f>
        <v>0</v>
      </c>
      <c r="Z18" s="82">
        <f t="shared" ca="1" si="24"/>
        <v>0</v>
      </c>
      <c r="AA18" s="234">
        <f ca="1">IFERROR(__xludf.DUMMYFUNCTION("IMPORTRANGE(""https://docs.google.com/spreadsheets/d/10nSRjK08hx8Y6HgSOQKNw81lyY46Zc7U_Cj72hBMp9U/edit?usp=sharing"",""นครสวรรค์!I649"")"),715)</f>
        <v>715</v>
      </c>
      <c r="AB18" s="81">
        <f ca="1">IFERROR(__xludf.DUMMYFUNCTION("IMPORTRANGE(""https://docs.google.com/spreadsheets/d/10nSRjK08hx8Y6HgSOQKNw81lyY46Zc7U_Cj72hBMp9U/edit?usp=sharing"",""นครสวรรค์!J649"")"),0)</f>
        <v>0</v>
      </c>
      <c r="AC18" s="276">
        <f ca="1">IFERROR(__xludf.DUMMYFUNCTION("IMPORTRANGE(""https://docs.google.com/spreadsheets/d/10nSRjK08hx8Y6HgSOQKNw81lyY46Zc7U_Cj72hBMp9U/edit?usp=sharing"",""นครสวรรค์!J650"")"),0)</f>
        <v>0</v>
      </c>
      <c r="AD18" s="82">
        <f t="shared" ca="1" si="25"/>
        <v>0</v>
      </c>
      <c r="AE18" s="234">
        <f ca="1">IFERROR(__xludf.DUMMYFUNCTION("IMPORTRANGE(""https://docs.google.com/spreadsheets/d/10nSRjK08hx8Y6HgSOQKNw81lyY46Zc7U_Cj72hBMp9U/edit?usp=sharing"",""นครสวรรค์!I651"")"),715)</f>
        <v>715</v>
      </c>
      <c r="AF18" s="81">
        <f ca="1">IFERROR(__xludf.DUMMYFUNCTION("IMPORTRANGE(""https://docs.google.com/spreadsheets/d/10nSRjK08hx8Y6HgSOQKNw81lyY46Zc7U_Cj72hBMp9U/edit?usp=sharing"",""นครสวรรค์!J651"")"),0)</f>
        <v>0</v>
      </c>
      <c r="AG18" s="276">
        <f ca="1">IFERROR(__xludf.DUMMYFUNCTION("IMPORTRANGE(""https://docs.google.com/spreadsheets/d/10nSRjK08hx8Y6HgSOQKNw81lyY46Zc7U_Cj72hBMp9U/edit?usp=sharing"",""นครสวรรค์!J652"")"),0)</f>
        <v>0</v>
      </c>
      <c r="AH18" s="82">
        <f t="shared" ca="1" si="26"/>
        <v>0</v>
      </c>
    </row>
    <row r="19" spans="1:34" ht="24" customHeight="1" x14ac:dyDescent="0.3">
      <c r="A19" s="72">
        <v>6</v>
      </c>
      <c r="B19" s="73" t="s">
        <v>36</v>
      </c>
      <c r="C19" s="74">
        <f t="shared" ca="1" si="35"/>
        <v>374345</v>
      </c>
      <c r="D19" s="75">
        <f ca="1">IFERROR(__xludf.DUMMYFUNCTION("IMPORTRANGE(""https://docs.google.com/spreadsheets/d/1gFVb7qd7amutrIxAAoM7lcy35hllxznovot8lyOfvDo/edit?usp=sharing"",""น่าน!L634"")"),374345)</f>
        <v>374345</v>
      </c>
      <c r="E19" s="76">
        <f ca="1">IFERROR(__xludf.DUMMYFUNCTION("IMPORTRANGE(""https://docs.google.com/spreadsheets/d/1gFVb7qd7amutrIxAAoM7lcy35hllxznovot8lyOfvDo/edit?usp=sharing"",""น่าน!L641"")"),0)</f>
        <v>0</v>
      </c>
      <c r="F19" s="77">
        <f t="shared" ca="1" si="1"/>
        <v>58960</v>
      </c>
      <c r="G19" s="78">
        <f t="shared" ca="1" si="2"/>
        <v>15.75017697578437</v>
      </c>
      <c r="H19" s="79">
        <f t="shared" ca="1" si="36"/>
        <v>58960</v>
      </c>
      <c r="I19" s="76">
        <f ca="1">IFERROR(__xludf.DUMMYFUNCTION("IMPORTRANGE(""https://docs.google.com/spreadsheets/d/1gFVb7qd7amutrIxAAoM7lcy35hllxznovot8lyOfvDo/edit?usp=sharing"",""น่าน!N635"")"),0)</f>
        <v>0</v>
      </c>
      <c r="J19" s="76">
        <f ca="1">IFERROR(__xludf.DUMMYFUNCTION("IMPORTRANGE(""https://docs.google.com/spreadsheets/d/1gFVb7qd7amutrIxAAoM7lcy35hllxznovot8lyOfvDo/edit?usp=sharing"",""น่าน!N636"")"),0)</f>
        <v>0</v>
      </c>
      <c r="K19" s="76">
        <f ca="1">IFERROR(__xludf.DUMMYFUNCTION("IMPORTRANGE(""https://docs.google.com/spreadsheets/d/1gFVb7qd7amutrIxAAoM7lcy35hllxznovot8lyOfvDo/edit?usp=sharing"",""น่าน!N637"")"),52000)</f>
        <v>52000</v>
      </c>
      <c r="L19" s="76">
        <f ca="1">IFERROR(__xludf.DUMMYFUNCTION("IMPORTRANGE(""https://docs.google.com/spreadsheets/d/1gFVb7qd7amutrIxAAoM7lcy35hllxznovot8lyOfvDo/edit?usp=sharing"",""น่าน!N638"")"),6960)</f>
        <v>6960</v>
      </c>
      <c r="M19" s="80">
        <f ca="1">IFERROR(__xludf.DUMMYFUNCTION("IMPORTRANGE(""https://docs.google.com/spreadsheets/d/1gFVb7qd7amutrIxAAoM7lcy35hllxznovot8lyOfvDo/edit?usp=sharing"",""น่าน!N641"")"),0)</f>
        <v>0</v>
      </c>
      <c r="N19" s="80">
        <f t="shared" ca="1" si="29"/>
        <v>0</v>
      </c>
      <c r="O19" s="81">
        <f ca="1">IFERROR(__xludf.DUMMYFUNCTION("IMPORTRANGE(""https://docs.google.com/spreadsheets/d/1gFVb7qd7amutrIxAAoM7lcy35hllxznovot8lyOfvDo/edit?usp=sharing"",""น่าน!I643"")"),1)</f>
        <v>1</v>
      </c>
      <c r="P19" s="81">
        <f ca="1">IFERROR(__xludf.DUMMYFUNCTION("IMPORTRANGE(""https://docs.google.com/spreadsheets/d/1gFVb7qd7amutrIxAAoM7lcy35hllxznovot8lyOfvDo/edit?usp=sharing"",""น่าน!J643"")"),0)</f>
        <v>0</v>
      </c>
      <c r="Q19" s="82">
        <f t="shared" ca="1" si="22"/>
        <v>0</v>
      </c>
      <c r="R19" s="81">
        <f ca="1">IFERROR(__xludf.DUMMYFUNCTION("IMPORTRANGE(""https://docs.google.com/spreadsheets/d/1gFVb7qd7amutrIxAAoM7lcy35hllxznovot8lyOfvDo/edit?usp=sharing"",""น่าน!I644"")"),1)</f>
        <v>1</v>
      </c>
      <c r="S19" s="81">
        <f ca="1">IFERROR(__xludf.DUMMYFUNCTION("IMPORTRANGE(""https://docs.google.com/spreadsheets/d/1gFVb7qd7amutrIxAAoM7lcy35hllxznovot8lyOfvDo/edit?usp=sharing"",""น่าน!J644"")"),0)</f>
        <v>0</v>
      </c>
      <c r="T19" s="82">
        <f t="shared" ca="1" si="23"/>
        <v>0</v>
      </c>
      <c r="U19" s="81">
        <f ca="1">IFERROR(__xludf.DUMMYFUNCTION("IMPORTRANGE(""https://docs.google.com/spreadsheets/d/1gFVb7qd7amutrIxAAoM7lcy35hllxznovot8lyOfvDo/edit?usp=sharing"",""น่าน!J645"")"),17)</f>
        <v>17</v>
      </c>
      <c r="V19" s="276">
        <f ca="1">IFERROR(__xludf.DUMMYFUNCTION("IMPORTRANGE(""https://docs.google.com/spreadsheets/d/1gFVb7qd7amutrIxAAoM7lcy35hllxznovot8lyOfvDo/edit?usp=sharing"",""น่าน!J646"")"),3.87)</f>
        <v>3.87</v>
      </c>
      <c r="W19" s="81">
        <f ca="1">IFERROR(__xludf.DUMMYFUNCTION("IMPORTRANGE(""https://docs.google.com/spreadsheets/d/1gFVb7qd7amutrIxAAoM7lcy35hllxznovot8lyOfvDo/edit?usp=sharing"",""น่าน!I647"")"),70)</f>
        <v>70</v>
      </c>
      <c r="X19" s="81">
        <f ca="1">IFERROR(__xludf.DUMMYFUNCTION("IMPORTRANGE(""https://docs.google.com/spreadsheets/d/1gFVb7qd7amutrIxAAoM7lcy35hllxznovot8lyOfvDo/edit?usp=sharing"",""น่าน!J647"")"),16)</f>
        <v>16</v>
      </c>
      <c r="Y19" s="276">
        <f ca="1">IFERROR(__xludf.DUMMYFUNCTION("IMPORTRANGE(""https://docs.google.com/spreadsheets/d/1gFVb7qd7amutrIxAAoM7lcy35hllxznovot8lyOfvDo/edit?usp=sharing"",""น่าน!J648"")"),3.82)</f>
        <v>3.82</v>
      </c>
      <c r="Z19" s="82">
        <f t="shared" ca="1" si="24"/>
        <v>22.857142857142858</v>
      </c>
      <c r="AA19" s="234">
        <f ca="1">IFERROR(__xludf.DUMMYFUNCTION("IMPORTRANGE(""https://docs.google.com/spreadsheets/d/1gFVb7qd7amutrIxAAoM7lcy35hllxznovot8lyOfvDo/edit?usp=sharing"",""น่าน!I649"")"),70)</f>
        <v>70</v>
      </c>
      <c r="AB19" s="81">
        <f ca="1">IFERROR(__xludf.DUMMYFUNCTION("IMPORTRANGE(""https://docs.google.com/spreadsheets/d/1gFVb7qd7amutrIxAAoM7lcy35hllxznovot8lyOfvDo/edit?usp=sharing"",""น่าน!J649"")"),0)</f>
        <v>0</v>
      </c>
      <c r="AC19" s="276">
        <f ca="1">IFERROR(__xludf.DUMMYFUNCTION("IMPORTRANGE(""https://docs.google.com/spreadsheets/d/1gFVb7qd7amutrIxAAoM7lcy35hllxznovot8lyOfvDo/edit?usp=sharing"",""น่าน!J650"")"),0)</f>
        <v>0</v>
      </c>
      <c r="AD19" s="82">
        <f t="shared" ca="1" si="25"/>
        <v>0</v>
      </c>
      <c r="AE19" s="234">
        <f ca="1">IFERROR(__xludf.DUMMYFUNCTION("IMPORTRANGE(""https://docs.google.com/spreadsheets/d/1gFVb7qd7amutrIxAAoM7lcy35hllxznovot8lyOfvDo/edit?usp=sharing"",""น่าน!I651"")"),70)</f>
        <v>70</v>
      </c>
      <c r="AF19" s="81">
        <f ca="1">IFERROR(__xludf.DUMMYFUNCTION("IMPORTRANGE(""https://docs.google.com/spreadsheets/d/1gFVb7qd7amutrIxAAoM7lcy35hllxznovot8lyOfvDo/edit?usp=sharing"",""น่าน!J651"")"),0)</f>
        <v>0</v>
      </c>
      <c r="AG19" s="276">
        <f ca="1">IFERROR(__xludf.DUMMYFUNCTION("IMPORTRANGE(""https://docs.google.com/spreadsheets/d/1gFVb7qd7amutrIxAAoM7lcy35hllxznovot8lyOfvDo/edit?usp=sharing"",""น่าน!J652"")"),0)</f>
        <v>0</v>
      </c>
      <c r="AH19" s="82">
        <f t="shared" ca="1" si="26"/>
        <v>0</v>
      </c>
    </row>
    <row r="20" spans="1:34" ht="24" customHeight="1" x14ac:dyDescent="0.3">
      <c r="A20" s="72">
        <v>7</v>
      </c>
      <c r="B20" s="73" t="s">
        <v>37</v>
      </c>
      <c r="C20" s="74">
        <f t="shared" ca="1" si="35"/>
        <v>336260</v>
      </c>
      <c r="D20" s="75">
        <f ca="1">IFERROR(__xludf.DUMMYFUNCTION("IMPORTRANGE(""https://docs.google.com/spreadsheets/d/1K0Aa9s-6EuHE5M0FG1F9aHLXRCOV917xvycTdLdct0w/edit?usp=sharing"",""พะเยา!L634"")"),336260)</f>
        <v>336260</v>
      </c>
      <c r="E20" s="76">
        <f ca="1">IFERROR(__xludf.DUMMYFUNCTION("IMPORTRANGE(""https://docs.google.com/spreadsheets/d/1K0Aa9s-6EuHE5M0FG1F9aHLXRCOV917xvycTdLdct0w/edit?usp=sharing"",""พะเยา!L641"")"),0)</f>
        <v>0</v>
      </c>
      <c r="F20" s="77">
        <f t="shared" ca="1" si="1"/>
        <v>110720</v>
      </c>
      <c r="G20" s="78">
        <f t="shared" ca="1" si="2"/>
        <v>32.926901802176886</v>
      </c>
      <c r="H20" s="79">
        <f t="shared" ca="1" si="36"/>
        <v>110720</v>
      </c>
      <c r="I20" s="76">
        <f ca="1">IFERROR(__xludf.DUMMYFUNCTION("IMPORTRANGE(""https://docs.google.com/spreadsheets/d/1K0Aa9s-6EuHE5M0FG1F9aHLXRCOV917xvycTdLdct0w/edit?usp=sharing"",""พะเยา!N635"")"),0)</f>
        <v>0</v>
      </c>
      <c r="J20" s="76">
        <f ca="1">IFERROR(__xludf.DUMMYFUNCTION("IMPORTRANGE(""https://docs.google.com/spreadsheets/d/1K0Aa9s-6EuHE5M0FG1F9aHLXRCOV917xvycTdLdct0w/edit?usp=sharing"",""พะเยา!N636"")"),0)</f>
        <v>0</v>
      </c>
      <c r="K20" s="76">
        <f ca="1">IFERROR(__xludf.DUMMYFUNCTION("IMPORTRANGE(""https://docs.google.com/spreadsheets/d/1K0Aa9s-6EuHE5M0FG1F9aHLXRCOV917xvycTdLdct0w/edit?usp=sharing"",""พะเยา!N637"")"),39000)</f>
        <v>39000</v>
      </c>
      <c r="L20" s="76">
        <f ca="1">IFERROR(__xludf.DUMMYFUNCTION("IMPORTRANGE(""https://docs.google.com/spreadsheets/d/1K0Aa9s-6EuHE5M0FG1F9aHLXRCOV917xvycTdLdct0w/edit?usp=sharing"",""พะเยา!N638"")"),71720)</f>
        <v>71720</v>
      </c>
      <c r="M20" s="80">
        <f ca="1">IFERROR(__xludf.DUMMYFUNCTION("IMPORTRANGE(""https://docs.google.com/spreadsheets/d/1K0Aa9s-6EuHE5M0FG1F9aHLXRCOV917xvycTdLdct0w/edit?usp=sharing"",""พะเยา!N641"")"),0)</f>
        <v>0</v>
      </c>
      <c r="N20" s="80">
        <f t="shared" ca="1" si="29"/>
        <v>0</v>
      </c>
      <c r="O20" s="81">
        <f ca="1">IFERROR(__xludf.DUMMYFUNCTION("IMPORTRANGE(""https://docs.google.com/spreadsheets/d/1K0Aa9s-6EuHE5M0FG1F9aHLXRCOV917xvycTdLdct0w/edit?usp=sharing"",""พะเยา!I643"")"),0)</f>
        <v>0</v>
      </c>
      <c r="P20" s="81">
        <f ca="1">IFERROR(__xludf.DUMMYFUNCTION("IMPORTRANGE(""https://docs.google.com/spreadsheets/d/1K0Aa9s-6EuHE5M0FG1F9aHLXRCOV917xvycTdLdct0w/edit?usp=sharing"",""พะเยา!J643"")"),0)</f>
        <v>0</v>
      </c>
      <c r="Q20" s="82">
        <f t="shared" ca="1" si="22"/>
        <v>0</v>
      </c>
      <c r="R20" s="81">
        <f ca="1">IFERROR(__xludf.DUMMYFUNCTION("IMPORTRANGE(""https://docs.google.com/spreadsheets/d/1K0Aa9s-6EuHE5M0FG1F9aHLXRCOV917xvycTdLdct0w/edit?usp=sharing"",""พะเยา!I644"")"),0)</f>
        <v>0</v>
      </c>
      <c r="S20" s="81">
        <f ca="1">IFERROR(__xludf.DUMMYFUNCTION("IMPORTRANGE(""https://docs.google.com/spreadsheets/d/1K0Aa9s-6EuHE5M0FG1F9aHLXRCOV917xvycTdLdct0w/edit?usp=sharing"",""พะเยา!J644"")"),0)</f>
        <v>0</v>
      </c>
      <c r="T20" s="82">
        <f t="shared" ca="1" si="23"/>
        <v>0</v>
      </c>
      <c r="U20" s="81">
        <f ca="1">IFERROR(__xludf.DUMMYFUNCTION("IMPORTRANGE(""https://docs.google.com/spreadsheets/d/1K0Aa9s-6EuHE5M0FG1F9aHLXRCOV917xvycTdLdct0w/edit?usp=sharing"",""พะเยา!J645"")"),117)</f>
        <v>117</v>
      </c>
      <c r="V20" s="276">
        <f ca="1">IFERROR(__xludf.DUMMYFUNCTION("IMPORTRANGE(""https://docs.google.com/spreadsheets/d/1K0Aa9s-6EuHE5M0FG1F9aHLXRCOV917xvycTdLdct0w/edit?usp=sharing"",""พะเยา!J646"")"),60)</f>
        <v>60</v>
      </c>
      <c r="W20" s="81">
        <f ca="1">IFERROR(__xludf.DUMMYFUNCTION("IMPORTRANGE(""https://docs.google.com/spreadsheets/d/1K0Aa9s-6EuHE5M0FG1F9aHLXRCOV917xvycTdLdct0w/edit?usp=sharing"",""พะเยา!I647"")"),60)</f>
        <v>60</v>
      </c>
      <c r="X20" s="81">
        <f ca="1">IFERROR(__xludf.DUMMYFUNCTION("IMPORTRANGE(""https://docs.google.com/spreadsheets/d/1K0Aa9s-6EuHE5M0FG1F9aHLXRCOV917xvycTdLdct0w/edit?usp=sharing"",""พะเยา!J647"")"),66)</f>
        <v>66</v>
      </c>
      <c r="Y20" s="276">
        <f ca="1">IFERROR(__xludf.DUMMYFUNCTION("IMPORTRANGE(""https://docs.google.com/spreadsheets/d/1K0Aa9s-6EuHE5M0FG1F9aHLXRCOV917xvycTdLdct0w/edit?usp=sharing"",""พะเยา!J648"")"),35.27)</f>
        <v>35.270000000000003</v>
      </c>
      <c r="Z20" s="82">
        <f t="shared" ca="1" si="24"/>
        <v>110</v>
      </c>
      <c r="AA20" s="234">
        <f ca="1">IFERROR(__xludf.DUMMYFUNCTION("IMPORTRANGE(""https://docs.google.com/spreadsheets/d/1K0Aa9s-6EuHE5M0FG1F9aHLXRCOV917xvycTdLdct0w/edit?usp=sharing"",""พะเยา!I649"")"),60)</f>
        <v>60</v>
      </c>
      <c r="AB20" s="81">
        <f ca="1">IFERROR(__xludf.DUMMYFUNCTION("IMPORTRANGE(""https://docs.google.com/spreadsheets/d/1K0Aa9s-6EuHE5M0FG1F9aHLXRCOV917xvycTdLdct0w/edit?usp=sharing"",""พะเยา!J649"")"),3)</f>
        <v>3</v>
      </c>
      <c r="AC20" s="276">
        <f ca="1">IFERROR(__xludf.DUMMYFUNCTION("IMPORTRANGE(""https://docs.google.com/spreadsheets/d/1K0Aa9s-6EuHE5M0FG1F9aHLXRCOV917xvycTdLdct0w/edit?usp=sharing"",""พะเยา!J650"")"),5.74)</f>
        <v>5.74</v>
      </c>
      <c r="AD20" s="82">
        <f t="shared" ca="1" si="25"/>
        <v>5</v>
      </c>
      <c r="AE20" s="234">
        <f ca="1">IFERROR(__xludf.DUMMYFUNCTION("IMPORTRANGE(""https://docs.google.com/spreadsheets/d/1K0Aa9s-6EuHE5M0FG1F9aHLXRCOV917xvycTdLdct0w/edit?usp=sharing"",""พะเยา!I651"")"),60)</f>
        <v>60</v>
      </c>
      <c r="AF20" s="81">
        <f ca="1">IFERROR(__xludf.DUMMYFUNCTION("IMPORTRANGE(""https://docs.google.com/spreadsheets/d/1K0Aa9s-6EuHE5M0FG1F9aHLXRCOV917xvycTdLdct0w/edit?usp=sharing"",""พะเยา!J651"")"),0)</f>
        <v>0</v>
      </c>
      <c r="AG20" s="276">
        <f ca="1">IFERROR(__xludf.DUMMYFUNCTION("IMPORTRANGE(""https://docs.google.com/spreadsheets/d/1K0Aa9s-6EuHE5M0FG1F9aHLXRCOV917xvycTdLdct0w/edit?usp=sharing"",""พะเยา!J652"")"),0)</f>
        <v>0</v>
      </c>
      <c r="AH20" s="82">
        <f t="shared" ca="1" si="26"/>
        <v>0</v>
      </c>
    </row>
    <row r="21" spans="1:34" ht="24" customHeight="1" x14ac:dyDescent="0.3">
      <c r="A21" s="72">
        <v>8</v>
      </c>
      <c r="B21" s="73" t="s">
        <v>38</v>
      </c>
      <c r="C21" s="74">
        <f t="shared" ca="1" si="35"/>
        <v>342855</v>
      </c>
      <c r="D21" s="75">
        <f ca="1">IFERROR(__xludf.DUMMYFUNCTION("IMPORTRANGE(""https://docs.google.com/spreadsheets/d/1Y9LPKx95PyL5OKy09d-KbKJSuuEZCFdkhYjwC0XQjBA/edit?usp=sharing"",""พิจิตร!L634"")"),342855)</f>
        <v>342855</v>
      </c>
      <c r="E21" s="76">
        <f ca="1">IFERROR(__xludf.DUMMYFUNCTION("IMPORTRANGE(""https://docs.google.com/spreadsheets/d/1Y9LPKx95PyL5OKy09d-KbKJSuuEZCFdkhYjwC0XQjBA/edit?usp=sharing"",""พิจิตร!L641"")"),0)</f>
        <v>0</v>
      </c>
      <c r="F21" s="77">
        <f t="shared" ca="1" si="1"/>
        <v>70215</v>
      </c>
      <c r="G21" s="78">
        <f t="shared" ca="1" si="2"/>
        <v>20.479502996893732</v>
      </c>
      <c r="H21" s="79">
        <f t="shared" ca="1" si="36"/>
        <v>70215</v>
      </c>
      <c r="I21" s="76">
        <f ca="1">IFERROR(__xludf.DUMMYFUNCTION("IMPORTRANGE(""https://docs.google.com/spreadsheets/d/1Y9LPKx95PyL5OKy09d-KbKJSuuEZCFdkhYjwC0XQjBA/edit?usp=sharing"",""พิจิตร!N635"")"),0)</f>
        <v>0</v>
      </c>
      <c r="J21" s="76">
        <f ca="1">IFERROR(__xludf.DUMMYFUNCTION("IMPORTRANGE(""https://docs.google.com/spreadsheets/d/1Y9LPKx95PyL5OKy09d-KbKJSuuEZCFdkhYjwC0XQjBA/edit?usp=sharing"",""พิจิตร!N636"")"),0)</f>
        <v>0</v>
      </c>
      <c r="K21" s="76">
        <f ca="1">IFERROR(__xludf.DUMMYFUNCTION("IMPORTRANGE(""https://docs.google.com/spreadsheets/d/1Y9LPKx95PyL5OKy09d-KbKJSuuEZCFdkhYjwC0XQjBA/edit?usp=sharing"",""พิจิตร!N637"")"),0)</f>
        <v>0</v>
      </c>
      <c r="L21" s="76">
        <f ca="1">IFERROR(__xludf.DUMMYFUNCTION("IMPORTRANGE(""https://docs.google.com/spreadsheets/d/1Y9LPKx95PyL5OKy09d-KbKJSuuEZCFdkhYjwC0XQjBA/edit?usp=sharing"",""พิจิตร!N638"")"),70215)</f>
        <v>70215</v>
      </c>
      <c r="M21" s="80">
        <f ca="1">IFERROR(__xludf.DUMMYFUNCTION("IMPORTRANGE(""https://docs.google.com/spreadsheets/d/1Y9LPKx95PyL5OKy09d-KbKJSuuEZCFdkhYjwC0XQjBA/edit?usp=sharing"",""พิจิตร!N641"")"),0)</f>
        <v>0</v>
      </c>
      <c r="N21" s="80">
        <f t="shared" ca="1" si="29"/>
        <v>0</v>
      </c>
      <c r="O21" s="81">
        <f ca="1">IFERROR(__xludf.DUMMYFUNCTION("IMPORTRANGE(""https://docs.google.com/spreadsheets/d/1Y9LPKx95PyL5OKy09d-KbKJSuuEZCFdkhYjwC0XQjBA/edit?usp=sharing"",""พิจิตร!I643"")"),0)</f>
        <v>0</v>
      </c>
      <c r="P21" s="81">
        <f ca="1">IFERROR(__xludf.DUMMYFUNCTION("IMPORTRANGE(""https://docs.google.com/spreadsheets/d/1Y9LPKx95PyL5OKy09d-KbKJSuuEZCFdkhYjwC0XQjBA/edit?usp=sharing"",""พิจิตร!J643"")"),0)</f>
        <v>0</v>
      </c>
      <c r="Q21" s="82">
        <f t="shared" ca="1" si="22"/>
        <v>0</v>
      </c>
      <c r="R21" s="81">
        <f ca="1">IFERROR(__xludf.DUMMYFUNCTION("IMPORTRANGE(""https://docs.google.com/spreadsheets/d/1Y9LPKx95PyL5OKy09d-KbKJSuuEZCFdkhYjwC0XQjBA/edit?usp=sharing"",""พิจิตร!I644"")"),0)</f>
        <v>0</v>
      </c>
      <c r="S21" s="81">
        <f ca="1">IFERROR(__xludf.DUMMYFUNCTION("IMPORTRANGE(""https://docs.google.com/spreadsheets/d/1Y9LPKx95PyL5OKy09d-KbKJSuuEZCFdkhYjwC0XQjBA/edit?usp=sharing"",""พิจิตร!J644"")"),0)</f>
        <v>0</v>
      </c>
      <c r="T21" s="82">
        <f t="shared" ca="1" si="23"/>
        <v>0</v>
      </c>
      <c r="U21" s="81">
        <f ca="1">IFERROR(__xludf.DUMMYFUNCTION("IMPORTRANGE(""https://docs.google.com/spreadsheets/d/1Y9LPKx95PyL5OKy09d-KbKJSuuEZCFdkhYjwC0XQjBA/edit?usp=sharing"",""พิจิตร!J645"")"),106)</f>
        <v>106</v>
      </c>
      <c r="V21" s="276">
        <f ca="1">IFERROR(__xludf.DUMMYFUNCTION("IMPORTRANGE(""https://docs.google.com/spreadsheets/d/1Y9LPKx95PyL5OKy09d-KbKJSuuEZCFdkhYjwC0XQjBA/edit?usp=sharing"",""พิจิตร!J646"")"),63.38)</f>
        <v>63.38</v>
      </c>
      <c r="W21" s="81">
        <f ca="1">IFERROR(__xludf.DUMMYFUNCTION("IMPORTRANGE(""https://docs.google.com/spreadsheets/d/1Y9LPKx95PyL5OKy09d-KbKJSuuEZCFdkhYjwC0XQjBA/edit?usp=sharing"",""พิจิตร!I647"")"),90)</f>
        <v>90</v>
      </c>
      <c r="X21" s="81">
        <f ca="1">IFERROR(__xludf.DUMMYFUNCTION("IMPORTRANGE(""https://docs.google.com/spreadsheets/d/1Y9LPKx95PyL5OKy09d-KbKJSuuEZCFdkhYjwC0XQjBA/edit?usp=sharing"",""พิจิตร!J647"")"),119)</f>
        <v>119</v>
      </c>
      <c r="Y21" s="276">
        <f ca="1">IFERROR(__xludf.DUMMYFUNCTION("IMPORTRANGE(""https://docs.google.com/spreadsheets/d/1Y9LPKx95PyL5OKy09d-KbKJSuuEZCFdkhYjwC0XQjBA/edit?usp=sharing"",""พิจิตร!J648"")"),71.05)</f>
        <v>71.05</v>
      </c>
      <c r="Z21" s="82">
        <f t="shared" ca="1" si="24"/>
        <v>132.22222222222223</v>
      </c>
      <c r="AA21" s="234">
        <f ca="1">IFERROR(__xludf.DUMMYFUNCTION("IMPORTRANGE(""https://docs.google.com/spreadsheets/d/1Y9LPKx95PyL5OKy09d-KbKJSuuEZCFdkhYjwC0XQjBA/edit?usp=sharing"",""พิจิตร!I649"")"),90)</f>
        <v>90</v>
      </c>
      <c r="AB21" s="81">
        <f ca="1">IFERROR(__xludf.DUMMYFUNCTION("IMPORTRANGE(""https://docs.google.com/spreadsheets/d/1Y9LPKx95PyL5OKy09d-KbKJSuuEZCFdkhYjwC0XQjBA/edit?usp=sharing"",""พิจิตร!J649"")"),3)</f>
        <v>3</v>
      </c>
      <c r="AC21" s="276">
        <f ca="1">IFERROR(__xludf.DUMMYFUNCTION("IMPORTRANGE(""https://docs.google.com/spreadsheets/d/1Y9LPKx95PyL5OKy09d-KbKJSuuEZCFdkhYjwC0XQjBA/edit?usp=sharing"",""พิจิตร!J650"")"),0.49)</f>
        <v>0.49</v>
      </c>
      <c r="AD21" s="82">
        <f t="shared" ca="1" si="25"/>
        <v>3.3333333333333335</v>
      </c>
      <c r="AE21" s="234">
        <f ca="1">IFERROR(__xludf.DUMMYFUNCTION("IMPORTRANGE(""https://docs.google.com/spreadsheets/d/1Y9LPKx95PyL5OKy09d-KbKJSuuEZCFdkhYjwC0XQjBA/edit?usp=sharing"",""พิจิตร!I651"")"),90)</f>
        <v>90</v>
      </c>
      <c r="AF21" s="81">
        <f ca="1">IFERROR(__xludf.DUMMYFUNCTION("IMPORTRANGE(""https://docs.google.com/spreadsheets/d/1Y9LPKx95PyL5OKy09d-KbKJSuuEZCFdkhYjwC0XQjBA/edit?usp=sharing"",""พิจิตร!J651"")"),0)</f>
        <v>0</v>
      </c>
      <c r="AG21" s="276">
        <f ca="1">IFERROR(__xludf.DUMMYFUNCTION("IMPORTRANGE(""https://docs.google.com/spreadsheets/d/1Y9LPKx95PyL5OKy09d-KbKJSuuEZCFdkhYjwC0XQjBA/edit?usp=sharing"",""พิจิตร!J652"")"),0)</f>
        <v>0</v>
      </c>
      <c r="AH21" s="82">
        <f t="shared" ca="1" si="26"/>
        <v>0</v>
      </c>
    </row>
    <row r="22" spans="1:34" ht="24" customHeight="1" x14ac:dyDescent="0.3">
      <c r="A22" s="72">
        <v>9</v>
      </c>
      <c r="B22" s="73" t="s">
        <v>39</v>
      </c>
      <c r="C22" s="74">
        <f t="shared" ca="1" si="35"/>
        <v>354995</v>
      </c>
      <c r="D22" s="75">
        <f ca="1">IFERROR(__xludf.DUMMYFUNCTION("IMPORTRANGE(""https://docs.google.com/spreadsheets/d/16OMuOwy2eVqZcYWOouQtTpa8X1L23h4660uVHc0C8os/edit?usp=sharing"",""พิษณุโลก!L634"")"),354995)</f>
        <v>354995</v>
      </c>
      <c r="E22" s="76">
        <f ca="1">IFERROR(__xludf.DUMMYFUNCTION("IMPORTRANGE(""https://docs.google.com/spreadsheets/d/16OMuOwy2eVqZcYWOouQtTpa8X1L23h4660uVHc0C8os/edit?usp=sharing"",""พิษณุโลก!L641"")"),0)</f>
        <v>0</v>
      </c>
      <c r="F22" s="77">
        <f t="shared" ca="1" si="1"/>
        <v>94957.6</v>
      </c>
      <c r="G22" s="78">
        <f t="shared" ca="1" si="2"/>
        <v>26.748996464738941</v>
      </c>
      <c r="H22" s="79">
        <f t="shared" ca="1" si="36"/>
        <v>94957.6</v>
      </c>
      <c r="I22" s="76">
        <f ca="1">IFERROR(__xludf.DUMMYFUNCTION("IMPORTRANGE(""https://docs.google.com/spreadsheets/d/16OMuOwy2eVqZcYWOouQtTpa8X1L23h4660uVHc0C8os/edit?usp=sharing"",""พิษณุโลก!N635"")"),0)</f>
        <v>0</v>
      </c>
      <c r="J22" s="76">
        <f ca="1">IFERROR(__xludf.DUMMYFUNCTION("IMPORTRANGE(""https://docs.google.com/spreadsheets/d/16OMuOwy2eVqZcYWOouQtTpa8X1L23h4660uVHc0C8os/edit?usp=sharing"",""พิษณุโลก!N636"")"),0)</f>
        <v>0</v>
      </c>
      <c r="K22" s="76">
        <f ca="1">IFERROR(__xludf.DUMMYFUNCTION("IMPORTRANGE(""https://docs.google.com/spreadsheets/d/16OMuOwy2eVqZcYWOouQtTpa8X1L23h4660uVHc0C8os/edit?usp=sharing"",""พิษณุโลก!N637"")"),51566.67)</f>
        <v>51566.67</v>
      </c>
      <c r="L22" s="76">
        <f ca="1">IFERROR(__xludf.DUMMYFUNCTION("IMPORTRANGE(""https://docs.google.com/spreadsheets/d/16OMuOwy2eVqZcYWOouQtTpa8X1L23h4660uVHc0C8os/edit?usp=sharing"",""พิษณุโลก!N638"")"),43390.93)</f>
        <v>43390.93</v>
      </c>
      <c r="M22" s="80">
        <f ca="1">IFERROR(__xludf.DUMMYFUNCTION("IMPORTRANGE(""https://docs.google.com/spreadsheets/d/16OMuOwy2eVqZcYWOouQtTpa8X1L23h4660uVHc0C8os/edit?usp=sharing"",""พิษณุโลก!N641"")"),0)</f>
        <v>0</v>
      </c>
      <c r="N22" s="80">
        <f t="shared" ca="1" si="29"/>
        <v>0</v>
      </c>
      <c r="O22" s="81">
        <f ca="1">IFERROR(__xludf.DUMMYFUNCTION("IMPORTRANGE(""https://docs.google.com/spreadsheets/d/16OMuOwy2eVqZcYWOouQtTpa8X1L23h4660uVHc0C8os/edit?usp=sharing"",""พิษณุโลก!I643"")"),0)</f>
        <v>0</v>
      </c>
      <c r="P22" s="81">
        <f ca="1">IFERROR(__xludf.DUMMYFUNCTION("IMPORTRANGE(""https://docs.google.com/spreadsheets/d/16OMuOwy2eVqZcYWOouQtTpa8X1L23h4660uVHc0C8os/edit?usp=sharing"",""พิษณุโลก!J643"")"),0)</f>
        <v>0</v>
      </c>
      <c r="Q22" s="82">
        <f t="shared" ca="1" si="22"/>
        <v>0</v>
      </c>
      <c r="R22" s="81">
        <f ca="1">IFERROR(__xludf.DUMMYFUNCTION("IMPORTRANGE(""https://docs.google.com/spreadsheets/d/16OMuOwy2eVqZcYWOouQtTpa8X1L23h4660uVHc0C8os/edit?usp=sharing"",""พิษณุโลก!I644"")"),0)</f>
        <v>0</v>
      </c>
      <c r="S22" s="81">
        <f ca="1">IFERROR(__xludf.DUMMYFUNCTION("IMPORTRANGE(""https://docs.google.com/spreadsheets/d/16OMuOwy2eVqZcYWOouQtTpa8X1L23h4660uVHc0C8os/edit?usp=sharing"",""พิษณุโลก!J644"")"),0)</f>
        <v>0</v>
      </c>
      <c r="T22" s="82">
        <f t="shared" ca="1" si="23"/>
        <v>0</v>
      </c>
      <c r="U22" s="81">
        <f ca="1">IFERROR(__xludf.DUMMYFUNCTION("IMPORTRANGE(""https://docs.google.com/spreadsheets/d/16OMuOwy2eVqZcYWOouQtTpa8X1L23h4660uVHc0C8os/edit?usp=sharing"",""พิษณุโลก!J645"")"),0)</f>
        <v>0</v>
      </c>
      <c r="V22" s="276">
        <f ca="1">IFERROR(__xludf.DUMMYFUNCTION("IMPORTRANGE(""https://docs.google.com/spreadsheets/d/16OMuOwy2eVqZcYWOouQtTpa8X1L23h4660uVHc0C8os/edit?usp=sharing"",""พิษณุโลก!J646"")"),0)</f>
        <v>0</v>
      </c>
      <c r="W22" s="81">
        <f ca="1">IFERROR(__xludf.DUMMYFUNCTION("IMPORTRANGE(""https://docs.google.com/spreadsheets/d/16OMuOwy2eVqZcYWOouQtTpa8X1L23h4660uVHc0C8os/edit?usp=sharing"",""พิษณุโลก!I647"")"),100)</f>
        <v>100</v>
      </c>
      <c r="X22" s="81">
        <f ca="1">IFERROR(__xludf.DUMMYFUNCTION("IMPORTRANGE(""https://docs.google.com/spreadsheets/d/16OMuOwy2eVqZcYWOouQtTpa8X1L23h4660uVHc0C8os/edit?usp=sharing"",""พิษณุโลก!J647"")"),32)</f>
        <v>32</v>
      </c>
      <c r="Y22" s="276">
        <f ca="1">IFERROR(__xludf.DUMMYFUNCTION("IMPORTRANGE(""https://docs.google.com/spreadsheets/d/16OMuOwy2eVqZcYWOouQtTpa8X1L23h4660uVHc0C8os/edit?usp=sharing"",""พิษณุโลก!J648"")"),41.46)</f>
        <v>41.46</v>
      </c>
      <c r="Z22" s="82">
        <f t="shared" ca="1" si="24"/>
        <v>32</v>
      </c>
      <c r="AA22" s="234">
        <f ca="1">IFERROR(__xludf.DUMMYFUNCTION("IMPORTRANGE(""https://docs.google.com/spreadsheets/d/16OMuOwy2eVqZcYWOouQtTpa8X1L23h4660uVHc0C8os/edit?usp=sharing"",""พิษณุโลก!I649"")"),100)</f>
        <v>100</v>
      </c>
      <c r="AB22" s="81">
        <f ca="1">IFERROR(__xludf.DUMMYFUNCTION("IMPORTRANGE(""https://docs.google.com/spreadsheets/d/16OMuOwy2eVqZcYWOouQtTpa8X1L23h4660uVHc0C8os/edit?usp=sharing"",""พิษณุโลก!J649"")"),32)</f>
        <v>32</v>
      </c>
      <c r="AC22" s="276">
        <f ca="1">IFERROR(__xludf.DUMMYFUNCTION("IMPORTRANGE(""https://docs.google.com/spreadsheets/d/16OMuOwy2eVqZcYWOouQtTpa8X1L23h4660uVHc0C8os/edit?usp=sharing"",""พิษณุโลก!J650"")"),41.46)</f>
        <v>41.46</v>
      </c>
      <c r="AD22" s="82">
        <f t="shared" ca="1" si="25"/>
        <v>32</v>
      </c>
      <c r="AE22" s="234">
        <f ca="1">IFERROR(__xludf.DUMMYFUNCTION("IMPORTRANGE(""https://docs.google.com/spreadsheets/d/16OMuOwy2eVqZcYWOouQtTpa8X1L23h4660uVHc0C8os/edit?usp=sharing"",""พิษณุโลก!I651"")"),100)</f>
        <v>100</v>
      </c>
      <c r="AF22" s="81">
        <f ca="1">IFERROR(__xludf.DUMMYFUNCTION("IMPORTRANGE(""https://docs.google.com/spreadsheets/d/16OMuOwy2eVqZcYWOouQtTpa8X1L23h4660uVHc0C8os/edit?usp=sharing"",""พิษณุโลก!J651"")"),0)</f>
        <v>0</v>
      </c>
      <c r="AG22" s="276">
        <f ca="1">IFERROR(__xludf.DUMMYFUNCTION("IMPORTRANGE(""https://docs.google.com/spreadsheets/d/16OMuOwy2eVqZcYWOouQtTpa8X1L23h4660uVHc0C8os/edit?usp=sharing"",""พิษณุโลก!J652"")"),0)</f>
        <v>0</v>
      </c>
      <c r="AH22" s="82">
        <f t="shared" ca="1" si="26"/>
        <v>0</v>
      </c>
    </row>
    <row r="23" spans="1:34" ht="24" customHeight="1" x14ac:dyDescent="0.3">
      <c r="A23" s="72">
        <v>10</v>
      </c>
      <c r="B23" s="73" t="s">
        <v>40</v>
      </c>
      <c r="C23" s="74">
        <f t="shared" ca="1" si="35"/>
        <v>595365</v>
      </c>
      <c r="D23" s="75">
        <f ca="1">IFERROR(__xludf.DUMMYFUNCTION("IMPORTRANGE(""https://docs.google.com/spreadsheets/d/1GfgTldLG6k77HXaMQzaafODklYuucJZQNs_GAPEfZyY/edit?usp=sharing"",""เพชรบูรณ์!L634"")"),595365)</f>
        <v>595365</v>
      </c>
      <c r="E23" s="76">
        <f ca="1">IFERROR(__xludf.DUMMYFUNCTION("IMPORTRANGE(""https://docs.google.com/spreadsheets/d/1GfgTldLG6k77HXaMQzaafODklYuucJZQNs_GAPEfZyY/edit?usp=sharing"",""เพชรบูรณ์!L641"")"),0)</f>
        <v>0</v>
      </c>
      <c r="F23" s="77">
        <f t="shared" ca="1" si="1"/>
        <v>168988.95</v>
      </c>
      <c r="G23" s="78">
        <f t="shared" ca="1" si="2"/>
        <v>28.384092111561817</v>
      </c>
      <c r="H23" s="79">
        <f t="shared" ca="1" si="36"/>
        <v>168988.95</v>
      </c>
      <c r="I23" s="76">
        <f ca="1">IFERROR(__xludf.DUMMYFUNCTION("IMPORTRANGE(""https://docs.google.com/spreadsheets/d/1GfgTldLG6k77HXaMQzaafODklYuucJZQNs_GAPEfZyY/edit?usp=sharing"",""เพชรบูรณ์!N635"")"),0)</f>
        <v>0</v>
      </c>
      <c r="J23" s="76">
        <f ca="1">IFERROR(__xludf.DUMMYFUNCTION("IMPORTRANGE(""https://docs.google.com/spreadsheets/d/1GfgTldLG6k77HXaMQzaafODklYuucJZQNs_GAPEfZyY/edit?usp=sharing"",""เพชรบูรณ์!N636"")"),0)</f>
        <v>0</v>
      </c>
      <c r="K23" s="76">
        <f ca="1">IFERROR(__xludf.DUMMYFUNCTION("IMPORTRANGE(""https://docs.google.com/spreadsheets/d/1GfgTldLG6k77HXaMQzaafODklYuucJZQNs_GAPEfZyY/edit?usp=sharing"",""เพชรบูรณ์!N637"")"),52000)</f>
        <v>52000</v>
      </c>
      <c r="L23" s="76">
        <f ca="1">IFERROR(__xludf.DUMMYFUNCTION("IMPORTRANGE(""https://docs.google.com/spreadsheets/d/1GfgTldLG6k77HXaMQzaafODklYuucJZQNs_GAPEfZyY/edit?usp=sharing"",""เพชรบูรณ์!N638"")"),116988.95)</f>
        <v>116988.95</v>
      </c>
      <c r="M23" s="80">
        <f ca="1">IFERROR(__xludf.DUMMYFUNCTION("IMPORTRANGE(""https://docs.google.com/spreadsheets/d/1GfgTldLG6k77HXaMQzaafODklYuucJZQNs_GAPEfZyY/edit?usp=sharing"",""เพชรบูรณ์!N641"")"),0)</f>
        <v>0</v>
      </c>
      <c r="N23" s="80">
        <f t="shared" ca="1" si="29"/>
        <v>0</v>
      </c>
      <c r="O23" s="81">
        <f ca="1">IFERROR(__xludf.DUMMYFUNCTION("IMPORTRANGE(""https://docs.google.com/spreadsheets/d/1GfgTldLG6k77HXaMQzaafODklYuucJZQNs_GAPEfZyY/edit?usp=sharing"",""เพชรบูรณ์!I643"")"),2)</f>
        <v>2</v>
      </c>
      <c r="P23" s="81">
        <f ca="1">IFERROR(__xludf.DUMMYFUNCTION("IMPORTRANGE(""https://docs.google.com/spreadsheets/d/1GfgTldLG6k77HXaMQzaafODklYuucJZQNs_GAPEfZyY/edit?usp=sharing"",""เพชรบูรณ์!J643"")"),5)</f>
        <v>5</v>
      </c>
      <c r="Q23" s="82">
        <f t="shared" ca="1" si="22"/>
        <v>250</v>
      </c>
      <c r="R23" s="81">
        <f ca="1">IFERROR(__xludf.DUMMYFUNCTION("IMPORTRANGE(""https://docs.google.com/spreadsheets/d/1GfgTldLG6k77HXaMQzaafODklYuucJZQNs_GAPEfZyY/edit?usp=sharing"",""เพชรบูรณ์!I644"")"),2)</f>
        <v>2</v>
      </c>
      <c r="S23" s="81">
        <f ca="1">IFERROR(__xludf.DUMMYFUNCTION("IMPORTRANGE(""https://docs.google.com/spreadsheets/d/1GfgTldLG6k77HXaMQzaafODklYuucJZQNs_GAPEfZyY/edit?usp=sharing"",""เพชรบูรณ์!J644"")"),5)</f>
        <v>5</v>
      </c>
      <c r="T23" s="82">
        <f t="shared" ca="1" si="23"/>
        <v>250</v>
      </c>
      <c r="U23" s="81">
        <f ca="1">IFERROR(__xludf.DUMMYFUNCTION("IMPORTRANGE(""https://docs.google.com/spreadsheets/d/1GfgTldLG6k77HXaMQzaafODklYuucJZQNs_GAPEfZyY/edit?usp=sharing"",""เพชรบูรณ์!J645"")"),187)</f>
        <v>187</v>
      </c>
      <c r="V23" s="276">
        <f ca="1">IFERROR(__xludf.DUMMYFUNCTION("IMPORTRANGE(""https://docs.google.com/spreadsheets/d/1GfgTldLG6k77HXaMQzaafODklYuucJZQNs_GAPEfZyY/edit?usp=sharing"",""เพชรบูรณ์!J646"")"),121.55)</f>
        <v>121.55</v>
      </c>
      <c r="W23" s="81">
        <f ca="1">IFERROR(__xludf.DUMMYFUNCTION("IMPORTRANGE(""https://docs.google.com/spreadsheets/d/1GfgTldLG6k77HXaMQzaafODklYuucJZQNs_GAPEfZyY/edit?usp=sharing"",""เพชรบูรณ์!I647"")"),430)</f>
        <v>430</v>
      </c>
      <c r="X23" s="81">
        <f ca="1">IFERROR(__xludf.DUMMYFUNCTION("IMPORTRANGE(""https://docs.google.com/spreadsheets/d/1GfgTldLG6k77HXaMQzaafODklYuucJZQNs_GAPEfZyY/edit?usp=sharing"",""เพชรบูรณ์!J647"")"),118)</f>
        <v>118</v>
      </c>
      <c r="Y23" s="276">
        <f ca="1">IFERROR(__xludf.DUMMYFUNCTION("IMPORTRANGE(""https://docs.google.com/spreadsheets/d/1GfgTldLG6k77HXaMQzaafODklYuucJZQNs_GAPEfZyY/edit?usp=sharing"",""เพชรบูรณ์!J648"")"),64.5)</f>
        <v>64.5</v>
      </c>
      <c r="Z23" s="82">
        <f t="shared" ca="1" si="24"/>
        <v>27.441860465116278</v>
      </c>
      <c r="AA23" s="234">
        <f ca="1">IFERROR(__xludf.DUMMYFUNCTION("IMPORTRANGE(""https://docs.google.com/spreadsheets/d/1GfgTldLG6k77HXaMQzaafODklYuucJZQNs_GAPEfZyY/edit?usp=sharing"",""เพชรบูรณ์!I649"")"),430)</f>
        <v>430</v>
      </c>
      <c r="AB23" s="81">
        <f ca="1">IFERROR(__xludf.DUMMYFUNCTION("IMPORTRANGE(""https://docs.google.com/spreadsheets/d/1GfgTldLG6k77HXaMQzaafODklYuucJZQNs_GAPEfZyY/edit?usp=sharing"",""เพชรบูรณ์!J649"")"),202)</f>
        <v>202</v>
      </c>
      <c r="AC23" s="276">
        <f ca="1">IFERROR(__xludf.DUMMYFUNCTION("IMPORTRANGE(""https://docs.google.com/spreadsheets/d/1GfgTldLG6k77HXaMQzaafODklYuucJZQNs_GAPEfZyY/edit?usp=sharing"",""เพชรบูรณ์!J650"")"),95.25)</f>
        <v>95.25</v>
      </c>
      <c r="AD23" s="82">
        <f t="shared" ca="1" si="25"/>
        <v>46.97674418604651</v>
      </c>
      <c r="AE23" s="234">
        <f ca="1">IFERROR(__xludf.DUMMYFUNCTION("IMPORTRANGE(""https://docs.google.com/spreadsheets/d/1GfgTldLG6k77HXaMQzaafODklYuucJZQNs_GAPEfZyY/edit?usp=sharing"",""เพชรบูรณ์!I651"")"),430)</f>
        <v>430</v>
      </c>
      <c r="AF23" s="81">
        <f ca="1">IFERROR(__xludf.DUMMYFUNCTION("IMPORTRANGE(""https://docs.google.com/spreadsheets/d/1GfgTldLG6k77HXaMQzaafODklYuucJZQNs_GAPEfZyY/edit?usp=sharing"",""เพชรบูรณ์!J651"")"),202)</f>
        <v>202</v>
      </c>
      <c r="AG23" s="276">
        <f ca="1">IFERROR(__xludf.DUMMYFUNCTION("IMPORTRANGE(""https://docs.google.com/spreadsheets/d/1GfgTldLG6k77HXaMQzaafODklYuucJZQNs_GAPEfZyY/edit?usp=sharing"",""เพชรบูรณ์!J652"")"),95.25)</f>
        <v>95.25</v>
      </c>
      <c r="AH23" s="82">
        <f t="shared" ca="1" si="26"/>
        <v>46.97674418604651</v>
      </c>
    </row>
    <row r="24" spans="1:34" ht="24" customHeight="1" x14ac:dyDescent="0.3">
      <c r="A24" s="72">
        <v>11</v>
      </c>
      <c r="B24" s="73" t="s">
        <v>41</v>
      </c>
      <c r="C24" s="74">
        <f t="shared" ca="1" si="35"/>
        <v>170675</v>
      </c>
      <c r="D24" s="75">
        <f ca="1">IFERROR(__xludf.DUMMYFUNCTION("IMPORTRANGE(""https://docs.google.com/spreadsheets/d/1gvTMYAnm7v1yG1BKWFtr0DnaTsq59oW9dwWvFgq6hs0/edit?usp=sharing"",""แพร่!L634"")"),170675)</f>
        <v>170675</v>
      </c>
      <c r="E24" s="76">
        <f ca="1">IFERROR(__xludf.DUMMYFUNCTION("IMPORTRANGE(""https://docs.google.com/spreadsheets/d/1gvTMYAnm7v1yG1BKWFtr0DnaTsq59oW9dwWvFgq6hs0/edit?usp=sharing"",""แพร่!L641"")"),0)</f>
        <v>0</v>
      </c>
      <c r="F24" s="77">
        <f t="shared" ca="1" si="1"/>
        <v>69618</v>
      </c>
      <c r="G24" s="78">
        <f t="shared" ca="1" si="2"/>
        <v>40.789805185293687</v>
      </c>
      <c r="H24" s="79">
        <f t="shared" ca="1" si="36"/>
        <v>69618</v>
      </c>
      <c r="I24" s="76">
        <f ca="1">IFERROR(__xludf.DUMMYFUNCTION("IMPORTRANGE(""https://docs.google.com/spreadsheets/d/1gvTMYAnm7v1yG1BKWFtr0DnaTsq59oW9dwWvFgq6hs0/edit?usp=sharing"",""แพร่!N635"")"),0)</f>
        <v>0</v>
      </c>
      <c r="J24" s="76">
        <f ca="1">IFERROR(__xludf.DUMMYFUNCTION("IMPORTRANGE(""https://docs.google.com/spreadsheets/d/1gvTMYAnm7v1yG1BKWFtr0DnaTsq59oW9dwWvFgq6hs0/edit?usp=sharing"",""แพร่!N636"")"),0)</f>
        <v>0</v>
      </c>
      <c r="K24" s="76">
        <f ca="1">IFERROR(__xludf.DUMMYFUNCTION("IMPORTRANGE(""https://docs.google.com/spreadsheets/d/1gvTMYAnm7v1yG1BKWFtr0DnaTsq59oW9dwWvFgq6hs0/edit?usp=sharing"",""แพร่!N637"")"),0)</f>
        <v>0</v>
      </c>
      <c r="L24" s="76">
        <f ca="1">IFERROR(__xludf.DUMMYFUNCTION("IMPORTRANGE(""https://docs.google.com/spreadsheets/d/1gvTMYAnm7v1yG1BKWFtr0DnaTsq59oW9dwWvFgq6hs0/edit?usp=sharing"",""แพร่!N638"")"),69618)</f>
        <v>69618</v>
      </c>
      <c r="M24" s="80">
        <f ca="1">IFERROR(__xludf.DUMMYFUNCTION("IMPORTRANGE(""https://docs.google.com/spreadsheets/d/1gvTMYAnm7v1yG1BKWFtr0DnaTsq59oW9dwWvFgq6hs0/edit?usp=sharing"",""แพร่!N641"")"),0)</f>
        <v>0</v>
      </c>
      <c r="N24" s="80">
        <f t="shared" ca="1" si="29"/>
        <v>0</v>
      </c>
      <c r="O24" s="81">
        <f ca="1">IFERROR(__xludf.DUMMYFUNCTION("IMPORTRANGE(""https://docs.google.com/spreadsheets/d/1gvTMYAnm7v1yG1BKWFtr0DnaTsq59oW9dwWvFgq6hs0/edit?usp=sharing"",""แพร่!I643"")"),0)</f>
        <v>0</v>
      </c>
      <c r="P24" s="81">
        <f ca="1">IFERROR(__xludf.DUMMYFUNCTION("IMPORTRANGE(""https://docs.google.com/spreadsheets/d/1gvTMYAnm7v1yG1BKWFtr0DnaTsq59oW9dwWvFgq6hs0/edit?usp=sharing"",""แพร่!J643"")"),0)</f>
        <v>0</v>
      </c>
      <c r="Q24" s="82">
        <f t="shared" ca="1" si="22"/>
        <v>0</v>
      </c>
      <c r="R24" s="81">
        <f ca="1">IFERROR(__xludf.DUMMYFUNCTION("IMPORTRANGE(""https://docs.google.com/spreadsheets/d/1gvTMYAnm7v1yG1BKWFtr0DnaTsq59oW9dwWvFgq6hs0/edit?usp=sharing"",""แพร่!I644"")"),0)</f>
        <v>0</v>
      </c>
      <c r="S24" s="81">
        <f ca="1">IFERROR(__xludf.DUMMYFUNCTION("IMPORTRANGE(""https://docs.google.com/spreadsheets/d/1gvTMYAnm7v1yG1BKWFtr0DnaTsq59oW9dwWvFgq6hs0/edit?usp=sharing"",""แพร่!J644"")"),0)</f>
        <v>0</v>
      </c>
      <c r="T24" s="82">
        <f t="shared" ca="1" si="23"/>
        <v>0</v>
      </c>
      <c r="U24" s="81">
        <f ca="1">IFERROR(__xludf.DUMMYFUNCTION("IMPORTRANGE(""https://docs.google.com/spreadsheets/d/1gvTMYAnm7v1yG1BKWFtr0DnaTsq59oW9dwWvFgq6hs0/edit?usp=sharing"",""แพร่!J645"")"),0)</f>
        <v>0</v>
      </c>
      <c r="V24" s="276">
        <f ca="1">IFERROR(__xludf.DUMMYFUNCTION("IMPORTRANGE(""https://docs.google.com/spreadsheets/d/1gvTMYAnm7v1yG1BKWFtr0DnaTsq59oW9dwWvFgq6hs0/edit?usp=sharing"",""แพร่!J646"")"),0)</f>
        <v>0</v>
      </c>
      <c r="W24" s="81">
        <f ca="1">IFERROR(__xludf.DUMMYFUNCTION("IMPORTRANGE(""https://docs.google.com/spreadsheets/d/1gvTMYAnm7v1yG1BKWFtr0DnaTsq59oW9dwWvFgq6hs0/edit?usp=sharing"",""แพร่!I647"")"),25)</f>
        <v>25</v>
      </c>
      <c r="X24" s="81">
        <f ca="1">IFERROR(__xludf.DUMMYFUNCTION("IMPORTRANGE(""https://docs.google.com/spreadsheets/d/1gvTMYAnm7v1yG1BKWFtr0DnaTsq59oW9dwWvFgq6hs0/edit?usp=sharing"",""แพร่!J647"")"),0)</f>
        <v>0</v>
      </c>
      <c r="Y24" s="276">
        <f ca="1">IFERROR(__xludf.DUMMYFUNCTION("IMPORTRANGE(""https://docs.google.com/spreadsheets/d/1gvTMYAnm7v1yG1BKWFtr0DnaTsq59oW9dwWvFgq6hs0/edit?usp=sharing"",""แพร่!J648"")"),0)</f>
        <v>0</v>
      </c>
      <c r="Z24" s="82">
        <f t="shared" ca="1" si="24"/>
        <v>0</v>
      </c>
      <c r="AA24" s="234">
        <f ca="1">IFERROR(__xludf.DUMMYFUNCTION("IMPORTRANGE(""https://docs.google.com/spreadsheets/d/1gvTMYAnm7v1yG1BKWFtr0DnaTsq59oW9dwWvFgq6hs0/edit?usp=sharing"",""แพร่!I649"")"),25)</f>
        <v>25</v>
      </c>
      <c r="AB24" s="81">
        <f ca="1">IFERROR(__xludf.DUMMYFUNCTION("IMPORTRANGE(""https://docs.google.com/spreadsheets/d/1gvTMYAnm7v1yG1BKWFtr0DnaTsq59oW9dwWvFgq6hs0/edit?usp=sharing"",""แพร่!J649"")"),0)</f>
        <v>0</v>
      </c>
      <c r="AC24" s="276">
        <f ca="1">IFERROR(__xludf.DUMMYFUNCTION("IMPORTRANGE(""https://docs.google.com/spreadsheets/d/1gvTMYAnm7v1yG1BKWFtr0DnaTsq59oW9dwWvFgq6hs0/edit?usp=sharing"",""แพร่!J650"")"),0)</f>
        <v>0</v>
      </c>
      <c r="AD24" s="82">
        <f t="shared" ca="1" si="25"/>
        <v>0</v>
      </c>
      <c r="AE24" s="234">
        <f ca="1">IFERROR(__xludf.DUMMYFUNCTION("IMPORTRANGE(""https://docs.google.com/spreadsheets/d/1gvTMYAnm7v1yG1BKWFtr0DnaTsq59oW9dwWvFgq6hs0/edit?usp=sharing"",""แพร่!I651"")"),25)</f>
        <v>25</v>
      </c>
      <c r="AF24" s="81">
        <f ca="1">IFERROR(__xludf.DUMMYFUNCTION("IMPORTRANGE(""https://docs.google.com/spreadsheets/d/1gvTMYAnm7v1yG1BKWFtr0DnaTsq59oW9dwWvFgq6hs0/edit?usp=sharing"",""แพร่!J651"")"),0)</f>
        <v>0</v>
      </c>
      <c r="AG24" s="276">
        <f ca="1">IFERROR(__xludf.DUMMYFUNCTION("IMPORTRANGE(""https://docs.google.com/spreadsheets/d/1gvTMYAnm7v1yG1BKWFtr0DnaTsq59oW9dwWvFgq6hs0/edit?usp=sharing"",""แพร่!J652"")"),0)</f>
        <v>0</v>
      </c>
      <c r="AH24" s="82">
        <f t="shared" ca="1" si="26"/>
        <v>0</v>
      </c>
    </row>
    <row r="25" spans="1:34" ht="24" customHeight="1" x14ac:dyDescent="0.3">
      <c r="A25" s="72">
        <v>12</v>
      </c>
      <c r="B25" s="73" t="s">
        <v>42</v>
      </c>
      <c r="C25" s="74">
        <f t="shared" ca="1" si="35"/>
        <v>0</v>
      </c>
      <c r="D25" s="75">
        <f ca="1">IFERROR(__xludf.DUMMYFUNCTION("IMPORTRANGE(""https://docs.google.com/spreadsheets/d/1Wbcosgy-Xa1xXUArJSOenub6EfZHUSzc_bpJFWwQUf0/edit?usp=sharing"",""แม่ฮ่องสอน!L634"")"),0)</f>
        <v>0</v>
      </c>
      <c r="E25" s="76">
        <f ca="1">IFERROR(__xludf.DUMMYFUNCTION("IMPORTRANGE(""https://docs.google.com/spreadsheets/d/1Wbcosgy-Xa1xXUArJSOenub6EfZHUSzc_bpJFWwQUf0/edit?usp=sharing"",""แม่ฮ่องสอน!L641"")"),0)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36"/>
        <v>0</v>
      </c>
      <c r="I25" s="76">
        <f ca="1">IFERROR(__xludf.DUMMYFUNCTION("IMPORTRANGE(""https://docs.google.com/spreadsheets/d/1Wbcosgy-Xa1xXUArJSOenub6EfZHUSzc_bpJFWwQUf0/edit?usp=sharing"",""แม่ฮ่องสอน!N635"")"),0)</f>
        <v>0</v>
      </c>
      <c r="J25" s="76">
        <f ca="1">IFERROR(__xludf.DUMMYFUNCTION("IMPORTRANGE(""https://docs.google.com/spreadsheets/d/1Wbcosgy-Xa1xXUArJSOenub6EfZHUSzc_bpJFWwQUf0/edit?usp=sharing"",""แม่ฮ่องสอน!N636"")"),0)</f>
        <v>0</v>
      </c>
      <c r="K25" s="76">
        <f ca="1">IFERROR(__xludf.DUMMYFUNCTION("IMPORTRANGE(""https://docs.google.com/spreadsheets/d/1Wbcosgy-Xa1xXUArJSOenub6EfZHUSzc_bpJFWwQUf0/edit?usp=sharing"",""แม่ฮ่องสอน!N637"")"),0)</f>
        <v>0</v>
      </c>
      <c r="L25" s="76">
        <f ca="1">IFERROR(__xludf.DUMMYFUNCTION("IMPORTRANGE(""https://docs.google.com/spreadsheets/d/1Wbcosgy-Xa1xXUArJSOenub6EfZHUSzc_bpJFWwQUf0/edit?usp=sharing"",""แม่ฮ่องสอน!N638"")"),0)</f>
        <v>0</v>
      </c>
      <c r="M25" s="80">
        <f ca="1">IFERROR(__xludf.DUMMYFUNCTION("IMPORTRANGE(""https://docs.google.com/spreadsheets/d/1Wbcosgy-Xa1xXUArJSOenub6EfZHUSzc_bpJFWwQUf0/edit?usp=sharing"",""แม่ฮ่องสอน!N641"")"),0)</f>
        <v>0</v>
      </c>
      <c r="N25" s="80">
        <f t="shared" ca="1" si="29"/>
        <v>0</v>
      </c>
      <c r="O25" s="81">
        <f ca="1">IFERROR(__xludf.DUMMYFUNCTION("IMPORTRANGE(""https://docs.google.com/spreadsheets/d/1Wbcosgy-Xa1xXUArJSOenub6EfZHUSzc_bpJFWwQUf0/edit?usp=sharing"",""แม่ฮ่องสอน!I643"")"),0)</f>
        <v>0</v>
      </c>
      <c r="P25" s="81">
        <f ca="1">IFERROR(__xludf.DUMMYFUNCTION("IMPORTRANGE(""https://docs.google.com/spreadsheets/d/1Wbcosgy-Xa1xXUArJSOenub6EfZHUSzc_bpJFWwQUf0/edit?usp=sharing"",""แม่ฮ่องสอน!J643"")"),0)</f>
        <v>0</v>
      </c>
      <c r="Q25" s="82">
        <f t="shared" ca="1" si="22"/>
        <v>0</v>
      </c>
      <c r="R25" s="81">
        <f ca="1">IFERROR(__xludf.DUMMYFUNCTION("IMPORTRANGE(""https://docs.google.com/spreadsheets/d/1Wbcosgy-Xa1xXUArJSOenub6EfZHUSzc_bpJFWwQUf0/edit?usp=sharing"",""แม่ฮ่องสอน!I644"")"),0)</f>
        <v>0</v>
      </c>
      <c r="S25" s="81">
        <f ca="1">IFERROR(__xludf.DUMMYFUNCTION("IMPORTRANGE(""https://docs.google.com/spreadsheets/d/1Wbcosgy-Xa1xXUArJSOenub6EfZHUSzc_bpJFWwQUf0/edit?usp=sharing"",""แม่ฮ่องสอน!J644"")"),0)</f>
        <v>0</v>
      </c>
      <c r="T25" s="82">
        <f t="shared" ca="1" si="23"/>
        <v>0</v>
      </c>
      <c r="U25" s="81">
        <f ca="1">IFERROR(__xludf.DUMMYFUNCTION("IMPORTRANGE(""https://docs.google.com/spreadsheets/d/1Wbcosgy-Xa1xXUArJSOenub6EfZHUSzc_bpJFWwQUf0/edit?usp=sharing"",""แม่ฮ่องสอน!J645"")"),0)</f>
        <v>0</v>
      </c>
      <c r="V25" s="276">
        <f ca="1">IFERROR(__xludf.DUMMYFUNCTION("IMPORTRANGE(""https://docs.google.com/spreadsheets/d/1Wbcosgy-Xa1xXUArJSOenub6EfZHUSzc_bpJFWwQUf0/edit?usp=sharing"",""แม่ฮ่องสอน!J646"")"),0)</f>
        <v>0</v>
      </c>
      <c r="W25" s="81">
        <f ca="1">IFERROR(__xludf.DUMMYFUNCTION("IMPORTRANGE(""https://docs.google.com/spreadsheets/d/1Wbcosgy-Xa1xXUArJSOenub6EfZHUSzc_bpJFWwQUf0/edit?usp=sharing"",""แม่ฮ่องสอน!I647"")"),0)</f>
        <v>0</v>
      </c>
      <c r="X25" s="81">
        <f ca="1">IFERROR(__xludf.DUMMYFUNCTION("IMPORTRANGE(""https://docs.google.com/spreadsheets/d/1Wbcosgy-Xa1xXUArJSOenub6EfZHUSzc_bpJFWwQUf0/edit?usp=sharing"",""แม่ฮ่องสอน!J647"")"),0)</f>
        <v>0</v>
      </c>
      <c r="Y25" s="276">
        <f ca="1">IFERROR(__xludf.DUMMYFUNCTION("IMPORTRANGE(""https://docs.google.com/spreadsheets/d/1Wbcosgy-Xa1xXUArJSOenub6EfZHUSzc_bpJFWwQUf0/edit?usp=sharing"",""แม่ฮ่องสอน!J648"")"),0)</f>
        <v>0</v>
      </c>
      <c r="Z25" s="82">
        <f t="shared" ca="1" si="24"/>
        <v>0</v>
      </c>
      <c r="AA25" s="234">
        <f ca="1">IFERROR(__xludf.DUMMYFUNCTION("IMPORTRANGE(""https://docs.google.com/spreadsheets/d/1Wbcosgy-Xa1xXUArJSOenub6EfZHUSzc_bpJFWwQUf0/edit?usp=sharing"",""แม่ฮ่องสอน!I649"")"),0)</f>
        <v>0</v>
      </c>
      <c r="AB25" s="81">
        <f ca="1">IFERROR(__xludf.DUMMYFUNCTION("IMPORTRANGE(""https://docs.google.com/spreadsheets/d/1Wbcosgy-Xa1xXUArJSOenub6EfZHUSzc_bpJFWwQUf0/edit?usp=sharing"",""แม่ฮ่องสอน!J649"")"),0)</f>
        <v>0</v>
      </c>
      <c r="AC25" s="276">
        <f ca="1">IFERROR(__xludf.DUMMYFUNCTION("IMPORTRANGE(""https://docs.google.com/spreadsheets/d/1Wbcosgy-Xa1xXUArJSOenub6EfZHUSzc_bpJFWwQUf0/edit?usp=sharing"",""แม่ฮ่องสอน!J650"")"),0)</f>
        <v>0</v>
      </c>
      <c r="AD25" s="82">
        <f t="shared" ca="1" si="25"/>
        <v>0</v>
      </c>
      <c r="AE25" s="234">
        <f ca="1">IFERROR(__xludf.DUMMYFUNCTION("IMPORTRANGE(""https://docs.google.com/spreadsheets/d/1Wbcosgy-Xa1xXUArJSOenub6EfZHUSzc_bpJFWwQUf0/edit?usp=sharing"",""แม่ฮ่องสอน!I651"")"),0)</f>
        <v>0</v>
      </c>
      <c r="AF25" s="81">
        <f ca="1">IFERROR(__xludf.DUMMYFUNCTION("IMPORTRANGE(""https://docs.google.com/spreadsheets/d/1Wbcosgy-Xa1xXUArJSOenub6EfZHUSzc_bpJFWwQUf0/edit?usp=sharing"",""แม่ฮ่องสอน!J651"")"),0)</f>
        <v>0</v>
      </c>
      <c r="AG25" s="276">
        <f ca="1">IFERROR(__xludf.DUMMYFUNCTION("IMPORTRANGE(""https://docs.google.com/spreadsheets/d/1Wbcosgy-Xa1xXUArJSOenub6EfZHUSzc_bpJFWwQUf0/edit?usp=sharing"",""แม่ฮ่องสอน!J652"")"),0)</f>
        <v>0</v>
      </c>
      <c r="AH25" s="82">
        <f t="shared" ca="1" si="26"/>
        <v>0</v>
      </c>
    </row>
    <row r="26" spans="1:34" ht="24" customHeight="1" x14ac:dyDescent="0.3">
      <c r="A26" s="72">
        <v>13</v>
      </c>
      <c r="B26" s="73" t="s">
        <v>43</v>
      </c>
      <c r="C26" s="74">
        <f t="shared" ca="1" si="35"/>
        <v>187805</v>
      </c>
      <c r="D26" s="75">
        <f ca="1">IFERROR(__xludf.DUMMYFUNCTION("IMPORTRANGE(""https://docs.google.com/spreadsheets/d/1p7ERhsr0qZeSn-KSOdeHS9r0heI-lHtkcn2OH7hP0jQ/edit?usp=sharing"",""ลำปาง!L634"")"),187805)</f>
        <v>187805</v>
      </c>
      <c r="E26" s="76">
        <f ca="1">IFERROR(__xludf.DUMMYFUNCTION("IMPORTRANGE(""https://docs.google.com/spreadsheets/d/1p7ERhsr0qZeSn-KSOdeHS9r0heI-lHtkcn2OH7hP0jQ/edit?usp=sharing"",""ลำปาง!L641"")"),0)</f>
        <v>0</v>
      </c>
      <c r="F26" s="77">
        <f t="shared" ca="1" si="1"/>
        <v>20986</v>
      </c>
      <c r="G26" s="78">
        <f t="shared" ca="1" si="2"/>
        <v>11.174356380288065</v>
      </c>
      <c r="H26" s="79">
        <f t="shared" ca="1" si="36"/>
        <v>20986</v>
      </c>
      <c r="I26" s="76">
        <f ca="1">IFERROR(__xludf.DUMMYFUNCTION("IMPORTRANGE(""https://docs.google.com/spreadsheets/d/1p7ERhsr0qZeSn-KSOdeHS9r0heI-lHtkcn2OH7hP0jQ/edit?usp=sharing"",""ลำปาง!N635"")"),0)</f>
        <v>0</v>
      </c>
      <c r="J26" s="76">
        <f ca="1">IFERROR(__xludf.DUMMYFUNCTION("IMPORTRANGE(""https://docs.google.com/spreadsheets/d/1p7ERhsr0qZeSn-KSOdeHS9r0heI-lHtkcn2OH7hP0jQ/edit?usp=sharing"",""ลำปาง!N636"")"),0)</f>
        <v>0</v>
      </c>
      <c r="K26" s="76">
        <f ca="1">IFERROR(__xludf.DUMMYFUNCTION("IMPORTRANGE(""https://docs.google.com/spreadsheets/d/1p7ERhsr0qZeSn-KSOdeHS9r0heI-lHtkcn2OH7hP0jQ/edit?usp=sharing"",""ลำปาง!N637"")"),0)</f>
        <v>0</v>
      </c>
      <c r="L26" s="76">
        <f ca="1">IFERROR(__xludf.DUMMYFUNCTION("IMPORTRANGE(""https://docs.google.com/spreadsheets/d/1p7ERhsr0qZeSn-KSOdeHS9r0heI-lHtkcn2OH7hP0jQ/edit?usp=sharing"",""ลำปาง!N638"")"),20986)</f>
        <v>20986</v>
      </c>
      <c r="M26" s="80">
        <f ca="1">IFERROR(__xludf.DUMMYFUNCTION("IMPORTRANGE(""https://docs.google.com/spreadsheets/d/1p7ERhsr0qZeSn-KSOdeHS9r0heI-lHtkcn2OH7hP0jQ/edit?usp=sharing"",""ลำปาง!N641"")"),0)</f>
        <v>0</v>
      </c>
      <c r="N26" s="80">
        <f t="shared" ca="1" si="29"/>
        <v>0</v>
      </c>
      <c r="O26" s="81">
        <f ca="1">IFERROR(__xludf.DUMMYFUNCTION("IMPORTRANGE(""https://docs.google.com/spreadsheets/d/1p7ERhsr0qZeSn-KSOdeHS9r0heI-lHtkcn2OH7hP0jQ/edit?usp=sharing"",""ลำปาง!I643"")"),0)</f>
        <v>0</v>
      </c>
      <c r="P26" s="81">
        <f ca="1">IFERROR(__xludf.DUMMYFUNCTION("IMPORTRANGE(""https://docs.google.com/spreadsheets/d/1p7ERhsr0qZeSn-KSOdeHS9r0heI-lHtkcn2OH7hP0jQ/edit?usp=sharing"",""ลำปาง!J643"")"),0)</f>
        <v>0</v>
      </c>
      <c r="Q26" s="82">
        <f t="shared" ca="1" si="22"/>
        <v>0</v>
      </c>
      <c r="R26" s="81">
        <f ca="1">IFERROR(__xludf.DUMMYFUNCTION("IMPORTRANGE(""https://docs.google.com/spreadsheets/d/1p7ERhsr0qZeSn-KSOdeHS9r0heI-lHtkcn2OH7hP0jQ/edit?usp=sharing"",""ลำปาง!I644"")"),0)</f>
        <v>0</v>
      </c>
      <c r="S26" s="81">
        <f ca="1">IFERROR(__xludf.DUMMYFUNCTION("IMPORTRANGE(""https://docs.google.com/spreadsheets/d/1p7ERhsr0qZeSn-KSOdeHS9r0heI-lHtkcn2OH7hP0jQ/edit?usp=sharing"",""ลำปาง!J644"")"),0)</f>
        <v>0</v>
      </c>
      <c r="T26" s="82">
        <f t="shared" ca="1" si="23"/>
        <v>0</v>
      </c>
      <c r="U26" s="81">
        <f ca="1">IFERROR(__xludf.DUMMYFUNCTION("IMPORTRANGE(""https://docs.google.com/spreadsheets/d/1p7ERhsr0qZeSn-KSOdeHS9r0heI-lHtkcn2OH7hP0jQ/edit?usp=sharing"",""ลำปาง!J645"")"),23)</f>
        <v>23</v>
      </c>
      <c r="V26" s="276">
        <f ca="1">IFERROR(__xludf.DUMMYFUNCTION("IMPORTRANGE(""https://docs.google.com/spreadsheets/d/1p7ERhsr0qZeSn-KSOdeHS9r0heI-lHtkcn2OH7hP0jQ/edit?usp=sharing"",""ลำปาง!J646"")"),16.14)</f>
        <v>16.14</v>
      </c>
      <c r="W26" s="81">
        <f ca="1">IFERROR(__xludf.DUMMYFUNCTION("IMPORTRANGE(""https://docs.google.com/spreadsheets/d/1p7ERhsr0qZeSn-KSOdeHS9r0heI-lHtkcn2OH7hP0jQ/edit?usp=sharing"",""ลำปาง!I647"")"),20)</f>
        <v>20</v>
      </c>
      <c r="X26" s="81">
        <f ca="1">IFERROR(__xludf.DUMMYFUNCTION("IMPORTRANGE(""https://docs.google.com/spreadsheets/d/1p7ERhsr0qZeSn-KSOdeHS9r0heI-lHtkcn2OH7hP0jQ/edit?usp=sharing"",""ลำปาง!J647"")"),0)</f>
        <v>0</v>
      </c>
      <c r="Y26" s="276">
        <f ca="1">IFERROR(__xludf.DUMMYFUNCTION("IMPORTRANGE(""https://docs.google.com/spreadsheets/d/1p7ERhsr0qZeSn-KSOdeHS9r0heI-lHtkcn2OH7hP0jQ/edit?usp=sharing"",""ลำปาง!J648"")"),0)</f>
        <v>0</v>
      </c>
      <c r="Z26" s="82">
        <f t="shared" ca="1" si="24"/>
        <v>0</v>
      </c>
      <c r="AA26" s="234">
        <f ca="1">IFERROR(__xludf.DUMMYFUNCTION("IMPORTRANGE(""https://docs.google.com/spreadsheets/d/1p7ERhsr0qZeSn-KSOdeHS9r0heI-lHtkcn2OH7hP0jQ/edit?usp=sharing"",""ลำปาง!I649"")"),20)</f>
        <v>20</v>
      </c>
      <c r="AB26" s="81">
        <f ca="1">IFERROR(__xludf.DUMMYFUNCTION("IMPORTRANGE(""https://docs.google.com/spreadsheets/d/1p7ERhsr0qZeSn-KSOdeHS9r0heI-lHtkcn2OH7hP0jQ/edit?usp=sharing"",""ลำปาง!J649"")"),0)</f>
        <v>0</v>
      </c>
      <c r="AC26" s="276">
        <f ca="1">IFERROR(__xludf.DUMMYFUNCTION("IMPORTRANGE(""https://docs.google.com/spreadsheets/d/1p7ERhsr0qZeSn-KSOdeHS9r0heI-lHtkcn2OH7hP0jQ/edit?usp=sharing"",""ลำปาง!J650"")"),0)</f>
        <v>0</v>
      </c>
      <c r="AD26" s="82">
        <f t="shared" ca="1" si="25"/>
        <v>0</v>
      </c>
      <c r="AE26" s="234">
        <f ca="1">IFERROR(__xludf.DUMMYFUNCTION("IMPORTRANGE(""https://docs.google.com/spreadsheets/d/1p7ERhsr0qZeSn-KSOdeHS9r0heI-lHtkcn2OH7hP0jQ/edit?usp=sharing"",""ลำปาง!I651"")"),20)</f>
        <v>20</v>
      </c>
      <c r="AF26" s="81">
        <f ca="1">IFERROR(__xludf.DUMMYFUNCTION("IMPORTRANGE(""https://docs.google.com/spreadsheets/d/1p7ERhsr0qZeSn-KSOdeHS9r0heI-lHtkcn2OH7hP0jQ/edit?usp=sharing"",""ลำปาง!J651"")"),0)</f>
        <v>0</v>
      </c>
      <c r="AG26" s="276">
        <f ca="1">IFERROR(__xludf.DUMMYFUNCTION("IMPORTRANGE(""https://docs.google.com/spreadsheets/d/1p7ERhsr0qZeSn-KSOdeHS9r0heI-lHtkcn2OH7hP0jQ/edit?usp=sharing"",""ลำปาง!J652"")"),0)</f>
        <v>0</v>
      </c>
      <c r="AH26" s="82">
        <f t="shared" ca="1" si="26"/>
        <v>0</v>
      </c>
    </row>
    <row r="27" spans="1:34" ht="24" customHeight="1" x14ac:dyDescent="0.3">
      <c r="A27" s="72">
        <v>14</v>
      </c>
      <c r="B27" s="73" t="s">
        <v>44</v>
      </c>
      <c r="C27" s="74">
        <f t="shared" ca="1" si="35"/>
        <v>0</v>
      </c>
      <c r="D27" s="75">
        <f ca="1">IFERROR(__xludf.DUMMYFUNCTION("IMPORTRANGE(""https://docs.google.com/spreadsheets/d/1-uUXvimVhiU2U0bMN-xi2te0tS4X7DI2GLPnMjzl8cA/edit?usp=sharing"",""ลำพูน!L634"")"),0)</f>
        <v>0</v>
      </c>
      <c r="E27" s="76">
        <f ca="1">IFERROR(__xludf.DUMMYFUNCTION("IMPORTRANGE(""https://docs.google.com/spreadsheets/d/1-uUXvimVhiU2U0bMN-xi2te0tS4X7DI2GLPnMjzl8cA/edit?usp=sharing"",""ลำพูน!L641"")"),0)</f>
        <v>0</v>
      </c>
      <c r="F27" s="77">
        <f t="shared" ca="1" si="1"/>
        <v>0</v>
      </c>
      <c r="G27" s="78">
        <f t="shared" ca="1" si="2"/>
        <v>0</v>
      </c>
      <c r="H27" s="79">
        <f t="shared" ca="1" si="36"/>
        <v>0</v>
      </c>
      <c r="I27" s="76">
        <f ca="1">IFERROR(__xludf.DUMMYFUNCTION("IMPORTRANGE(""https://docs.google.com/spreadsheets/d/1-uUXvimVhiU2U0bMN-xi2te0tS4X7DI2GLPnMjzl8cA/edit?usp=sharing"",""ลำพูน!N635"")"),0)</f>
        <v>0</v>
      </c>
      <c r="J27" s="76">
        <f ca="1">IFERROR(__xludf.DUMMYFUNCTION("IMPORTRANGE(""https://docs.google.com/spreadsheets/d/1-uUXvimVhiU2U0bMN-xi2te0tS4X7DI2GLPnMjzl8cA/edit?usp=sharing"",""ลำพูน!N636"")"),0)</f>
        <v>0</v>
      </c>
      <c r="K27" s="76">
        <f ca="1">IFERROR(__xludf.DUMMYFUNCTION("IMPORTRANGE(""https://docs.google.com/spreadsheets/d/1-uUXvimVhiU2U0bMN-xi2te0tS4X7DI2GLPnMjzl8cA/edit?usp=sharing"",""ลำพูน!N637"")"),0)</f>
        <v>0</v>
      </c>
      <c r="L27" s="76">
        <f ca="1">IFERROR(__xludf.DUMMYFUNCTION("IMPORTRANGE(""https://docs.google.com/spreadsheets/d/1-uUXvimVhiU2U0bMN-xi2te0tS4X7DI2GLPnMjzl8cA/edit?usp=sharing"",""ลำพูน!N638"")"),0)</f>
        <v>0</v>
      </c>
      <c r="M27" s="80">
        <f ca="1">IFERROR(__xludf.DUMMYFUNCTION("IMPORTRANGE(""https://docs.google.com/spreadsheets/d/1-uUXvimVhiU2U0bMN-xi2te0tS4X7DI2GLPnMjzl8cA/edit?usp=sharing"",""ลำพูน!N641"")"),0)</f>
        <v>0</v>
      </c>
      <c r="N27" s="80">
        <f t="shared" ca="1" si="29"/>
        <v>0</v>
      </c>
      <c r="O27" s="81">
        <f ca="1">IFERROR(__xludf.DUMMYFUNCTION("IMPORTRANGE(""https://docs.google.com/spreadsheets/d/1-uUXvimVhiU2U0bMN-xi2te0tS4X7DI2GLPnMjzl8cA/edit?usp=sharing"",""ลำพูน!I643"")"),0)</f>
        <v>0</v>
      </c>
      <c r="P27" s="81">
        <f ca="1">IFERROR(__xludf.DUMMYFUNCTION("IMPORTRANGE(""https://docs.google.com/spreadsheets/d/1-uUXvimVhiU2U0bMN-xi2te0tS4X7DI2GLPnMjzl8cA/edit?usp=sharing"",""ลำพูน!J643"")"),0)</f>
        <v>0</v>
      </c>
      <c r="Q27" s="82">
        <f t="shared" ca="1" si="22"/>
        <v>0</v>
      </c>
      <c r="R27" s="81">
        <f ca="1">IFERROR(__xludf.DUMMYFUNCTION("IMPORTRANGE(""https://docs.google.com/spreadsheets/d/1-uUXvimVhiU2U0bMN-xi2te0tS4X7DI2GLPnMjzl8cA/edit?usp=sharing"",""ลำพูน!I644"")"),0)</f>
        <v>0</v>
      </c>
      <c r="S27" s="81">
        <f ca="1">IFERROR(__xludf.DUMMYFUNCTION("IMPORTRANGE(""https://docs.google.com/spreadsheets/d/1-uUXvimVhiU2U0bMN-xi2te0tS4X7DI2GLPnMjzl8cA/edit?usp=sharing"",""ลำพูน!J644"")"),0)</f>
        <v>0</v>
      </c>
      <c r="T27" s="82">
        <f t="shared" ca="1" si="23"/>
        <v>0</v>
      </c>
      <c r="U27" s="81">
        <f ca="1">IFERROR(__xludf.DUMMYFUNCTION("IMPORTRANGE(""https://docs.google.com/spreadsheets/d/1-uUXvimVhiU2U0bMN-xi2te0tS4X7DI2GLPnMjzl8cA/edit?usp=sharing"",""ลำพูน!J645"")"),0)</f>
        <v>0</v>
      </c>
      <c r="V27" s="276">
        <f ca="1">IFERROR(__xludf.DUMMYFUNCTION("IMPORTRANGE(""https://docs.google.com/spreadsheets/d/1-uUXvimVhiU2U0bMN-xi2te0tS4X7DI2GLPnMjzl8cA/edit?usp=sharing"",""ลำพูน!J646"")"),0)</f>
        <v>0</v>
      </c>
      <c r="W27" s="81">
        <f ca="1">IFERROR(__xludf.DUMMYFUNCTION("IMPORTRANGE(""https://docs.google.com/spreadsheets/d/1-uUXvimVhiU2U0bMN-xi2te0tS4X7DI2GLPnMjzl8cA/edit?usp=sharing"",""ลำพูน!I647"")"),0)</f>
        <v>0</v>
      </c>
      <c r="X27" s="81">
        <f ca="1">IFERROR(__xludf.DUMMYFUNCTION("IMPORTRANGE(""https://docs.google.com/spreadsheets/d/1-uUXvimVhiU2U0bMN-xi2te0tS4X7DI2GLPnMjzl8cA/edit?usp=sharing"",""ลำพูน!J647"")"),1)</f>
        <v>1</v>
      </c>
      <c r="Y27" s="276">
        <f ca="1">IFERROR(__xludf.DUMMYFUNCTION("IMPORTRANGE(""https://docs.google.com/spreadsheets/d/1-uUXvimVhiU2U0bMN-xi2te0tS4X7DI2GLPnMjzl8cA/edit?usp=sharing"",""ลำพูน!J648"")"),0.53)</f>
        <v>0.53</v>
      </c>
      <c r="Z27" s="82">
        <f t="shared" ca="1" si="24"/>
        <v>0</v>
      </c>
      <c r="AA27" s="234">
        <f ca="1">IFERROR(__xludf.DUMMYFUNCTION("IMPORTRANGE(""https://docs.google.com/spreadsheets/d/1-uUXvimVhiU2U0bMN-xi2te0tS4X7DI2GLPnMjzl8cA/edit?usp=sharing"",""ลำพูน!I649"")"),0)</f>
        <v>0</v>
      </c>
      <c r="AB27" s="81">
        <f ca="1">IFERROR(__xludf.DUMMYFUNCTION("IMPORTRANGE(""https://docs.google.com/spreadsheets/d/1-uUXvimVhiU2U0bMN-xi2te0tS4X7DI2GLPnMjzl8cA/edit?usp=sharing"",""ลำพูน!J649"")"),0)</f>
        <v>0</v>
      </c>
      <c r="AC27" s="276">
        <f ca="1">IFERROR(__xludf.DUMMYFUNCTION("IMPORTRANGE(""https://docs.google.com/spreadsheets/d/1-uUXvimVhiU2U0bMN-xi2te0tS4X7DI2GLPnMjzl8cA/edit?usp=sharing"",""ลำพูน!J650"")"),0)</f>
        <v>0</v>
      </c>
      <c r="AD27" s="82">
        <f t="shared" ca="1" si="25"/>
        <v>0</v>
      </c>
      <c r="AE27" s="234">
        <f ca="1">IFERROR(__xludf.DUMMYFUNCTION("IMPORTRANGE(""https://docs.google.com/spreadsheets/d/1-uUXvimVhiU2U0bMN-xi2te0tS4X7DI2GLPnMjzl8cA/edit?usp=sharing"",""ลำพูน!I651"")"),0)</f>
        <v>0</v>
      </c>
      <c r="AF27" s="81">
        <f ca="1">IFERROR(__xludf.DUMMYFUNCTION("IMPORTRANGE(""https://docs.google.com/spreadsheets/d/1-uUXvimVhiU2U0bMN-xi2te0tS4X7DI2GLPnMjzl8cA/edit?usp=sharing"",""ลำพูน!J651"")"),0)</f>
        <v>0</v>
      </c>
      <c r="AG27" s="276">
        <f ca="1">IFERROR(__xludf.DUMMYFUNCTION("IMPORTRANGE(""https://docs.google.com/spreadsheets/d/1-uUXvimVhiU2U0bMN-xi2te0tS4X7DI2GLPnMjzl8cA/edit?usp=sharing"",""ลำพูน!J652"")"),0)</f>
        <v>0</v>
      </c>
      <c r="AH27" s="82">
        <f t="shared" ca="1" si="26"/>
        <v>0</v>
      </c>
    </row>
    <row r="28" spans="1:34" ht="24" customHeight="1" x14ac:dyDescent="0.3">
      <c r="A28" s="72">
        <v>15</v>
      </c>
      <c r="B28" s="73" t="s">
        <v>45</v>
      </c>
      <c r="C28" s="74">
        <f t="shared" ca="1" si="35"/>
        <v>385305</v>
      </c>
      <c r="D28" s="75">
        <f ca="1">IFERROR(__xludf.DUMMYFUNCTION("IMPORTRANGE(""https://docs.google.com/spreadsheets/d/17HrOaa5pBUI1onckFfumXB8xlg35qb2uBAFfF1D-Myo/edit?usp=sharing"",""สุโขทัย!L634"")"),385305)</f>
        <v>385305</v>
      </c>
      <c r="E28" s="76">
        <f ca="1">IFERROR(__xludf.DUMMYFUNCTION("IMPORTRANGE(""https://docs.google.com/spreadsheets/d/17HrOaa5pBUI1onckFfumXB8xlg35qb2uBAFfF1D-Myo/edit?usp=sharing"",""สุโขทัย!L641"")"),0)</f>
        <v>0</v>
      </c>
      <c r="F28" s="77">
        <f t="shared" ca="1" si="1"/>
        <v>26000</v>
      </c>
      <c r="G28" s="78">
        <f t="shared" ca="1" si="2"/>
        <v>6.7479010134828252</v>
      </c>
      <c r="H28" s="79">
        <f t="shared" ca="1" si="36"/>
        <v>26000</v>
      </c>
      <c r="I28" s="76">
        <f ca="1">IFERROR(__xludf.DUMMYFUNCTION("IMPORTRANGE(""https://docs.google.com/spreadsheets/d/17HrOaa5pBUI1onckFfumXB8xlg35qb2uBAFfF1D-Myo/edit?usp=sharing"",""สุโขทัย!N635"")"),0)</f>
        <v>0</v>
      </c>
      <c r="J28" s="76">
        <f ca="1">IFERROR(__xludf.DUMMYFUNCTION("IMPORTRANGE(""https://docs.google.com/spreadsheets/d/17HrOaa5pBUI1onckFfumXB8xlg35qb2uBAFfF1D-Myo/edit?usp=sharing"",""สุโขทัย!N636"")"),0)</f>
        <v>0</v>
      </c>
      <c r="K28" s="76">
        <f ca="1">IFERROR(__xludf.DUMMYFUNCTION("IMPORTRANGE(""https://docs.google.com/spreadsheets/d/17HrOaa5pBUI1onckFfumXB8xlg35qb2uBAFfF1D-Myo/edit?usp=sharing"",""สุโขทัย!N637"")"),26000)</f>
        <v>26000</v>
      </c>
      <c r="L28" s="76">
        <f ca="1">IFERROR(__xludf.DUMMYFUNCTION("IMPORTRANGE(""https://docs.google.com/spreadsheets/d/17HrOaa5pBUI1onckFfumXB8xlg35qb2uBAFfF1D-Myo/edit?usp=sharing"",""สุโขทัย!N638"")"),0)</f>
        <v>0</v>
      </c>
      <c r="M28" s="80">
        <f ca="1">IFERROR(__xludf.DUMMYFUNCTION("IMPORTRANGE(""https://docs.google.com/spreadsheets/d/17HrOaa5pBUI1onckFfumXB8xlg35qb2uBAFfF1D-Myo/edit?usp=sharing"",""สุโขทัย!N641"")"),0)</f>
        <v>0</v>
      </c>
      <c r="N28" s="80">
        <f t="shared" ca="1" si="29"/>
        <v>0</v>
      </c>
      <c r="O28" s="81">
        <f ca="1">IFERROR(__xludf.DUMMYFUNCTION("IMPORTRANGE(""https://docs.google.com/spreadsheets/d/17HrOaa5pBUI1onckFfumXB8xlg35qb2uBAFfF1D-Myo/edit?usp=sharing"",""สุโขทัย!I643"")"),0)</f>
        <v>0</v>
      </c>
      <c r="P28" s="81">
        <f ca="1">IFERROR(__xludf.DUMMYFUNCTION("IMPORTRANGE(""https://docs.google.com/spreadsheets/d/17HrOaa5pBUI1onckFfumXB8xlg35qb2uBAFfF1D-Myo/edit?usp=sharing"",""สุโขทัย!J643"")"),0)</f>
        <v>0</v>
      </c>
      <c r="Q28" s="82">
        <f t="shared" ca="1" si="22"/>
        <v>0</v>
      </c>
      <c r="R28" s="81">
        <f ca="1">IFERROR(__xludf.DUMMYFUNCTION("IMPORTRANGE(""https://docs.google.com/spreadsheets/d/17HrOaa5pBUI1onckFfumXB8xlg35qb2uBAFfF1D-Myo/edit?usp=sharing"",""สุโขทัย!I644"")"),0)</f>
        <v>0</v>
      </c>
      <c r="S28" s="81">
        <f ca="1">IFERROR(__xludf.DUMMYFUNCTION("IMPORTRANGE(""https://docs.google.com/spreadsheets/d/17HrOaa5pBUI1onckFfumXB8xlg35qb2uBAFfF1D-Myo/edit?usp=sharing"",""สุโขทัย!J644"")"),0)</f>
        <v>0</v>
      </c>
      <c r="T28" s="82">
        <f t="shared" ca="1" si="23"/>
        <v>0</v>
      </c>
      <c r="U28" s="81">
        <f ca="1">IFERROR(__xludf.DUMMYFUNCTION("IMPORTRANGE(""https://docs.google.com/spreadsheets/d/17HrOaa5pBUI1onckFfumXB8xlg35qb2uBAFfF1D-Myo/edit?usp=sharing"",""สุโขทัย!J645"")"),57)</f>
        <v>57</v>
      </c>
      <c r="V28" s="276">
        <f ca="1">IFERROR(__xludf.DUMMYFUNCTION("IMPORTRANGE(""https://docs.google.com/spreadsheets/d/17HrOaa5pBUI1onckFfumXB8xlg35qb2uBAFfF1D-Myo/edit?usp=sharing"",""สุโขทัย!J646"")"),46.55)</f>
        <v>46.55</v>
      </c>
      <c r="W28" s="81">
        <f ca="1">IFERROR(__xludf.DUMMYFUNCTION("IMPORTRANGE(""https://docs.google.com/spreadsheets/d/17HrOaa5pBUI1onckFfumXB8xlg35qb2uBAFfF1D-Myo/edit?usp=sharing"",""สุโขทัย!I647"")"),155)</f>
        <v>155</v>
      </c>
      <c r="X28" s="81">
        <f ca="1">IFERROR(__xludf.DUMMYFUNCTION("IMPORTRANGE(""https://docs.google.com/spreadsheets/d/17HrOaa5pBUI1onckFfumXB8xlg35qb2uBAFfF1D-Myo/edit?usp=sharing"",""สุโขทัย!J647"")"),15)</f>
        <v>15</v>
      </c>
      <c r="Y28" s="276">
        <f ca="1">IFERROR(__xludf.DUMMYFUNCTION("IMPORTRANGE(""https://docs.google.com/spreadsheets/d/17HrOaa5pBUI1onckFfumXB8xlg35qb2uBAFfF1D-Myo/edit?usp=sharing"",""สุโขทัย!J648"")"),7.45)</f>
        <v>7.45</v>
      </c>
      <c r="Z28" s="82">
        <f t="shared" ca="1" si="24"/>
        <v>9.67741935483871</v>
      </c>
      <c r="AA28" s="234">
        <f ca="1">IFERROR(__xludf.DUMMYFUNCTION("IMPORTRANGE(""https://docs.google.com/spreadsheets/d/17HrOaa5pBUI1onckFfumXB8xlg35qb2uBAFfF1D-Myo/edit?usp=sharing"",""สุโขทัย!I649"")"),155)</f>
        <v>155</v>
      </c>
      <c r="AB28" s="81">
        <f ca="1">IFERROR(__xludf.DUMMYFUNCTION("IMPORTRANGE(""https://docs.google.com/spreadsheets/d/17HrOaa5pBUI1onckFfumXB8xlg35qb2uBAFfF1D-Myo/edit?usp=sharing"",""สุโขทัย!J649"")"),0)</f>
        <v>0</v>
      </c>
      <c r="AC28" s="276">
        <f ca="1">IFERROR(__xludf.DUMMYFUNCTION("IMPORTRANGE(""https://docs.google.com/spreadsheets/d/17HrOaa5pBUI1onckFfumXB8xlg35qb2uBAFfF1D-Myo/edit?usp=sharing"",""สุโขทัย!J650"")"),0)</f>
        <v>0</v>
      </c>
      <c r="AD28" s="82">
        <f t="shared" ca="1" si="25"/>
        <v>0</v>
      </c>
      <c r="AE28" s="234">
        <f ca="1">IFERROR(__xludf.DUMMYFUNCTION("IMPORTRANGE(""https://docs.google.com/spreadsheets/d/17HrOaa5pBUI1onckFfumXB8xlg35qb2uBAFfF1D-Myo/edit?usp=sharing"",""สุโขทัย!I651"")"),155)</f>
        <v>155</v>
      </c>
      <c r="AF28" s="81">
        <f ca="1">IFERROR(__xludf.DUMMYFUNCTION("IMPORTRANGE(""https://docs.google.com/spreadsheets/d/17HrOaa5pBUI1onckFfumXB8xlg35qb2uBAFfF1D-Myo/edit?usp=sharing"",""สุโขทัย!J651"")"),0)</f>
        <v>0</v>
      </c>
      <c r="AG28" s="276">
        <f ca="1">IFERROR(__xludf.DUMMYFUNCTION("IMPORTRANGE(""https://docs.google.com/spreadsheets/d/17HrOaa5pBUI1onckFfumXB8xlg35qb2uBAFfF1D-Myo/edit?usp=sharing"",""สุโขทัย!J652"")"),0)</f>
        <v>0</v>
      </c>
      <c r="AH28" s="82">
        <f t="shared" ca="1" si="26"/>
        <v>0</v>
      </c>
    </row>
    <row r="29" spans="1:34" ht="24" customHeight="1" x14ac:dyDescent="0.3">
      <c r="A29" s="72">
        <v>16</v>
      </c>
      <c r="B29" s="73" t="s">
        <v>46</v>
      </c>
      <c r="C29" s="74">
        <f t="shared" ca="1" si="35"/>
        <v>165700</v>
      </c>
      <c r="D29" s="75">
        <f ca="1">IFERROR(__xludf.DUMMYFUNCTION("IMPORTRANGE(""https://docs.google.com/spreadsheets/d/1ubs5cl16eYL9gHbdHTJtmtYb9MGzHBs7CAphn8kNCgM/edit?usp=sharing"",""อุตรดิตถ์!L634"")"),165700)</f>
        <v>165700</v>
      </c>
      <c r="E29" s="76">
        <f ca="1">IFERROR(__xludf.DUMMYFUNCTION("IMPORTRANGE(""https://docs.google.com/spreadsheets/d/1ubs5cl16eYL9gHbdHTJtmtYb9MGzHBs7CAphn8kNCgM/edit?usp=sharing"",""อุตรดิตถ์!L641"")"),0)</f>
        <v>0</v>
      </c>
      <c r="F29" s="77">
        <f t="shared" ca="1" si="1"/>
        <v>0</v>
      </c>
      <c r="G29" s="78">
        <f t="shared" ca="1" si="2"/>
        <v>0</v>
      </c>
      <c r="H29" s="79">
        <f t="shared" ca="1" si="36"/>
        <v>0</v>
      </c>
      <c r="I29" s="76">
        <f ca="1">IFERROR(__xludf.DUMMYFUNCTION("IMPORTRANGE(""https://docs.google.com/spreadsheets/d/1ubs5cl16eYL9gHbdHTJtmtYb9MGzHBs7CAphn8kNCgM/edit?usp=sharing"",""อุตรดิตถ์!N635"")"),0)</f>
        <v>0</v>
      </c>
      <c r="J29" s="76">
        <f ca="1">IFERROR(__xludf.DUMMYFUNCTION("IMPORTRANGE(""https://docs.google.com/spreadsheets/d/1ubs5cl16eYL9gHbdHTJtmtYb9MGzHBs7CAphn8kNCgM/edit?usp=sharing"",""อุตรดิตถ์!N636"")"),0)</f>
        <v>0</v>
      </c>
      <c r="K29" s="76">
        <f ca="1">IFERROR(__xludf.DUMMYFUNCTION("IMPORTRANGE(""https://docs.google.com/spreadsheets/d/1ubs5cl16eYL9gHbdHTJtmtYb9MGzHBs7CAphn8kNCgM/edit?usp=sharing"",""อุตรดิตถ์!N637"")"),0)</f>
        <v>0</v>
      </c>
      <c r="L29" s="76">
        <f ca="1">IFERROR(__xludf.DUMMYFUNCTION("IMPORTRANGE(""https://docs.google.com/spreadsheets/d/1ubs5cl16eYL9gHbdHTJtmtYb9MGzHBs7CAphn8kNCgM/edit?usp=sharing"",""อุตรดิตถ์!N638"")"),0)</f>
        <v>0</v>
      </c>
      <c r="M29" s="80">
        <f ca="1">IFERROR(__xludf.DUMMYFUNCTION("IMPORTRANGE(""https://docs.google.com/spreadsheets/d/1ubs5cl16eYL9gHbdHTJtmtYb9MGzHBs7CAphn8kNCgM/edit?usp=sharing"",""อุตรดิตถ์!N641"")"),0)</f>
        <v>0</v>
      </c>
      <c r="N29" s="80">
        <f t="shared" ca="1" si="29"/>
        <v>0</v>
      </c>
      <c r="O29" s="81">
        <f ca="1">IFERROR(__xludf.DUMMYFUNCTION("IMPORTRANGE(""https://docs.google.com/spreadsheets/d/1ubs5cl16eYL9gHbdHTJtmtYb9MGzHBs7CAphn8kNCgM/edit?usp=sharing"",""อุตรดิตถ์!I643"")"),0)</f>
        <v>0</v>
      </c>
      <c r="P29" s="81">
        <f ca="1">IFERROR(__xludf.DUMMYFUNCTION("IMPORTRANGE(""https://docs.google.com/spreadsheets/d/1ubs5cl16eYL9gHbdHTJtmtYb9MGzHBs7CAphn8kNCgM/edit?usp=sharing"",""อุตรดิตถ์!J643"")"),0)</f>
        <v>0</v>
      </c>
      <c r="Q29" s="82">
        <f t="shared" ca="1" si="22"/>
        <v>0</v>
      </c>
      <c r="R29" s="81">
        <f ca="1">IFERROR(__xludf.DUMMYFUNCTION("IMPORTRANGE(""https://docs.google.com/spreadsheets/d/1ubs5cl16eYL9gHbdHTJtmtYb9MGzHBs7CAphn8kNCgM/edit?usp=sharing"",""อุตรดิตถ์!I644"")"),0)</f>
        <v>0</v>
      </c>
      <c r="S29" s="81">
        <f ca="1">IFERROR(__xludf.DUMMYFUNCTION("IMPORTRANGE(""https://docs.google.com/spreadsheets/d/1ubs5cl16eYL9gHbdHTJtmtYb9MGzHBs7CAphn8kNCgM/edit?usp=sharing"",""อุตรดิตถ์!J644"")"),0)</f>
        <v>0</v>
      </c>
      <c r="T29" s="82">
        <f t="shared" ca="1" si="23"/>
        <v>0</v>
      </c>
      <c r="U29" s="81">
        <f ca="1">IFERROR(__xludf.DUMMYFUNCTION("IMPORTRANGE(""https://docs.google.com/spreadsheets/d/1ubs5cl16eYL9gHbdHTJtmtYb9MGzHBs7CAphn8kNCgM/edit?usp=sharing"",""อุตรดิตถ์!J645"")"),0)</f>
        <v>0</v>
      </c>
      <c r="V29" s="276">
        <f ca="1">IFERROR(__xludf.DUMMYFUNCTION("IMPORTRANGE(""https://docs.google.com/spreadsheets/d/1ubs5cl16eYL9gHbdHTJtmtYb9MGzHBs7CAphn8kNCgM/edit?usp=sharing"",""อุตรดิตถ์!J646"")"),0)</f>
        <v>0</v>
      </c>
      <c r="W29" s="81">
        <f ca="1">IFERROR(__xludf.DUMMYFUNCTION("IMPORTRANGE(""https://docs.google.com/spreadsheets/d/1ubs5cl16eYL9gHbdHTJtmtYb9MGzHBs7CAphn8kNCgM/edit?usp=sharing"",""อุตรดิตถ์!I647"")"),10)</f>
        <v>10</v>
      </c>
      <c r="X29" s="81">
        <f ca="1">IFERROR(__xludf.DUMMYFUNCTION("IMPORTRANGE(""https://docs.google.com/spreadsheets/d/1ubs5cl16eYL9gHbdHTJtmtYb9MGzHBs7CAphn8kNCgM/edit?usp=sharing"",""อุตรดิตถ์!J647"")"),0)</f>
        <v>0</v>
      </c>
      <c r="Y29" s="276">
        <f ca="1">IFERROR(__xludf.DUMMYFUNCTION("IMPORTRANGE(""https://docs.google.com/spreadsheets/d/1ubs5cl16eYL9gHbdHTJtmtYb9MGzHBs7CAphn8kNCgM/edit?usp=sharing"",""อุตรดิตถ์!J648"")"),0)</f>
        <v>0</v>
      </c>
      <c r="Z29" s="82">
        <f t="shared" ca="1" si="24"/>
        <v>0</v>
      </c>
      <c r="AA29" s="234">
        <f ca="1">IFERROR(__xludf.DUMMYFUNCTION("IMPORTRANGE(""https://docs.google.com/spreadsheets/d/1ubs5cl16eYL9gHbdHTJtmtYb9MGzHBs7CAphn8kNCgM/edit?usp=sharing"",""อุตรดิตถ์!I649"")"),10)</f>
        <v>10</v>
      </c>
      <c r="AB29" s="81">
        <f ca="1">IFERROR(__xludf.DUMMYFUNCTION("IMPORTRANGE(""https://docs.google.com/spreadsheets/d/1ubs5cl16eYL9gHbdHTJtmtYb9MGzHBs7CAphn8kNCgM/edit?usp=sharing"",""อุตรดิตถ์!J649"")"),0)</f>
        <v>0</v>
      </c>
      <c r="AC29" s="276">
        <f ca="1">IFERROR(__xludf.DUMMYFUNCTION("IMPORTRANGE(""https://docs.google.com/spreadsheets/d/1ubs5cl16eYL9gHbdHTJtmtYb9MGzHBs7CAphn8kNCgM/edit?usp=sharing"",""อุตรดิตถ์!J650"")"),0)</f>
        <v>0</v>
      </c>
      <c r="AD29" s="82">
        <f t="shared" ca="1" si="25"/>
        <v>0</v>
      </c>
      <c r="AE29" s="234">
        <f ca="1">IFERROR(__xludf.DUMMYFUNCTION("IMPORTRANGE(""https://docs.google.com/spreadsheets/d/1ubs5cl16eYL9gHbdHTJtmtYb9MGzHBs7CAphn8kNCgM/edit?usp=sharing"",""อุตรดิตถ์!I651"")"),10)</f>
        <v>10</v>
      </c>
      <c r="AF29" s="81">
        <f ca="1">IFERROR(__xludf.DUMMYFUNCTION("IMPORTRANGE(""https://docs.google.com/spreadsheets/d/1ubs5cl16eYL9gHbdHTJtmtYb9MGzHBs7CAphn8kNCgM/edit?usp=sharing"",""อุตรดิตถ์!J651"")"),0)</f>
        <v>0</v>
      </c>
      <c r="AG29" s="276">
        <f ca="1">IFERROR(__xludf.DUMMYFUNCTION("IMPORTRANGE(""https://docs.google.com/spreadsheets/d/1ubs5cl16eYL9gHbdHTJtmtYb9MGzHBs7CAphn8kNCgM/edit?usp=sharing"",""อุตรดิตถ์!J652"")"),0)</f>
        <v>0</v>
      </c>
      <c r="AH29" s="82">
        <f t="shared" ca="1" si="26"/>
        <v>0</v>
      </c>
    </row>
    <row r="30" spans="1:34" ht="24" customHeight="1" x14ac:dyDescent="0.3">
      <c r="A30" s="83">
        <v>17</v>
      </c>
      <c r="B30" s="84" t="s">
        <v>47</v>
      </c>
      <c r="C30" s="85">
        <f t="shared" ca="1" si="35"/>
        <v>171750</v>
      </c>
      <c r="D30" s="86">
        <f ca="1">IFERROR(__xludf.DUMMYFUNCTION("IMPORTRANGE(""https://docs.google.com/spreadsheets/d/1kII0BjS6CtVrBvI8IrytgPdxDrlyQDyigzMsohRtDMs/edit?usp=sharing"",""อุทัยธานี!L634"")"),171750)</f>
        <v>171750</v>
      </c>
      <c r="E30" s="87">
        <f ca="1">IFERROR(__xludf.DUMMYFUNCTION("IMPORTRANGE(""https://docs.google.com/spreadsheets/d/1kII0BjS6CtVrBvI8IrytgPdxDrlyQDyigzMsohRtDMs/edit?usp=sharing"",""อุทัยธานี!L641"")"),0)</f>
        <v>0</v>
      </c>
      <c r="F30" s="88">
        <f t="shared" ca="1" si="1"/>
        <v>7179.7</v>
      </c>
      <c r="G30" s="89">
        <f t="shared" ca="1" si="2"/>
        <v>4.1803202328966522</v>
      </c>
      <c r="H30" s="90">
        <f t="shared" ca="1" si="36"/>
        <v>7179.7</v>
      </c>
      <c r="I30" s="87">
        <f ca="1">IFERROR(__xludf.DUMMYFUNCTION("IMPORTRANGE(""https://docs.google.com/spreadsheets/d/1kII0BjS6CtVrBvI8IrytgPdxDrlyQDyigzMsohRtDMs/edit?usp=sharing"",""อุทัยธานี!N635"")"),0)</f>
        <v>0</v>
      </c>
      <c r="J30" s="87">
        <f ca="1">IFERROR(__xludf.DUMMYFUNCTION("IMPORTRANGE(""https://docs.google.com/spreadsheets/d/1kII0BjS6CtVrBvI8IrytgPdxDrlyQDyigzMsohRtDMs/edit?usp=sharing"",""อุทัยธานี!N636"")"),0)</f>
        <v>0</v>
      </c>
      <c r="K30" s="87">
        <f ca="1">IFERROR(__xludf.DUMMYFUNCTION("IMPORTRANGE(""https://docs.google.com/spreadsheets/d/1kII0BjS6CtVrBvI8IrytgPdxDrlyQDyigzMsohRtDMs/edit?usp=sharing"",""อุทัยธานี!N637"")"),0)</f>
        <v>0</v>
      </c>
      <c r="L30" s="87">
        <f ca="1">IFERROR(__xludf.DUMMYFUNCTION("IMPORTRANGE(""https://docs.google.com/spreadsheets/d/1kII0BjS6CtVrBvI8IrytgPdxDrlyQDyigzMsohRtDMs/edit?usp=sharing"",""อุทัยธานี!N638"")"),7179.7)</f>
        <v>7179.7</v>
      </c>
      <c r="M30" s="91">
        <f ca="1">IFERROR(__xludf.DUMMYFUNCTION("IMPORTRANGE(""https://docs.google.com/spreadsheets/d/1kII0BjS6CtVrBvI8IrytgPdxDrlyQDyigzMsohRtDMs/edit?usp=sharing"",""อุทัยธานี!N641"")"),0)</f>
        <v>0</v>
      </c>
      <c r="N30" s="91">
        <f t="shared" ca="1" si="29"/>
        <v>0</v>
      </c>
      <c r="O30" s="92">
        <f ca="1">IFERROR(__xludf.DUMMYFUNCTION("IMPORTRANGE(""https://docs.google.com/spreadsheets/d/1kII0BjS6CtVrBvI8IrytgPdxDrlyQDyigzMsohRtDMs/edit?usp=sharing"",""อุทัยธานี!I643"")"),0)</f>
        <v>0</v>
      </c>
      <c r="P30" s="92">
        <f ca="1">IFERROR(__xludf.DUMMYFUNCTION("IMPORTRANGE(""https://docs.google.com/spreadsheets/d/1kII0BjS6CtVrBvI8IrytgPdxDrlyQDyigzMsohRtDMs/edit?usp=sharing"",""อุทัยธานี!J643"")"),0)</f>
        <v>0</v>
      </c>
      <c r="Q30" s="93">
        <f t="shared" ca="1" si="22"/>
        <v>0</v>
      </c>
      <c r="R30" s="92">
        <f ca="1">IFERROR(__xludf.DUMMYFUNCTION("IMPORTRANGE(""https://docs.google.com/spreadsheets/d/1kII0BjS6CtVrBvI8IrytgPdxDrlyQDyigzMsohRtDMs/edit?usp=sharing"",""อุทัยธานี!I644"")"),0)</f>
        <v>0</v>
      </c>
      <c r="S30" s="92">
        <f ca="1">IFERROR(__xludf.DUMMYFUNCTION("IMPORTRANGE(""https://docs.google.com/spreadsheets/d/1kII0BjS6CtVrBvI8IrytgPdxDrlyQDyigzMsohRtDMs/edit?usp=sharing"",""อุทัยธานี!J644"")"),0)</f>
        <v>0</v>
      </c>
      <c r="T30" s="93">
        <f t="shared" ca="1" si="23"/>
        <v>0</v>
      </c>
      <c r="U30" s="92">
        <f ca="1">IFERROR(__xludf.DUMMYFUNCTION("IMPORTRANGE(""https://docs.google.com/spreadsheets/d/1kII0BjS6CtVrBvI8IrytgPdxDrlyQDyigzMsohRtDMs/edit?usp=sharing"",""อุทัยธานี!J645"")"),6)</f>
        <v>6</v>
      </c>
      <c r="V30" s="277">
        <f ca="1">IFERROR(__xludf.DUMMYFUNCTION("IMPORTRANGE(""https://docs.google.com/spreadsheets/d/1kII0BjS6CtVrBvI8IrytgPdxDrlyQDyigzMsohRtDMs/edit?usp=sharing"",""อุทัยธานี!J646"")"),4.88)</f>
        <v>4.88</v>
      </c>
      <c r="W30" s="92">
        <f ca="1">IFERROR(__xludf.DUMMYFUNCTION("IMPORTRANGE(""https://docs.google.com/spreadsheets/d/1kII0BjS6CtVrBvI8IrytgPdxDrlyQDyigzMsohRtDMs/edit?usp=sharing"",""อุทัยธานี!I647"")"),45)</f>
        <v>45</v>
      </c>
      <c r="X30" s="92">
        <f ca="1">IFERROR(__xludf.DUMMYFUNCTION("IMPORTRANGE(""https://docs.google.com/spreadsheets/d/1kII0BjS6CtVrBvI8IrytgPdxDrlyQDyigzMsohRtDMs/edit?usp=sharing"",""อุทัยธานี!J647"")"),1)</f>
        <v>1</v>
      </c>
      <c r="Y30" s="277">
        <f ca="1">IFERROR(__xludf.DUMMYFUNCTION("IMPORTRANGE(""https://docs.google.com/spreadsheets/d/1kII0BjS6CtVrBvI8IrytgPdxDrlyQDyigzMsohRtDMs/edit?usp=sharing"",""อุทัยธานี!J648"")"),0.35)</f>
        <v>0.35</v>
      </c>
      <c r="Z30" s="93">
        <f t="shared" ca="1" si="24"/>
        <v>2.2222222222222223</v>
      </c>
      <c r="AA30" s="235">
        <f ca="1">IFERROR(__xludf.DUMMYFUNCTION("IMPORTRANGE(""https://docs.google.com/spreadsheets/d/1kII0BjS6CtVrBvI8IrytgPdxDrlyQDyigzMsohRtDMs/edit?usp=sharing"",""อุทัยธานี!I649"")"),45)</f>
        <v>45</v>
      </c>
      <c r="AB30" s="92">
        <f ca="1">IFERROR(__xludf.DUMMYFUNCTION("IMPORTRANGE(""https://docs.google.com/spreadsheets/d/1kII0BjS6CtVrBvI8IrytgPdxDrlyQDyigzMsohRtDMs/edit?usp=sharing"",""อุทัยธานี!J649"")"),1)</f>
        <v>1</v>
      </c>
      <c r="AC30" s="277">
        <f ca="1">IFERROR(__xludf.DUMMYFUNCTION("IMPORTRANGE(""https://docs.google.com/spreadsheets/d/1kII0BjS6CtVrBvI8IrytgPdxDrlyQDyigzMsohRtDMs/edit?usp=sharing"",""อุทัยธานี!J650"")"),0.35)</f>
        <v>0.35</v>
      </c>
      <c r="AD30" s="93">
        <f t="shared" ca="1" si="25"/>
        <v>2.2222222222222223</v>
      </c>
      <c r="AE30" s="235">
        <f ca="1">IFERROR(__xludf.DUMMYFUNCTION("IMPORTRANGE(""https://docs.google.com/spreadsheets/d/1kII0BjS6CtVrBvI8IrytgPdxDrlyQDyigzMsohRtDMs/edit?usp=sharing"",""อุทัยธานี!I651"")"),45)</f>
        <v>45</v>
      </c>
      <c r="AF30" s="92">
        <f ca="1">IFERROR(__xludf.DUMMYFUNCTION("IMPORTRANGE(""https://docs.google.com/spreadsheets/d/1kII0BjS6CtVrBvI8IrytgPdxDrlyQDyigzMsohRtDMs/edit?usp=sharing"",""อุทัยธานี!J651"")"),0)</f>
        <v>0</v>
      </c>
      <c r="AG30" s="277">
        <f ca="1">IFERROR(__xludf.DUMMYFUNCTION("IMPORTRANGE(""https://docs.google.com/spreadsheets/d/1kII0BjS6CtVrBvI8IrytgPdxDrlyQDyigzMsohRtDMs/edit?usp=sharing"",""อุทัยธานี!J652"")"),0)</f>
        <v>0</v>
      </c>
      <c r="AH30" s="93">
        <f t="shared" ca="1" si="26"/>
        <v>0</v>
      </c>
    </row>
    <row r="31" spans="1:34" ht="21" customHeight="1" x14ac:dyDescent="0.3">
      <c r="A31" s="305" t="s">
        <v>48</v>
      </c>
      <c r="B31" s="306"/>
      <c r="C31" s="34">
        <f t="shared" ref="C31:E31" ca="1" si="37">SUM(C32:C51)</f>
        <v>11806445</v>
      </c>
      <c r="D31" s="34">
        <f t="shared" ca="1" si="37"/>
        <v>11806445</v>
      </c>
      <c r="E31" s="57">
        <f t="shared" ca="1" si="37"/>
        <v>0</v>
      </c>
      <c r="F31" s="57">
        <f t="shared" ca="1" si="1"/>
        <v>3897643.3699999992</v>
      </c>
      <c r="G31" s="94">
        <f t="shared" ca="1" si="2"/>
        <v>33.012844848724569</v>
      </c>
      <c r="H31" s="57">
        <f t="shared" ref="H31:M31" ca="1" si="38">SUM(H32:H51)</f>
        <v>3897643.3699999992</v>
      </c>
      <c r="I31" s="57">
        <f t="shared" ca="1" si="38"/>
        <v>0</v>
      </c>
      <c r="J31" s="57">
        <f t="shared" ca="1" si="38"/>
        <v>61320</v>
      </c>
      <c r="K31" s="57">
        <f t="shared" ca="1" si="38"/>
        <v>1049497.5899999999</v>
      </c>
      <c r="L31" s="57">
        <f t="shared" ca="1" si="38"/>
        <v>2786825.7800000003</v>
      </c>
      <c r="M31" s="95">
        <f t="shared" ca="1" si="38"/>
        <v>0</v>
      </c>
      <c r="N31" s="95">
        <f t="shared" ca="1" si="29"/>
        <v>0</v>
      </c>
      <c r="O31" s="57">
        <f t="shared" ref="O31:P31" ca="1" si="39">SUM(O32:O51)</f>
        <v>7</v>
      </c>
      <c r="P31" s="57">
        <f t="shared" ca="1" si="39"/>
        <v>6</v>
      </c>
      <c r="Q31" s="96">
        <f t="shared" ca="1" si="22"/>
        <v>85.714285714285708</v>
      </c>
      <c r="R31" s="57">
        <f t="shared" ref="R31:S31" ca="1" si="40">SUM(R32:R51)</f>
        <v>7</v>
      </c>
      <c r="S31" s="57">
        <f t="shared" ca="1" si="40"/>
        <v>6</v>
      </c>
      <c r="T31" s="96">
        <f t="shared" ca="1" si="23"/>
        <v>85.714285714285708</v>
      </c>
      <c r="U31" s="57">
        <f t="shared" ref="U31:Y31" ca="1" si="41">SUM(U32:U51)</f>
        <v>3191</v>
      </c>
      <c r="V31" s="278">
        <f t="shared" ca="1" si="41"/>
        <v>1880.4099999999999</v>
      </c>
      <c r="W31" s="57">
        <f t="shared" ca="1" si="41"/>
        <v>8730</v>
      </c>
      <c r="X31" s="57">
        <f t="shared" ca="1" si="41"/>
        <v>4367</v>
      </c>
      <c r="Y31" s="278">
        <f t="shared" ca="1" si="41"/>
        <v>2536.4999999999986</v>
      </c>
      <c r="Z31" s="96">
        <f t="shared" ca="1" si="24"/>
        <v>50.02290950744559</v>
      </c>
      <c r="AA31" s="231">
        <f t="shared" ref="AA31:AC31" ca="1" si="42">SUM(AA32:AA51)</f>
        <v>8730</v>
      </c>
      <c r="AB31" s="57">
        <f t="shared" ca="1" si="42"/>
        <v>3802</v>
      </c>
      <c r="AC31" s="278">
        <f t="shared" ca="1" si="42"/>
        <v>2201.8100000000004</v>
      </c>
      <c r="AD31" s="96">
        <f t="shared" ca="1" si="25"/>
        <v>43.550973654066439</v>
      </c>
      <c r="AE31" s="231">
        <f t="shared" ref="AE31:AG31" ca="1" si="43">SUM(AE32:AE51)</f>
        <v>8730</v>
      </c>
      <c r="AF31" s="57">
        <f t="shared" ca="1" si="43"/>
        <v>760</v>
      </c>
      <c r="AG31" s="278">
        <f t="shared" ca="1" si="43"/>
        <v>408.27000000000004</v>
      </c>
      <c r="AH31" s="96">
        <f t="shared" ca="1" si="26"/>
        <v>8.7056128293241688</v>
      </c>
    </row>
    <row r="32" spans="1:34" ht="21" customHeight="1" x14ac:dyDescent="0.3">
      <c r="A32" s="62">
        <v>1</v>
      </c>
      <c r="B32" s="63" t="s">
        <v>49</v>
      </c>
      <c r="C32" s="97">
        <f t="shared" ref="C32:C51" ca="1" si="44">D32+E32</f>
        <v>381515</v>
      </c>
      <c r="D32" s="98">
        <f ca="1">IFERROR(__xludf.DUMMYFUNCTION("IMPORTRANGE(""https://docs.google.com/spreadsheets/d/1fb2B9NLcpJgjIieIJvenUTNPn0TimZDUi0OtYeiSQ_s/edit?usp=sharing"",""กาฬสินธุ์!L634"")"),381515)</f>
        <v>381515</v>
      </c>
      <c r="E32" s="66">
        <f ca="1">IFERROR(__xludf.DUMMYFUNCTION("IMPORTRANGE(""https://docs.google.com/spreadsheets/d/1fb2B9NLcpJgjIieIJvenUTNPn0TimZDUi0OtYeiSQ_s/edit?usp=sharing"",""กาฬสินธุ์!L641"")"),0)</f>
        <v>0</v>
      </c>
      <c r="F32" s="67">
        <f t="shared" ca="1" si="1"/>
        <v>211168.15999999997</v>
      </c>
      <c r="G32" s="68">
        <f t="shared" ca="1" si="2"/>
        <v>55.349897120689874</v>
      </c>
      <c r="H32" s="69">
        <f t="shared" ref="H32:H51" ca="1" si="45">I32+J32+K32+L32</f>
        <v>211168.15999999997</v>
      </c>
      <c r="I32" s="66">
        <f ca="1">IFERROR(__xludf.DUMMYFUNCTION("IMPORTRANGE(""https://docs.google.com/spreadsheets/d/1fb2B9NLcpJgjIieIJvenUTNPn0TimZDUi0OtYeiSQ_s/edit?usp=sharing"",""กาฬสินธุ์!N635"")"),0)</f>
        <v>0</v>
      </c>
      <c r="J32" s="66">
        <f ca="1">IFERROR(__xludf.DUMMYFUNCTION("IMPORTRANGE(""https://docs.google.com/spreadsheets/d/1fb2B9NLcpJgjIieIJvenUTNPn0TimZDUi0OtYeiSQ_s/edit?usp=sharing"",""กาฬสินธุ์!N636"")"),0)</f>
        <v>0</v>
      </c>
      <c r="K32" s="66">
        <f ca="1">IFERROR(__xludf.DUMMYFUNCTION("IMPORTRANGE(""https://docs.google.com/spreadsheets/d/1fb2B9NLcpJgjIieIJvenUTNPn0TimZDUi0OtYeiSQ_s/edit?usp=sharing"",""กาฬสินธุ์!N637"")"),37322.58)</f>
        <v>37322.58</v>
      </c>
      <c r="L32" s="66">
        <f ca="1">IFERROR(__xludf.DUMMYFUNCTION("IMPORTRANGE(""https://docs.google.com/spreadsheets/d/1fb2B9NLcpJgjIieIJvenUTNPn0TimZDUi0OtYeiSQ_s/edit?usp=sharing"",""กาฬสินธุ์!N638"")"),173845.58)</f>
        <v>173845.58</v>
      </c>
      <c r="M32" s="70">
        <f ca="1">IFERROR(__xludf.DUMMYFUNCTION("IMPORTRANGE(""https://docs.google.com/spreadsheets/d/1fb2B9NLcpJgjIieIJvenUTNPn0TimZDUi0OtYeiSQ_s/edit?usp=sharing"",""กาฬสินธุ์!N641"")"),0)</f>
        <v>0</v>
      </c>
      <c r="N32" s="70">
        <f t="shared" ca="1" si="29"/>
        <v>0</v>
      </c>
      <c r="O32" s="66">
        <f ca="1">IFERROR(__xludf.DUMMYFUNCTION("IMPORTRANGE(""https://docs.google.com/spreadsheets/d/1fb2B9NLcpJgjIieIJvenUTNPn0TimZDUi0OtYeiSQ_s/edit?usp=sharing"",""กาฬสินธุ์!I643"")"),0)</f>
        <v>0</v>
      </c>
      <c r="P32" s="66">
        <f ca="1">IFERROR(__xludf.DUMMYFUNCTION("IMPORTRANGE(""https://docs.google.com/spreadsheets/d/1fb2B9NLcpJgjIieIJvenUTNPn0TimZDUi0OtYeiSQ_s/edit?usp=sharing"",""กาฬสินธุ์!J643"")"),0)</f>
        <v>0</v>
      </c>
      <c r="Q32" s="71">
        <f t="shared" ca="1" si="22"/>
        <v>0</v>
      </c>
      <c r="R32" s="66">
        <f ca="1">IFERROR(__xludf.DUMMYFUNCTION("IMPORTRANGE(""https://docs.google.com/spreadsheets/d/1fb2B9NLcpJgjIieIJvenUTNPn0TimZDUi0OtYeiSQ_s/edit?usp=sharing"",""กาฬสินธุ์!I644"")"),0)</f>
        <v>0</v>
      </c>
      <c r="S32" s="66">
        <f ca="1">IFERROR(__xludf.DUMMYFUNCTION("IMPORTRANGE(""https://docs.google.com/spreadsheets/d/1fb2B9NLcpJgjIieIJvenUTNPn0TimZDUi0OtYeiSQ_s/edit?usp=sharing"",""กาฬสินธุ์!J644"")"),0)</f>
        <v>0</v>
      </c>
      <c r="T32" s="71">
        <f t="shared" ca="1" si="23"/>
        <v>0</v>
      </c>
      <c r="U32" s="66">
        <f ca="1">IFERROR(__xludf.DUMMYFUNCTION("IMPORTRANGE(""https://docs.google.com/spreadsheets/d/1fb2B9NLcpJgjIieIJvenUTNPn0TimZDUi0OtYeiSQ_s/edit?usp=sharing"",""กาฬสินธุ์!J645"")"),115)</f>
        <v>115</v>
      </c>
      <c r="V32" s="275">
        <f ca="1">IFERROR(__xludf.DUMMYFUNCTION("IMPORTRANGE(""https://docs.google.com/spreadsheets/d/1fb2B9NLcpJgjIieIJvenUTNPn0TimZDUi0OtYeiSQ_s/edit?usp=sharing"",""กาฬสินธุ์!J646"")"),66)</f>
        <v>66</v>
      </c>
      <c r="W32" s="66">
        <f ca="1">IFERROR(__xludf.DUMMYFUNCTION("IMPORTRANGE(""https://docs.google.com/spreadsheets/d/1fb2B9NLcpJgjIieIJvenUTNPn0TimZDUi0OtYeiSQ_s/edit?usp=sharing"",""กาฬสินธุ์!I647"")"),100)</f>
        <v>100</v>
      </c>
      <c r="X32" s="66">
        <f ca="1">IFERROR(__xludf.DUMMYFUNCTION("IMPORTRANGE(""https://docs.google.com/spreadsheets/d/1fb2B9NLcpJgjIieIJvenUTNPn0TimZDUi0OtYeiSQ_s/edit?usp=sharing"",""กาฬสินธุ์!J647"")"),99)</f>
        <v>99</v>
      </c>
      <c r="Y32" s="275">
        <f ca="1">IFERROR(__xludf.DUMMYFUNCTION("IMPORTRANGE(""https://docs.google.com/spreadsheets/d/1fb2B9NLcpJgjIieIJvenUTNPn0TimZDUi0OtYeiSQ_s/edit?usp=sharing"",""กาฬสินธุ์!J648"")"),59.08)</f>
        <v>59.08</v>
      </c>
      <c r="Z32" s="71">
        <f t="shared" ca="1" si="24"/>
        <v>99</v>
      </c>
      <c r="AA32" s="234">
        <f ca="1">IFERROR(__xludf.DUMMYFUNCTION("IMPORTRANGE(""https://docs.google.com/spreadsheets/d/1fb2B9NLcpJgjIieIJvenUTNPn0TimZDUi0OtYeiSQ_s/edit?usp=sharing"",""กาฬสินธุ์!I649"")"),100)</f>
        <v>100</v>
      </c>
      <c r="AB32" s="66">
        <f ca="1">IFERROR(__xludf.DUMMYFUNCTION("IMPORTRANGE(""https://docs.google.com/spreadsheets/d/1fb2B9NLcpJgjIieIJvenUTNPn0TimZDUi0OtYeiSQ_s/edit?usp=sharing"",""กาฬสินธุ์!J649"")"),42)</f>
        <v>42</v>
      </c>
      <c r="AC32" s="275">
        <f ca="1">IFERROR(__xludf.DUMMYFUNCTION("IMPORTRANGE(""https://docs.google.com/spreadsheets/d/1fb2B9NLcpJgjIieIJvenUTNPn0TimZDUi0OtYeiSQ_s/edit?usp=sharing"",""กาฬสินธุ์!J650"")"),25.11)</f>
        <v>25.11</v>
      </c>
      <c r="AD32" s="71">
        <f t="shared" ca="1" si="25"/>
        <v>42</v>
      </c>
      <c r="AE32" s="234">
        <f ca="1">IFERROR(__xludf.DUMMYFUNCTION("IMPORTRANGE(""https://docs.google.com/spreadsheets/d/1fb2B9NLcpJgjIieIJvenUTNPn0TimZDUi0OtYeiSQ_s/edit?usp=sharing"",""กาฬสินธุ์!I651"")"),100)</f>
        <v>100</v>
      </c>
      <c r="AF32" s="66">
        <f ca="1">IFERROR(__xludf.DUMMYFUNCTION("IMPORTRANGE(""https://docs.google.com/spreadsheets/d/1fb2B9NLcpJgjIieIJvenUTNPn0TimZDUi0OtYeiSQ_s/edit?usp=sharing"",""กาฬสินธุ์!J651"")"),42)</f>
        <v>42</v>
      </c>
      <c r="AG32" s="275">
        <f ca="1">IFERROR(__xludf.DUMMYFUNCTION("IMPORTRANGE(""https://docs.google.com/spreadsheets/d/1fb2B9NLcpJgjIieIJvenUTNPn0TimZDUi0OtYeiSQ_s/edit?usp=sharing"",""กาฬสินธุ์!J652"")"),25.11)</f>
        <v>25.11</v>
      </c>
      <c r="AH32" s="71">
        <f t="shared" ca="1" si="26"/>
        <v>42</v>
      </c>
    </row>
    <row r="33" spans="1:34" ht="21" customHeight="1" x14ac:dyDescent="0.3">
      <c r="A33" s="72">
        <v>2</v>
      </c>
      <c r="B33" s="73" t="s">
        <v>50</v>
      </c>
      <c r="C33" s="74">
        <f t="shared" ca="1" si="44"/>
        <v>237485</v>
      </c>
      <c r="D33" s="75">
        <f ca="1">IFERROR(__xludf.DUMMYFUNCTION("IMPORTRANGE(""https://docs.google.com/spreadsheets/d/1SaMnqrwRGmFYNR0MhpWmHuL5niYUd5E7vDq8X7whAlI/edit?usp=sharing"",""ขอนแก่น!L634"")"),237485)</f>
        <v>237485</v>
      </c>
      <c r="E33" s="76">
        <f ca="1">IFERROR(__xludf.DUMMYFUNCTION("IMPORTRANGE(""https://docs.google.com/spreadsheets/d/1SaMnqrwRGmFYNR0MhpWmHuL5niYUd5E7vDq8X7whAlI/edit?usp=sharing"",""ขอนแก่น!L641"")"),0)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45"/>
        <v>0</v>
      </c>
      <c r="I33" s="76">
        <f ca="1">IFERROR(__xludf.DUMMYFUNCTION("IMPORTRANGE(""https://docs.google.com/spreadsheets/d/1SaMnqrwRGmFYNR0MhpWmHuL5niYUd5E7vDq8X7whAlI/edit?usp=sharing"",""ขอนแก่น!N635"")"),0)</f>
        <v>0</v>
      </c>
      <c r="J33" s="76">
        <f ca="1">IFERROR(__xludf.DUMMYFUNCTION("IMPORTRANGE(""https://docs.google.com/spreadsheets/d/1SaMnqrwRGmFYNR0MhpWmHuL5niYUd5E7vDq8X7whAlI/edit?usp=sharing"",""ขอนแก่น!N636"")"),0)</f>
        <v>0</v>
      </c>
      <c r="K33" s="76">
        <f ca="1">IFERROR(__xludf.DUMMYFUNCTION("IMPORTRANGE(""https://docs.google.com/spreadsheets/d/1SaMnqrwRGmFYNR0MhpWmHuL5niYUd5E7vDq8X7whAlI/edit?usp=sharing"",""ขอนแก่น!N637"")"),0)</f>
        <v>0</v>
      </c>
      <c r="L33" s="76">
        <f ca="1">IFERROR(__xludf.DUMMYFUNCTION("IMPORTRANGE(""https://docs.google.com/spreadsheets/d/1SaMnqrwRGmFYNR0MhpWmHuL5niYUd5E7vDq8X7whAlI/edit?usp=sharing"",""ขอนแก่น!N638"")"),0)</f>
        <v>0</v>
      </c>
      <c r="M33" s="80">
        <f ca="1">IFERROR(__xludf.DUMMYFUNCTION("IMPORTRANGE(""https://docs.google.com/spreadsheets/d/1SaMnqrwRGmFYNR0MhpWmHuL5niYUd5E7vDq8X7whAlI/edit?usp=sharing"",""ขอนแก่น!N641"")"),0)</f>
        <v>0</v>
      </c>
      <c r="N33" s="80">
        <f t="shared" ca="1" si="29"/>
        <v>0</v>
      </c>
      <c r="O33" s="81">
        <f ca="1">IFERROR(__xludf.DUMMYFUNCTION("IMPORTRANGE(""https://docs.google.com/spreadsheets/d/1SaMnqrwRGmFYNR0MhpWmHuL5niYUd5E7vDq8X7whAlI/edit?usp=sharing"",""ขอนแก่น!I643"")"),0)</f>
        <v>0</v>
      </c>
      <c r="P33" s="81">
        <f ca="1">IFERROR(__xludf.DUMMYFUNCTION("IMPORTRANGE(""https://docs.google.com/spreadsheets/d/1SaMnqrwRGmFYNR0MhpWmHuL5niYUd5E7vDq8X7whAlI/edit?usp=sharing"",""ขอนแก่น!J643"")"),0)</f>
        <v>0</v>
      </c>
      <c r="Q33" s="82">
        <f t="shared" ca="1" si="22"/>
        <v>0</v>
      </c>
      <c r="R33" s="81">
        <f ca="1">IFERROR(__xludf.DUMMYFUNCTION("IMPORTRANGE(""https://docs.google.com/spreadsheets/d/1SaMnqrwRGmFYNR0MhpWmHuL5niYUd5E7vDq8X7whAlI/edit?usp=sharing"",""ขอนแก่น!I644"")"),0)</f>
        <v>0</v>
      </c>
      <c r="S33" s="81">
        <f ca="1">IFERROR(__xludf.DUMMYFUNCTION("IMPORTRANGE(""https://docs.google.com/spreadsheets/d/1SaMnqrwRGmFYNR0MhpWmHuL5niYUd5E7vDq8X7whAlI/edit?usp=sharing"",""ขอนแก่น!J644"")"),0)</f>
        <v>0</v>
      </c>
      <c r="T33" s="82">
        <f t="shared" ca="1" si="23"/>
        <v>0</v>
      </c>
      <c r="U33" s="81">
        <f ca="1">IFERROR(__xludf.DUMMYFUNCTION("IMPORTRANGE(""https://docs.google.com/spreadsheets/d/1SaMnqrwRGmFYNR0MhpWmHuL5niYUd5E7vDq8X7whAlI/edit?usp=sharing"",""ขอนแก่น!J645"")"),0)</f>
        <v>0</v>
      </c>
      <c r="V33" s="276">
        <f ca="1">IFERROR(__xludf.DUMMYFUNCTION("IMPORTRANGE(""https://docs.google.com/spreadsheets/d/1SaMnqrwRGmFYNR0MhpWmHuL5niYUd5E7vDq8X7whAlI/edit?usp=sharing"",""ขอนแก่น!J646"")"),0)</f>
        <v>0</v>
      </c>
      <c r="W33" s="81">
        <f ca="1">IFERROR(__xludf.DUMMYFUNCTION("IMPORTRANGE(""https://docs.google.com/spreadsheets/d/1SaMnqrwRGmFYNR0MhpWmHuL5niYUd5E7vDq8X7whAlI/edit?usp=sharing"",""ขอนแก่น!I647"")"),50)</f>
        <v>50</v>
      </c>
      <c r="X33" s="81">
        <f ca="1">IFERROR(__xludf.DUMMYFUNCTION("IMPORTRANGE(""https://docs.google.com/spreadsheets/d/1SaMnqrwRGmFYNR0MhpWmHuL5niYUd5E7vDq8X7whAlI/edit?usp=sharing"",""ขอนแก่น!J647"")"),0)</f>
        <v>0</v>
      </c>
      <c r="Y33" s="276">
        <f ca="1">IFERROR(__xludf.DUMMYFUNCTION("IMPORTRANGE(""https://docs.google.com/spreadsheets/d/1SaMnqrwRGmFYNR0MhpWmHuL5niYUd5E7vDq8X7whAlI/edit?usp=sharing"",""ขอนแก่น!J648"")"),0)</f>
        <v>0</v>
      </c>
      <c r="Z33" s="82">
        <f t="shared" ca="1" si="24"/>
        <v>0</v>
      </c>
      <c r="AA33" s="234">
        <f ca="1">IFERROR(__xludf.DUMMYFUNCTION("IMPORTRANGE(""https://docs.google.com/spreadsheets/d/1SaMnqrwRGmFYNR0MhpWmHuL5niYUd5E7vDq8X7whAlI/edit?usp=sharing"",""ขอนแก่น!I649"")"),50)</f>
        <v>50</v>
      </c>
      <c r="AB33" s="81">
        <f ca="1">IFERROR(__xludf.DUMMYFUNCTION("IMPORTRANGE(""https://docs.google.com/spreadsheets/d/1SaMnqrwRGmFYNR0MhpWmHuL5niYUd5E7vDq8X7whAlI/edit?usp=sharing"",""ขอนแก่น!J649"")"),0)</f>
        <v>0</v>
      </c>
      <c r="AC33" s="276">
        <f ca="1">IFERROR(__xludf.DUMMYFUNCTION("IMPORTRANGE(""https://docs.google.com/spreadsheets/d/1SaMnqrwRGmFYNR0MhpWmHuL5niYUd5E7vDq8X7whAlI/edit?usp=sharing"",""ขอนแก่น!J650"")"),0)</f>
        <v>0</v>
      </c>
      <c r="AD33" s="82">
        <f t="shared" ca="1" si="25"/>
        <v>0</v>
      </c>
      <c r="AE33" s="234">
        <f ca="1">IFERROR(__xludf.DUMMYFUNCTION("IMPORTRANGE(""https://docs.google.com/spreadsheets/d/1SaMnqrwRGmFYNR0MhpWmHuL5niYUd5E7vDq8X7whAlI/edit?usp=sharing"",""ขอนแก่น!I651"")"),50)</f>
        <v>50</v>
      </c>
      <c r="AF33" s="81">
        <f ca="1">IFERROR(__xludf.DUMMYFUNCTION("IMPORTRANGE(""https://docs.google.com/spreadsheets/d/1SaMnqrwRGmFYNR0MhpWmHuL5niYUd5E7vDq8X7whAlI/edit?usp=sharing"",""ขอนแก่น!J651"")"),0)</f>
        <v>0</v>
      </c>
      <c r="AG33" s="276">
        <f ca="1">IFERROR(__xludf.DUMMYFUNCTION("IMPORTRANGE(""https://docs.google.com/spreadsheets/d/1SaMnqrwRGmFYNR0MhpWmHuL5niYUd5E7vDq8X7whAlI/edit?usp=sharing"",""ขอนแก่น!J652"")"),0)</f>
        <v>0</v>
      </c>
      <c r="AH33" s="82">
        <f t="shared" ca="1" si="26"/>
        <v>0</v>
      </c>
    </row>
    <row r="34" spans="1:34" ht="21" customHeight="1" x14ac:dyDescent="0.3">
      <c r="A34" s="72">
        <v>3</v>
      </c>
      <c r="B34" s="73" t="s">
        <v>51</v>
      </c>
      <c r="C34" s="74">
        <f t="shared" ca="1" si="44"/>
        <v>1142370</v>
      </c>
      <c r="D34" s="75">
        <f ca="1">IFERROR(__xludf.DUMMYFUNCTION("IMPORTRANGE(""https://docs.google.com/spreadsheets/d/1xQzEtGHhTTgxHh6YUkKY1P4dRyjVhS74dGswLfAASA4/edit?usp=sharing"",""ชัยภูมิ!L634"")"),1142370)</f>
        <v>1142370</v>
      </c>
      <c r="E34" s="76">
        <f ca="1">IFERROR(__xludf.DUMMYFUNCTION("IMPORTRANGE(""https://docs.google.com/spreadsheets/d/1xQzEtGHhTTgxHh6YUkKY1P4dRyjVhS74dGswLfAASA4/edit?usp=sharing"",""ชัยภูมิ!L641"")"),0)</f>
        <v>0</v>
      </c>
      <c r="F34" s="77">
        <f t="shared" ca="1" si="1"/>
        <v>276260</v>
      </c>
      <c r="G34" s="78">
        <f t="shared" ca="1" si="2"/>
        <v>24.183058028484641</v>
      </c>
      <c r="H34" s="79">
        <f t="shared" ca="1" si="45"/>
        <v>276260</v>
      </c>
      <c r="I34" s="76">
        <f ca="1">IFERROR(__xludf.DUMMYFUNCTION("IMPORTRANGE(""https://docs.google.com/spreadsheets/d/1xQzEtGHhTTgxHh6YUkKY1P4dRyjVhS74dGswLfAASA4/edit?usp=sharing"",""ชัยภูมิ!N635"")"),0)</f>
        <v>0</v>
      </c>
      <c r="J34" s="76">
        <f ca="1">IFERROR(__xludf.DUMMYFUNCTION("IMPORTRANGE(""https://docs.google.com/spreadsheets/d/1xQzEtGHhTTgxHh6YUkKY1P4dRyjVhS74dGswLfAASA4/edit?usp=sharing"",""ชัยภูมิ!N636"")"),45000)</f>
        <v>45000</v>
      </c>
      <c r="K34" s="76">
        <f ca="1">IFERROR(__xludf.DUMMYFUNCTION("IMPORTRANGE(""https://docs.google.com/spreadsheets/d/1xQzEtGHhTTgxHh6YUkKY1P4dRyjVhS74dGswLfAASA4/edit?usp=sharing"",""ชัยภูมิ!N637"")"),77580)</f>
        <v>77580</v>
      </c>
      <c r="L34" s="76">
        <f ca="1">IFERROR(__xludf.DUMMYFUNCTION("IMPORTRANGE(""https://docs.google.com/spreadsheets/d/1xQzEtGHhTTgxHh6YUkKY1P4dRyjVhS74dGswLfAASA4/edit?usp=sharing"",""ชัยภูมิ!N638"")"),153680)</f>
        <v>153680</v>
      </c>
      <c r="M34" s="80">
        <f ca="1">IFERROR(__xludf.DUMMYFUNCTION("IMPORTRANGE(""https://docs.google.com/spreadsheets/d/1xQzEtGHhTTgxHh6YUkKY1P4dRyjVhS74dGswLfAASA4/edit?usp=sharing"",""ชัยภูมิ!N641"")"),0)</f>
        <v>0</v>
      </c>
      <c r="N34" s="80">
        <f t="shared" ca="1" si="29"/>
        <v>0</v>
      </c>
      <c r="O34" s="81">
        <f ca="1">IFERROR(__xludf.DUMMYFUNCTION("IMPORTRANGE(""https://docs.google.com/spreadsheets/d/1xQzEtGHhTTgxHh6YUkKY1P4dRyjVhS74dGswLfAASA4/edit?usp=sharing"",""ชัยภูมิ!I643"")"),0)</f>
        <v>0</v>
      </c>
      <c r="P34" s="81">
        <f ca="1">IFERROR(__xludf.DUMMYFUNCTION("IMPORTRANGE(""https://docs.google.com/spreadsheets/d/1xQzEtGHhTTgxHh6YUkKY1P4dRyjVhS74dGswLfAASA4/edit?usp=sharing"",""ชัยภูมิ!J643"")"),0)</f>
        <v>0</v>
      </c>
      <c r="Q34" s="82">
        <f t="shared" ca="1" si="22"/>
        <v>0</v>
      </c>
      <c r="R34" s="81">
        <f ca="1">IFERROR(__xludf.DUMMYFUNCTION("IMPORTRANGE(""https://docs.google.com/spreadsheets/d/1xQzEtGHhTTgxHh6YUkKY1P4dRyjVhS74dGswLfAASA4/edit?usp=sharing"",""ชัยภูมิ!I644"")"),0)</f>
        <v>0</v>
      </c>
      <c r="S34" s="81">
        <f ca="1">IFERROR(__xludf.DUMMYFUNCTION("IMPORTRANGE(""https://docs.google.com/spreadsheets/d/1xQzEtGHhTTgxHh6YUkKY1P4dRyjVhS74dGswLfAASA4/edit?usp=sharing"",""ชัยภูมิ!J644"")"),0)</f>
        <v>0</v>
      </c>
      <c r="T34" s="82">
        <f t="shared" ca="1" si="23"/>
        <v>0</v>
      </c>
      <c r="U34" s="81">
        <f ca="1">IFERROR(__xludf.DUMMYFUNCTION("IMPORTRANGE(""https://docs.google.com/spreadsheets/d/1xQzEtGHhTTgxHh6YUkKY1P4dRyjVhS74dGswLfAASA4/edit?usp=sharing"",""ชัยภูมิ!J645"")"),743)</f>
        <v>743</v>
      </c>
      <c r="V34" s="276">
        <f ca="1">IFERROR(__xludf.DUMMYFUNCTION("IMPORTRANGE(""https://docs.google.com/spreadsheets/d/1xQzEtGHhTTgxHh6YUkKY1P4dRyjVhS74dGswLfAASA4/edit?usp=sharing"",""ชัยภูมิ!J646"")"),433.4)</f>
        <v>433.4</v>
      </c>
      <c r="W34" s="81">
        <f ca="1">IFERROR(__xludf.DUMMYFUNCTION("IMPORTRANGE(""https://docs.google.com/spreadsheets/d/1xQzEtGHhTTgxHh6YUkKY1P4dRyjVhS74dGswLfAASA4/edit?usp=sharing"",""ชัยภูมิ!I647"")"),1200)</f>
        <v>1200</v>
      </c>
      <c r="X34" s="81">
        <f ca="1">IFERROR(__xludf.DUMMYFUNCTION("IMPORTRANGE(""https://docs.google.com/spreadsheets/d/1xQzEtGHhTTgxHh6YUkKY1P4dRyjVhS74dGswLfAASA4/edit?usp=sharing"",""ชัยภูมิ!J647"")"),432)</f>
        <v>432</v>
      </c>
      <c r="Y34" s="276">
        <f ca="1">IFERROR(__xludf.DUMMYFUNCTION("IMPORTRANGE(""https://docs.google.com/spreadsheets/d/1xQzEtGHhTTgxHh6YUkKY1P4dRyjVhS74dGswLfAASA4/edit?usp=sharing"",""ชัยภูมิ!J648"")"),233.41)</f>
        <v>233.41</v>
      </c>
      <c r="Z34" s="82">
        <f t="shared" ca="1" si="24"/>
        <v>36</v>
      </c>
      <c r="AA34" s="234">
        <f ca="1">IFERROR(__xludf.DUMMYFUNCTION("IMPORTRANGE(""https://docs.google.com/spreadsheets/d/1xQzEtGHhTTgxHh6YUkKY1P4dRyjVhS74dGswLfAASA4/edit?usp=sharing"",""ชัยภูมิ!I649"")"),1200)</f>
        <v>1200</v>
      </c>
      <c r="AB34" s="81">
        <f ca="1">IFERROR(__xludf.DUMMYFUNCTION("IMPORTRANGE(""https://docs.google.com/spreadsheets/d/1xQzEtGHhTTgxHh6YUkKY1P4dRyjVhS74dGswLfAASA4/edit?usp=sharing"",""ชัยภูมิ!J649"")"),247)</f>
        <v>247</v>
      </c>
      <c r="AC34" s="276">
        <f ca="1">IFERROR(__xludf.DUMMYFUNCTION("IMPORTRANGE(""https://docs.google.com/spreadsheets/d/1xQzEtGHhTTgxHh6YUkKY1P4dRyjVhS74dGswLfAASA4/edit?usp=sharing"",""ชัยภูมิ!J650"")"),138.78)</f>
        <v>138.78</v>
      </c>
      <c r="AD34" s="82">
        <f t="shared" ca="1" si="25"/>
        <v>20.583333333333332</v>
      </c>
      <c r="AE34" s="234">
        <f ca="1">IFERROR(__xludf.DUMMYFUNCTION("IMPORTRANGE(""https://docs.google.com/spreadsheets/d/1xQzEtGHhTTgxHh6YUkKY1P4dRyjVhS74dGswLfAASA4/edit?usp=sharing"",""ชัยภูมิ!I651"")"),1200)</f>
        <v>1200</v>
      </c>
      <c r="AF34" s="81">
        <f ca="1">IFERROR(__xludf.DUMMYFUNCTION("IMPORTRANGE(""https://docs.google.com/spreadsheets/d/1xQzEtGHhTTgxHh6YUkKY1P4dRyjVhS74dGswLfAASA4/edit?usp=sharing"",""ชัยภูมิ!J651"")"),0)</f>
        <v>0</v>
      </c>
      <c r="AG34" s="276">
        <f ca="1">IFERROR(__xludf.DUMMYFUNCTION("IMPORTRANGE(""https://docs.google.com/spreadsheets/d/1xQzEtGHhTTgxHh6YUkKY1P4dRyjVhS74dGswLfAASA4/edit?usp=sharing"",""ชัยภูมิ!J652"")"),0)</f>
        <v>0</v>
      </c>
      <c r="AH34" s="82">
        <f t="shared" ca="1" si="26"/>
        <v>0</v>
      </c>
    </row>
    <row r="35" spans="1:34" ht="21" customHeight="1" x14ac:dyDescent="0.3">
      <c r="A35" s="72">
        <v>4</v>
      </c>
      <c r="B35" s="73" t="s">
        <v>52</v>
      </c>
      <c r="C35" s="74">
        <f t="shared" ca="1" si="44"/>
        <v>0</v>
      </c>
      <c r="D35" s="75">
        <f ca="1">IFERROR(__xludf.DUMMYFUNCTION("IMPORTRANGE(""https://docs.google.com/spreadsheets/d/1EXMBoBxU3OFbjT2TRpneM33qFjqDzrKmn9ydcflfI0o/edit?usp=sharing"",""นครพนม!L634"")"),0)</f>
        <v>0</v>
      </c>
      <c r="E35" s="76">
        <f ca="1">IFERROR(__xludf.DUMMYFUNCTION("IMPORTRANGE(""https://docs.google.com/spreadsheets/d/1EXMBoBxU3OFbjT2TRpneM33qFjqDzrKmn9ydcflfI0o/edit?usp=sharing"",""นครพนม!L641"")"),0)</f>
        <v>0</v>
      </c>
      <c r="F35" s="77">
        <f t="shared" ca="1" si="1"/>
        <v>0</v>
      </c>
      <c r="G35" s="78">
        <f t="shared" ca="1" si="2"/>
        <v>0</v>
      </c>
      <c r="H35" s="79">
        <f t="shared" ca="1" si="45"/>
        <v>0</v>
      </c>
      <c r="I35" s="76">
        <f ca="1">IFERROR(__xludf.DUMMYFUNCTION("IMPORTRANGE(""https://docs.google.com/spreadsheets/d/1EXMBoBxU3OFbjT2TRpneM33qFjqDzrKmn9ydcflfI0o/edit?usp=sharing"",""นครพนม!N635"")"),0)</f>
        <v>0</v>
      </c>
      <c r="J35" s="76">
        <f ca="1">IFERROR(__xludf.DUMMYFUNCTION("IMPORTRANGE(""https://docs.google.com/spreadsheets/d/1EXMBoBxU3OFbjT2TRpneM33qFjqDzrKmn9ydcflfI0o/edit?usp=sharing"",""นครพนม!N636"")"),0)</f>
        <v>0</v>
      </c>
      <c r="K35" s="76">
        <f ca="1">IFERROR(__xludf.DUMMYFUNCTION("IMPORTRANGE(""https://docs.google.com/spreadsheets/d/1EXMBoBxU3OFbjT2TRpneM33qFjqDzrKmn9ydcflfI0o/edit?usp=sharing"",""นครพนม!N637"")"),0)</f>
        <v>0</v>
      </c>
      <c r="L35" s="76">
        <f ca="1">IFERROR(__xludf.DUMMYFUNCTION("IMPORTRANGE(""https://docs.google.com/spreadsheets/d/1EXMBoBxU3OFbjT2TRpneM33qFjqDzrKmn9ydcflfI0o/edit?usp=sharing"",""นครพนม!N638"")"),0)</f>
        <v>0</v>
      </c>
      <c r="M35" s="80">
        <f ca="1">IFERROR(__xludf.DUMMYFUNCTION("IMPORTRANGE(""https://docs.google.com/spreadsheets/d/1EXMBoBxU3OFbjT2TRpneM33qFjqDzrKmn9ydcflfI0o/edit?usp=sharing"",""นครพนม!N641"")"),0)</f>
        <v>0</v>
      </c>
      <c r="N35" s="80">
        <f t="shared" ca="1" si="29"/>
        <v>0</v>
      </c>
      <c r="O35" s="81">
        <f ca="1">IFERROR(__xludf.DUMMYFUNCTION("IMPORTRANGE(""https://docs.google.com/spreadsheets/d/1EXMBoBxU3OFbjT2TRpneM33qFjqDzrKmn9ydcflfI0o/edit?usp=sharing"",""นครพนม!I643"")"),0)</f>
        <v>0</v>
      </c>
      <c r="P35" s="81">
        <f ca="1">IFERROR(__xludf.DUMMYFUNCTION("IMPORTRANGE(""https://docs.google.com/spreadsheets/d/1EXMBoBxU3OFbjT2TRpneM33qFjqDzrKmn9ydcflfI0o/edit?usp=sharing"",""นครพนม!J643"")"),0)</f>
        <v>0</v>
      </c>
      <c r="Q35" s="82">
        <f t="shared" ca="1" si="22"/>
        <v>0</v>
      </c>
      <c r="R35" s="81">
        <f ca="1">IFERROR(__xludf.DUMMYFUNCTION("IMPORTRANGE(""https://docs.google.com/spreadsheets/d/1EXMBoBxU3OFbjT2TRpneM33qFjqDzrKmn9ydcflfI0o/edit?usp=sharing"",""นครพนม!I644"")"),0)</f>
        <v>0</v>
      </c>
      <c r="S35" s="81">
        <f ca="1">IFERROR(__xludf.DUMMYFUNCTION("IMPORTRANGE(""https://docs.google.com/spreadsheets/d/1EXMBoBxU3OFbjT2TRpneM33qFjqDzrKmn9ydcflfI0o/edit?usp=sharing"",""นครพนม!J644"")"),0)</f>
        <v>0</v>
      </c>
      <c r="T35" s="82">
        <f t="shared" ca="1" si="23"/>
        <v>0</v>
      </c>
      <c r="U35" s="81">
        <f ca="1">IFERROR(__xludf.DUMMYFUNCTION("IMPORTRANGE(""https://docs.google.com/spreadsheets/d/1EXMBoBxU3OFbjT2TRpneM33qFjqDzrKmn9ydcflfI0o/edit?usp=sharing"",""นครพนม!J645"")"),0)</f>
        <v>0</v>
      </c>
      <c r="V35" s="276">
        <f ca="1">IFERROR(__xludf.DUMMYFUNCTION("IMPORTRANGE(""https://docs.google.com/spreadsheets/d/1EXMBoBxU3OFbjT2TRpneM33qFjqDzrKmn9ydcflfI0o/edit?usp=sharing"",""นครพนม!J646"")"),0)</f>
        <v>0</v>
      </c>
      <c r="W35" s="81">
        <f ca="1">IFERROR(__xludf.DUMMYFUNCTION("IMPORTRANGE(""https://docs.google.com/spreadsheets/d/1EXMBoBxU3OFbjT2TRpneM33qFjqDzrKmn9ydcflfI0o/edit?usp=sharing"",""นครพนม!I647"")"),0)</f>
        <v>0</v>
      </c>
      <c r="X35" s="81">
        <f ca="1">IFERROR(__xludf.DUMMYFUNCTION("IMPORTRANGE(""https://docs.google.com/spreadsheets/d/1EXMBoBxU3OFbjT2TRpneM33qFjqDzrKmn9ydcflfI0o/edit?usp=sharing"",""นครพนม!J647"")"),0)</f>
        <v>0</v>
      </c>
      <c r="Y35" s="276">
        <f ca="1">IFERROR(__xludf.DUMMYFUNCTION("IMPORTRANGE(""https://docs.google.com/spreadsheets/d/1EXMBoBxU3OFbjT2TRpneM33qFjqDzrKmn9ydcflfI0o/edit?usp=sharing"",""นครพนม!J648"")"),0)</f>
        <v>0</v>
      </c>
      <c r="Z35" s="82">
        <f t="shared" ca="1" si="24"/>
        <v>0</v>
      </c>
      <c r="AA35" s="234">
        <f ca="1">IFERROR(__xludf.DUMMYFUNCTION("IMPORTRANGE(""https://docs.google.com/spreadsheets/d/1EXMBoBxU3OFbjT2TRpneM33qFjqDzrKmn9ydcflfI0o/edit?usp=sharing"",""นครพนม!I649"")"),0)</f>
        <v>0</v>
      </c>
      <c r="AB35" s="81">
        <f ca="1">IFERROR(__xludf.DUMMYFUNCTION("IMPORTRANGE(""https://docs.google.com/spreadsheets/d/1EXMBoBxU3OFbjT2TRpneM33qFjqDzrKmn9ydcflfI0o/edit?usp=sharing"",""นครพนม!J649"")"),0)</f>
        <v>0</v>
      </c>
      <c r="AC35" s="276">
        <f ca="1">IFERROR(__xludf.DUMMYFUNCTION("IMPORTRANGE(""https://docs.google.com/spreadsheets/d/1EXMBoBxU3OFbjT2TRpneM33qFjqDzrKmn9ydcflfI0o/edit?usp=sharing"",""นครพนม!J650"")"),0)</f>
        <v>0</v>
      </c>
      <c r="AD35" s="82">
        <f t="shared" ca="1" si="25"/>
        <v>0</v>
      </c>
      <c r="AE35" s="234">
        <f ca="1">IFERROR(__xludf.DUMMYFUNCTION("IMPORTRANGE(""https://docs.google.com/spreadsheets/d/1EXMBoBxU3OFbjT2TRpneM33qFjqDzrKmn9ydcflfI0o/edit?usp=sharing"",""นครพนม!I651"")"),0)</f>
        <v>0</v>
      </c>
      <c r="AF35" s="81">
        <f ca="1">IFERROR(__xludf.DUMMYFUNCTION("IMPORTRANGE(""https://docs.google.com/spreadsheets/d/1EXMBoBxU3OFbjT2TRpneM33qFjqDzrKmn9ydcflfI0o/edit?usp=sharing"",""นครพนม!J651"")"),0)</f>
        <v>0</v>
      </c>
      <c r="AG35" s="276">
        <f ca="1">IFERROR(__xludf.DUMMYFUNCTION("IMPORTRANGE(""https://docs.google.com/spreadsheets/d/1EXMBoBxU3OFbjT2TRpneM33qFjqDzrKmn9ydcflfI0o/edit?usp=sharing"",""นครพนม!J652"")"),0)</f>
        <v>0</v>
      </c>
      <c r="AH35" s="82">
        <f t="shared" ca="1" si="26"/>
        <v>0</v>
      </c>
    </row>
    <row r="36" spans="1:34" ht="21" customHeight="1" x14ac:dyDescent="0.3">
      <c r="A36" s="72">
        <v>5</v>
      </c>
      <c r="B36" s="73" t="s">
        <v>53</v>
      </c>
      <c r="C36" s="74">
        <f t="shared" ca="1" si="44"/>
        <v>2073125</v>
      </c>
      <c r="D36" s="75">
        <f ca="1">IFERROR(__xludf.DUMMYFUNCTION("IMPORTRANGE(""https://docs.google.com/spreadsheets/d/1bDQrolntRWtHumK8W-x-HXKntwxB9S3sF5aDeRS66Ko/edit?usp=sharing"",""นครราชสีมา!L634"")"),2073125)</f>
        <v>2073125</v>
      </c>
      <c r="E36" s="76">
        <f ca="1">IFERROR(__xludf.DUMMYFUNCTION("IMPORTRANGE(""https://docs.google.com/spreadsheets/d/1bDQrolntRWtHumK8W-x-HXKntwxB9S3sF5aDeRS66Ko/edit?usp=sharing"",""นครราชสีมา!L641"")"),0)</f>
        <v>0</v>
      </c>
      <c r="F36" s="77">
        <f t="shared" ca="1" si="1"/>
        <v>1199402.51</v>
      </c>
      <c r="G36" s="78">
        <f t="shared" ca="1" si="2"/>
        <v>57.854809044317157</v>
      </c>
      <c r="H36" s="79">
        <f t="shared" ca="1" si="45"/>
        <v>1199402.51</v>
      </c>
      <c r="I36" s="76">
        <f ca="1">IFERROR(__xludf.DUMMYFUNCTION("IMPORTRANGE(""https://docs.google.com/spreadsheets/d/1bDQrolntRWtHumK8W-x-HXKntwxB9S3sF5aDeRS66Ko/edit?usp=sharing"",""นครราชสีมา!N635"")"),0)</f>
        <v>0</v>
      </c>
      <c r="J36" s="76">
        <f ca="1">IFERROR(__xludf.DUMMYFUNCTION("IMPORTRANGE(""https://docs.google.com/spreadsheets/d/1bDQrolntRWtHumK8W-x-HXKntwxB9S3sF5aDeRS66Ko/edit?usp=sharing"",""นครราชสีมา!N636"")"),0)</f>
        <v>0</v>
      </c>
      <c r="K36" s="76">
        <f ca="1">IFERROR(__xludf.DUMMYFUNCTION("IMPORTRANGE(""https://docs.google.com/spreadsheets/d/1bDQrolntRWtHumK8W-x-HXKntwxB9S3sF5aDeRS66Ko/edit?usp=sharing"",""นครราชสีมา!N637"")"),155566.67)</f>
        <v>155566.67000000001</v>
      </c>
      <c r="L36" s="76">
        <f ca="1">IFERROR(__xludf.DUMMYFUNCTION("IMPORTRANGE(""https://docs.google.com/spreadsheets/d/1bDQrolntRWtHumK8W-x-HXKntwxB9S3sF5aDeRS66Ko/edit?usp=sharing"",""นครราชสีมา!N638"")"),1043835.84)</f>
        <v>1043835.84</v>
      </c>
      <c r="M36" s="80">
        <f ca="1">IFERROR(__xludf.DUMMYFUNCTION("IMPORTRANGE(""https://docs.google.com/spreadsheets/d/1bDQrolntRWtHumK8W-x-HXKntwxB9S3sF5aDeRS66Ko/edit?usp=sharing"",""นครราชสีมา!N641"")"),0)</f>
        <v>0</v>
      </c>
      <c r="N36" s="80">
        <f t="shared" ca="1" si="29"/>
        <v>0</v>
      </c>
      <c r="O36" s="81">
        <f ca="1">IFERROR(__xludf.DUMMYFUNCTION("IMPORTRANGE(""https://docs.google.com/spreadsheets/d/1bDQrolntRWtHumK8W-x-HXKntwxB9S3sF5aDeRS66Ko/edit?usp=sharing"",""นครราชสีมา!I643"")"),0)</f>
        <v>0</v>
      </c>
      <c r="P36" s="81">
        <f ca="1">IFERROR(__xludf.DUMMYFUNCTION("IMPORTRANGE(""https://docs.google.com/spreadsheets/d/1bDQrolntRWtHumK8W-x-HXKntwxB9S3sF5aDeRS66Ko/edit?usp=sharing"",""นครราชสีมา!J643"")"),0)</f>
        <v>0</v>
      </c>
      <c r="Q36" s="82">
        <f t="shared" ca="1" si="22"/>
        <v>0</v>
      </c>
      <c r="R36" s="81">
        <f ca="1">IFERROR(__xludf.DUMMYFUNCTION("IMPORTRANGE(""https://docs.google.com/spreadsheets/d/1bDQrolntRWtHumK8W-x-HXKntwxB9S3sF5aDeRS66Ko/edit?usp=sharing"",""นครราชสีมา!I644"")"),0)</f>
        <v>0</v>
      </c>
      <c r="S36" s="81">
        <f ca="1">IFERROR(__xludf.DUMMYFUNCTION("IMPORTRANGE(""https://docs.google.com/spreadsheets/d/1bDQrolntRWtHumK8W-x-HXKntwxB9S3sF5aDeRS66Ko/edit?usp=sharing"",""นครราชสีมา!J644"")"),0)</f>
        <v>0</v>
      </c>
      <c r="T36" s="82">
        <f t="shared" ca="1" si="23"/>
        <v>0</v>
      </c>
      <c r="U36" s="81">
        <f ca="1">IFERROR(__xludf.DUMMYFUNCTION("IMPORTRANGE(""https://docs.google.com/spreadsheets/d/1bDQrolntRWtHumK8W-x-HXKntwxB9S3sF5aDeRS66Ko/edit?usp=sharing"",""นครราชสีมา!J645"")"),585)</f>
        <v>585</v>
      </c>
      <c r="V36" s="276">
        <f ca="1">IFERROR(__xludf.DUMMYFUNCTION("IMPORTRANGE(""https://docs.google.com/spreadsheets/d/1bDQrolntRWtHumK8W-x-HXKntwxB9S3sF5aDeRS66Ko/edit?usp=sharing"",""นครราชสีมา!J646"")"),441.33)</f>
        <v>441.33</v>
      </c>
      <c r="W36" s="81">
        <f ca="1">IFERROR(__xludf.DUMMYFUNCTION("IMPORTRANGE(""https://docs.google.com/spreadsheets/d/1bDQrolntRWtHumK8W-x-HXKntwxB9S3sF5aDeRS66Ko/edit?usp=sharing"",""นครราชสีมา!I647"")"),2500)</f>
        <v>2500</v>
      </c>
      <c r="X36" s="81">
        <f ca="1">IFERROR(__xludf.DUMMYFUNCTION("IMPORTRANGE(""https://docs.google.com/spreadsheets/d/1bDQrolntRWtHumK8W-x-HXKntwxB9S3sF5aDeRS66Ko/edit?usp=sharing"",""นครราชสีมา!J647"")"),2439)</f>
        <v>2439</v>
      </c>
      <c r="Y36" s="276">
        <f ca="1">IFERROR(__xludf.DUMMYFUNCTION("IMPORTRANGE(""https://docs.google.com/spreadsheets/d/1bDQrolntRWtHumK8W-x-HXKntwxB9S3sF5aDeRS66Ko/edit?usp=sharing"",""นครราชสีมา!J648"")"),1460.56)</f>
        <v>1460.56</v>
      </c>
      <c r="Z36" s="82">
        <f t="shared" ca="1" si="24"/>
        <v>97.56</v>
      </c>
      <c r="AA36" s="234">
        <f ca="1">IFERROR(__xludf.DUMMYFUNCTION("IMPORTRANGE(""https://docs.google.com/spreadsheets/d/1bDQrolntRWtHumK8W-x-HXKntwxB9S3sF5aDeRS66Ko/edit?usp=sharing"",""นครราชสีมา!I649"")"),2500)</f>
        <v>2500</v>
      </c>
      <c r="AB36" s="81">
        <f ca="1">IFERROR(__xludf.DUMMYFUNCTION("IMPORTRANGE(""https://docs.google.com/spreadsheets/d/1bDQrolntRWtHumK8W-x-HXKntwxB9S3sF5aDeRS66Ko/edit?usp=sharing"",""นครราชสีมา!J649"")"),2163)</f>
        <v>2163</v>
      </c>
      <c r="AC36" s="276">
        <f ca="1">IFERROR(__xludf.DUMMYFUNCTION("IMPORTRANGE(""https://docs.google.com/spreadsheets/d/1bDQrolntRWtHumK8W-x-HXKntwxB9S3sF5aDeRS66Ko/edit?usp=sharing"",""นครราชสีมา!J650"")"),1276.32)</f>
        <v>1276.32</v>
      </c>
      <c r="AD36" s="82">
        <f t="shared" ca="1" si="25"/>
        <v>86.52</v>
      </c>
      <c r="AE36" s="234">
        <f ca="1">IFERROR(__xludf.DUMMYFUNCTION("IMPORTRANGE(""https://docs.google.com/spreadsheets/d/1bDQrolntRWtHumK8W-x-HXKntwxB9S3sF5aDeRS66Ko/edit?usp=sharing"",""นครราชสีมา!I651"")"),2500)</f>
        <v>2500</v>
      </c>
      <c r="AF36" s="81">
        <f ca="1">IFERROR(__xludf.DUMMYFUNCTION("IMPORTRANGE(""https://docs.google.com/spreadsheets/d/1bDQrolntRWtHumK8W-x-HXKntwxB9S3sF5aDeRS66Ko/edit?usp=sharing"",""นครราชสีมา!J651"")"),0)</f>
        <v>0</v>
      </c>
      <c r="AG36" s="276">
        <f ca="1">IFERROR(__xludf.DUMMYFUNCTION("IMPORTRANGE(""https://docs.google.com/spreadsheets/d/1bDQrolntRWtHumK8W-x-HXKntwxB9S3sF5aDeRS66Ko/edit?usp=sharing"",""นครราชสีมา!J652"")"),0)</f>
        <v>0</v>
      </c>
      <c r="AH36" s="82">
        <f t="shared" ca="1" si="26"/>
        <v>0</v>
      </c>
    </row>
    <row r="37" spans="1:34" ht="21" customHeight="1" x14ac:dyDescent="0.3">
      <c r="A37" s="72">
        <v>6</v>
      </c>
      <c r="B37" s="73" t="s">
        <v>54</v>
      </c>
      <c r="C37" s="74">
        <f t="shared" ca="1" si="44"/>
        <v>358310</v>
      </c>
      <c r="D37" s="75">
        <f ca="1">IFERROR(__xludf.DUMMYFUNCTION("IMPORTRANGE(""https://docs.google.com/spreadsheets/d/1_MzZ-2gVPiCW-d2VcafoCmFJQTSrZ6SQyFcMqRRQQ2w/edit?usp=sharing"",""บึงกาฬ!L634"")"),358310)</f>
        <v>358310</v>
      </c>
      <c r="E37" s="76">
        <f ca="1">IFERROR(__xludf.DUMMYFUNCTION("IMPORTRANGE(""https://docs.google.com/spreadsheets/d/1_MzZ-2gVPiCW-d2VcafoCmFJQTSrZ6SQyFcMqRRQQ2w/edit?usp=sharing"",""บึงกาฬ!L641"")"),0)</f>
        <v>0</v>
      </c>
      <c r="F37" s="77">
        <f t="shared" ca="1" si="1"/>
        <v>92220</v>
      </c>
      <c r="G37" s="78">
        <f t="shared" ca="1" si="2"/>
        <v>25.737489883062153</v>
      </c>
      <c r="H37" s="79">
        <f t="shared" ca="1" si="45"/>
        <v>92220</v>
      </c>
      <c r="I37" s="76">
        <f ca="1">IFERROR(__xludf.DUMMYFUNCTION("IMPORTRANGE(""https://docs.google.com/spreadsheets/d/1_MzZ-2gVPiCW-d2VcafoCmFJQTSrZ6SQyFcMqRRQQ2w/edit?usp=sharing"",""บึงกาฬ!N635"")"),0)</f>
        <v>0</v>
      </c>
      <c r="J37" s="76">
        <f ca="1">IFERROR(__xludf.DUMMYFUNCTION("IMPORTRANGE(""https://docs.google.com/spreadsheets/d/1_MzZ-2gVPiCW-d2VcafoCmFJQTSrZ6SQyFcMqRRQQ2w/edit?usp=sharing"",""บึงกาฬ!N636"")"),16320)</f>
        <v>16320</v>
      </c>
      <c r="K37" s="76">
        <f ca="1">IFERROR(__xludf.DUMMYFUNCTION("IMPORTRANGE(""https://docs.google.com/spreadsheets/d/1_MzZ-2gVPiCW-d2VcafoCmFJQTSrZ6SQyFcMqRRQQ2w/edit?usp=sharing"",""บึงกาฬ!N637"")"),49900)</f>
        <v>49900</v>
      </c>
      <c r="L37" s="76">
        <f ca="1">IFERROR(__xludf.DUMMYFUNCTION("IMPORTRANGE(""https://docs.google.com/spreadsheets/d/1_MzZ-2gVPiCW-d2VcafoCmFJQTSrZ6SQyFcMqRRQQ2w/edit?usp=sharing"",""บึงกาฬ!N638"")"),26000)</f>
        <v>26000</v>
      </c>
      <c r="M37" s="80">
        <f ca="1">IFERROR(__xludf.DUMMYFUNCTION("IMPORTRANGE(""https://docs.google.com/spreadsheets/d/1_MzZ-2gVPiCW-d2VcafoCmFJQTSrZ6SQyFcMqRRQQ2w/edit?usp=sharing"",""บึงกาฬ!N641"")"),0)</f>
        <v>0</v>
      </c>
      <c r="N37" s="80">
        <f t="shared" ca="1" si="29"/>
        <v>0</v>
      </c>
      <c r="O37" s="81">
        <f ca="1">IFERROR(__xludf.DUMMYFUNCTION("IMPORTRANGE(""https://docs.google.com/spreadsheets/d/1_MzZ-2gVPiCW-d2VcafoCmFJQTSrZ6SQyFcMqRRQQ2w/edit?usp=sharing"",""บึงกาฬ!I643"")"),0)</f>
        <v>0</v>
      </c>
      <c r="P37" s="81">
        <f ca="1">IFERROR(__xludf.DUMMYFUNCTION("IMPORTRANGE(""https://docs.google.com/spreadsheets/d/1_MzZ-2gVPiCW-d2VcafoCmFJQTSrZ6SQyFcMqRRQQ2w/edit?usp=sharing"",""บึงกาฬ!J643"")"),0)</f>
        <v>0</v>
      </c>
      <c r="Q37" s="82">
        <f t="shared" ca="1" si="22"/>
        <v>0</v>
      </c>
      <c r="R37" s="81">
        <f ca="1">IFERROR(__xludf.DUMMYFUNCTION("IMPORTRANGE(""https://docs.google.com/spreadsheets/d/1_MzZ-2gVPiCW-d2VcafoCmFJQTSrZ6SQyFcMqRRQQ2w/edit?usp=sharing"",""บึงกาฬ!I644"")"),0)</f>
        <v>0</v>
      </c>
      <c r="S37" s="81">
        <f ca="1">IFERROR(__xludf.DUMMYFUNCTION("IMPORTRANGE(""https://docs.google.com/spreadsheets/d/1_MzZ-2gVPiCW-d2VcafoCmFJQTSrZ6SQyFcMqRRQQ2w/edit?usp=sharing"",""บึงกาฬ!J644"")"),0)</f>
        <v>0</v>
      </c>
      <c r="T37" s="82">
        <f t="shared" ca="1" si="23"/>
        <v>0</v>
      </c>
      <c r="U37" s="81">
        <f ca="1">IFERROR(__xludf.DUMMYFUNCTION("IMPORTRANGE(""https://docs.google.com/spreadsheets/d/1_MzZ-2gVPiCW-d2VcafoCmFJQTSrZ6SQyFcMqRRQQ2w/edit?usp=sharing"",""บึงกาฬ!J645"")"),89)</f>
        <v>89</v>
      </c>
      <c r="V37" s="276">
        <f ca="1">IFERROR(__xludf.DUMMYFUNCTION("IMPORTRANGE(""https://docs.google.com/spreadsheets/d/1_MzZ-2gVPiCW-d2VcafoCmFJQTSrZ6SQyFcMqRRQQ2w/edit?usp=sharing"",""บึงกาฬ!J646"")"),43.22)</f>
        <v>43.22</v>
      </c>
      <c r="W37" s="81">
        <f ca="1">IFERROR(__xludf.DUMMYFUNCTION("IMPORTRANGE(""https://docs.google.com/spreadsheets/d/1_MzZ-2gVPiCW-d2VcafoCmFJQTSrZ6SQyFcMqRRQQ2w/edit?usp=sharing"",""บึงกาฬ!I647"")"),100)</f>
        <v>100</v>
      </c>
      <c r="X37" s="81">
        <f ca="1">IFERROR(__xludf.DUMMYFUNCTION("IMPORTRANGE(""https://docs.google.com/spreadsheets/d/1_MzZ-2gVPiCW-d2VcafoCmFJQTSrZ6SQyFcMqRRQQ2w/edit?usp=sharing"",""บึงกาฬ!J647"")"),53)</f>
        <v>53</v>
      </c>
      <c r="Y37" s="276">
        <f ca="1">IFERROR(__xludf.DUMMYFUNCTION("IMPORTRANGE(""https://docs.google.com/spreadsheets/d/1_MzZ-2gVPiCW-d2VcafoCmFJQTSrZ6SQyFcMqRRQQ2w/edit?usp=sharing"",""บึงกาฬ!J648"")"),32.57)</f>
        <v>32.57</v>
      </c>
      <c r="Z37" s="82">
        <f t="shared" ca="1" si="24"/>
        <v>53</v>
      </c>
      <c r="AA37" s="234">
        <f ca="1">IFERROR(__xludf.DUMMYFUNCTION("IMPORTRANGE(""https://docs.google.com/spreadsheets/d/1_MzZ-2gVPiCW-d2VcafoCmFJQTSrZ6SQyFcMqRRQQ2w/edit?usp=sharing"",""บึงกาฬ!I649"")"),100)</f>
        <v>100</v>
      </c>
      <c r="AB37" s="81">
        <f ca="1">IFERROR(__xludf.DUMMYFUNCTION("IMPORTRANGE(""https://docs.google.com/spreadsheets/d/1_MzZ-2gVPiCW-d2VcafoCmFJQTSrZ6SQyFcMqRRQQ2w/edit?usp=sharing"",""บึงกาฬ!J649"")"),0)</f>
        <v>0</v>
      </c>
      <c r="AC37" s="276">
        <f ca="1">IFERROR(__xludf.DUMMYFUNCTION("IMPORTRANGE(""https://docs.google.com/spreadsheets/d/1_MzZ-2gVPiCW-d2VcafoCmFJQTSrZ6SQyFcMqRRQQ2w/edit?usp=sharing"",""บึงกาฬ!J650"")"),0)</f>
        <v>0</v>
      </c>
      <c r="AD37" s="82">
        <f t="shared" ca="1" si="25"/>
        <v>0</v>
      </c>
      <c r="AE37" s="234">
        <f ca="1">IFERROR(__xludf.DUMMYFUNCTION("IMPORTRANGE(""https://docs.google.com/spreadsheets/d/1_MzZ-2gVPiCW-d2VcafoCmFJQTSrZ6SQyFcMqRRQQ2w/edit?usp=sharing"",""บึงกาฬ!I651"")"),100)</f>
        <v>100</v>
      </c>
      <c r="AF37" s="81">
        <f ca="1">IFERROR(__xludf.DUMMYFUNCTION("IMPORTRANGE(""https://docs.google.com/spreadsheets/d/1_MzZ-2gVPiCW-d2VcafoCmFJQTSrZ6SQyFcMqRRQQ2w/edit?usp=sharing"",""บึงกาฬ!J651"")"),0)</f>
        <v>0</v>
      </c>
      <c r="AG37" s="276">
        <f ca="1">IFERROR(__xludf.DUMMYFUNCTION("IMPORTRANGE(""https://docs.google.com/spreadsheets/d/1_MzZ-2gVPiCW-d2VcafoCmFJQTSrZ6SQyFcMqRRQQ2w/edit?usp=sharing"",""บึงกาฬ!J652"")"),0)</f>
        <v>0</v>
      </c>
      <c r="AH37" s="82">
        <f t="shared" ca="1" si="26"/>
        <v>0</v>
      </c>
    </row>
    <row r="38" spans="1:34" ht="21" customHeight="1" x14ac:dyDescent="0.3">
      <c r="A38" s="72">
        <v>7</v>
      </c>
      <c r="B38" s="73" t="s">
        <v>55</v>
      </c>
      <c r="C38" s="74">
        <f t="shared" ca="1" si="44"/>
        <v>501175</v>
      </c>
      <c r="D38" s="75">
        <f ca="1">IFERROR(__xludf.DUMMYFUNCTION("IMPORTRANGE(""https://docs.google.com/spreadsheets/d/1B3lPpzOuaNwVItLwLEZYl_qEblfcx7dRnbRkAw0l-pE/edit?usp=sharing"",""บุรีรัมย์!L634"")"),501175)</f>
        <v>501175</v>
      </c>
      <c r="E38" s="76">
        <f ca="1">IFERROR(__xludf.DUMMYFUNCTION("IMPORTRANGE(""https://docs.google.com/spreadsheets/d/1B3lPpzOuaNwVItLwLEZYl_qEblfcx7dRnbRkAw0l-pE/edit?usp=sharing"",""บุรีรัมย์!L641"")"),0)</f>
        <v>0</v>
      </c>
      <c r="F38" s="77">
        <f t="shared" ca="1" si="1"/>
        <v>97460</v>
      </c>
      <c r="G38" s="78">
        <f t="shared" ca="1" si="2"/>
        <v>19.446301192198334</v>
      </c>
      <c r="H38" s="79">
        <f t="shared" ca="1" si="45"/>
        <v>97460</v>
      </c>
      <c r="I38" s="76">
        <f ca="1">IFERROR(__xludf.DUMMYFUNCTION("IMPORTRANGE(""https://docs.google.com/spreadsheets/d/1B3lPpzOuaNwVItLwLEZYl_qEblfcx7dRnbRkAw0l-pE/edit?usp=sharing"",""บุรีรัมย์!N635"")"),0)</f>
        <v>0</v>
      </c>
      <c r="J38" s="76">
        <f ca="1">IFERROR(__xludf.DUMMYFUNCTION("IMPORTRANGE(""https://docs.google.com/spreadsheets/d/1B3lPpzOuaNwVItLwLEZYl_qEblfcx7dRnbRkAw0l-pE/edit?usp=sharing"",""บุรีรัมย์!N636"")"),0)</f>
        <v>0</v>
      </c>
      <c r="K38" s="76">
        <f ca="1">IFERROR(__xludf.DUMMYFUNCTION("IMPORTRANGE(""https://docs.google.com/spreadsheets/d/1B3lPpzOuaNwVItLwLEZYl_qEblfcx7dRnbRkAw0l-pE/edit?usp=sharing"",""บุรีรัมย์!N637"")"),52000)</f>
        <v>52000</v>
      </c>
      <c r="L38" s="76">
        <f ca="1">IFERROR(__xludf.DUMMYFUNCTION("IMPORTRANGE(""https://docs.google.com/spreadsheets/d/1B3lPpzOuaNwVItLwLEZYl_qEblfcx7dRnbRkAw0l-pE/edit?usp=sharing"",""บุรีรัมย์!N638"")"),45460)</f>
        <v>45460</v>
      </c>
      <c r="M38" s="80">
        <f ca="1">IFERROR(__xludf.DUMMYFUNCTION("IMPORTRANGE(""https://docs.google.com/spreadsheets/d/1B3lPpzOuaNwVItLwLEZYl_qEblfcx7dRnbRkAw0l-pE/edit?usp=sharing"",""บุรีรัมย์!N641"")"),0)</f>
        <v>0</v>
      </c>
      <c r="N38" s="80">
        <f t="shared" ca="1" si="29"/>
        <v>0</v>
      </c>
      <c r="O38" s="81">
        <f ca="1">IFERROR(__xludf.DUMMYFUNCTION("IMPORTRANGE(""https://docs.google.com/spreadsheets/d/1B3lPpzOuaNwVItLwLEZYl_qEblfcx7dRnbRkAw0l-pE/edit?usp=sharing"",""บุรีรัมย์!I643"")"),1)</f>
        <v>1</v>
      </c>
      <c r="P38" s="81">
        <f ca="1">IFERROR(__xludf.DUMMYFUNCTION("IMPORTRANGE(""https://docs.google.com/spreadsheets/d/1B3lPpzOuaNwVItLwLEZYl_qEblfcx7dRnbRkAw0l-pE/edit?usp=sharing"",""บุรีรัมย์!J643"")"),0)</f>
        <v>0</v>
      </c>
      <c r="Q38" s="82">
        <f t="shared" ca="1" si="22"/>
        <v>0</v>
      </c>
      <c r="R38" s="81">
        <f ca="1">IFERROR(__xludf.DUMMYFUNCTION("IMPORTRANGE(""https://docs.google.com/spreadsheets/d/1B3lPpzOuaNwVItLwLEZYl_qEblfcx7dRnbRkAw0l-pE/edit?usp=sharing"",""บุรีรัมย์!I644"")"),1)</f>
        <v>1</v>
      </c>
      <c r="S38" s="81">
        <f ca="1">IFERROR(__xludf.DUMMYFUNCTION("IMPORTRANGE(""https://docs.google.com/spreadsheets/d/1B3lPpzOuaNwVItLwLEZYl_qEblfcx7dRnbRkAw0l-pE/edit?usp=sharing"",""บุรีรัมย์!J644"")"),0)</f>
        <v>0</v>
      </c>
      <c r="T38" s="82">
        <f t="shared" ca="1" si="23"/>
        <v>0</v>
      </c>
      <c r="U38" s="81">
        <f ca="1">IFERROR(__xludf.DUMMYFUNCTION("IMPORTRANGE(""https://docs.google.com/spreadsheets/d/1B3lPpzOuaNwVItLwLEZYl_qEblfcx7dRnbRkAw0l-pE/edit?usp=sharing"",""บุรีรัมย์!J645"")"),0)</f>
        <v>0</v>
      </c>
      <c r="V38" s="276">
        <f ca="1">IFERROR(__xludf.DUMMYFUNCTION("IMPORTRANGE(""https://docs.google.com/spreadsheets/d/1B3lPpzOuaNwVItLwLEZYl_qEblfcx7dRnbRkAw0l-pE/edit?usp=sharing"",""บุรีรัมย์!J646"")"),0)</f>
        <v>0</v>
      </c>
      <c r="W38" s="81">
        <f ca="1">IFERROR(__xludf.DUMMYFUNCTION("IMPORTRANGE(""https://docs.google.com/spreadsheets/d/1B3lPpzOuaNwVItLwLEZYl_qEblfcx7dRnbRkAw0l-pE/edit?usp=sharing"",""บุรีรัมย์!I647"")"),240)</f>
        <v>240</v>
      </c>
      <c r="X38" s="81">
        <f ca="1">IFERROR(__xludf.DUMMYFUNCTION("IMPORTRANGE(""https://docs.google.com/spreadsheets/d/1B3lPpzOuaNwVItLwLEZYl_qEblfcx7dRnbRkAw0l-pE/edit?usp=sharing"",""บุรีรัมย์!J647"")"),136)</f>
        <v>136</v>
      </c>
      <c r="Y38" s="276">
        <f ca="1">IFERROR(__xludf.DUMMYFUNCTION("IMPORTRANGE(""https://docs.google.com/spreadsheets/d/1B3lPpzOuaNwVItLwLEZYl_qEblfcx7dRnbRkAw0l-pE/edit?usp=sharing"",""บุรีรัมย์!J648"")"),67.24)</f>
        <v>67.239999999999995</v>
      </c>
      <c r="Z38" s="82">
        <f t="shared" ca="1" si="24"/>
        <v>56.666666666666664</v>
      </c>
      <c r="AA38" s="234">
        <f ca="1">IFERROR(__xludf.DUMMYFUNCTION("IMPORTRANGE(""https://docs.google.com/spreadsheets/d/1B3lPpzOuaNwVItLwLEZYl_qEblfcx7dRnbRkAw0l-pE/edit?usp=sharing"",""บุรีรัมย์!I649"")"),240)</f>
        <v>240</v>
      </c>
      <c r="AB38" s="81">
        <f ca="1">IFERROR(__xludf.DUMMYFUNCTION("IMPORTRANGE(""https://docs.google.com/spreadsheets/d/1B3lPpzOuaNwVItLwLEZYl_qEblfcx7dRnbRkAw0l-pE/edit?usp=sharing"",""บุรีรัมย์!J649"")"),0)</f>
        <v>0</v>
      </c>
      <c r="AC38" s="276">
        <f ca="1">IFERROR(__xludf.DUMMYFUNCTION("IMPORTRANGE(""https://docs.google.com/spreadsheets/d/1B3lPpzOuaNwVItLwLEZYl_qEblfcx7dRnbRkAw0l-pE/edit?usp=sharing"",""บุรีรัมย์!J650"")"),0)</f>
        <v>0</v>
      </c>
      <c r="AD38" s="82">
        <f t="shared" ca="1" si="25"/>
        <v>0</v>
      </c>
      <c r="AE38" s="234">
        <f ca="1">IFERROR(__xludf.DUMMYFUNCTION("IMPORTRANGE(""https://docs.google.com/spreadsheets/d/1B3lPpzOuaNwVItLwLEZYl_qEblfcx7dRnbRkAw0l-pE/edit?usp=sharing"",""บุรีรัมย์!I651"")"),240)</f>
        <v>240</v>
      </c>
      <c r="AF38" s="81">
        <f ca="1">IFERROR(__xludf.DUMMYFUNCTION("IMPORTRANGE(""https://docs.google.com/spreadsheets/d/1B3lPpzOuaNwVItLwLEZYl_qEblfcx7dRnbRkAw0l-pE/edit?usp=sharing"",""บุรีรัมย์!J651"")"),0)</f>
        <v>0</v>
      </c>
      <c r="AG38" s="276">
        <f ca="1">IFERROR(__xludf.DUMMYFUNCTION("IMPORTRANGE(""https://docs.google.com/spreadsheets/d/1B3lPpzOuaNwVItLwLEZYl_qEblfcx7dRnbRkAw0l-pE/edit?usp=sharing"",""บุรีรัมย์!J652"")"),0)</f>
        <v>0</v>
      </c>
      <c r="AH38" s="82">
        <f t="shared" ca="1" si="26"/>
        <v>0</v>
      </c>
    </row>
    <row r="39" spans="1:34" ht="21" customHeight="1" x14ac:dyDescent="0.3">
      <c r="A39" s="72">
        <v>8</v>
      </c>
      <c r="B39" s="73" t="s">
        <v>56</v>
      </c>
      <c r="C39" s="74">
        <f t="shared" ca="1" si="44"/>
        <v>177295</v>
      </c>
      <c r="D39" s="75">
        <f ca="1">IFERROR(__xludf.DUMMYFUNCTION("IMPORTRANGE(""https://docs.google.com/spreadsheets/d/19GOkiOqnzYbevLYWrMk4qFOXe3rX14BkSA8X-mq-a40/edit?usp=sharing"",""มหาสารคาม!L634"")"),177295)</f>
        <v>177295</v>
      </c>
      <c r="E39" s="76">
        <f ca="1">IFERROR(__xludf.DUMMYFUNCTION("IMPORTRANGE(""https://docs.google.com/spreadsheets/d/19GOkiOqnzYbevLYWrMk4qFOXe3rX14BkSA8X-mq-a40/edit?usp=sharing"",""มหาสารคาม!L641"")"),0)</f>
        <v>0</v>
      </c>
      <c r="F39" s="77">
        <f t="shared" ca="1" si="1"/>
        <v>12078</v>
      </c>
      <c r="G39" s="78">
        <f t="shared" ca="1" si="2"/>
        <v>6.812374855466877</v>
      </c>
      <c r="H39" s="79">
        <f t="shared" ca="1" si="45"/>
        <v>12078</v>
      </c>
      <c r="I39" s="76">
        <f ca="1">IFERROR(__xludf.DUMMYFUNCTION("IMPORTRANGE(""https://docs.google.com/spreadsheets/d/19GOkiOqnzYbevLYWrMk4qFOXe3rX14BkSA8X-mq-a40/edit?usp=sharing"",""มหาสารคาม!N635"")"),0)</f>
        <v>0</v>
      </c>
      <c r="J39" s="76">
        <f ca="1">IFERROR(__xludf.DUMMYFUNCTION("IMPORTRANGE(""https://docs.google.com/spreadsheets/d/19GOkiOqnzYbevLYWrMk4qFOXe3rX14BkSA8X-mq-a40/edit?usp=sharing"",""มหาสารคาม!N636"")"),0)</f>
        <v>0</v>
      </c>
      <c r="K39" s="76">
        <f ca="1">IFERROR(__xludf.DUMMYFUNCTION("IMPORTRANGE(""https://docs.google.com/spreadsheets/d/19GOkiOqnzYbevLYWrMk4qFOXe3rX14BkSA8X-mq-a40/edit?usp=sharing"",""มหาสารคาม!N637"")"),0)</f>
        <v>0</v>
      </c>
      <c r="L39" s="76">
        <f ca="1">IFERROR(__xludf.DUMMYFUNCTION("IMPORTRANGE(""https://docs.google.com/spreadsheets/d/19GOkiOqnzYbevLYWrMk4qFOXe3rX14BkSA8X-mq-a40/edit?usp=sharing"",""มหาสารคาม!N638"")"),12078)</f>
        <v>12078</v>
      </c>
      <c r="M39" s="80">
        <f ca="1">IFERROR(__xludf.DUMMYFUNCTION("IMPORTRANGE(""https://docs.google.com/spreadsheets/d/19GOkiOqnzYbevLYWrMk4qFOXe3rX14BkSA8X-mq-a40/edit?usp=sharing"",""มหาสารคาม!N641"")"),0)</f>
        <v>0</v>
      </c>
      <c r="N39" s="80">
        <f t="shared" ca="1" si="29"/>
        <v>0</v>
      </c>
      <c r="O39" s="81">
        <f ca="1">IFERROR(__xludf.DUMMYFUNCTION("IMPORTRANGE(""https://docs.google.com/spreadsheets/d/19GOkiOqnzYbevLYWrMk4qFOXe3rX14BkSA8X-mq-a40/edit?usp=sharing"",""มหาสารคาม!I643"")"),0)</f>
        <v>0</v>
      </c>
      <c r="P39" s="81">
        <f ca="1">IFERROR(__xludf.DUMMYFUNCTION("IMPORTRANGE(""https://docs.google.com/spreadsheets/d/19GOkiOqnzYbevLYWrMk4qFOXe3rX14BkSA8X-mq-a40/edit?usp=sharing"",""มหาสารคาม!J643"")"),0)</f>
        <v>0</v>
      </c>
      <c r="Q39" s="82">
        <f t="shared" ca="1" si="22"/>
        <v>0</v>
      </c>
      <c r="R39" s="81">
        <f ca="1">IFERROR(__xludf.DUMMYFUNCTION("IMPORTRANGE(""https://docs.google.com/spreadsheets/d/19GOkiOqnzYbevLYWrMk4qFOXe3rX14BkSA8X-mq-a40/edit?usp=sharing"",""มหาสารคาม!I644"")"),0)</f>
        <v>0</v>
      </c>
      <c r="S39" s="81">
        <f ca="1">IFERROR(__xludf.DUMMYFUNCTION("IMPORTRANGE(""https://docs.google.com/spreadsheets/d/19GOkiOqnzYbevLYWrMk4qFOXe3rX14BkSA8X-mq-a40/edit?usp=sharing"",""มหาสารคาม!J644"")"),0)</f>
        <v>0</v>
      </c>
      <c r="T39" s="82">
        <f t="shared" ca="1" si="23"/>
        <v>0</v>
      </c>
      <c r="U39" s="81">
        <f ca="1">IFERROR(__xludf.DUMMYFUNCTION("IMPORTRANGE(""https://docs.google.com/spreadsheets/d/19GOkiOqnzYbevLYWrMk4qFOXe3rX14BkSA8X-mq-a40/edit?usp=sharing"",""มหาสารคาม!J645"")"),7)</f>
        <v>7</v>
      </c>
      <c r="V39" s="276">
        <f ca="1">IFERROR(__xludf.DUMMYFUNCTION("IMPORTRANGE(""https://docs.google.com/spreadsheets/d/19GOkiOqnzYbevLYWrMk4qFOXe3rX14BkSA8X-mq-a40/edit?usp=sharing"",""มหาสารคาม!J646"")"),4.85)</f>
        <v>4.8499999999999996</v>
      </c>
      <c r="W39" s="81">
        <f ca="1">IFERROR(__xludf.DUMMYFUNCTION("IMPORTRANGE(""https://docs.google.com/spreadsheets/d/19GOkiOqnzYbevLYWrMk4qFOXe3rX14BkSA8X-mq-a40/edit?usp=sharing"",""มหาสารคาม!I647"")"),13)</f>
        <v>13</v>
      </c>
      <c r="X39" s="81">
        <f ca="1">IFERROR(__xludf.DUMMYFUNCTION("IMPORTRANGE(""https://docs.google.com/spreadsheets/d/19GOkiOqnzYbevLYWrMk4qFOXe3rX14BkSA8X-mq-a40/edit?usp=sharing"",""มหาสารคาม!J647"")"),7)</f>
        <v>7</v>
      </c>
      <c r="Y39" s="276">
        <f ca="1">IFERROR(__xludf.DUMMYFUNCTION("IMPORTRANGE(""https://docs.google.com/spreadsheets/d/19GOkiOqnzYbevLYWrMk4qFOXe3rX14BkSA8X-mq-a40/edit?usp=sharing"",""มหาสารคาม!J648"")"),4.85)</f>
        <v>4.8499999999999996</v>
      </c>
      <c r="Z39" s="82">
        <f t="shared" ca="1" si="24"/>
        <v>53.846153846153847</v>
      </c>
      <c r="AA39" s="234">
        <f ca="1">IFERROR(__xludf.DUMMYFUNCTION("IMPORTRANGE(""https://docs.google.com/spreadsheets/d/19GOkiOqnzYbevLYWrMk4qFOXe3rX14BkSA8X-mq-a40/edit?usp=sharing"",""มหาสารคาม!I649"")"),13)</f>
        <v>13</v>
      </c>
      <c r="AB39" s="81">
        <f ca="1">IFERROR(__xludf.DUMMYFUNCTION("IMPORTRANGE(""https://docs.google.com/spreadsheets/d/19GOkiOqnzYbevLYWrMk4qFOXe3rX14BkSA8X-mq-a40/edit?usp=sharing"",""มหาสารคาม!J649"")"),0)</f>
        <v>0</v>
      </c>
      <c r="AC39" s="276">
        <f ca="1">IFERROR(__xludf.DUMMYFUNCTION("IMPORTRANGE(""https://docs.google.com/spreadsheets/d/19GOkiOqnzYbevLYWrMk4qFOXe3rX14BkSA8X-mq-a40/edit?usp=sharing"",""มหาสารคาม!J650"")"),0)</f>
        <v>0</v>
      </c>
      <c r="AD39" s="82">
        <f t="shared" ca="1" si="25"/>
        <v>0</v>
      </c>
      <c r="AE39" s="234">
        <f ca="1">IFERROR(__xludf.DUMMYFUNCTION("IMPORTRANGE(""https://docs.google.com/spreadsheets/d/19GOkiOqnzYbevLYWrMk4qFOXe3rX14BkSA8X-mq-a40/edit?usp=sharing"",""มหาสารคาม!I651"")"),13)</f>
        <v>13</v>
      </c>
      <c r="AF39" s="81">
        <f ca="1">IFERROR(__xludf.DUMMYFUNCTION("IMPORTRANGE(""https://docs.google.com/spreadsheets/d/19GOkiOqnzYbevLYWrMk4qFOXe3rX14BkSA8X-mq-a40/edit?usp=sharing"",""มหาสารคาม!J651"")"),0)</f>
        <v>0</v>
      </c>
      <c r="AG39" s="276">
        <f ca="1">IFERROR(__xludf.DUMMYFUNCTION("IMPORTRANGE(""https://docs.google.com/spreadsheets/d/19GOkiOqnzYbevLYWrMk4qFOXe3rX14BkSA8X-mq-a40/edit?usp=sharing"",""มหาสารคาม!J652"")"),0)</f>
        <v>0</v>
      </c>
      <c r="AH39" s="82">
        <f t="shared" ca="1" si="26"/>
        <v>0</v>
      </c>
    </row>
    <row r="40" spans="1:34" ht="21" customHeight="1" x14ac:dyDescent="0.3">
      <c r="A40" s="72">
        <v>9</v>
      </c>
      <c r="B40" s="73" t="s">
        <v>57</v>
      </c>
      <c r="C40" s="74">
        <f t="shared" ca="1" si="44"/>
        <v>383680</v>
      </c>
      <c r="D40" s="75">
        <f ca="1">IFERROR(__xludf.DUMMYFUNCTION("IMPORTRANGE(""https://docs.google.com/spreadsheets/d/1uMKqWwuNQ-TCKboGA3Bb1qXb5uj2-faACNUINCz8PN4/edit?usp=sharing"",""มุกดาหาร!L634"")"),383680)</f>
        <v>383680</v>
      </c>
      <c r="E40" s="76">
        <f ca="1">IFERROR(__xludf.DUMMYFUNCTION("IMPORTRANGE(""https://docs.google.com/spreadsheets/d/1uMKqWwuNQ-TCKboGA3Bb1qXb5uj2-faACNUINCz8PN4/edit?usp=sharing"",""มุกดาหาร!L641"")"),0)</f>
        <v>0</v>
      </c>
      <c r="F40" s="77">
        <f t="shared" ca="1" si="1"/>
        <v>141277</v>
      </c>
      <c r="G40" s="78">
        <f t="shared" ca="1" si="2"/>
        <v>36.821570058381987</v>
      </c>
      <c r="H40" s="79">
        <f t="shared" ca="1" si="45"/>
        <v>141277</v>
      </c>
      <c r="I40" s="76">
        <f ca="1">IFERROR(__xludf.DUMMYFUNCTION("IMPORTRANGE(""https://docs.google.com/spreadsheets/d/1uMKqWwuNQ-TCKboGA3Bb1qXb5uj2-faACNUINCz8PN4/edit?usp=sharing"",""มุกดาหาร!N635"")"),0)</f>
        <v>0</v>
      </c>
      <c r="J40" s="76">
        <f ca="1">IFERROR(__xludf.DUMMYFUNCTION("IMPORTRANGE(""https://docs.google.com/spreadsheets/d/1uMKqWwuNQ-TCKboGA3Bb1qXb5uj2-faACNUINCz8PN4/edit?usp=sharing"",""มุกดาหาร!N636"")"),0)</f>
        <v>0</v>
      </c>
      <c r="K40" s="76">
        <f ca="1">IFERROR(__xludf.DUMMYFUNCTION("IMPORTRANGE(""https://docs.google.com/spreadsheets/d/1uMKqWwuNQ-TCKboGA3Bb1qXb5uj2-faACNUINCz8PN4/edit?usp=sharing"",""มุกดาหาร!N637"")"),51557)</f>
        <v>51557</v>
      </c>
      <c r="L40" s="76">
        <f ca="1">IFERROR(__xludf.DUMMYFUNCTION("IMPORTRANGE(""https://docs.google.com/spreadsheets/d/1uMKqWwuNQ-TCKboGA3Bb1qXb5uj2-faACNUINCz8PN4/edit?usp=sharing"",""มุกดาหาร!N638"")"),89720)</f>
        <v>89720</v>
      </c>
      <c r="M40" s="80">
        <f ca="1">IFERROR(__xludf.DUMMYFUNCTION("IMPORTRANGE(""https://docs.google.com/spreadsheets/d/1uMKqWwuNQ-TCKboGA3Bb1qXb5uj2-faACNUINCz8PN4/edit?usp=sharing"",""มุกดาหาร!N641"")"),0)</f>
        <v>0</v>
      </c>
      <c r="N40" s="80">
        <f t="shared" ca="1" si="29"/>
        <v>0</v>
      </c>
      <c r="O40" s="81">
        <f ca="1">IFERROR(__xludf.DUMMYFUNCTION("IMPORTRANGE(""https://docs.google.com/spreadsheets/d/1uMKqWwuNQ-TCKboGA3Bb1qXb5uj2-faACNUINCz8PN4/edit?usp=sharing"",""มุกดาหาร!I643"")"),2)</f>
        <v>2</v>
      </c>
      <c r="P40" s="81">
        <f ca="1">IFERROR(__xludf.DUMMYFUNCTION("IMPORTRANGE(""https://docs.google.com/spreadsheets/d/1uMKqWwuNQ-TCKboGA3Bb1qXb5uj2-faACNUINCz8PN4/edit?usp=sharing"",""มุกดาหาร!J643"")"),2)</f>
        <v>2</v>
      </c>
      <c r="Q40" s="82">
        <f t="shared" ca="1" si="22"/>
        <v>100</v>
      </c>
      <c r="R40" s="81">
        <f ca="1">IFERROR(__xludf.DUMMYFUNCTION("IMPORTRANGE(""https://docs.google.com/spreadsheets/d/1uMKqWwuNQ-TCKboGA3Bb1qXb5uj2-faACNUINCz8PN4/edit?usp=sharing"",""มุกดาหาร!I644"")"),2)</f>
        <v>2</v>
      </c>
      <c r="S40" s="81">
        <f ca="1">IFERROR(__xludf.DUMMYFUNCTION("IMPORTRANGE(""https://docs.google.com/spreadsheets/d/1uMKqWwuNQ-TCKboGA3Bb1qXb5uj2-faACNUINCz8PN4/edit?usp=sharing"",""มุกดาหาร!J644"")"),2)</f>
        <v>2</v>
      </c>
      <c r="T40" s="82">
        <f t="shared" ca="1" si="23"/>
        <v>100</v>
      </c>
      <c r="U40" s="81">
        <f ca="1">IFERROR(__xludf.DUMMYFUNCTION("IMPORTRANGE(""https://docs.google.com/spreadsheets/d/1uMKqWwuNQ-TCKboGA3Bb1qXb5uj2-faACNUINCz8PN4/edit?usp=sharing"",""มุกดาหาร!J645"")"),3)</f>
        <v>3</v>
      </c>
      <c r="V40" s="276">
        <f ca="1">IFERROR(__xludf.DUMMYFUNCTION("IMPORTRANGE(""https://docs.google.com/spreadsheets/d/1uMKqWwuNQ-TCKboGA3Bb1qXb5uj2-faACNUINCz8PN4/edit?usp=sharing"",""มุกดาหาร!J646"")"),0.43)</f>
        <v>0.43</v>
      </c>
      <c r="W40" s="81">
        <f ca="1">IFERROR(__xludf.DUMMYFUNCTION("IMPORTRANGE(""https://docs.google.com/spreadsheets/d/1uMKqWwuNQ-TCKboGA3Bb1qXb5uj2-faACNUINCz8PN4/edit?usp=sharing"",""มุกดาหาร!I647"")"),100)</f>
        <v>100</v>
      </c>
      <c r="X40" s="81">
        <f ca="1">IFERROR(__xludf.DUMMYFUNCTION("IMPORTRANGE(""https://docs.google.com/spreadsheets/d/1uMKqWwuNQ-TCKboGA3Bb1qXb5uj2-faACNUINCz8PN4/edit?usp=sharing"",""มุกดาหาร!J647"")"),70)</f>
        <v>70</v>
      </c>
      <c r="Y40" s="276">
        <f ca="1">IFERROR(__xludf.DUMMYFUNCTION("IMPORTRANGE(""https://docs.google.com/spreadsheets/d/1uMKqWwuNQ-TCKboGA3Bb1qXb5uj2-faACNUINCz8PN4/edit?usp=sharing"",""มุกดาหาร!J648"")"),47.86)</f>
        <v>47.86</v>
      </c>
      <c r="Z40" s="82">
        <f t="shared" ca="1" si="24"/>
        <v>70</v>
      </c>
      <c r="AA40" s="234">
        <f ca="1">IFERROR(__xludf.DUMMYFUNCTION("IMPORTRANGE(""https://docs.google.com/spreadsheets/d/1uMKqWwuNQ-TCKboGA3Bb1qXb5uj2-faACNUINCz8PN4/edit?usp=sharing"",""มุกดาหาร!I649"")"),100)</f>
        <v>100</v>
      </c>
      <c r="AB40" s="81">
        <f ca="1">IFERROR(__xludf.DUMMYFUNCTION("IMPORTRANGE(""https://docs.google.com/spreadsheets/d/1uMKqWwuNQ-TCKboGA3Bb1qXb5uj2-faACNUINCz8PN4/edit?usp=sharing"",""มุกดาหาร!J649"")"),72)</f>
        <v>72</v>
      </c>
      <c r="AC40" s="276">
        <f ca="1">IFERROR(__xludf.DUMMYFUNCTION("IMPORTRANGE(""https://docs.google.com/spreadsheets/d/1uMKqWwuNQ-TCKboGA3Bb1qXb5uj2-faACNUINCz8PN4/edit?usp=sharing"",""มุกดาหาร!J650"")"),49.3)</f>
        <v>49.3</v>
      </c>
      <c r="AD40" s="82">
        <f t="shared" ca="1" si="25"/>
        <v>72</v>
      </c>
      <c r="AE40" s="234">
        <f ca="1">IFERROR(__xludf.DUMMYFUNCTION("IMPORTRANGE(""https://docs.google.com/spreadsheets/d/1uMKqWwuNQ-TCKboGA3Bb1qXb5uj2-faACNUINCz8PN4/edit?usp=sharing"",""มุกดาหาร!I651"")"),100)</f>
        <v>100</v>
      </c>
      <c r="AF40" s="81">
        <f ca="1">IFERROR(__xludf.DUMMYFUNCTION("IMPORTRANGE(""https://docs.google.com/spreadsheets/d/1uMKqWwuNQ-TCKboGA3Bb1qXb5uj2-faACNUINCz8PN4/edit?usp=sharing"",""มุกดาหาร!J651"")"),71)</f>
        <v>71</v>
      </c>
      <c r="AG40" s="276">
        <f ca="1">IFERROR(__xludf.DUMMYFUNCTION("IMPORTRANGE(""https://docs.google.com/spreadsheets/d/1uMKqWwuNQ-TCKboGA3Bb1qXb5uj2-faACNUINCz8PN4/edit?usp=sharing"",""มุกดาหาร!J652"")"),49)</f>
        <v>49</v>
      </c>
      <c r="AH40" s="82">
        <f t="shared" ca="1" si="26"/>
        <v>71</v>
      </c>
    </row>
    <row r="41" spans="1:34" ht="21" customHeight="1" x14ac:dyDescent="0.3">
      <c r="A41" s="72">
        <v>10</v>
      </c>
      <c r="B41" s="73" t="s">
        <v>58</v>
      </c>
      <c r="C41" s="74">
        <f t="shared" ca="1" si="44"/>
        <v>419495</v>
      </c>
      <c r="D41" s="75">
        <f ca="1">IFERROR(__xludf.DUMMYFUNCTION("IMPORTRANGE(""https://docs.google.com/spreadsheets/d/1oKaccgDdQABndOzGr688Dbfxb_V3YcF67VqEPBtdzsc/edit?usp=sharing"",""ยโสธร!L634"")"),419495)</f>
        <v>419495</v>
      </c>
      <c r="E41" s="76">
        <f ca="1">IFERROR(__xludf.DUMMYFUNCTION("IMPORTRANGE(""https://docs.google.com/spreadsheets/d/1oKaccgDdQABndOzGr688Dbfxb_V3YcF67VqEPBtdzsc/edit?usp=sharing"",""ยโสธร!L641"")"),0)</f>
        <v>0</v>
      </c>
      <c r="F41" s="77">
        <f t="shared" ca="1" si="1"/>
        <v>149658</v>
      </c>
      <c r="G41" s="78">
        <f t="shared" ca="1" si="2"/>
        <v>35.675752988712617</v>
      </c>
      <c r="H41" s="79">
        <f t="shared" ca="1" si="45"/>
        <v>149658</v>
      </c>
      <c r="I41" s="76">
        <f ca="1">IFERROR(__xludf.DUMMYFUNCTION("IMPORTRANGE(""https://docs.google.com/spreadsheets/d/1oKaccgDdQABndOzGr688Dbfxb_V3YcF67VqEPBtdzsc/edit?usp=sharing"",""ยโสธร!N635"")"),0)</f>
        <v>0</v>
      </c>
      <c r="J41" s="76">
        <f ca="1">IFERROR(__xludf.DUMMYFUNCTION("IMPORTRANGE(""https://docs.google.com/spreadsheets/d/1oKaccgDdQABndOzGr688Dbfxb_V3YcF67VqEPBtdzsc/edit?usp=sharing"",""ยโสธร!N636"")"),0)</f>
        <v>0</v>
      </c>
      <c r="K41" s="76">
        <f ca="1">IFERROR(__xludf.DUMMYFUNCTION("IMPORTRANGE(""https://docs.google.com/spreadsheets/d/1oKaccgDdQABndOzGr688Dbfxb_V3YcF67VqEPBtdzsc/edit?usp=sharing"",""ยโสธร!N637"")"),39000)</f>
        <v>39000</v>
      </c>
      <c r="L41" s="76">
        <f ca="1">IFERROR(__xludf.DUMMYFUNCTION("IMPORTRANGE(""https://docs.google.com/spreadsheets/d/1oKaccgDdQABndOzGr688Dbfxb_V3YcF67VqEPBtdzsc/edit?usp=sharing"",""ยโสธร!N638"")"),110658)</f>
        <v>110658</v>
      </c>
      <c r="M41" s="80">
        <f ca="1">IFERROR(__xludf.DUMMYFUNCTION("IMPORTRANGE(""https://docs.google.com/spreadsheets/d/1oKaccgDdQABndOzGr688Dbfxb_V3YcF67VqEPBtdzsc/edit?usp=sharing"",""ยโสธร!N641"")"),0)</f>
        <v>0</v>
      </c>
      <c r="N41" s="80">
        <f t="shared" ca="1" si="29"/>
        <v>0</v>
      </c>
      <c r="O41" s="81">
        <f ca="1">IFERROR(__xludf.DUMMYFUNCTION("IMPORTRANGE(""https://docs.google.com/spreadsheets/d/1oKaccgDdQABndOzGr688Dbfxb_V3YcF67VqEPBtdzsc/edit?usp=sharing"",""ยโสธร!I643"")"),0)</f>
        <v>0</v>
      </c>
      <c r="P41" s="81">
        <f ca="1">IFERROR(__xludf.DUMMYFUNCTION("IMPORTRANGE(""https://docs.google.com/spreadsheets/d/1oKaccgDdQABndOzGr688Dbfxb_V3YcF67VqEPBtdzsc/edit?usp=sharing"",""ยโสธร!J643"")"),0)</f>
        <v>0</v>
      </c>
      <c r="Q41" s="82">
        <f t="shared" ca="1" si="22"/>
        <v>0</v>
      </c>
      <c r="R41" s="81">
        <f ca="1">IFERROR(__xludf.DUMMYFUNCTION("IMPORTRANGE(""https://docs.google.com/spreadsheets/d/1oKaccgDdQABndOzGr688Dbfxb_V3YcF67VqEPBtdzsc/edit?usp=sharing"",""ยโสธร!I644"")"),0)</f>
        <v>0</v>
      </c>
      <c r="S41" s="81">
        <f ca="1">IFERROR(__xludf.DUMMYFUNCTION("IMPORTRANGE(""https://docs.google.com/spreadsheets/d/1oKaccgDdQABndOzGr688Dbfxb_V3YcF67VqEPBtdzsc/edit?usp=sharing"",""ยโสธร!J644"")"),0)</f>
        <v>0</v>
      </c>
      <c r="T41" s="82">
        <f t="shared" ca="1" si="23"/>
        <v>0</v>
      </c>
      <c r="U41" s="81">
        <f ca="1">IFERROR(__xludf.DUMMYFUNCTION("IMPORTRANGE(""https://docs.google.com/spreadsheets/d/1oKaccgDdQABndOzGr688Dbfxb_V3YcF67VqEPBtdzsc/edit?usp=sharing"",""ยโสธร!J645"")"),49)</f>
        <v>49</v>
      </c>
      <c r="V41" s="276">
        <f ca="1">IFERROR(__xludf.DUMMYFUNCTION("IMPORTRANGE(""https://docs.google.com/spreadsheets/d/1oKaccgDdQABndOzGr688Dbfxb_V3YcF67VqEPBtdzsc/edit?usp=sharing"",""ยโสธร!J646"")"),19.12)</f>
        <v>19.12</v>
      </c>
      <c r="W41" s="81">
        <f ca="1">IFERROR(__xludf.DUMMYFUNCTION("IMPORTRANGE(""https://docs.google.com/spreadsheets/d/1oKaccgDdQABndOzGr688Dbfxb_V3YcF67VqEPBtdzsc/edit?usp=sharing"",""ยโสธร!I647"")"),205)</f>
        <v>205</v>
      </c>
      <c r="X41" s="81">
        <f ca="1">IFERROR(__xludf.DUMMYFUNCTION("IMPORTRANGE(""https://docs.google.com/spreadsheets/d/1oKaccgDdQABndOzGr688Dbfxb_V3YcF67VqEPBtdzsc/edit?usp=sharing"",""ยโสธร!J647"")"),49)</f>
        <v>49</v>
      </c>
      <c r="Y41" s="276">
        <f ca="1">IFERROR(__xludf.DUMMYFUNCTION("IMPORTRANGE(""https://docs.google.com/spreadsheets/d/1oKaccgDdQABndOzGr688Dbfxb_V3YcF67VqEPBtdzsc/edit?usp=sharing"",""ยโสธร!J648"")"),19.12)</f>
        <v>19.12</v>
      </c>
      <c r="Z41" s="82">
        <f t="shared" ca="1" si="24"/>
        <v>23.902439024390244</v>
      </c>
      <c r="AA41" s="234">
        <f ca="1">IFERROR(__xludf.DUMMYFUNCTION("IMPORTRANGE(""https://docs.google.com/spreadsheets/d/1oKaccgDdQABndOzGr688Dbfxb_V3YcF67VqEPBtdzsc/edit?usp=sharing"",""ยโสธร!I649"")"),205)</f>
        <v>205</v>
      </c>
      <c r="AB41" s="81">
        <f ca="1">IFERROR(__xludf.DUMMYFUNCTION("IMPORTRANGE(""https://docs.google.com/spreadsheets/d/1oKaccgDdQABndOzGr688Dbfxb_V3YcF67VqEPBtdzsc/edit?usp=sharing"",""ยโสธร!J649"")"),53)</f>
        <v>53</v>
      </c>
      <c r="AC41" s="276">
        <f ca="1">IFERROR(__xludf.DUMMYFUNCTION("IMPORTRANGE(""https://docs.google.com/spreadsheets/d/1oKaccgDdQABndOzGr688Dbfxb_V3YcF67VqEPBtdzsc/edit?usp=sharing"",""ยโสธร!J650"")"),20.6)</f>
        <v>20.6</v>
      </c>
      <c r="AD41" s="82">
        <f t="shared" ca="1" si="25"/>
        <v>25.853658536585368</v>
      </c>
      <c r="AE41" s="234">
        <f ca="1">IFERROR(__xludf.DUMMYFUNCTION("IMPORTRANGE(""https://docs.google.com/spreadsheets/d/1oKaccgDdQABndOzGr688Dbfxb_V3YcF67VqEPBtdzsc/edit?usp=sharing"",""ยโสธร!I651"")"),205)</f>
        <v>205</v>
      </c>
      <c r="AF41" s="81">
        <f ca="1">IFERROR(__xludf.DUMMYFUNCTION("IMPORTRANGE(""https://docs.google.com/spreadsheets/d/1oKaccgDdQABndOzGr688Dbfxb_V3YcF67VqEPBtdzsc/edit?usp=sharing"",""ยโสธร!J651"")"),51)</f>
        <v>51</v>
      </c>
      <c r="AG41" s="276">
        <f ca="1">IFERROR(__xludf.DUMMYFUNCTION("IMPORTRANGE(""https://docs.google.com/spreadsheets/d/1oKaccgDdQABndOzGr688Dbfxb_V3YcF67VqEPBtdzsc/edit?usp=sharing"",""ยโสธร!J652"")"),19.87)</f>
        <v>19.87</v>
      </c>
      <c r="AH41" s="82">
        <f t="shared" ca="1" si="26"/>
        <v>24.878048780487806</v>
      </c>
    </row>
    <row r="42" spans="1:34" ht="21" customHeight="1" x14ac:dyDescent="0.3">
      <c r="A42" s="72">
        <v>11</v>
      </c>
      <c r="B42" s="73" t="s">
        <v>59</v>
      </c>
      <c r="C42" s="74">
        <f t="shared" ca="1" si="44"/>
        <v>442125</v>
      </c>
      <c r="D42" s="75">
        <f ca="1">IFERROR(__xludf.DUMMYFUNCTION("IMPORTRANGE(""https://docs.google.com/spreadsheets/d/1BRgc8xKpxZ0PX-gauieMVkV_IOxKSotf0yW8MabGprQ/edit?usp=sharing"",""ร้อยเอ็ด!L634"")"),442125)</f>
        <v>442125</v>
      </c>
      <c r="E42" s="76">
        <f ca="1">IFERROR(__xludf.DUMMYFUNCTION("IMPORTRANGE(""https://docs.google.com/spreadsheets/d/1BRgc8xKpxZ0PX-gauieMVkV_IOxKSotf0yW8MabGprQ/edit?usp=sharing"",""ร้อยเอ็ด!L641"")"),0)</f>
        <v>0</v>
      </c>
      <c r="F42" s="77">
        <f t="shared" ca="1" si="1"/>
        <v>82230</v>
      </c>
      <c r="G42" s="78">
        <f t="shared" ca="1" si="2"/>
        <v>18.598812553011026</v>
      </c>
      <c r="H42" s="79">
        <f t="shared" ca="1" si="45"/>
        <v>82230</v>
      </c>
      <c r="I42" s="76">
        <f ca="1">IFERROR(__xludf.DUMMYFUNCTION("IMPORTRANGE(""https://docs.google.com/spreadsheets/d/1BRgc8xKpxZ0PX-gauieMVkV_IOxKSotf0yW8MabGprQ/edit?usp=sharing"",""ร้อยเอ็ด!N635"")"),0)</f>
        <v>0</v>
      </c>
      <c r="J42" s="76">
        <f ca="1">IFERROR(__xludf.DUMMYFUNCTION("IMPORTRANGE(""https://docs.google.com/spreadsheets/d/1BRgc8xKpxZ0PX-gauieMVkV_IOxKSotf0yW8MabGprQ/edit?usp=sharing"",""ร้อยเอ็ด!N636"")"),0)</f>
        <v>0</v>
      </c>
      <c r="K42" s="76">
        <f ca="1">IFERROR(__xludf.DUMMYFUNCTION("IMPORTRANGE(""https://docs.google.com/spreadsheets/d/1BRgc8xKpxZ0PX-gauieMVkV_IOxKSotf0yW8MabGprQ/edit?usp=sharing"",""ร้อยเอ็ด!N637"")"),39000)</f>
        <v>39000</v>
      </c>
      <c r="L42" s="76">
        <f ca="1">IFERROR(__xludf.DUMMYFUNCTION("IMPORTRANGE(""https://docs.google.com/spreadsheets/d/1BRgc8xKpxZ0PX-gauieMVkV_IOxKSotf0yW8MabGprQ/edit?usp=sharing"",""ร้อยเอ็ด!N638"")"),43230)</f>
        <v>43230</v>
      </c>
      <c r="M42" s="80">
        <f ca="1">IFERROR(__xludf.DUMMYFUNCTION("IMPORTRANGE(""https://docs.google.com/spreadsheets/d/1BRgc8xKpxZ0PX-gauieMVkV_IOxKSotf0yW8MabGprQ/edit?usp=sharing"",""ร้อยเอ็ด!N641"")"),0)</f>
        <v>0</v>
      </c>
      <c r="N42" s="80">
        <f t="shared" ca="1" si="29"/>
        <v>0</v>
      </c>
      <c r="O42" s="81">
        <f ca="1">IFERROR(__xludf.DUMMYFUNCTION("IMPORTRANGE(""https://docs.google.com/spreadsheets/d/1BRgc8xKpxZ0PX-gauieMVkV_IOxKSotf0yW8MabGprQ/edit?usp=sharing"",""ร้อยเอ็ด!I643"")"),0)</f>
        <v>0</v>
      </c>
      <c r="P42" s="81">
        <f ca="1">IFERROR(__xludf.DUMMYFUNCTION("IMPORTRANGE(""https://docs.google.com/spreadsheets/d/1BRgc8xKpxZ0PX-gauieMVkV_IOxKSotf0yW8MabGprQ/edit?usp=sharing"",""ร้อยเอ็ด!J643"")"),0)</f>
        <v>0</v>
      </c>
      <c r="Q42" s="82">
        <f t="shared" ca="1" si="22"/>
        <v>0</v>
      </c>
      <c r="R42" s="81">
        <f ca="1">IFERROR(__xludf.DUMMYFUNCTION("IMPORTRANGE(""https://docs.google.com/spreadsheets/d/1BRgc8xKpxZ0PX-gauieMVkV_IOxKSotf0yW8MabGprQ/edit?usp=sharing"",""ร้อยเอ็ด!I644"")"),0)</f>
        <v>0</v>
      </c>
      <c r="S42" s="81">
        <f ca="1">IFERROR(__xludf.DUMMYFUNCTION("IMPORTRANGE(""https://docs.google.com/spreadsheets/d/1BRgc8xKpxZ0PX-gauieMVkV_IOxKSotf0yW8MabGprQ/edit?usp=sharing"",""ร้อยเอ็ด!J644"")"),0)</f>
        <v>0</v>
      </c>
      <c r="T42" s="82">
        <f t="shared" ca="1" si="23"/>
        <v>0</v>
      </c>
      <c r="U42" s="81">
        <f ca="1">IFERROR(__xludf.DUMMYFUNCTION("IMPORTRANGE(""https://docs.google.com/spreadsheets/d/1BRgc8xKpxZ0PX-gauieMVkV_IOxKSotf0yW8MabGprQ/edit?usp=sharing"",""ร้อยเอ็ด!J645"")"),63)</f>
        <v>63</v>
      </c>
      <c r="V42" s="276">
        <f ca="1">IFERROR(__xludf.DUMMYFUNCTION("IMPORTRANGE(""https://docs.google.com/spreadsheets/d/1BRgc8xKpxZ0PX-gauieMVkV_IOxKSotf0yW8MabGprQ/edit?usp=sharing"",""ร้อยเอ็ด!J646"")"),33.98)</f>
        <v>33.979999999999997</v>
      </c>
      <c r="W42" s="81">
        <f ca="1">IFERROR(__xludf.DUMMYFUNCTION("IMPORTRANGE(""https://docs.google.com/spreadsheets/d/1BRgc8xKpxZ0PX-gauieMVkV_IOxKSotf0yW8MabGprQ/edit?usp=sharing"",""ร้อยเอ็ด!I647"")"),210)</f>
        <v>210</v>
      </c>
      <c r="X42" s="81">
        <f ca="1">IFERROR(__xludf.DUMMYFUNCTION("IMPORTRANGE(""https://docs.google.com/spreadsheets/d/1BRgc8xKpxZ0PX-gauieMVkV_IOxKSotf0yW8MabGprQ/edit?usp=sharing"",""ร้อยเอ็ด!J647"")"),78)</f>
        <v>78</v>
      </c>
      <c r="Y42" s="276">
        <f ca="1">IFERROR(__xludf.DUMMYFUNCTION("IMPORTRANGE(""https://docs.google.com/spreadsheets/d/1BRgc8xKpxZ0PX-gauieMVkV_IOxKSotf0yW8MabGprQ/edit?usp=sharing"",""ร้อยเอ็ด!J648"")"),35.37)</f>
        <v>35.369999999999997</v>
      </c>
      <c r="Z42" s="82">
        <f t="shared" ca="1" si="24"/>
        <v>37.142857142857146</v>
      </c>
      <c r="AA42" s="234">
        <f ca="1">IFERROR(__xludf.DUMMYFUNCTION("IMPORTRANGE(""https://docs.google.com/spreadsheets/d/1BRgc8xKpxZ0PX-gauieMVkV_IOxKSotf0yW8MabGprQ/edit?usp=sharing"",""ร้อยเอ็ด!I649"")"),210)</f>
        <v>210</v>
      </c>
      <c r="AB42" s="81">
        <f ca="1">IFERROR(__xludf.DUMMYFUNCTION("IMPORTRANGE(""https://docs.google.com/spreadsheets/d/1BRgc8xKpxZ0PX-gauieMVkV_IOxKSotf0yW8MabGprQ/edit?usp=sharing"",""ร้อยเอ็ด!J649"")"),77)</f>
        <v>77</v>
      </c>
      <c r="AC42" s="276">
        <f ca="1">IFERROR(__xludf.DUMMYFUNCTION("IMPORTRANGE(""https://docs.google.com/spreadsheets/d/1BRgc8xKpxZ0PX-gauieMVkV_IOxKSotf0yW8MabGprQ/edit?usp=sharing"",""ร้อยเอ็ด!J650"")"),35.03)</f>
        <v>35.03</v>
      </c>
      <c r="AD42" s="82">
        <f t="shared" ca="1" si="25"/>
        <v>36.666666666666664</v>
      </c>
      <c r="AE42" s="234">
        <f ca="1">IFERROR(__xludf.DUMMYFUNCTION("IMPORTRANGE(""https://docs.google.com/spreadsheets/d/1BRgc8xKpxZ0PX-gauieMVkV_IOxKSotf0yW8MabGprQ/edit?usp=sharing"",""ร้อยเอ็ด!I651"")"),210)</f>
        <v>210</v>
      </c>
      <c r="AF42" s="81">
        <f ca="1">IFERROR(__xludf.DUMMYFUNCTION("IMPORTRANGE(""https://docs.google.com/spreadsheets/d/1BRgc8xKpxZ0PX-gauieMVkV_IOxKSotf0yW8MabGprQ/edit?usp=sharing"",""ร้อยเอ็ด!J651"")"),0)</f>
        <v>0</v>
      </c>
      <c r="AG42" s="276">
        <f ca="1">IFERROR(__xludf.DUMMYFUNCTION("IMPORTRANGE(""https://docs.google.com/spreadsheets/d/1BRgc8xKpxZ0PX-gauieMVkV_IOxKSotf0yW8MabGprQ/edit?usp=sharing"",""ร้อยเอ็ด!J652"")"),0)</f>
        <v>0</v>
      </c>
      <c r="AH42" s="82">
        <f t="shared" ca="1" si="26"/>
        <v>0</v>
      </c>
    </row>
    <row r="43" spans="1:34" ht="21" customHeight="1" x14ac:dyDescent="0.3">
      <c r="A43" s="72">
        <v>12</v>
      </c>
      <c r="B43" s="73" t="s">
        <v>60</v>
      </c>
      <c r="C43" s="74">
        <f t="shared" ca="1" si="44"/>
        <v>454240</v>
      </c>
      <c r="D43" s="75">
        <f ca="1">IFERROR(__xludf.DUMMYFUNCTION("IMPORTRANGE(""https://docs.google.com/spreadsheets/d/1IdolZc-dfdgMwAm_KZxYJl1sUOcIgnbGQzbWOlddedo/edit?usp=sharing"",""เลย!L634"")"),454240)</f>
        <v>454240</v>
      </c>
      <c r="E43" s="76">
        <f ca="1">IFERROR(__xludf.DUMMYFUNCTION("IMPORTRANGE(""https://docs.google.com/spreadsheets/d/1IdolZc-dfdgMwAm_KZxYJl1sUOcIgnbGQzbWOlddedo/edit?usp=sharing"",""เลย!L641"")"),0)</f>
        <v>0</v>
      </c>
      <c r="F43" s="77">
        <f t="shared" ca="1" si="1"/>
        <v>122923.07</v>
      </c>
      <c r="G43" s="78">
        <f t="shared" ca="1" si="2"/>
        <v>27.06126056710109</v>
      </c>
      <c r="H43" s="79">
        <f t="shared" ca="1" si="45"/>
        <v>122923.07</v>
      </c>
      <c r="I43" s="76">
        <f ca="1">IFERROR(__xludf.DUMMYFUNCTION("IMPORTRANGE(""https://docs.google.com/spreadsheets/d/1IdolZc-dfdgMwAm_KZxYJl1sUOcIgnbGQzbWOlddedo/edit?usp=sharing"",""เลย!N635"")"),0)</f>
        <v>0</v>
      </c>
      <c r="J43" s="76">
        <f ca="1">IFERROR(__xludf.DUMMYFUNCTION("IMPORTRANGE(""https://docs.google.com/spreadsheets/d/1IdolZc-dfdgMwAm_KZxYJl1sUOcIgnbGQzbWOlddedo/edit?usp=sharing"",""เลย!N636"")"),0)</f>
        <v>0</v>
      </c>
      <c r="K43" s="76">
        <f ca="1">IFERROR(__xludf.DUMMYFUNCTION("IMPORTRANGE(""https://docs.google.com/spreadsheets/d/1IdolZc-dfdgMwAm_KZxYJl1sUOcIgnbGQzbWOlddedo/edit?usp=sharing"",""เลย!N637"")"),50701)</f>
        <v>50701</v>
      </c>
      <c r="L43" s="76">
        <f ca="1">IFERROR(__xludf.DUMMYFUNCTION("IMPORTRANGE(""https://docs.google.com/spreadsheets/d/1IdolZc-dfdgMwAm_KZxYJl1sUOcIgnbGQzbWOlddedo/edit?usp=sharing"",""เลย!N638"")"),72222.07)</f>
        <v>72222.070000000007</v>
      </c>
      <c r="M43" s="80">
        <f ca="1">IFERROR(__xludf.DUMMYFUNCTION("IMPORTRANGE(""https://docs.google.com/spreadsheets/d/1IdolZc-dfdgMwAm_KZxYJl1sUOcIgnbGQzbWOlddedo/edit?usp=sharing"",""เลย!N641"")"),0)</f>
        <v>0</v>
      </c>
      <c r="N43" s="80">
        <f t="shared" ca="1" si="29"/>
        <v>0</v>
      </c>
      <c r="O43" s="81">
        <f ca="1">IFERROR(__xludf.DUMMYFUNCTION("IMPORTRANGE(""https://docs.google.com/spreadsheets/d/1IdolZc-dfdgMwAm_KZxYJl1sUOcIgnbGQzbWOlddedo/edit?usp=sharing"",""เลย!I643"")"),0)</f>
        <v>0</v>
      </c>
      <c r="P43" s="81">
        <f ca="1">IFERROR(__xludf.DUMMYFUNCTION("IMPORTRANGE(""https://docs.google.com/spreadsheets/d/1IdolZc-dfdgMwAm_KZxYJl1sUOcIgnbGQzbWOlddedo/edit?usp=sharing"",""เลย!J643"")"),0)</f>
        <v>0</v>
      </c>
      <c r="Q43" s="82">
        <f t="shared" ca="1" si="22"/>
        <v>0</v>
      </c>
      <c r="R43" s="81">
        <f ca="1">IFERROR(__xludf.DUMMYFUNCTION("IMPORTRANGE(""https://docs.google.com/spreadsheets/d/1IdolZc-dfdgMwAm_KZxYJl1sUOcIgnbGQzbWOlddedo/edit?usp=sharing"",""เลย!I644"")"),0)</f>
        <v>0</v>
      </c>
      <c r="S43" s="81">
        <f ca="1">IFERROR(__xludf.DUMMYFUNCTION("IMPORTRANGE(""https://docs.google.com/spreadsheets/d/1IdolZc-dfdgMwAm_KZxYJl1sUOcIgnbGQzbWOlddedo/edit?usp=sharing"",""เลย!J644"")"),0)</f>
        <v>0</v>
      </c>
      <c r="T43" s="82">
        <f t="shared" ca="1" si="23"/>
        <v>0</v>
      </c>
      <c r="U43" s="81">
        <f ca="1">IFERROR(__xludf.DUMMYFUNCTION("IMPORTRANGE(""https://docs.google.com/spreadsheets/d/1IdolZc-dfdgMwAm_KZxYJl1sUOcIgnbGQzbWOlddedo/edit?usp=sharing"",""เลย!J645"")"),87)</f>
        <v>87</v>
      </c>
      <c r="V43" s="276">
        <f ca="1">IFERROR(__xludf.DUMMYFUNCTION("IMPORTRANGE(""https://docs.google.com/spreadsheets/d/1IdolZc-dfdgMwAm_KZxYJl1sUOcIgnbGQzbWOlddedo/edit?usp=sharing"",""เลย!J646"")"),40.9)</f>
        <v>40.9</v>
      </c>
      <c r="W43" s="81">
        <f ca="1">IFERROR(__xludf.DUMMYFUNCTION("IMPORTRANGE(""https://docs.google.com/spreadsheets/d/1IdolZc-dfdgMwAm_KZxYJl1sUOcIgnbGQzbWOlddedo/edit?usp=sharing"",""เลย!I647"")"),250)</f>
        <v>250</v>
      </c>
      <c r="X43" s="81">
        <f ca="1">IFERROR(__xludf.DUMMYFUNCTION("IMPORTRANGE(""https://docs.google.com/spreadsheets/d/1IdolZc-dfdgMwAm_KZxYJl1sUOcIgnbGQzbWOlddedo/edit?usp=sharing"",""เลย!J647"")"),100)</f>
        <v>100</v>
      </c>
      <c r="Y43" s="276">
        <f ca="1">IFERROR(__xludf.DUMMYFUNCTION("IMPORTRANGE(""https://docs.google.com/spreadsheets/d/1IdolZc-dfdgMwAm_KZxYJl1sUOcIgnbGQzbWOlddedo/edit?usp=sharing"",""เลย!J648"")"),56.64)</f>
        <v>56.64</v>
      </c>
      <c r="Z43" s="82">
        <f t="shared" ca="1" si="24"/>
        <v>40</v>
      </c>
      <c r="AA43" s="234">
        <f ca="1">IFERROR(__xludf.DUMMYFUNCTION("IMPORTRANGE(""https://docs.google.com/spreadsheets/d/1IdolZc-dfdgMwAm_KZxYJl1sUOcIgnbGQzbWOlddedo/edit?usp=sharing"",""เลย!I649"")"),250)</f>
        <v>250</v>
      </c>
      <c r="AB43" s="81">
        <f ca="1">IFERROR(__xludf.DUMMYFUNCTION("IMPORTRANGE(""https://docs.google.com/spreadsheets/d/1IdolZc-dfdgMwAm_KZxYJl1sUOcIgnbGQzbWOlddedo/edit?usp=sharing"",""เลย!J649"")"),92)</f>
        <v>92</v>
      </c>
      <c r="AC43" s="276">
        <f ca="1">IFERROR(__xludf.DUMMYFUNCTION("IMPORTRANGE(""https://docs.google.com/spreadsheets/d/1IdolZc-dfdgMwAm_KZxYJl1sUOcIgnbGQzbWOlddedo/edit?usp=sharing"",""เลย!J650"")"),52.99)</f>
        <v>52.99</v>
      </c>
      <c r="AD43" s="82">
        <f t="shared" ca="1" si="25"/>
        <v>36.799999999999997</v>
      </c>
      <c r="AE43" s="234">
        <f ca="1">IFERROR(__xludf.DUMMYFUNCTION("IMPORTRANGE(""https://docs.google.com/spreadsheets/d/1IdolZc-dfdgMwAm_KZxYJl1sUOcIgnbGQzbWOlddedo/edit?usp=sharing"",""เลย!I651"")"),250)</f>
        <v>250</v>
      </c>
      <c r="AF43" s="81">
        <f ca="1">IFERROR(__xludf.DUMMYFUNCTION("IMPORTRANGE(""https://docs.google.com/spreadsheets/d/1IdolZc-dfdgMwAm_KZxYJl1sUOcIgnbGQzbWOlddedo/edit?usp=sharing"",""เลย!J651"")"),7)</f>
        <v>7</v>
      </c>
      <c r="AG43" s="276">
        <f ca="1">IFERROR(__xludf.DUMMYFUNCTION("IMPORTRANGE(""https://docs.google.com/spreadsheets/d/1IdolZc-dfdgMwAm_KZxYJl1sUOcIgnbGQzbWOlddedo/edit?usp=sharing"",""เลย!J652"")"),4)</f>
        <v>4</v>
      </c>
      <c r="AH43" s="82">
        <f t="shared" ca="1" si="26"/>
        <v>2.8</v>
      </c>
    </row>
    <row r="44" spans="1:34" ht="21" customHeight="1" x14ac:dyDescent="0.3">
      <c r="A44" s="72">
        <v>13</v>
      </c>
      <c r="B44" s="73" t="s">
        <v>61</v>
      </c>
      <c r="C44" s="74">
        <f t="shared" ca="1" si="44"/>
        <v>532545</v>
      </c>
      <c r="D44" s="75">
        <f ca="1">IFERROR(__xludf.DUMMYFUNCTION("IMPORTRANGE(""https://docs.google.com/spreadsheets/d/1tZ0nmtGuIRCaGAMXHlQU8EpR9LOAJvyKfc4f7EFmE34/edit?usp=sharing"",""ศรีสะเกษ!L634"")"),532545)</f>
        <v>532545</v>
      </c>
      <c r="E44" s="76">
        <f ca="1">IFERROR(__xludf.DUMMYFUNCTION("IMPORTRANGE(""https://docs.google.com/spreadsheets/d/1tZ0nmtGuIRCaGAMXHlQU8EpR9LOAJvyKfc4f7EFmE34/edit?usp=sharing"",""ศรีสะเกษ!L641"")"),0)</f>
        <v>0</v>
      </c>
      <c r="F44" s="77">
        <f t="shared" ca="1" si="1"/>
        <v>76310</v>
      </c>
      <c r="G44" s="78">
        <f t="shared" ca="1" si="2"/>
        <v>14.329305504699134</v>
      </c>
      <c r="H44" s="79">
        <f t="shared" ca="1" si="45"/>
        <v>76310</v>
      </c>
      <c r="I44" s="76">
        <f ca="1">IFERROR(__xludf.DUMMYFUNCTION("IMPORTRANGE(""https://docs.google.com/spreadsheets/d/1tZ0nmtGuIRCaGAMXHlQU8EpR9LOAJvyKfc4f7EFmE34/edit?usp=sharing"",""ศรีสะเกษ!N635"")"),0)</f>
        <v>0</v>
      </c>
      <c r="J44" s="76">
        <f ca="1">IFERROR(__xludf.DUMMYFUNCTION("IMPORTRANGE(""https://docs.google.com/spreadsheets/d/1tZ0nmtGuIRCaGAMXHlQU8EpR9LOAJvyKfc4f7EFmE34/edit?usp=sharing"",""ศรีสะเกษ!N636"")"),0)</f>
        <v>0</v>
      </c>
      <c r="K44" s="76">
        <f ca="1">IFERROR(__xludf.DUMMYFUNCTION("IMPORTRANGE(""https://docs.google.com/spreadsheets/d/1tZ0nmtGuIRCaGAMXHlQU8EpR9LOAJvyKfc4f7EFmE34/edit?usp=sharing"",""ศรีสะเกษ!N637"")"),30170)</f>
        <v>30170</v>
      </c>
      <c r="L44" s="76">
        <f ca="1">IFERROR(__xludf.DUMMYFUNCTION("IMPORTRANGE(""https://docs.google.com/spreadsheets/d/1tZ0nmtGuIRCaGAMXHlQU8EpR9LOAJvyKfc4f7EFmE34/edit?usp=sharing"",""ศรีสะเกษ!N638"")"),46140)</f>
        <v>46140</v>
      </c>
      <c r="M44" s="80">
        <f ca="1">IFERROR(__xludf.DUMMYFUNCTION("IMPORTRANGE(""https://docs.google.com/spreadsheets/d/1tZ0nmtGuIRCaGAMXHlQU8EpR9LOAJvyKfc4f7EFmE34/edit?usp=sharing"",""ศรีสะเกษ!N641"")"),0)</f>
        <v>0</v>
      </c>
      <c r="N44" s="80">
        <f t="shared" ca="1" si="29"/>
        <v>0</v>
      </c>
      <c r="O44" s="81">
        <f ca="1">IFERROR(__xludf.DUMMYFUNCTION("IMPORTRANGE(""https://docs.google.com/spreadsheets/d/1tZ0nmtGuIRCaGAMXHlQU8EpR9LOAJvyKfc4f7EFmE34/edit?usp=sharing"",""ศรีสะเกษ!I643"")"),0)</f>
        <v>0</v>
      </c>
      <c r="P44" s="81">
        <f ca="1">IFERROR(__xludf.DUMMYFUNCTION("IMPORTRANGE(""https://docs.google.com/spreadsheets/d/1tZ0nmtGuIRCaGAMXHlQU8EpR9LOAJvyKfc4f7EFmE34/edit?usp=sharing"",""ศรีสะเกษ!J643"")"),0)</f>
        <v>0</v>
      </c>
      <c r="Q44" s="82">
        <f t="shared" ca="1" si="22"/>
        <v>0</v>
      </c>
      <c r="R44" s="81">
        <f ca="1">IFERROR(__xludf.DUMMYFUNCTION("IMPORTRANGE(""https://docs.google.com/spreadsheets/d/1tZ0nmtGuIRCaGAMXHlQU8EpR9LOAJvyKfc4f7EFmE34/edit?usp=sharing"",""ศรีสะเกษ!I644"")"),0)</f>
        <v>0</v>
      </c>
      <c r="S44" s="81">
        <f ca="1">IFERROR(__xludf.DUMMYFUNCTION("IMPORTRANGE(""https://docs.google.com/spreadsheets/d/1tZ0nmtGuIRCaGAMXHlQU8EpR9LOAJvyKfc4f7EFmE34/edit?usp=sharing"",""ศรีสะเกษ!J644"")"),0)</f>
        <v>0</v>
      </c>
      <c r="T44" s="82">
        <f t="shared" ca="1" si="23"/>
        <v>0</v>
      </c>
      <c r="U44" s="81">
        <f ca="1">IFERROR(__xludf.DUMMYFUNCTION("IMPORTRANGE(""https://docs.google.com/spreadsheets/d/1tZ0nmtGuIRCaGAMXHlQU8EpR9LOAJvyKfc4f7EFmE34/edit?usp=sharing"",""ศรีสะเกษ!J645"")"),343)</f>
        <v>343</v>
      </c>
      <c r="V44" s="276">
        <f ca="1">IFERROR(__xludf.DUMMYFUNCTION("IMPORTRANGE(""https://docs.google.com/spreadsheets/d/1tZ0nmtGuIRCaGAMXHlQU8EpR9LOAJvyKfc4f7EFmE34/edit?usp=sharing"",""ศรีสะเกษ!J646"")"),181.44)</f>
        <v>181.44</v>
      </c>
      <c r="W44" s="81">
        <f ca="1">IFERROR(__xludf.DUMMYFUNCTION("IMPORTRANGE(""https://docs.google.com/spreadsheets/d/1tZ0nmtGuIRCaGAMXHlQU8EpR9LOAJvyKfc4f7EFmE34/edit?usp=sharing"",""ศรีสะเกษ!I647"")"),350)</f>
        <v>350</v>
      </c>
      <c r="X44" s="81">
        <f ca="1">IFERROR(__xludf.DUMMYFUNCTION("IMPORTRANGE(""https://docs.google.com/spreadsheets/d/1tZ0nmtGuIRCaGAMXHlQU8EpR9LOAJvyKfc4f7EFmE34/edit?usp=sharing"",""ศรีสะเกษ!J647"")"),34)</f>
        <v>34</v>
      </c>
      <c r="Y44" s="276">
        <f ca="1">IFERROR(__xludf.DUMMYFUNCTION("IMPORTRANGE(""https://docs.google.com/spreadsheets/d/1tZ0nmtGuIRCaGAMXHlQU8EpR9LOAJvyKfc4f7EFmE34/edit?usp=sharing"",""ศรีสะเกษ!J648"")"),19.93)</f>
        <v>19.93</v>
      </c>
      <c r="Z44" s="82">
        <f t="shared" ca="1" si="24"/>
        <v>9.7142857142857135</v>
      </c>
      <c r="AA44" s="234">
        <f ca="1">IFERROR(__xludf.DUMMYFUNCTION("IMPORTRANGE(""https://docs.google.com/spreadsheets/d/1tZ0nmtGuIRCaGAMXHlQU8EpR9LOAJvyKfc4f7EFmE34/edit?usp=sharing"",""ศรีสะเกษ!I649"")"),350)</f>
        <v>350</v>
      </c>
      <c r="AB44" s="81">
        <f ca="1">IFERROR(__xludf.DUMMYFUNCTION("IMPORTRANGE(""https://docs.google.com/spreadsheets/d/1tZ0nmtGuIRCaGAMXHlQU8EpR9LOAJvyKfc4f7EFmE34/edit?usp=sharing"",""ศรีสะเกษ!J649"")"),34)</f>
        <v>34</v>
      </c>
      <c r="AC44" s="276">
        <f ca="1">IFERROR(__xludf.DUMMYFUNCTION("IMPORTRANGE(""https://docs.google.com/spreadsheets/d/1tZ0nmtGuIRCaGAMXHlQU8EpR9LOAJvyKfc4f7EFmE34/edit?usp=sharing"",""ศรีสะเกษ!J650"")"),19.93)</f>
        <v>19.93</v>
      </c>
      <c r="AD44" s="82">
        <f t="shared" ca="1" si="25"/>
        <v>9.7142857142857135</v>
      </c>
      <c r="AE44" s="234">
        <f ca="1">IFERROR(__xludf.DUMMYFUNCTION("IMPORTRANGE(""https://docs.google.com/spreadsheets/d/1tZ0nmtGuIRCaGAMXHlQU8EpR9LOAJvyKfc4f7EFmE34/edit?usp=sharing"",""ศรีสะเกษ!I651"")"),350)</f>
        <v>350</v>
      </c>
      <c r="AF44" s="81">
        <f ca="1">IFERROR(__xludf.DUMMYFUNCTION("IMPORTRANGE(""https://docs.google.com/spreadsheets/d/1tZ0nmtGuIRCaGAMXHlQU8EpR9LOAJvyKfc4f7EFmE34/edit?usp=sharing"",""ศรีสะเกษ!J651"")"),0)</f>
        <v>0</v>
      </c>
      <c r="AG44" s="276">
        <f ca="1">IFERROR(__xludf.DUMMYFUNCTION("IMPORTRANGE(""https://docs.google.com/spreadsheets/d/1tZ0nmtGuIRCaGAMXHlQU8EpR9LOAJvyKfc4f7EFmE34/edit?usp=sharing"",""ศรีสะเกษ!J652"")"),0)</f>
        <v>0</v>
      </c>
      <c r="AH44" s="82">
        <f t="shared" ca="1" si="26"/>
        <v>0</v>
      </c>
    </row>
    <row r="45" spans="1:34" ht="21" customHeight="1" x14ac:dyDescent="0.3">
      <c r="A45" s="72">
        <v>14</v>
      </c>
      <c r="B45" s="73" t="s">
        <v>62</v>
      </c>
      <c r="C45" s="74">
        <f t="shared" ca="1" si="44"/>
        <v>1155630</v>
      </c>
      <c r="D45" s="75">
        <f ca="1">IFERROR(__xludf.DUMMYFUNCTION("IMPORTRANGE(""https://docs.google.com/spreadsheets/d/1QC8psz9w0f9IVE9Xuc2FT_btkaOzZbbUSgYObpBuetM/edit?usp=sharing"",""สกลนคร!L634"")"),1155630)</f>
        <v>1155630</v>
      </c>
      <c r="E45" s="76">
        <f ca="1">IFERROR(__xludf.DUMMYFUNCTION("IMPORTRANGE(""https://docs.google.com/spreadsheets/d/1QC8psz9w0f9IVE9Xuc2FT_btkaOzZbbUSgYObpBuetM/edit?usp=sharing"",""สกลนคร!L641"")"),0)</f>
        <v>0</v>
      </c>
      <c r="F45" s="77">
        <f t="shared" ca="1" si="1"/>
        <v>166025</v>
      </c>
      <c r="G45" s="78">
        <f t="shared" ca="1" si="2"/>
        <v>14.366622534894386</v>
      </c>
      <c r="H45" s="79">
        <f t="shared" ca="1" si="45"/>
        <v>166025</v>
      </c>
      <c r="I45" s="76">
        <f ca="1">IFERROR(__xludf.DUMMYFUNCTION("IMPORTRANGE(""https://docs.google.com/spreadsheets/d/1QC8psz9w0f9IVE9Xuc2FT_btkaOzZbbUSgYObpBuetM/edit?usp=sharing"",""สกลนคร!N635"")"),0)</f>
        <v>0</v>
      </c>
      <c r="J45" s="76">
        <f ca="1">IFERROR(__xludf.DUMMYFUNCTION("IMPORTRANGE(""https://docs.google.com/spreadsheets/d/1QC8psz9w0f9IVE9Xuc2FT_btkaOzZbbUSgYObpBuetM/edit?usp=sharing"",""สกลนคร!N636"")"),0)</f>
        <v>0</v>
      </c>
      <c r="K45" s="76">
        <f ca="1">IFERROR(__xludf.DUMMYFUNCTION("IMPORTRANGE(""https://docs.google.com/spreadsheets/d/1QC8psz9w0f9IVE9Xuc2FT_btkaOzZbbUSgYObpBuetM/edit?usp=sharing"",""สกลนคร!N637"")"),78000)</f>
        <v>78000</v>
      </c>
      <c r="L45" s="76">
        <f ca="1">IFERROR(__xludf.DUMMYFUNCTION("IMPORTRANGE(""https://docs.google.com/spreadsheets/d/1QC8psz9w0f9IVE9Xuc2FT_btkaOzZbbUSgYObpBuetM/edit?usp=sharing"",""สกลนคร!N638"")"),88025)</f>
        <v>88025</v>
      </c>
      <c r="M45" s="80">
        <f ca="1">IFERROR(__xludf.DUMMYFUNCTION("IMPORTRANGE(""https://docs.google.com/spreadsheets/d/1QC8psz9w0f9IVE9Xuc2FT_btkaOzZbbUSgYObpBuetM/edit?usp=sharing"",""สกลนคร!N641"")"),0)</f>
        <v>0</v>
      </c>
      <c r="N45" s="80">
        <f t="shared" ca="1" si="29"/>
        <v>0</v>
      </c>
      <c r="O45" s="81">
        <f ca="1">IFERROR(__xludf.DUMMYFUNCTION("IMPORTRANGE(""https://docs.google.com/spreadsheets/d/1QC8psz9w0f9IVE9Xuc2FT_btkaOzZbbUSgYObpBuetM/edit?usp=sharing"",""สกลนคร!I643"")"),0)</f>
        <v>0</v>
      </c>
      <c r="P45" s="81">
        <f ca="1">IFERROR(__xludf.DUMMYFUNCTION("IMPORTRANGE(""https://docs.google.com/spreadsheets/d/1QC8psz9w0f9IVE9Xuc2FT_btkaOzZbbUSgYObpBuetM/edit?usp=sharing"",""สกลนคร!J643"")"),0)</f>
        <v>0</v>
      </c>
      <c r="Q45" s="82">
        <f t="shared" ca="1" si="22"/>
        <v>0</v>
      </c>
      <c r="R45" s="81">
        <f ca="1">IFERROR(__xludf.DUMMYFUNCTION("IMPORTRANGE(""https://docs.google.com/spreadsheets/d/1QC8psz9w0f9IVE9Xuc2FT_btkaOzZbbUSgYObpBuetM/edit?usp=sharing"",""สกลนคร!I644"")"),0)</f>
        <v>0</v>
      </c>
      <c r="S45" s="81">
        <f ca="1">IFERROR(__xludf.DUMMYFUNCTION("IMPORTRANGE(""https://docs.google.com/spreadsheets/d/1QC8psz9w0f9IVE9Xuc2FT_btkaOzZbbUSgYObpBuetM/edit?usp=sharing"",""สกลนคร!J644"")"),0)</f>
        <v>0</v>
      </c>
      <c r="T45" s="82">
        <f t="shared" ca="1" si="23"/>
        <v>0</v>
      </c>
      <c r="U45" s="81">
        <f ca="1">IFERROR(__xludf.DUMMYFUNCTION("IMPORTRANGE(""https://docs.google.com/spreadsheets/d/1QC8psz9w0f9IVE9Xuc2FT_btkaOzZbbUSgYObpBuetM/edit?usp=sharing"",""สกลนคร!J645"")"),350)</f>
        <v>350</v>
      </c>
      <c r="V45" s="276">
        <f ca="1">IFERROR(__xludf.DUMMYFUNCTION("IMPORTRANGE(""https://docs.google.com/spreadsheets/d/1QC8psz9w0f9IVE9Xuc2FT_btkaOzZbbUSgYObpBuetM/edit?usp=sharing"",""สกลนคร!J646"")"),171.98)</f>
        <v>171.98</v>
      </c>
      <c r="W45" s="81">
        <f ca="1">IFERROR(__xludf.DUMMYFUNCTION("IMPORTRANGE(""https://docs.google.com/spreadsheets/d/1QC8psz9w0f9IVE9Xuc2FT_btkaOzZbbUSgYObpBuetM/edit?usp=sharing"",""สกลนคร!I647"")"),1200)</f>
        <v>1200</v>
      </c>
      <c r="X45" s="81">
        <f ca="1">IFERROR(__xludf.DUMMYFUNCTION("IMPORTRANGE(""https://docs.google.com/spreadsheets/d/1QC8psz9w0f9IVE9Xuc2FT_btkaOzZbbUSgYObpBuetM/edit?usp=sharing"",""สกลนคร!J647"")"),47)</f>
        <v>47</v>
      </c>
      <c r="Y45" s="276">
        <f ca="1">IFERROR(__xludf.DUMMYFUNCTION("IMPORTRANGE(""https://docs.google.com/spreadsheets/d/1QC8psz9w0f9IVE9Xuc2FT_btkaOzZbbUSgYObpBuetM/edit?usp=sharing"",""สกลนคร!J648"")"),25.18)</f>
        <v>25.18</v>
      </c>
      <c r="Z45" s="82">
        <f t="shared" ca="1" si="24"/>
        <v>3.9166666666666665</v>
      </c>
      <c r="AA45" s="234">
        <f ca="1">IFERROR(__xludf.DUMMYFUNCTION("IMPORTRANGE(""https://docs.google.com/spreadsheets/d/1QC8psz9w0f9IVE9Xuc2FT_btkaOzZbbUSgYObpBuetM/edit?usp=sharing"",""สกลนคร!I649"")"),1200)</f>
        <v>1200</v>
      </c>
      <c r="AB45" s="81">
        <f ca="1">IFERROR(__xludf.DUMMYFUNCTION("IMPORTRANGE(""https://docs.google.com/spreadsheets/d/1QC8psz9w0f9IVE9Xuc2FT_btkaOzZbbUSgYObpBuetM/edit?usp=sharing"",""สกลนคร!J649"")"),46)</f>
        <v>46</v>
      </c>
      <c r="AC45" s="276">
        <f ca="1">IFERROR(__xludf.DUMMYFUNCTION("IMPORTRANGE(""https://docs.google.com/spreadsheets/d/1QC8psz9w0f9IVE9Xuc2FT_btkaOzZbbUSgYObpBuetM/edit?usp=sharing"",""สกลนคร!J650"")"),25.54)</f>
        <v>25.54</v>
      </c>
      <c r="AD45" s="82">
        <f t="shared" ca="1" si="25"/>
        <v>3.8333333333333335</v>
      </c>
      <c r="AE45" s="234">
        <f ca="1">IFERROR(__xludf.DUMMYFUNCTION("IMPORTRANGE(""https://docs.google.com/spreadsheets/d/1QC8psz9w0f9IVE9Xuc2FT_btkaOzZbbUSgYObpBuetM/edit?usp=sharing"",""สกลนคร!I651"")"),1200)</f>
        <v>1200</v>
      </c>
      <c r="AF45" s="81">
        <f ca="1">IFERROR(__xludf.DUMMYFUNCTION("IMPORTRANGE(""https://docs.google.com/spreadsheets/d/1QC8psz9w0f9IVE9Xuc2FT_btkaOzZbbUSgYObpBuetM/edit?usp=sharing"",""สกลนคร!J651"")"),0)</f>
        <v>0</v>
      </c>
      <c r="AG45" s="276">
        <f ca="1">IFERROR(__xludf.DUMMYFUNCTION("IMPORTRANGE(""https://docs.google.com/spreadsheets/d/1QC8psz9w0f9IVE9Xuc2FT_btkaOzZbbUSgYObpBuetM/edit?usp=sharing"",""สกลนคร!J652"")"),0)</f>
        <v>0</v>
      </c>
      <c r="AH45" s="82">
        <f t="shared" ca="1" si="26"/>
        <v>0</v>
      </c>
    </row>
    <row r="46" spans="1:34" ht="21" customHeight="1" x14ac:dyDescent="0.3">
      <c r="A46" s="72">
        <v>15</v>
      </c>
      <c r="B46" s="73" t="s">
        <v>63</v>
      </c>
      <c r="C46" s="74">
        <f t="shared" ca="1" si="44"/>
        <v>873460</v>
      </c>
      <c r="D46" s="75">
        <f ca="1">IFERROR(__xludf.DUMMYFUNCTION("IMPORTRANGE(""https://docs.google.com/spreadsheets/d/1wPdvRbu02d33MYVlbsCnyTiZpefEBs9NNktAnT1HZvw/edit?usp=sharing"",""สุรินทร์!L634"")"),873460)</f>
        <v>873460</v>
      </c>
      <c r="E46" s="76">
        <f ca="1">IFERROR(__xludf.DUMMYFUNCTION("IMPORTRANGE(""https://docs.google.com/spreadsheets/d/1wPdvRbu02d33MYVlbsCnyTiZpefEBs9NNktAnT1HZvw/edit?usp=sharing"",""สุรินทร์!L641"")"),0)</f>
        <v>0</v>
      </c>
      <c r="F46" s="77">
        <f t="shared" ca="1" si="1"/>
        <v>231056</v>
      </c>
      <c r="G46" s="78">
        <f t="shared" ca="1" si="2"/>
        <v>26.452957204680239</v>
      </c>
      <c r="H46" s="79">
        <f t="shared" ca="1" si="45"/>
        <v>231056</v>
      </c>
      <c r="I46" s="76">
        <f ca="1">IFERROR(__xludf.DUMMYFUNCTION("IMPORTRANGE(""https://docs.google.com/spreadsheets/d/1wPdvRbu02d33MYVlbsCnyTiZpefEBs9NNktAnT1HZvw/edit?usp=sharing"",""สุรินทร์!N635"")"),0)</f>
        <v>0</v>
      </c>
      <c r="J46" s="76">
        <f ca="1">IFERROR(__xludf.DUMMYFUNCTION("IMPORTRANGE(""https://docs.google.com/spreadsheets/d/1wPdvRbu02d33MYVlbsCnyTiZpefEBs9NNktAnT1HZvw/edit?usp=sharing"",""สุรินทร์!N636"")"),0)</f>
        <v>0</v>
      </c>
      <c r="K46" s="76">
        <f ca="1">IFERROR(__xludf.DUMMYFUNCTION("IMPORTRANGE(""https://docs.google.com/spreadsheets/d/1wPdvRbu02d33MYVlbsCnyTiZpefEBs9NNktAnT1HZvw/edit?usp=sharing"",""สุรินทร์!N637"")"),78000)</f>
        <v>78000</v>
      </c>
      <c r="L46" s="76">
        <f ca="1">IFERROR(__xludf.DUMMYFUNCTION("IMPORTRANGE(""https://docs.google.com/spreadsheets/d/1wPdvRbu02d33MYVlbsCnyTiZpefEBs9NNktAnT1HZvw/edit?usp=sharing"",""สุรินทร์!N638"")"),153056)</f>
        <v>153056</v>
      </c>
      <c r="M46" s="80">
        <f ca="1">IFERROR(__xludf.DUMMYFUNCTION("IMPORTRANGE(""https://docs.google.com/spreadsheets/d/1wPdvRbu02d33MYVlbsCnyTiZpefEBs9NNktAnT1HZvw/edit?usp=sharing"",""สุรินทร์!N641"")"),0)</f>
        <v>0</v>
      </c>
      <c r="N46" s="80">
        <f t="shared" ca="1" si="29"/>
        <v>0</v>
      </c>
      <c r="O46" s="81">
        <f ca="1">IFERROR(__xludf.DUMMYFUNCTION("IMPORTRANGE(""https://docs.google.com/spreadsheets/d/1wPdvRbu02d33MYVlbsCnyTiZpefEBs9NNktAnT1HZvw/edit?usp=sharing"",""สุรินทร์!I643"")"),0)</f>
        <v>0</v>
      </c>
      <c r="P46" s="81">
        <f ca="1">IFERROR(__xludf.DUMMYFUNCTION("IMPORTRANGE(""https://docs.google.com/spreadsheets/d/1wPdvRbu02d33MYVlbsCnyTiZpefEBs9NNktAnT1HZvw/edit?usp=sharing"",""สุรินทร์!J643"")"),0)</f>
        <v>0</v>
      </c>
      <c r="Q46" s="82">
        <f t="shared" ca="1" si="22"/>
        <v>0</v>
      </c>
      <c r="R46" s="81">
        <f ca="1">IFERROR(__xludf.DUMMYFUNCTION("IMPORTRANGE(""https://docs.google.com/spreadsheets/d/1wPdvRbu02d33MYVlbsCnyTiZpefEBs9NNktAnT1HZvw/edit?usp=sharing"",""สุรินทร์!I644"")"),0)</f>
        <v>0</v>
      </c>
      <c r="S46" s="81">
        <f ca="1">IFERROR(__xludf.DUMMYFUNCTION("IMPORTRANGE(""https://docs.google.com/spreadsheets/d/1wPdvRbu02d33MYVlbsCnyTiZpefEBs9NNktAnT1HZvw/edit?usp=sharing"",""สุรินทร์!J644"")"),0)</f>
        <v>0</v>
      </c>
      <c r="T46" s="82">
        <f t="shared" ca="1" si="23"/>
        <v>0</v>
      </c>
      <c r="U46" s="81">
        <f ca="1">IFERROR(__xludf.DUMMYFUNCTION("IMPORTRANGE(""https://docs.google.com/spreadsheets/d/1wPdvRbu02d33MYVlbsCnyTiZpefEBs9NNktAnT1HZvw/edit?usp=sharing"",""สุรินทร์!J645"")"),301)</f>
        <v>301</v>
      </c>
      <c r="V46" s="276">
        <f ca="1">IFERROR(__xludf.DUMMYFUNCTION("IMPORTRANGE(""https://docs.google.com/spreadsheets/d/1wPdvRbu02d33MYVlbsCnyTiZpefEBs9NNktAnT1HZvw/edit?usp=sharing"",""สุรินทร์!J646"")"),212.26)</f>
        <v>212.26</v>
      </c>
      <c r="W46" s="81">
        <f ca="1">IFERROR(__xludf.DUMMYFUNCTION("IMPORTRANGE(""https://docs.google.com/spreadsheets/d/1wPdvRbu02d33MYVlbsCnyTiZpefEBs9NNktAnT1HZvw/edit?usp=sharing"",""สุรินทร์!I647"")"),700)</f>
        <v>700</v>
      </c>
      <c r="X46" s="81">
        <f ca="1">IFERROR(__xludf.DUMMYFUNCTION("IMPORTRANGE(""https://docs.google.com/spreadsheets/d/1wPdvRbu02d33MYVlbsCnyTiZpefEBs9NNktAnT1HZvw/edit?usp=sharing"",""สุรินทร์!J647"")"),258)</f>
        <v>258</v>
      </c>
      <c r="Y46" s="276">
        <f ca="1">IFERROR(__xludf.DUMMYFUNCTION("IMPORTRANGE(""https://docs.google.com/spreadsheets/d/1wPdvRbu02d33MYVlbsCnyTiZpefEBs9NNktAnT1HZvw/edit?usp=sharing"",""สุรินทร์!J648"")"),183.47)</f>
        <v>183.47</v>
      </c>
      <c r="Z46" s="82">
        <f t="shared" ca="1" si="24"/>
        <v>36.857142857142854</v>
      </c>
      <c r="AA46" s="234">
        <f ca="1">IFERROR(__xludf.DUMMYFUNCTION("IMPORTRANGE(""https://docs.google.com/spreadsheets/d/1wPdvRbu02d33MYVlbsCnyTiZpefEBs9NNktAnT1HZvw/edit?usp=sharing"",""สุรินทร์!I649"")"),700)</f>
        <v>700</v>
      </c>
      <c r="AB46" s="81">
        <f ca="1">IFERROR(__xludf.DUMMYFUNCTION("IMPORTRANGE(""https://docs.google.com/spreadsheets/d/1wPdvRbu02d33MYVlbsCnyTiZpefEBs9NNktAnT1HZvw/edit?usp=sharing"",""สุรินทร์!J649"")"),256)</f>
        <v>256</v>
      </c>
      <c r="AC46" s="276">
        <f ca="1">IFERROR(__xludf.DUMMYFUNCTION("IMPORTRANGE(""https://docs.google.com/spreadsheets/d/1wPdvRbu02d33MYVlbsCnyTiZpefEBs9NNktAnT1HZvw/edit?usp=sharing"",""สุรินทร์!J650"")"),182.69)</f>
        <v>182.69</v>
      </c>
      <c r="AD46" s="82">
        <f t="shared" ca="1" si="25"/>
        <v>36.571428571428569</v>
      </c>
      <c r="AE46" s="234">
        <f ca="1">IFERROR(__xludf.DUMMYFUNCTION("IMPORTRANGE(""https://docs.google.com/spreadsheets/d/1wPdvRbu02d33MYVlbsCnyTiZpefEBs9NNktAnT1HZvw/edit?usp=sharing"",""สุรินทร์!I651"")"),700)</f>
        <v>700</v>
      </c>
      <c r="AF46" s="81">
        <f ca="1">IFERROR(__xludf.DUMMYFUNCTION("IMPORTRANGE(""https://docs.google.com/spreadsheets/d/1wPdvRbu02d33MYVlbsCnyTiZpefEBs9NNktAnT1HZvw/edit?usp=sharing"",""สุรินทร์!J651"")"),0)</f>
        <v>0</v>
      </c>
      <c r="AG46" s="276">
        <f ca="1">IFERROR(__xludf.DUMMYFUNCTION("IMPORTRANGE(""https://docs.google.com/spreadsheets/d/1wPdvRbu02d33MYVlbsCnyTiZpefEBs9NNktAnT1HZvw/edit?usp=sharing"",""สุรินทร์!J652"")"),0)</f>
        <v>0</v>
      </c>
      <c r="AH46" s="82">
        <f t="shared" ca="1" si="26"/>
        <v>0</v>
      </c>
    </row>
    <row r="47" spans="1:34" ht="21" customHeight="1" x14ac:dyDescent="0.3">
      <c r="A47" s="72">
        <v>16</v>
      </c>
      <c r="B47" s="73" t="s">
        <v>64</v>
      </c>
      <c r="C47" s="74">
        <f t="shared" ca="1" si="44"/>
        <v>423310</v>
      </c>
      <c r="D47" s="75">
        <f ca="1">IFERROR(__xludf.DUMMYFUNCTION("IMPORTRANGE(""https://docs.google.com/spreadsheets/d/1GVExpf-Exi_2gmuqTYH28fseTB9MoKPXWcXCbSt_YrM/edit?usp=sharing"",""หนองคาย!L634"")"),423310)</f>
        <v>423310</v>
      </c>
      <c r="E47" s="76">
        <f ca="1">IFERROR(__xludf.DUMMYFUNCTION("IMPORTRANGE(""https://docs.google.com/spreadsheets/d/1GVExpf-Exi_2gmuqTYH28fseTB9MoKPXWcXCbSt_YrM/edit?usp=sharing"",""หนองคาย!L641"")"),0)</f>
        <v>0</v>
      </c>
      <c r="F47" s="77">
        <f t="shared" ca="1" si="1"/>
        <v>100393.38</v>
      </c>
      <c r="G47" s="78">
        <f t="shared" ca="1" si="2"/>
        <v>23.716278850015357</v>
      </c>
      <c r="H47" s="79">
        <f t="shared" ca="1" si="45"/>
        <v>100393.38</v>
      </c>
      <c r="I47" s="76">
        <f ca="1">IFERROR(__xludf.DUMMYFUNCTION("IMPORTRANGE(""https://docs.google.com/spreadsheets/d/1GVExpf-Exi_2gmuqTYH28fseTB9MoKPXWcXCbSt_YrM/edit?usp=sharing"",""หนองคาย!N635"")"),0)</f>
        <v>0</v>
      </c>
      <c r="J47" s="76">
        <f ca="1">IFERROR(__xludf.DUMMYFUNCTION("IMPORTRANGE(""https://docs.google.com/spreadsheets/d/1GVExpf-Exi_2gmuqTYH28fseTB9MoKPXWcXCbSt_YrM/edit?usp=sharing"",""หนองคาย!N636"")"),0)</f>
        <v>0</v>
      </c>
      <c r="K47" s="76">
        <f ca="1">IFERROR(__xludf.DUMMYFUNCTION("IMPORTRANGE(""https://docs.google.com/spreadsheets/d/1GVExpf-Exi_2gmuqTYH28fseTB9MoKPXWcXCbSt_YrM/edit?usp=sharing"",""หนองคาย!N637"")"),52000)</f>
        <v>52000</v>
      </c>
      <c r="L47" s="76">
        <f ca="1">IFERROR(__xludf.DUMMYFUNCTION("IMPORTRANGE(""https://docs.google.com/spreadsheets/d/1GVExpf-Exi_2gmuqTYH28fseTB9MoKPXWcXCbSt_YrM/edit?usp=sharing"",""หนองคาย!N638"")"),48393.38)</f>
        <v>48393.38</v>
      </c>
      <c r="M47" s="80">
        <f ca="1">IFERROR(__xludf.DUMMYFUNCTION("IMPORTRANGE(""https://docs.google.com/spreadsheets/d/1GVExpf-Exi_2gmuqTYH28fseTB9MoKPXWcXCbSt_YrM/edit?usp=sharing"",""หนองคาย!N641"")"),0)</f>
        <v>0</v>
      </c>
      <c r="N47" s="80">
        <f t="shared" ca="1" si="29"/>
        <v>0</v>
      </c>
      <c r="O47" s="81">
        <f ca="1">IFERROR(__xludf.DUMMYFUNCTION("IMPORTRANGE(""https://docs.google.com/spreadsheets/d/1GVExpf-Exi_2gmuqTYH28fseTB9MoKPXWcXCbSt_YrM/edit?usp=sharing"",""หนองคาย!I643"")"),0)</f>
        <v>0</v>
      </c>
      <c r="P47" s="81">
        <f ca="1">IFERROR(__xludf.DUMMYFUNCTION("IMPORTRANGE(""https://docs.google.com/spreadsheets/d/1GVExpf-Exi_2gmuqTYH28fseTB9MoKPXWcXCbSt_YrM/edit?usp=sharing"",""หนองคาย!J643"")"),0)</f>
        <v>0</v>
      </c>
      <c r="Q47" s="82">
        <f t="shared" ca="1" si="22"/>
        <v>0</v>
      </c>
      <c r="R47" s="81">
        <f ca="1">IFERROR(__xludf.DUMMYFUNCTION("IMPORTRANGE(""https://docs.google.com/spreadsheets/d/1GVExpf-Exi_2gmuqTYH28fseTB9MoKPXWcXCbSt_YrM/edit?usp=sharing"",""หนองคาย!I644"")"),0)</f>
        <v>0</v>
      </c>
      <c r="S47" s="81">
        <f ca="1">IFERROR(__xludf.DUMMYFUNCTION("IMPORTRANGE(""https://docs.google.com/spreadsheets/d/1GVExpf-Exi_2gmuqTYH28fseTB9MoKPXWcXCbSt_YrM/edit?usp=sharing"",""หนองคาย!J644"")"),0)</f>
        <v>0</v>
      </c>
      <c r="T47" s="82">
        <f t="shared" ca="1" si="23"/>
        <v>0</v>
      </c>
      <c r="U47" s="81">
        <f ca="1">IFERROR(__xludf.DUMMYFUNCTION("IMPORTRANGE(""https://docs.google.com/spreadsheets/d/1GVExpf-Exi_2gmuqTYH28fseTB9MoKPXWcXCbSt_YrM/edit?usp=sharing"",""หนองคาย!J645"")"),59)</f>
        <v>59</v>
      </c>
      <c r="V47" s="276">
        <f ca="1">IFERROR(__xludf.DUMMYFUNCTION("IMPORTRANGE(""https://docs.google.com/spreadsheets/d/1GVExpf-Exi_2gmuqTYH28fseTB9MoKPXWcXCbSt_YrM/edit?usp=sharing"",""หนองคาย!J646"")"),24.41)</f>
        <v>24.41</v>
      </c>
      <c r="W47" s="81">
        <f ca="1">IFERROR(__xludf.DUMMYFUNCTION("IMPORTRANGE(""https://docs.google.com/spreadsheets/d/1GVExpf-Exi_2gmuqTYH28fseTB9MoKPXWcXCbSt_YrM/edit?usp=sharing"",""หนองคาย!I647"")"),230)</f>
        <v>230</v>
      </c>
      <c r="X47" s="81">
        <f ca="1">IFERROR(__xludf.DUMMYFUNCTION("IMPORTRANGE(""https://docs.google.com/spreadsheets/d/1GVExpf-Exi_2gmuqTYH28fseTB9MoKPXWcXCbSt_YrM/edit?usp=sharing"",""หนองคาย!J647"")"),58)</f>
        <v>58</v>
      </c>
      <c r="Y47" s="276">
        <f ca="1">IFERROR(__xludf.DUMMYFUNCTION("IMPORTRANGE(""https://docs.google.com/spreadsheets/d/1GVExpf-Exi_2gmuqTYH28fseTB9MoKPXWcXCbSt_YrM/edit?usp=sharing"",""หนองคาย!J648"")"),24.41)</f>
        <v>24.41</v>
      </c>
      <c r="Z47" s="82">
        <f t="shared" ca="1" si="24"/>
        <v>25.217391304347824</v>
      </c>
      <c r="AA47" s="234">
        <f ca="1">IFERROR(__xludf.DUMMYFUNCTION("IMPORTRANGE(""https://docs.google.com/spreadsheets/d/1GVExpf-Exi_2gmuqTYH28fseTB9MoKPXWcXCbSt_YrM/edit?usp=sharing"",""หนองคาย!I649"")"),230)</f>
        <v>230</v>
      </c>
      <c r="AB47" s="81">
        <f ca="1">IFERROR(__xludf.DUMMYFUNCTION("IMPORTRANGE(""https://docs.google.com/spreadsheets/d/1GVExpf-Exi_2gmuqTYH28fseTB9MoKPXWcXCbSt_YrM/edit?usp=sharing"",""หนองคาย!J649"")"),0)</f>
        <v>0</v>
      </c>
      <c r="AC47" s="276">
        <f ca="1">IFERROR(__xludf.DUMMYFUNCTION("IMPORTRANGE(""https://docs.google.com/spreadsheets/d/1GVExpf-Exi_2gmuqTYH28fseTB9MoKPXWcXCbSt_YrM/edit?usp=sharing"",""หนองคาย!J650"")"),0)</f>
        <v>0</v>
      </c>
      <c r="AD47" s="82">
        <f t="shared" ca="1" si="25"/>
        <v>0</v>
      </c>
      <c r="AE47" s="234">
        <f ca="1">IFERROR(__xludf.DUMMYFUNCTION("IMPORTRANGE(""https://docs.google.com/spreadsheets/d/1GVExpf-Exi_2gmuqTYH28fseTB9MoKPXWcXCbSt_YrM/edit?usp=sharing"",""หนองคาย!I651"")"),230)</f>
        <v>230</v>
      </c>
      <c r="AF47" s="81">
        <f ca="1">IFERROR(__xludf.DUMMYFUNCTION("IMPORTRANGE(""https://docs.google.com/spreadsheets/d/1GVExpf-Exi_2gmuqTYH28fseTB9MoKPXWcXCbSt_YrM/edit?usp=sharing"",""หนองคาย!J651"")"),0)</f>
        <v>0</v>
      </c>
      <c r="AG47" s="276">
        <f ca="1">IFERROR(__xludf.DUMMYFUNCTION("IMPORTRANGE(""https://docs.google.com/spreadsheets/d/1GVExpf-Exi_2gmuqTYH28fseTB9MoKPXWcXCbSt_YrM/edit?usp=sharing"",""หนองคาย!J652"")"),0)</f>
        <v>0</v>
      </c>
      <c r="AH47" s="82">
        <f t="shared" ca="1" si="26"/>
        <v>0</v>
      </c>
    </row>
    <row r="48" spans="1:34" ht="21" customHeight="1" x14ac:dyDescent="0.3">
      <c r="A48" s="72">
        <v>17</v>
      </c>
      <c r="B48" s="73" t="s">
        <v>65</v>
      </c>
      <c r="C48" s="74">
        <f t="shared" ca="1" si="44"/>
        <v>368210</v>
      </c>
      <c r="D48" s="75">
        <f ca="1">IFERROR(__xludf.DUMMYFUNCTION("IMPORTRANGE(""https://docs.google.com/spreadsheets/d/16UeMz0UgOB5BZcoxP75eYGcLFtGYRn9GoesD4OX9m5U/edit?usp=sharing"",""หนองบัวลำภู!L634"")"),368210)</f>
        <v>368210</v>
      </c>
      <c r="E48" s="76">
        <f ca="1">IFERROR(__xludf.DUMMYFUNCTION("IMPORTRANGE(""https://docs.google.com/spreadsheets/d/16UeMz0UgOB5BZcoxP75eYGcLFtGYRn9GoesD4OX9m5U/edit?usp=sharing"",""หนองบัวลำภู!L641"")"),0)</f>
        <v>0</v>
      </c>
      <c r="F48" s="77">
        <f t="shared" ca="1" si="1"/>
        <v>172954.49</v>
      </c>
      <c r="G48" s="78">
        <f t="shared" ca="1" si="2"/>
        <v>46.971698215692129</v>
      </c>
      <c r="H48" s="79">
        <f t="shared" ca="1" si="45"/>
        <v>172954.49</v>
      </c>
      <c r="I48" s="76">
        <f ca="1">IFERROR(__xludf.DUMMYFUNCTION("IMPORTRANGE(""https://docs.google.com/spreadsheets/d/16UeMz0UgOB5BZcoxP75eYGcLFtGYRn9GoesD4OX9m5U/edit?usp=sharing"",""หนองบัวลำภู!N635"")"),0)</f>
        <v>0</v>
      </c>
      <c r="J48" s="76">
        <f ca="1">IFERROR(__xludf.DUMMYFUNCTION("IMPORTRANGE(""https://docs.google.com/spreadsheets/d/16UeMz0UgOB5BZcoxP75eYGcLFtGYRn9GoesD4OX9m5U/edit?usp=sharing"",""หนองบัวลำภู!N636"")"),0)</f>
        <v>0</v>
      </c>
      <c r="K48" s="76">
        <f ca="1">IFERROR(__xludf.DUMMYFUNCTION("IMPORTRANGE(""https://docs.google.com/spreadsheets/d/16UeMz0UgOB5BZcoxP75eYGcLFtGYRn9GoesD4OX9m5U/edit?usp=sharing"",""หนองบัวลำภู!N637"")"),51133.34)</f>
        <v>51133.34</v>
      </c>
      <c r="L48" s="76">
        <f ca="1">IFERROR(__xludf.DUMMYFUNCTION("IMPORTRANGE(""https://docs.google.com/spreadsheets/d/16UeMz0UgOB5BZcoxP75eYGcLFtGYRn9GoesD4OX9m5U/edit?usp=sharing"",""หนองบัวลำภู!N638"")"),121821.15)</f>
        <v>121821.15</v>
      </c>
      <c r="M48" s="80">
        <f ca="1">IFERROR(__xludf.DUMMYFUNCTION("IMPORTRANGE(""https://docs.google.com/spreadsheets/d/16UeMz0UgOB5BZcoxP75eYGcLFtGYRn9GoesD4OX9m5U/edit?usp=sharing"",""หนองบัวลำภู!N641"")"),0)</f>
        <v>0</v>
      </c>
      <c r="N48" s="80">
        <f t="shared" ca="1" si="29"/>
        <v>0</v>
      </c>
      <c r="O48" s="81">
        <f ca="1">IFERROR(__xludf.DUMMYFUNCTION("IMPORTRANGE(""https://docs.google.com/spreadsheets/d/16UeMz0UgOB5BZcoxP75eYGcLFtGYRn9GoesD4OX9m5U/edit?usp=sharing"",""หนองบัวลำภู!I643"")"),0)</f>
        <v>0</v>
      </c>
      <c r="P48" s="81">
        <f ca="1">IFERROR(__xludf.DUMMYFUNCTION("IMPORTRANGE(""https://docs.google.com/spreadsheets/d/16UeMz0UgOB5BZcoxP75eYGcLFtGYRn9GoesD4OX9m5U/edit?usp=sharing"",""หนองบัวลำภู!J643"")"),0)</f>
        <v>0</v>
      </c>
      <c r="Q48" s="82">
        <f t="shared" ca="1" si="22"/>
        <v>0</v>
      </c>
      <c r="R48" s="81">
        <f ca="1">IFERROR(__xludf.DUMMYFUNCTION("IMPORTRANGE(""https://docs.google.com/spreadsheets/d/16UeMz0UgOB5BZcoxP75eYGcLFtGYRn9GoesD4OX9m5U/edit?usp=sharing"",""หนองบัวลำภู!I644"")"),0)</f>
        <v>0</v>
      </c>
      <c r="S48" s="81">
        <f ca="1">IFERROR(__xludf.DUMMYFUNCTION("IMPORTRANGE(""https://docs.google.com/spreadsheets/d/16UeMz0UgOB5BZcoxP75eYGcLFtGYRn9GoesD4OX9m5U/edit?usp=sharing"",""หนองบัวลำภู!J644"")"),0)</f>
        <v>0</v>
      </c>
      <c r="T48" s="82">
        <f t="shared" ca="1" si="23"/>
        <v>0</v>
      </c>
      <c r="U48" s="81">
        <f ca="1">IFERROR(__xludf.DUMMYFUNCTION("IMPORTRANGE(""https://docs.google.com/spreadsheets/d/16UeMz0UgOB5BZcoxP75eYGcLFtGYRn9GoesD4OX9m5U/edit?usp=sharing"",""หนองบัวลำภู!J645"")"),117)</f>
        <v>117</v>
      </c>
      <c r="V48" s="276">
        <f ca="1">IFERROR(__xludf.DUMMYFUNCTION("IMPORTRANGE(""https://docs.google.com/spreadsheets/d/16UeMz0UgOB5BZcoxP75eYGcLFtGYRn9GoesD4OX9m5U/edit?usp=sharing"",""หนองบัวลำภู!J646"")"),84.82)</f>
        <v>84.82</v>
      </c>
      <c r="W48" s="81">
        <f ca="1">IFERROR(__xludf.DUMMYFUNCTION("IMPORTRANGE(""https://docs.google.com/spreadsheets/d/16UeMz0UgOB5BZcoxP75eYGcLFtGYRn9GoesD4OX9m5U/edit?usp=sharing"",""หนองบัวลำภู!I647"")"),130)</f>
        <v>130</v>
      </c>
      <c r="X48" s="81">
        <f ca="1">IFERROR(__xludf.DUMMYFUNCTION("IMPORTRANGE(""https://docs.google.com/spreadsheets/d/16UeMz0UgOB5BZcoxP75eYGcLFtGYRn9GoesD4OX9m5U/edit?usp=sharing"",""หนองบัวลำภู!J647"")"),65)</f>
        <v>65</v>
      </c>
      <c r="Y48" s="276">
        <f ca="1">IFERROR(__xludf.DUMMYFUNCTION("IMPORTRANGE(""https://docs.google.com/spreadsheets/d/16UeMz0UgOB5BZcoxP75eYGcLFtGYRn9GoesD4OX9m5U/edit?usp=sharing"",""หนองบัวลำภู!J648"")"),52.81)</f>
        <v>52.81</v>
      </c>
      <c r="Z48" s="82">
        <f t="shared" ca="1" si="24"/>
        <v>50</v>
      </c>
      <c r="AA48" s="234">
        <f ca="1">IFERROR(__xludf.DUMMYFUNCTION("IMPORTRANGE(""https://docs.google.com/spreadsheets/d/16UeMz0UgOB5BZcoxP75eYGcLFtGYRn9GoesD4OX9m5U/edit?usp=sharing"",""หนองบัวลำภู!I649"")"),130)</f>
        <v>130</v>
      </c>
      <c r="AB48" s="81">
        <f ca="1">IFERROR(__xludf.DUMMYFUNCTION("IMPORTRANGE(""https://docs.google.com/spreadsheets/d/16UeMz0UgOB5BZcoxP75eYGcLFtGYRn9GoesD4OX9m5U/edit?usp=sharing"",""หนองบัวลำภู!J649"")"),54)</f>
        <v>54</v>
      </c>
      <c r="AC48" s="276">
        <f ca="1">IFERROR(__xludf.DUMMYFUNCTION("IMPORTRANGE(""https://docs.google.com/spreadsheets/d/16UeMz0UgOB5BZcoxP75eYGcLFtGYRn9GoesD4OX9m5U/edit?usp=sharing"",""หนองบัวลำภู!J650"")"),31.17)</f>
        <v>31.17</v>
      </c>
      <c r="AD48" s="82">
        <f t="shared" ca="1" si="25"/>
        <v>41.53846153846154</v>
      </c>
      <c r="AE48" s="234">
        <f ca="1">IFERROR(__xludf.DUMMYFUNCTION("IMPORTRANGE(""https://docs.google.com/spreadsheets/d/16UeMz0UgOB5BZcoxP75eYGcLFtGYRn9GoesD4OX9m5U/edit?usp=sharing"",""หนองบัวลำภู!I651"")"),130)</f>
        <v>130</v>
      </c>
      <c r="AF48" s="81">
        <f ca="1">IFERROR(__xludf.DUMMYFUNCTION("IMPORTRANGE(""https://docs.google.com/spreadsheets/d/16UeMz0UgOB5BZcoxP75eYGcLFtGYRn9GoesD4OX9m5U/edit?usp=sharing"",""หนองบัวลำภู!J651"")"),0)</f>
        <v>0</v>
      </c>
      <c r="AG48" s="276">
        <f ca="1">IFERROR(__xludf.DUMMYFUNCTION("IMPORTRANGE(""https://docs.google.com/spreadsheets/d/16UeMz0UgOB5BZcoxP75eYGcLFtGYRn9GoesD4OX9m5U/edit?usp=sharing"",""หนองบัวลำภู!J652"")"),0)</f>
        <v>0</v>
      </c>
      <c r="AH48" s="82">
        <f t="shared" ca="1" si="26"/>
        <v>0</v>
      </c>
    </row>
    <row r="49" spans="1:34" ht="21" customHeight="1" x14ac:dyDescent="0.3">
      <c r="A49" s="72">
        <v>18</v>
      </c>
      <c r="B49" s="73" t="s">
        <v>66</v>
      </c>
      <c r="C49" s="74">
        <f t="shared" ca="1" si="44"/>
        <v>349485</v>
      </c>
      <c r="D49" s="75">
        <f ca="1">IFERROR(__xludf.DUMMYFUNCTION("IMPORTRANGE(""https://docs.google.com/spreadsheets/d/1uUP8Zo1-qaJLuIkRU0qlwLSE3DHkbdrrj2JGJiWBQZE/edit?usp=sharing"",""อำนาจเจริญ!L634"")"),349485)</f>
        <v>349485</v>
      </c>
      <c r="E49" s="76">
        <f ca="1">IFERROR(__xludf.DUMMYFUNCTION("IMPORTRANGE(""https://docs.google.com/spreadsheets/d/1uUP8Zo1-qaJLuIkRU0qlwLSE3DHkbdrrj2JGJiWBQZE/edit?usp=sharing"",""อำนาจเจริญ!L641"")"),0)</f>
        <v>0</v>
      </c>
      <c r="F49" s="77">
        <f t="shared" ca="1" si="1"/>
        <v>67000</v>
      </c>
      <c r="G49" s="78">
        <f t="shared" ca="1" si="2"/>
        <v>19.171065997110034</v>
      </c>
      <c r="H49" s="79">
        <f t="shared" ca="1" si="45"/>
        <v>67000</v>
      </c>
      <c r="I49" s="76">
        <f ca="1">IFERROR(__xludf.DUMMYFUNCTION("IMPORTRANGE(""https://docs.google.com/spreadsheets/d/1uUP8Zo1-qaJLuIkRU0qlwLSE3DHkbdrrj2JGJiWBQZE/edit?usp=sharing"",""อำนาจเจริญ!N635"")"),0)</f>
        <v>0</v>
      </c>
      <c r="J49" s="76">
        <f ca="1">IFERROR(__xludf.DUMMYFUNCTION("IMPORTRANGE(""https://docs.google.com/spreadsheets/d/1uUP8Zo1-qaJLuIkRU0qlwLSE3DHkbdrrj2JGJiWBQZE/edit?usp=sharing"",""อำนาจเจริญ!N636"")"),0)</f>
        <v>0</v>
      </c>
      <c r="K49" s="76">
        <f ca="1">IFERROR(__xludf.DUMMYFUNCTION("IMPORTRANGE(""https://docs.google.com/spreadsheets/d/1uUP8Zo1-qaJLuIkRU0qlwLSE3DHkbdrrj2JGJiWBQZE/edit?usp=sharing"",""อำนาจเจริญ!N637"")"),52000)</f>
        <v>52000</v>
      </c>
      <c r="L49" s="76">
        <f ca="1">IFERROR(__xludf.DUMMYFUNCTION("IMPORTRANGE(""https://docs.google.com/spreadsheets/d/1uUP8Zo1-qaJLuIkRU0qlwLSE3DHkbdrrj2JGJiWBQZE/edit?usp=sharing"",""อำนาจเจริญ!N638"")"),15000)</f>
        <v>15000</v>
      </c>
      <c r="M49" s="80">
        <f ca="1">IFERROR(__xludf.DUMMYFUNCTION("IMPORTRANGE(""https://docs.google.com/spreadsheets/d/1uUP8Zo1-qaJLuIkRU0qlwLSE3DHkbdrrj2JGJiWBQZE/edit?usp=sharing"",""อำนาจเจริญ!N641"")"),0)</f>
        <v>0</v>
      </c>
      <c r="N49" s="80">
        <f t="shared" ca="1" si="29"/>
        <v>0</v>
      </c>
      <c r="O49" s="81">
        <f ca="1">IFERROR(__xludf.DUMMYFUNCTION("IMPORTRANGE(""https://docs.google.com/spreadsheets/d/1uUP8Zo1-qaJLuIkRU0qlwLSE3DHkbdrrj2JGJiWBQZE/edit?usp=sharing"",""อำนาจเจริญ!I643"")"),0)</f>
        <v>0</v>
      </c>
      <c r="P49" s="81">
        <f ca="1">IFERROR(__xludf.DUMMYFUNCTION("IMPORTRANGE(""https://docs.google.com/spreadsheets/d/1uUP8Zo1-qaJLuIkRU0qlwLSE3DHkbdrrj2JGJiWBQZE/edit?usp=sharing"",""อำนาจเจริญ!J643"")"),0)</f>
        <v>0</v>
      </c>
      <c r="Q49" s="82">
        <f t="shared" ca="1" si="22"/>
        <v>0</v>
      </c>
      <c r="R49" s="81">
        <f ca="1">IFERROR(__xludf.DUMMYFUNCTION("IMPORTRANGE(""https://docs.google.com/spreadsheets/d/1uUP8Zo1-qaJLuIkRU0qlwLSE3DHkbdrrj2JGJiWBQZE/edit?usp=sharing"",""อำนาจเจริญ!I644"")"),0)</f>
        <v>0</v>
      </c>
      <c r="S49" s="81">
        <f ca="1">IFERROR(__xludf.DUMMYFUNCTION("IMPORTRANGE(""https://docs.google.com/spreadsheets/d/1uUP8Zo1-qaJLuIkRU0qlwLSE3DHkbdrrj2JGJiWBQZE/edit?usp=sharing"",""อำนาจเจริญ!J644"")"),0)</f>
        <v>0</v>
      </c>
      <c r="T49" s="82">
        <f t="shared" ca="1" si="23"/>
        <v>0</v>
      </c>
      <c r="U49" s="81">
        <f ca="1">IFERROR(__xludf.DUMMYFUNCTION("IMPORTRANGE(""https://docs.google.com/spreadsheets/d/1uUP8Zo1-qaJLuIkRU0qlwLSE3DHkbdrrj2JGJiWBQZE/edit?usp=sharing"",""อำนาจเจริญ!J645"")"),32)</f>
        <v>32</v>
      </c>
      <c r="V49" s="276">
        <f ca="1">IFERROR(__xludf.DUMMYFUNCTION("IMPORTRANGE(""https://docs.google.com/spreadsheets/d/1uUP8Zo1-qaJLuIkRU0qlwLSE3DHkbdrrj2JGJiWBQZE/edit?usp=sharing"",""อำนาจเจริญ!J646"")"),8.82)</f>
        <v>8.82</v>
      </c>
      <c r="W49" s="81">
        <f ca="1">IFERROR(__xludf.DUMMYFUNCTION("IMPORTRANGE(""https://docs.google.com/spreadsheets/d/1uUP8Zo1-qaJLuIkRU0qlwLSE3DHkbdrrj2JGJiWBQZE/edit?usp=sharing"",""อำนาจเจริญ!I647"")"),90)</f>
        <v>90</v>
      </c>
      <c r="X49" s="81">
        <f ca="1">IFERROR(__xludf.DUMMYFUNCTION("IMPORTRANGE(""https://docs.google.com/spreadsheets/d/1uUP8Zo1-qaJLuIkRU0qlwLSE3DHkbdrrj2JGJiWBQZE/edit?usp=sharing"",""อำนาจเจริญ!J647"")"),4)</f>
        <v>4</v>
      </c>
      <c r="Y49" s="276">
        <f ca="1">IFERROR(__xludf.DUMMYFUNCTION("IMPORTRANGE(""https://docs.google.com/spreadsheets/d/1uUP8Zo1-qaJLuIkRU0qlwLSE3DHkbdrrj2JGJiWBQZE/edit?usp=sharing"",""อำนาจเจริญ!J648"")"),1.45)</f>
        <v>1.45</v>
      </c>
      <c r="Z49" s="82">
        <f t="shared" ca="1" si="24"/>
        <v>4.4444444444444446</v>
      </c>
      <c r="AA49" s="234">
        <f ca="1">IFERROR(__xludf.DUMMYFUNCTION("IMPORTRANGE(""https://docs.google.com/spreadsheets/d/1uUP8Zo1-qaJLuIkRU0qlwLSE3DHkbdrrj2JGJiWBQZE/edit?usp=sharing"",""อำนาจเจริญ!I649"")"),90)</f>
        <v>90</v>
      </c>
      <c r="AB49" s="81">
        <f ca="1">IFERROR(__xludf.DUMMYFUNCTION("IMPORTRANGE(""https://docs.google.com/spreadsheets/d/1uUP8Zo1-qaJLuIkRU0qlwLSE3DHkbdrrj2JGJiWBQZE/edit?usp=sharing"",""อำนาจเจริญ!J649"")"),0)</f>
        <v>0</v>
      </c>
      <c r="AC49" s="276">
        <f ca="1">IFERROR(__xludf.DUMMYFUNCTION("IMPORTRANGE(""https://docs.google.com/spreadsheets/d/1uUP8Zo1-qaJLuIkRU0qlwLSE3DHkbdrrj2JGJiWBQZE/edit?usp=sharing"",""อำนาจเจริญ!J650"")"),0)</f>
        <v>0</v>
      </c>
      <c r="AD49" s="82">
        <f t="shared" ca="1" si="25"/>
        <v>0</v>
      </c>
      <c r="AE49" s="234">
        <f ca="1">IFERROR(__xludf.DUMMYFUNCTION("IMPORTRANGE(""https://docs.google.com/spreadsheets/d/1uUP8Zo1-qaJLuIkRU0qlwLSE3DHkbdrrj2JGJiWBQZE/edit?usp=sharing"",""อำนาจเจริญ!I651"")"),90)</f>
        <v>90</v>
      </c>
      <c r="AF49" s="81">
        <f ca="1">IFERROR(__xludf.DUMMYFUNCTION("IMPORTRANGE(""https://docs.google.com/spreadsheets/d/1uUP8Zo1-qaJLuIkRU0qlwLSE3DHkbdrrj2JGJiWBQZE/edit?usp=sharing"",""อำนาจเจริญ!J651"")"),0)</f>
        <v>0</v>
      </c>
      <c r="AG49" s="276">
        <f ca="1">IFERROR(__xludf.DUMMYFUNCTION("IMPORTRANGE(""https://docs.google.com/spreadsheets/d/1uUP8Zo1-qaJLuIkRU0qlwLSE3DHkbdrrj2JGJiWBQZE/edit?usp=sharing"",""อำนาจเจริญ!J652"")"),0)</f>
        <v>0</v>
      </c>
      <c r="AH49" s="82">
        <f t="shared" ca="1" si="26"/>
        <v>0</v>
      </c>
    </row>
    <row r="50" spans="1:34" ht="21" customHeight="1" x14ac:dyDescent="0.3">
      <c r="A50" s="72">
        <v>19</v>
      </c>
      <c r="B50" s="73" t="s">
        <v>67</v>
      </c>
      <c r="C50" s="74">
        <f t="shared" ca="1" si="44"/>
        <v>1025710</v>
      </c>
      <c r="D50" s="75">
        <f ca="1">IFERROR(__xludf.DUMMYFUNCTION("IMPORTRANGE(""https://docs.google.com/spreadsheets/d/1hb_taSOHanzRjqfzWPiFo8yiT83VV1L7vvUCLhOiHKc/edit?usp=sharing"",""อุดรธานี!L634"")"),1025710)</f>
        <v>1025710</v>
      </c>
      <c r="E50" s="76">
        <f ca="1">IFERROR(__xludf.DUMMYFUNCTION("IMPORTRANGE(""https://docs.google.com/spreadsheets/d/1hb_taSOHanzRjqfzWPiFo8yiT83VV1L7vvUCLhOiHKc/edit?usp=sharing"",""อุดรธานี!L641"")"),0)</f>
        <v>0</v>
      </c>
      <c r="F50" s="77">
        <f t="shared" ca="1" si="1"/>
        <v>495960.76</v>
      </c>
      <c r="G50" s="78">
        <f t="shared" ca="1" si="2"/>
        <v>48.35292236597089</v>
      </c>
      <c r="H50" s="79">
        <f t="shared" ca="1" si="45"/>
        <v>495960.76</v>
      </c>
      <c r="I50" s="76">
        <f ca="1">IFERROR(__xludf.DUMMYFUNCTION("IMPORTRANGE(""https://docs.google.com/spreadsheets/d/1hb_taSOHanzRjqfzWPiFo8yiT83VV1L7vvUCLhOiHKc/edit?usp=sharing"",""อุดรธานี!N635"")"),0)</f>
        <v>0</v>
      </c>
      <c r="J50" s="76">
        <f ca="1">IFERROR(__xludf.DUMMYFUNCTION("IMPORTRANGE(""https://docs.google.com/spreadsheets/d/1hb_taSOHanzRjqfzWPiFo8yiT83VV1L7vvUCLhOiHKc/edit?usp=sharing"",""อุดรธานี!N636"")"),0)</f>
        <v>0</v>
      </c>
      <c r="K50" s="76">
        <f ca="1">IFERROR(__xludf.DUMMYFUNCTION("IMPORTRANGE(""https://docs.google.com/spreadsheets/d/1hb_taSOHanzRjqfzWPiFo8yiT83VV1L7vvUCLhOiHKc/edit?usp=sharing"",""อุดรธานี!N637"")"),104000)</f>
        <v>104000</v>
      </c>
      <c r="L50" s="76">
        <f ca="1">IFERROR(__xludf.DUMMYFUNCTION("IMPORTRANGE(""https://docs.google.com/spreadsheets/d/1hb_taSOHanzRjqfzWPiFo8yiT83VV1L7vvUCLhOiHKc/edit?usp=sharing"",""อุดรธานี!N638"")"),391960.76)</f>
        <v>391960.76</v>
      </c>
      <c r="M50" s="80">
        <f ca="1">IFERROR(__xludf.DUMMYFUNCTION("IMPORTRANGE(""https://docs.google.com/spreadsheets/d/1hb_taSOHanzRjqfzWPiFo8yiT83VV1L7vvUCLhOiHKc/edit?usp=sharing"",""อุดรธานี!N641"")"),0)</f>
        <v>0</v>
      </c>
      <c r="N50" s="80">
        <f t="shared" ca="1" si="29"/>
        <v>0</v>
      </c>
      <c r="O50" s="81">
        <f ca="1">IFERROR(__xludf.DUMMYFUNCTION("IMPORTRANGE(""https://docs.google.com/spreadsheets/d/1hb_taSOHanzRjqfzWPiFo8yiT83VV1L7vvUCLhOiHKc/edit?usp=sharing"",""อุดรธานี!I643"")"),4)</f>
        <v>4</v>
      </c>
      <c r="P50" s="81">
        <f ca="1">IFERROR(__xludf.DUMMYFUNCTION("IMPORTRANGE(""https://docs.google.com/spreadsheets/d/1hb_taSOHanzRjqfzWPiFo8yiT83VV1L7vvUCLhOiHKc/edit?usp=sharing"",""อุดรธานี!J643"")"),4)</f>
        <v>4</v>
      </c>
      <c r="Q50" s="82">
        <f t="shared" ca="1" si="22"/>
        <v>100</v>
      </c>
      <c r="R50" s="81">
        <f ca="1">IFERROR(__xludf.DUMMYFUNCTION("IMPORTRANGE(""https://docs.google.com/spreadsheets/d/1hb_taSOHanzRjqfzWPiFo8yiT83VV1L7vvUCLhOiHKc/edit?usp=sharing"",""อุดรธานี!I644"")"),4)</f>
        <v>4</v>
      </c>
      <c r="S50" s="81">
        <f ca="1">IFERROR(__xludf.DUMMYFUNCTION("IMPORTRANGE(""https://docs.google.com/spreadsheets/d/1hb_taSOHanzRjqfzWPiFo8yiT83VV1L7vvUCLhOiHKc/edit?usp=sharing"",""อุดรธานี!J644"")"),4)</f>
        <v>4</v>
      </c>
      <c r="T50" s="82">
        <f t="shared" ca="1" si="23"/>
        <v>100</v>
      </c>
      <c r="U50" s="81">
        <f ca="1">IFERROR(__xludf.DUMMYFUNCTION("IMPORTRANGE(""https://docs.google.com/spreadsheets/d/1hb_taSOHanzRjqfzWPiFo8yiT83VV1L7vvUCLhOiHKc/edit?usp=sharing"",""อุดรธานี!J645"")"),125)</f>
        <v>125</v>
      </c>
      <c r="V50" s="276">
        <f ca="1">IFERROR(__xludf.DUMMYFUNCTION("IMPORTRANGE(""https://docs.google.com/spreadsheets/d/1hb_taSOHanzRjqfzWPiFo8yiT83VV1L7vvUCLhOiHKc/edit?usp=sharing"",""อุดรธานี!J646"")"),58.87)</f>
        <v>58.87</v>
      </c>
      <c r="W50" s="81">
        <f ca="1">IFERROR(__xludf.DUMMYFUNCTION("IMPORTRANGE(""https://docs.google.com/spreadsheets/d/1hb_taSOHanzRjqfzWPiFo8yiT83VV1L7vvUCLhOiHKc/edit?usp=sharing"",""อุดรธานี!I647"")"),812)</f>
        <v>812</v>
      </c>
      <c r="X50" s="81">
        <f ca="1">IFERROR(__xludf.DUMMYFUNCTION("IMPORTRANGE(""https://docs.google.com/spreadsheets/d/1hb_taSOHanzRjqfzWPiFo8yiT83VV1L7vvUCLhOiHKc/edit?usp=sharing"",""อุดรธานี!J647"")"),352)</f>
        <v>352</v>
      </c>
      <c r="Y50" s="276">
        <f ca="1">IFERROR(__xludf.DUMMYFUNCTION("IMPORTRANGE(""https://docs.google.com/spreadsheets/d/1hb_taSOHanzRjqfzWPiFo8yiT83VV1L7vvUCLhOiHKc/edit?usp=sharing"",""อุดรธานี!J648"")"),173.41)</f>
        <v>173.41</v>
      </c>
      <c r="Z50" s="82">
        <f t="shared" ca="1" si="24"/>
        <v>43.349753694581281</v>
      </c>
      <c r="AA50" s="234">
        <f ca="1">IFERROR(__xludf.DUMMYFUNCTION("IMPORTRANGE(""https://docs.google.com/spreadsheets/d/1hb_taSOHanzRjqfzWPiFo8yiT83VV1L7vvUCLhOiHKc/edit?usp=sharing"",""อุดรธานี!I649"")"),812)</f>
        <v>812</v>
      </c>
      <c r="AB50" s="81">
        <f ca="1">IFERROR(__xludf.DUMMYFUNCTION("IMPORTRANGE(""https://docs.google.com/spreadsheets/d/1hb_taSOHanzRjqfzWPiFo8yiT83VV1L7vvUCLhOiHKc/edit?usp=sharing"",""อุดรธานี!J649"")"),589)</f>
        <v>589</v>
      </c>
      <c r="AC50" s="276">
        <f ca="1">IFERROR(__xludf.DUMMYFUNCTION("IMPORTRANGE(""https://docs.google.com/spreadsheets/d/1hb_taSOHanzRjqfzWPiFo8yiT83VV1L7vvUCLhOiHKc/edit?usp=sharing"",""อุดรธานี!J650"")"),310.3)</f>
        <v>310.3</v>
      </c>
      <c r="AD50" s="82">
        <f t="shared" ca="1" si="25"/>
        <v>72.536945812807886</v>
      </c>
      <c r="AE50" s="234">
        <f ca="1">IFERROR(__xludf.DUMMYFUNCTION("IMPORTRANGE(""https://docs.google.com/spreadsheets/d/1hb_taSOHanzRjqfzWPiFo8yiT83VV1L7vvUCLhOiHKc/edit?usp=sharing"",""อุดรธานี!I651"")"),812)</f>
        <v>812</v>
      </c>
      <c r="AF50" s="81">
        <f ca="1">IFERROR(__xludf.DUMMYFUNCTION("IMPORTRANGE(""https://docs.google.com/spreadsheets/d/1hb_taSOHanzRjqfzWPiFo8yiT83VV1L7vvUCLhOiHKc/edit?usp=sharing"",""อุดรธานี!J651"")"),589)</f>
        <v>589</v>
      </c>
      <c r="AG50" s="276">
        <f ca="1">IFERROR(__xludf.DUMMYFUNCTION("IMPORTRANGE(""https://docs.google.com/spreadsheets/d/1hb_taSOHanzRjqfzWPiFo8yiT83VV1L7vvUCLhOiHKc/edit?usp=sharing"",""อุดรธานี!J652"")"),310.29)</f>
        <v>310.29000000000002</v>
      </c>
      <c r="AH50" s="82">
        <f t="shared" ca="1" si="26"/>
        <v>72.536945812807886</v>
      </c>
    </row>
    <row r="51" spans="1:34" ht="21" customHeight="1" x14ac:dyDescent="0.3">
      <c r="A51" s="83">
        <v>20</v>
      </c>
      <c r="B51" s="84" t="s">
        <v>68</v>
      </c>
      <c r="C51" s="85">
        <f t="shared" ca="1" si="44"/>
        <v>507280</v>
      </c>
      <c r="D51" s="86">
        <f ca="1">IFERROR(__xludf.DUMMYFUNCTION("IMPORTRANGE(""https://docs.google.com/spreadsheets/d/17IOkEwkUd63EGNfyNDnM5de9YlZ7rwzTiW6-dokVjKI/edit?usp=sharing"",""อุบลราชธานี!L634"")"),507280)</f>
        <v>507280</v>
      </c>
      <c r="E51" s="87">
        <f ca="1">IFERROR(__xludf.DUMMYFUNCTION("IMPORTRANGE(""https://docs.google.com/spreadsheets/d/17IOkEwkUd63EGNfyNDnM5de9YlZ7rwzTiW6-dokVjKI/edit?usp=sharing"",""อุบลราชธานี!L641"")"),0)</f>
        <v>0</v>
      </c>
      <c r="F51" s="88">
        <f t="shared" ca="1" si="1"/>
        <v>203267</v>
      </c>
      <c r="G51" s="89">
        <f t="shared" ca="1" si="2"/>
        <v>40.069981075540134</v>
      </c>
      <c r="H51" s="90">
        <f t="shared" ca="1" si="45"/>
        <v>203267</v>
      </c>
      <c r="I51" s="87">
        <f ca="1">IFERROR(__xludf.DUMMYFUNCTION("IMPORTRANGE(""https://docs.google.com/spreadsheets/d/17IOkEwkUd63EGNfyNDnM5de9YlZ7rwzTiW6-dokVjKI/edit?usp=sharing"",""อุบลราชธานี!N635"")"),0)</f>
        <v>0</v>
      </c>
      <c r="J51" s="87">
        <f ca="1">IFERROR(__xludf.DUMMYFUNCTION("IMPORTRANGE(""https://docs.google.com/spreadsheets/d/17IOkEwkUd63EGNfyNDnM5de9YlZ7rwzTiW6-dokVjKI/edit?usp=sharing"",""อุบลราชธานี!N636"")"),0)</f>
        <v>0</v>
      </c>
      <c r="K51" s="87">
        <f ca="1">IFERROR(__xludf.DUMMYFUNCTION("IMPORTRANGE(""https://docs.google.com/spreadsheets/d/17IOkEwkUd63EGNfyNDnM5de9YlZ7rwzTiW6-dokVjKI/edit?usp=sharing"",""อุบลราชธานี!N637"")"),51567)</f>
        <v>51567</v>
      </c>
      <c r="L51" s="87">
        <f ca="1">IFERROR(__xludf.DUMMYFUNCTION("IMPORTRANGE(""https://docs.google.com/spreadsheets/d/17IOkEwkUd63EGNfyNDnM5de9YlZ7rwzTiW6-dokVjKI/edit?usp=sharing"",""อุบลราชธานี!N638"")"),151700)</f>
        <v>151700</v>
      </c>
      <c r="M51" s="91">
        <f ca="1">IFERROR(__xludf.DUMMYFUNCTION("IMPORTRANGE(""https://docs.google.com/spreadsheets/d/17IOkEwkUd63EGNfyNDnM5de9YlZ7rwzTiW6-dokVjKI/edit?usp=sharing"",""อุบลราชธานี!N641"")"),0)</f>
        <v>0</v>
      </c>
      <c r="N51" s="91">
        <f t="shared" ca="1" si="29"/>
        <v>0</v>
      </c>
      <c r="O51" s="92">
        <f ca="1">IFERROR(__xludf.DUMMYFUNCTION("IMPORTRANGE(""https://docs.google.com/spreadsheets/d/17IOkEwkUd63EGNfyNDnM5de9YlZ7rwzTiW6-dokVjKI/edit?usp=sharing"",""อุบลราชธานี!I643"")"),0)</f>
        <v>0</v>
      </c>
      <c r="P51" s="92">
        <f ca="1">IFERROR(__xludf.DUMMYFUNCTION("IMPORTRANGE(""https://docs.google.com/spreadsheets/d/17IOkEwkUd63EGNfyNDnM5de9YlZ7rwzTiW6-dokVjKI/edit?usp=sharing"",""อุบลราชธานี!J643"")"),0)</f>
        <v>0</v>
      </c>
      <c r="Q51" s="93">
        <f t="shared" ca="1" si="22"/>
        <v>0</v>
      </c>
      <c r="R51" s="92">
        <f ca="1">IFERROR(__xludf.DUMMYFUNCTION("IMPORTRANGE(""https://docs.google.com/spreadsheets/d/17IOkEwkUd63EGNfyNDnM5de9YlZ7rwzTiW6-dokVjKI/edit?usp=sharing"",""อุบลราชธานี!I644"")"),0)</f>
        <v>0</v>
      </c>
      <c r="S51" s="92">
        <f ca="1">IFERROR(__xludf.DUMMYFUNCTION("IMPORTRANGE(""https://docs.google.com/spreadsheets/d/17IOkEwkUd63EGNfyNDnM5de9YlZ7rwzTiW6-dokVjKI/edit?usp=sharing"",""อุบลราชธานี!J644"")"),0)</f>
        <v>0</v>
      </c>
      <c r="T51" s="93">
        <f t="shared" ca="1" si="23"/>
        <v>0</v>
      </c>
      <c r="U51" s="92">
        <f ca="1">IFERROR(__xludf.DUMMYFUNCTION("IMPORTRANGE(""https://docs.google.com/spreadsheets/d/17IOkEwkUd63EGNfyNDnM5de9YlZ7rwzTiW6-dokVjKI/edit?usp=sharing"",""อุบลราชธานี!J645"")"),123)</f>
        <v>123</v>
      </c>
      <c r="V51" s="277">
        <f ca="1">IFERROR(__xludf.DUMMYFUNCTION("IMPORTRANGE(""https://docs.google.com/spreadsheets/d/17IOkEwkUd63EGNfyNDnM5de9YlZ7rwzTiW6-dokVjKI/edit?usp=sharing"",""อุบลราชธานี!J646"")"),54.58)</f>
        <v>54.58</v>
      </c>
      <c r="W51" s="92">
        <f ca="1">IFERROR(__xludf.DUMMYFUNCTION("IMPORTRANGE(""https://docs.google.com/spreadsheets/d/17IOkEwkUd63EGNfyNDnM5de9YlZ7rwzTiW6-dokVjKI/edit?usp=sharing"",""อุบลราชธานี!I647"")"),250)</f>
        <v>250</v>
      </c>
      <c r="X51" s="92">
        <f ca="1">IFERROR(__xludf.DUMMYFUNCTION("IMPORTRANGE(""https://docs.google.com/spreadsheets/d/17IOkEwkUd63EGNfyNDnM5de9YlZ7rwzTiW6-dokVjKI/edit?usp=sharing"",""อุบลราชธานี!J647"")"),86)</f>
        <v>86</v>
      </c>
      <c r="Y51" s="277">
        <f ca="1">IFERROR(__xludf.DUMMYFUNCTION("IMPORTRANGE(""https://docs.google.com/spreadsheets/d/17IOkEwkUd63EGNfyNDnM5de9YlZ7rwzTiW6-dokVjKI/edit?usp=sharing"",""อุบลราชธานี!J648"")"),39.14)</f>
        <v>39.14</v>
      </c>
      <c r="Z51" s="93">
        <f t="shared" ca="1" si="24"/>
        <v>34.4</v>
      </c>
      <c r="AA51" s="235">
        <f ca="1">IFERROR(__xludf.DUMMYFUNCTION("IMPORTRANGE(""https://docs.google.com/spreadsheets/d/17IOkEwkUd63EGNfyNDnM5de9YlZ7rwzTiW6-dokVjKI/edit?usp=sharing"",""อุบลราชธานี!I649"")"),250)</f>
        <v>250</v>
      </c>
      <c r="AB51" s="92">
        <f ca="1">IFERROR(__xludf.DUMMYFUNCTION("IMPORTRANGE(""https://docs.google.com/spreadsheets/d/17IOkEwkUd63EGNfyNDnM5de9YlZ7rwzTiW6-dokVjKI/edit?usp=sharing"",""อุบลราชธานี!J649"")"),77)</f>
        <v>77</v>
      </c>
      <c r="AC51" s="277">
        <f ca="1">IFERROR(__xludf.DUMMYFUNCTION("IMPORTRANGE(""https://docs.google.com/spreadsheets/d/17IOkEwkUd63EGNfyNDnM5de9YlZ7rwzTiW6-dokVjKI/edit?usp=sharing"",""อุบลราชธานี!J650"")"),34.05)</f>
        <v>34.049999999999997</v>
      </c>
      <c r="AD51" s="93">
        <f t="shared" ca="1" si="25"/>
        <v>30.8</v>
      </c>
      <c r="AE51" s="235">
        <f ca="1">IFERROR(__xludf.DUMMYFUNCTION("IMPORTRANGE(""https://docs.google.com/spreadsheets/d/17IOkEwkUd63EGNfyNDnM5de9YlZ7rwzTiW6-dokVjKI/edit?usp=sharing"",""อุบลราชธานี!I651"")"),250)</f>
        <v>250</v>
      </c>
      <c r="AF51" s="92">
        <f ca="1">IFERROR(__xludf.DUMMYFUNCTION("IMPORTRANGE(""https://docs.google.com/spreadsheets/d/17IOkEwkUd63EGNfyNDnM5de9YlZ7rwzTiW6-dokVjKI/edit?usp=sharing"",""อุบลราชธานี!J651"")"),0)</f>
        <v>0</v>
      </c>
      <c r="AG51" s="277">
        <f ca="1">IFERROR(__xludf.DUMMYFUNCTION("IMPORTRANGE(""https://docs.google.com/spreadsheets/d/17IOkEwkUd63EGNfyNDnM5de9YlZ7rwzTiW6-dokVjKI/edit?usp=sharing"",""อุบลราชธานี!J652"")"),0)</f>
        <v>0</v>
      </c>
      <c r="AH51" s="93">
        <f t="shared" ca="1" si="26"/>
        <v>0</v>
      </c>
    </row>
    <row r="52" spans="1:34" ht="21" customHeight="1" x14ac:dyDescent="0.3">
      <c r="A52" s="307" t="s">
        <v>69</v>
      </c>
      <c r="B52" s="306"/>
      <c r="C52" s="34">
        <f t="shared" ref="C52:E52" ca="1" si="46">SUM(C53:C73)</f>
        <v>3807230</v>
      </c>
      <c r="D52" s="34">
        <f t="shared" ca="1" si="46"/>
        <v>3807230</v>
      </c>
      <c r="E52" s="57">
        <f t="shared" ca="1" si="46"/>
        <v>0</v>
      </c>
      <c r="F52" s="57">
        <f t="shared" ca="1" si="1"/>
        <v>664078.93999999994</v>
      </c>
      <c r="G52" s="94">
        <f t="shared" ca="1" si="2"/>
        <v>17.442574785342622</v>
      </c>
      <c r="H52" s="57">
        <f t="shared" ref="H52:M52" ca="1" si="47">SUM(H53:H73)</f>
        <v>664078.93999999994</v>
      </c>
      <c r="I52" s="57">
        <f t="shared" ca="1" si="47"/>
        <v>27040</v>
      </c>
      <c r="J52" s="57">
        <f t="shared" ca="1" si="47"/>
        <v>0</v>
      </c>
      <c r="K52" s="57">
        <f t="shared" ca="1" si="47"/>
        <v>362267.33</v>
      </c>
      <c r="L52" s="57">
        <f t="shared" ca="1" si="47"/>
        <v>274771.61</v>
      </c>
      <c r="M52" s="95">
        <f t="shared" ca="1" si="47"/>
        <v>0</v>
      </c>
      <c r="N52" s="95">
        <f t="shared" ca="1" si="29"/>
        <v>0</v>
      </c>
      <c r="O52" s="57">
        <f t="shared" ref="O52:P52" ca="1" si="48">SUM(O53:O73)</f>
        <v>10</v>
      </c>
      <c r="P52" s="57">
        <f t="shared" ca="1" si="48"/>
        <v>7</v>
      </c>
      <c r="Q52" s="96">
        <f t="shared" ca="1" si="22"/>
        <v>70</v>
      </c>
      <c r="R52" s="57">
        <f t="shared" ref="R52:S52" ca="1" si="49">SUM(R53:R73)</f>
        <v>10</v>
      </c>
      <c r="S52" s="57">
        <f t="shared" ca="1" si="49"/>
        <v>0</v>
      </c>
      <c r="T52" s="96">
        <f t="shared" ca="1" si="23"/>
        <v>0</v>
      </c>
      <c r="U52" s="57">
        <f t="shared" ref="U52:Y52" ca="1" si="50">SUM(U53:U73)</f>
        <v>248</v>
      </c>
      <c r="V52" s="278">
        <f t="shared" ca="1" si="50"/>
        <v>255.84</v>
      </c>
      <c r="W52" s="57">
        <f t="shared" ca="1" si="50"/>
        <v>1465</v>
      </c>
      <c r="X52" s="57">
        <f t="shared" ca="1" si="50"/>
        <v>185</v>
      </c>
      <c r="Y52" s="278">
        <f t="shared" ca="1" si="50"/>
        <v>167.9</v>
      </c>
      <c r="Z52" s="96">
        <f t="shared" ca="1" si="24"/>
        <v>12.627986348122867</v>
      </c>
      <c r="AA52" s="231">
        <f t="shared" ref="AA52:AC52" ca="1" si="51">SUM(AA53:AA73)</f>
        <v>1465</v>
      </c>
      <c r="AB52" s="57">
        <f t="shared" ca="1" si="51"/>
        <v>7</v>
      </c>
      <c r="AC52" s="278">
        <f t="shared" ca="1" si="51"/>
        <v>3.94</v>
      </c>
      <c r="AD52" s="96">
        <f t="shared" ca="1" si="25"/>
        <v>0.47781569965870307</v>
      </c>
      <c r="AE52" s="231">
        <f t="shared" ref="AE52:AG52" ca="1" si="52">SUM(AE53:AE73)</f>
        <v>1465</v>
      </c>
      <c r="AF52" s="57">
        <f t="shared" ca="1" si="52"/>
        <v>1</v>
      </c>
      <c r="AG52" s="278">
        <f t="shared" ca="1" si="52"/>
        <v>1.105</v>
      </c>
      <c r="AH52" s="96">
        <f t="shared" ca="1" si="26"/>
        <v>6.8259385665529013E-2</v>
      </c>
    </row>
    <row r="53" spans="1:34" ht="21" customHeight="1" x14ac:dyDescent="0.3">
      <c r="A53" s="62">
        <v>1</v>
      </c>
      <c r="B53" s="63" t="s">
        <v>70</v>
      </c>
      <c r="C53" s="97">
        <f t="shared" ref="C53:C73" ca="1" si="53">D53+E53</f>
        <v>380400</v>
      </c>
      <c r="D53" s="98">
        <f ca="1">IFERROR(__xludf.DUMMYFUNCTION("IMPORTRANGE(""https://docs.google.com/spreadsheets/d/1hKO5uv94SSRZWOvrh72HRcpyoEQF9TsE_Cvxl77XNU4/edit?usp=sharing"",""กาญจนบุรี!L634"")"),380400)</f>
        <v>380400</v>
      </c>
      <c r="E53" s="66">
        <f ca="1">IFERROR(__xludf.DUMMYFUNCTION("IMPORTRANGE(""https://docs.google.com/spreadsheets/d/1hKO5uv94SSRZWOvrh72HRcpyoEQF9TsE_Cvxl77XNU4/edit?usp=sharing"",""กาญจนบุรี!L641"")"),0)</f>
        <v>0</v>
      </c>
      <c r="F53" s="67">
        <f t="shared" ca="1" si="1"/>
        <v>67569</v>
      </c>
      <c r="G53" s="68">
        <f t="shared" ca="1" si="2"/>
        <v>17.762618296529968</v>
      </c>
      <c r="H53" s="69">
        <f t="shared" ref="H53:H73" ca="1" si="54">I53+J53+K53+L53</f>
        <v>67569</v>
      </c>
      <c r="I53" s="66">
        <f ca="1">IFERROR(__xludf.DUMMYFUNCTION("IMPORTRANGE(""https://docs.google.com/spreadsheets/d/1hKO5uv94SSRZWOvrh72HRcpyoEQF9TsE_Cvxl77XNU4/edit?usp=sharing"",""กาญจนบุรี!N635"")"),0)</f>
        <v>0</v>
      </c>
      <c r="J53" s="66">
        <f ca="1">IFERROR(__xludf.DUMMYFUNCTION("IMPORTRANGE(""https://docs.google.com/spreadsheets/d/1hKO5uv94SSRZWOvrh72HRcpyoEQF9TsE_Cvxl77XNU4/edit?usp=sharing"",""กาญจนบุรี!N636"")"),0)</f>
        <v>0</v>
      </c>
      <c r="K53" s="66">
        <f ca="1">IFERROR(__xludf.DUMMYFUNCTION("IMPORTRANGE(""https://docs.google.com/spreadsheets/d/1hKO5uv94SSRZWOvrh72HRcpyoEQF9TsE_Cvxl77XNU4/edit?usp=sharing"",""กาญจนบุรี!N637"")"),51134)</f>
        <v>51134</v>
      </c>
      <c r="L53" s="66">
        <f ca="1">IFERROR(__xludf.DUMMYFUNCTION("IMPORTRANGE(""https://docs.google.com/spreadsheets/d/1hKO5uv94SSRZWOvrh72HRcpyoEQF9TsE_Cvxl77XNU4/edit?usp=sharing"",""กาญจนบุรี!N638"")"),16435)</f>
        <v>16435</v>
      </c>
      <c r="M53" s="70">
        <f ca="1">IFERROR(__xludf.DUMMYFUNCTION("IMPORTRANGE(""https://docs.google.com/spreadsheets/d/1hKO5uv94SSRZWOvrh72HRcpyoEQF9TsE_Cvxl77XNU4/edit?usp=sharing"",""กาญจนบุรี!N641"")"),0)</f>
        <v>0</v>
      </c>
      <c r="N53" s="70">
        <f t="shared" ca="1" si="29"/>
        <v>0</v>
      </c>
      <c r="O53" s="66">
        <f ca="1">IFERROR(__xludf.DUMMYFUNCTION("IMPORTRANGE(""https://docs.google.com/spreadsheets/d/1hKO5uv94SSRZWOvrh72HRcpyoEQF9TsE_Cvxl77XNU4/edit?usp=sharing"",""กาญจนบุรี!I643"")"),2)</f>
        <v>2</v>
      </c>
      <c r="P53" s="66">
        <f ca="1">IFERROR(__xludf.DUMMYFUNCTION("IMPORTRANGE(""https://docs.google.com/spreadsheets/d/1hKO5uv94SSRZWOvrh72HRcpyoEQF9TsE_Cvxl77XNU4/edit?usp=sharing"",""กาญจนบุรี!J643"")"),0)</f>
        <v>0</v>
      </c>
      <c r="Q53" s="71">
        <f t="shared" ca="1" si="22"/>
        <v>0</v>
      </c>
      <c r="R53" s="66">
        <f ca="1">IFERROR(__xludf.DUMMYFUNCTION("IMPORTRANGE(""https://docs.google.com/spreadsheets/d/1hKO5uv94SSRZWOvrh72HRcpyoEQF9TsE_Cvxl77XNU4/edit?usp=sharing"",""กาญจนบุรี!I644"")"),2)</f>
        <v>2</v>
      </c>
      <c r="S53" s="66">
        <f ca="1">IFERROR(__xludf.DUMMYFUNCTION("IMPORTRANGE(""https://docs.google.com/spreadsheets/d/1hKO5uv94SSRZWOvrh72HRcpyoEQF9TsE_Cvxl77XNU4/edit?usp=sharing"",""กาญจนบุรี!J644"")"),0)</f>
        <v>0</v>
      </c>
      <c r="T53" s="71">
        <f t="shared" ca="1" si="23"/>
        <v>0</v>
      </c>
      <c r="U53" s="66">
        <f ca="1">IFERROR(__xludf.DUMMYFUNCTION("IMPORTRANGE(""https://docs.google.com/spreadsheets/d/1hKO5uv94SSRZWOvrh72HRcpyoEQF9TsE_Cvxl77XNU4/edit?usp=sharing"",""กาญจนบุรี!J645"")"),3)</f>
        <v>3</v>
      </c>
      <c r="V53" s="275">
        <f ca="1">IFERROR(__xludf.DUMMYFUNCTION("IMPORTRANGE(""https://docs.google.com/spreadsheets/d/1hKO5uv94SSRZWOvrh72HRcpyoEQF9TsE_Cvxl77XNU4/edit?usp=sharing"",""กาญจนบุรี!J646"")"),1.12)</f>
        <v>1.1200000000000001</v>
      </c>
      <c r="W53" s="66">
        <f ca="1">IFERROR(__xludf.DUMMYFUNCTION("IMPORTRANGE(""https://docs.google.com/spreadsheets/d/1hKO5uv94SSRZWOvrh72HRcpyoEQF9TsE_Cvxl77XNU4/edit?usp=sharing"",""กาญจนบุรี!I647"")"),70)</f>
        <v>70</v>
      </c>
      <c r="X53" s="66">
        <f ca="1">IFERROR(__xludf.DUMMYFUNCTION("IMPORTRANGE(""https://docs.google.com/spreadsheets/d/1hKO5uv94SSRZWOvrh72HRcpyoEQF9TsE_Cvxl77XNU4/edit?usp=sharing"",""กาญจนบุรี!J647"")"),0)</f>
        <v>0</v>
      </c>
      <c r="Y53" s="275">
        <f ca="1">IFERROR(__xludf.DUMMYFUNCTION("IMPORTRANGE(""https://docs.google.com/spreadsheets/d/1hKO5uv94SSRZWOvrh72HRcpyoEQF9TsE_Cvxl77XNU4/edit?usp=sharing"",""กาญจนบุรี!J648"")"),0)</f>
        <v>0</v>
      </c>
      <c r="Z53" s="71">
        <f t="shared" ca="1" si="24"/>
        <v>0</v>
      </c>
      <c r="AA53" s="234">
        <f ca="1">IFERROR(__xludf.DUMMYFUNCTION("IMPORTRANGE(""https://docs.google.com/spreadsheets/d/1hKO5uv94SSRZWOvrh72HRcpyoEQF9TsE_Cvxl77XNU4/edit?usp=sharing"",""กาญจนบุรี!I649"")"),70)</f>
        <v>70</v>
      </c>
      <c r="AB53" s="66">
        <f ca="1">IFERROR(__xludf.DUMMYFUNCTION("IMPORTRANGE(""https://docs.google.com/spreadsheets/d/1hKO5uv94SSRZWOvrh72HRcpyoEQF9TsE_Cvxl77XNU4/edit?usp=sharing"",""กาญจนบุรี!J649"")"),0)</f>
        <v>0</v>
      </c>
      <c r="AC53" s="275">
        <f ca="1">IFERROR(__xludf.DUMMYFUNCTION("IMPORTRANGE(""https://docs.google.com/spreadsheets/d/1hKO5uv94SSRZWOvrh72HRcpyoEQF9TsE_Cvxl77XNU4/edit?usp=sharing"",""กาญจนบุรี!J650"")"),0)</f>
        <v>0</v>
      </c>
      <c r="AD53" s="71">
        <f t="shared" ca="1" si="25"/>
        <v>0</v>
      </c>
      <c r="AE53" s="234">
        <f ca="1">IFERROR(__xludf.DUMMYFUNCTION("IMPORTRANGE(""https://docs.google.com/spreadsheets/d/1hKO5uv94SSRZWOvrh72HRcpyoEQF9TsE_Cvxl77XNU4/edit?usp=sharing"",""กาญจนบุรี!I651"")"),70)</f>
        <v>70</v>
      </c>
      <c r="AF53" s="66">
        <f ca="1">IFERROR(__xludf.DUMMYFUNCTION("IMPORTRANGE(""https://docs.google.com/spreadsheets/d/1hKO5uv94SSRZWOvrh72HRcpyoEQF9TsE_Cvxl77XNU4/edit?usp=sharing"",""กาญจนบุรี!J651"")"),0)</f>
        <v>0</v>
      </c>
      <c r="AG53" s="275">
        <f ca="1">IFERROR(__xludf.DUMMYFUNCTION("IMPORTRANGE(""https://docs.google.com/spreadsheets/d/1hKO5uv94SSRZWOvrh72HRcpyoEQF9TsE_Cvxl77XNU4/edit?usp=sharing"",""กาญจนบุรี!J652"")"),0)</f>
        <v>0</v>
      </c>
      <c r="AH53" s="71">
        <f t="shared" ca="1" si="26"/>
        <v>0</v>
      </c>
    </row>
    <row r="54" spans="1:34" ht="21" customHeight="1" x14ac:dyDescent="0.3">
      <c r="A54" s="72">
        <v>2</v>
      </c>
      <c r="B54" s="73" t="s">
        <v>71</v>
      </c>
      <c r="C54" s="74">
        <f t="shared" ca="1" si="53"/>
        <v>0</v>
      </c>
      <c r="D54" s="75">
        <f ca="1">IFERROR(__xludf.DUMMYFUNCTION("IMPORTRANGE(""https://docs.google.com/spreadsheets/d/1njBaP_xXd-Uotvo2D9zb01TTCFkLJLDK97Tk1l9Qux0/edit?usp=sharing"",""จันทบุรี!L634"")"),0)</f>
        <v>0</v>
      </c>
      <c r="E54" s="76">
        <f ca="1">IFERROR(__xludf.DUMMYFUNCTION("IMPORTRANGE(""https://docs.google.com/spreadsheets/d/1njBaP_xXd-Uotvo2D9zb01TTCFkLJLDK97Tk1l9Qux0/edit?usp=sharing"",""จันทบุรี!L641"")"),0)</f>
        <v>0</v>
      </c>
      <c r="F54" s="77">
        <f t="shared" ca="1" si="1"/>
        <v>0</v>
      </c>
      <c r="G54" s="78">
        <f t="shared" ca="1" si="2"/>
        <v>0</v>
      </c>
      <c r="H54" s="79">
        <f t="shared" ca="1" si="54"/>
        <v>0</v>
      </c>
      <c r="I54" s="76">
        <f ca="1">IFERROR(__xludf.DUMMYFUNCTION("IMPORTRANGE(""https://docs.google.com/spreadsheets/d/1njBaP_xXd-Uotvo2D9zb01TTCFkLJLDK97Tk1l9Qux0/edit?usp=sharing"",""จันทบุรี!N635"")"),0)</f>
        <v>0</v>
      </c>
      <c r="J54" s="76">
        <f ca="1">IFERROR(__xludf.DUMMYFUNCTION("IMPORTRANGE(""https://docs.google.com/spreadsheets/d/1njBaP_xXd-Uotvo2D9zb01TTCFkLJLDK97Tk1l9Qux0/edit?usp=sharing"",""จันทบุรี!N636"")"),0)</f>
        <v>0</v>
      </c>
      <c r="K54" s="76">
        <f ca="1">IFERROR(__xludf.DUMMYFUNCTION("IMPORTRANGE(""https://docs.google.com/spreadsheets/d/1njBaP_xXd-Uotvo2D9zb01TTCFkLJLDK97Tk1l9Qux0/edit?usp=sharing"",""จันทบุรี!N637"")"),0)</f>
        <v>0</v>
      </c>
      <c r="L54" s="76">
        <f ca="1">IFERROR(__xludf.DUMMYFUNCTION("IMPORTRANGE(""https://docs.google.com/spreadsheets/d/1njBaP_xXd-Uotvo2D9zb01TTCFkLJLDK97Tk1l9Qux0/edit?usp=sharing"",""จันทบุรี!N638"")"),0)</f>
        <v>0</v>
      </c>
      <c r="M54" s="80">
        <f ca="1">IFERROR(__xludf.DUMMYFUNCTION("IMPORTRANGE(""https://docs.google.com/spreadsheets/d/1njBaP_xXd-Uotvo2D9zb01TTCFkLJLDK97Tk1l9Qux0/edit?usp=sharing"",""จันทบุรี!N641"")"),0)</f>
        <v>0</v>
      </c>
      <c r="N54" s="80">
        <f t="shared" ca="1" si="29"/>
        <v>0</v>
      </c>
      <c r="O54" s="81">
        <f ca="1">IFERROR(__xludf.DUMMYFUNCTION("IMPORTRANGE(""https://docs.google.com/spreadsheets/d/1njBaP_xXd-Uotvo2D9zb01TTCFkLJLDK97Tk1l9Qux0/edit?usp=sharing"",""จันทบุรี!I643"")"),0)</f>
        <v>0</v>
      </c>
      <c r="P54" s="81">
        <f ca="1">IFERROR(__xludf.DUMMYFUNCTION("IMPORTRANGE(""https://docs.google.com/spreadsheets/d/1njBaP_xXd-Uotvo2D9zb01TTCFkLJLDK97Tk1l9Qux0/edit?usp=sharing"",""จันทบุรี!J643"")"),0)</f>
        <v>0</v>
      </c>
      <c r="Q54" s="82">
        <f t="shared" ca="1" si="22"/>
        <v>0</v>
      </c>
      <c r="R54" s="81">
        <f ca="1">IFERROR(__xludf.DUMMYFUNCTION("IMPORTRANGE(""https://docs.google.com/spreadsheets/d/1njBaP_xXd-Uotvo2D9zb01TTCFkLJLDK97Tk1l9Qux0/edit?usp=sharing"",""จันทบุรี!I644"")"),0)</f>
        <v>0</v>
      </c>
      <c r="S54" s="81">
        <f ca="1">IFERROR(__xludf.DUMMYFUNCTION("IMPORTRANGE(""https://docs.google.com/spreadsheets/d/1njBaP_xXd-Uotvo2D9zb01TTCFkLJLDK97Tk1l9Qux0/edit?usp=sharing"",""จันทบุรี!J644"")"),0)</f>
        <v>0</v>
      </c>
      <c r="T54" s="82">
        <f t="shared" ca="1" si="23"/>
        <v>0</v>
      </c>
      <c r="U54" s="81">
        <f ca="1">IFERROR(__xludf.DUMMYFUNCTION("IMPORTRANGE(""https://docs.google.com/spreadsheets/d/1njBaP_xXd-Uotvo2D9zb01TTCFkLJLDK97Tk1l9Qux0/edit?usp=sharing"",""จันทบุรี!J645"")"),1)</f>
        <v>1</v>
      </c>
      <c r="V54" s="276">
        <f ca="1">IFERROR(__xludf.DUMMYFUNCTION("IMPORTRANGE(""https://docs.google.com/spreadsheets/d/1njBaP_xXd-Uotvo2D9zb01TTCFkLJLDK97Tk1l9Qux0/edit?usp=sharing"",""จันทบุรี!J646"")"),1.05)</f>
        <v>1.05</v>
      </c>
      <c r="W54" s="81">
        <f ca="1">IFERROR(__xludf.DUMMYFUNCTION("IMPORTRANGE(""https://docs.google.com/spreadsheets/d/1njBaP_xXd-Uotvo2D9zb01TTCFkLJLDK97Tk1l9Qux0/edit?usp=sharing"",""จันทบุรี!I647"")"),0)</f>
        <v>0</v>
      </c>
      <c r="X54" s="81">
        <f ca="1">IFERROR(__xludf.DUMMYFUNCTION("IMPORTRANGE(""https://docs.google.com/spreadsheets/d/1njBaP_xXd-Uotvo2D9zb01TTCFkLJLDK97Tk1l9Qux0/edit?usp=sharing"",""จันทบุรี!J647"")"),1)</f>
        <v>1</v>
      </c>
      <c r="Y54" s="276">
        <f ca="1">IFERROR(__xludf.DUMMYFUNCTION("IMPORTRANGE(""https://docs.google.com/spreadsheets/d/1njBaP_xXd-Uotvo2D9zb01TTCFkLJLDK97Tk1l9Qux0/edit?usp=sharing"",""จันทบุรี!J648"")"),1.05)</f>
        <v>1.05</v>
      </c>
      <c r="Z54" s="82">
        <f t="shared" ca="1" si="24"/>
        <v>0</v>
      </c>
      <c r="AA54" s="234">
        <f ca="1">IFERROR(__xludf.DUMMYFUNCTION("IMPORTRANGE(""https://docs.google.com/spreadsheets/d/1njBaP_xXd-Uotvo2D9zb01TTCFkLJLDK97Tk1l9Qux0/edit?usp=sharing"",""จันทบุรี!I649"")"),0)</f>
        <v>0</v>
      </c>
      <c r="AB54" s="81">
        <f ca="1">IFERROR(__xludf.DUMMYFUNCTION("IMPORTRANGE(""https://docs.google.com/spreadsheets/d/1njBaP_xXd-Uotvo2D9zb01TTCFkLJLDK97Tk1l9Qux0/edit?usp=sharing"",""จันทบุรี!J649"")"),0)</f>
        <v>0</v>
      </c>
      <c r="AC54" s="276">
        <f ca="1">IFERROR(__xludf.DUMMYFUNCTION("IMPORTRANGE(""https://docs.google.com/spreadsheets/d/1njBaP_xXd-Uotvo2D9zb01TTCFkLJLDK97Tk1l9Qux0/edit?usp=sharing"",""จันทบุรี!J650"")"),0)</f>
        <v>0</v>
      </c>
      <c r="AD54" s="82">
        <f t="shared" ca="1" si="25"/>
        <v>0</v>
      </c>
      <c r="AE54" s="234">
        <f ca="1">IFERROR(__xludf.DUMMYFUNCTION("IMPORTRANGE(""https://docs.google.com/spreadsheets/d/1njBaP_xXd-Uotvo2D9zb01TTCFkLJLDK97Tk1l9Qux0/edit?usp=sharing"",""จันทบุรี!I651"")"),0)</f>
        <v>0</v>
      </c>
      <c r="AF54" s="81">
        <f ca="1">IFERROR(__xludf.DUMMYFUNCTION("IMPORTRANGE(""https://docs.google.com/spreadsheets/d/1njBaP_xXd-Uotvo2D9zb01TTCFkLJLDK97Tk1l9Qux0/edit?usp=sharing"",""จันทบุรี!J651"")"),1)</f>
        <v>1</v>
      </c>
      <c r="AG54" s="276">
        <f ca="1">IFERROR(__xludf.DUMMYFUNCTION("IMPORTRANGE(""https://docs.google.com/spreadsheets/d/1njBaP_xXd-Uotvo2D9zb01TTCFkLJLDK97Tk1l9Qux0/edit?usp=sharing"",""จันทบุรี!J652"")"),1.105)</f>
        <v>1.105</v>
      </c>
      <c r="AH54" s="82">
        <f t="shared" ca="1" si="26"/>
        <v>0</v>
      </c>
    </row>
    <row r="55" spans="1:34" ht="21" customHeight="1" x14ac:dyDescent="0.3">
      <c r="A55" s="72">
        <v>3</v>
      </c>
      <c r="B55" s="73" t="s">
        <v>72</v>
      </c>
      <c r="C55" s="74">
        <f t="shared" ca="1" si="53"/>
        <v>0</v>
      </c>
      <c r="D55" s="75">
        <f ca="1">IFERROR(__xludf.DUMMYFUNCTION("IMPORTRANGE(""https://docs.google.com/spreadsheets/d/14xp6qUzrGFnUk_qnc1eEmfiaNRd4_grkhpfQH_46fa8/edit?usp=sharing"",""ฉะเชิงเทรา!L634"")"),0)</f>
        <v>0</v>
      </c>
      <c r="E55" s="76">
        <f ca="1">IFERROR(__xludf.DUMMYFUNCTION("IMPORTRANGE(""https://docs.google.com/spreadsheets/d/14xp6qUzrGFnUk_qnc1eEmfiaNRd4_grkhpfQH_46fa8/edit?usp=sharing"",""ฉะเชิงเทรา!L641"")"),0)</f>
        <v>0</v>
      </c>
      <c r="F55" s="77">
        <f t="shared" ca="1" si="1"/>
        <v>0</v>
      </c>
      <c r="G55" s="78">
        <f t="shared" ca="1" si="2"/>
        <v>0</v>
      </c>
      <c r="H55" s="79">
        <f t="shared" ca="1" si="54"/>
        <v>0</v>
      </c>
      <c r="I55" s="76">
        <f ca="1">IFERROR(__xludf.DUMMYFUNCTION("IMPORTRANGE(""https://docs.google.com/spreadsheets/d/14xp6qUzrGFnUk_qnc1eEmfiaNRd4_grkhpfQH_46fa8/edit?usp=sharing"",""ฉะเชิงเทรา!N635"")"),0)</f>
        <v>0</v>
      </c>
      <c r="J55" s="76">
        <f ca="1">IFERROR(__xludf.DUMMYFUNCTION("IMPORTRANGE(""https://docs.google.com/spreadsheets/d/14xp6qUzrGFnUk_qnc1eEmfiaNRd4_grkhpfQH_46fa8/edit?usp=sharing"",""ฉะเชิงเทรา!N636"")"),0)</f>
        <v>0</v>
      </c>
      <c r="K55" s="76">
        <f ca="1">IFERROR(__xludf.DUMMYFUNCTION("IMPORTRANGE(""https://docs.google.com/spreadsheets/d/14xp6qUzrGFnUk_qnc1eEmfiaNRd4_grkhpfQH_46fa8/edit?usp=sharing"",""ฉะเชิงเทรา!N637"")"),0)</f>
        <v>0</v>
      </c>
      <c r="L55" s="76">
        <f ca="1">IFERROR(__xludf.DUMMYFUNCTION("IMPORTRANGE(""https://docs.google.com/spreadsheets/d/14xp6qUzrGFnUk_qnc1eEmfiaNRd4_grkhpfQH_46fa8/edit?usp=sharing"",""ฉะเชิงเทรา!N638"")"),0)</f>
        <v>0</v>
      </c>
      <c r="M55" s="80">
        <f ca="1">IFERROR(__xludf.DUMMYFUNCTION("IMPORTRANGE(""https://docs.google.com/spreadsheets/d/14xp6qUzrGFnUk_qnc1eEmfiaNRd4_grkhpfQH_46fa8/edit?usp=sharing"",""ฉะเชิงเทรา!N641"")"),0)</f>
        <v>0</v>
      </c>
      <c r="N55" s="80">
        <f t="shared" ca="1" si="29"/>
        <v>0</v>
      </c>
      <c r="O55" s="81">
        <f ca="1">IFERROR(__xludf.DUMMYFUNCTION("IMPORTRANGE(""https://docs.google.com/spreadsheets/d/14xp6qUzrGFnUk_qnc1eEmfiaNRd4_grkhpfQH_46fa8/edit?usp=sharing"",""ฉะเชิงเทรา!I643"")"),0)</f>
        <v>0</v>
      </c>
      <c r="P55" s="81">
        <f ca="1">IFERROR(__xludf.DUMMYFUNCTION("IMPORTRANGE(""https://docs.google.com/spreadsheets/d/14xp6qUzrGFnUk_qnc1eEmfiaNRd4_grkhpfQH_46fa8/edit?usp=sharing"",""ฉะเชิงเทรา!J643"")"),0)</f>
        <v>0</v>
      </c>
      <c r="Q55" s="82">
        <f t="shared" ca="1" si="22"/>
        <v>0</v>
      </c>
      <c r="R55" s="81">
        <f ca="1">IFERROR(__xludf.DUMMYFUNCTION("IMPORTRANGE(""https://docs.google.com/spreadsheets/d/14xp6qUzrGFnUk_qnc1eEmfiaNRd4_grkhpfQH_46fa8/edit?usp=sharing"",""ฉะเชิงเทรา!I644"")"),0)</f>
        <v>0</v>
      </c>
      <c r="S55" s="81">
        <f ca="1">IFERROR(__xludf.DUMMYFUNCTION("IMPORTRANGE(""https://docs.google.com/spreadsheets/d/14xp6qUzrGFnUk_qnc1eEmfiaNRd4_grkhpfQH_46fa8/edit?usp=sharing"",""ฉะเชิงเทรา!J644"")"),0)</f>
        <v>0</v>
      </c>
      <c r="T55" s="82">
        <f t="shared" ca="1" si="23"/>
        <v>0</v>
      </c>
      <c r="U55" s="81">
        <f ca="1">IFERROR(__xludf.DUMMYFUNCTION("IMPORTRANGE(""https://docs.google.com/spreadsheets/d/14xp6qUzrGFnUk_qnc1eEmfiaNRd4_grkhpfQH_46fa8/edit?usp=sharing"",""ฉะเชิงเทรา!J645"")"),51)</f>
        <v>51</v>
      </c>
      <c r="V55" s="276">
        <f ca="1">IFERROR(__xludf.DUMMYFUNCTION("IMPORTRANGE(""https://docs.google.com/spreadsheets/d/14xp6qUzrGFnUk_qnc1eEmfiaNRd4_grkhpfQH_46fa8/edit?usp=sharing"",""ฉะเชิงเทรา!J646"")"),95.88)</f>
        <v>95.88</v>
      </c>
      <c r="W55" s="81">
        <f ca="1">IFERROR(__xludf.DUMMYFUNCTION("IMPORTRANGE(""https://docs.google.com/spreadsheets/d/14xp6qUzrGFnUk_qnc1eEmfiaNRd4_grkhpfQH_46fa8/edit?usp=sharing"",""ฉะเชิงเทรา!I647"")"),0)</f>
        <v>0</v>
      </c>
      <c r="X55" s="81">
        <f ca="1">IFERROR(__xludf.DUMMYFUNCTION("IMPORTRANGE(""https://docs.google.com/spreadsheets/d/14xp6qUzrGFnUk_qnc1eEmfiaNRd4_grkhpfQH_46fa8/edit?usp=sharing"",""ฉะเชิงเทรา!J647"")"),1)</f>
        <v>1</v>
      </c>
      <c r="Y55" s="276">
        <f ca="1">IFERROR(__xludf.DUMMYFUNCTION("IMPORTRANGE(""https://docs.google.com/spreadsheets/d/14xp6qUzrGFnUk_qnc1eEmfiaNRd4_grkhpfQH_46fa8/edit?usp=sharing"",""ฉะเชิงเทรา!J648"")"),0.15)</f>
        <v>0.15</v>
      </c>
      <c r="Z55" s="82">
        <f t="shared" ca="1" si="24"/>
        <v>0</v>
      </c>
      <c r="AA55" s="234">
        <f ca="1">IFERROR(__xludf.DUMMYFUNCTION("IMPORTRANGE(""https://docs.google.com/spreadsheets/d/14xp6qUzrGFnUk_qnc1eEmfiaNRd4_grkhpfQH_46fa8/edit?usp=sharing"",""ฉะเชิงเทรา!I649"")"),0)</f>
        <v>0</v>
      </c>
      <c r="AB55" s="81">
        <f ca="1">IFERROR(__xludf.DUMMYFUNCTION("IMPORTRANGE(""https://docs.google.com/spreadsheets/d/14xp6qUzrGFnUk_qnc1eEmfiaNRd4_grkhpfQH_46fa8/edit?usp=sharing"",""ฉะเชิงเทรา!J649"")"),0)</f>
        <v>0</v>
      </c>
      <c r="AC55" s="276">
        <f ca="1">IFERROR(__xludf.DUMMYFUNCTION("IMPORTRANGE(""https://docs.google.com/spreadsheets/d/14xp6qUzrGFnUk_qnc1eEmfiaNRd4_grkhpfQH_46fa8/edit?usp=sharing"",""ฉะเชิงเทรา!J650"")"),0)</f>
        <v>0</v>
      </c>
      <c r="AD55" s="82">
        <f t="shared" ca="1" si="25"/>
        <v>0</v>
      </c>
      <c r="AE55" s="234">
        <f ca="1">IFERROR(__xludf.DUMMYFUNCTION("IMPORTRANGE(""https://docs.google.com/spreadsheets/d/14xp6qUzrGFnUk_qnc1eEmfiaNRd4_grkhpfQH_46fa8/edit?usp=sharing"",""ฉะเชิงเทรา!I651"")"),0)</f>
        <v>0</v>
      </c>
      <c r="AF55" s="81">
        <f ca="1">IFERROR(__xludf.DUMMYFUNCTION("IMPORTRANGE(""https://docs.google.com/spreadsheets/d/14xp6qUzrGFnUk_qnc1eEmfiaNRd4_grkhpfQH_46fa8/edit?usp=sharing"",""ฉะเชิงเทรา!J651"")"),0)</f>
        <v>0</v>
      </c>
      <c r="AG55" s="276">
        <f ca="1">IFERROR(__xludf.DUMMYFUNCTION("IMPORTRANGE(""https://docs.google.com/spreadsheets/d/14xp6qUzrGFnUk_qnc1eEmfiaNRd4_grkhpfQH_46fa8/edit?usp=sharing"",""ฉะเชิงเทรา!J652"")"),0)</f>
        <v>0</v>
      </c>
      <c r="AH55" s="82">
        <f t="shared" ca="1" si="26"/>
        <v>0</v>
      </c>
    </row>
    <row r="56" spans="1:34" ht="21" customHeight="1" x14ac:dyDescent="0.3">
      <c r="A56" s="72">
        <v>4</v>
      </c>
      <c r="B56" s="73" t="s">
        <v>73</v>
      </c>
      <c r="C56" s="74">
        <f t="shared" ca="1" si="53"/>
        <v>171175</v>
      </c>
      <c r="D56" s="75">
        <f ca="1">IFERROR(__xludf.DUMMYFUNCTION("IMPORTRANGE(""https://docs.google.com/spreadsheets/d/1_Zwps30dlVa-pZFsorjVf1Pil6WXwzCsJU0U2whO3NI/edit?usp=sharing"",""ชลบุรี!L634"")"),171175)</f>
        <v>171175</v>
      </c>
      <c r="E56" s="76">
        <f ca="1">IFERROR(__xludf.DUMMYFUNCTION("IMPORTRANGE(""https://docs.google.com/spreadsheets/d/1_Zwps30dlVa-pZFsorjVf1Pil6WXwzCsJU0U2whO3NI/edit?usp=sharing"",""ชลบุรี!L641"")"),0)</f>
        <v>0</v>
      </c>
      <c r="F56" s="77">
        <f t="shared" ca="1" si="1"/>
        <v>15260</v>
      </c>
      <c r="G56" s="78">
        <f t="shared" ca="1" si="2"/>
        <v>8.9148532203884905</v>
      </c>
      <c r="H56" s="79">
        <f t="shared" ca="1" si="54"/>
        <v>15260</v>
      </c>
      <c r="I56" s="76">
        <f ca="1">IFERROR(__xludf.DUMMYFUNCTION("IMPORTRANGE(""https://docs.google.com/spreadsheets/d/1_Zwps30dlVa-pZFsorjVf1Pil6WXwzCsJU0U2whO3NI/edit?usp=sharing"",""ชลบุรี!N635"")"),0)</f>
        <v>0</v>
      </c>
      <c r="J56" s="76">
        <f ca="1">IFERROR(__xludf.DUMMYFUNCTION("IMPORTRANGE(""https://docs.google.com/spreadsheets/d/1_Zwps30dlVa-pZFsorjVf1Pil6WXwzCsJU0U2whO3NI/edit?usp=sharing"",""ชลบุรี!N636"")"),0)</f>
        <v>0</v>
      </c>
      <c r="K56" s="76">
        <f ca="1">IFERROR(__xludf.DUMMYFUNCTION("IMPORTRANGE(""https://docs.google.com/spreadsheets/d/1_Zwps30dlVa-pZFsorjVf1Pil6WXwzCsJU0U2whO3NI/edit?usp=sharing"",""ชลบุรี!N637"")"),0)</f>
        <v>0</v>
      </c>
      <c r="L56" s="76">
        <f ca="1">IFERROR(__xludf.DUMMYFUNCTION("IMPORTRANGE(""https://docs.google.com/spreadsheets/d/1_Zwps30dlVa-pZFsorjVf1Pil6WXwzCsJU0U2whO3NI/edit?usp=sharing"",""ชลบุรี!N638"")"),15260)</f>
        <v>15260</v>
      </c>
      <c r="M56" s="80">
        <f ca="1">IFERROR(__xludf.DUMMYFUNCTION("IMPORTRANGE(""https://docs.google.com/spreadsheets/d/1_Zwps30dlVa-pZFsorjVf1Pil6WXwzCsJU0U2whO3NI/edit?usp=sharing"",""ชลบุรี!N641"")"),0)</f>
        <v>0</v>
      </c>
      <c r="N56" s="80">
        <f t="shared" ca="1" si="29"/>
        <v>0</v>
      </c>
      <c r="O56" s="81">
        <f ca="1">IFERROR(__xludf.DUMMYFUNCTION("IMPORTRANGE(""https://docs.google.com/spreadsheets/d/1_Zwps30dlVa-pZFsorjVf1Pil6WXwzCsJU0U2whO3NI/edit?usp=sharing"",""ชลบุรี!I643"")"),0)</f>
        <v>0</v>
      </c>
      <c r="P56" s="81">
        <f ca="1">IFERROR(__xludf.DUMMYFUNCTION("IMPORTRANGE(""https://docs.google.com/spreadsheets/d/1_Zwps30dlVa-pZFsorjVf1Pil6WXwzCsJU0U2whO3NI/edit?usp=sharing"",""ชลบุรี!J643"")"),0)</f>
        <v>0</v>
      </c>
      <c r="Q56" s="82">
        <f t="shared" ca="1" si="22"/>
        <v>0</v>
      </c>
      <c r="R56" s="81">
        <f ca="1">IFERROR(__xludf.DUMMYFUNCTION("IMPORTRANGE(""https://docs.google.com/spreadsheets/d/1_Zwps30dlVa-pZFsorjVf1Pil6WXwzCsJU0U2whO3NI/edit?usp=sharing"",""ชลบุรี!I644"")"),0)</f>
        <v>0</v>
      </c>
      <c r="S56" s="81">
        <f ca="1">IFERROR(__xludf.DUMMYFUNCTION("IMPORTRANGE(""https://docs.google.com/spreadsheets/d/1_Zwps30dlVa-pZFsorjVf1Pil6WXwzCsJU0U2whO3NI/edit?usp=sharing"",""ชลบุรี!J644"")"),0)</f>
        <v>0</v>
      </c>
      <c r="T56" s="82">
        <f t="shared" ca="1" si="23"/>
        <v>0</v>
      </c>
      <c r="U56" s="81">
        <f ca="1">IFERROR(__xludf.DUMMYFUNCTION("IMPORTRANGE(""https://docs.google.com/spreadsheets/d/1_Zwps30dlVa-pZFsorjVf1Pil6WXwzCsJU0U2whO3NI/edit?usp=sharing"",""ชลบุรี!J645"")"),14)</f>
        <v>14</v>
      </c>
      <c r="V56" s="276">
        <f ca="1">IFERROR(__xludf.DUMMYFUNCTION("IMPORTRANGE(""https://docs.google.com/spreadsheets/d/1_Zwps30dlVa-pZFsorjVf1Pil6WXwzCsJU0U2whO3NI/edit?usp=sharing"",""ชลบุรี!J646"")"),3.92)</f>
        <v>3.92</v>
      </c>
      <c r="W56" s="81">
        <f ca="1">IFERROR(__xludf.DUMMYFUNCTION("IMPORTRANGE(""https://docs.google.com/spreadsheets/d/1_Zwps30dlVa-pZFsorjVf1Pil6WXwzCsJU0U2whO3NI/edit?usp=sharing"",""ชลบุรี!I647"")"),50)</f>
        <v>50</v>
      </c>
      <c r="X56" s="81">
        <f ca="1">IFERROR(__xludf.DUMMYFUNCTION("IMPORTRANGE(""https://docs.google.com/spreadsheets/d/1_Zwps30dlVa-pZFsorjVf1Pil6WXwzCsJU0U2whO3NI/edit?usp=sharing"",""ชลบุรี!J647"")"),10)</f>
        <v>10</v>
      </c>
      <c r="Y56" s="276">
        <f ca="1">IFERROR(__xludf.DUMMYFUNCTION("IMPORTRANGE(""https://docs.google.com/spreadsheets/d/1_Zwps30dlVa-pZFsorjVf1Pil6WXwzCsJU0U2whO3NI/edit?usp=sharing"",""ชลบุรี!J648"")"),12.16)</f>
        <v>12.16</v>
      </c>
      <c r="Z56" s="82">
        <f t="shared" ca="1" si="24"/>
        <v>20</v>
      </c>
      <c r="AA56" s="234">
        <f ca="1">IFERROR(__xludf.DUMMYFUNCTION("IMPORTRANGE(""https://docs.google.com/spreadsheets/d/1_Zwps30dlVa-pZFsorjVf1Pil6WXwzCsJU0U2whO3NI/edit?usp=sharing"",""ชลบุรี!I649"")"),50)</f>
        <v>50</v>
      </c>
      <c r="AB56" s="81">
        <f ca="1">IFERROR(__xludf.DUMMYFUNCTION("IMPORTRANGE(""https://docs.google.com/spreadsheets/d/1_Zwps30dlVa-pZFsorjVf1Pil6WXwzCsJU0U2whO3NI/edit?usp=sharing"",""ชลบุรี!J649"")"),2)</f>
        <v>2</v>
      </c>
      <c r="AC56" s="276">
        <f ca="1">IFERROR(__xludf.DUMMYFUNCTION("IMPORTRANGE(""https://docs.google.com/spreadsheets/d/1_Zwps30dlVa-pZFsorjVf1Pil6WXwzCsJU0U2whO3NI/edit?usp=sharing"",""ชลบุรี!J650"")"),0.25)</f>
        <v>0.25</v>
      </c>
      <c r="AD56" s="82">
        <f t="shared" ca="1" si="25"/>
        <v>4</v>
      </c>
      <c r="AE56" s="234">
        <f ca="1">IFERROR(__xludf.DUMMYFUNCTION("IMPORTRANGE(""https://docs.google.com/spreadsheets/d/1_Zwps30dlVa-pZFsorjVf1Pil6WXwzCsJU0U2whO3NI/edit?usp=sharing"",""ชลบุรี!I651"")"),50)</f>
        <v>50</v>
      </c>
      <c r="AF56" s="81">
        <f ca="1">IFERROR(__xludf.DUMMYFUNCTION("IMPORTRANGE(""https://docs.google.com/spreadsheets/d/1_Zwps30dlVa-pZFsorjVf1Pil6WXwzCsJU0U2whO3NI/edit?usp=sharing"",""ชลบุรี!J651"")"),0)</f>
        <v>0</v>
      </c>
      <c r="AG56" s="276">
        <f ca="1">IFERROR(__xludf.DUMMYFUNCTION("IMPORTRANGE(""https://docs.google.com/spreadsheets/d/1_Zwps30dlVa-pZFsorjVf1Pil6WXwzCsJU0U2whO3NI/edit?usp=sharing"",""ชลบุรี!J652"")"),0)</f>
        <v>0</v>
      </c>
      <c r="AH56" s="82">
        <f t="shared" ca="1" si="26"/>
        <v>0</v>
      </c>
    </row>
    <row r="57" spans="1:34" ht="21" customHeight="1" x14ac:dyDescent="0.3">
      <c r="A57" s="72">
        <v>5</v>
      </c>
      <c r="B57" s="73" t="s">
        <v>74</v>
      </c>
      <c r="C57" s="74">
        <f t="shared" ca="1" si="53"/>
        <v>146945</v>
      </c>
      <c r="D57" s="75">
        <f ca="1">IFERROR(__xludf.DUMMYFUNCTION("IMPORTRANGE(""https://docs.google.com/spreadsheets/d/1xAsT4sUbBlom7l0acStESh_15nvjZcXjZM7fK5uZSq8/edit?usp=sharing"",""ชัยนาท!L634"")"),146945)</f>
        <v>146945</v>
      </c>
      <c r="E57" s="76">
        <f ca="1">IFERROR(__xludf.DUMMYFUNCTION("IMPORTRANGE(""https://docs.google.com/spreadsheets/d/1xAsT4sUbBlom7l0acStESh_15nvjZcXjZM7fK5uZSq8/edit?usp=sharing"",""ชัยนาท!L641"")"),0)</f>
        <v>0</v>
      </c>
      <c r="F57" s="77">
        <f t="shared" ca="1" si="1"/>
        <v>2800</v>
      </c>
      <c r="G57" s="78">
        <f t="shared" ca="1" si="2"/>
        <v>1.9054748375242438</v>
      </c>
      <c r="H57" s="79">
        <f t="shared" ca="1" si="54"/>
        <v>2800</v>
      </c>
      <c r="I57" s="76">
        <f ca="1">IFERROR(__xludf.DUMMYFUNCTION("IMPORTRANGE(""https://docs.google.com/spreadsheets/d/1xAsT4sUbBlom7l0acStESh_15nvjZcXjZM7fK5uZSq8/edit?usp=sharing"",""ชัยนาท!N635"")"),0)</f>
        <v>0</v>
      </c>
      <c r="J57" s="76">
        <f ca="1">IFERROR(__xludf.DUMMYFUNCTION("IMPORTRANGE(""https://docs.google.com/spreadsheets/d/1xAsT4sUbBlom7l0acStESh_15nvjZcXjZM7fK5uZSq8/edit?usp=sharing"",""ชัยนาท!N636"")"),0)</f>
        <v>0</v>
      </c>
      <c r="K57" s="76">
        <f ca="1">IFERROR(__xludf.DUMMYFUNCTION("IMPORTRANGE(""https://docs.google.com/spreadsheets/d/1xAsT4sUbBlom7l0acStESh_15nvjZcXjZM7fK5uZSq8/edit?usp=sharing"",""ชัยนาท!N637"")"),0)</f>
        <v>0</v>
      </c>
      <c r="L57" s="76">
        <f ca="1">IFERROR(__xludf.DUMMYFUNCTION("IMPORTRANGE(""https://docs.google.com/spreadsheets/d/1xAsT4sUbBlom7l0acStESh_15nvjZcXjZM7fK5uZSq8/edit?usp=sharing"",""ชัยนาท!N638"")"),2800)</f>
        <v>2800</v>
      </c>
      <c r="M57" s="80">
        <f ca="1">IFERROR(__xludf.DUMMYFUNCTION("IMPORTRANGE(""https://docs.google.com/spreadsheets/d/1xAsT4sUbBlom7l0acStESh_15nvjZcXjZM7fK5uZSq8/edit?usp=sharing"",""ชัยนาท!N641"")"),0)</f>
        <v>0</v>
      </c>
      <c r="N57" s="80">
        <f t="shared" ca="1" si="29"/>
        <v>0</v>
      </c>
      <c r="O57" s="81">
        <f ca="1">IFERROR(__xludf.DUMMYFUNCTION("IMPORTRANGE(""https://docs.google.com/spreadsheets/d/1xAsT4sUbBlom7l0acStESh_15nvjZcXjZM7fK5uZSq8/edit?usp=sharing"",""ชัยนาท!I643"")"),0)</f>
        <v>0</v>
      </c>
      <c r="P57" s="81">
        <f ca="1">IFERROR(__xludf.DUMMYFUNCTION("IMPORTRANGE(""https://docs.google.com/spreadsheets/d/1xAsT4sUbBlom7l0acStESh_15nvjZcXjZM7fK5uZSq8/edit?usp=sharing"",""ชัยนาท!J643"")"),0)</f>
        <v>0</v>
      </c>
      <c r="Q57" s="82">
        <f t="shared" ca="1" si="22"/>
        <v>0</v>
      </c>
      <c r="R57" s="81">
        <f ca="1">IFERROR(__xludf.DUMMYFUNCTION("IMPORTRANGE(""https://docs.google.com/spreadsheets/d/1xAsT4sUbBlom7l0acStESh_15nvjZcXjZM7fK5uZSq8/edit?usp=sharing"",""ชัยนาท!I644"")"),0)</f>
        <v>0</v>
      </c>
      <c r="S57" s="81">
        <f ca="1">IFERROR(__xludf.DUMMYFUNCTION("IMPORTRANGE(""https://docs.google.com/spreadsheets/d/1xAsT4sUbBlom7l0acStESh_15nvjZcXjZM7fK5uZSq8/edit?usp=sharing"",""ชัยนาท!J644"")"),0)</f>
        <v>0</v>
      </c>
      <c r="T57" s="82">
        <f t="shared" ca="1" si="23"/>
        <v>0</v>
      </c>
      <c r="U57" s="81">
        <f ca="1">IFERROR(__xludf.DUMMYFUNCTION("IMPORTRANGE(""https://docs.google.com/spreadsheets/d/1xAsT4sUbBlom7l0acStESh_15nvjZcXjZM7fK5uZSq8/edit?usp=sharing"",""ชัยนาท!J645"")"),2)</f>
        <v>2</v>
      </c>
      <c r="V57" s="276">
        <f ca="1">IFERROR(__xludf.DUMMYFUNCTION("IMPORTRANGE(""https://docs.google.com/spreadsheets/d/1xAsT4sUbBlom7l0acStESh_15nvjZcXjZM7fK5uZSq8/edit?usp=sharing"",""ชัยนาท!J646"")"),1.14)</f>
        <v>1.1399999999999999</v>
      </c>
      <c r="W57" s="81">
        <f ca="1">IFERROR(__xludf.DUMMYFUNCTION("IMPORTRANGE(""https://docs.google.com/spreadsheets/d/1xAsT4sUbBlom7l0acStESh_15nvjZcXjZM7fK5uZSq8/edit?usp=sharing"",""ชัยนาท!I647"")"),6)</f>
        <v>6</v>
      </c>
      <c r="X57" s="81">
        <f ca="1">IFERROR(__xludf.DUMMYFUNCTION("IMPORTRANGE(""https://docs.google.com/spreadsheets/d/1xAsT4sUbBlom7l0acStESh_15nvjZcXjZM7fK5uZSq8/edit?usp=sharing"",""ชัยนาท!J647"")"),9)</f>
        <v>9</v>
      </c>
      <c r="Y57" s="276">
        <f ca="1">IFERROR(__xludf.DUMMYFUNCTION("IMPORTRANGE(""https://docs.google.com/spreadsheets/d/1xAsT4sUbBlom7l0acStESh_15nvjZcXjZM7fK5uZSq8/edit?usp=sharing"",""ชัยนาท!J648"")"),6.65)</f>
        <v>6.65</v>
      </c>
      <c r="Z57" s="82">
        <f t="shared" ca="1" si="24"/>
        <v>150</v>
      </c>
      <c r="AA57" s="234">
        <f ca="1">IFERROR(__xludf.DUMMYFUNCTION("IMPORTRANGE(""https://docs.google.com/spreadsheets/d/1xAsT4sUbBlom7l0acStESh_15nvjZcXjZM7fK5uZSq8/edit?usp=sharing"",""ชัยนาท!I649"")"),6)</f>
        <v>6</v>
      </c>
      <c r="AB57" s="81">
        <f ca="1">IFERROR(__xludf.DUMMYFUNCTION("IMPORTRANGE(""https://docs.google.com/spreadsheets/d/1xAsT4sUbBlom7l0acStESh_15nvjZcXjZM7fK5uZSq8/edit?usp=sharing"",""ชัยนาท!J649"")"),5)</f>
        <v>5</v>
      </c>
      <c r="AC57" s="276">
        <f ca="1">IFERROR(__xludf.DUMMYFUNCTION("IMPORTRANGE(""https://docs.google.com/spreadsheets/d/1xAsT4sUbBlom7l0acStESh_15nvjZcXjZM7fK5uZSq8/edit?usp=sharing"",""ชัยนาท!J650"")"),3.69)</f>
        <v>3.69</v>
      </c>
      <c r="AD57" s="82">
        <f t="shared" ca="1" si="25"/>
        <v>83.333333333333329</v>
      </c>
      <c r="AE57" s="234">
        <f ca="1">IFERROR(__xludf.DUMMYFUNCTION("IMPORTRANGE(""https://docs.google.com/spreadsheets/d/1xAsT4sUbBlom7l0acStESh_15nvjZcXjZM7fK5uZSq8/edit?usp=sharing"",""ชัยนาท!I651"")"),6)</f>
        <v>6</v>
      </c>
      <c r="AF57" s="81">
        <f ca="1">IFERROR(__xludf.DUMMYFUNCTION("IMPORTRANGE(""https://docs.google.com/spreadsheets/d/1xAsT4sUbBlom7l0acStESh_15nvjZcXjZM7fK5uZSq8/edit?usp=sharing"",""ชัยนาท!J651"")"),0)</f>
        <v>0</v>
      </c>
      <c r="AG57" s="276">
        <f ca="1">IFERROR(__xludf.DUMMYFUNCTION("IMPORTRANGE(""https://docs.google.com/spreadsheets/d/1xAsT4sUbBlom7l0acStESh_15nvjZcXjZM7fK5uZSq8/edit?usp=sharing"",""ชัยนาท!J652"")"),0)</f>
        <v>0</v>
      </c>
      <c r="AH57" s="82">
        <f t="shared" ca="1" si="26"/>
        <v>0</v>
      </c>
    </row>
    <row r="58" spans="1:34" ht="21" customHeight="1" x14ac:dyDescent="0.3">
      <c r="A58" s="72">
        <v>6</v>
      </c>
      <c r="B58" s="73" t="s">
        <v>75</v>
      </c>
      <c r="C58" s="74">
        <f t="shared" ca="1" si="53"/>
        <v>332910</v>
      </c>
      <c r="D58" s="75">
        <f ca="1">IFERROR(__xludf.DUMMYFUNCTION("IMPORTRANGE(""https://docs.google.com/spreadsheets/d/1vWPVBOAaZ6mHSI8yf95DNqHwTJ1cpeFsvqt6cxV34QA/edit?usp=sharing"",""ตราด!L634"")"),332910)</f>
        <v>332910</v>
      </c>
      <c r="E58" s="76">
        <f ca="1">IFERROR(__xludf.DUMMYFUNCTION("IMPORTRANGE(""https://docs.google.com/spreadsheets/d/1vWPVBOAaZ6mHSI8yf95DNqHwTJ1cpeFsvqt6cxV34QA/edit?usp=sharing"",""ตราด!L641"")"),0)</f>
        <v>0</v>
      </c>
      <c r="F58" s="77">
        <f t="shared" ca="1" si="1"/>
        <v>46960</v>
      </c>
      <c r="G58" s="78">
        <f t="shared" ca="1" si="2"/>
        <v>14.105914511429516</v>
      </c>
      <c r="H58" s="79">
        <f t="shared" ca="1" si="54"/>
        <v>46960</v>
      </c>
      <c r="I58" s="76">
        <f ca="1">IFERROR(__xludf.DUMMYFUNCTION("IMPORTRANGE(""https://docs.google.com/spreadsheets/d/1vWPVBOAaZ6mHSI8yf95DNqHwTJ1cpeFsvqt6cxV34QA/edit?usp=sharing"",""ตราด!N635"")"),0)</f>
        <v>0</v>
      </c>
      <c r="J58" s="76">
        <f ca="1">IFERROR(__xludf.DUMMYFUNCTION("IMPORTRANGE(""https://docs.google.com/spreadsheets/d/1vWPVBOAaZ6mHSI8yf95DNqHwTJ1cpeFsvqt6cxV34QA/edit?usp=sharing"",""ตราด!N636"")"),0)</f>
        <v>0</v>
      </c>
      <c r="K58" s="76">
        <f ca="1">IFERROR(__xludf.DUMMYFUNCTION("IMPORTRANGE(""https://docs.google.com/spreadsheets/d/1vWPVBOAaZ6mHSI8yf95DNqHwTJ1cpeFsvqt6cxV34QA/edit?usp=sharing"",""ตราด!N637"")"),39000)</f>
        <v>39000</v>
      </c>
      <c r="L58" s="76">
        <f ca="1">IFERROR(__xludf.DUMMYFUNCTION("IMPORTRANGE(""https://docs.google.com/spreadsheets/d/1vWPVBOAaZ6mHSI8yf95DNqHwTJ1cpeFsvqt6cxV34QA/edit?usp=sharing"",""ตราด!N638"")"),7960)</f>
        <v>7960</v>
      </c>
      <c r="M58" s="80">
        <f ca="1">IFERROR(__xludf.DUMMYFUNCTION("IMPORTRANGE(""https://docs.google.com/spreadsheets/d/1vWPVBOAaZ6mHSI8yf95DNqHwTJ1cpeFsvqt6cxV34QA/edit?usp=sharing"",""ตราด!N641"")"),0)</f>
        <v>0</v>
      </c>
      <c r="N58" s="80">
        <f t="shared" ca="1" si="29"/>
        <v>0</v>
      </c>
      <c r="O58" s="81">
        <f ca="1">IFERROR(__xludf.DUMMYFUNCTION("IMPORTRANGE(""https://docs.google.com/spreadsheets/d/1vWPVBOAaZ6mHSI8yf95DNqHwTJ1cpeFsvqt6cxV34QA/edit?usp=sharing"",""ตราด!I643"")"),0)</f>
        <v>0</v>
      </c>
      <c r="P58" s="81">
        <f ca="1">IFERROR(__xludf.DUMMYFUNCTION("IMPORTRANGE(""https://docs.google.com/spreadsheets/d/1vWPVBOAaZ6mHSI8yf95DNqHwTJ1cpeFsvqt6cxV34QA/edit?usp=sharing"",""ตราด!J643"")"),0)</f>
        <v>0</v>
      </c>
      <c r="Q58" s="82">
        <f t="shared" ca="1" si="22"/>
        <v>0</v>
      </c>
      <c r="R58" s="81">
        <f ca="1">IFERROR(__xludf.DUMMYFUNCTION("IMPORTRANGE(""https://docs.google.com/spreadsheets/d/1vWPVBOAaZ6mHSI8yf95DNqHwTJ1cpeFsvqt6cxV34QA/edit?usp=sharing"",""ตราด!I644"")"),0)</f>
        <v>0</v>
      </c>
      <c r="S58" s="81">
        <f ca="1">IFERROR(__xludf.DUMMYFUNCTION("IMPORTRANGE(""https://docs.google.com/spreadsheets/d/1vWPVBOAaZ6mHSI8yf95DNqHwTJ1cpeFsvqt6cxV34QA/edit?usp=sharing"",""ตราด!J644"")"),0)</f>
        <v>0</v>
      </c>
      <c r="T58" s="82">
        <f t="shared" ca="1" si="23"/>
        <v>0</v>
      </c>
      <c r="U58" s="81">
        <f ca="1">IFERROR(__xludf.DUMMYFUNCTION("IMPORTRANGE(""https://docs.google.com/spreadsheets/d/1vWPVBOAaZ6mHSI8yf95DNqHwTJ1cpeFsvqt6cxV34QA/edit?usp=sharing"",""ตราด!J645"")"),0)</f>
        <v>0</v>
      </c>
      <c r="V58" s="276">
        <f ca="1">IFERROR(__xludf.DUMMYFUNCTION("IMPORTRANGE(""https://docs.google.com/spreadsheets/d/1vWPVBOAaZ6mHSI8yf95DNqHwTJ1cpeFsvqt6cxV34QA/edit?usp=sharing"",""ตราด!J646"")"),0)</f>
        <v>0</v>
      </c>
      <c r="W58" s="81">
        <f ca="1">IFERROR(__xludf.DUMMYFUNCTION("IMPORTRANGE(""https://docs.google.com/spreadsheets/d/1vWPVBOAaZ6mHSI8yf95DNqHwTJ1cpeFsvqt6cxV34QA/edit?usp=sharing"",""ตราด!I647"")"),90)</f>
        <v>90</v>
      </c>
      <c r="X58" s="81">
        <f ca="1">IFERROR(__xludf.DUMMYFUNCTION("IMPORTRANGE(""https://docs.google.com/spreadsheets/d/1vWPVBOAaZ6mHSI8yf95DNqHwTJ1cpeFsvqt6cxV34QA/edit?usp=sharing"",""ตราด!J647"")"),0)</f>
        <v>0</v>
      </c>
      <c r="Y58" s="276">
        <f ca="1">IFERROR(__xludf.DUMMYFUNCTION("IMPORTRANGE(""https://docs.google.com/spreadsheets/d/1vWPVBOAaZ6mHSI8yf95DNqHwTJ1cpeFsvqt6cxV34QA/edit?usp=sharing"",""ตราด!J648"")"),0)</f>
        <v>0</v>
      </c>
      <c r="Z58" s="82">
        <f t="shared" ca="1" si="24"/>
        <v>0</v>
      </c>
      <c r="AA58" s="234">
        <f ca="1">IFERROR(__xludf.DUMMYFUNCTION("IMPORTRANGE(""https://docs.google.com/spreadsheets/d/1vWPVBOAaZ6mHSI8yf95DNqHwTJ1cpeFsvqt6cxV34QA/edit?usp=sharing"",""ตราด!I649"")"),90)</f>
        <v>90</v>
      </c>
      <c r="AB58" s="81">
        <f ca="1">IFERROR(__xludf.DUMMYFUNCTION("IMPORTRANGE(""https://docs.google.com/spreadsheets/d/1vWPVBOAaZ6mHSI8yf95DNqHwTJ1cpeFsvqt6cxV34QA/edit?usp=sharing"",""ตราด!J649"")"),0)</f>
        <v>0</v>
      </c>
      <c r="AC58" s="276">
        <f ca="1">IFERROR(__xludf.DUMMYFUNCTION("IMPORTRANGE(""https://docs.google.com/spreadsheets/d/1vWPVBOAaZ6mHSI8yf95DNqHwTJ1cpeFsvqt6cxV34QA/edit?usp=sharing"",""ตราด!J650"")"),0)</f>
        <v>0</v>
      </c>
      <c r="AD58" s="82">
        <f t="shared" ca="1" si="25"/>
        <v>0</v>
      </c>
      <c r="AE58" s="234">
        <f ca="1">IFERROR(__xludf.DUMMYFUNCTION("IMPORTRANGE(""https://docs.google.com/spreadsheets/d/1vWPVBOAaZ6mHSI8yf95DNqHwTJ1cpeFsvqt6cxV34QA/edit?usp=sharing"",""ตราด!I651"")"),90)</f>
        <v>90</v>
      </c>
      <c r="AF58" s="81">
        <f ca="1">IFERROR(__xludf.DUMMYFUNCTION("IMPORTRANGE(""https://docs.google.com/spreadsheets/d/1vWPVBOAaZ6mHSI8yf95DNqHwTJ1cpeFsvqt6cxV34QA/edit?usp=sharing"",""ตราด!J651"")"),0)</f>
        <v>0</v>
      </c>
      <c r="AG58" s="276">
        <f ca="1">IFERROR(__xludf.DUMMYFUNCTION("IMPORTRANGE(""https://docs.google.com/spreadsheets/d/1vWPVBOAaZ6mHSI8yf95DNqHwTJ1cpeFsvqt6cxV34QA/edit?usp=sharing"",""ตราด!J652"")"),0)</f>
        <v>0</v>
      </c>
      <c r="AH58" s="82">
        <f t="shared" ca="1" si="26"/>
        <v>0</v>
      </c>
    </row>
    <row r="59" spans="1:34" ht="21" customHeight="1" x14ac:dyDescent="0.3">
      <c r="A59" s="72">
        <v>7</v>
      </c>
      <c r="B59" s="73" t="s">
        <v>76</v>
      </c>
      <c r="C59" s="74">
        <f t="shared" ca="1" si="53"/>
        <v>0</v>
      </c>
      <c r="D59" s="75">
        <f ca="1">IFERROR(__xludf.DUMMYFUNCTION("IMPORTRANGE(""https://docs.google.com/spreadsheets/d/1phaeSb9lTGgzDpbvVqI9hfmOQQzUom07-HEvpbARzEg/edit?usp=sharing"",""นครนายก!L634"")"),0)</f>
        <v>0</v>
      </c>
      <c r="E59" s="76">
        <f ca="1">IFERROR(__xludf.DUMMYFUNCTION("IMPORTRANGE(""https://docs.google.com/spreadsheets/d/1phaeSb9lTGgzDpbvVqI9hfmOQQzUom07-HEvpbARzEg/edit?usp=sharing"",""นครนายก!L641"")"),0)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54"/>
        <v>0</v>
      </c>
      <c r="I59" s="76">
        <f ca="1">IFERROR(__xludf.DUMMYFUNCTION("IMPORTRANGE(""https://docs.google.com/spreadsheets/d/1phaeSb9lTGgzDpbvVqI9hfmOQQzUom07-HEvpbARzEg/edit?usp=sharing"",""นครนายก!N635"")"),0)</f>
        <v>0</v>
      </c>
      <c r="J59" s="76">
        <f ca="1">IFERROR(__xludf.DUMMYFUNCTION("IMPORTRANGE(""https://docs.google.com/spreadsheets/d/1phaeSb9lTGgzDpbvVqI9hfmOQQzUom07-HEvpbARzEg/edit?usp=sharing"",""นครนายก!N636"")"),0)</f>
        <v>0</v>
      </c>
      <c r="K59" s="76">
        <f ca="1">IFERROR(__xludf.DUMMYFUNCTION("IMPORTRANGE(""https://docs.google.com/spreadsheets/d/1phaeSb9lTGgzDpbvVqI9hfmOQQzUom07-HEvpbARzEg/edit?usp=sharing"",""นครนายก!N637"")"),0)</f>
        <v>0</v>
      </c>
      <c r="L59" s="76">
        <f ca="1">IFERROR(__xludf.DUMMYFUNCTION("IMPORTRANGE(""https://docs.google.com/spreadsheets/d/1phaeSb9lTGgzDpbvVqI9hfmOQQzUom07-HEvpbARzEg/edit?usp=sharing"",""นครนายก!N638"")"),0)</f>
        <v>0</v>
      </c>
      <c r="M59" s="80">
        <f ca="1">IFERROR(__xludf.DUMMYFUNCTION("IMPORTRANGE(""https://docs.google.com/spreadsheets/d/1phaeSb9lTGgzDpbvVqI9hfmOQQzUom07-HEvpbARzEg/edit?usp=sharing"",""นครนายก!N641"")"),0)</f>
        <v>0</v>
      </c>
      <c r="N59" s="80">
        <f t="shared" ca="1" si="29"/>
        <v>0</v>
      </c>
      <c r="O59" s="81">
        <f ca="1">IFERROR(__xludf.DUMMYFUNCTION("IMPORTRANGE(""https://docs.google.com/spreadsheets/d/1phaeSb9lTGgzDpbvVqI9hfmOQQzUom07-HEvpbARzEg/edit?usp=sharing"",""นครนายก!I643"")"),0)</f>
        <v>0</v>
      </c>
      <c r="P59" s="81">
        <f ca="1">IFERROR(__xludf.DUMMYFUNCTION("IMPORTRANGE(""https://docs.google.com/spreadsheets/d/1phaeSb9lTGgzDpbvVqI9hfmOQQzUom07-HEvpbARzEg/edit?usp=sharing"",""นครนายก!J643"")"),0)</f>
        <v>0</v>
      </c>
      <c r="Q59" s="82">
        <f t="shared" ca="1" si="22"/>
        <v>0</v>
      </c>
      <c r="R59" s="81">
        <f ca="1">IFERROR(__xludf.DUMMYFUNCTION("IMPORTRANGE(""https://docs.google.com/spreadsheets/d/1phaeSb9lTGgzDpbvVqI9hfmOQQzUom07-HEvpbARzEg/edit?usp=sharing"",""นครนายก!I644"")"),0)</f>
        <v>0</v>
      </c>
      <c r="S59" s="81">
        <f ca="1">IFERROR(__xludf.DUMMYFUNCTION("IMPORTRANGE(""https://docs.google.com/spreadsheets/d/1phaeSb9lTGgzDpbvVqI9hfmOQQzUom07-HEvpbARzEg/edit?usp=sharing"",""นครนายก!J644"")"),0)</f>
        <v>0</v>
      </c>
      <c r="T59" s="82">
        <f t="shared" ca="1" si="23"/>
        <v>0</v>
      </c>
      <c r="U59" s="81">
        <f ca="1">IFERROR(__xludf.DUMMYFUNCTION("IMPORTRANGE(""https://docs.google.com/spreadsheets/d/1phaeSb9lTGgzDpbvVqI9hfmOQQzUom07-HEvpbARzEg/edit?usp=sharing"",""นครนายก!J645"")"),0)</f>
        <v>0</v>
      </c>
      <c r="V59" s="276">
        <f ca="1">IFERROR(__xludf.DUMMYFUNCTION("IMPORTRANGE(""https://docs.google.com/spreadsheets/d/1phaeSb9lTGgzDpbvVqI9hfmOQQzUom07-HEvpbARzEg/edit?usp=sharing"",""นครนายก!J646"")"),0)</f>
        <v>0</v>
      </c>
      <c r="W59" s="81">
        <f ca="1">IFERROR(__xludf.DUMMYFUNCTION("IMPORTRANGE(""https://docs.google.com/spreadsheets/d/1phaeSb9lTGgzDpbvVqI9hfmOQQzUom07-HEvpbARzEg/edit?usp=sharing"",""นครนายก!I647"")"),0)</f>
        <v>0</v>
      </c>
      <c r="X59" s="81">
        <f ca="1">IFERROR(__xludf.DUMMYFUNCTION("IMPORTRANGE(""https://docs.google.com/spreadsheets/d/1phaeSb9lTGgzDpbvVqI9hfmOQQzUom07-HEvpbARzEg/edit?usp=sharing"",""นครนายก!J647"")"),0)</f>
        <v>0</v>
      </c>
      <c r="Y59" s="276">
        <f ca="1">IFERROR(__xludf.DUMMYFUNCTION("IMPORTRANGE(""https://docs.google.com/spreadsheets/d/1phaeSb9lTGgzDpbvVqI9hfmOQQzUom07-HEvpbARzEg/edit?usp=sharing"",""นครนายก!J648"")"),0)</f>
        <v>0</v>
      </c>
      <c r="Z59" s="82">
        <f t="shared" ca="1" si="24"/>
        <v>0</v>
      </c>
      <c r="AA59" s="234">
        <f ca="1">IFERROR(__xludf.DUMMYFUNCTION("IMPORTRANGE(""https://docs.google.com/spreadsheets/d/1phaeSb9lTGgzDpbvVqI9hfmOQQzUom07-HEvpbARzEg/edit?usp=sharing"",""นครนายก!I649"")"),0)</f>
        <v>0</v>
      </c>
      <c r="AB59" s="81">
        <f ca="1">IFERROR(__xludf.DUMMYFUNCTION("IMPORTRANGE(""https://docs.google.com/spreadsheets/d/1phaeSb9lTGgzDpbvVqI9hfmOQQzUom07-HEvpbARzEg/edit?usp=sharing"",""นครนายก!J649"")"),0)</f>
        <v>0</v>
      </c>
      <c r="AC59" s="276">
        <f ca="1">IFERROR(__xludf.DUMMYFUNCTION("IMPORTRANGE(""https://docs.google.com/spreadsheets/d/1phaeSb9lTGgzDpbvVqI9hfmOQQzUom07-HEvpbARzEg/edit?usp=sharing"",""นครนายก!J650"")"),0)</f>
        <v>0</v>
      </c>
      <c r="AD59" s="82">
        <f t="shared" ca="1" si="25"/>
        <v>0</v>
      </c>
      <c r="AE59" s="234">
        <f ca="1">IFERROR(__xludf.DUMMYFUNCTION("IMPORTRANGE(""https://docs.google.com/spreadsheets/d/1phaeSb9lTGgzDpbvVqI9hfmOQQzUom07-HEvpbARzEg/edit?usp=sharing"",""นครนายก!I651"")"),0)</f>
        <v>0</v>
      </c>
      <c r="AF59" s="81">
        <f ca="1">IFERROR(__xludf.DUMMYFUNCTION("IMPORTRANGE(""https://docs.google.com/spreadsheets/d/1phaeSb9lTGgzDpbvVqI9hfmOQQzUom07-HEvpbARzEg/edit?usp=sharing"",""นครนายก!J651"")"),0)</f>
        <v>0</v>
      </c>
      <c r="AG59" s="276">
        <f ca="1">IFERROR(__xludf.DUMMYFUNCTION("IMPORTRANGE(""https://docs.google.com/spreadsheets/d/1phaeSb9lTGgzDpbvVqI9hfmOQQzUom07-HEvpbARzEg/edit?usp=sharing"",""นครนายก!J652"")"),0)</f>
        <v>0</v>
      </c>
      <c r="AH59" s="82">
        <f t="shared" ca="1" si="26"/>
        <v>0</v>
      </c>
    </row>
    <row r="60" spans="1:34" ht="21" customHeight="1" x14ac:dyDescent="0.3">
      <c r="A60" s="72">
        <v>8</v>
      </c>
      <c r="B60" s="73" t="s">
        <v>77</v>
      </c>
      <c r="C60" s="74">
        <f t="shared" ca="1" si="53"/>
        <v>0</v>
      </c>
      <c r="D60" s="75">
        <f ca="1">IFERROR(__xludf.DUMMYFUNCTION("IMPORTRANGE(""https://docs.google.com/spreadsheets/d/1tpwhWwkqkBeiSWCcfB5f2fbwPRbM9hHOEDSDHpl2MIc/edit?usp=sharing"",""นครปฐม!L634"")"),0)</f>
        <v>0</v>
      </c>
      <c r="E60" s="76">
        <f ca="1">IFERROR(__xludf.DUMMYFUNCTION("IMPORTRANGE(""https://docs.google.com/spreadsheets/d/1tpwhWwkqkBeiSWCcfB5f2fbwPRbM9hHOEDSDHpl2MIc/edit?usp=sharing"",""นครปฐม!L641"")"),0)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54"/>
        <v>0</v>
      </c>
      <c r="I60" s="76">
        <f ca="1">IFERROR(__xludf.DUMMYFUNCTION("IMPORTRANGE(""https://docs.google.com/spreadsheets/d/1tpwhWwkqkBeiSWCcfB5f2fbwPRbM9hHOEDSDHpl2MIc/edit?usp=sharing"",""นครปฐม!N635"")"),0)</f>
        <v>0</v>
      </c>
      <c r="J60" s="76">
        <f ca="1">IFERROR(__xludf.DUMMYFUNCTION("IMPORTRANGE(""https://docs.google.com/spreadsheets/d/1tpwhWwkqkBeiSWCcfB5f2fbwPRbM9hHOEDSDHpl2MIc/edit?usp=sharing"",""นครปฐม!N636"")"),0)</f>
        <v>0</v>
      </c>
      <c r="K60" s="76">
        <f ca="1">IFERROR(__xludf.DUMMYFUNCTION("IMPORTRANGE(""https://docs.google.com/spreadsheets/d/1tpwhWwkqkBeiSWCcfB5f2fbwPRbM9hHOEDSDHpl2MIc/edit?usp=sharing"",""นครปฐม!N637"")"),0)</f>
        <v>0</v>
      </c>
      <c r="L60" s="76">
        <f ca="1">IFERROR(__xludf.DUMMYFUNCTION("IMPORTRANGE(""https://docs.google.com/spreadsheets/d/1tpwhWwkqkBeiSWCcfB5f2fbwPRbM9hHOEDSDHpl2MIc/edit?usp=sharing"",""นครปฐม!N638"")"),0)</f>
        <v>0</v>
      </c>
      <c r="M60" s="80">
        <f ca="1">IFERROR(__xludf.DUMMYFUNCTION("IMPORTRANGE(""https://docs.google.com/spreadsheets/d/1tpwhWwkqkBeiSWCcfB5f2fbwPRbM9hHOEDSDHpl2MIc/edit?usp=sharing"",""นครปฐม!N641"")"),0)</f>
        <v>0</v>
      </c>
      <c r="N60" s="80">
        <f t="shared" ca="1" si="29"/>
        <v>0</v>
      </c>
      <c r="O60" s="81">
        <f ca="1">IFERROR(__xludf.DUMMYFUNCTION("IMPORTRANGE(""https://docs.google.com/spreadsheets/d/1tpwhWwkqkBeiSWCcfB5f2fbwPRbM9hHOEDSDHpl2MIc/edit?usp=sharing"",""นครปฐม!I643"")"),0)</f>
        <v>0</v>
      </c>
      <c r="P60" s="81">
        <f ca="1">IFERROR(__xludf.DUMMYFUNCTION("IMPORTRANGE(""https://docs.google.com/spreadsheets/d/1tpwhWwkqkBeiSWCcfB5f2fbwPRbM9hHOEDSDHpl2MIc/edit?usp=sharing"",""นครปฐม!J643"")"),0)</f>
        <v>0</v>
      </c>
      <c r="Q60" s="82">
        <f t="shared" ca="1" si="22"/>
        <v>0</v>
      </c>
      <c r="R60" s="81">
        <f ca="1">IFERROR(__xludf.DUMMYFUNCTION("IMPORTRANGE(""https://docs.google.com/spreadsheets/d/1tpwhWwkqkBeiSWCcfB5f2fbwPRbM9hHOEDSDHpl2MIc/edit?usp=sharing"",""นครปฐม!I644"")"),0)</f>
        <v>0</v>
      </c>
      <c r="S60" s="81">
        <f ca="1">IFERROR(__xludf.DUMMYFUNCTION("IMPORTRANGE(""https://docs.google.com/spreadsheets/d/1tpwhWwkqkBeiSWCcfB5f2fbwPRbM9hHOEDSDHpl2MIc/edit?usp=sharing"",""นครปฐม!J644"")"),0)</f>
        <v>0</v>
      </c>
      <c r="T60" s="82">
        <f t="shared" ca="1" si="23"/>
        <v>0</v>
      </c>
      <c r="U60" s="81">
        <f ca="1">IFERROR(__xludf.DUMMYFUNCTION("IMPORTRANGE(""https://docs.google.com/spreadsheets/d/1tpwhWwkqkBeiSWCcfB5f2fbwPRbM9hHOEDSDHpl2MIc/edit?usp=sharing"",""นครปฐม!J645"")"),0)</f>
        <v>0</v>
      </c>
      <c r="V60" s="276">
        <f ca="1">IFERROR(__xludf.DUMMYFUNCTION("IMPORTRANGE(""https://docs.google.com/spreadsheets/d/1tpwhWwkqkBeiSWCcfB5f2fbwPRbM9hHOEDSDHpl2MIc/edit?usp=sharing"",""นครปฐม!J646"")"),0)</f>
        <v>0</v>
      </c>
      <c r="W60" s="81">
        <f ca="1">IFERROR(__xludf.DUMMYFUNCTION("IMPORTRANGE(""https://docs.google.com/spreadsheets/d/1tpwhWwkqkBeiSWCcfB5f2fbwPRbM9hHOEDSDHpl2MIc/edit?usp=sharing"",""นครปฐม!I647"")"),0)</f>
        <v>0</v>
      </c>
      <c r="X60" s="81">
        <f ca="1">IFERROR(__xludf.DUMMYFUNCTION("IMPORTRANGE(""https://docs.google.com/spreadsheets/d/1tpwhWwkqkBeiSWCcfB5f2fbwPRbM9hHOEDSDHpl2MIc/edit?usp=sharing"",""นครปฐม!J647"")"),0)</f>
        <v>0</v>
      </c>
      <c r="Y60" s="276">
        <f ca="1">IFERROR(__xludf.DUMMYFUNCTION("IMPORTRANGE(""https://docs.google.com/spreadsheets/d/1tpwhWwkqkBeiSWCcfB5f2fbwPRbM9hHOEDSDHpl2MIc/edit?usp=sharing"",""นครปฐม!J648"")"),0)</f>
        <v>0</v>
      </c>
      <c r="Z60" s="82">
        <f t="shared" ca="1" si="24"/>
        <v>0</v>
      </c>
      <c r="AA60" s="234">
        <f ca="1">IFERROR(__xludf.DUMMYFUNCTION("IMPORTRANGE(""https://docs.google.com/spreadsheets/d/1tpwhWwkqkBeiSWCcfB5f2fbwPRbM9hHOEDSDHpl2MIc/edit?usp=sharing"",""นครปฐม!I649"")"),0)</f>
        <v>0</v>
      </c>
      <c r="AB60" s="81">
        <f ca="1">IFERROR(__xludf.DUMMYFUNCTION("IMPORTRANGE(""https://docs.google.com/spreadsheets/d/1tpwhWwkqkBeiSWCcfB5f2fbwPRbM9hHOEDSDHpl2MIc/edit?usp=sharing"",""นครปฐม!J649"")"),0)</f>
        <v>0</v>
      </c>
      <c r="AC60" s="276">
        <f ca="1">IFERROR(__xludf.DUMMYFUNCTION("IMPORTRANGE(""https://docs.google.com/spreadsheets/d/1tpwhWwkqkBeiSWCcfB5f2fbwPRbM9hHOEDSDHpl2MIc/edit?usp=sharing"",""นครปฐม!J650"")"),0)</f>
        <v>0</v>
      </c>
      <c r="AD60" s="82">
        <f t="shared" ca="1" si="25"/>
        <v>0</v>
      </c>
      <c r="AE60" s="234">
        <f ca="1">IFERROR(__xludf.DUMMYFUNCTION("IMPORTRANGE(""https://docs.google.com/spreadsheets/d/1tpwhWwkqkBeiSWCcfB5f2fbwPRbM9hHOEDSDHpl2MIc/edit?usp=sharing"",""นครปฐม!I651"")"),0)</f>
        <v>0</v>
      </c>
      <c r="AF60" s="81">
        <f ca="1">IFERROR(__xludf.DUMMYFUNCTION("IMPORTRANGE(""https://docs.google.com/spreadsheets/d/1tpwhWwkqkBeiSWCcfB5f2fbwPRbM9hHOEDSDHpl2MIc/edit?usp=sharing"",""นครปฐม!J651"")"),0)</f>
        <v>0</v>
      </c>
      <c r="AG60" s="276">
        <f ca="1">IFERROR(__xludf.DUMMYFUNCTION("IMPORTRANGE(""https://docs.google.com/spreadsheets/d/1tpwhWwkqkBeiSWCcfB5f2fbwPRbM9hHOEDSDHpl2MIc/edit?usp=sharing"",""นครปฐม!J652"")"),0)</f>
        <v>0</v>
      </c>
      <c r="AH60" s="82">
        <f t="shared" ca="1" si="26"/>
        <v>0</v>
      </c>
    </row>
    <row r="61" spans="1:34" ht="21" customHeight="1" x14ac:dyDescent="0.3">
      <c r="A61" s="72">
        <v>9</v>
      </c>
      <c r="B61" s="73" t="s">
        <v>78</v>
      </c>
      <c r="C61" s="74">
        <f t="shared" ca="1" si="53"/>
        <v>0</v>
      </c>
      <c r="D61" s="75">
        <f ca="1">IFERROR(__xludf.DUMMYFUNCTION("IMPORTRANGE(""https://docs.google.com/spreadsheets/d/1fJJCVBkBnhriyv0Cp5ZFMr0I_yrfdEITNpb4zILJgUQ/edit?usp=sharing"",""ปทุมธานี!L634"")"),0)</f>
        <v>0</v>
      </c>
      <c r="E61" s="76">
        <f ca="1">IFERROR(__xludf.DUMMYFUNCTION("IMPORTRANGE(""https://docs.google.com/spreadsheets/d/1fJJCVBkBnhriyv0Cp5ZFMr0I_yrfdEITNpb4zILJgUQ/edit?usp=sharing"",""ปทุมธานี!L641"")"),0)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54"/>
        <v>0</v>
      </c>
      <c r="I61" s="76">
        <f ca="1">IFERROR(__xludf.DUMMYFUNCTION("IMPORTRANGE(""https://docs.google.com/spreadsheets/d/1fJJCVBkBnhriyv0Cp5ZFMr0I_yrfdEITNpb4zILJgUQ/edit?usp=sharing"",""ปทุมธานี!N635"")"),0)</f>
        <v>0</v>
      </c>
      <c r="J61" s="76">
        <f ca="1">IFERROR(__xludf.DUMMYFUNCTION("IMPORTRANGE(""https://docs.google.com/spreadsheets/d/1fJJCVBkBnhriyv0Cp5ZFMr0I_yrfdEITNpb4zILJgUQ/edit?usp=sharing"",""ปทุมธานี!N636"")"),0)</f>
        <v>0</v>
      </c>
      <c r="K61" s="76">
        <f ca="1">IFERROR(__xludf.DUMMYFUNCTION("IMPORTRANGE(""https://docs.google.com/spreadsheets/d/1fJJCVBkBnhriyv0Cp5ZFMr0I_yrfdEITNpb4zILJgUQ/edit?usp=sharing"",""ปทุมธานี!N637"")"),0)</f>
        <v>0</v>
      </c>
      <c r="L61" s="76">
        <f ca="1">IFERROR(__xludf.DUMMYFUNCTION("IMPORTRANGE(""https://docs.google.com/spreadsheets/d/1fJJCVBkBnhriyv0Cp5ZFMr0I_yrfdEITNpb4zILJgUQ/edit?usp=sharing"",""ปทุมธานี!N638"")"),0)</f>
        <v>0</v>
      </c>
      <c r="M61" s="80">
        <f ca="1">IFERROR(__xludf.DUMMYFUNCTION("IMPORTRANGE(""https://docs.google.com/spreadsheets/d/1fJJCVBkBnhriyv0Cp5ZFMr0I_yrfdEITNpb4zILJgUQ/edit?usp=sharing"",""ปทุมธานี!N641"")"),0)</f>
        <v>0</v>
      </c>
      <c r="N61" s="80">
        <f t="shared" ca="1" si="29"/>
        <v>0</v>
      </c>
      <c r="O61" s="81">
        <f ca="1">IFERROR(__xludf.DUMMYFUNCTION("IMPORTRANGE(""https://docs.google.com/spreadsheets/d/1fJJCVBkBnhriyv0Cp5ZFMr0I_yrfdEITNpb4zILJgUQ/edit?usp=sharing"",""ปทุมธานี!I643"")"),0)</f>
        <v>0</v>
      </c>
      <c r="P61" s="81">
        <f ca="1">IFERROR(__xludf.DUMMYFUNCTION("IMPORTRANGE(""https://docs.google.com/spreadsheets/d/1fJJCVBkBnhriyv0Cp5ZFMr0I_yrfdEITNpb4zILJgUQ/edit?usp=sharing"",""ปทุมธานี!J643"")"),0)</f>
        <v>0</v>
      </c>
      <c r="Q61" s="82">
        <f t="shared" ca="1" si="22"/>
        <v>0</v>
      </c>
      <c r="R61" s="81">
        <f ca="1">IFERROR(__xludf.DUMMYFUNCTION("IMPORTRANGE(""https://docs.google.com/spreadsheets/d/1fJJCVBkBnhriyv0Cp5ZFMr0I_yrfdEITNpb4zILJgUQ/edit?usp=sharing"",""ปทุมธานี!I644"")"),0)</f>
        <v>0</v>
      </c>
      <c r="S61" s="81">
        <f ca="1">IFERROR(__xludf.DUMMYFUNCTION("IMPORTRANGE(""https://docs.google.com/spreadsheets/d/1fJJCVBkBnhriyv0Cp5ZFMr0I_yrfdEITNpb4zILJgUQ/edit?usp=sharing"",""ปทุมธานี!J644"")"),0)</f>
        <v>0</v>
      </c>
      <c r="T61" s="82">
        <f t="shared" ca="1" si="23"/>
        <v>0</v>
      </c>
      <c r="U61" s="81">
        <f ca="1">IFERROR(__xludf.DUMMYFUNCTION("IMPORTRANGE(""https://docs.google.com/spreadsheets/d/1fJJCVBkBnhriyv0Cp5ZFMr0I_yrfdEITNpb4zILJgUQ/edit?usp=sharing"",""ปทุมธานี!J645"")"),0)</f>
        <v>0</v>
      </c>
      <c r="V61" s="276">
        <f ca="1">IFERROR(__xludf.DUMMYFUNCTION("IMPORTRANGE(""https://docs.google.com/spreadsheets/d/1fJJCVBkBnhriyv0Cp5ZFMr0I_yrfdEITNpb4zILJgUQ/edit?usp=sharing"",""ปทุมธานี!J646"")"),0)</f>
        <v>0</v>
      </c>
      <c r="W61" s="81">
        <f ca="1">IFERROR(__xludf.DUMMYFUNCTION("IMPORTRANGE(""https://docs.google.com/spreadsheets/d/1fJJCVBkBnhriyv0Cp5ZFMr0I_yrfdEITNpb4zILJgUQ/edit?usp=sharing"",""ปทุมธานี!I647"")"),0)</f>
        <v>0</v>
      </c>
      <c r="X61" s="81">
        <f ca="1">IFERROR(__xludf.DUMMYFUNCTION("IMPORTRANGE(""https://docs.google.com/spreadsheets/d/1fJJCVBkBnhriyv0Cp5ZFMr0I_yrfdEITNpb4zILJgUQ/edit?usp=sharing"",""ปทุมธานี!J647"")"),0)</f>
        <v>0</v>
      </c>
      <c r="Y61" s="276">
        <f ca="1">IFERROR(__xludf.DUMMYFUNCTION("IMPORTRANGE(""https://docs.google.com/spreadsheets/d/1fJJCVBkBnhriyv0Cp5ZFMr0I_yrfdEITNpb4zILJgUQ/edit?usp=sharing"",""ปทุมธานี!J648"")"),0)</f>
        <v>0</v>
      </c>
      <c r="Z61" s="82">
        <f t="shared" ca="1" si="24"/>
        <v>0</v>
      </c>
      <c r="AA61" s="234">
        <f ca="1">IFERROR(__xludf.DUMMYFUNCTION("IMPORTRANGE(""https://docs.google.com/spreadsheets/d/1fJJCVBkBnhriyv0Cp5ZFMr0I_yrfdEITNpb4zILJgUQ/edit?usp=sharing"",""ปทุมธานี!I649"")"),0)</f>
        <v>0</v>
      </c>
      <c r="AB61" s="81">
        <f ca="1">IFERROR(__xludf.DUMMYFUNCTION("IMPORTRANGE(""https://docs.google.com/spreadsheets/d/1fJJCVBkBnhriyv0Cp5ZFMr0I_yrfdEITNpb4zILJgUQ/edit?usp=sharing"",""ปทุมธานี!J649"")"),0)</f>
        <v>0</v>
      </c>
      <c r="AC61" s="276">
        <f ca="1">IFERROR(__xludf.DUMMYFUNCTION("IMPORTRANGE(""https://docs.google.com/spreadsheets/d/1fJJCVBkBnhriyv0Cp5ZFMr0I_yrfdEITNpb4zILJgUQ/edit?usp=sharing"",""ปทุมธานี!J650"")"),0)</f>
        <v>0</v>
      </c>
      <c r="AD61" s="82">
        <f t="shared" ca="1" si="25"/>
        <v>0</v>
      </c>
      <c r="AE61" s="234">
        <f ca="1">IFERROR(__xludf.DUMMYFUNCTION("IMPORTRANGE(""https://docs.google.com/spreadsheets/d/1fJJCVBkBnhriyv0Cp5ZFMr0I_yrfdEITNpb4zILJgUQ/edit?usp=sharing"",""ปทุมธานี!I651"")"),0)</f>
        <v>0</v>
      </c>
      <c r="AF61" s="81">
        <f ca="1">IFERROR(__xludf.DUMMYFUNCTION("IMPORTRANGE(""https://docs.google.com/spreadsheets/d/1fJJCVBkBnhriyv0Cp5ZFMr0I_yrfdEITNpb4zILJgUQ/edit?usp=sharing"",""ปทุมธานี!J651"")"),0)</f>
        <v>0</v>
      </c>
      <c r="AG61" s="276">
        <f ca="1">IFERROR(__xludf.DUMMYFUNCTION("IMPORTRANGE(""https://docs.google.com/spreadsheets/d/1fJJCVBkBnhriyv0Cp5ZFMr0I_yrfdEITNpb4zILJgUQ/edit?usp=sharing"",""ปทุมธานี!J652"")"),0)</f>
        <v>0</v>
      </c>
      <c r="AH61" s="82">
        <f t="shared" ca="1" si="26"/>
        <v>0</v>
      </c>
    </row>
    <row r="62" spans="1:34" ht="21" customHeight="1" x14ac:dyDescent="0.3">
      <c r="A62" s="72">
        <v>10</v>
      </c>
      <c r="B62" s="73" t="s">
        <v>79</v>
      </c>
      <c r="C62" s="74">
        <f t="shared" ca="1" si="53"/>
        <v>329630</v>
      </c>
      <c r="D62" s="75">
        <f ca="1">IFERROR(__xludf.DUMMYFUNCTION("IMPORTRANGE(""https://docs.google.com/spreadsheets/d/1W5Jj_S0gYw6wSO7QcMI02YgyOBDKYgmm0NSUk-AQEac/edit?usp=sharing"",""ประจวบคีรีขันธ์!L634"")"),329630)</f>
        <v>329630</v>
      </c>
      <c r="E62" s="76">
        <f ca="1">IFERROR(__xludf.DUMMYFUNCTION("IMPORTRANGE(""https://docs.google.com/spreadsheets/d/1W5Jj_S0gYw6wSO7QcMI02YgyOBDKYgmm0NSUk-AQEac/edit?usp=sharing"",""ประจวบคีรีขันธ์!L641"")"),0)</f>
        <v>0</v>
      </c>
      <c r="F62" s="77">
        <f t="shared" ca="1" si="1"/>
        <v>49000</v>
      </c>
      <c r="G62" s="78">
        <f t="shared" ca="1" si="2"/>
        <v>14.865151836908048</v>
      </c>
      <c r="H62" s="79">
        <f t="shared" ca="1" si="54"/>
        <v>49000</v>
      </c>
      <c r="I62" s="76">
        <f ca="1">IFERROR(__xludf.DUMMYFUNCTION("IMPORTRANGE(""https://docs.google.com/spreadsheets/d/1W5Jj_S0gYw6wSO7QcMI02YgyOBDKYgmm0NSUk-AQEac/edit?usp=sharing"",""ประจวบคีรีขันธ์!N635"")"),0)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IFERROR(__xludf.DUMMYFUNCTION("IMPORTRANGE(""https://docs.google.com/spreadsheets/d/1W5Jj_S0gYw6wSO7QcMI02YgyOBDKYgmm0NSUk-AQEac/edit?usp=sharing"",""ประจวบคีรีขันธ์!N636"")"),0)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IFERROR(__xludf.DUMMYFUNCTION("IMPORTRANGE(""https://docs.google.com/spreadsheets/d/1W5Jj_S0gYw6wSO7QcMI02YgyOBDKYgmm0NSUk-AQEac/edit?usp=sharing"",""ประจวบคีรีขันธ์!N637"")"),39000)</f>
        <v>39000</v>
      </c>
      <c r="L62" s="76">
        <f ca="1">IFERROR(__xludf.DUMMYFUNCTION("IMPORTRANGE(""https://docs.google.com/spreadsheets/d/1W5Jj_S0gYw6wSO7QcMI02YgyOBDKYgmm0NSUk-AQEac/edit?usp=sharing"",""ประจวบคีรีขันธ์!N638"")"),10000)</f>
        <v>10000</v>
      </c>
      <c r="M62" s="80">
        <f ca="1">IFERROR(__xludf.DUMMYFUNCTION("IMPORTRANGE(""https://docs.google.com/spreadsheets/d/1W5Jj_S0gYw6wSO7QcMI02YgyOBDKYgmm0NSUk-AQEac/edit?usp=sharing"",""ประจวบคีรีขันธ์!N641"")"),0)</f>
        <v>0</v>
      </c>
      <c r="N62" s="80">
        <f t="shared" ca="1" si="29"/>
        <v>0</v>
      </c>
      <c r="O62" s="81">
        <f ca="1">IFERROR(__xludf.DUMMYFUNCTION("IMPORTRANGE(""https://docs.google.com/spreadsheets/d/1W5Jj_S0gYw6wSO7QcMI02YgyOBDKYgmm0NSUk-AQEac/edit?usp=sharing"",""ประจวบคีรีขันธ์!I643"")"),0)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IFERROR(__xludf.DUMMYFUNCTION("IMPORTRANGE(""https://docs.google.com/spreadsheets/d/1W5Jj_S0gYw6wSO7QcMI02YgyOBDKYgmm0NSUk-AQEac/edit?usp=sharing"",""ประจวบคีรีขันธ์!J643"")"),0)</f>
        <v>0</v>
      </c>
      <c r="Q62" s="82">
        <f t="shared" ca="1" si="22"/>
        <v>0</v>
      </c>
      <c r="R62" s="81">
        <f ca="1">IFERROR(__xludf.DUMMYFUNCTION("IMPORTRANGE(""https://docs.google.com/spreadsheets/d/1W5Jj_S0gYw6wSO7QcMI02YgyOBDKYgmm0NSUk-AQEac/edit?usp=sharing"",""ประจวบคีรีขันธ์!I644"")"),0)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IFERROR(__xludf.DUMMYFUNCTION("IMPORTRANGE(""https://docs.google.com/spreadsheets/d/1W5Jj_S0gYw6wSO7QcMI02YgyOBDKYgmm0NSUk-AQEac/edit?usp=sharing"",""ประจวบคีรีขันธ์!J644"")"),0)</f>
        <v>0</v>
      </c>
      <c r="T62" s="82">
        <f t="shared" ca="1" si="23"/>
        <v>0</v>
      </c>
      <c r="U62" s="81">
        <f ca="1">IFERROR(__xludf.DUMMYFUNCTION("IMPORTRANGE(""https://docs.google.com/spreadsheets/d/1W5Jj_S0gYw6wSO7QcMI02YgyOBDKYgmm0NSUk-AQEac/edit?usp=sharing"",""ประจวบคีรีขันธ์!J645"")"),0)</f>
        <v>0</v>
      </c>
      <c r="V62" s="276">
        <f ca="1">IFERROR(__xludf.DUMMYFUNCTION("IMPORTRANGE(""https://docs.google.com/spreadsheets/d/1W5Jj_S0gYw6wSO7QcMI02YgyOBDKYgmm0NSUk-AQEac/edit?usp=sharing"",""ประจวบคีรีขันธ์!J646"")"),0)</f>
        <v>0</v>
      </c>
      <c r="W62" s="81">
        <f ca="1">IFERROR(__xludf.DUMMYFUNCTION("IMPORTRANGE(""https://docs.google.com/spreadsheets/d/1W5Jj_S0gYw6wSO7QcMI02YgyOBDKYgmm0NSUk-AQEac/edit?usp=sharing"",""ประจวบคีรีขันธ์!I647"")"),60)</f>
        <v>60</v>
      </c>
      <c r="X62" s="81">
        <f ca="1">IFERROR(__xludf.DUMMYFUNCTION("IMPORTRANGE(""https://docs.google.com/spreadsheets/d/1W5Jj_S0gYw6wSO7QcMI02YgyOBDKYgmm0NSUk-AQEac/edit?usp=sharing"",""ประจวบคีรีขันธ์!J647"")"),0)</f>
        <v>0</v>
      </c>
      <c r="Y62" s="276">
        <f ca="1">IFERROR(__xludf.DUMMYFUNCTION("IMPORTRANGE(""https://docs.google.com/spreadsheets/d/1W5Jj_S0gYw6wSO7QcMI02YgyOBDKYgmm0NSUk-AQEac/edit?usp=sharing"",""ประจวบคีรีขันธ์!J648"")"),0)</f>
        <v>0</v>
      </c>
      <c r="Z62" s="82">
        <f t="shared" ca="1" si="24"/>
        <v>0</v>
      </c>
      <c r="AA62" s="234">
        <f ca="1">IFERROR(__xludf.DUMMYFUNCTION("IMPORTRANGE(""https://docs.google.com/spreadsheets/d/1W5Jj_S0gYw6wSO7QcMI02YgyOBDKYgmm0NSUk-AQEac/edit?usp=sharing"",""ประจวบคีรีขันธ์!I649"")"),60)</f>
        <v>60</v>
      </c>
      <c r="AB62" s="81">
        <f ca="1">IFERROR(__xludf.DUMMYFUNCTION("IMPORTRANGE(""https://docs.google.com/spreadsheets/d/1W5Jj_S0gYw6wSO7QcMI02YgyOBDKYgmm0NSUk-AQEac/edit?usp=sharing"",""ประจวบคีรีขันธ์!J649"")"),0)</f>
        <v>0</v>
      </c>
      <c r="AC62" s="276">
        <f ca="1">IFERROR(__xludf.DUMMYFUNCTION("IMPORTRANGE(""https://docs.google.com/spreadsheets/d/1W5Jj_S0gYw6wSO7QcMI02YgyOBDKYgmm0NSUk-AQEac/edit?usp=sharing"",""ประจวบคีรีขันธ์!J650"")"),0)</f>
        <v>0</v>
      </c>
      <c r="AD62" s="82">
        <f t="shared" ca="1" si="25"/>
        <v>0</v>
      </c>
      <c r="AE62" s="234">
        <f ca="1">IFERROR(__xludf.DUMMYFUNCTION("IMPORTRANGE(""https://docs.google.com/spreadsheets/d/1W5Jj_S0gYw6wSO7QcMI02YgyOBDKYgmm0NSUk-AQEac/edit?usp=sharing"",""ประจวบคีรีขันธ์!I651"")"),60)</f>
        <v>60</v>
      </c>
      <c r="AF62" s="81">
        <f ca="1">IFERROR(__xludf.DUMMYFUNCTION("IMPORTRANGE(""https://docs.google.com/spreadsheets/d/1W5Jj_S0gYw6wSO7QcMI02YgyOBDKYgmm0NSUk-AQEac/edit?usp=sharing"",""ประจวบคีรีขันธ์!J651"")"),0)</f>
        <v>0</v>
      </c>
      <c r="AG62" s="276">
        <f ca="1">IFERROR(__xludf.DUMMYFUNCTION("IMPORTRANGE(""https://docs.google.com/spreadsheets/d/1W5Jj_S0gYw6wSO7QcMI02YgyOBDKYgmm0NSUk-AQEac/edit?usp=sharing"",""ประจวบคีรีขันธ์!J652"")"),0)</f>
        <v>0</v>
      </c>
      <c r="AH62" s="82">
        <f t="shared" ca="1" si="26"/>
        <v>0</v>
      </c>
    </row>
    <row r="63" spans="1:34" ht="21" customHeight="1" x14ac:dyDescent="0.3">
      <c r="A63" s="72">
        <v>11</v>
      </c>
      <c r="B63" s="73" t="s">
        <v>80</v>
      </c>
      <c r="C63" s="74">
        <f t="shared" ca="1" si="53"/>
        <v>0</v>
      </c>
      <c r="D63" s="75">
        <f ca="1">IFERROR(__xludf.DUMMYFUNCTION("IMPORTRANGE(""https://docs.google.com/spreadsheets/d/1nYxRXgnCfTXtqUY1otYuTlnrzE0Tn-Y0YRsW5pkRVqo/edit?usp=sharing"",""ปราจีนบุรี!L634"")"),0)</f>
        <v>0</v>
      </c>
      <c r="E63" s="76">
        <f ca="1">IFERROR(__xludf.DUMMYFUNCTION("IMPORTRANGE(""https://docs.google.com/spreadsheets/d/1nYxRXgnCfTXtqUY1otYuTlnrzE0Tn-Y0YRsW5pkRVqo/edit?usp=sharing"",""ปราจีนบุรี!L641"")"),0)</f>
        <v>0</v>
      </c>
      <c r="F63" s="77">
        <f t="shared" ca="1" si="1"/>
        <v>0</v>
      </c>
      <c r="G63" s="78">
        <f t="shared" ca="1" si="2"/>
        <v>0</v>
      </c>
      <c r="H63" s="79">
        <f t="shared" ca="1" si="54"/>
        <v>0</v>
      </c>
      <c r="I63" s="76">
        <f ca="1">IFERROR(__xludf.DUMMYFUNCTION("IMPORTRANGE(""https://docs.google.com/spreadsheets/d/1nYxRXgnCfTXtqUY1otYuTlnrzE0Tn-Y0YRsW5pkRVqo/edit?usp=sharing"",""ปราจีนบุรี!N635"")"),0)</f>
        <v>0</v>
      </c>
      <c r="J63" s="76">
        <f ca="1">IFERROR(__xludf.DUMMYFUNCTION("IMPORTRANGE(""https://docs.google.com/spreadsheets/d/1nYxRXgnCfTXtqUY1otYuTlnrzE0Tn-Y0YRsW5pkRVqo/edit?usp=sharing"",""ปราจีนบุรี!N636"")"),0)</f>
        <v>0</v>
      </c>
      <c r="K63" s="76">
        <f ca="1">IFERROR(__xludf.DUMMYFUNCTION("IMPORTRANGE(""https://docs.google.com/spreadsheets/d/1nYxRXgnCfTXtqUY1otYuTlnrzE0Tn-Y0YRsW5pkRVqo/edit?usp=sharing"",""ปราจีนบุรี!N637"")"),0)</f>
        <v>0</v>
      </c>
      <c r="L63" s="76">
        <f ca="1">IFERROR(__xludf.DUMMYFUNCTION("IMPORTRANGE(""https://docs.google.com/spreadsheets/d/1nYxRXgnCfTXtqUY1otYuTlnrzE0Tn-Y0YRsW5pkRVqo/edit?usp=sharing"",""ปราจีนบุรี!N638"")"),0)</f>
        <v>0</v>
      </c>
      <c r="M63" s="80">
        <f ca="1">IFERROR(__xludf.DUMMYFUNCTION("IMPORTRANGE(""https://docs.google.com/spreadsheets/d/1nYxRXgnCfTXtqUY1otYuTlnrzE0Tn-Y0YRsW5pkRVqo/edit?usp=sharing"",""ปราจีนบุรี!N641"")"),0)</f>
        <v>0</v>
      </c>
      <c r="N63" s="80">
        <f t="shared" ca="1" si="29"/>
        <v>0</v>
      </c>
      <c r="O63" s="81">
        <f ca="1">IFERROR(__xludf.DUMMYFUNCTION("IMPORTRANGE(""https://docs.google.com/spreadsheets/d/1nYxRXgnCfTXtqUY1otYuTlnrzE0Tn-Y0YRsW5pkRVqo/edit?usp=sharing"",""ปราจีนบุรี!I643"")"),0)</f>
        <v>0</v>
      </c>
      <c r="P63" s="81">
        <f ca="1">IFERROR(__xludf.DUMMYFUNCTION("IMPORTRANGE(""https://docs.google.com/spreadsheets/d/1nYxRXgnCfTXtqUY1otYuTlnrzE0Tn-Y0YRsW5pkRVqo/edit?usp=sharing"",""ปราจีนบุรี!J643"")"),0)</f>
        <v>0</v>
      </c>
      <c r="Q63" s="82">
        <f t="shared" ca="1" si="22"/>
        <v>0</v>
      </c>
      <c r="R63" s="81">
        <f ca="1">IFERROR(__xludf.DUMMYFUNCTION("IMPORTRANGE(""https://docs.google.com/spreadsheets/d/1nYxRXgnCfTXtqUY1otYuTlnrzE0Tn-Y0YRsW5pkRVqo/edit?usp=sharing"",""ปราจีนบุรี!I644"")"),0)</f>
        <v>0</v>
      </c>
      <c r="S63" s="81">
        <f ca="1">IFERROR(__xludf.DUMMYFUNCTION("IMPORTRANGE(""https://docs.google.com/spreadsheets/d/1nYxRXgnCfTXtqUY1otYuTlnrzE0Tn-Y0YRsW5pkRVqo/edit?usp=sharing"",""ปราจีนบุรี!J644"")"),0)</f>
        <v>0</v>
      </c>
      <c r="T63" s="82">
        <f t="shared" ca="1" si="23"/>
        <v>0</v>
      </c>
      <c r="U63" s="81">
        <f ca="1">IFERROR(__xludf.DUMMYFUNCTION("IMPORTRANGE(""https://docs.google.com/spreadsheets/d/1nYxRXgnCfTXtqUY1otYuTlnrzE0Tn-Y0YRsW5pkRVqo/edit?usp=sharing"",""ปราจีนบุรี!J645"")"),0)</f>
        <v>0</v>
      </c>
      <c r="V63" s="276">
        <f ca="1">IFERROR(__xludf.DUMMYFUNCTION("IMPORTRANGE(""https://docs.google.com/spreadsheets/d/1nYxRXgnCfTXtqUY1otYuTlnrzE0Tn-Y0YRsW5pkRVqo/edit?usp=sharing"",""ปราจีนบุรี!J646"")"),0)</f>
        <v>0</v>
      </c>
      <c r="W63" s="81">
        <f ca="1">IFERROR(__xludf.DUMMYFUNCTION("IMPORTRANGE(""https://docs.google.com/spreadsheets/d/1nYxRXgnCfTXtqUY1otYuTlnrzE0Tn-Y0YRsW5pkRVqo/edit?usp=sharing"",""ปราจีนบุรี!I647"")"),0)</f>
        <v>0</v>
      </c>
      <c r="X63" s="81">
        <f ca="1">IFERROR(__xludf.DUMMYFUNCTION("IMPORTRANGE(""https://docs.google.com/spreadsheets/d/1nYxRXgnCfTXtqUY1otYuTlnrzE0Tn-Y0YRsW5pkRVqo/edit?usp=sharing"",""ปราจีนบุรี!J647"")"),0)</f>
        <v>0</v>
      </c>
      <c r="Y63" s="276">
        <f ca="1">IFERROR(__xludf.DUMMYFUNCTION("IMPORTRANGE(""https://docs.google.com/spreadsheets/d/1nYxRXgnCfTXtqUY1otYuTlnrzE0Tn-Y0YRsW5pkRVqo/edit?usp=sharing"",""ปราจีนบุรี!J648"")"),0)</f>
        <v>0</v>
      </c>
      <c r="Z63" s="82">
        <f t="shared" ca="1" si="24"/>
        <v>0</v>
      </c>
      <c r="AA63" s="234">
        <f ca="1">IFERROR(__xludf.DUMMYFUNCTION("IMPORTRANGE(""https://docs.google.com/spreadsheets/d/1nYxRXgnCfTXtqUY1otYuTlnrzE0Tn-Y0YRsW5pkRVqo/edit?usp=sharing"",""ปราจีนบุรี!I649"")"),0)</f>
        <v>0</v>
      </c>
      <c r="AB63" s="81">
        <f ca="1">IFERROR(__xludf.DUMMYFUNCTION("IMPORTRANGE(""https://docs.google.com/spreadsheets/d/1nYxRXgnCfTXtqUY1otYuTlnrzE0Tn-Y0YRsW5pkRVqo/edit?usp=sharing"",""ปราจีนบุรี!J649"")"),0)</f>
        <v>0</v>
      </c>
      <c r="AC63" s="276">
        <f ca="1">IFERROR(__xludf.DUMMYFUNCTION("IMPORTRANGE(""https://docs.google.com/spreadsheets/d/1nYxRXgnCfTXtqUY1otYuTlnrzE0Tn-Y0YRsW5pkRVqo/edit?usp=sharing"",""ปราจีนบุรี!J650"")"),0)</f>
        <v>0</v>
      </c>
      <c r="AD63" s="82">
        <f t="shared" ca="1" si="25"/>
        <v>0</v>
      </c>
      <c r="AE63" s="234">
        <f ca="1">IFERROR(__xludf.DUMMYFUNCTION("IMPORTRANGE(""https://docs.google.com/spreadsheets/d/1nYxRXgnCfTXtqUY1otYuTlnrzE0Tn-Y0YRsW5pkRVqo/edit?usp=sharing"",""ปราจีนบุรี!I651"")"),0)</f>
        <v>0</v>
      </c>
      <c r="AF63" s="81">
        <f ca="1">IFERROR(__xludf.DUMMYFUNCTION("IMPORTRANGE(""https://docs.google.com/spreadsheets/d/1nYxRXgnCfTXtqUY1otYuTlnrzE0Tn-Y0YRsW5pkRVqo/edit?usp=sharing"",""ปราจีนบุรี!J651"")"),0)</f>
        <v>0</v>
      </c>
      <c r="AG63" s="276">
        <f ca="1">IFERROR(__xludf.DUMMYFUNCTION("IMPORTRANGE(""https://docs.google.com/spreadsheets/d/1nYxRXgnCfTXtqUY1otYuTlnrzE0Tn-Y0YRsW5pkRVqo/edit?usp=sharing"",""ปราจีนบุรี!J652"")"),0)</f>
        <v>0</v>
      </c>
      <c r="AH63" s="82">
        <f t="shared" ca="1" si="26"/>
        <v>0</v>
      </c>
    </row>
    <row r="64" spans="1:34" ht="21" customHeight="1" x14ac:dyDescent="0.3">
      <c r="A64" s="72">
        <v>12</v>
      </c>
      <c r="B64" s="73" t="s">
        <v>81</v>
      </c>
      <c r="C64" s="74">
        <f t="shared" ca="1" si="53"/>
        <v>0</v>
      </c>
      <c r="D64" s="75">
        <f ca="1">IFERROR(__xludf.DUMMYFUNCTION("IMPORTRANGE(""https://docs.google.com/spreadsheets/d/1nNHCLO8ZAXOMfQvxux7cf_hrzPAh8FAvaHq_ClKbZNo/edit?usp=sharing"",""พระนครศรีอยุธยา!L634"")"),0)</f>
        <v>0</v>
      </c>
      <c r="E64" s="76">
        <f ca="1">IFERROR(__xludf.DUMMYFUNCTION("IMPORTRANGE(""https://docs.google.com/spreadsheets/d/1nNHCLO8ZAXOMfQvxux7cf_hrzPAh8FAvaHq_ClKbZNo/edit?usp=sharing"",""พระนครศรีอยุธยา!L641"")"),0)</f>
        <v>0</v>
      </c>
      <c r="F64" s="77">
        <f t="shared" ca="1" si="1"/>
        <v>0</v>
      </c>
      <c r="G64" s="78">
        <f t="shared" ca="1" si="2"/>
        <v>0</v>
      </c>
      <c r="H64" s="79">
        <f t="shared" ca="1" si="54"/>
        <v>0</v>
      </c>
      <c r="I64" s="76">
        <f ca="1">IFERROR(__xludf.DUMMYFUNCTION("IMPORTRANGE(""https://docs.google.com/spreadsheets/d/1nNHCLO8ZAXOMfQvxux7cf_hrzPAh8FAvaHq_ClKbZNo/edit?usp=sharing"",""พระนครศรีอยุธยา!N635"")"),0)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IFERROR(__xludf.DUMMYFUNCTION("IMPORTRANGE(""https://docs.google.com/spreadsheets/d/1nNHCLO8ZAXOMfQvxux7cf_hrzPAh8FAvaHq_ClKbZNo/edit?usp=sharing"",""พระนครศรีอยุธยา!N636"")"),0)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IFERROR(__xludf.DUMMYFUNCTION("IMPORTRANGE(""https://docs.google.com/spreadsheets/d/1nNHCLO8ZAXOMfQvxux7cf_hrzPAh8FAvaHq_ClKbZNo/edit?usp=sharing"",""พระนครศรีอยุธยา!N637"")"),0)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IFERROR(__xludf.DUMMYFUNCTION("IMPORTRANGE(""https://docs.google.com/spreadsheets/d/1nNHCLO8ZAXOMfQvxux7cf_hrzPAh8FAvaHq_ClKbZNo/edit?usp=sharing"",""พระนครศรีอยุธยา!N638"")"),0)</f>
        <v>0</v>
      </c>
      <c r="M64" s="80">
        <f ca="1">IFERROR(__xludf.DUMMYFUNCTION("IMPORTRANGE(""https://docs.google.com/spreadsheets/d/1nNHCLO8ZAXOMfQvxux7cf_hrzPAh8FAvaHq_ClKbZNo/edit?usp=sharing"",""พระนครศรีอยุธยา!N641"")"),0)</f>
        <v>0</v>
      </c>
      <c r="N64" s="80">
        <f t="shared" ca="1" si="29"/>
        <v>0</v>
      </c>
      <c r="O64" s="81">
        <f ca="1">IFERROR(__xludf.DUMMYFUNCTION("IMPORTRANGE(""https://docs.google.com/spreadsheets/d/1nNHCLO8ZAXOMfQvxux7cf_hrzPAh8FAvaHq_ClKbZNo/edit?usp=sharing"",""พระนครศรีอยุธยา!I643"")"),0)</f>
        <v>0</v>
      </c>
      <c r="P64" s="81">
        <f ca="1">IFERROR(__xludf.DUMMYFUNCTION("IMPORTRANGE(""https://docs.google.com/spreadsheets/d/1nNHCLO8ZAXOMfQvxux7cf_hrzPAh8FAvaHq_ClKbZNo/edit?usp=sharing"",""พระนครศรีอยุธยา!J643"")"),0)</f>
        <v>0</v>
      </c>
      <c r="Q64" s="82">
        <f t="shared" ca="1" si="22"/>
        <v>0</v>
      </c>
      <c r="R64" s="81">
        <f ca="1">IFERROR(__xludf.DUMMYFUNCTION("IMPORTRANGE(""https://docs.google.com/spreadsheets/d/1nNHCLO8ZAXOMfQvxux7cf_hrzPAh8FAvaHq_ClKbZNo/edit?usp=sharing"",""พระนครศรีอยุธยา!I644"")"),0)</f>
        <v>0</v>
      </c>
      <c r="S64" s="81">
        <f ca="1">IFERROR(__xludf.DUMMYFUNCTION("IMPORTRANGE(""https://docs.google.com/spreadsheets/d/1nNHCLO8ZAXOMfQvxux7cf_hrzPAh8FAvaHq_ClKbZNo/edit?usp=sharing"",""พระนครศรีอยุธยา!J644"")"),0)</f>
        <v>0</v>
      </c>
      <c r="T64" s="82">
        <f t="shared" ca="1" si="23"/>
        <v>0</v>
      </c>
      <c r="U64" s="81">
        <f ca="1">IFERROR(__xludf.DUMMYFUNCTION("IMPORTRANGE(""https://docs.google.com/spreadsheets/d/1nNHCLO8ZAXOMfQvxux7cf_hrzPAh8FAvaHq_ClKbZNo/edit?usp=sharing"",""พระนครศรีอยุธยา!J645"")"),0)</f>
        <v>0</v>
      </c>
      <c r="V64" s="276">
        <f ca="1">IFERROR(__xludf.DUMMYFUNCTION("IMPORTRANGE(""https://docs.google.com/spreadsheets/d/1nNHCLO8ZAXOMfQvxux7cf_hrzPAh8FAvaHq_ClKbZNo/edit?usp=sharing"",""พระนครศรีอยุธยา!J646"")"),0)</f>
        <v>0</v>
      </c>
      <c r="W64" s="81">
        <f ca="1">IFERROR(__xludf.DUMMYFUNCTION("IMPORTRANGE(""https://docs.google.com/spreadsheets/d/1nNHCLO8ZAXOMfQvxux7cf_hrzPAh8FAvaHq_ClKbZNo/edit?usp=sharing"",""พระนครศรีอยุธยา!I647"")"),0)</f>
        <v>0</v>
      </c>
      <c r="X64" s="81">
        <f ca="1">IFERROR(__xludf.DUMMYFUNCTION("IMPORTRANGE(""https://docs.google.com/spreadsheets/d/1nNHCLO8ZAXOMfQvxux7cf_hrzPAh8FAvaHq_ClKbZNo/edit?usp=sharing"",""พระนครศรีอยุธยา!J647"")"),0)</f>
        <v>0</v>
      </c>
      <c r="Y64" s="276">
        <f ca="1">IFERROR(__xludf.DUMMYFUNCTION("IMPORTRANGE(""https://docs.google.com/spreadsheets/d/1nNHCLO8ZAXOMfQvxux7cf_hrzPAh8FAvaHq_ClKbZNo/edit?usp=sharing"",""พระนครศรีอยุธยา!J648"")"),0)</f>
        <v>0</v>
      </c>
      <c r="Z64" s="82">
        <f t="shared" ca="1" si="24"/>
        <v>0</v>
      </c>
      <c r="AA64" s="234">
        <f ca="1">IFERROR(__xludf.DUMMYFUNCTION("IMPORTRANGE(""https://docs.google.com/spreadsheets/d/1nNHCLO8ZAXOMfQvxux7cf_hrzPAh8FAvaHq_ClKbZNo/edit?usp=sharing"",""พระนครศรีอยุธยา!I649"")"),0)</f>
        <v>0</v>
      </c>
      <c r="AB64" s="81">
        <f ca="1">IFERROR(__xludf.DUMMYFUNCTION("IMPORTRANGE(""https://docs.google.com/spreadsheets/d/1nNHCLO8ZAXOMfQvxux7cf_hrzPAh8FAvaHq_ClKbZNo/edit?usp=sharing"",""พระนครศรีอยุธยา!J649"")"),0)</f>
        <v>0</v>
      </c>
      <c r="AC64" s="276">
        <f ca="1">IFERROR(__xludf.DUMMYFUNCTION("IMPORTRANGE(""https://docs.google.com/spreadsheets/d/1nNHCLO8ZAXOMfQvxux7cf_hrzPAh8FAvaHq_ClKbZNo/edit?usp=sharing"",""พระนครศรีอยุธยา!J650"")"),0)</f>
        <v>0</v>
      </c>
      <c r="AD64" s="82">
        <f t="shared" ca="1" si="25"/>
        <v>0</v>
      </c>
      <c r="AE64" s="234">
        <f ca="1">IFERROR(__xludf.DUMMYFUNCTION("IMPORTRANGE(""https://docs.google.com/spreadsheets/d/1nNHCLO8ZAXOMfQvxux7cf_hrzPAh8FAvaHq_ClKbZNo/edit?usp=sharing"",""พระนครศรีอยุธยา!I651"")"),0)</f>
        <v>0</v>
      </c>
      <c r="AF64" s="81">
        <f ca="1">IFERROR(__xludf.DUMMYFUNCTION("IMPORTRANGE(""https://docs.google.com/spreadsheets/d/1nNHCLO8ZAXOMfQvxux7cf_hrzPAh8FAvaHq_ClKbZNo/edit?usp=sharing"",""พระนครศรีอยุธยา!J651"")"),0)</f>
        <v>0</v>
      </c>
      <c r="AG64" s="276">
        <f ca="1">IFERROR(__xludf.DUMMYFUNCTION("IMPORTRANGE(""https://docs.google.com/spreadsheets/d/1nNHCLO8ZAXOMfQvxux7cf_hrzPAh8FAvaHq_ClKbZNo/edit?usp=sharing"",""พระนครศรีอยุธยา!J652"")"),0)</f>
        <v>0</v>
      </c>
      <c r="AH64" s="82">
        <f t="shared" ca="1" si="26"/>
        <v>0</v>
      </c>
    </row>
    <row r="65" spans="1:34" ht="21" customHeight="1" x14ac:dyDescent="0.3">
      <c r="A65" s="72">
        <v>13</v>
      </c>
      <c r="B65" s="73" t="s">
        <v>82</v>
      </c>
      <c r="C65" s="74">
        <f t="shared" ca="1" si="53"/>
        <v>0</v>
      </c>
      <c r="D65" s="75">
        <f ca="1">IFERROR(__xludf.DUMMYFUNCTION("IMPORTRANGE(""https://docs.google.com/spreadsheets/d/1CdNicvf3i6yt4tJlCePe3V1Va76wYqW0QzMzTsaGRrA/edit?usp=sharing"",""เพชรบุรี!L634"")"),0)</f>
        <v>0</v>
      </c>
      <c r="E65" s="76">
        <f ca="1">IFERROR(__xludf.DUMMYFUNCTION("IMPORTRANGE(""https://docs.google.com/spreadsheets/d/1CdNicvf3i6yt4tJlCePe3V1Va76wYqW0QzMzTsaGRrA/edit?usp=sharing"",""เพชรบุรี!L641"")"),0)</f>
        <v>0</v>
      </c>
      <c r="F65" s="77">
        <f t="shared" ca="1" si="1"/>
        <v>0</v>
      </c>
      <c r="G65" s="78">
        <f t="shared" ca="1" si="2"/>
        <v>0</v>
      </c>
      <c r="H65" s="79">
        <f t="shared" ca="1" si="54"/>
        <v>0</v>
      </c>
      <c r="I65" s="76">
        <f ca="1">IFERROR(__xludf.DUMMYFUNCTION("IMPORTRANGE(""https://docs.google.com/spreadsheets/d/1CdNicvf3i6yt4tJlCePe3V1Va76wYqW0QzMzTsaGRrA/edit?usp=sharing"",""เพชรบุรี!N635"")"),0)</f>
        <v>0</v>
      </c>
      <c r="J65" s="76">
        <f ca="1">IFERROR(__xludf.DUMMYFUNCTION("IMPORTRANGE(""https://docs.google.com/spreadsheets/d/1CdNicvf3i6yt4tJlCePe3V1Va76wYqW0QzMzTsaGRrA/edit?usp=sharing"",""เพชรบุรี!N636"")"),0)</f>
        <v>0</v>
      </c>
      <c r="K65" s="76">
        <f ca="1">IFERROR(__xludf.DUMMYFUNCTION("IMPORTRANGE(""https://docs.google.com/spreadsheets/d/1CdNicvf3i6yt4tJlCePe3V1Va76wYqW0QzMzTsaGRrA/edit?usp=sharing"",""เพชรบุรี!N637"")"),0)</f>
        <v>0</v>
      </c>
      <c r="L65" s="76">
        <f ca="1">IFERROR(__xludf.DUMMYFUNCTION("IMPORTRANGE(""https://docs.google.com/spreadsheets/d/1CdNicvf3i6yt4tJlCePe3V1Va76wYqW0QzMzTsaGRrA/edit?usp=sharing"",""เพชรบุรี!N638"")"),0)</f>
        <v>0</v>
      </c>
      <c r="M65" s="80">
        <f ca="1">IFERROR(__xludf.DUMMYFUNCTION("IMPORTRANGE(""https://docs.google.com/spreadsheets/d/1CdNicvf3i6yt4tJlCePe3V1Va76wYqW0QzMzTsaGRrA/edit?usp=sharing"",""เพชรบุรี!N641"")"),0)</f>
        <v>0</v>
      </c>
      <c r="N65" s="80">
        <f t="shared" ca="1" si="29"/>
        <v>0</v>
      </c>
      <c r="O65" s="81">
        <f ca="1">IFERROR(__xludf.DUMMYFUNCTION("IMPORTRANGE(""https://docs.google.com/spreadsheets/d/1CdNicvf3i6yt4tJlCePe3V1Va76wYqW0QzMzTsaGRrA/edit?usp=sharing"",""เพชรบุรี!I643"")"),0)</f>
        <v>0</v>
      </c>
      <c r="P65" s="81">
        <f ca="1">IFERROR(__xludf.DUMMYFUNCTION("IMPORTRANGE(""https://docs.google.com/spreadsheets/d/1CdNicvf3i6yt4tJlCePe3V1Va76wYqW0QzMzTsaGRrA/edit?usp=sharing"",""เพชรบุรี!J643"")"),0)</f>
        <v>0</v>
      </c>
      <c r="Q65" s="82">
        <f t="shared" ca="1" si="22"/>
        <v>0</v>
      </c>
      <c r="R65" s="81">
        <f ca="1">IFERROR(__xludf.DUMMYFUNCTION("IMPORTRANGE(""https://docs.google.com/spreadsheets/d/1CdNicvf3i6yt4tJlCePe3V1Va76wYqW0QzMzTsaGRrA/edit?usp=sharing"",""เพชรบุรี!I644"")"),0)</f>
        <v>0</v>
      </c>
      <c r="S65" s="81">
        <f ca="1">IFERROR(__xludf.DUMMYFUNCTION("IMPORTRANGE(""https://docs.google.com/spreadsheets/d/1CdNicvf3i6yt4tJlCePe3V1Va76wYqW0QzMzTsaGRrA/edit?usp=sharing"",""เพชรบุรี!J644"")"),0)</f>
        <v>0</v>
      </c>
      <c r="T65" s="82">
        <f t="shared" ca="1" si="23"/>
        <v>0</v>
      </c>
      <c r="U65" s="81">
        <f ca="1">IFERROR(__xludf.DUMMYFUNCTION("IMPORTRANGE(""https://docs.google.com/spreadsheets/d/1CdNicvf3i6yt4tJlCePe3V1Va76wYqW0QzMzTsaGRrA/edit?usp=sharing"",""เพชรบุรี!J645"")"),0)</f>
        <v>0</v>
      </c>
      <c r="V65" s="276">
        <f ca="1">IFERROR(__xludf.DUMMYFUNCTION("IMPORTRANGE(""https://docs.google.com/spreadsheets/d/1CdNicvf3i6yt4tJlCePe3V1Va76wYqW0QzMzTsaGRrA/edit?usp=sharing"",""เพชรบุรี!J646"")"),0)</f>
        <v>0</v>
      </c>
      <c r="W65" s="81">
        <f ca="1">IFERROR(__xludf.DUMMYFUNCTION("IMPORTRANGE(""https://docs.google.com/spreadsheets/d/1CdNicvf3i6yt4tJlCePe3V1Va76wYqW0QzMzTsaGRrA/edit?usp=sharing"",""เพชรบุรี!I647"")"),0)</f>
        <v>0</v>
      </c>
      <c r="X65" s="81">
        <f ca="1">IFERROR(__xludf.DUMMYFUNCTION("IMPORTRANGE(""https://docs.google.com/spreadsheets/d/1CdNicvf3i6yt4tJlCePe3V1Va76wYqW0QzMzTsaGRrA/edit?usp=sharing"",""เพชรบุรี!J647"")"),0)</f>
        <v>0</v>
      </c>
      <c r="Y65" s="276">
        <f ca="1">IFERROR(__xludf.DUMMYFUNCTION("IMPORTRANGE(""https://docs.google.com/spreadsheets/d/1CdNicvf3i6yt4tJlCePe3V1Va76wYqW0QzMzTsaGRrA/edit?usp=sharing"",""เพชรบุรี!J648"")"),0)</f>
        <v>0</v>
      </c>
      <c r="Z65" s="82">
        <f t="shared" ca="1" si="24"/>
        <v>0</v>
      </c>
      <c r="AA65" s="234">
        <f ca="1">IFERROR(__xludf.DUMMYFUNCTION("IMPORTRANGE(""https://docs.google.com/spreadsheets/d/1CdNicvf3i6yt4tJlCePe3V1Va76wYqW0QzMzTsaGRrA/edit?usp=sharing"",""เพชรบุรี!I649"")"),0)</f>
        <v>0</v>
      </c>
      <c r="AB65" s="81">
        <f ca="1">IFERROR(__xludf.DUMMYFUNCTION("IMPORTRANGE(""https://docs.google.com/spreadsheets/d/1CdNicvf3i6yt4tJlCePe3V1Va76wYqW0QzMzTsaGRrA/edit?usp=sharing"",""เพชรบุรี!J649"")"),0)</f>
        <v>0</v>
      </c>
      <c r="AC65" s="276">
        <f ca="1">IFERROR(__xludf.DUMMYFUNCTION("IMPORTRANGE(""https://docs.google.com/spreadsheets/d/1CdNicvf3i6yt4tJlCePe3V1Va76wYqW0QzMzTsaGRrA/edit?usp=sharing"",""เพชรบุรี!J650"")"),0)</f>
        <v>0</v>
      </c>
      <c r="AD65" s="82">
        <f t="shared" ca="1" si="25"/>
        <v>0</v>
      </c>
      <c r="AE65" s="234">
        <f ca="1">IFERROR(__xludf.DUMMYFUNCTION("IMPORTRANGE(""https://docs.google.com/spreadsheets/d/1CdNicvf3i6yt4tJlCePe3V1Va76wYqW0QzMzTsaGRrA/edit?usp=sharing"",""เพชรบุรี!I651"")"),0)</f>
        <v>0</v>
      </c>
      <c r="AF65" s="81">
        <f ca="1">IFERROR(__xludf.DUMMYFUNCTION("IMPORTRANGE(""https://docs.google.com/spreadsheets/d/1CdNicvf3i6yt4tJlCePe3V1Va76wYqW0QzMzTsaGRrA/edit?usp=sharing"",""เพชรบุรี!J651"")"),0)</f>
        <v>0</v>
      </c>
      <c r="AG65" s="276">
        <f ca="1">IFERROR(__xludf.DUMMYFUNCTION("IMPORTRANGE(""https://docs.google.com/spreadsheets/d/1CdNicvf3i6yt4tJlCePe3V1Va76wYqW0QzMzTsaGRrA/edit?usp=sharing"",""เพชรบุรี!J652"")"),0)</f>
        <v>0</v>
      </c>
      <c r="AH65" s="82">
        <f t="shared" ca="1" si="26"/>
        <v>0</v>
      </c>
    </row>
    <row r="66" spans="1:34" ht="21" customHeight="1" x14ac:dyDescent="0.3">
      <c r="A66" s="72">
        <v>14</v>
      </c>
      <c r="B66" s="73" t="s">
        <v>83</v>
      </c>
      <c r="C66" s="74">
        <f t="shared" ca="1" si="53"/>
        <v>173410</v>
      </c>
      <c r="D66" s="75">
        <f ca="1">IFERROR(__xludf.DUMMYFUNCTION("IMPORTRANGE(""https://docs.google.com/spreadsheets/d/1XiF77UIVHV0Kjc6xbXuOuJ10WgJYxd4p_22ngKVV5oM/edit?usp=sharing"",""ระยอง!L634"")"),173410)</f>
        <v>173410</v>
      </c>
      <c r="E66" s="76">
        <f ca="1">IFERROR(__xludf.DUMMYFUNCTION("IMPORTRANGE(""https://docs.google.com/spreadsheets/d/1XiF77UIVHV0Kjc6xbXuOuJ10WgJYxd4p_22ngKVV5oM/edit?usp=sharing"",""ระยอง!L641"")"),0)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54"/>
        <v>0</v>
      </c>
      <c r="I66" s="76">
        <f ca="1">IFERROR(__xludf.DUMMYFUNCTION("IMPORTRANGE(""https://docs.google.com/spreadsheets/d/1XiF77UIVHV0Kjc6xbXuOuJ10WgJYxd4p_22ngKVV5oM/edit?usp=sharing"",""ระยอง!N635"")"),0)</f>
        <v>0</v>
      </c>
      <c r="J66" s="76">
        <f ca="1">IFERROR(__xludf.DUMMYFUNCTION("IMPORTRANGE(""https://docs.google.com/spreadsheets/d/1XiF77UIVHV0Kjc6xbXuOuJ10WgJYxd4p_22ngKVV5oM/edit?usp=sharing"",""ระยอง!N636"")"),0)</f>
        <v>0</v>
      </c>
      <c r="K66" s="76">
        <f ca="1">IFERROR(__xludf.DUMMYFUNCTION("IMPORTRANGE(""https://docs.google.com/spreadsheets/d/1XiF77UIVHV0Kjc6xbXuOuJ10WgJYxd4p_22ngKVV5oM/edit?usp=sharing"",""ระยอง!N637"")"),0)</f>
        <v>0</v>
      </c>
      <c r="L66" s="76">
        <f ca="1">IFERROR(__xludf.DUMMYFUNCTION("IMPORTRANGE(""https://docs.google.com/spreadsheets/d/1XiF77UIVHV0Kjc6xbXuOuJ10WgJYxd4p_22ngKVV5oM/edit?usp=sharing"",""ระยอง!N638"")"),0)</f>
        <v>0</v>
      </c>
      <c r="M66" s="80">
        <f ca="1">IFERROR(__xludf.DUMMYFUNCTION("IMPORTRANGE(""https://docs.google.com/spreadsheets/d/1XiF77UIVHV0Kjc6xbXuOuJ10WgJYxd4p_22ngKVV5oM/edit?usp=sharing"",""ระยอง!N641"")"),0)</f>
        <v>0</v>
      </c>
      <c r="N66" s="80">
        <f t="shared" ca="1" si="29"/>
        <v>0</v>
      </c>
      <c r="O66" s="81">
        <f ca="1">IFERROR(__xludf.DUMMYFUNCTION("IMPORTRANGE(""https://docs.google.com/spreadsheets/d/1XiF77UIVHV0Kjc6xbXuOuJ10WgJYxd4p_22ngKVV5oM/edit?usp=sharing"",""ระยอง!I643"")"),1)</f>
        <v>1</v>
      </c>
      <c r="P66" s="81">
        <f ca="1">IFERROR(__xludf.DUMMYFUNCTION("IMPORTRANGE(""https://docs.google.com/spreadsheets/d/1XiF77UIVHV0Kjc6xbXuOuJ10WgJYxd4p_22ngKVV5oM/edit?usp=sharing"",""ระยอง!J643"")"),0)</f>
        <v>0</v>
      </c>
      <c r="Q66" s="82">
        <f t="shared" ca="1" si="22"/>
        <v>0</v>
      </c>
      <c r="R66" s="81">
        <f ca="1">IFERROR(__xludf.DUMMYFUNCTION("IMPORTRANGE(""https://docs.google.com/spreadsheets/d/1XiF77UIVHV0Kjc6xbXuOuJ10WgJYxd4p_22ngKVV5oM/edit?usp=sharing"",""ระยอง!I644"")"),1)</f>
        <v>1</v>
      </c>
      <c r="S66" s="81">
        <f ca="1">IFERROR(__xludf.DUMMYFUNCTION("IMPORTRANGE(""https://docs.google.com/spreadsheets/d/1XiF77UIVHV0Kjc6xbXuOuJ10WgJYxd4p_22ngKVV5oM/edit?usp=sharing"",""ระยอง!J644"")"),0)</f>
        <v>0</v>
      </c>
      <c r="T66" s="82">
        <f t="shared" ca="1" si="23"/>
        <v>0</v>
      </c>
      <c r="U66" s="81">
        <f ca="1">IFERROR(__xludf.DUMMYFUNCTION("IMPORTRANGE(""https://docs.google.com/spreadsheets/d/1XiF77UIVHV0Kjc6xbXuOuJ10WgJYxd4p_22ngKVV5oM/edit?usp=sharing"",""ระยอง!J645"")"),6)</f>
        <v>6</v>
      </c>
      <c r="V66" s="276">
        <f ca="1">IFERROR(__xludf.DUMMYFUNCTION("IMPORTRANGE(""https://docs.google.com/spreadsheets/d/1XiF77UIVHV0Kjc6xbXuOuJ10WgJYxd4p_22ngKVV5oM/edit?usp=sharing"",""ระยอง!J646"")"),1.47)</f>
        <v>1.47</v>
      </c>
      <c r="W66" s="81">
        <f ca="1">IFERROR(__xludf.DUMMYFUNCTION("IMPORTRANGE(""https://docs.google.com/spreadsheets/d/1XiF77UIVHV0Kjc6xbXuOuJ10WgJYxd4p_22ngKVV5oM/edit?usp=sharing"",""ระยอง!I647"")"),19)</f>
        <v>19</v>
      </c>
      <c r="X66" s="81">
        <f ca="1">IFERROR(__xludf.DUMMYFUNCTION("IMPORTRANGE(""https://docs.google.com/spreadsheets/d/1XiF77UIVHV0Kjc6xbXuOuJ10WgJYxd4p_22ngKVV5oM/edit?usp=sharing"",""ระยอง!J647"")"),0)</f>
        <v>0</v>
      </c>
      <c r="Y66" s="276">
        <f ca="1">IFERROR(__xludf.DUMMYFUNCTION("IMPORTRANGE(""https://docs.google.com/spreadsheets/d/1XiF77UIVHV0Kjc6xbXuOuJ10WgJYxd4p_22ngKVV5oM/edit?usp=sharing"",""ระยอง!J648"")"),0)</f>
        <v>0</v>
      </c>
      <c r="Z66" s="82">
        <f t="shared" ca="1" si="24"/>
        <v>0</v>
      </c>
      <c r="AA66" s="234">
        <f ca="1">IFERROR(__xludf.DUMMYFUNCTION("IMPORTRANGE(""https://docs.google.com/spreadsheets/d/1XiF77UIVHV0Kjc6xbXuOuJ10WgJYxd4p_22ngKVV5oM/edit?usp=sharing"",""ระยอง!I649"")"),19)</f>
        <v>19</v>
      </c>
      <c r="AB66" s="81">
        <f ca="1">IFERROR(__xludf.DUMMYFUNCTION("IMPORTRANGE(""https://docs.google.com/spreadsheets/d/1XiF77UIVHV0Kjc6xbXuOuJ10WgJYxd4p_22ngKVV5oM/edit?usp=sharing"",""ระยอง!J649"")"),0)</f>
        <v>0</v>
      </c>
      <c r="AC66" s="276">
        <f ca="1">IFERROR(__xludf.DUMMYFUNCTION("IMPORTRANGE(""https://docs.google.com/spreadsheets/d/1XiF77UIVHV0Kjc6xbXuOuJ10WgJYxd4p_22ngKVV5oM/edit?usp=sharing"",""ระยอง!J650"")"),0)</f>
        <v>0</v>
      </c>
      <c r="AD66" s="82">
        <f t="shared" ca="1" si="25"/>
        <v>0</v>
      </c>
      <c r="AE66" s="234">
        <f ca="1">IFERROR(__xludf.DUMMYFUNCTION("IMPORTRANGE(""https://docs.google.com/spreadsheets/d/1XiF77UIVHV0Kjc6xbXuOuJ10WgJYxd4p_22ngKVV5oM/edit?usp=sharing"",""ระยอง!I651"")"),19)</f>
        <v>19</v>
      </c>
      <c r="AF66" s="81">
        <f ca="1">IFERROR(__xludf.DUMMYFUNCTION("IMPORTRANGE(""https://docs.google.com/spreadsheets/d/1XiF77UIVHV0Kjc6xbXuOuJ10WgJYxd4p_22ngKVV5oM/edit?usp=sharing"",""ระยอง!J651"")"),0)</f>
        <v>0</v>
      </c>
      <c r="AG66" s="276">
        <f ca="1">IFERROR(__xludf.DUMMYFUNCTION("IMPORTRANGE(""https://docs.google.com/spreadsheets/d/1XiF77UIVHV0Kjc6xbXuOuJ10WgJYxd4p_22ngKVV5oM/edit?usp=sharing"",""ระยอง!J652"")"),0)</f>
        <v>0</v>
      </c>
      <c r="AH66" s="82">
        <f t="shared" ca="1" si="26"/>
        <v>0</v>
      </c>
    </row>
    <row r="67" spans="1:34" ht="21" customHeight="1" x14ac:dyDescent="0.3">
      <c r="A67" s="72">
        <v>15</v>
      </c>
      <c r="B67" s="73" t="s">
        <v>84</v>
      </c>
      <c r="C67" s="74">
        <f t="shared" ca="1" si="53"/>
        <v>619055</v>
      </c>
      <c r="D67" s="75">
        <f ca="1">IFERROR(__xludf.DUMMYFUNCTION("IMPORTRANGE(""https://docs.google.com/spreadsheets/d/1qU-W_9MCQD1pgIVXGEOjCFo9QqlmJywuebyGgaN92r8/edit?usp=sharing"",""ราชบุรี!L634"")"),619055)</f>
        <v>619055</v>
      </c>
      <c r="E67" s="76">
        <f ca="1">IFERROR(__xludf.DUMMYFUNCTION("IMPORTRANGE(""https://docs.google.com/spreadsheets/d/1qU-W_9MCQD1pgIVXGEOjCFo9QqlmJywuebyGgaN92r8/edit?usp=sharing"",""ราชบุรี!L641"")"),0)</f>
        <v>0</v>
      </c>
      <c r="F67" s="77">
        <f t="shared" ca="1" si="1"/>
        <v>130062.61</v>
      </c>
      <c r="G67" s="78">
        <f t="shared" ca="1" si="2"/>
        <v>21.009863420859212</v>
      </c>
      <c r="H67" s="79">
        <f t="shared" ca="1" si="54"/>
        <v>130062.61</v>
      </c>
      <c r="I67" s="76">
        <f ca="1">IFERROR(__xludf.DUMMYFUNCTION("IMPORTRANGE(""https://docs.google.com/spreadsheets/d/1qU-W_9MCQD1pgIVXGEOjCFo9QqlmJywuebyGgaN92r8/edit?usp=sharing"",""ราชบุรี!N635"")"),0)</f>
        <v>0</v>
      </c>
      <c r="J67" s="76">
        <f ca="1">IFERROR(__xludf.DUMMYFUNCTION("IMPORTRANGE(""https://docs.google.com/spreadsheets/d/1qU-W_9MCQD1pgIVXGEOjCFo9QqlmJywuebyGgaN92r8/edit?usp=sharing"",""ราชบุรี!N636"")"),0)</f>
        <v>0</v>
      </c>
      <c r="K67" s="76">
        <f ca="1">IFERROR(__xludf.DUMMYFUNCTION("IMPORTRANGE(""https://docs.google.com/spreadsheets/d/1qU-W_9MCQD1pgIVXGEOjCFo9QqlmJywuebyGgaN92r8/edit?usp=sharing"",""ราชบุรี!N637"")"),39000)</f>
        <v>39000</v>
      </c>
      <c r="L67" s="76">
        <f ca="1">IFERROR(__xludf.DUMMYFUNCTION("IMPORTRANGE(""https://docs.google.com/spreadsheets/d/1qU-W_9MCQD1pgIVXGEOjCFo9QqlmJywuebyGgaN92r8/edit?usp=sharing"",""ราชบุรี!N638"")"),91062.61)</f>
        <v>91062.61</v>
      </c>
      <c r="M67" s="80">
        <f ca="1">IFERROR(__xludf.DUMMYFUNCTION("IMPORTRANGE(""https://docs.google.com/spreadsheets/d/1qU-W_9MCQD1pgIVXGEOjCFo9QqlmJywuebyGgaN92r8/edit?usp=sharing"",""ราชบุรี!N641"")"),0)</f>
        <v>0</v>
      </c>
      <c r="N67" s="80">
        <f t="shared" ca="1" si="29"/>
        <v>0</v>
      </c>
      <c r="O67" s="81">
        <f ca="1">IFERROR(__xludf.DUMMYFUNCTION("IMPORTRANGE(""https://docs.google.com/spreadsheets/d/1qU-W_9MCQD1pgIVXGEOjCFo9QqlmJywuebyGgaN92r8/edit?usp=sharing"",""ราชบุรี!I643"")"),7)</f>
        <v>7</v>
      </c>
      <c r="P67" s="81">
        <f ca="1">IFERROR(__xludf.DUMMYFUNCTION("IMPORTRANGE(""https://docs.google.com/spreadsheets/d/1qU-W_9MCQD1pgIVXGEOjCFo9QqlmJywuebyGgaN92r8/edit?usp=sharing"",""ราชบุรี!J643"")"),7)</f>
        <v>7</v>
      </c>
      <c r="Q67" s="82">
        <f t="shared" ca="1" si="22"/>
        <v>100</v>
      </c>
      <c r="R67" s="81">
        <f ca="1">IFERROR(__xludf.DUMMYFUNCTION("IMPORTRANGE(""https://docs.google.com/spreadsheets/d/1qU-W_9MCQD1pgIVXGEOjCFo9QqlmJywuebyGgaN92r8/edit?usp=sharing"",""ราชบุรี!I644"")"),7)</f>
        <v>7</v>
      </c>
      <c r="S67" s="81">
        <f ca="1">IFERROR(__xludf.DUMMYFUNCTION("IMPORTRANGE(""https://docs.google.com/spreadsheets/d/1qU-W_9MCQD1pgIVXGEOjCFo9QqlmJywuebyGgaN92r8/edit?usp=sharing"",""ราชบุรี!J644"")"),0)</f>
        <v>0</v>
      </c>
      <c r="T67" s="82">
        <f t="shared" ca="1" si="23"/>
        <v>0</v>
      </c>
      <c r="U67" s="81">
        <f ca="1">IFERROR(__xludf.DUMMYFUNCTION("IMPORTRANGE(""https://docs.google.com/spreadsheets/d/1qU-W_9MCQD1pgIVXGEOjCFo9QqlmJywuebyGgaN92r8/edit?usp=sharing"",""ราชบุรี!J645"")"),0)</f>
        <v>0</v>
      </c>
      <c r="V67" s="276">
        <f ca="1">IFERROR(__xludf.DUMMYFUNCTION("IMPORTRANGE(""https://docs.google.com/spreadsheets/d/1qU-W_9MCQD1pgIVXGEOjCFo9QqlmJywuebyGgaN92r8/edit?usp=sharing"",""ราชบุรี!J646"")"),0)</f>
        <v>0</v>
      </c>
      <c r="W67" s="81">
        <f ca="1">IFERROR(__xludf.DUMMYFUNCTION("IMPORTRANGE(""https://docs.google.com/spreadsheets/d/1qU-W_9MCQD1pgIVXGEOjCFo9QqlmJywuebyGgaN92r8/edit?usp=sharing"",""ราชบุรี!I647"")"),400)</f>
        <v>400</v>
      </c>
      <c r="X67" s="81">
        <f ca="1">IFERROR(__xludf.DUMMYFUNCTION("IMPORTRANGE(""https://docs.google.com/spreadsheets/d/1qU-W_9MCQD1pgIVXGEOjCFo9QqlmJywuebyGgaN92r8/edit?usp=sharing"",""ราชบุรี!J647"")"),0)</f>
        <v>0</v>
      </c>
      <c r="Y67" s="276">
        <f ca="1">IFERROR(__xludf.DUMMYFUNCTION("IMPORTRANGE(""https://docs.google.com/spreadsheets/d/1qU-W_9MCQD1pgIVXGEOjCFo9QqlmJywuebyGgaN92r8/edit?usp=sharing"",""ราชบุรี!J648"")"),0)</f>
        <v>0</v>
      </c>
      <c r="Z67" s="82">
        <f t="shared" ca="1" si="24"/>
        <v>0</v>
      </c>
      <c r="AA67" s="234">
        <f ca="1">IFERROR(__xludf.DUMMYFUNCTION("IMPORTRANGE(""https://docs.google.com/spreadsheets/d/1qU-W_9MCQD1pgIVXGEOjCFo9QqlmJywuebyGgaN92r8/edit?usp=sharing"",""ราชบุรี!I649"")"),400)</f>
        <v>400</v>
      </c>
      <c r="AB67" s="81">
        <f ca="1">IFERROR(__xludf.DUMMYFUNCTION("IMPORTRANGE(""https://docs.google.com/spreadsheets/d/1qU-W_9MCQD1pgIVXGEOjCFo9QqlmJywuebyGgaN92r8/edit?usp=sharing"",""ราชบุรี!J649"")"),0)</f>
        <v>0</v>
      </c>
      <c r="AC67" s="276">
        <f ca="1">IFERROR(__xludf.DUMMYFUNCTION("IMPORTRANGE(""https://docs.google.com/spreadsheets/d/1qU-W_9MCQD1pgIVXGEOjCFo9QqlmJywuebyGgaN92r8/edit?usp=sharing"",""ราชบุรี!J650"")"),0)</f>
        <v>0</v>
      </c>
      <c r="AD67" s="82">
        <f t="shared" ca="1" si="25"/>
        <v>0</v>
      </c>
      <c r="AE67" s="234">
        <f ca="1">IFERROR(__xludf.DUMMYFUNCTION("IMPORTRANGE(""https://docs.google.com/spreadsheets/d/1qU-W_9MCQD1pgIVXGEOjCFo9QqlmJywuebyGgaN92r8/edit?usp=sharing"",""ราชบุรี!I651"")"),400)</f>
        <v>400</v>
      </c>
      <c r="AF67" s="81">
        <f ca="1">IFERROR(__xludf.DUMMYFUNCTION("IMPORTRANGE(""https://docs.google.com/spreadsheets/d/1qU-W_9MCQD1pgIVXGEOjCFo9QqlmJywuebyGgaN92r8/edit?usp=sharing"",""ราชบุรี!J651"")"),0)</f>
        <v>0</v>
      </c>
      <c r="AG67" s="276">
        <f ca="1">IFERROR(__xludf.DUMMYFUNCTION("IMPORTRANGE(""https://docs.google.com/spreadsheets/d/1qU-W_9MCQD1pgIVXGEOjCFo9QqlmJywuebyGgaN92r8/edit?usp=sharing"",""ราชบุรี!J652"")"),0)</f>
        <v>0</v>
      </c>
      <c r="AH67" s="82">
        <f t="shared" ca="1" si="26"/>
        <v>0</v>
      </c>
    </row>
    <row r="68" spans="1:34" ht="24" customHeight="1" x14ac:dyDescent="0.3">
      <c r="A68" s="72">
        <v>16</v>
      </c>
      <c r="B68" s="73" t="s">
        <v>85</v>
      </c>
      <c r="C68" s="74">
        <f t="shared" ca="1" si="53"/>
        <v>341770</v>
      </c>
      <c r="D68" s="75">
        <f ca="1">IFERROR(__xludf.DUMMYFUNCTION("IMPORTRANGE(""https://docs.google.com/spreadsheets/d/1xYFIxIM_CspAP5Q-5Zx_V0T_Ut3cjryrjd2hss28vGk/edit?usp=sharing"",""ลพบุรี!L634"")"),341770)</f>
        <v>341770</v>
      </c>
      <c r="E68" s="76">
        <f ca="1">IFERROR(__xludf.DUMMYFUNCTION("IMPORTRANGE(""https://docs.google.com/spreadsheets/d/1xYFIxIM_CspAP5Q-5Zx_V0T_Ut3cjryrjd2hss28vGk/edit?usp=sharing"",""ลพบุรี!L641"")"),0)</f>
        <v>0</v>
      </c>
      <c r="F68" s="77">
        <f t="shared" ca="1" si="1"/>
        <v>45880</v>
      </c>
      <c r="G68" s="78">
        <f t="shared" ca="1" si="2"/>
        <v>13.424232671094595</v>
      </c>
      <c r="H68" s="79">
        <f t="shared" ca="1" si="54"/>
        <v>45880</v>
      </c>
      <c r="I68" s="76">
        <f ca="1">IFERROR(__xludf.DUMMYFUNCTION("IMPORTRANGE(""https://docs.google.com/spreadsheets/d/1xYFIxIM_CspAP5Q-5Zx_V0T_Ut3cjryrjd2hss28vGk/edit?usp=sharing"",""ลพบุรี!N635"")"),0)</f>
        <v>0</v>
      </c>
      <c r="J68" s="76">
        <f ca="1">IFERROR(__xludf.DUMMYFUNCTION("IMPORTRANGE(""https://docs.google.com/spreadsheets/d/1xYFIxIM_CspAP5Q-5Zx_V0T_Ut3cjryrjd2hss28vGk/edit?usp=sharing"",""ลพบุรี!N636"")"),0)</f>
        <v>0</v>
      </c>
      <c r="K68" s="76">
        <f ca="1">IFERROR(__xludf.DUMMYFUNCTION("IMPORTRANGE(""https://docs.google.com/spreadsheets/d/1xYFIxIM_CspAP5Q-5Zx_V0T_Ut3cjryrjd2hss28vGk/edit?usp=sharing"",""ลพบุรี!N637"")"),39000)</f>
        <v>39000</v>
      </c>
      <c r="L68" s="76">
        <f ca="1">IFERROR(__xludf.DUMMYFUNCTION("IMPORTRANGE(""https://docs.google.com/spreadsheets/d/1xYFIxIM_CspAP5Q-5Zx_V0T_Ut3cjryrjd2hss28vGk/edit?usp=sharing"",""ลพบุรี!N638"")"),6880)</f>
        <v>6880</v>
      </c>
      <c r="M68" s="80">
        <f ca="1">IFERROR(__xludf.DUMMYFUNCTION("IMPORTRANGE(""https://docs.google.com/spreadsheets/d/1xYFIxIM_CspAP5Q-5Zx_V0T_Ut3cjryrjd2hss28vGk/edit?usp=sharing"",""ลพบุรี!N641"")"),0)</f>
        <v>0</v>
      </c>
      <c r="N68" s="80">
        <f t="shared" ca="1" si="29"/>
        <v>0</v>
      </c>
      <c r="O68" s="81">
        <f ca="1">IFERROR(__xludf.DUMMYFUNCTION("IMPORTRANGE(""https://docs.google.com/spreadsheets/d/1xYFIxIM_CspAP5Q-5Zx_V0T_Ut3cjryrjd2hss28vGk/edit?usp=sharing"",""ลพบุรี!I643"")"),0)</f>
        <v>0</v>
      </c>
      <c r="P68" s="81">
        <f ca="1">IFERROR(__xludf.DUMMYFUNCTION("IMPORTRANGE(""https://docs.google.com/spreadsheets/d/1xYFIxIM_CspAP5Q-5Zx_V0T_Ut3cjryrjd2hss28vGk/edit?usp=sharing"",""ลพบุรี!J643"")"),0)</f>
        <v>0</v>
      </c>
      <c r="Q68" s="82">
        <f t="shared" ca="1" si="22"/>
        <v>0</v>
      </c>
      <c r="R68" s="81">
        <f ca="1">IFERROR(__xludf.DUMMYFUNCTION("IMPORTRANGE(""https://docs.google.com/spreadsheets/d/1xYFIxIM_CspAP5Q-5Zx_V0T_Ut3cjryrjd2hss28vGk/edit?usp=sharing"",""ลพบุรี!I644"")"),0)</f>
        <v>0</v>
      </c>
      <c r="S68" s="81">
        <f ca="1">IFERROR(__xludf.DUMMYFUNCTION("IMPORTRANGE(""https://docs.google.com/spreadsheets/d/1xYFIxIM_CspAP5Q-5Zx_V0T_Ut3cjryrjd2hss28vGk/edit?usp=sharing"",""ลพบุรี!J644"")"),0)</f>
        <v>0</v>
      </c>
      <c r="T68" s="82">
        <f t="shared" ca="1" si="23"/>
        <v>0</v>
      </c>
      <c r="U68" s="81">
        <f ca="1">IFERROR(__xludf.DUMMYFUNCTION("IMPORTRANGE(""https://docs.google.com/spreadsheets/d/1xYFIxIM_CspAP5Q-5Zx_V0T_Ut3cjryrjd2hss28vGk/edit?usp=sharing"",""ลพบุรี!J645"")"),25)</f>
        <v>25</v>
      </c>
      <c r="V68" s="276">
        <f ca="1">IFERROR(__xludf.DUMMYFUNCTION("IMPORTRANGE(""https://docs.google.com/spreadsheets/d/1xYFIxIM_CspAP5Q-5Zx_V0T_Ut3cjryrjd2hss28vGk/edit?usp=sharing"",""ลพบุรี!J646"")"),14.04)</f>
        <v>14.04</v>
      </c>
      <c r="W68" s="81">
        <f ca="1">IFERROR(__xludf.DUMMYFUNCTION("IMPORTRANGE(""https://docs.google.com/spreadsheets/d/1xYFIxIM_CspAP5Q-5Zx_V0T_Ut3cjryrjd2hss28vGk/edit?usp=sharing"",""ลพบุรี!I647"")"),70)</f>
        <v>70</v>
      </c>
      <c r="X68" s="81">
        <f ca="1">IFERROR(__xludf.DUMMYFUNCTION("IMPORTRANGE(""https://docs.google.com/spreadsheets/d/1xYFIxIM_CspAP5Q-5Zx_V0T_Ut3cjryrjd2hss28vGk/edit?usp=sharing"",""ลพบุรี!J647"")"),25)</f>
        <v>25</v>
      </c>
      <c r="Y68" s="276">
        <f ca="1">IFERROR(__xludf.DUMMYFUNCTION("IMPORTRANGE(""https://docs.google.com/spreadsheets/d/1xYFIxIM_CspAP5Q-5Zx_V0T_Ut3cjryrjd2hss28vGk/edit?usp=sharing"",""ลพบุรี!J648"")"),14.04)</f>
        <v>14.04</v>
      </c>
      <c r="Z68" s="82">
        <f t="shared" ca="1" si="24"/>
        <v>35.714285714285715</v>
      </c>
      <c r="AA68" s="234">
        <f ca="1">IFERROR(__xludf.DUMMYFUNCTION("IMPORTRANGE(""https://docs.google.com/spreadsheets/d/1xYFIxIM_CspAP5Q-5Zx_V0T_Ut3cjryrjd2hss28vGk/edit?usp=sharing"",""ลพบุรี!I649"")"),70)</f>
        <v>70</v>
      </c>
      <c r="AB68" s="81">
        <f ca="1">IFERROR(__xludf.DUMMYFUNCTION("IMPORTRANGE(""https://docs.google.com/spreadsheets/d/1xYFIxIM_CspAP5Q-5Zx_V0T_Ut3cjryrjd2hss28vGk/edit?usp=sharing"",""ลพบุรี!J649"")"),0)</f>
        <v>0</v>
      </c>
      <c r="AC68" s="276">
        <f ca="1">IFERROR(__xludf.DUMMYFUNCTION("IMPORTRANGE(""https://docs.google.com/spreadsheets/d/1xYFIxIM_CspAP5Q-5Zx_V0T_Ut3cjryrjd2hss28vGk/edit?usp=sharing"",""ลพบุรี!J650"")"),0)</f>
        <v>0</v>
      </c>
      <c r="AD68" s="82">
        <f t="shared" ca="1" si="25"/>
        <v>0</v>
      </c>
      <c r="AE68" s="234">
        <f ca="1">IFERROR(__xludf.DUMMYFUNCTION("IMPORTRANGE(""https://docs.google.com/spreadsheets/d/1xYFIxIM_CspAP5Q-5Zx_V0T_Ut3cjryrjd2hss28vGk/edit?usp=sharing"",""ลพบุรี!I651"")"),70)</f>
        <v>70</v>
      </c>
      <c r="AF68" s="81">
        <f ca="1">IFERROR(__xludf.DUMMYFUNCTION("IMPORTRANGE(""https://docs.google.com/spreadsheets/d/1xYFIxIM_CspAP5Q-5Zx_V0T_Ut3cjryrjd2hss28vGk/edit?usp=sharing"",""ลพบุรี!J651"")"),0)</f>
        <v>0</v>
      </c>
      <c r="AG68" s="276">
        <f ca="1">IFERROR(__xludf.DUMMYFUNCTION("IMPORTRANGE(""https://docs.google.com/spreadsheets/d/1xYFIxIM_CspAP5Q-5Zx_V0T_Ut3cjryrjd2hss28vGk/edit?usp=sharing"",""ลพบุรี!J652"")"),0)</f>
        <v>0</v>
      </c>
      <c r="AH68" s="82">
        <f t="shared" ca="1" si="26"/>
        <v>0</v>
      </c>
    </row>
    <row r="69" spans="1:34" ht="21" customHeight="1" x14ac:dyDescent="0.3">
      <c r="A69" s="72">
        <v>17</v>
      </c>
      <c r="B69" s="73" t="s">
        <v>86</v>
      </c>
      <c r="C69" s="74">
        <f t="shared" ca="1" si="53"/>
        <v>364940</v>
      </c>
      <c r="D69" s="75">
        <f ca="1">IFERROR(__xludf.DUMMYFUNCTION("IMPORTRANGE(""https://docs.google.com/spreadsheets/d/11s9m3tKsCBdPWq6syhZm27eBGbKneDLZc75co106bio/edit?usp=sharing"",""สระแก้ว!L634"")"),364940)</f>
        <v>364940</v>
      </c>
      <c r="E69" s="76">
        <f ca="1">IFERROR(__xludf.DUMMYFUNCTION("IMPORTRANGE(""https://docs.google.com/spreadsheets/d/11s9m3tKsCBdPWq6syhZm27eBGbKneDLZc75co106bio/edit?usp=sharing"",""สระแก้ว!L641"")"),0)</f>
        <v>0</v>
      </c>
      <c r="F69" s="77">
        <f t="shared" ca="1" si="1"/>
        <v>71793.33</v>
      </c>
      <c r="G69" s="78">
        <f t="shared" ca="1" si="2"/>
        <v>19.672639337973365</v>
      </c>
      <c r="H69" s="79">
        <f t="shared" ca="1" si="54"/>
        <v>71793.33</v>
      </c>
      <c r="I69" s="76">
        <f ca="1">IFERROR(__xludf.DUMMYFUNCTION("IMPORTRANGE(""https://docs.google.com/spreadsheets/d/11s9m3tKsCBdPWq6syhZm27eBGbKneDLZc75co106bio/edit?usp=sharing"",""สระแก้ว!N635"")"),0)</f>
        <v>0</v>
      </c>
      <c r="J69" s="76">
        <f ca="1">IFERROR(__xludf.DUMMYFUNCTION("IMPORTRANGE(""https://docs.google.com/spreadsheets/d/11s9m3tKsCBdPWq6syhZm27eBGbKneDLZc75co106bio/edit?usp=sharing"",""สระแก้ว!N636"")"),0)</f>
        <v>0</v>
      </c>
      <c r="K69" s="76">
        <f ca="1">IFERROR(__xludf.DUMMYFUNCTION("IMPORTRANGE(""https://docs.google.com/spreadsheets/d/11s9m3tKsCBdPWq6syhZm27eBGbKneDLZc75co106bio/edit?usp=sharing"",""สระแก้ว!N637"")"),51133.33)</f>
        <v>51133.33</v>
      </c>
      <c r="L69" s="76">
        <f ca="1">IFERROR(__xludf.DUMMYFUNCTION("IMPORTRANGE(""https://docs.google.com/spreadsheets/d/11s9m3tKsCBdPWq6syhZm27eBGbKneDLZc75co106bio/edit?usp=sharing"",""สระแก้ว!N638"")"),20660)</f>
        <v>20660</v>
      </c>
      <c r="M69" s="80">
        <f ca="1">IFERROR(__xludf.DUMMYFUNCTION("IMPORTRANGE(""https://docs.google.com/spreadsheets/d/11s9m3tKsCBdPWq6syhZm27eBGbKneDLZc75co106bio/edit?usp=sharing"",""สระแก้ว!N641"")"),0)</f>
        <v>0</v>
      </c>
      <c r="N69" s="80">
        <f t="shared" ca="1" si="29"/>
        <v>0</v>
      </c>
      <c r="O69" s="81">
        <f ca="1">IFERROR(__xludf.DUMMYFUNCTION("IMPORTRANGE(""https://docs.google.com/spreadsheets/d/11s9m3tKsCBdPWq6syhZm27eBGbKneDLZc75co106bio/edit?usp=sharing"",""สระแก้ว!I643"")"),0)</f>
        <v>0</v>
      </c>
      <c r="P69" s="81">
        <f ca="1">IFERROR(__xludf.DUMMYFUNCTION("IMPORTRANGE(""https://docs.google.com/spreadsheets/d/11s9m3tKsCBdPWq6syhZm27eBGbKneDLZc75co106bio/edit?usp=sharing"",""สระแก้ว!J643"")"),0)</f>
        <v>0</v>
      </c>
      <c r="Q69" s="82">
        <f t="shared" ca="1" si="22"/>
        <v>0</v>
      </c>
      <c r="R69" s="81">
        <f ca="1">IFERROR(__xludf.DUMMYFUNCTION("IMPORTRANGE(""https://docs.google.com/spreadsheets/d/11s9m3tKsCBdPWq6syhZm27eBGbKneDLZc75co106bio/edit?usp=sharing"",""สระแก้ว!I644"")"),0)</f>
        <v>0</v>
      </c>
      <c r="S69" s="81">
        <f ca="1">IFERROR(__xludf.DUMMYFUNCTION("IMPORTRANGE(""https://docs.google.com/spreadsheets/d/11s9m3tKsCBdPWq6syhZm27eBGbKneDLZc75co106bio/edit?usp=sharing"",""สระแก้ว!J644"")"),0)</f>
        <v>0</v>
      </c>
      <c r="T69" s="82">
        <f t="shared" ca="1" si="23"/>
        <v>0</v>
      </c>
      <c r="U69" s="81">
        <f ca="1">IFERROR(__xludf.DUMMYFUNCTION("IMPORTRANGE(""https://docs.google.com/spreadsheets/d/11s9m3tKsCBdPWq6syhZm27eBGbKneDLZc75co106bio/edit?usp=sharing"",""สระแก้ว!J645"")"),54)</f>
        <v>54</v>
      </c>
      <c r="V69" s="276">
        <f ca="1">IFERROR(__xludf.DUMMYFUNCTION("IMPORTRANGE(""https://docs.google.com/spreadsheets/d/11s9m3tKsCBdPWq6syhZm27eBGbKneDLZc75co106bio/edit?usp=sharing"",""สระแก้ว!J646"")"),59.97)</f>
        <v>59.97</v>
      </c>
      <c r="W69" s="81">
        <f ca="1">IFERROR(__xludf.DUMMYFUNCTION("IMPORTRANGE(""https://docs.google.com/spreadsheets/d/11s9m3tKsCBdPWq6syhZm27eBGbKneDLZc75co106bio/edit?usp=sharing"",""สระแก้ว!I647"")"),100)</f>
        <v>100</v>
      </c>
      <c r="X69" s="81">
        <f ca="1">IFERROR(__xludf.DUMMYFUNCTION("IMPORTRANGE(""https://docs.google.com/spreadsheets/d/11s9m3tKsCBdPWq6syhZm27eBGbKneDLZc75co106bio/edit?usp=sharing"",""สระแก้ว!J647"")"),53)</f>
        <v>53</v>
      </c>
      <c r="Y69" s="276">
        <f ca="1">IFERROR(__xludf.DUMMYFUNCTION("IMPORTRANGE(""https://docs.google.com/spreadsheets/d/11s9m3tKsCBdPWq6syhZm27eBGbKneDLZc75co106bio/edit?usp=sharing"",""สระแก้ว!J648"")"),60.17)</f>
        <v>60.17</v>
      </c>
      <c r="Z69" s="82">
        <f t="shared" ca="1" si="24"/>
        <v>53</v>
      </c>
      <c r="AA69" s="234">
        <f ca="1">IFERROR(__xludf.DUMMYFUNCTION("IMPORTRANGE(""https://docs.google.com/spreadsheets/d/11s9m3tKsCBdPWq6syhZm27eBGbKneDLZc75co106bio/edit?usp=sharing"",""สระแก้ว!I649"")"),100)</f>
        <v>100</v>
      </c>
      <c r="AB69" s="81">
        <f ca="1">IFERROR(__xludf.DUMMYFUNCTION("IMPORTRANGE(""https://docs.google.com/spreadsheets/d/11s9m3tKsCBdPWq6syhZm27eBGbKneDLZc75co106bio/edit?usp=sharing"",""สระแก้ว!J649"")"),0)</f>
        <v>0</v>
      </c>
      <c r="AC69" s="276">
        <f ca="1">IFERROR(__xludf.DUMMYFUNCTION("IMPORTRANGE(""https://docs.google.com/spreadsheets/d/11s9m3tKsCBdPWq6syhZm27eBGbKneDLZc75co106bio/edit?usp=sharing"",""สระแก้ว!J650"")"),0)</f>
        <v>0</v>
      </c>
      <c r="AD69" s="82">
        <f t="shared" ca="1" si="25"/>
        <v>0</v>
      </c>
      <c r="AE69" s="234">
        <f ca="1">IFERROR(__xludf.DUMMYFUNCTION("IMPORTRANGE(""https://docs.google.com/spreadsheets/d/11s9m3tKsCBdPWq6syhZm27eBGbKneDLZc75co106bio/edit?usp=sharing"",""สระแก้ว!I651"")"),100)</f>
        <v>100</v>
      </c>
      <c r="AF69" s="81">
        <f ca="1">IFERROR(__xludf.DUMMYFUNCTION("IMPORTRANGE(""https://docs.google.com/spreadsheets/d/11s9m3tKsCBdPWq6syhZm27eBGbKneDLZc75co106bio/edit?usp=sharing"",""สระแก้ว!J651"")"),0)</f>
        <v>0</v>
      </c>
      <c r="AG69" s="276">
        <f ca="1">IFERROR(__xludf.DUMMYFUNCTION("IMPORTRANGE(""https://docs.google.com/spreadsheets/d/11s9m3tKsCBdPWq6syhZm27eBGbKneDLZc75co106bio/edit?usp=sharing"",""สระแก้ว!J652"")"),0)</f>
        <v>0</v>
      </c>
      <c r="AH69" s="82">
        <f t="shared" ca="1" si="26"/>
        <v>0</v>
      </c>
    </row>
    <row r="70" spans="1:34" ht="21" customHeight="1" x14ac:dyDescent="0.3">
      <c r="A70" s="72">
        <v>18</v>
      </c>
      <c r="B70" s="73" t="s">
        <v>87</v>
      </c>
      <c r="C70" s="74">
        <f t="shared" ca="1" si="53"/>
        <v>565480</v>
      </c>
      <c r="D70" s="75">
        <f ca="1">IFERROR(__xludf.DUMMYFUNCTION("IMPORTRANGE(""https://docs.google.com/spreadsheets/d/1Nn1EvsFPtXldgpgVb3Rcng2K2cls68LFQsBh2FyW0Bg/edit?usp=sharing"",""สระบุรี!L634"")"),565480)</f>
        <v>565480</v>
      </c>
      <c r="E70" s="76">
        <f ca="1">IFERROR(__xludf.DUMMYFUNCTION("IMPORTRANGE(""https://docs.google.com/spreadsheets/d/1Nn1EvsFPtXldgpgVb3Rcng2K2cls68LFQsBh2FyW0Bg/edit?usp=sharing"",""สระบุรี!L641"")"),0)</f>
        <v>0</v>
      </c>
      <c r="F70" s="77">
        <f t="shared" ca="1" si="1"/>
        <v>89106</v>
      </c>
      <c r="G70" s="78">
        <f t="shared" ca="1" si="2"/>
        <v>15.757586475206903</v>
      </c>
      <c r="H70" s="79">
        <f t="shared" ca="1" si="54"/>
        <v>89106</v>
      </c>
      <c r="I70" s="76">
        <f ca="1">IFERROR(__xludf.DUMMYFUNCTION("IMPORTRANGE(""https://docs.google.com/spreadsheets/d/1Nn1EvsFPtXldgpgVb3Rcng2K2cls68LFQsBh2FyW0Bg/edit?usp=sharing"",""สระบุรี!N635"")"),27040)</f>
        <v>27040</v>
      </c>
      <c r="J70" s="76">
        <f ca="1">IFERROR(__xludf.DUMMYFUNCTION("IMPORTRANGE(""https://docs.google.com/spreadsheets/d/1Nn1EvsFPtXldgpgVb3Rcng2K2cls68LFQsBh2FyW0Bg/edit?usp=sharing"",""สระบุรี!N636"")"),0)</f>
        <v>0</v>
      </c>
      <c r="K70" s="76">
        <f ca="1">IFERROR(__xludf.DUMMYFUNCTION("IMPORTRANGE(""https://docs.google.com/spreadsheets/d/1Nn1EvsFPtXldgpgVb3Rcng2K2cls68LFQsBh2FyW0Bg/edit?usp=sharing"",""สระบุรี!N637"")"),52000)</f>
        <v>52000</v>
      </c>
      <c r="L70" s="76">
        <f ca="1">IFERROR(__xludf.DUMMYFUNCTION("IMPORTRANGE(""https://docs.google.com/spreadsheets/d/1Nn1EvsFPtXldgpgVb3Rcng2K2cls68LFQsBh2FyW0Bg/edit?usp=sharing"",""สระบุรี!N638"")"),10066)</f>
        <v>10066</v>
      </c>
      <c r="M70" s="80">
        <f ca="1">IFERROR(__xludf.DUMMYFUNCTION("IMPORTRANGE(""https://docs.google.com/spreadsheets/d/1Nn1EvsFPtXldgpgVb3Rcng2K2cls68LFQsBh2FyW0Bg/edit?usp=sharing"",""สระบุรี!N641"")"),0)</f>
        <v>0</v>
      </c>
      <c r="N70" s="80">
        <f t="shared" ca="1" si="29"/>
        <v>0</v>
      </c>
      <c r="O70" s="81">
        <f ca="1">IFERROR(__xludf.DUMMYFUNCTION("IMPORTRANGE(""https://docs.google.com/spreadsheets/d/1Nn1EvsFPtXldgpgVb3Rcng2K2cls68LFQsBh2FyW0Bg/edit?usp=sharing"",""สระบุรี!I643"")"),0)</f>
        <v>0</v>
      </c>
      <c r="P70" s="81">
        <f ca="1">IFERROR(__xludf.DUMMYFUNCTION("IMPORTRANGE(""https://docs.google.com/spreadsheets/d/1Nn1EvsFPtXldgpgVb3Rcng2K2cls68LFQsBh2FyW0Bg/edit?usp=sharing"",""สระบุรี!J643"")"),0)</f>
        <v>0</v>
      </c>
      <c r="Q70" s="82">
        <f t="shared" ca="1" si="22"/>
        <v>0</v>
      </c>
      <c r="R70" s="81">
        <f ca="1">IFERROR(__xludf.DUMMYFUNCTION("IMPORTRANGE(""https://docs.google.com/spreadsheets/d/1Nn1EvsFPtXldgpgVb3Rcng2K2cls68LFQsBh2FyW0Bg/edit?usp=sharing"",""สระบุรี!I644"")"),0)</f>
        <v>0</v>
      </c>
      <c r="S70" s="81">
        <f ca="1">IFERROR(__xludf.DUMMYFUNCTION("IMPORTRANGE(""https://docs.google.com/spreadsheets/d/1Nn1EvsFPtXldgpgVb3Rcng2K2cls68LFQsBh2FyW0Bg/edit?usp=sharing"",""สระบุรี!J644"")"),0)</f>
        <v>0</v>
      </c>
      <c r="T70" s="82">
        <f t="shared" ca="1" si="23"/>
        <v>0</v>
      </c>
      <c r="U70" s="81">
        <f ca="1">IFERROR(__xludf.DUMMYFUNCTION("IMPORTRANGE(""https://docs.google.com/spreadsheets/d/1Nn1EvsFPtXldgpgVb3Rcng2K2cls68LFQsBh2FyW0Bg/edit?usp=sharing"",""สระบุรี!J645"")"),26)</f>
        <v>26</v>
      </c>
      <c r="V70" s="276">
        <f ca="1">IFERROR(__xludf.DUMMYFUNCTION("IMPORTRANGE(""https://docs.google.com/spreadsheets/d/1Nn1EvsFPtXldgpgVb3Rcng2K2cls68LFQsBh2FyW0Bg/edit?usp=sharing"",""สระบุรี!J646"")"),31.66)</f>
        <v>31.66</v>
      </c>
      <c r="W70" s="81">
        <f ca="1">IFERROR(__xludf.DUMMYFUNCTION("IMPORTRANGE(""https://docs.google.com/spreadsheets/d/1Nn1EvsFPtXldgpgVb3Rcng2K2cls68LFQsBh2FyW0Bg/edit?usp=sharing"",""สระบุรี!I647"")"),500)</f>
        <v>500</v>
      </c>
      <c r="X70" s="81">
        <f ca="1">IFERROR(__xludf.DUMMYFUNCTION("IMPORTRANGE(""https://docs.google.com/spreadsheets/d/1Nn1EvsFPtXldgpgVb3Rcng2K2cls68LFQsBh2FyW0Bg/edit?usp=sharing"",""สระบุรี!J647"")"),31)</f>
        <v>31</v>
      </c>
      <c r="Y70" s="276">
        <f ca="1">IFERROR(__xludf.DUMMYFUNCTION("IMPORTRANGE(""https://docs.google.com/spreadsheets/d/1Nn1EvsFPtXldgpgVb3Rcng2K2cls68LFQsBh2FyW0Bg/edit?usp=sharing"",""สระบุรี!J648"")"),37.56)</f>
        <v>37.56</v>
      </c>
      <c r="Z70" s="82">
        <f t="shared" ca="1" si="24"/>
        <v>6.2</v>
      </c>
      <c r="AA70" s="234">
        <f ca="1">IFERROR(__xludf.DUMMYFUNCTION("IMPORTRANGE(""https://docs.google.com/spreadsheets/d/1Nn1EvsFPtXldgpgVb3Rcng2K2cls68LFQsBh2FyW0Bg/edit?usp=sharing"",""สระบุรี!I649"")"),500)</f>
        <v>500</v>
      </c>
      <c r="AB70" s="81">
        <f ca="1">IFERROR(__xludf.DUMMYFUNCTION("IMPORTRANGE(""https://docs.google.com/spreadsheets/d/1Nn1EvsFPtXldgpgVb3Rcng2K2cls68LFQsBh2FyW0Bg/edit?usp=sharing"",""สระบุรี!J649"")"),0)</f>
        <v>0</v>
      </c>
      <c r="AC70" s="276">
        <f ca="1">IFERROR(__xludf.DUMMYFUNCTION("IMPORTRANGE(""https://docs.google.com/spreadsheets/d/1Nn1EvsFPtXldgpgVb3Rcng2K2cls68LFQsBh2FyW0Bg/edit?usp=sharing"",""สระบุรี!J650"")"),0)</f>
        <v>0</v>
      </c>
      <c r="AD70" s="82">
        <f t="shared" ca="1" si="25"/>
        <v>0</v>
      </c>
      <c r="AE70" s="234">
        <f ca="1">IFERROR(__xludf.DUMMYFUNCTION("IMPORTRANGE(""https://docs.google.com/spreadsheets/d/1Nn1EvsFPtXldgpgVb3Rcng2K2cls68LFQsBh2FyW0Bg/edit?usp=sharing"",""สระบุรี!I651"")"),500)</f>
        <v>500</v>
      </c>
      <c r="AF70" s="81">
        <f ca="1">IFERROR(__xludf.DUMMYFUNCTION("IMPORTRANGE(""https://docs.google.com/spreadsheets/d/1Nn1EvsFPtXldgpgVb3Rcng2K2cls68LFQsBh2FyW0Bg/edit?usp=sharing"",""สระบุรี!J651"")"),0)</f>
        <v>0</v>
      </c>
      <c r="AG70" s="276">
        <f ca="1">IFERROR(__xludf.DUMMYFUNCTION("IMPORTRANGE(""https://docs.google.com/spreadsheets/d/1Nn1EvsFPtXldgpgVb3Rcng2K2cls68LFQsBh2FyW0Bg/edit?usp=sharing"",""สระบุรี!J652"")"),0)</f>
        <v>0</v>
      </c>
      <c r="AH70" s="82">
        <f t="shared" ca="1" si="26"/>
        <v>0</v>
      </c>
    </row>
    <row r="71" spans="1:34" ht="21" customHeight="1" x14ac:dyDescent="0.3">
      <c r="A71" s="72">
        <v>19</v>
      </c>
      <c r="B71" s="73" t="s">
        <v>88</v>
      </c>
      <c r="C71" s="74">
        <f t="shared" ca="1" si="53"/>
        <v>0</v>
      </c>
      <c r="D71" s="75">
        <f ca="1">IFERROR(__xludf.DUMMYFUNCTION("IMPORTRANGE(""https://docs.google.com/spreadsheets/d/149xufxukrnEciK3WPbNpHwUK8BKEJxp3UcBG3Al6dA4/edit?usp=sharing"",""สิงห์บุรี!L634"")"),0)</f>
        <v>0</v>
      </c>
      <c r="E71" s="76">
        <f ca="1">IFERROR(__xludf.DUMMYFUNCTION("IMPORTRANGE(""https://docs.google.com/spreadsheets/d/149xufxukrnEciK3WPbNpHwUK8BKEJxp3UcBG3Al6dA4/edit?usp=sharing"",""สิงห์บุรี!L641"")"),0)</f>
        <v>0</v>
      </c>
      <c r="F71" s="77">
        <f t="shared" ca="1" si="1"/>
        <v>0</v>
      </c>
      <c r="G71" s="78">
        <f t="shared" ca="1" si="2"/>
        <v>0</v>
      </c>
      <c r="H71" s="79">
        <f t="shared" ca="1" si="54"/>
        <v>0</v>
      </c>
      <c r="I71" s="76">
        <f ca="1">IFERROR(__xludf.DUMMYFUNCTION("IMPORTRANGE(""https://docs.google.com/spreadsheets/d/149xufxukrnEciK3WPbNpHwUK8BKEJxp3UcBG3Al6dA4/edit?usp=sharing"",""สิงห์บุรี!N635"")"),0)</f>
        <v>0</v>
      </c>
      <c r="J71" s="76">
        <f ca="1">IFERROR(__xludf.DUMMYFUNCTION("IMPORTRANGE(""https://docs.google.com/spreadsheets/d/149xufxukrnEciK3WPbNpHwUK8BKEJxp3UcBG3Al6dA4/edit?usp=sharing"",""สิงห์บุรี!N636"")"),0)</f>
        <v>0</v>
      </c>
      <c r="K71" s="76">
        <f ca="1">IFERROR(__xludf.DUMMYFUNCTION("IMPORTRANGE(""https://docs.google.com/spreadsheets/d/149xufxukrnEciK3WPbNpHwUK8BKEJxp3UcBG3Al6dA4/edit?usp=sharing"",""สิงห์บุรี!N637"")"),0)</f>
        <v>0</v>
      </c>
      <c r="L71" s="76">
        <f ca="1">IFERROR(__xludf.DUMMYFUNCTION("IMPORTRANGE(""https://docs.google.com/spreadsheets/d/149xufxukrnEciK3WPbNpHwUK8BKEJxp3UcBG3Al6dA4/edit?usp=sharing"",""สิงห์บุรี!N638"")"),0)</f>
        <v>0</v>
      </c>
      <c r="M71" s="80">
        <f ca="1">IFERROR(__xludf.DUMMYFUNCTION("IMPORTRANGE(""https://docs.google.com/spreadsheets/d/149xufxukrnEciK3WPbNpHwUK8BKEJxp3UcBG3Al6dA4/edit?usp=sharing"",""สิงห์บุรี!N641"")"),0)</f>
        <v>0</v>
      </c>
      <c r="N71" s="80">
        <f t="shared" ca="1" si="29"/>
        <v>0</v>
      </c>
      <c r="O71" s="81">
        <f ca="1">IFERROR(__xludf.DUMMYFUNCTION("IMPORTRANGE(""https://docs.google.com/spreadsheets/d/149xufxukrnEciK3WPbNpHwUK8BKEJxp3UcBG3Al6dA4/edit?usp=sharing"",""สิงห์บุรี!I643"")"),0)</f>
        <v>0</v>
      </c>
      <c r="P71" s="81">
        <f ca="1">IFERROR(__xludf.DUMMYFUNCTION("IMPORTRANGE(""https://docs.google.com/spreadsheets/d/149xufxukrnEciK3WPbNpHwUK8BKEJxp3UcBG3Al6dA4/edit?usp=sharing"",""สิงห์บุรี!J643"")"),0)</f>
        <v>0</v>
      </c>
      <c r="Q71" s="82">
        <f t="shared" ca="1" si="22"/>
        <v>0</v>
      </c>
      <c r="R71" s="81">
        <f ca="1">IFERROR(__xludf.DUMMYFUNCTION("IMPORTRANGE(""https://docs.google.com/spreadsheets/d/149xufxukrnEciK3WPbNpHwUK8BKEJxp3UcBG3Al6dA4/edit?usp=sharing"",""สิงห์บุรี!I644"")"),0)</f>
        <v>0</v>
      </c>
      <c r="S71" s="81">
        <f ca="1">IFERROR(__xludf.DUMMYFUNCTION("IMPORTRANGE(""https://docs.google.com/spreadsheets/d/149xufxukrnEciK3WPbNpHwUK8BKEJxp3UcBG3Al6dA4/edit?usp=sharing"",""สิงห์บุรี!J644"")"),0)</f>
        <v>0</v>
      </c>
      <c r="T71" s="82">
        <f t="shared" ca="1" si="23"/>
        <v>0</v>
      </c>
      <c r="U71" s="81">
        <f ca="1">IFERROR(__xludf.DUMMYFUNCTION("IMPORTRANGE(""https://docs.google.com/spreadsheets/d/149xufxukrnEciK3WPbNpHwUK8BKEJxp3UcBG3Al6dA4/edit?usp=sharing"",""สิงห์บุรี!J645"")"),0)</f>
        <v>0</v>
      </c>
      <c r="V71" s="276">
        <f ca="1">IFERROR(__xludf.DUMMYFUNCTION("IMPORTRANGE(""https://docs.google.com/spreadsheets/d/149xufxukrnEciK3WPbNpHwUK8BKEJxp3UcBG3Al6dA4/edit?usp=sharing"",""สิงห์บุรี!J646"")"),0)</f>
        <v>0</v>
      </c>
      <c r="W71" s="81">
        <f ca="1">IFERROR(__xludf.DUMMYFUNCTION("IMPORTRANGE(""https://docs.google.com/spreadsheets/d/149xufxukrnEciK3WPbNpHwUK8BKEJxp3UcBG3Al6dA4/edit?usp=sharing"",""สิงห์บุรี!I647"")"),0)</f>
        <v>0</v>
      </c>
      <c r="X71" s="81">
        <f ca="1">IFERROR(__xludf.DUMMYFUNCTION("IMPORTRANGE(""https://docs.google.com/spreadsheets/d/149xufxukrnEciK3WPbNpHwUK8BKEJxp3UcBG3Al6dA4/edit?usp=sharing"",""สิงห์บุรี!J647"")"),0)</f>
        <v>0</v>
      </c>
      <c r="Y71" s="276">
        <f ca="1">IFERROR(__xludf.DUMMYFUNCTION("IMPORTRANGE(""https://docs.google.com/spreadsheets/d/149xufxukrnEciK3WPbNpHwUK8BKEJxp3UcBG3Al6dA4/edit?usp=sharing"",""สิงห์บุรี!J648"")"),0)</f>
        <v>0</v>
      </c>
      <c r="Z71" s="82">
        <f t="shared" ca="1" si="24"/>
        <v>0</v>
      </c>
      <c r="AA71" s="234">
        <f ca="1">IFERROR(__xludf.DUMMYFUNCTION("IMPORTRANGE(""https://docs.google.com/spreadsheets/d/149xufxukrnEciK3WPbNpHwUK8BKEJxp3UcBG3Al6dA4/edit?usp=sharing"",""สิงห์บุรี!I649"")"),0)</f>
        <v>0</v>
      </c>
      <c r="AB71" s="81">
        <f ca="1">IFERROR(__xludf.DUMMYFUNCTION("IMPORTRANGE(""https://docs.google.com/spreadsheets/d/149xufxukrnEciK3WPbNpHwUK8BKEJxp3UcBG3Al6dA4/edit?usp=sharing"",""สิงห์บุรี!J649"")"),0)</f>
        <v>0</v>
      </c>
      <c r="AC71" s="276">
        <f ca="1">IFERROR(__xludf.DUMMYFUNCTION("IMPORTRANGE(""https://docs.google.com/spreadsheets/d/149xufxukrnEciK3WPbNpHwUK8BKEJxp3UcBG3Al6dA4/edit?usp=sharing"",""สิงห์บุรี!J650"")"),0)</f>
        <v>0</v>
      </c>
      <c r="AD71" s="82">
        <f t="shared" ca="1" si="25"/>
        <v>0</v>
      </c>
      <c r="AE71" s="234">
        <f ca="1">IFERROR(__xludf.DUMMYFUNCTION("IMPORTRANGE(""https://docs.google.com/spreadsheets/d/149xufxukrnEciK3WPbNpHwUK8BKEJxp3UcBG3Al6dA4/edit?usp=sharing"",""สิงห์บุรี!I651"")"),0)</f>
        <v>0</v>
      </c>
      <c r="AF71" s="81">
        <f ca="1">IFERROR(__xludf.DUMMYFUNCTION("IMPORTRANGE(""https://docs.google.com/spreadsheets/d/149xufxukrnEciK3WPbNpHwUK8BKEJxp3UcBG3Al6dA4/edit?usp=sharing"",""สิงห์บุรี!J651"")"),0)</f>
        <v>0</v>
      </c>
      <c r="AG71" s="276">
        <f ca="1">IFERROR(__xludf.DUMMYFUNCTION("IMPORTRANGE(""https://docs.google.com/spreadsheets/d/149xufxukrnEciK3WPbNpHwUK8BKEJxp3UcBG3Al6dA4/edit?usp=sharing"",""สิงห์บุรี!J652"")"),0)</f>
        <v>0</v>
      </c>
      <c r="AH71" s="82">
        <f t="shared" ca="1" si="26"/>
        <v>0</v>
      </c>
    </row>
    <row r="72" spans="1:34" ht="21" customHeight="1" x14ac:dyDescent="0.3">
      <c r="A72" s="72">
        <v>20</v>
      </c>
      <c r="B72" s="73" t="s">
        <v>89</v>
      </c>
      <c r="C72" s="74">
        <f t="shared" ca="1" si="53"/>
        <v>381515</v>
      </c>
      <c r="D72" s="75">
        <f ca="1">IFERROR(__xludf.DUMMYFUNCTION("IMPORTRANGE(""https://docs.google.com/spreadsheets/d/132g-zJpz2uMKimp17uOIx8A7o3w1Z25zwJyXnwsB56c/edit?usp=sharing"",""สุพรรณบุรี!L634"")"),381515)</f>
        <v>381515</v>
      </c>
      <c r="E72" s="76">
        <f ca="1">IFERROR(__xludf.DUMMYFUNCTION("IMPORTRANGE(""https://docs.google.com/spreadsheets/d/132g-zJpz2uMKimp17uOIx8A7o3w1Z25zwJyXnwsB56c/edit?usp=sharing"",""สุพรรณบุรี!L641"")"),0)</f>
        <v>0</v>
      </c>
      <c r="F72" s="77">
        <f t="shared" ca="1" si="1"/>
        <v>145648</v>
      </c>
      <c r="G72" s="78">
        <f t="shared" ca="1" si="2"/>
        <v>38.176218497306792</v>
      </c>
      <c r="H72" s="79">
        <f t="shared" ca="1" si="54"/>
        <v>145648</v>
      </c>
      <c r="I72" s="76">
        <f ca="1">IFERROR(__xludf.DUMMYFUNCTION("IMPORTRANGE(""https://docs.google.com/spreadsheets/d/132g-zJpz2uMKimp17uOIx8A7o3w1Z25zwJyXnwsB56c/edit?usp=sharing"",""สุพรรณบุรี!N635"")"),0)</f>
        <v>0</v>
      </c>
      <c r="J72" s="76">
        <f ca="1">IFERROR(__xludf.DUMMYFUNCTION("IMPORTRANGE(""https://docs.google.com/spreadsheets/d/132g-zJpz2uMKimp17uOIx8A7o3w1Z25zwJyXnwsB56c/edit?usp=sharing"",""สุพรรณบุรี!N636"")"),0)</f>
        <v>0</v>
      </c>
      <c r="K72" s="76">
        <f ca="1">IFERROR(__xludf.DUMMYFUNCTION("IMPORTRANGE(""https://docs.google.com/spreadsheets/d/132g-zJpz2uMKimp17uOIx8A7o3w1Z25zwJyXnwsB56c/edit?usp=sharing"",""สุพรรณบุรี!N637"")"),52000)</f>
        <v>52000</v>
      </c>
      <c r="L72" s="76">
        <f ca="1">IFERROR(__xludf.DUMMYFUNCTION("IMPORTRANGE(""https://docs.google.com/spreadsheets/d/132g-zJpz2uMKimp17uOIx8A7o3w1Z25zwJyXnwsB56c/edit?usp=sharing"",""สุพรรณบุรี!N638"")"),93648)</f>
        <v>93648</v>
      </c>
      <c r="M72" s="80">
        <f ca="1">IFERROR(__xludf.DUMMYFUNCTION("IMPORTRANGE(""https://docs.google.com/spreadsheets/d/132g-zJpz2uMKimp17uOIx8A7o3w1Z25zwJyXnwsB56c/edit?usp=sharing"",""สุพรรณบุรี!N641"")"),0)</f>
        <v>0</v>
      </c>
      <c r="N72" s="80">
        <f t="shared" ca="1" si="29"/>
        <v>0</v>
      </c>
      <c r="O72" s="81">
        <f ca="1">IFERROR(__xludf.DUMMYFUNCTION("IMPORTRANGE(""https://docs.google.com/spreadsheets/d/132g-zJpz2uMKimp17uOIx8A7o3w1Z25zwJyXnwsB56c/edit?usp=sharing"",""สุพรรณบุรี!I643"")"),0)</f>
        <v>0</v>
      </c>
      <c r="P72" s="81">
        <f ca="1">IFERROR(__xludf.DUMMYFUNCTION("IMPORTRANGE(""https://docs.google.com/spreadsheets/d/132g-zJpz2uMKimp17uOIx8A7o3w1Z25zwJyXnwsB56c/edit?usp=sharing"",""สุพรรณบุรี!J643"")"),0)</f>
        <v>0</v>
      </c>
      <c r="Q72" s="82">
        <f t="shared" ca="1" si="22"/>
        <v>0</v>
      </c>
      <c r="R72" s="81">
        <f ca="1">IFERROR(__xludf.DUMMYFUNCTION("IMPORTRANGE(""https://docs.google.com/spreadsheets/d/132g-zJpz2uMKimp17uOIx8A7o3w1Z25zwJyXnwsB56c/edit?usp=sharing"",""สุพรรณบุรี!I644"")"),0)</f>
        <v>0</v>
      </c>
      <c r="S72" s="81">
        <f ca="1">IFERROR(__xludf.DUMMYFUNCTION("IMPORTRANGE(""https://docs.google.com/spreadsheets/d/132g-zJpz2uMKimp17uOIx8A7o3w1Z25zwJyXnwsB56c/edit?usp=sharing"",""สุพรรณบุรี!J644"")"),0)</f>
        <v>0</v>
      </c>
      <c r="T72" s="82">
        <f t="shared" ca="1" si="23"/>
        <v>0</v>
      </c>
      <c r="U72" s="81">
        <f ca="1">IFERROR(__xludf.DUMMYFUNCTION("IMPORTRANGE(""https://docs.google.com/spreadsheets/d/132g-zJpz2uMKimp17uOIx8A7o3w1Z25zwJyXnwsB56c/edit?usp=sharing"",""สุพรรณบุรี!J645"")"),66)</f>
        <v>66</v>
      </c>
      <c r="V72" s="276">
        <f ca="1">IFERROR(__xludf.DUMMYFUNCTION("IMPORTRANGE(""https://docs.google.com/spreadsheets/d/132g-zJpz2uMKimp17uOIx8A7o3w1Z25zwJyXnwsB56c/edit?usp=sharing"",""สุพรรณบุรี!J646"")"),45.59)</f>
        <v>45.59</v>
      </c>
      <c r="W72" s="81">
        <f ca="1">IFERROR(__xludf.DUMMYFUNCTION("IMPORTRANGE(""https://docs.google.com/spreadsheets/d/132g-zJpz2uMKimp17uOIx8A7o3w1Z25zwJyXnwsB56c/edit?usp=sharing"",""สุพรรณบุรี!I647"")"),100)</f>
        <v>100</v>
      </c>
      <c r="X72" s="81">
        <f ca="1">IFERROR(__xludf.DUMMYFUNCTION("IMPORTRANGE(""https://docs.google.com/spreadsheets/d/132g-zJpz2uMKimp17uOIx8A7o3w1Z25zwJyXnwsB56c/edit?usp=sharing"",""สุพรรณบุรี!J647"")"),55)</f>
        <v>55</v>
      </c>
      <c r="Y72" s="276">
        <f ca="1">IFERROR(__xludf.DUMMYFUNCTION("IMPORTRANGE(""https://docs.google.com/spreadsheets/d/132g-zJpz2uMKimp17uOIx8A7o3w1Z25zwJyXnwsB56c/edit?usp=sharing"",""สุพรรณบุรี!J648"")"),36.12)</f>
        <v>36.119999999999997</v>
      </c>
      <c r="Z72" s="82">
        <f t="shared" ca="1" si="24"/>
        <v>55</v>
      </c>
      <c r="AA72" s="234">
        <f ca="1">IFERROR(__xludf.DUMMYFUNCTION("IMPORTRANGE(""https://docs.google.com/spreadsheets/d/132g-zJpz2uMKimp17uOIx8A7o3w1Z25zwJyXnwsB56c/edit?usp=sharing"",""สุพรรณบุรี!I649"")"),100)</f>
        <v>100</v>
      </c>
      <c r="AB72" s="81">
        <f ca="1">IFERROR(__xludf.DUMMYFUNCTION("IMPORTRANGE(""https://docs.google.com/spreadsheets/d/132g-zJpz2uMKimp17uOIx8A7o3w1Z25zwJyXnwsB56c/edit?usp=sharing"",""สุพรรณบุรี!J649"")"),0)</f>
        <v>0</v>
      </c>
      <c r="AC72" s="276">
        <f ca="1">IFERROR(__xludf.DUMMYFUNCTION("IMPORTRANGE(""https://docs.google.com/spreadsheets/d/132g-zJpz2uMKimp17uOIx8A7o3w1Z25zwJyXnwsB56c/edit?usp=sharing"",""สุพรรณบุรี!J650"")"),0)</f>
        <v>0</v>
      </c>
      <c r="AD72" s="82">
        <f t="shared" ca="1" si="25"/>
        <v>0</v>
      </c>
      <c r="AE72" s="234">
        <f ca="1">IFERROR(__xludf.DUMMYFUNCTION("IMPORTRANGE(""https://docs.google.com/spreadsheets/d/132g-zJpz2uMKimp17uOIx8A7o3w1Z25zwJyXnwsB56c/edit?usp=sharing"",""สุพรรณบุรี!I651"")"),100)</f>
        <v>100</v>
      </c>
      <c r="AF72" s="81">
        <f ca="1">IFERROR(__xludf.DUMMYFUNCTION("IMPORTRANGE(""https://docs.google.com/spreadsheets/d/132g-zJpz2uMKimp17uOIx8A7o3w1Z25zwJyXnwsB56c/edit?usp=sharing"",""สุพรรณบุรี!J651"")"),0)</f>
        <v>0</v>
      </c>
      <c r="AG72" s="276">
        <f ca="1">IFERROR(__xludf.DUMMYFUNCTION("IMPORTRANGE(""https://docs.google.com/spreadsheets/d/132g-zJpz2uMKimp17uOIx8A7o3w1Z25zwJyXnwsB56c/edit?usp=sharing"",""สุพรรณบุรี!J652"")"),0)</f>
        <v>0</v>
      </c>
      <c r="AH72" s="82">
        <f t="shared" ca="1" si="26"/>
        <v>0</v>
      </c>
    </row>
    <row r="73" spans="1:34" ht="21" customHeight="1" x14ac:dyDescent="0.3">
      <c r="A73" s="83">
        <v>21</v>
      </c>
      <c r="B73" s="84" t="s">
        <v>90</v>
      </c>
      <c r="C73" s="85">
        <f t="shared" ca="1" si="53"/>
        <v>0</v>
      </c>
      <c r="D73" s="86">
        <f ca="1">IFERROR(__xludf.DUMMYFUNCTION("IMPORTRANGE(""https://docs.google.com/spreadsheets/d/12Q_U0nVnFdxDFwa0pej9xvx8ZvLC9Dpi_vRro_aiG5g/edit?usp=sharing"",""อ่างทอง!L634"")"),0)</f>
        <v>0</v>
      </c>
      <c r="E73" s="87">
        <f ca="1">IFERROR(__xludf.DUMMYFUNCTION("IMPORTRANGE(""https://docs.google.com/spreadsheets/d/12Q_U0nVnFdxDFwa0pej9xvx8ZvLC9Dpi_vRro_aiG5g/edit?usp=sharing"",""อ่างทอง!L641"")"),0)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54"/>
        <v>0</v>
      </c>
      <c r="I73" s="87">
        <f ca="1">IFERROR(__xludf.DUMMYFUNCTION("IMPORTRANGE(""https://docs.google.com/spreadsheets/d/12Q_U0nVnFdxDFwa0pej9xvx8ZvLC9Dpi_vRro_aiG5g/edit?usp=sharing"",""อ่างทอง!N635"")"),0)</f>
        <v>0</v>
      </c>
      <c r="J73" s="87">
        <f ca="1">IFERROR(__xludf.DUMMYFUNCTION("IMPORTRANGE(""https://docs.google.com/spreadsheets/d/12Q_U0nVnFdxDFwa0pej9xvx8ZvLC9Dpi_vRro_aiG5g/edit?usp=sharing"",""อ่างทอง!N636"")"),0)</f>
        <v>0</v>
      </c>
      <c r="K73" s="87">
        <f ca="1">IFERROR(__xludf.DUMMYFUNCTION("IMPORTRANGE(""https://docs.google.com/spreadsheets/d/12Q_U0nVnFdxDFwa0pej9xvx8ZvLC9Dpi_vRro_aiG5g/edit?usp=sharing"",""อ่างทอง!N637"")"),0)</f>
        <v>0</v>
      </c>
      <c r="L73" s="87">
        <f ca="1">IFERROR(__xludf.DUMMYFUNCTION("IMPORTRANGE(""https://docs.google.com/spreadsheets/d/12Q_U0nVnFdxDFwa0pej9xvx8ZvLC9Dpi_vRro_aiG5g/edit?usp=sharing"",""อ่างทอง!N638"")"),0)</f>
        <v>0</v>
      </c>
      <c r="M73" s="91">
        <f ca="1">IFERROR(__xludf.DUMMYFUNCTION("IMPORTRANGE(""https://docs.google.com/spreadsheets/d/12Q_U0nVnFdxDFwa0pej9xvx8ZvLC9Dpi_vRro_aiG5g/edit?usp=sharing"",""อ่างทอง!N641"")"),0)</f>
        <v>0</v>
      </c>
      <c r="N73" s="91">
        <f t="shared" ca="1" si="29"/>
        <v>0</v>
      </c>
      <c r="O73" s="92">
        <f ca="1">IFERROR(__xludf.DUMMYFUNCTION("IMPORTRANGE(""https://docs.google.com/spreadsheets/d/12Q_U0nVnFdxDFwa0pej9xvx8ZvLC9Dpi_vRro_aiG5g/edit?usp=sharing"",""อ่างทอง!I643"")"),0)</f>
        <v>0</v>
      </c>
      <c r="P73" s="92">
        <f ca="1">IFERROR(__xludf.DUMMYFUNCTION("IMPORTRANGE(""https://docs.google.com/spreadsheets/d/12Q_U0nVnFdxDFwa0pej9xvx8ZvLC9Dpi_vRro_aiG5g/edit?usp=sharing"",""อ่างทอง!J643"")"),0)</f>
        <v>0</v>
      </c>
      <c r="Q73" s="93">
        <f t="shared" ca="1" si="22"/>
        <v>0</v>
      </c>
      <c r="R73" s="92">
        <f ca="1">IFERROR(__xludf.DUMMYFUNCTION("IMPORTRANGE(""https://docs.google.com/spreadsheets/d/12Q_U0nVnFdxDFwa0pej9xvx8ZvLC9Dpi_vRro_aiG5g/edit?usp=sharing"",""อ่างทอง!I644"")"),0)</f>
        <v>0</v>
      </c>
      <c r="S73" s="92">
        <f ca="1">IFERROR(__xludf.DUMMYFUNCTION("IMPORTRANGE(""https://docs.google.com/spreadsheets/d/12Q_U0nVnFdxDFwa0pej9xvx8ZvLC9Dpi_vRro_aiG5g/edit?usp=sharing"",""อ่างทอง!J644"")"),0)</f>
        <v>0</v>
      </c>
      <c r="T73" s="93">
        <f t="shared" ca="1" si="23"/>
        <v>0</v>
      </c>
      <c r="U73" s="92">
        <f ca="1">IFERROR(__xludf.DUMMYFUNCTION("IMPORTRANGE(""https://docs.google.com/spreadsheets/d/12Q_U0nVnFdxDFwa0pej9xvx8ZvLC9Dpi_vRro_aiG5g/edit?usp=sharing"",""อ่างทอง!J645"")"),0)</f>
        <v>0</v>
      </c>
      <c r="V73" s="277">
        <f ca="1">IFERROR(__xludf.DUMMYFUNCTION("IMPORTRANGE(""https://docs.google.com/spreadsheets/d/12Q_U0nVnFdxDFwa0pej9xvx8ZvLC9Dpi_vRro_aiG5g/edit?usp=sharing"",""อ่างทอง!J646"")"),0)</f>
        <v>0</v>
      </c>
      <c r="W73" s="92">
        <f ca="1">IFERROR(__xludf.DUMMYFUNCTION("IMPORTRANGE(""https://docs.google.com/spreadsheets/d/12Q_U0nVnFdxDFwa0pej9xvx8ZvLC9Dpi_vRro_aiG5g/edit?usp=sharing"",""อ่างทอง!I647"")"),0)</f>
        <v>0</v>
      </c>
      <c r="X73" s="92">
        <f ca="1">IFERROR(__xludf.DUMMYFUNCTION("IMPORTRANGE(""https://docs.google.com/spreadsheets/d/12Q_U0nVnFdxDFwa0pej9xvx8ZvLC9Dpi_vRro_aiG5g/edit?usp=sharing"",""อ่างทอง!J647"")"),0)</f>
        <v>0</v>
      </c>
      <c r="Y73" s="277">
        <f ca="1">IFERROR(__xludf.DUMMYFUNCTION("IMPORTRANGE(""https://docs.google.com/spreadsheets/d/12Q_U0nVnFdxDFwa0pej9xvx8ZvLC9Dpi_vRro_aiG5g/edit?usp=sharing"",""อ่างทอง!J648"")"),0)</f>
        <v>0</v>
      </c>
      <c r="Z73" s="93">
        <f t="shared" ca="1" si="24"/>
        <v>0</v>
      </c>
      <c r="AA73" s="235">
        <f ca="1">IFERROR(__xludf.DUMMYFUNCTION("IMPORTRANGE(""https://docs.google.com/spreadsheets/d/12Q_U0nVnFdxDFwa0pej9xvx8ZvLC9Dpi_vRro_aiG5g/edit?usp=sharing"",""อ่างทอง!I649"")"),0)</f>
        <v>0</v>
      </c>
      <c r="AB73" s="92">
        <f ca="1">IFERROR(__xludf.DUMMYFUNCTION("IMPORTRANGE(""https://docs.google.com/spreadsheets/d/12Q_U0nVnFdxDFwa0pej9xvx8ZvLC9Dpi_vRro_aiG5g/edit?usp=sharing"",""อ่างทอง!J649"")"),0)</f>
        <v>0</v>
      </c>
      <c r="AC73" s="277">
        <f ca="1">IFERROR(__xludf.DUMMYFUNCTION("IMPORTRANGE(""https://docs.google.com/spreadsheets/d/12Q_U0nVnFdxDFwa0pej9xvx8ZvLC9Dpi_vRro_aiG5g/edit?usp=sharing"",""อ่างทอง!J650"")"),0)</f>
        <v>0</v>
      </c>
      <c r="AD73" s="93">
        <f t="shared" ca="1" si="25"/>
        <v>0</v>
      </c>
      <c r="AE73" s="235">
        <f ca="1">IFERROR(__xludf.DUMMYFUNCTION("IMPORTRANGE(""https://docs.google.com/spreadsheets/d/12Q_U0nVnFdxDFwa0pej9xvx8ZvLC9Dpi_vRro_aiG5g/edit?usp=sharing"",""อ่างทอง!I651"")"),0)</f>
        <v>0</v>
      </c>
      <c r="AF73" s="92">
        <f ca="1">IFERROR(__xludf.DUMMYFUNCTION("IMPORTRANGE(""https://docs.google.com/spreadsheets/d/12Q_U0nVnFdxDFwa0pej9xvx8ZvLC9Dpi_vRro_aiG5g/edit?usp=sharing"",""อ่างทอง!J651"")"),0)</f>
        <v>0</v>
      </c>
      <c r="AG73" s="277">
        <f ca="1">IFERROR(__xludf.DUMMYFUNCTION("IMPORTRANGE(""https://docs.google.com/spreadsheets/d/12Q_U0nVnFdxDFwa0pej9xvx8ZvLC9Dpi_vRro_aiG5g/edit?usp=sharing"",""อ่างทอง!J652"")"),0)</f>
        <v>0</v>
      </c>
      <c r="AH73" s="93">
        <f t="shared" ca="1" si="26"/>
        <v>0</v>
      </c>
    </row>
    <row r="74" spans="1:34" ht="21" customHeight="1" x14ac:dyDescent="0.3">
      <c r="A74" s="303" t="s">
        <v>91</v>
      </c>
      <c r="B74" s="299"/>
      <c r="C74" s="99">
        <f t="shared" ref="C74:E74" ca="1" si="55">SUM(C75:C88)</f>
        <v>1558770</v>
      </c>
      <c r="D74" s="99">
        <f t="shared" ca="1" si="55"/>
        <v>1558770</v>
      </c>
      <c r="E74" s="57">
        <f t="shared" ca="1" si="55"/>
        <v>0</v>
      </c>
      <c r="F74" s="57">
        <f t="shared" ca="1" si="1"/>
        <v>276005</v>
      </c>
      <c r="G74" s="94">
        <f t="shared" ca="1" si="2"/>
        <v>17.706589169665826</v>
      </c>
      <c r="H74" s="57">
        <f t="shared" ref="H74:M74" ca="1" si="56">SUM(H75:H88)</f>
        <v>276005</v>
      </c>
      <c r="I74" s="57">
        <f t="shared" ca="1" si="56"/>
        <v>0</v>
      </c>
      <c r="J74" s="57">
        <f t="shared" ca="1" si="56"/>
        <v>0</v>
      </c>
      <c r="K74" s="57">
        <f t="shared" ca="1" si="56"/>
        <v>91000</v>
      </c>
      <c r="L74" s="57">
        <f t="shared" ca="1" si="56"/>
        <v>185005</v>
      </c>
      <c r="M74" s="95">
        <f t="shared" ca="1" si="56"/>
        <v>0</v>
      </c>
      <c r="N74" s="95">
        <f t="shared" ca="1" si="29"/>
        <v>0</v>
      </c>
      <c r="O74" s="57">
        <f t="shared" ref="O74:P74" ca="1" si="57">SUM(O75:O88)</f>
        <v>5</v>
      </c>
      <c r="P74" s="57">
        <f t="shared" ca="1" si="57"/>
        <v>2</v>
      </c>
      <c r="Q74" s="96">
        <f t="shared" ca="1" si="22"/>
        <v>40</v>
      </c>
      <c r="R74" s="57">
        <f t="shared" ref="R74:S74" ca="1" si="58">SUM(R75:R88)</f>
        <v>5</v>
      </c>
      <c r="S74" s="57">
        <f t="shared" ca="1" si="58"/>
        <v>0</v>
      </c>
      <c r="T74" s="96">
        <f t="shared" ca="1" si="23"/>
        <v>0</v>
      </c>
      <c r="U74" s="57">
        <f t="shared" ref="U74:Y74" ca="1" si="59">SUM(U75:U88)</f>
        <v>23</v>
      </c>
      <c r="V74" s="278">
        <f t="shared" ca="1" si="59"/>
        <v>5.61</v>
      </c>
      <c r="W74" s="57">
        <f t="shared" ca="1" si="59"/>
        <v>324</v>
      </c>
      <c r="X74" s="57">
        <f t="shared" ca="1" si="59"/>
        <v>82</v>
      </c>
      <c r="Y74" s="278">
        <f t="shared" ca="1" si="59"/>
        <v>20.63</v>
      </c>
      <c r="Z74" s="96">
        <f t="shared" ca="1" si="24"/>
        <v>25.308641975308642</v>
      </c>
      <c r="AA74" s="231">
        <f t="shared" ref="AA74:AC74" ca="1" si="60">SUM(AA75:AA88)</f>
        <v>324</v>
      </c>
      <c r="AB74" s="57">
        <f t="shared" ca="1" si="60"/>
        <v>81</v>
      </c>
      <c r="AC74" s="278">
        <f t="shared" ca="1" si="60"/>
        <v>20.48</v>
      </c>
      <c r="AD74" s="96">
        <f t="shared" ca="1" si="25"/>
        <v>25</v>
      </c>
      <c r="AE74" s="231">
        <f t="shared" ref="AE74:AG74" ca="1" si="61">SUM(AE75:AE88)</f>
        <v>324</v>
      </c>
      <c r="AF74" s="57">
        <f t="shared" ca="1" si="61"/>
        <v>0</v>
      </c>
      <c r="AG74" s="278">
        <f t="shared" ca="1" si="61"/>
        <v>0</v>
      </c>
      <c r="AH74" s="96">
        <f t="shared" ca="1" si="26"/>
        <v>0</v>
      </c>
    </row>
    <row r="75" spans="1:34" ht="21" customHeight="1" x14ac:dyDescent="0.3">
      <c r="A75" s="62">
        <v>1</v>
      </c>
      <c r="B75" s="63" t="s">
        <v>92</v>
      </c>
      <c r="C75" s="97">
        <f t="shared" ref="C75:C88" ca="1" si="62">D75+E75</f>
        <v>252900</v>
      </c>
      <c r="D75" s="98">
        <f ca="1">IFERROR(__xludf.DUMMYFUNCTION("IMPORTRANGE(""https://docs.google.com/spreadsheets/d/1kC41EOXpGBFOW658Fs3oD8beYlym0-zO54WY-2Qnp9I/edit?usp=sharing"",""กระบี่!L634"")"),252900)</f>
        <v>252900</v>
      </c>
      <c r="E75" s="100">
        <f ca="1">IFERROR(__xludf.DUMMYFUNCTION("IMPORTRANGE(""https://docs.google.com/spreadsheets/d/1kC41EOXpGBFOW658Fs3oD8beYlym0-zO54WY-2Qnp9I/edit?usp=sharing"",""กระบี่!L641"")"),0)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63">I75+J75+K75+L75</f>
        <v>0</v>
      </c>
      <c r="I75" s="100">
        <f ca="1">IFERROR(__xludf.DUMMYFUNCTION("IMPORTRANGE(""https://docs.google.com/spreadsheets/d/1kC41EOXpGBFOW658Fs3oD8beYlym0-zO54WY-2Qnp9I/edit?usp=sharing"",""กระบี่!N635"")"),0)</f>
        <v>0</v>
      </c>
      <c r="J75" s="100">
        <f ca="1">IFERROR(__xludf.DUMMYFUNCTION("IMPORTRANGE(""https://docs.google.com/spreadsheets/d/1kC41EOXpGBFOW658Fs3oD8beYlym0-zO54WY-2Qnp9I/edit?usp=sharing"",""กระบี่!N636"")"),0)</f>
        <v>0</v>
      </c>
      <c r="K75" s="100">
        <f ca="1">IFERROR(__xludf.DUMMYFUNCTION("IMPORTRANGE(""https://docs.google.com/spreadsheets/d/1kC41EOXpGBFOW658Fs3oD8beYlym0-zO54WY-2Qnp9I/edit?usp=sharing"",""กระบี่!N637"")"),0)</f>
        <v>0</v>
      </c>
      <c r="L75" s="100">
        <f ca="1">IFERROR(__xludf.DUMMYFUNCTION("IMPORTRANGE(""https://docs.google.com/spreadsheets/d/1kC41EOXpGBFOW658Fs3oD8beYlym0-zO54WY-2Qnp9I/edit?usp=sharing"",""กระบี่!N638"")"),0)</f>
        <v>0</v>
      </c>
      <c r="M75" s="70">
        <f ca="1">IFERROR(__xludf.DUMMYFUNCTION("IMPORTRANGE(""https://docs.google.com/spreadsheets/d/1kC41EOXpGBFOW658Fs3oD8beYlym0-zO54WY-2Qnp9I/edit?usp=sharing"",""กระบี่!N641"")"),0)</f>
        <v>0</v>
      </c>
      <c r="N75" s="70">
        <f t="shared" ca="1" si="29"/>
        <v>0</v>
      </c>
      <c r="O75" s="66">
        <f ca="1">IFERROR(__xludf.DUMMYFUNCTION("IMPORTRANGE(""https://docs.google.com/spreadsheets/d/1kC41EOXpGBFOW658Fs3oD8beYlym0-zO54WY-2Qnp9I/edit?usp=sharing"",""กระบี่!I643"")"),2)</f>
        <v>2</v>
      </c>
      <c r="P75" s="66">
        <f ca="1">IFERROR(__xludf.DUMMYFUNCTION("IMPORTRANGE(""https://docs.google.com/spreadsheets/d/1kC41EOXpGBFOW658Fs3oD8beYlym0-zO54WY-2Qnp9I/edit?usp=sharing"",""กระบี่!J643"")"),0)</f>
        <v>0</v>
      </c>
      <c r="Q75" s="71">
        <f t="shared" ca="1" si="22"/>
        <v>0</v>
      </c>
      <c r="R75" s="66">
        <f ca="1">IFERROR(__xludf.DUMMYFUNCTION("IMPORTRANGE(""https://docs.google.com/spreadsheets/d/1kC41EOXpGBFOW658Fs3oD8beYlym0-zO54WY-2Qnp9I/edit?usp=sharing"",""กระบี่!I644"")"),2)</f>
        <v>2</v>
      </c>
      <c r="S75" s="66">
        <f ca="1">IFERROR(__xludf.DUMMYFUNCTION("IMPORTRANGE(""https://docs.google.com/spreadsheets/d/1kC41EOXpGBFOW658Fs3oD8beYlym0-zO54WY-2Qnp9I/edit?usp=sharing"",""กระบี่!J644"")"),0)</f>
        <v>0</v>
      </c>
      <c r="T75" s="71">
        <f t="shared" ca="1" si="23"/>
        <v>0</v>
      </c>
      <c r="U75" s="66">
        <f ca="1">IFERROR(__xludf.DUMMYFUNCTION("IMPORTRANGE(""https://docs.google.com/spreadsheets/d/1kC41EOXpGBFOW658Fs3oD8beYlym0-zO54WY-2Qnp9I/edit?usp=sharing"",""กระบี่!J645"")"),0)</f>
        <v>0</v>
      </c>
      <c r="V75" s="275">
        <f ca="1">IFERROR(__xludf.DUMMYFUNCTION("IMPORTRANGE(""https://docs.google.com/spreadsheets/d/1kC41EOXpGBFOW658Fs3oD8beYlym0-zO54WY-2Qnp9I/edit?usp=sharing"",""กระบี่!J646"")"),0)</f>
        <v>0</v>
      </c>
      <c r="W75" s="66">
        <f ca="1">IFERROR(__xludf.DUMMYFUNCTION("IMPORTRANGE(""https://docs.google.com/spreadsheets/d/1kC41EOXpGBFOW658Fs3oD8beYlym0-zO54WY-2Qnp9I/edit?usp=sharing"",""กระบี่!I647"")"),50)</f>
        <v>50</v>
      </c>
      <c r="X75" s="66">
        <f ca="1">IFERROR(__xludf.DUMMYFUNCTION("IMPORTRANGE(""https://docs.google.com/spreadsheets/d/1kC41EOXpGBFOW658Fs3oD8beYlym0-zO54WY-2Qnp9I/edit?usp=sharing"",""กระบี่!J647"")"),0)</f>
        <v>0</v>
      </c>
      <c r="Y75" s="275">
        <f ca="1">IFERROR(__xludf.DUMMYFUNCTION("IMPORTRANGE(""https://docs.google.com/spreadsheets/d/1kC41EOXpGBFOW658Fs3oD8beYlym0-zO54WY-2Qnp9I/edit?usp=sharing"",""กระบี่!J648"")"),0)</f>
        <v>0</v>
      </c>
      <c r="Z75" s="71">
        <f t="shared" ca="1" si="24"/>
        <v>0</v>
      </c>
      <c r="AA75" s="234">
        <f ca="1">IFERROR(__xludf.DUMMYFUNCTION("IMPORTRANGE(""https://docs.google.com/spreadsheets/d/1kC41EOXpGBFOW658Fs3oD8beYlym0-zO54WY-2Qnp9I/edit?usp=sharing"",""กระบี่!I649"")"),50)</f>
        <v>50</v>
      </c>
      <c r="AB75" s="66">
        <f ca="1">IFERROR(__xludf.DUMMYFUNCTION("IMPORTRANGE(""https://docs.google.com/spreadsheets/d/1kC41EOXpGBFOW658Fs3oD8beYlym0-zO54WY-2Qnp9I/edit?usp=sharing"",""กระบี่!J649"")"),0)</f>
        <v>0</v>
      </c>
      <c r="AC75" s="275">
        <f ca="1">IFERROR(__xludf.DUMMYFUNCTION("IMPORTRANGE(""https://docs.google.com/spreadsheets/d/1kC41EOXpGBFOW658Fs3oD8beYlym0-zO54WY-2Qnp9I/edit?usp=sharing"",""กระบี่!J650"")"),0)</f>
        <v>0</v>
      </c>
      <c r="AD75" s="71">
        <f t="shared" ca="1" si="25"/>
        <v>0</v>
      </c>
      <c r="AE75" s="234">
        <f ca="1">IFERROR(__xludf.DUMMYFUNCTION("IMPORTRANGE(""https://docs.google.com/spreadsheets/d/1kC41EOXpGBFOW658Fs3oD8beYlym0-zO54WY-2Qnp9I/edit?usp=sharing"",""กระบี่!I651"")"),50)</f>
        <v>50</v>
      </c>
      <c r="AF75" s="66">
        <f ca="1">IFERROR(__xludf.DUMMYFUNCTION("IMPORTRANGE(""https://docs.google.com/spreadsheets/d/1kC41EOXpGBFOW658Fs3oD8beYlym0-zO54WY-2Qnp9I/edit?usp=sharing"",""กระบี่!J651"")"),0)</f>
        <v>0</v>
      </c>
      <c r="AG75" s="275">
        <f ca="1">IFERROR(__xludf.DUMMYFUNCTION("IMPORTRANGE(""https://docs.google.com/spreadsheets/d/1kC41EOXpGBFOW658Fs3oD8beYlym0-zO54WY-2Qnp9I/edit?usp=sharing"",""กระบี่!J652"")"),0)</f>
        <v>0</v>
      </c>
      <c r="AH75" s="71">
        <f t="shared" ca="1" si="26"/>
        <v>0</v>
      </c>
    </row>
    <row r="76" spans="1:34" ht="21" customHeight="1" x14ac:dyDescent="0.3">
      <c r="A76" s="72">
        <v>2</v>
      </c>
      <c r="B76" s="73" t="s">
        <v>93</v>
      </c>
      <c r="C76" s="74">
        <f t="shared" ca="1" si="62"/>
        <v>0</v>
      </c>
      <c r="D76" s="75">
        <f ca="1">IFERROR(__xludf.DUMMYFUNCTION("IMPORTRANGE(""https://docs.google.com/spreadsheets/d/1FbzMZY_f3MDiEuK7RpCQKrilJ_kpX0Wm7QBZ1L7EjIU/edit?usp=sharing"",""ชุมพร!L634"")"),0)</f>
        <v>0</v>
      </c>
      <c r="E76" s="76">
        <f ca="1">IFERROR(__xludf.DUMMYFUNCTION("IMPORTRANGE(""https://docs.google.com/spreadsheets/d/1FbzMZY_f3MDiEuK7RpCQKrilJ_kpX0Wm7QBZ1L7EjIU/edit?usp=sharing"",""ชุมพร!L641"")"),0)</f>
        <v>0</v>
      </c>
      <c r="F76" s="77">
        <f t="shared" ca="1" si="1"/>
        <v>0</v>
      </c>
      <c r="G76" s="78">
        <f t="shared" ca="1" si="2"/>
        <v>0</v>
      </c>
      <c r="H76" s="79">
        <f t="shared" ca="1" si="63"/>
        <v>0</v>
      </c>
      <c r="I76" s="76">
        <f ca="1">IFERROR(__xludf.DUMMYFUNCTION("IMPORTRANGE(""https://docs.google.com/spreadsheets/d/1FbzMZY_f3MDiEuK7RpCQKrilJ_kpX0Wm7QBZ1L7EjIU/edit?usp=sharing"",""ชุมพร!N635"")"),0)</f>
        <v>0</v>
      </c>
      <c r="J76" s="76">
        <f ca="1">IFERROR(__xludf.DUMMYFUNCTION("IMPORTRANGE(""https://docs.google.com/spreadsheets/d/1FbzMZY_f3MDiEuK7RpCQKrilJ_kpX0Wm7QBZ1L7EjIU/edit?usp=sharing"",""ชุมพร!N636"")"),0)</f>
        <v>0</v>
      </c>
      <c r="K76" s="76">
        <f ca="1">IFERROR(__xludf.DUMMYFUNCTION("IMPORTRANGE(""https://docs.google.com/spreadsheets/d/1FbzMZY_f3MDiEuK7RpCQKrilJ_kpX0Wm7QBZ1L7EjIU/edit?usp=sharing"",""ชุมพร!N637"")"),0)</f>
        <v>0</v>
      </c>
      <c r="L76" s="76">
        <f ca="1">IFERROR(__xludf.DUMMYFUNCTION("IMPORTRANGE(""https://docs.google.com/spreadsheets/d/1FbzMZY_f3MDiEuK7RpCQKrilJ_kpX0Wm7QBZ1L7EjIU/edit?usp=sharing"",""ชุมพร!N638"")"),0)</f>
        <v>0</v>
      </c>
      <c r="M76" s="80">
        <f ca="1">IFERROR(__xludf.DUMMYFUNCTION("IMPORTRANGE(""https://docs.google.com/spreadsheets/d/1FbzMZY_f3MDiEuK7RpCQKrilJ_kpX0Wm7QBZ1L7EjIU/edit?usp=sharing"",""ชุมพร!N641"")"),0)</f>
        <v>0</v>
      </c>
      <c r="N76" s="80">
        <f t="shared" ca="1" si="29"/>
        <v>0</v>
      </c>
      <c r="O76" s="81">
        <f ca="1">IFERROR(__xludf.DUMMYFUNCTION("IMPORTRANGE(""https://docs.google.com/spreadsheets/d/1FbzMZY_f3MDiEuK7RpCQKrilJ_kpX0Wm7QBZ1L7EjIU/edit?usp=sharing"",""ชุมพร!I643"")"),0)</f>
        <v>0</v>
      </c>
      <c r="P76" s="81">
        <f ca="1">IFERROR(__xludf.DUMMYFUNCTION("IMPORTRANGE(""https://docs.google.com/spreadsheets/d/1FbzMZY_f3MDiEuK7RpCQKrilJ_kpX0Wm7QBZ1L7EjIU/edit?usp=sharing"",""ชุมพร!J643"")"),0)</f>
        <v>0</v>
      </c>
      <c r="Q76" s="82">
        <f t="shared" ca="1" si="22"/>
        <v>0</v>
      </c>
      <c r="R76" s="81">
        <f ca="1">IFERROR(__xludf.DUMMYFUNCTION("IMPORTRANGE(""https://docs.google.com/spreadsheets/d/1FbzMZY_f3MDiEuK7RpCQKrilJ_kpX0Wm7QBZ1L7EjIU/edit?usp=sharing"",""ชุมพร!I644"")"),0)</f>
        <v>0</v>
      </c>
      <c r="S76" s="81">
        <f ca="1">IFERROR(__xludf.DUMMYFUNCTION("IMPORTRANGE(""https://docs.google.com/spreadsheets/d/1FbzMZY_f3MDiEuK7RpCQKrilJ_kpX0Wm7QBZ1L7EjIU/edit?usp=sharing"",""ชุมพร!J644"")"),0)</f>
        <v>0</v>
      </c>
      <c r="T76" s="82">
        <f t="shared" ca="1" si="23"/>
        <v>0</v>
      </c>
      <c r="U76" s="81">
        <f ca="1">IFERROR(__xludf.DUMMYFUNCTION("IMPORTRANGE(""https://docs.google.com/spreadsheets/d/1FbzMZY_f3MDiEuK7RpCQKrilJ_kpX0Wm7QBZ1L7EjIU/edit?usp=sharing"",""ชุมพร!J645"")"),0)</f>
        <v>0</v>
      </c>
      <c r="V76" s="276">
        <f ca="1">IFERROR(__xludf.DUMMYFUNCTION("IMPORTRANGE(""https://docs.google.com/spreadsheets/d/1FbzMZY_f3MDiEuK7RpCQKrilJ_kpX0Wm7QBZ1L7EjIU/edit?usp=sharing"",""ชุมพร!J646"")"),0)</f>
        <v>0</v>
      </c>
      <c r="W76" s="81">
        <f ca="1">IFERROR(__xludf.DUMMYFUNCTION("IMPORTRANGE(""https://docs.google.com/spreadsheets/d/1FbzMZY_f3MDiEuK7RpCQKrilJ_kpX0Wm7QBZ1L7EjIU/edit?usp=sharing"",""ชุมพร!I647"")"),0)</f>
        <v>0</v>
      </c>
      <c r="X76" s="81">
        <f ca="1">IFERROR(__xludf.DUMMYFUNCTION("IMPORTRANGE(""https://docs.google.com/spreadsheets/d/1FbzMZY_f3MDiEuK7RpCQKrilJ_kpX0Wm7QBZ1L7EjIU/edit?usp=sharing"",""ชุมพร!J647"")"),0)</f>
        <v>0</v>
      </c>
      <c r="Y76" s="276">
        <f ca="1">IFERROR(__xludf.DUMMYFUNCTION("IMPORTRANGE(""https://docs.google.com/spreadsheets/d/1FbzMZY_f3MDiEuK7RpCQKrilJ_kpX0Wm7QBZ1L7EjIU/edit?usp=sharing"",""ชุมพร!J648"")"),0)</f>
        <v>0</v>
      </c>
      <c r="Z76" s="82">
        <f t="shared" ca="1" si="24"/>
        <v>0</v>
      </c>
      <c r="AA76" s="234">
        <f ca="1">IFERROR(__xludf.DUMMYFUNCTION("IMPORTRANGE(""https://docs.google.com/spreadsheets/d/1FbzMZY_f3MDiEuK7RpCQKrilJ_kpX0Wm7QBZ1L7EjIU/edit?usp=sharing"",""ชุมพร!I649"")"),0)</f>
        <v>0</v>
      </c>
      <c r="AB76" s="81">
        <f ca="1">IFERROR(__xludf.DUMMYFUNCTION("IMPORTRANGE(""https://docs.google.com/spreadsheets/d/1FbzMZY_f3MDiEuK7RpCQKrilJ_kpX0Wm7QBZ1L7EjIU/edit?usp=sharing"",""ชุมพร!J649"")"),0)</f>
        <v>0</v>
      </c>
      <c r="AC76" s="276">
        <f ca="1">IFERROR(__xludf.DUMMYFUNCTION("IMPORTRANGE(""https://docs.google.com/spreadsheets/d/1FbzMZY_f3MDiEuK7RpCQKrilJ_kpX0Wm7QBZ1L7EjIU/edit?usp=sharing"",""ชุมพร!J650"")"),0)</f>
        <v>0</v>
      </c>
      <c r="AD76" s="82">
        <f t="shared" ca="1" si="25"/>
        <v>0</v>
      </c>
      <c r="AE76" s="234">
        <f ca="1">IFERROR(__xludf.DUMMYFUNCTION("IMPORTRANGE(""https://docs.google.com/spreadsheets/d/1FbzMZY_f3MDiEuK7RpCQKrilJ_kpX0Wm7QBZ1L7EjIU/edit?usp=sharing"",""ชุมพร!I651"")"),0)</f>
        <v>0</v>
      </c>
      <c r="AF76" s="81">
        <f ca="1">IFERROR(__xludf.DUMMYFUNCTION("IMPORTRANGE(""https://docs.google.com/spreadsheets/d/1FbzMZY_f3MDiEuK7RpCQKrilJ_kpX0Wm7QBZ1L7EjIU/edit?usp=sharing"",""ชุมพร!J651"")"),0)</f>
        <v>0</v>
      </c>
      <c r="AG76" s="276">
        <f ca="1">IFERROR(__xludf.DUMMYFUNCTION("IMPORTRANGE(""https://docs.google.com/spreadsheets/d/1FbzMZY_f3MDiEuK7RpCQKrilJ_kpX0Wm7QBZ1L7EjIU/edit?usp=sharing"",""ชุมพร!J652"")"),0)</f>
        <v>0</v>
      </c>
      <c r="AH76" s="82">
        <f t="shared" ca="1" si="26"/>
        <v>0</v>
      </c>
    </row>
    <row r="77" spans="1:34" ht="21" customHeight="1" x14ac:dyDescent="0.3">
      <c r="A77" s="72">
        <v>3</v>
      </c>
      <c r="B77" s="73" t="s">
        <v>94</v>
      </c>
      <c r="C77" s="74">
        <f t="shared" ca="1" si="62"/>
        <v>0</v>
      </c>
      <c r="D77" s="75">
        <f ca="1">IFERROR(__xludf.DUMMYFUNCTION("IMPORTRANGE(""https://docs.google.com/spreadsheets/d/1v5sN-00LrXuhBxw4dkh2GrG_z4l5oAqOdJRBCsUyMaM/edit?usp=sharing"",""ตรัง!L634"")"),0)</f>
        <v>0</v>
      </c>
      <c r="E77" s="76">
        <f ca="1">IFERROR(__xludf.DUMMYFUNCTION("IMPORTRANGE(""https://docs.google.com/spreadsheets/d/1v5sN-00LrXuhBxw4dkh2GrG_z4l5oAqOdJRBCsUyMaM/edit?usp=sharing"",""ตรัง!L641"")"),0)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63"/>
        <v>0</v>
      </c>
      <c r="I77" s="76">
        <f ca="1">IFERROR(__xludf.DUMMYFUNCTION("IMPORTRANGE(""https://docs.google.com/spreadsheets/d/1v5sN-00LrXuhBxw4dkh2GrG_z4l5oAqOdJRBCsUyMaM/edit?usp=sharing"",""ตรัง!N635"")"),0)</f>
        <v>0</v>
      </c>
      <c r="J77" s="76">
        <f ca="1">IFERROR(__xludf.DUMMYFUNCTION("IMPORTRANGE(""https://docs.google.com/spreadsheets/d/1v5sN-00LrXuhBxw4dkh2GrG_z4l5oAqOdJRBCsUyMaM/edit?usp=sharing"",""ตรัง!N636"")"),0)</f>
        <v>0</v>
      </c>
      <c r="K77" s="76">
        <f ca="1">IFERROR(__xludf.DUMMYFUNCTION("IMPORTRANGE(""https://docs.google.com/spreadsheets/d/1v5sN-00LrXuhBxw4dkh2GrG_z4l5oAqOdJRBCsUyMaM/edit?usp=sharing"",""ตรัง!N637"")"),0)</f>
        <v>0</v>
      </c>
      <c r="L77" s="76">
        <f ca="1">IFERROR(__xludf.DUMMYFUNCTION("IMPORTRANGE(""https://docs.google.com/spreadsheets/d/1v5sN-00LrXuhBxw4dkh2GrG_z4l5oAqOdJRBCsUyMaM/edit?usp=sharing"",""ตรัง!N638"")"),0)</f>
        <v>0</v>
      </c>
      <c r="M77" s="80">
        <f ca="1">IFERROR(__xludf.DUMMYFUNCTION("IMPORTRANGE(""https://docs.google.com/spreadsheets/d/1v5sN-00LrXuhBxw4dkh2GrG_z4l5oAqOdJRBCsUyMaM/edit?usp=sharing"",""ตรัง!N641"")"),0)</f>
        <v>0</v>
      </c>
      <c r="N77" s="80">
        <f t="shared" ca="1" si="29"/>
        <v>0</v>
      </c>
      <c r="O77" s="81">
        <f ca="1">IFERROR(__xludf.DUMMYFUNCTION("IMPORTRANGE(""https://docs.google.com/spreadsheets/d/1v5sN-00LrXuhBxw4dkh2GrG_z4l5oAqOdJRBCsUyMaM/edit?usp=sharing"",""ตรัง!I643"")"),0)</f>
        <v>0</v>
      </c>
      <c r="P77" s="81">
        <f ca="1">IFERROR(__xludf.DUMMYFUNCTION("IMPORTRANGE(""https://docs.google.com/spreadsheets/d/1v5sN-00LrXuhBxw4dkh2GrG_z4l5oAqOdJRBCsUyMaM/edit?usp=sharing"",""ตรัง!J643"")"),0)</f>
        <v>0</v>
      </c>
      <c r="Q77" s="82">
        <f t="shared" ca="1" si="22"/>
        <v>0</v>
      </c>
      <c r="R77" s="81">
        <f ca="1">IFERROR(__xludf.DUMMYFUNCTION("IMPORTRANGE(""https://docs.google.com/spreadsheets/d/1v5sN-00LrXuhBxw4dkh2GrG_z4l5oAqOdJRBCsUyMaM/edit?usp=sharing"",""ตรัง!I644"")"),0)</f>
        <v>0</v>
      </c>
      <c r="S77" s="81">
        <f ca="1">IFERROR(__xludf.DUMMYFUNCTION("IMPORTRANGE(""https://docs.google.com/spreadsheets/d/1v5sN-00LrXuhBxw4dkh2GrG_z4l5oAqOdJRBCsUyMaM/edit?usp=sharing"",""ตรัง!J644"")"),0)</f>
        <v>0</v>
      </c>
      <c r="T77" s="82">
        <f t="shared" ca="1" si="23"/>
        <v>0</v>
      </c>
      <c r="U77" s="81">
        <f ca="1">IFERROR(__xludf.DUMMYFUNCTION("IMPORTRANGE(""https://docs.google.com/spreadsheets/d/1v5sN-00LrXuhBxw4dkh2GrG_z4l5oAqOdJRBCsUyMaM/edit?usp=sharing"",""ตรัง!J645"")"),0)</f>
        <v>0</v>
      </c>
      <c r="V77" s="276">
        <f ca="1">IFERROR(__xludf.DUMMYFUNCTION("IMPORTRANGE(""https://docs.google.com/spreadsheets/d/1v5sN-00LrXuhBxw4dkh2GrG_z4l5oAqOdJRBCsUyMaM/edit?usp=sharing"",""ตรัง!J646"")"),0)</f>
        <v>0</v>
      </c>
      <c r="W77" s="81">
        <f ca="1">IFERROR(__xludf.DUMMYFUNCTION("IMPORTRANGE(""https://docs.google.com/spreadsheets/d/1v5sN-00LrXuhBxw4dkh2GrG_z4l5oAqOdJRBCsUyMaM/edit?usp=sharing"",""ตรัง!I647"")"),0)</f>
        <v>0</v>
      </c>
      <c r="X77" s="81">
        <f ca="1">IFERROR(__xludf.DUMMYFUNCTION("IMPORTRANGE(""https://docs.google.com/spreadsheets/d/1v5sN-00LrXuhBxw4dkh2GrG_z4l5oAqOdJRBCsUyMaM/edit?usp=sharing"",""ตรัง!J647"")"),1)</f>
        <v>1</v>
      </c>
      <c r="Y77" s="276">
        <f ca="1">IFERROR(__xludf.DUMMYFUNCTION("IMPORTRANGE(""https://docs.google.com/spreadsheets/d/1v5sN-00LrXuhBxw4dkh2GrG_z4l5oAqOdJRBCsUyMaM/edit?usp=sharing"",""ตรัง!J648"")"),0.15)</f>
        <v>0.15</v>
      </c>
      <c r="Z77" s="82">
        <f t="shared" ca="1" si="24"/>
        <v>0</v>
      </c>
      <c r="AA77" s="234">
        <f ca="1">IFERROR(__xludf.DUMMYFUNCTION("IMPORTRANGE(""https://docs.google.com/spreadsheets/d/1v5sN-00LrXuhBxw4dkh2GrG_z4l5oAqOdJRBCsUyMaM/edit?usp=sharing"",""ตรัง!I649"")"),0)</f>
        <v>0</v>
      </c>
      <c r="AB77" s="81">
        <f ca="1">IFERROR(__xludf.DUMMYFUNCTION("IMPORTRANGE(""https://docs.google.com/spreadsheets/d/1v5sN-00LrXuhBxw4dkh2GrG_z4l5oAqOdJRBCsUyMaM/edit?usp=sharing"",""ตรัง!J649"")"),0)</f>
        <v>0</v>
      </c>
      <c r="AC77" s="276">
        <f ca="1">IFERROR(__xludf.DUMMYFUNCTION("IMPORTRANGE(""https://docs.google.com/spreadsheets/d/1v5sN-00LrXuhBxw4dkh2GrG_z4l5oAqOdJRBCsUyMaM/edit?usp=sharing"",""ตรัง!J650"")"),0)</f>
        <v>0</v>
      </c>
      <c r="AD77" s="82">
        <f t="shared" ca="1" si="25"/>
        <v>0</v>
      </c>
      <c r="AE77" s="234">
        <f ca="1">IFERROR(__xludf.DUMMYFUNCTION("IMPORTRANGE(""https://docs.google.com/spreadsheets/d/1v5sN-00LrXuhBxw4dkh2GrG_z4l5oAqOdJRBCsUyMaM/edit?usp=sharing"",""ตรัง!I651"")"),0)</f>
        <v>0</v>
      </c>
      <c r="AF77" s="81">
        <f ca="1">IFERROR(__xludf.DUMMYFUNCTION("IMPORTRANGE(""https://docs.google.com/spreadsheets/d/1v5sN-00LrXuhBxw4dkh2GrG_z4l5oAqOdJRBCsUyMaM/edit?usp=sharing"",""ตรัง!J651"")"),0)</f>
        <v>0</v>
      </c>
      <c r="AG77" s="276">
        <f ca="1">IFERROR(__xludf.DUMMYFUNCTION("IMPORTRANGE(""https://docs.google.com/spreadsheets/d/1v5sN-00LrXuhBxw4dkh2GrG_z4l5oAqOdJRBCsUyMaM/edit?usp=sharing"",""ตรัง!J652"")"),0)</f>
        <v>0</v>
      </c>
      <c r="AH77" s="82">
        <f t="shared" ca="1" si="26"/>
        <v>0</v>
      </c>
    </row>
    <row r="78" spans="1:34" ht="21" customHeight="1" x14ac:dyDescent="0.3">
      <c r="A78" s="72">
        <v>4</v>
      </c>
      <c r="B78" s="73" t="s">
        <v>95</v>
      </c>
      <c r="C78" s="74">
        <f t="shared" ca="1" si="62"/>
        <v>221445</v>
      </c>
      <c r="D78" s="75">
        <f ca="1">IFERROR(__xludf.DUMMYFUNCTION("IMPORTRANGE(""https://docs.google.com/spreadsheets/d/1T5rRTzFc79aSIvqnzkZNvwPstq829QYz_xALlO1Z0s8/edit?usp=sharing"",""นครศรีธรรมราช!L634"")"),221445)</f>
        <v>221445</v>
      </c>
      <c r="E78" s="76">
        <f ca="1">IFERROR(__xludf.DUMMYFUNCTION("IMPORTRANGE(""https://docs.google.com/spreadsheets/d/1T5rRTzFc79aSIvqnzkZNvwPstq829QYz_xALlO1Z0s8/edit?usp=sharing"",""นครศรีธรรมราช!L641"")"),0)</f>
        <v>0</v>
      </c>
      <c r="F78" s="77">
        <f t="shared" ca="1" si="1"/>
        <v>2350</v>
      </c>
      <c r="G78" s="78">
        <f t="shared" ca="1" si="2"/>
        <v>1.0612115875273771</v>
      </c>
      <c r="H78" s="79">
        <f t="shared" ca="1" si="63"/>
        <v>2350</v>
      </c>
      <c r="I78" s="76">
        <f ca="1">IFERROR(__xludf.DUMMYFUNCTION("IMPORTRANGE(""https://docs.google.com/spreadsheets/d/1T5rRTzFc79aSIvqnzkZNvwPstq829QYz_xALlO1Z0s8/edit?usp=sharing"",""นครศรีธรรมราช!N635"")"),0)</f>
        <v>0</v>
      </c>
      <c r="J78" s="76">
        <f ca="1">IFERROR(__xludf.DUMMYFUNCTION("IMPORTRANGE(""https://docs.google.com/spreadsheets/d/1T5rRTzFc79aSIvqnzkZNvwPstq829QYz_xALlO1Z0s8/edit?usp=sharing"",""นครศรีธรรมราช!N636"")"),0)</f>
        <v>0</v>
      </c>
      <c r="K78" s="76">
        <f ca="1">IFERROR(__xludf.DUMMYFUNCTION("IMPORTRANGE(""https://docs.google.com/spreadsheets/d/1T5rRTzFc79aSIvqnzkZNvwPstq829QYz_xALlO1Z0s8/edit?usp=sharing"",""นครศรีธรรมราช!N637"")"),0)</f>
        <v>0</v>
      </c>
      <c r="L78" s="76">
        <f ca="1">IFERROR(__xludf.DUMMYFUNCTION("IMPORTRANGE(""https://docs.google.com/spreadsheets/d/1T5rRTzFc79aSIvqnzkZNvwPstq829QYz_xALlO1Z0s8/edit?usp=sharing"",""นครศรีธรรมราช!N638"")"),2350)</f>
        <v>2350</v>
      </c>
      <c r="M78" s="80">
        <f ca="1">IFERROR(__xludf.DUMMYFUNCTION("IMPORTRANGE(""https://docs.google.com/spreadsheets/d/1T5rRTzFc79aSIvqnzkZNvwPstq829QYz_xALlO1Z0s8/edit?usp=sharing"",""นครศรีธรรมราช!N641"")"),0)</f>
        <v>0</v>
      </c>
      <c r="N78" s="80">
        <f t="shared" ca="1" si="29"/>
        <v>0</v>
      </c>
      <c r="O78" s="81">
        <f ca="1">IFERROR(__xludf.DUMMYFUNCTION("IMPORTRANGE(""https://docs.google.com/spreadsheets/d/1T5rRTzFc79aSIvqnzkZNvwPstq829QYz_xALlO1Z0s8/edit?usp=sharing"",""นครศรีธรรมราช!I643"")"),1)</f>
        <v>1</v>
      </c>
      <c r="P78" s="81">
        <f ca="1">IFERROR(__xludf.DUMMYFUNCTION("IMPORTRANGE(""https://docs.google.com/spreadsheets/d/1T5rRTzFc79aSIvqnzkZNvwPstq829QYz_xALlO1Z0s8/edit?usp=sharing"",""นครศรีธรรมราช!J643"")"),0)</f>
        <v>0</v>
      </c>
      <c r="Q78" s="82">
        <f t="shared" ca="1" si="22"/>
        <v>0</v>
      </c>
      <c r="R78" s="81">
        <f ca="1">IFERROR(__xludf.DUMMYFUNCTION("IMPORTRANGE(""https://docs.google.com/spreadsheets/d/1T5rRTzFc79aSIvqnzkZNvwPstq829QYz_xALlO1Z0s8/edit?usp=sharing"",""นครศรีธรรมราช!I644"")"),1)</f>
        <v>1</v>
      </c>
      <c r="S78" s="81">
        <f ca="1">IFERROR(__xludf.DUMMYFUNCTION("IMPORTRANGE(""https://docs.google.com/spreadsheets/d/1T5rRTzFc79aSIvqnzkZNvwPstq829QYz_xALlO1Z0s8/edit?usp=sharing"",""นครศรีธรรมราช!J644"")"),0)</f>
        <v>0</v>
      </c>
      <c r="T78" s="82">
        <f t="shared" ca="1" si="23"/>
        <v>0</v>
      </c>
      <c r="U78" s="81">
        <f ca="1">IFERROR(__xludf.DUMMYFUNCTION("IMPORTRANGE(""https://docs.google.com/spreadsheets/d/1T5rRTzFc79aSIvqnzkZNvwPstq829QYz_xALlO1Z0s8/edit?usp=sharing"",""นครศรีธรรมราช!J645"")"),0)</f>
        <v>0</v>
      </c>
      <c r="V78" s="276">
        <f ca="1">IFERROR(__xludf.DUMMYFUNCTION("IMPORTRANGE(""https://docs.google.com/spreadsheets/d/1T5rRTzFc79aSIvqnzkZNvwPstq829QYz_xALlO1Z0s8/edit?usp=sharing"",""นครศรีธรรมราช!J646"")"),0)</f>
        <v>0</v>
      </c>
      <c r="W78" s="81">
        <f ca="1">IFERROR(__xludf.DUMMYFUNCTION("IMPORTRANGE(""https://docs.google.com/spreadsheets/d/1T5rRTzFc79aSIvqnzkZNvwPstq829QYz_xALlO1Z0s8/edit?usp=sharing"",""นครศรีธรรมราช!I647"")"),40)</f>
        <v>40</v>
      </c>
      <c r="X78" s="81">
        <f ca="1">IFERROR(__xludf.DUMMYFUNCTION("IMPORTRANGE(""https://docs.google.com/spreadsheets/d/1T5rRTzFc79aSIvqnzkZNvwPstq829QYz_xALlO1Z0s8/edit?usp=sharing"",""นครศรีธรรมราช!J647"")"),0)</f>
        <v>0</v>
      </c>
      <c r="Y78" s="276">
        <f ca="1">IFERROR(__xludf.DUMMYFUNCTION("IMPORTRANGE(""https://docs.google.com/spreadsheets/d/1T5rRTzFc79aSIvqnzkZNvwPstq829QYz_xALlO1Z0s8/edit?usp=sharing"",""นครศรีธรรมราช!J648"")"),0)</f>
        <v>0</v>
      </c>
      <c r="Z78" s="82">
        <f t="shared" ca="1" si="24"/>
        <v>0</v>
      </c>
      <c r="AA78" s="234">
        <f ca="1">IFERROR(__xludf.DUMMYFUNCTION("IMPORTRANGE(""https://docs.google.com/spreadsheets/d/1T5rRTzFc79aSIvqnzkZNvwPstq829QYz_xALlO1Z0s8/edit?usp=sharing"",""นครศรีธรรมราช!I649"")"),40)</f>
        <v>40</v>
      </c>
      <c r="AB78" s="81">
        <f ca="1">IFERROR(__xludf.DUMMYFUNCTION("IMPORTRANGE(""https://docs.google.com/spreadsheets/d/1T5rRTzFc79aSIvqnzkZNvwPstq829QYz_xALlO1Z0s8/edit?usp=sharing"",""นครศรีธรรมราช!J649"")"),0)</f>
        <v>0</v>
      </c>
      <c r="AC78" s="276">
        <f ca="1">IFERROR(__xludf.DUMMYFUNCTION("IMPORTRANGE(""https://docs.google.com/spreadsheets/d/1T5rRTzFc79aSIvqnzkZNvwPstq829QYz_xALlO1Z0s8/edit?usp=sharing"",""นครศรีธรรมราช!J650"")"),0)</f>
        <v>0</v>
      </c>
      <c r="AD78" s="82">
        <f t="shared" ca="1" si="25"/>
        <v>0</v>
      </c>
      <c r="AE78" s="234">
        <f ca="1">IFERROR(__xludf.DUMMYFUNCTION("IMPORTRANGE(""https://docs.google.com/spreadsheets/d/1T5rRTzFc79aSIvqnzkZNvwPstq829QYz_xALlO1Z0s8/edit?usp=sharing"",""นครศรีธรรมราช!I651"")"),40)</f>
        <v>40</v>
      </c>
      <c r="AF78" s="81">
        <f ca="1">IFERROR(__xludf.DUMMYFUNCTION("IMPORTRANGE(""https://docs.google.com/spreadsheets/d/1T5rRTzFc79aSIvqnzkZNvwPstq829QYz_xALlO1Z0s8/edit?usp=sharing"",""นครศรีธรรมราช!J651"")"),0)</f>
        <v>0</v>
      </c>
      <c r="AG78" s="276">
        <f ca="1">IFERROR(__xludf.DUMMYFUNCTION("IMPORTRANGE(""https://docs.google.com/spreadsheets/d/1T5rRTzFc79aSIvqnzkZNvwPstq829QYz_xALlO1Z0s8/edit?usp=sharing"",""นครศรีธรรมราช!J652"")"),0)</f>
        <v>0</v>
      </c>
      <c r="AH78" s="82">
        <f t="shared" ca="1" si="26"/>
        <v>0</v>
      </c>
    </row>
    <row r="79" spans="1:34" ht="21" customHeight="1" x14ac:dyDescent="0.3">
      <c r="A79" s="72">
        <v>5</v>
      </c>
      <c r="B79" s="73" t="s">
        <v>96</v>
      </c>
      <c r="C79" s="74">
        <f t="shared" ca="1" si="62"/>
        <v>167365</v>
      </c>
      <c r="D79" s="75">
        <f ca="1">IFERROR(__xludf.DUMMYFUNCTION("IMPORTRANGE(""https://docs.google.com/spreadsheets/d/1BeghqumK0IvCmRd2QOy6_afsZq7ZtAGrSnVJy2u7WmY/edit?usp=sharing"",""นราธิวาส!L634"")"),167365)</f>
        <v>167365</v>
      </c>
      <c r="E79" s="76">
        <f ca="1">IFERROR(__xludf.DUMMYFUNCTION("IMPORTRANGE(""https://docs.google.com/spreadsheets/d/1BeghqumK0IvCmRd2QOy6_afsZq7ZtAGrSnVJy2u7WmY/edit?usp=sharing"",""นราธิวาส!L641"")"),0)</f>
        <v>0</v>
      </c>
      <c r="F79" s="77">
        <f t="shared" ca="1" si="1"/>
        <v>65680</v>
      </c>
      <c r="G79" s="78">
        <f t="shared" ca="1" si="2"/>
        <v>39.243569444029518</v>
      </c>
      <c r="H79" s="79">
        <f t="shared" ca="1" si="63"/>
        <v>65680</v>
      </c>
      <c r="I79" s="76">
        <f ca="1">IFERROR(__xludf.DUMMYFUNCTION("IMPORTRANGE(""https://docs.google.com/spreadsheets/d/1BeghqumK0IvCmRd2QOy6_afsZq7ZtAGrSnVJy2u7WmY/edit?usp=sharing"",""นราธิวาส!N635"")"),0)</f>
        <v>0</v>
      </c>
      <c r="J79" s="76">
        <f ca="1">IFERROR(__xludf.DUMMYFUNCTION("IMPORTRANGE(""https://docs.google.com/spreadsheets/d/1BeghqumK0IvCmRd2QOy6_afsZq7ZtAGrSnVJy2u7WmY/edit?usp=sharing"",""นราธิวาส!N636"")"),0)</f>
        <v>0</v>
      </c>
      <c r="K79" s="76">
        <f ca="1">IFERROR(__xludf.DUMMYFUNCTION("IMPORTRANGE(""https://docs.google.com/spreadsheets/d/1BeghqumK0IvCmRd2QOy6_afsZq7ZtAGrSnVJy2u7WmY/edit?usp=sharing"",""นราธิวาส!N637"")"),0)</f>
        <v>0</v>
      </c>
      <c r="L79" s="76">
        <f ca="1">IFERROR(__xludf.DUMMYFUNCTION("IMPORTRANGE(""https://docs.google.com/spreadsheets/d/1BeghqumK0IvCmRd2QOy6_afsZq7ZtAGrSnVJy2u7WmY/edit?usp=sharing"",""นราธิวาส!N638"")"),65680)</f>
        <v>65680</v>
      </c>
      <c r="M79" s="80">
        <f ca="1">IFERROR(__xludf.DUMMYFUNCTION("IMPORTRANGE(""https://docs.google.com/spreadsheets/d/1BeghqumK0IvCmRd2QOy6_afsZq7ZtAGrSnVJy2u7WmY/edit?usp=sharing"",""นราธิวาส!N641"")"),0)</f>
        <v>0</v>
      </c>
      <c r="N79" s="80">
        <f t="shared" ca="1" si="29"/>
        <v>0</v>
      </c>
      <c r="O79" s="81">
        <f ca="1">IFERROR(__xludf.DUMMYFUNCTION("IMPORTRANGE(""https://docs.google.com/spreadsheets/d/1BeghqumK0IvCmRd2QOy6_afsZq7ZtAGrSnVJy2u7WmY/edit?usp=sharing"",""นราธิวาส!I643"")"),0)</f>
        <v>0</v>
      </c>
      <c r="P79" s="81">
        <f ca="1">IFERROR(__xludf.DUMMYFUNCTION("IMPORTRANGE(""https://docs.google.com/spreadsheets/d/1BeghqumK0IvCmRd2QOy6_afsZq7ZtAGrSnVJy2u7WmY/edit?usp=sharing"",""นราธิวาส!J643"")"),0)</f>
        <v>0</v>
      </c>
      <c r="Q79" s="82">
        <f t="shared" ca="1" si="22"/>
        <v>0</v>
      </c>
      <c r="R79" s="81">
        <f ca="1">IFERROR(__xludf.DUMMYFUNCTION("IMPORTRANGE(""https://docs.google.com/spreadsheets/d/1BeghqumK0IvCmRd2QOy6_afsZq7ZtAGrSnVJy2u7WmY/edit?usp=sharing"",""นราธิวาส!I644"")"),0)</f>
        <v>0</v>
      </c>
      <c r="S79" s="81">
        <f ca="1">IFERROR(__xludf.DUMMYFUNCTION("IMPORTRANGE(""https://docs.google.com/spreadsheets/d/1BeghqumK0IvCmRd2QOy6_afsZq7ZtAGrSnVJy2u7WmY/edit?usp=sharing"",""นราธิวาส!J644"")"),0)</f>
        <v>0</v>
      </c>
      <c r="T79" s="82">
        <f t="shared" ca="1" si="23"/>
        <v>0</v>
      </c>
      <c r="U79" s="81">
        <f ca="1">IFERROR(__xludf.DUMMYFUNCTION("IMPORTRANGE(""https://docs.google.com/spreadsheets/d/1BeghqumK0IvCmRd2QOy6_afsZq7ZtAGrSnVJy2u7WmY/edit?usp=sharing"",""นราธิวาส!J645"")"),23)</f>
        <v>23</v>
      </c>
      <c r="V79" s="276">
        <f ca="1">IFERROR(__xludf.DUMMYFUNCTION("IMPORTRANGE(""https://docs.google.com/spreadsheets/d/1BeghqumK0IvCmRd2QOy6_afsZq7ZtAGrSnVJy2u7WmY/edit?usp=sharing"",""นราธิวาส!J646"")"),5.61)</f>
        <v>5.61</v>
      </c>
      <c r="W79" s="81">
        <f ca="1">IFERROR(__xludf.DUMMYFUNCTION("IMPORTRANGE(""https://docs.google.com/spreadsheets/d/1BeghqumK0IvCmRd2QOy6_afsZq7ZtAGrSnVJy2u7WmY/edit?usp=sharing"",""นราธิวาส!I647"")"),7)</f>
        <v>7</v>
      </c>
      <c r="X79" s="81">
        <f ca="1">IFERROR(__xludf.DUMMYFUNCTION("IMPORTRANGE(""https://docs.google.com/spreadsheets/d/1BeghqumK0IvCmRd2QOy6_afsZq7ZtAGrSnVJy2u7WmY/edit?usp=sharing"",""นราธิวาส!J647"")"),22)</f>
        <v>22</v>
      </c>
      <c r="Y79" s="276">
        <f ca="1">IFERROR(__xludf.DUMMYFUNCTION("IMPORTRANGE(""https://docs.google.com/spreadsheets/d/1BeghqumK0IvCmRd2QOy6_afsZq7ZtAGrSnVJy2u7WmY/edit?usp=sharing"",""นราธิวาส!J648"")"),5.38)</f>
        <v>5.38</v>
      </c>
      <c r="Z79" s="82">
        <f t="shared" ca="1" si="24"/>
        <v>314.28571428571428</v>
      </c>
      <c r="AA79" s="234">
        <f ca="1">IFERROR(__xludf.DUMMYFUNCTION("IMPORTRANGE(""https://docs.google.com/spreadsheets/d/1BeghqumK0IvCmRd2QOy6_afsZq7ZtAGrSnVJy2u7WmY/edit?usp=sharing"",""นราธิวาส!I649"")"),7)</f>
        <v>7</v>
      </c>
      <c r="AB79" s="81">
        <f ca="1">IFERROR(__xludf.DUMMYFUNCTION("IMPORTRANGE(""https://docs.google.com/spreadsheets/d/1BeghqumK0IvCmRd2QOy6_afsZq7ZtAGrSnVJy2u7WmY/edit?usp=sharing"",""นราธิวาส!J649"")"),22)</f>
        <v>22</v>
      </c>
      <c r="AC79" s="276">
        <f ca="1">IFERROR(__xludf.DUMMYFUNCTION("IMPORTRANGE(""https://docs.google.com/spreadsheets/d/1BeghqumK0IvCmRd2QOy6_afsZq7ZtAGrSnVJy2u7WmY/edit?usp=sharing"",""นราธิวาส!J650"")"),5.38)</f>
        <v>5.38</v>
      </c>
      <c r="AD79" s="82">
        <f t="shared" ca="1" si="25"/>
        <v>314.28571428571428</v>
      </c>
      <c r="AE79" s="234">
        <f ca="1">IFERROR(__xludf.DUMMYFUNCTION("IMPORTRANGE(""https://docs.google.com/spreadsheets/d/1BeghqumK0IvCmRd2QOy6_afsZq7ZtAGrSnVJy2u7WmY/edit?usp=sharing"",""นราธิวาส!I651"")"),7)</f>
        <v>7</v>
      </c>
      <c r="AF79" s="81">
        <f ca="1">IFERROR(__xludf.DUMMYFUNCTION("IMPORTRANGE(""https://docs.google.com/spreadsheets/d/1BeghqumK0IvCmRd2QOy6_afsZq7ZtAGrSnVJy2u7WmY/edit?usp=sharing"",""นราธิวาส!J651"")"),0)</f>
        <v>0</v>
      </c>
      <c r="AG79" s="276">
        <f ca="1">IFERROR(__xludf.DUMMYFUNCTION("IMPORTRANGE(""https://docs.google.com/spreadsheets/d/1BeghqumK0IvCmRd2QOy6_afsZq7ZtAGrSnVJy2u7WmY/edit?usp=sharing"",""นราธิวาส!J652"")"),0)</f>
        <v>0</v>
      </c>
      <c r="AH79" s="82">
        <f t="shared" ca="1" si="26"/>
        <v>0</v>
      </c>
    </row>
    <row r="80" spans="1:34" ht="21" customHeight="1" x14ac:dyDescent="0.3">
      <c r="A80" s="72">
        <v>6</v>
      </c>
      <c r="B80" s="73" t="s">
        <v>97</v>
      </c>
      <c r="C80" s="74">
        <f t="shared" ca="1" si="62"/>
        <v>0</v>
      </c>
      <c r="D80" s="75">
        <f ca="1">IFERROR(__xludf.DUMMYFUNCTION("IMPORTRANGE(""https://docs.google.com/spreadsheets/d/1IwnW3-jjRf74MCLW-6PiFwMUffRQXZwZA7YM609NmRc/edit?usp=sharing"",""ปัตตานี!L634"")"),0)</f>
        <v>0</v>
      </c>
      <c r="E80" s="76">
        <f ca="1">IFERROR(__xludf.DUMMYFUNCTION("IMPORTRANGE(""https://docs.google.com/spreadsheets/d/1IwnW3-jjRf74MCLW-6PiFwMUffRQXZwZA7YM609NmRc/edit?usp=sharing"",""ปัตตานี!L641"")"),0)</f>
        <v>0</v>
      </c>
      <c r="F80" s="77">
        <f t="shared" ca="1" si="1"/>
        <v>0</v>
      </c>
      <c r="G80" s="78">
        <f t="shared" ca="1" si="2"/>
        <v>0</v>
      </c>
      <c r="H80" s="79">
        <f t="shared" ca="1" si="63"/>
        <v>0</v>
      </c>
      <c r="I80" s="76">
        <f ca="1">IFERROR(__xludf.DUMMYFUNCTION("IMPORTRANGE(""https://docs.google.com/spreadsheets/d/1IwnW3-jjRf74MCLW-6PiFwMUffRQXZwZA7YM609NmRc/edit?usp=sharing"",""ปัตตานี!N635"")"),0)</f>
        <v>0</v>
      </c>
      <c r="J80" s="76">
        <f ca="1">IFERROR(__xludf.DUMMYFUNCTION("IMPORTRANGE(""https://docs.google.com/spreadsheets/d/1IwnW3-jjRf74MCLW-6PiFwMUffRQXZwZA7YM609NmRc/edit?usp=sharing"",""ปัตตานี!N636"")"),0)</f>
        <v>0</v>
      </c>
      <c r="K80" s="76">
        <f ca="1">IFERROR(__xludf.DUMMYFUNCTION("IMPORTRANGE(""https://docs.google.com/spreadsheets/d/1IwnW3-jjRf74MCLW-6PiFwMUffRQXZwZA7YM609NmRc/edit?usp=sharing"",""ปัตตานี!N637"")"),0)</f>
        <v>0</v>
      </c>
      <c r="L80" s="76">
        <f ca="1">IFERROR(__xludf.DUMMYFUNCTION("IMPORTRANGE(""https://docs.google.com/spreadsheets/d/1IwnW3-jjRf74MCLW-6PiFwMUffRQXZwZA7YM609NmRc/edit?usp=sharing"",""ปัตตานี!N638"")"),0)</f>
        <v>0</v>
      </c>
      <c r="M80" s="80">
        <f ca="1">IFERROR(__xludf.DUMMYFUNCTION("IMPORTRANGE(""https://docs.google.com/spreadsheets/d/1IwnW3-jjRf74MCLW-6PiFwMUffRQXZwZA7YM609NmRc/edit?usp=sharing"",""ปัตตานี!N641"")"),0)</f>
        <v>0</v>
      </c>
      <c r="N80" s="80">
        <f t="shared" ca="1" si="29"/>
        <v>0</v>
      </c>
      <c r="O80" s="81">
        <f ca="1">IFERROR(__xludf.DUMMYFUNCTION("IMPORTRANGE(""https://docs.google.com/spreadsheets/d/1IwnW3-jjRf74MCLW-6PiFwMUffRQXZwZA7YM609NmRc/edit?usp=sharing"",""ปัตตานี!I643"")"),0)</f>
        <v>0</v>
      </c>
      <c r="P80" s="81">
        <f ca="1">IFERROR(__xludf.DUMMYFUNCTION("IMPORTRANGE(""https://docs.google.com/spreadsheets/d/1IwnW3-jjRf74MCLW-6PiFwMUffRQXZwZA7YM609NmRc/edit?usp=sharing"",""ปัตตานี!J643"")"),0)</f>
        <v>0</v>
      </c>
      <c r="Q80" s="82">
        <f t="shared" ca="1" si="22"/>
        <v>0</v>
      </c>
      <c r="R80" s="81">
        <f ca="1">IFERROR(__xludf.DUMMYFUNCTION("IMPORTRANGE(""https://docs.google.com/spreadsheets/d/1IwnW3-jjRf74MCLW-6PiFwMUffRQXZwZA7YM609NmRc/edit?usp=sharing"",""ปัตตานี!I644"")"),0)</f>
        <v>0</v>
      </c>
      <c r="S80" s="81">
        <f ca="1">IFERROR(__xludf.DUMMYFUNCTION("IMPORTRANGE(""https://docs.google.com/spreadsheets/d/1IwnW3-jjRf74MCLW-6PiFwMUffRQXZwZA7YM609NmRc/edit?usp=sharing"",""ปัตตานี!J644"")"),0)</f>
        <v>0</v>
      </c>
      <c r="T80" s="82">
        <f t="shared" ca="1" si="23"/>
        <v>0</v>
      </c>
      <c r="U80" s="81">
        <f ca="1">IFERROR(__xludf.DUMMYFUNCTION("IMPORTRANGE(""https://docs.google.com/spreadsheets/d/1IwnW3-jjRf74MCLW-6PiFwMUffRQXZwZA7YM609NmRc/edit?usp=sharing"",""ปัตตานี!J645"")"),0)</f>
        <v>0</v>
      </c>
      <c r="V80" s="276">
        <f ca="1">IFERROR(__xludf.DUMMYFUNCTION("IMPORTRANGE(""https://docs.google.com/spreadsheets/d/1IwnW3-jjRf74MCLW-6PiFwMUffRQXZwZA7YM609NmRc/edit?usp=sharing"",""ปัตตานี!J646"")"),0)</f>
        <v>0</v>
      </c>
      <c r="W80" s="81">
        <f ca="1">IFERROR(__xludf.DUMMYFUNCTION("IMPORTRANGE(""https://docs.google.com/spreadsheets/d/1IwnW3-jjRf74MCLW-6PiFwMUffRQXZwZA7YM609NmRc/edit?usp=sharing"",""ปัตตานี!I647"")"),0)</f>
        <v>0</v>
      </c>
      <c r="X80" s="81">
        <f ca="1">IFERROR(__xludf.DUMMYFUNCTION("IMPORTRANGE(""https://docs.google.com/spreadsheets/d/1IwnW3-jjRf74MCLW-6PiFwMUffRQXZwZA7YM609NmRc/edit?usp=sharing"",""ปัตตานี!J647"")"),0)</f>
        <v>0</v>
      </c>
      <c r="Y80" s="276">
        <f ca="1">IFERROR(__xludf.DUMMYFUNCTION("IMPORTRANGE(""https://docs.google.com/spreadsheets/d/1IwnW3-jjRf74MCLW-6PiFwMUffRQXZwZA7YM609NmRc/edit?usp=sharing"",""ปัตตานี!J648"")"),0)</f>
        <v>0</v>
      </c>
      <c r="Z80" s="82">
        <f t="shared" ca="1" si="24"/>
        <v>0</v>
      </c>
      <c r="AA80" s="234">
        <f ca="1">IFERROR(__xludf.DUMMYFUNCTION("IMPORTRANGE(""https://docs.google.com/spreadsheets/d/1IwnW3-jjRf74MCLW-6PiFwMUffRQXZwZA7YM609NmRc/edit?usp=sharing"",""ปัตตานี!I649"")"),0)</f>
        <v>0</v>
      </c>
      <c r="AB80" s="81">
        <f ca="1">IFERROR(__xludf.DUMMYFUNCTION("IMPORTRANGE(""https://docs.google.com/spreadsheets/d/1IwnW3-jjRf74MCLW-6PiFwMUffRQXZwZA7YM609NmRc/edit?usp=sharing"",""ปัตตานี!J649"")"),0)</f>
        <v>0</v>
      </c>
      <c r="AC80" s="276">
        <f ca="1">IFERROR(__xludf.DUMMYFUNCTION("IMPORTRANGE(""https://docs.google.com/spreadsheets/d/1IwnW3-jjRf74MCLW-6PiFwMUffRQXZwZA7YM609NmRc/edit?usp=sharing"",""ปัตตานี!J650"")"),0)</f>
        <v>0</v>
      </c>
      <c r="AD80" s="82">
        <f t="shared" ca="1" si="25"/>
        <v>0</v>
      </c>
      <c r="AE80" s="234">
        <f ca="1">IFERROR(__xludf.DUMMYFUNCTION("IMPORTRANGE(""https://docs.google.com/spreadsheets/d/1IwnW3-jjRf74MCLW-6PiFwMUffRQXZwZA7YM609NmRc/edit?usp=sharing"",""ปัตตานี!I651"")"),0)</f>
        <v>0</v>
      </c>
      <c r="AF80" s="81">
        <f ca="1">IFERROR(__xludf.DUMMYFUNCTION("IMPORTRANGE(""https://docs.google.com/spreadsheets/d/1IwnW3-jjRf74MCLW-6PiFwMUffRQXZwZA7YM609NmRc/edit?usp=sharing"",""ปัตตานี!J651"")"),0)</f>
        <v>0</v>
      </c>
      <c r="AG80" s="276">
        <f ca="1">IFERROR(__xludf.DUMMYFUNCTION("IMPORTRANGE(""https://docs.google.com/spreadsheets/d/1IwnW3-jjRf74MCLW-6PiFwMUffRQXZwZA7YM609NmRc/edit?usp=sharing"",""ปัตตานี!J652"")"),0)</f>
        <v>0</v>
      </c>
      <c r="AH80" s="82">
        <f t="shared" ca="1" si="26"/>
        <v>0</v>
      </c>
    </row>
    <row r="81" spans="1:34" ht="21" customHeight="1" x14ac:dyDescent="0.3">
      <c r="A81" s="72">
        <v>7</v>
      </c>
      <c r="B81" s="73" t="s">
        <v>98</v>
      </c>
      <c r="C81" s="74">
        <f t="shared" ca="1" si="62"/>
        <v>0</v>
      </c>
      <c r="D81" s="75">
        <f ca="1">IFERROR(__xludf.DUMMYFUNCTION("IMPORTRANGE(""https://docs.google.com/spreadsheets/d/1vl4QWbWdFruual5o_wdo6ZSqXZ_it806oja4CctTLKs/edit?usp=sharing"",""พังงา!L634"")"),0)</f>
        <v>0</v>
      </c>
      <c r="E81" s="76">
        <f ca="1">IFERROR(__xludf.DUMMYFUNCTION("IMPORTRANGE(""https://docs.google.com/spreadsheets/d/1vl4QWbWdFruual5o_wdo6ZSqXZ_it806oja4CctTLKs/edit?usp=sharing"",""พังงา!L641"")"),0)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63"/>
        <v>0</v>
      </c>
      <c r="I81" s="76">
        <f ca="1">IFERROR(__xludf.DUMMYFUNCTION("IMPORTRANGE(""https://docs.google.com/spreadsheets/d/1vl4QWbWdFruual5o_wdo6ZSqXZ_it806oja4CctTLKs/edit?usp=sharing"",""พังงา!N635"")"),0)</f>
        <v>0</v>
      </c>
      <c r="J81" s="76">
        <f ca="1">IFERROR(__xludf.DUMMYFUNCTION("IMPORTRANGE(""https://docs.google.com/spreadsheets/d/1vl4QWbWdFruual5o_wdo6ZSqXZ_it806oja4CctTLKs/edit?usp=sharing"",""พังงา!N636"")"),0)</f>
        <v>0</v>
      </c>
      <c r="K81" s="76">
        <f ca="1">IFERROR(__xludf.DUMMYFUNCTION("IMPORTRANGE(""https://docs.google.com/spreadsheets/d/1vl4QWbWdFruual5o_wdo6ZSqXZ_it806oja4CctTLKs/edit?usp=sharing"",""พังงา!N637"")"),0)</f>
        <v>0</v>
      </c>
      <c r="L81" s="76">
        <f ca="1">IFERROR(__xludf.DUMMYFUNCTION("IMPORTRANGE(""https://docs.google.com/spreadsheets/d/1vl4QWbWdFruual5o_wdo6ZSqXZ_it806oja4CctTLKs/edit?usp=sharing"",""พังงา!N638"")"),0)</f>
        <v>0</v>
      </c>
      <c r="M81" s="80">
        <f ca="1">IFERROR(__xludf.DUMMYFUNCTION("IMPORTRANGE(""https://docs.google.com/spreadsheets/d/1vl4QWbWdFruual5o_wdo6ZSqXZ_it806oja4CctTLKs/edit?usp=sharing"",""พังงา!N641"")"),0)</f>
        <v>0</v>
      </c>
      <c r="N81" s="80">
        <f t="shared" ca="1" si="29"/>
        <v>0</v>
      </c>
      <c r="O81" s="81">
        <f ca="1">IFERROR(__xludf.DUMMYFUNCTION("IMPORTRANGE(""https://docs.google.com/spreadsheets/d/1vl4QWbWdFruual5o_wdo6ZSqXZ_it806oja4CctTLKs/edit?usp=sharing"",""พังงา!I643"")"),0)</f>
        <v>0</v>
      </c>
      <c r="P81" s="81">
        <f ca="1">IFERROR(__xludf.DUMMYFUNCTION("IMPORTRANGE(""https://docs.google.com/spreadsheets/d/1vl4QWbWdFruual5o_wdo6ZSqXZ_it806oja4CctTLKs/edit?usp=sharing"",""พังงา!J643"")"),0)</f>
        <v>0</v>
      </c>
      <c r="Q81" s="82">
        <f t="shared" ca="1" si="22"/>
        <v>0</v>
      </c>
      <c r="R81" s="81">
        <f ca="1">IFERROR(__xludf.DUMMYFUNCTION("IMPORTRANGE(""https://docs.google.com/spreadsheets/d/1vl4QWbWdFruual5o_wdo6ZSqXZ_it806oja4CctTLKs/edit?usp=sharing"",""พังงา!I644"")"),0)</f>
        <v>0</v>
      </c>
      <c r="S81" s="81">
        <f ca="1">IFERROR(__xludf.DUMMYFUNCTION("IMPORTRANGE(""https://docs.google.com/spreadsheets/d/1vl4QWbWdFruual5o_wdo6ZSqXZ_it806oja4CctTLKs/edit?usp=sharing"",""พังงา!J644"")"),0)</f>
        <v>0</v>
      </c>
      <c r="T81" s="82">
        <f t="shared" ca="1" si="23"/>
        <v>0</v>
      </c>
      <c r="U81" s="81">
        <f ca="1">IFERROR(__xludf.DUMMYFUNCTION("IMPORTRANGE(""https://docs.google.com/spreadsheets/d/1vl4QWbWdFruual5o_wdo6ZSqXZ_it806oja4CctTLKs/edit?usp=sharing"",""พังงา!J645"")"),0)</f>
        <v>0</v>
      </c>
      <c r="V81" s="276">
        <f ca="1">IFERROR(__xludf.DUMMYFUNCTION("IMPORTRANGE(""https://docs.google.com/spreadsheets/d/1vl4QWbWdFruual5o_wdo6ZSqXZ_it806oja4CctTLKs/edit?usp=sharing"",""พังงา!J646"")"),0)</f>
        <v>0</v>
      </c>
      <c r="W81" s="81">
        <f ca="1">IFERROR(__xludf.DUMMYFUNCTION("IMPORTRANGE(""https://docs.google.com/spreadsheets/d/1vl4QWbWdFruual5o_wdo6ZSqXZ_it806oja4CctTLKs/edit?usp=sharing"",""พังงา!I647"")"),0)</f>
        <v>0</v>
      </c>
      <c r="X81" s="81">
        <f ca="1">IFERROR(__xludf.DUMMYFUNCTION("IMPORTRANGE(""https://docs.google.com/spreadsheets/d/1vl4QWbWdFruual5o_wdo6ZSqXZ_it806oja4CctTLKs/edit?usp=sharing"",""พังงา!J647"")"),0)</f>
        <v>0</v>
      </c>
      <c r="Y81" s="276">
        <f ca="1">IFERROR(__xludf.DUMMYFUNCTION("IMPORTRANGE(""https://docs.google.com/spreadsheets/d/1vl4QWbWdFruual5o_wdo6ZSqXZ_it806oja4CctTLKs/edit?usp=sharing"",""พังงา!J648"")"),0)</f>
        <v>0</v>
      </c>
      <c r="Z81" s="82">
        <f t="shared" ca="1" si="24"/>
        <v>0</v>
      </c>
      <c r="AA81" s="234">
        <f ca="1">IFERROR(__xludf.DUMMYFUNCTION("IMPORTRANGE(""https://docs.google.com/spreadsheets/d/1vl4QWbWdFruual5o_wdo6ZSqXZ_it806oja4CctTLKs/edit?usp=sharing"",""พังงา!I649"")"),0)</f>
        <v>0</v>
      </c>
      <c r="AB81" s="81">
        <f ca="1">IFERROR(__xludf.DUMMYFUNCTION("IMPORTRANGE(""https://docs.google.com/spreadsheets/d/1vl4QWbWdFruual5o_wdo6ZSqXZ_it806oja4CctTLKs/edit?usp=sharing"",""พังงา!J649"")"),0)</f>
        <v>0</v>
      </c>
      <c r="AC81" s="276">
        <f ca="1">IFERROR(__xludf.DUMMYFUNCTION("IMPORTRANGE(""https://docs.google.com/spreadsheets/d/1vl4QWbWdFruual5o_wdo6ZSqXZ_it806oja4CctTLKs/edit?usp=sharing"",""พังงา!J650"")"),0)</f>
        <v>0</v>
      </c>
      <c r="AD81" s="82">
        <f t="shared" ca="1" si="25"/>
        <v>0</v>
      </c>
      <c r="AE81" s="234">
        <f ca="1">IFERROR(__xludf.DUMMYFUNCTION("IMPORTRANGE(""https://docs.google.com/spreadsheets/d/1vl4QWbWdFruual5o_wdo6ZSqXZ_it806oja4CctTLKs/edit?usp=sharing"",""พังงา!I651"")"),0)</f>
        <v>0</v>
      </c>
      <c r="AF81" s="81">
        <f ca="1">IFERROR(__xludf.DUMMYFUNCTION("IMPORTRANGE(""https://docs.google.com/spreadsheets/d/1vl4QWbWdFruual5o_wdo6ZSqXZ_it806oja4CctTLKs/edit?usp=sharing"",""พังงา!J651"")"),0)</f>
        <v>0</v>
      </c>
      <c r="AG81" s="276">
        <f ca="1">IFERROR(__xludf.DUMMYFUNCTION("IMPORTRANGE(""https://docs.google.com/spreadsheets/d/1vl4QWbWdFruual5o_wdo6ZSqXZ_it806oja4CctTLKs/edit?usp=sharing"",""พังงา!J652"")"),0)</f>
        <v>0</v>
      </c>
      <c r="AH81" s="82">
        <f t="shared" ca="1" si="26"/>
        <v>0</v>
      </c>
    </row>
    <row r="82" spans="1:34" ht="21" customHeight="1" x14ac:dyDescent="0.3">
      <c r="A82" s="72">
        <v>8</v>
      </c>
      <c r="B82" s="73" t="s">
        <v>99</v>
      </c>
      <c r="C82" s="74">
        <f t="shared" ca="1" si="62"/>
        <v>0</v>
      </c>
      <c r="D82" s="75">
        <f ca="1">IFERROR(__xludf.DUMMYFUNCTION("IMPORTRANGE(""https://docs.google.com/spreadsheets/d/1b6QssHQp2FoAPSMKHOy273KNzAomaIKhtdlvuZ_zDNE/edit?usp=sharing"",""พัทลุง!L634"")"),0)</f>
        <v>0</v>
      </c>
      <c r="E82" s="76">
        <f ca="1">IFERROR(__xludf.DUMMYFUNCTION("IMPORTRANGE(""https://docs.google.com/spreadsheets/d/1b6QssHQp2FoAPSMKHOy273KNzAomaIKhtdlvuZ_zDNE/edit?usp=sharing"",""พัทลุง!L641"")"),0)</f>
        <v>0</v>
      </c>
      <c r="F82" s="77">
        <f t="shared" ca="1" si="1"/>
        <v>0</v>
      </c>
      <c r="G82" s="78">
        <f t="shared" ca="1" si="2"/>
        <v>0</v>
      </c>
      <c r="H82" s="79">
        <f t="shared" ca="1" si="63"/>
        <v>0</v>
      </c>
      <c r="I82" s="76">
        <f ca="1">IFERROR(__xludf.DUMMYFUNCTION("IMPORTRANGE(""https://docs.google.com/spreadsheets/d/1b6QssHQp2FoAPSMKHOy273KNzAomaIKhtdlvuZ_zDNE/edit?usp=sharing"",""พัทลุง!N635"")"),0)</f>
        <v>0</v>
      </c>
      <c r="J82" s="76">
        <f ca="1">IFERROR(__xludf.DUMMYFUNCTION("IMPORTRANGE(""https://docs.google.com/spreadsheets/d/1b6QssHQp2FoAPSMKHOy273KNzAomaIKhtdlvuZ_zDNE/edit?usp=sharing"",""พัทลุง!N636"")"),0)</f>
        <v>0</v>
      </c>
      <c r="K82" s="76">
        <f ca="1">IFERROR(__xludf.DUMMYFUNCTION("IMPORTRANGE(""https://docs.google.com/spreadsheets/d/1b6QssHQp2FoAPSMKHOy273KNzAomaIKhtdlvuZ_zDNE/edit?usp=sharing"",""พัทลุง!N637"")"),0)</f>
        <v>0</v>
      </c>
      <c r="L82" s="76">
        <f ca="1">IFERROR(__xludf.DUMMYFUNCTION("IMPORTRANGE(""https://docs.google.com/spreadsheets/d/1b6QssHQp2FoAPSMKHOy273KNzAomaIKhtdlvuZ_zDNE/edit?usp=sharing"",""พัทลุง!N638"")"),0)</f>
        <v>0</v>
      </c>
      <c r="M82" s="80">
        <f ca="1">IFERROR(__xludf.DUMMYFUNCTION("IMPORTRANGE(""https://docs.google.com/spreadsheets/d/1b6QssHQp2FoAPSMKHOy273KNzAomaIKhtdlvuZ_zDNE/edit?usp=sharing"",""พัทลุง!N641"")"),0)</f>
        <v>0</v>
      </c>
      <c r="N82" s="80">
        <f t="shared" ca="1" si="29"/>
        <v>0</v>
      </c>
      <c r="O82" s="81">
        <f ca="1">IFERROR(__xludf.DUMMYFUNCTION("IMPORTRANGE(""https://docs.google.com/spreadsheets/d/1b6QssHQp2FoAPSMKHOy273KNzAomaIKhtdlvuZ_zDNE/edit?usp=sharing"",""พัทลุง!I643"")"),0)</f>
        <v>0</v>
      </c>
      <c r="P82" s="81">
        <f ca="1">IFERROR(__xludf.DUMMYFUNCTION("IMPORTRANGE(""https://docs.google.com/spreadsheets/d/1b6QssHQp2FoAPSMKHOy273KNzAomaIKhtdlvuZ_zDNE/edit?usp=sharing"",""พัทลุง!J643"")"),0)</f>
        <v>0</v>
      </c>
      <c r="Q82" s="82">
        <f t="shared" ca="1" si="22"/>
        <v>0</v>
      </c>
      <c r="R82" s="81">
        <f ca="1">IFERROR(__xludf.DUMMYFUNCTION("IMPORTRANGE(""https://docs.google.com/spreadsheets/d/1b6QssHQp2FoAPSMKHOy273KNzAomaIKhtdlvuZ_zDNE/edit?usp=sharing"",""พัทลุง!I644"")"),0)</f>
        <v>0</v>
      </c>
      <c r="S82" s="81">
        <f ca="1">IFERROR(__xludf.DUMMYFUNCTION("IMPORTRANGE(""https://docs.google.com/spreadsheets/d/1b6QssHQp2FoAPSMKHOy273KNzAomaIKhtdlvuZ_zDNE/edit?usp=sharing"",""พัทลุง!J644"")"),0)</f>
        <v>0</v>
      </c>
      <c r="T82" s="82">
        <f t="shared" ca="1" si="23"/>
        <v>0</v>
      </c>
      <c r="U82" s="81">
        <f ca="1">IFERROR(__xludf.DUMMYFUNCTION("IMPORTRANGE(""https://docs.google.com/spreadsheets/d/1b6QssHQp2FoAPSMKHOy273KNzAomaIKhtdlvuZ_zDNE/edit?usp=sharing"",""พัทลุง!J645"")"),0)</f>
        <v>0</v>
      </c>
      <c r="V82" s="276">
        <f ca="1">IFERROR(__xludf.DUMMYFUNCTION("IMPORTRANGE(""https://docs.google.com/spreadsheets/d/1b6QssHQp2FoAPSMKHOy273KNzAomaIKhtdlvuZ_zDNE/edit?usp=sharing"",""พัทลุง!J646"")"),0)</f>
        <v>0</v>
      </c>
      <c r="W82" s="81">
        <f ca="1">IFERROR(__xludf.DUMMYFUNCTION("IMPORTRANGE(""https://docs.google.com/spreadsheets/d/1b6QssHQp2FoAPSMKHOy273KNzAomaIKhtdlvuZ_zDNE/edit?usp=sharing"",""พัทลุง!I647"")"),0)</f>
        <v>0</v>
      </c>
      <c r="X82" s="81">
        <f ca="1">IFERROR(__xludf.DUMMYFUNCTION("IMPORTRANGE(""https://docs.google.com/spreadsheets/d/1b6QssHQp2FoAPSMKHOy273KNzAomaIKhtdlvuZ_zDNE/edit?usp=sharing"",""พัทลุง!J647"")"),0)</f>
        <v>0</v>
      </c>
      <c r="Y82" s="276">
        <f ca="1">IFERROR(__xludf.DUMMYFUNCTION("IMPORTRANGE(""https://docs.google.com/spreadsheets/d/1b6QssHQp2FoAPSMKHOy273KNzAomaIKhtdlvuZ_zDNE/edit?usp=sharing"",""พัทลุง!J648"")"),0)</f>
        <v>0</v>
      </c>
      <c r="Z82" s="82">
        <f t="shared" ca="1" si="24"/>
        <v>0</v>
      </c>
      <c r="AA82" s="234">
        <f ca="1">IFERROR(__xludf.DUMMYFUNCTION("IMPORTRANGE(""https://docs.google.com/spreadsheets/d/1b6QssHQp2FoAPSMKHOy273KNzAomaIKhtdlvuZ_zDNE/edit?usp=sharing"",""พัทลุง!I649"")"),0)</f>
        <v>0</v>
      </c>
      <c r="AB82" s="81">
        <f ca="1">IFERROR(__xludf.DUMMYFUNCTION("IMPORTRANGE(""https://docs.google.com/spreadsheets/d/1b6QssHQp2FoAPSMKHOy273KNzAomaIKhtdlvuZ_zDNE/edit?usp=sharing"",""พัทลุง!J649"")"),0)</f>
        <v>0</v>
      </c>
      <c r="AC82" s="276">
        <f ca="1">IFERROR(__xludf.DUMMYFUNCTION("IMPORTRANGE(""https://docs.google.com/spreadsheets/d/1b6QssHQp2FoAPSMKHOy273KNzAomaIKhtdlvuZ_zDNE/edit?usp=sharing"",""พัทลุง!J650"")"),0)</f>
        <v>0</v>
      </c>
      <c r="AD82" s="82">
        <f t="shared" ca="1" si="25"/>
        <v>0</v>
      </c>
      <c r="AE82" s="234">
        <f ca="1">IFERROR(__xludf.DUMMYFUNCTION("IMPORTRANGE(""https://docs.google.com/spreadsheets/d/1b6QssHQp2FoAPSMKHOy273KNzAomaIKhtdlvuZ_zDNE/edit?usp=sharing"",""พัทลุง!I651"")"),0)</f>
        <v>0</v>
      </c>
      <c r="AF82" s="81">
        <f ca="1">IFERROR(__xludf.DUMMYFUNCTION("IMPORTRANGE(""https://docs.google.com/spreadsheets/d/1b6QssHQp2FoAPSMKHOy273KNzAomaIKhtdlvuZ_zDNE/edit?usp=sharing"",""พัทลุง!J651"")"),0)</f>
        <v>0</v>
      </c>
      <c r="AG82" s="276">
        <f ca="1">IFERROR(__xludf.DUMMYFUNCTION("IMPORTRANGE(""https://docs.google.com/spreadsheets/d/1b6QssHQp2FoAPSMKHOy273KNzAomaIKhtdlvuZ_zDNE/edit?usp=sharing"",""พัทลุง!J652"")"),0)</f>
        <v>0</v>
      </c>
      <c r="AH82" s="82">
        <f t="shared" ca="1" si="26"/>
        <v>0</v>
      </c>
    </row>
    <row r="83" spans="1:34" ht="21" customHeight="1" x14ac:dyDescent="0.3">
      <c r="A83" s="72">
        <v>9</v>
      </c>
      <c r="B83" s="73" t="s">
        <v>100</v>
      </c>
      <c r="C83" s="74">
        <f t="shared" ca="1" si="62"/>
        <v>0</v>
      </c>
      <c r="D83" s="75">
        <f ca="1">IFERROR(__xludf.DUMMYFUNCTION("IMPORTRANGE(""https://docs.google.com/spreadsheets/d/1o7UZe4_OqlqtLDHrj01Z2YFRSZDf1DMy1n3XViHaxRc/edit?usp=sharing"",""ภูเก็ต!L634"")"),0)</f>
        <v>0</v>
      </c>
      <c r="E83" s="76">
        <f ca="1">IFERROR(__xludf.DUMMYFUNCTION("IMPORTRANGE(""https://docs.google.com/spreadsheets/d/1o7UZe4_OqlqtLDHrj01Z2YFRSZDf1DMy1n3XViHaxRc/edit?usp=sharing"",""ภูเก็ต!L641"")"),0)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63"/>
        <v>0</v>
      </c>
      <c r="I83" s="76">
        <f ca="1">IFERROR(__xludf.DUMMYFUNCTION("IMPORTRANGE(""https://docs.google.com/spreadsheets/d/1o7UZe4_OqlqtLDHrj01Z2YFRSZDf1DMy1n3XViHaxRc/edit?usp=sharing"",""ภูเก็ต!N635"")"),0)</f>
        <v>0</v>
      </c>
      <c r="J83" s="76">
        <f ca="1">IFERROR(__xludf.DUMMYFUNCTION("IMPORTRANGE(""https://docs.google.com/spreadsheets/d/1o7UZe4_OqlqtLDHrj01Z2YFRSZDf1DMy1n3XViHaxRc/edit?usp=sharing"",""ภูเก็ต!N636"")"),0)</f>
        <v>0</v>
      </c>
      <c r="K83" s="76">
        <f ca="1">IFERROR(__xludf.DUMMYFUNCTION("IMPORTRANGE(""https://docs.google.com/spreadsheets/d/1o7UZe4_OqlqtLDHrj01Z2YFRSZDf1DMy1n3XViHaxRc/edit?usp=sharing"",""ภูเก็ต!N637"")"),0)</f>
        <v>0</v>
      </c>
      <c r="L83" s="76">
        <f ca="1">IFERROR(__xludf.DUMMYFUNCTION("IMPORTRANGE(""https://docs.google.com/spreadsheets/d/1o7UZe4_OqlqtLDHrj01Z2YFRSZDf1DMy1n3XViHaxRc/edit?usp=sharing"",""ภูเก็ต!N638"")"),0)</f>
        <v>0</v>
      </c>
      <c r="M83" s="80">
        <f ca="1">IFERROR(__xludf.DUMMYFUNCTION("IMPORTRANGE(""https://docs.google.com/spreadsheets/d/1o7UZe4_OqlqtLDHrj01Z2YFRSZDf1DMy1n3XViHaxRc/edit?usp=sharing"",""ภูเก็ต!N641"")"),0)</f>
        <v>0</v>
      </c>
      <c r="N83" s="80">
        <f t="shared" ca="1" si="29"/>
        <v>0</v>
      </c>
      <c r="O83" s="81">
        <f ca="1">IFERROR(__xludf.DUMMYFUNCTION("IMPORTRANGE(""https://docs.google.com/spreadsheets/d/1o7UZe4_OqlqtLDHrj01Z2YFRSZDf1DMy1n3XViHaxRc/edit?usp=sharing"",""ภูเก็ต!I643"")"),0)</f>
        <v>0</v>
      </c>
      <c r="P83" s="81">
        <f ca="1">IFERROR(__xludf.DUMMYFUNCTION("IMPORTRANGE(""https://docs.google.com/spreadsheets/d/1o7UZe4_OqlqtLDHrj01Z2YFRSZDf1DMy1n3XViHaxRc/edit?usp=sharing"",""ภูเก็ต!J643"")"),0)</f>
        <v>0</v>
      </c>
      <c r="Q83" s="82">
        <f t="shared" ca="1" si="22"/>
        <v>0</v>
      </c>
      <c r="R83" s="81">
        <f ca="1">IFERROR(__xludf.DUMMYFUNCTION("IMPORTRANGE(""https://docs.google.com/spreadsheets/d/1o7UZe4_OqlqtLDHrj01Z2YFRSZDf1DMy1n3XViHaxRc/edit?usp=sharing"",""ภูเก็ต!I644"")"),0)</f>
        <v>0</v>
      </c>
      <c r="S83" s="81">
        <f ca="1">IFERROR(__xludf.DUMMYFUNCTION("IMPORTRANGE(""https://docs.google.com/spreadsheets/d/1o7UZe4_OqlqtLDHrj01Z2YFRSZDf1DMy1n3XViHaxRc/edit?usp=sharing"",""ภูเก็ต!J644"")"),0)</f>
        <v>0</v>
      </c>
      <c r="T83" s="82">
        <f t="shared" ca="1" si="23"/>
        <v>0</v>
      </c>
      <c r="U83" s="81">
        <f ca="1">IFERROR(__xludf.DUMMYFUNCTION("IMPORTRANGE(""https://docs.google.com/spreadsheets/d/1o7UZe4_OqlqtLDHrj01Z2YFRSZDf1DMy1n3XViHaxRc/edit?usp=sharing"",""ภูเก็ต!J645"")"),0)</f>
        <v>0</v>
      </c>
      <c r="V83" s="276">
        <f ca="1">IFERROR(__xludf.DUMMYFUNCTION("IMPORTRANGE(""https://docs.google.com/spreadsheets/d/1o7UZe4_OqlqtLDHrj01Z2YFRSZDf1DMy1n3XViHaxRc/edit?usp=sharing"",""ภูเก็ต!J646"")"),0)</f>
        <v>0</v>
      </c>
      <c r="W83" s="81">
        <f ca="1">IFERROR(__xludf.DUMMYFUNCTION("IMPORTRANGE(""https://docs.google.com/spreadsheets/d/1o7UZe4_OqlqtLDHrj01Z2YFRSZDf1DMy1n3XViHaxRc/edit?usp=sharing"",""ภูเก็ต!I647"")"),0)</f>
        <v>0</v>
      </c>
      <c r="X83" s="81">
        <f ca="1">IFERROR(__xludf.DUMMYFUNCTION("IMPORTRANGE(""https://docs.google.com/spreadsheets/d/1o7UZe4_OqlqtLDHrj01Z2YFRSZDf1DMy1n3XViHaxRc/edit?usp=sharing"",""ภูเก็ต!J647"")"),0)</f>
        <v>0</v>
      </c>
      <c r="Y83" s="276">
        <f ca="1">IFERROR(__xludf.DUMMYFUNCTION("IMPORTRANGE(""https://docs.google.com/spreadsheets/d/1o7UZe4_OqlqtLDHrj01Z2YFRSZDf1DMy1n3XViHaxRc/edit?usp=sharing"",""ภูเก็ต!J648"")"),0)</f>
        <v>0</v>
      </c>
      <c r="Z83" s="82">
        <f t="shared" ca="1" si="24"/>
        <v>0</v>
      </c>
      <c r="AA83" s="234">
        <f ca="1">IFERROR(__xludf.DUMMYFUNCTION("IMPORTRANGE(""https://docs.google.com/spreadsheets/d/1o7UZe4_OqlqtLDHrj01Z2YFRSZDf1DMy1n3XViHaxRc/edit?usp=sharing"",""ภูเก็ต!I649"")"),0)</f>
        <v>0</v>
      </c>
      <c r="AB83" s="81">
        <f ca="1">IFERROR(__xludf.DUMMYFUNCTION("IMPORTRANGE(""https://docs.google.com/spreadsheets/d/1o7UZe4_OqlqtLDHrj01Z2YFRSZDf1DMy1n3XViHaxRc/edit?usp=sharing"",""ภูเก็ต!J649"")"),0)</f>
        <v>0</v>
      </c>
      <c r="AC83" s="276">
        <f ca="1">IFERROR(__xludf.DUMMYFUNCTION("IMPORTRANGE(""https://docs.google.com/spreadsheets/d/1o7UZe4_OqlqtLDHrj01Z2YFRSZDf1DMy1n3XViHaxRc/edit?usp=sharing"",""ภูเก็ต!J650"")"),0)</f>
        <v>0</v>
      </c>
      <c r="AD83" s="82">
        <f t="shared" ca="1" si="25"/>
        <v>0</v>
      </c>
      <c r="AE83" s="234">
        <f ca="1">IFERROR(__xludf.DUMMYFUNCTION("IMPORTRANGE(""https://docs.google.com/spreadsheets/d/1o7UZe4_OqlqtLDHrj01Z2YFRSZDf1DMy1n3XViHaxRc/edit?usp=sharing"",""ภูเก็ต!I651"")"),0)</f>
        <v>0</v>
      </c>
      <c r="AF83" s="81">
        <f ca="1">IFERROR(__xludf.DUMMYFUNCTION("IMPORTRANGE(""https://docs.google.com/spreadsheets/d/1o7UZe4_OqlqtLDHrj01Z2YFRSZDf1DMy1n3XViHaxRc/edit?usp=sharing"",""ภูเก็ต!J651"")"),0)</f>
        <v>0</v>
      </c>
      <c r="AG83" s="276">
        <f ca="1">IFERROR(__xludf.DUMMYFUNCTION("IMPORTRANGE(""https://docs.google.com/spreadsheets/d/1o7UZe4_OqlqtLDHrj01Z2YFRSZDf1DMy1n3XViHaxRc/edit?usp=sharing"",""ภูเก็ต!J652"")"),0)</f>
        <v>0</v>
      </c>
      <c r="AH83" s="82">
        <f t="shared" ca="1" si="26"/>
        <v>0</v>
      </c>
    </row>
    <row r="84" spans="1:34" ht="21" customHeight="1" x14ac:dyDescent="0.3">
      <c r="A84" s="72">
        <v>10</v>
      </c>
      <c r="B84" s="73" t="s">
        <v>101</v>
      </c>
      <c r="C84" s="74">
        <f t="shared" ca="1" si="62"/>
        <v>384755</v>
      </c>
      <c r="D84" s="75">
        <f ca="1">IFERROR(__xludf.DUMMYFUNCTION("IMPORTRANGE(""https://docs.google.com/spreadsheets/d/1ctPm1vUzcUCPuOj9-eoHUD85PqINFqUB0TjdSWmR5-c/edit?usp=sharing"",""ยะลา!L634"")"),384755)</f>
        <v>384755</v>
      </c>
      <c r="E84" s="76">
        <f ca="1">IFERROR(__xludf.DUMMYFUNCTION("IMPORTRANGE(""https://docs.google.com/spreadsheets/d/1ctPm1vUzcUCPuOj9-eoHUD85PqINFqUB0TjdSWmR5-c/edit?usp=sharing"",""ยะลา!L641"")"),0)</f>
        <v>0</v>
      </c>
      <c r="F84" s="77">
        <f t="shared" ca="1" si="1"/>
        <v>49285</v>
      </c>
      <c r="G84" s="78">
        <f t="shared" ca="1" si="2"/>
        <v>12.809450169588439</v>
      </c>
      <c r="H84" s="79">
        <f t="shared" ca="1" si="63"/>
        <v>49285</v>
      </c>
      <c r="I84" s="76">
        <f ca="1">IFERROR(__xludf.DUMMYFUNCTION("IMPORTRANGE(""https://docs.google.com/spreadsheets/d/1ctPm1vUzcUCPuOj9-eoHUD85PqINFqUB0TjdSWmR5-c/edit?usp=sharing"",""ยะลา!N635"")"),0)</f>
        <v>0</v>
      </c>
      <c r="J84" s="76">
        <f ca="1">IFERROR(__xludf.DUMMYFUNCTION("IMPORTRANGE(""https://docs.google.com/spreadsheets/d/1ctPm1vUzcUCPuOj9-eoHUD85PqINFqUB0TjdSWmR5-c/edit?usp=sharing"",""ยะลา!N636"")"),0)</f>
        <v>0</v>
      </c>
      <c r="K84" s="76">
        <f ca="1">IFERROR(__xludf.DUMMYFUNCTION("IMPORTRANGE(""https://docs.google.com/spreadsheets/d/1ctPm1vUzcUCPuOj9-eoHUD85PqINFqUB0TjdSWmR5-c/edit?usp=sharing"",""ยะลา!N637"")"),39000)</f>
        <v>39000</v>
      </c>
      <c r="L84" s="76">
        <f ca="1">IFERROR(__xludf.DUMMYFUNCTION("IMPORTRANGE(""https://docs.google.com/spreadsheets/d/1ctPm1vUzcUCPuOj9-eoHUD85PqINFqUB0TjdSWmR5-c/edit?usp=sharing"",""ยะลา!N638"")"),10285)</f>
        <v>10285</v>
      </c>
      <c r="M84" s="80">
        <f ca="1">IFERROR(__xludf.DUMMYFUNCTION("IMPORTRANGE(""https://docs.google.com/spreadsheets/d/1ctPm1vUzcUCPuOj9-eoHUD85PqINFqUB0TjdSWmR5-c/edit?usp=sharing"",""ยะลา!N641"")"),0)</f>
        <v>0</v>
      </c>
      <c r="N84" s="80">
        <f t="shared" ca="1" si="29"/>
        <v>0</v>
      </c>
      <c r="O84" s="81">
        <f ca="1">IFERROR(__xludf.DUMMYFUNCTION("IMPORTRANGE(""https://docs.google.com/spreadsheets/d/1ctPm1vUzcUCPuOj9-eoHUD85PqINFqUB0TjdSWmR5-c/edit?usp=sharing"",""ยะลา!I643"")"),2)</f>
        <v>2</v>
      </c>
      <c r="P84" s="81">
        <f ca="1">IFERROR(__xludf.DUMMYFUNCTION("IMPORTRANGE(""https://docs.google.com/spreadsheets/d/1ctPm1vUzcUCPuOj9-eoHUD85PqINFqUB0TjdSWmR5-c/edit?usp=sharing"",""ยะลา!J643"")"),2)</f>
        <v>2</v>
      </c>
      <c r="Q84" s="82">
        <f t="shared" ca="1" si="22"/>
        <v>100</v>
      </c>
      <c r="R84" s="81">
        <f ca="1">IFERROR(__xludf.DUMMYFUNCTION("IMPORTRANGE(""https://docs.google.com/spreadsheets/d/1ctPm1vUzcUCPuOj9-eoHUD85PqINFqUB0TjdSWmR5-c/edit?usp=sharing"",""ยะลา!I644"")"),2)</f>
        <v>2</v>
      </c>
      <c r="S84" s="81">
        <f ca="1">IFERROR(__xludf.DUMMYFUNCTION("IMPORTRANGE(""https://docs.google.com/spreadsheets/d/1ctPm1vUzcUCPuOj9-eoHUD85PqINFqUB0TjdSWmR5-c/edit?usp=sharing"",""ยะลา!J644"")"),0)</f>
        <v>0</v>
      </c>
      <c r="T84" s="82">
        <f t="shared" ca="1" si="23"/>
        <v>0</v>
      </c>
      <c r="U84" s="81">
        <f ca="1">IFERROR(__xludf.DUMMYFUNCTION("IMPORTRANGE(""https://docs.google.com/spreadsheets/d/1ctPm1vUzcUCPuOj9-eoHUD85PqINFqUB0TjdSWmR5-c/edit?usp=sharing"",""ยะลา!J645"")"),0)</f>
        <v>0</v>
      </c>
      <c r="V84" s="276">
        <f ca="1">IFERROR(__xludf.DUMMYFUNCTION("IMPORTRANGE(""https://docs.google.com/spreadsheets/d/1ctPm1vUzcUCPuOj9-eoHUD85PqINFqUB0TjdSWmR5-c/edit?usp=sharing"",""ยะลา!J646"")"),0)</f>
        <v>0</v>
      </c>
      <c r="W84" s="81">
        <f ca="1">IFERROR(__xludf.DUMMYFUNCTION("IMPORTRANGE(""https://docs.google.com/spreadsheets/d/1ctPm1vUzcUCPuOj9-eoHUD85PqINFqUB0TjdSWmR5-c/edit?usp=sharing"",""ยะลา!I647"")"),120)</f>
        <v>120</v>
      </c>
      <c r="X84" s="81">
        <f ca="1">IFERROR(__xludf.DUMMYFUNCTION("IMPORTRANGE(""https://docs.google.com/spreadsheets/d/1ctPm1vUzcUCPuOj9-eoHUD85PqINFqUB0TjdSWmR5-c/edit?usp=sharing"",""ยะลา!J647"")"),0)</f>
        <v>0</v>
      </c>
      <c r="Y84" s="276">
        <f ca="1">IFERROR(__xludf.DUMMYFUNCTION("IMPORTRANGE(""https://docs.google.com/spreadsheets/d/1ctPm1vUzcUCPuOj9-eoHUD85PqINFqUB0TjdSWmR5-c/edit?usp=sharing"",""ยะลา!J648"")"),0)</f>
        <v>0</v>
      </c>
      <c r="Z84" s="82">
        <f t="shared" ca="1" si="24"/>
        <v>0</v>
      </c>
      <c r="AA84" s="234">
        <f ca="1">IFERROR(__xludf.DUMMYFUNCTION("IMPORTRANGE(""https://docs.google.com/spreadsheets/d/1ctPm1vUzcUCPuOj9-eoHUD85PqINFqUB0TjdSWmR5-c/edit?usp=sharing"",""ยะลา!I649"")"),120)</f>
        <v>120</v>
      </c>
      <c r="AB84" s="81">
        <f ca="1">IFERROR(__xludf.DUMMYFUNCTION("IMPORTRANGE(""https://docs.google.com/spreadsheets/d/1ctPm1vUzcUCPuOj9-eoHUD85PqINFqUB0TjdSWmR5-c/edit?usp=sharing"",""ยะลา!J649"")"),0)</f>
        <v>0</v>
      </c>
      <c r="AC84" s="276">
        <f ca="1">IFERROR(__xludf.DUMMYFUNCTION("IMPORTRANGE(""https://docs.google.com/spreadsheets/d/1ctPm1vUzcUCPuOj9-eoHUD85PqINFqUB0TjdSWmR5-c/edit?usp=sharing"",""ยะลา!J650"")"),0)</f>
        <v>0</v>
      </c>
      <c r="AD84" s="82">
        <f t="shared" ca="1" si="25"/>
        <v>0</v>
      </c>
      <c r="AE84" s="234">
        <f ca="1">IFERROR(__xludf.DUMMYFUNCTION("IMPORTRANGE(""https://docs.google.com/spreadsheets/d/1ctPm1vUzcUCPuOj9-eoHUD85PqINFqUB0TjdSWmR5-c/edit?usp=sharing"",""ยะลา!I651"")"),120)</f>
        <v>120</v>
      </c>
      <c r="AF84" s="81">
        <f ca="1">IFERROR(__xludf.DUMMYFUNCTION("IMPORTRANGE(""https://docs.google.com/spreadsheets/d/1ctPm1vUzcUCPuOj9-eoHUD85PqINFqUB0TjdSWmR5-c/edit?usp=sharing"",""ยะลา!J651"")"),0)</f>
        <v>0</v>
      </c>
      <c r="AG84" s="276">
        <f ca="1">IFERROR(__xludf.DUMMYFUNCTION("IMPORTRANGE(""https://docs.google.com/spreadsheets/d/1ctPm1vUzcUCPuOj9-eoHUD85PqINFqUB0TjdSWmR5-c/edit?usp=sharing"",""ยะลา!J652"")"),0)</f>
        <v>0</v>
      </c>
      <c r="AH84" s="82">
        <f t="shared" ca="1" si="26"/>
        <v>0</v>
      </c>
    </row>
    <row r="85" spans="1:34" ht="21" customHeight="1" x14ac:dyDescent="0.3">
      <c r="A85" s="72">
        <v>11</v>
      </c>
      <c r="B85" s="73" t="s">
        <v>102</v>
      </c>
      <c r="C85" s="74">
        <f t="shared" ca="1" si="62"/>
        <v>164050</v>
      </c>
      <c r="D85" s="75">
        <f ca="1">IFERROR(__xludf.DUMMYFUNCTION("IMPORTRANGE(""https://docs.google.com/spreadsheets/d/1YiDIE7Klmt8osgdapRqYWNr7iPGFSsiJqq46S7PYRE0/edit?usp=sharing"",""ระนอง!L634"")"),164050)</f>
        <v>164050</v>
      </c>
      <c r="E85" s="76">
        <f ca="1">IFERROR(__xludf.DUMMYFUNCTION("IMPORTRANGE(""https://docs.google.com/spreadsheets/d/1YiDIE7Klmt8osgdapRqYWNr7iPGFSsiJqq46S7PYRE0/edit?usp=sharing"",""ระนอง!L641"")"),0)</f>
        <v>0</v>
      </c>
      <c r="F85" s="77">
        <f t="shared" ca="1" si="1"/>
        <v>26440</v>
      </c>
      <c r="G85" s="78">
        <f t="shared" ca="1" si="2"/>
        <v>16.117037488570556</v>
      </c>
      <c r="H85" s="79">
        <f t="shared" ca="1" si="63"/>
        <v>26440</v>
      </c>
      <c r="I85" s="76">
        <f ca="1">IFERROR(__xludf.DUMMYFUNCTION("IMPORTRANGE(""https://docs.google.com/spreadsheets/d/1YiDIE7Klmt8osgdapRqYWNr7iPGFSsiJqq46S7PYRE0/edit?usp=sharing"",""ระนอง!N635"")"),0)</f>
        <v>0</v>
      </c>
      <c r="J85" s="76">
        <f ca="1">IFERROR(__xludf.DUMMYFUNCTION("IMPORTRANGE(""https://docs.google.com/spreadsheets/d/1YiDIE7Klmt8osgdapRqYWNr7iPGFSsiJqq46S7PYRE0/edit?usp=sharing"",""ระนอง!N636"")"),0)</f>
        <v>0</v>
      </c>
      <c r="K85" s="76">
        <f ca="1">IFERROR(__xludf.DUMMYFUNCTION("IMPORTRANGE(""https://docs.google.com/spreadsheets/d/1YiDIE7Klmt8osgdapRqYWNr7iPGFSsiJqq46S7PYRE0/edit?usp=sharing"",""ระนอง!N637"")"),0)</f>
        <v>0</v>
      </c>
      <c r="L85" s="76">
        <f ca="1">IFERROR(__xludf.DUMMYFUNCTION("IMPORTRANGE(""https://docs.google.com/spreadsheets/d/1YiDIE7Klmt8osgdapRqYWNr7iPGFSsiJqq46S7PYRE0/edit?usp=sharing"",""ระนอง!N638"")"),26440)</f>
        <v>26440</v>
      </c>
      <c r="M85" s="80">
        <f ca="1">IFERROR(__xludf.DUMMYFUNCTION("IMPORTRANGE(""https://docs.google.com/spreadsheets/d/1YiDIE7Klmt8osgdapRqYWNr7iPGFSsiJqq46S7PYRE0/edit?usp=sharing"",""ระนอง!N641"")"),0)</f>
        <v>0</v>
      </c>
      <c r="N85" s="80">
        <f t="shared" ca="1" si="29"/>
        <v>0</v>
      </c>
      <c r="O85" s="81">
        <f ca="1">IFERROR(__xludf.DUMMYFUNCTION("IMPORTRANGE(""https://docs.google.com/spreadsheets/d/1YiDIE7Klmt8osgdapRqYWNr7iPGFSsiJqq46S7PYRE0/edit?usp=sharing"",""ระนอง!I643"")"),0)</f>
        <v>0</v>
      </c>
      <c r="P85" s="81">
        <f ca="1">IFERROR(__xludf.DUMMYFUNCTION("IMPORTRANGE(""https://docs.google.com/spreadsheets/d/1YiDIE7Klmt8osgdapRqYWNr7iPGFSsiJqq46S7PYRE0/edit?usp=sharing"",""ระนอง!J643"")"),0)</f>
        <v>0</v>
      </c>
      <c r="Q85" s="82">
        <f t="shared" ca="1" si="22"/>
        <v>0</v>
      </c>
      <c r="R85" s="81">
        <f ca="1">IFERROR(__xludf.DUMMYFUNCTION("IMPORTRANGE(""https://docs.google.com/spreadsheets/d/1YiDIE7Klmt8osgdapRqYWNr7iPGFSsiJqq46S7PYRE0/edit?usp=sharing"",""ระนอง!I644"")"),0)</f>
        <v>0</v>
      </c>
      <c r="S85" s="81">
        <f ca="1">IFERROR(__xludf.DUMMYFUNCTION("IMPORTRANGE(""https://docs.google.com/spreadsheets/d/1YiDIE7Klmt8osgdapRqYWNr7iPGFSsiJqq46S7PYRE0/edit?usp=sharing"",""ระนอง!J644"")"),0)</f>
        <v>0</v>
      </c>
      <c r="T85" s="82">
        <f t="shared" ca="1" si="23"/>
        <v>0</v>
      </c>
      <c r="U85" s="81">
        <f ca="1">IFERROR(__xludf.DUMMYFUNCTION("IMPORTRANGE(""https://docs.google.com/spreadsheets/d/1YiDIE7Klmt8osgdapRqYWNr7iPGFSsiJqq46S7PYRE0/edit?usp=sharing"",""ระนอง!J645"")"),0)</f>
        <v>0</v>
      </c>
      <c r="V85" s="276">
        <f ca="1">IFERROR(__xludf.DUMMYFUNCTION("IMPORTRANGE(""https://docs.google.com/spreadsheets/d/1YiDIE7Klmt8osgdapRqYWNr7iPGFSsiJqq46S7PYRE0/edit?usp=sharing"",""ระนอง!J646"")"),0)</f>
        <v>0</v>
      </c>
      <c r="W85" s="81">
        <f ca="1">IFERROR(__xludf.DUMMYFUNCTION("IMPORTRANGE(""https://docs.google.com/spreadsheets/d/1YiDIE7Klmt8osgdapRqYWNr7iPGFSsiJqq46S7PYRE0/edit?usp=sharing"",""ระนอง!I647"")"),7)</f>
        <v>7</v>
      </c>
      <c r="X85" s="81">
        <f ca="1">IFERROR(__xludf.DUMMYFUNCTION("IMPORTRANGE(""https://docs.google.com/spreadsheets/d/1YiDIE7Klmt8osgdapRqYWNr7iPGFSsiJqq46S7PYRE0/edit?usp=sharing"",""ระนอง!J647"")"),0)</f>
        <v>0</v>
      </c>
      <c r="Y85" s="276">
        <f ca="1">IFERROR(__xludf.DUMMYFUNCTION("IMPORTRANGE(""https://docs.google.com/spreadsheets/d/1YiDIE7Klmt8osgdapRqYWNr7iPGFSsiJqq46S7PYRE0/edit?usp=sharing"",""ระนอง!J648"")"),0)</f>
        <v>0</v>
      </c>
      <c r="Z85" s="82">
        <f t="shared" ca="1" si="24"/>
        <v>0</v>
      </c>
      <c r="AA85" s="234">
        <f ca="1">IFERROR(__xludf.DUMMYFUNCTION("IMPORTRANGE(""https://docs.google.com/spreadsheets/d/1YiDIE7Klmt8osgdapRqYWNr7iPGFSsiJqq46S7PYRE0/edit?usp=sharing"",""ระนอง!I649"")"),7)</f>
        <v>7</v>
      </c>
      <c r="AB85" s="81">
        <f ca="1">IFERROR(__xludf.DUMMYFUNCTION("IMPORTRANGE(""https://docs.google.com/spreadsheets/d/1YiDIE7Klmt8osgdapRqYWNr7iPGFSsiJqq46S7PYRE0/edit?usp=sharing"",""ระนอง!J649"")"),0)</f>
        <v>0</v>
      </c>
      <c r="AC85" s="276">
        <f ca="1">IFERROR(__xludf.DUMMYFUNCTION("IMPORTRANGE(""https://docs.google.com/spreadsheets/d/1YiDIE7Klmt8osgdapRqYWNr7iPGFSsiJqq46S7PYRE0/edit?usp=sharing"",""ระนอง!J650"")"),0)</f>
        <v>0</v>
      </c>
      <c r="AD85" s="82">
        <f t="shared" ca="1" si="25"/>
        <v>0</v>
      </c>
      <c r="AE85" s="234">
        <f ca="1">IFERROR(__xludf.DUMMYFUNCTION("IMPORTRANGE(""https://docs.google.com/spreadsheets/d/1YiDIE7Klmt8osgdapRqYWNr7iPGFSsiJqq46S7PYRE0/edit?usp=sharing"",""ระนอง!I651"")"),7)</f>
        <v>7</v>
      </c>
      <c r="AF85" s="81">
        <f ca="1">IFERROR(__xludf.DUMMYFUNCTION("IMPORTRANGE(""https://docs.google.com/spreadsheets/d/1YiDIE7Klmt8osgdapRqYWNr7iPGFSsiJqq46S7PYRE0/edit?usp=sharing"",""ระนอง!J651"")"),0)</f>
        <v>0</v>
      </c>
      <c r="AG85" s="276">
        <f ca="1">IFERROR(__xludf.DUMMYFUNCTION("IMPORTRANGE(""https://docs.google.com/spreadsheets/d/1YiDIE7Klmt8osgdapRqYWNr7iPGFSsiJqq46S7PYRE0/edit?usp=sharing"",""ระนอง!J652"")"),0)</f>
        <v>0</v>
      </c>
      <c r="AH85" s="82">
        <f t="shared" ca="1" si="26"/>
        <v>0</v>
      </c>
    </row>
    <row r="86" spans="1:34" ht="24" customHeight="1" x14ac:dyDescent="0.3">
      <c r="A86" s="72">
        <v>12</v>
      </c>
      <c r="B86" s="73" t="s">
        <v>103</v>
      </c>
      <c r="C86" s="74">
        <f t="shared" ca="1" si="62"/>
        <v>368255</v>
      </c>
      <c r="D86" s="75">
        <f ca="1">IFERROR(__xludf.DUMMYFUNCTION("IMPORTRANGE(""https://docs.google.com/spreadsheets/d/16o_4B-V7AWw_6E93bSpXj_XxVv1oVQctk-B6z1dNEWU/edit?usp=sharing"",""สงขลา!L634"")"),368255)</f>
        <v>368255</v>
      </c>
      <c r="E86" s="76">
        <f ca="1">IFERROR(__xludf.DUMMYFUNCTION("IMPORTRANGE(""https://docs.google.com/spreadsheets/d/16o_4B-V7AWw_6E93bSpXj_XxVv1oVQctk-B6z1dNEWU/edit?usp=sharing"",""สงขลา!L641"")"),0)</f>
        <v>0</v>
      </c>
      <c r="F86" s="77">
        <f t="shared" ca="1" si="1"/>
        <v>132250</v>
      </c>
      <c r="G86" s="78">
        <f t="shared" ca="1" si="2"/>
        <v>35.912614900001358</v>
      </c>
      <c r="H86" s="79">
        <f t="shared" ca="1" si="63"/>
        <v>132250</v>
      </c>
      <c r="I86" s="76">
        <f ca="1">IFERROR(__xludf.DUMMYFUNCTION("IMPORTRANGE(""https://docs.google.com/spreadsheets/d/16o_4B-V7AWw_6E93bSpXj_XxVv1oVQctk-B6z1dNEWU/edit?usp=sharing"",""สงขลา!N635"")"),0)</f>
        <v>0</v>
      </c>
      <c r="J86" s="76">
        <f ca="1">IFERROR(__xludf.DUMMYFUNCTION("IMPORTRANGE(""https://docs.google.com/spreadsheets/d/16o_4B-V7AWw_6E93bSpXj_XxVv1oVQctk-B6z1dNEWU/edit?usp=sharing"",""สงขลา!N636"")"),0)</f>
        <v>0</v>
      </c>
      <c r="K86" s="76">
        <f ca="1">IFERROR(__xludf.DUMMYFUNCTION("IMPORTRANGE(""https://docs.google.com/spreadsheets/d/16o_4B-V7AWw_6E93bSpXj_XxVv1oVQctk-B6z1dNEWU/edit?usp=sharing"",""สงขลา!N637"")"),52000)</f>
        <v>52000</v>
      </c>
      <c r="L86" s="76">
        <f ca="1">IFERROR(__xludf.DUMMYFUNCTION("IMPORTRANGE(""https://docs.google.com/spreadsheets/d/16o_4B-V7AWw_6E93bSpXj_XxVv1oVQctk-B6z1dNEWU/edit?usp=sharing"",""สงขลา!N638"")"),80250)</f>
        <v>80250</v>
      </c>
      <c r="M86" s="80">
        <f ca="1">IFERROR(__xludf.DUMMYFUNCTION("IMPORTRANGE(""https://docs.google.com/spreadsheets/d/16o_4B-V7AWw_6E93bSpXj_XxVv1oVQctk-B6z1dNEWU/edit?usp=sharing"",""สงขลา!N641"")"),0)</f>
        <v>0</v>
      </c>
      <c r="N86" s="80">
        <f t="shared" ca="1" si="29"/>
        <v>0</v>
      </c>
      <c r="O86" s="81">
        <f ca="1">IFERROR(__xludf.DUMMYFUNCTION("IMPORTRANGE(""https://docs.google.com/spreadsheets/d/16o_4B-V7AWw_6E93bSpXj_XxVv1oVQctk-B6z1dNEWU/edit?usp=sharing"",""สงขลา!I643"")"),0)</f>
        <v>0</v>
      </c>
      <c r="P86" s="81">
        <f ca="1">IFERROR(__xludf.DUMMYFUNCTION("IMPORTRANGE(""https://docs.google.com/spreadsheets/d/16o_4B-V7AWw_6E93bSpXj_XxVv1oVQctk-B6z1dNEWU/edit?usp=sharing"",""สงขลา!J643"")"),0)</f>
        <v>0</v>
      </c>
      <c r="Q86" s="82">
        <f t="shared" ca="1" si="22"/>
        <v>0</v>
      </c>
      <c r="R86" s="81">
        <f ca="1">IFERROR(__xludf.DUMMYFUNCTION("IMPORTRANGE(""https://docs.google.com/spreadsheets/d/16o_4B-V7AWw_6E93bSpXj_XxVv1oVQctk-B6z1dNEWU/edit?usp=sharing"",""สงขลา!I644"")"),0)</f>
        <v>0</v>
      </c>
      <c r="S86" s="81">
        <f ca="1">IFERROR(__xludf.DUMMYFUNCTION("IMPORTRANGE(""https://docs.google.com/spreadsheets/d/16o_4B-V7AWw_6E93bSpXj_XxVv1oVQctk-B6z1dNEWU/edit?usp=sharing"",""สงขลา!J644"")"),0)</f>
        <v>0</v>
      </c>
      <c r="T86" s="82">
        <f t="shared" ca="1" si="23"/>
        <v>0</v>
      </c>
      <c r="U86" s="81">
        <f ca="1">IFERROR(__xludf.DUMMYFUNCTION("IMPORTRANGE(""https://docs.google.com/spreadsheets/d/16o_4B-V7AWw_6E93bSpXj_XxVv1oVQctk-B6z1dNEWU/edit?usp=sharing"",""สงขลา!J645"")"),0)</f>
        <v>0</v>
      </c>
      <c r="V86" s="276">
        <f ca="1">IFERROR(__xludf.DUMMYFUNCTION("IMPORTRANGE(""https://docs.google.com/spreadsheets/d/16o_4B-V7AWw_6E93bSpXj_XxVv1oVQctk-B6z1dNEWU/edit?usp=sharing"",""สงขลา!J646"")"),0)</f>
        <v>0</v>
      </c>
      <c r="W86" s="81">
        <f ca="1">IFERROR(__xludf.DUMMYFUNCTION("IMPORTRANGE(""https://docs.google.com/spreadsheets/d/16o_4B-V7AWw_6E93bSpXj_XxVv1oVQctk-B6z1dNEWU/edit?usp=sharing"",""สงขลา!I647"")"),100)</f>
        <v>100</v>
      </c>
      <c r="X86" s="81">
        <f ca="1">IFERROR(__xludf.DUMMYFUNCTION("IMPORTRANGE(""https://docs.google.com/spreadsheets/d/16o_4B-V7AWw_6E93bSpXj_XxVv1oVQctk-B6z1dNEWU/edit?usp=sharing"",""สงขลา!J647"")"),59)</f>
        <v>59</v>
      </c>
      <c r="Y86" s="276">
        <f ca="1">IFERROR(__xludf.DUMMYFUNCTION("IMPORTRANGE(""https://docs.google.com/spreadsheets/d/16o_4B-V7AWw_6E93bSpXj_XxVv1oVQctk-B6z1dNEWU/edit?usp=sharing"",""สงขลา!J648"")"),15.1)</f>
        <v>15.1</v>
      </c>
      <c r="Z86" s="82">
        <f t="shared" ca="1" si="24"/>
        <v>59</v>
      </c>
      <c r="AA86" s="234">
        <f ca="1">IFERROR(__xludf.DUMMYFUNCTION("IMPORTRANGE(""https://docs.google.com/spreadsheets/d/16o_4B-V7AWw_6E93bSpXj_XxVv1oVQctk-B6z1dNEWU/edit?usp=sharing"",""สงขลา!I649"")"),100)</f>
        <v>100</v>
      </c>
      <c r="AB86" s="81">
        <f ca="1">IFERROR(__xludf.DUMMYFUNCTION("IMPORTRANGE(""https://docs.google.com/spreadsheets/d/16o_4B-V7AWw_6E93bSpXj_XxVv1oVQctk-B6z1dNEWU/edit?usp=sharing"",""สงขลา!J649"")"),59)</f>
        <v>59</v>
      </c>
      <c r="AC86" s="276">
        <f ca="1">IFERROR(__xludf.DUMMYFUNCTION("IMPORTRANGE(""https://docs.google.com/spreadsheets/d/16o_4B-V7AWw_6E93bSpXj_XxVv1oVQctk-B6z1dNEWU/edit?usp=sharing"",""สงขลา!J650"")"),15.1)</f>
        <v>15.1</v>
      </c>
      <c r="AD86" s="82">
        <f t="shared" ca="1" si="25"/>
        <v>59</v>
      </c>
      <c r="AE86" s="234">
        <f ca="1">IFERROR(__xludf.DUMMYFUNCTION("IMPORTRANGE(""https://docs.google.com/spreadsheets/d/16o_4B-V7AWw_6E93bSpXj_XxVv1oVQctk-B6z1dNEWU/edit?usp=sharing"",""สงขลา!I651"")"),100)</f>
        <v>100</v>
      </c>
      <c r="AF86" s="81">
        <f ca="1">IFERROR(__xludf.DUMMYFUNCTION("IMPORTRANGE(""https://docs.google.com/spreadsheets/d/16o_4B-V7AWw_6E93bSpXj_XxVv1oVQctk-B6z1dNEWU/edit?usp=sharing"",""สงขลา!J651"")"),0)</f>
        <v>0</v>
      </c>
      <c r="AG86" s="276">
        <f ca="1">IFERROR(__xludf.DUMMYFUNCTION("IMPORTRANGE(""https://docs.google.com/spreadsheets/d/16o_4B-V7AWw_6E93bSpXj_XxVv1oVQctk-B6z1dNEWU/edit?usp=sharing"",""สงขลา!J652"")"),0)</f>
        <v>0</v>
      </c>
      <c r="AH86" s="82">
        <f t="shared" ca="1" si="26"/>
        <v>0</v>
      </c>
    </row>
    <row r="87" spans="1:34" ht="24" customHeight="1" x14ac:dyDescent="0.3">
      <c r="A87" s="72">
        <v>13</v>
      </c>
      <c r="B87" s="73" t="s">
        <v>104</v>
      </c>
      <c r="C87" s="74">
        <f t="shared" ca="1" si="62"/>
        <v>0</v>
      </c>
      <c r="D87" s="75">
        <f ca="1">IFERROR(__xludf.DUMMYFUNCTION("IMPORTRANGE(""https://docs.google.com/spreadsheets/d/16cywr71Fj4fA5OGRHsZh30ZG2gwJhMAQv69oVBzYHv0/edit?usp=sharing"",""สตูล!L634"")"),0)</f>
        <v>0</v>
      </c>
      <c r="E87" s="76">
        <f ca="1">IFERROR(__xludf.DUMMYFUNCTION("IMPORTRANGE(""https://docs.google.com/spreadsheets/d/16cywr71Fj4fA5OGRHsZh30ZG2gwJhMAQv69oVBzYHv0/edit?usp=sharing"",""สตูล!L641"")"),0)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63"/>
        <v>0</v>
      </c>
      <c r="I87" s="76">
        <f ca="1">IFERROR(__xludf.DUMMYFUNCTION("IMPORTRANGE(""https://docs.google.com/spreadsheets/d/16cywr71Fj4fA5OGRHsZh30ZG2gwJhMAQv69oVBzYHv0/edit?usp=sharing"",""สตูล!N635"")"),0)</f>
        <v>0</v>
      </c>
      <c r="J87" s="76">
        <f ca="1">IFERROR(__xludf.DUMMYFUNCTION("IMPORTRANGE(""https://docs.google.com/spreadsheets/d/16cywr71Fj4fA5OGRHsZh30ZG2gwJhMAQv69oVBzYHv0/edit?usp=sharing"",""สตูล!N636"")"),0)</f>
        <v>0</v>
      </c>
      <c r="K87" s="76">
        <f ca="1">IFERROR(__xludf.DUMMYFUNCTION("IMPORTRANGE(""https://docs.google.com/spreadsheets/d/16cywr71Fj4fA5OGRHsZh30ZG2gwJhMAQv69oVBzYHv0/edit?usp=sharing"",""สตูล!N637"")"),0)</f>
        <v>0</v>
      </c>
      <c r="L87" s="76">
        <f ca="1">IFERROR(__xludf.DUMMYFUNCTION("IMPORTRANGE(""https://docs.google.com/spreadsheets/d/16cywr71Fj4fA5OGRHsZh30ZG2gwJhMAQv69oVBzYHv0/edit?usp=sharing"",""สตูล!N638"")"),0)</f>
        <v>0</v>
      </c>
      <c r="M87" s="80">
        <f ca="1">IFERROR(__xludf.DUMMYFUNCTION("IMPORTRANGE(""https://docs.google.com/spreadsheets/d/16cywr71Fj4fA5OGRHsZh30ZG2gwJhMAQv69oVBzYHv0/edit?usp=sharing"",""สตูล!N641"")"),0)</f>
        <v>0</v>
      </c>
      <c r="N87" s="80">
        <f t="shared" ca="1" si="29"/>
        <v>0</v>
      </c>
      <c r="O87" s="81">
        <f ca="1">IFERROR(__xludf.DUMMYFUNCTION("IMPORTRANGE(""https://docs.google.com/spreadsheets/d/16cywr71Fj4fA5OGRHsZh30ZG2gwJhMAQv69oVBzYHv0/edit?usp=sharing"",""สตูล!I643"")"),0)</f>
        <v>0</v>
      </c>
      <c r="P87" s="81">
        <f ca="1">IFERROR(__xludf.DUMMYFUNCTION("IMPORTRANGE(""https://docs.google.com/spreadsheets/d/16cywr71Fj4fA5OGRHsZh30ZG2gwJhMAQv69oVBzYHv0/edit?usp=sharing"",""สตูล!J643"")"),0)</f>
        <v>0</v>
      </c>
      <c r="Q87" s="82">
        <f t="shared" ca="1" si="22"/>
        <v>0</v>
      </c>
      <c r="R87" s="81">
        <f ca="1">IFERROR(__xludf.DUMMYFUNCTION("IMPORTRANGE(""https://docs.google.com/spreadsheets/d/16cywr71Fj4fA5OGRHsZh30ZG2gwJhMAQv69oVBzYHv0/edit?usp=sharing"",""สตูล!I644"")"),0)</f>
        <v>0</v>
      </c>
      <c r="S87" s="81">
        <f ca="1">IFERROR(__xludf.DUMMYFUNCTION("IMPORTRANGE(""https://docs.google.com/spreadsheets/d/16cywr71Fj4fA5OGRHsZh30ZG2gwJhMAQv69oVBzYHv0/edit?usp=sharing"",""สตูล!J644"")"),0)</f>
        <v>0</v>
      </c>
      <c r="T87" s="82">
        <f t="shared" ca="1" si="23"/>
        <v>0</v>
      </c>
      <c r="U87" s="81">
        <f ca="1">IFERROR(__xludf.DUMMYFUNCTION("IMPORTRANGE(""https://docs.google.com/spreadsheets/d/16cywr71Fj4fA5OGRHsZh30ZG2gwJhMAQv69oVBzYHv0/edit?usp=sharing"",""สตูล!J645"")"),0)</f>
        <v>0</v>
      </c>
      <c r="V87" s="276">
        <f ca="1">IFERROR(__xludf.DUMMYFUNCTION("IMPORTRANGE(""https://docs.google.com/spreadsheets/d/16cywr71Fj4fA5OGRHsZh30ZG2gwJhMAQv69oVBzYHv0/edit?usp=sharing"",""สตูล!J646"")"),0)</f>
        <v>0</v>
      </c>
      <c r="W87" s="81">
        <f ca="1">IFERROR(__xludf.DUMMYFUNCTION("IMPORTRANGE(""https://docs.google.com/spreadsheets/d/16cywr71Fj4fA5OGRHsZh30ZG2gwJhMAQv69oVBzYHv0/edit?usp=sharing"",""สตูล!I647"")"),0)</f>
        <v>0</v>
      </c>
      <c r="X87" s="81">
        <f ca="1">IFERROR(__xludf.DUMMYFUNCTION("IMPORTRANGE(""https://docs.google.com/spreadsheets/d/16cywr71Fj4fA5OGRHsZh30ZG2gwJhMAQv69oVBzYHv0/edit?usp=sharing"",""สตูล!J647"")"),0)</f>
        <v>0</v>
      </c>
      <c r="Y87" s="276">
        <f ca="1">IFERROR(__xludf.DUMMYFUNCTION("IMPORTRANGE(""https://docs.google.com/spreadsheets/d/16cywr71Fj4fA5OGRHsZh30ZG2gwJhMAQv69oVBzYHv0/edit?usp=sharing"",""สตูล!J648"")"),0)</f>
        <v>0</v>
      </c>
      <c r="Z87" s="82">
        <f t="shared" ca="1" si="24"/>
        <v>0</v>
      </c>
      <c r="AA87" s="234">
        <f ca="1">IFERROR(__xludf.DUMMYFUNCTION("IMPORTRANGE(""https://docs.google.com/spreadsheets/d/16cywr71Fj4fA5OGRHsZh30ZG2gwJhMAQv69oVBzYHv0/edit?usp=sharing"",""สตูล!I649"")"),0)</f>
        <v>0</v>
      </c>
      <c r="AB87" s="81">
        <f ca="1">IFERROR(__xludf.DUMMYFUNCTION("IMPORTRANGE(""https://docs.google.com/spreadsheets/d/16cywr71Fj4fA5OGRHsZh30ZG2gwJhMAQv69oVBzYHv0/edit?usp=sharing"",""สตูล!J649"")"),0)</f>
        <v>0</v>
      </c>
      <c r="AC87" s="276">
        <f ca="1">IFERROR(__xludf.DUMMYFUNCTION("IMPORTRANGE(""https://docs.google.com/spreadsheets/d/16cywr71Fj4fA5OGRHsZh30ZG2gwJhMAQv69oVBzYHv0/edit?usp=sharing"",""สตูล!J650"")"),0)</f>
        <v>0</v>
      </c>
      <c r="AD87" s="82">
        <f t="shared" ca="1" si="25"/>
        <v>0</v>
      </c>
      <c r="AE87" s="234">
        <f ca="1">IFERROR(__xludf.DUMMYFUNCTION("IMPORTRANGE(""https://docs.google.com/spreadsheets/d/16cywr71Fj4fA5OGRHsZh30ZG2gwJhMAQv69oVBzYHv0/edit?usp=sharing"",""สตูล!I651"")"),0)</f>
        <v>0</v>
      </c>
      <c r="AF87" s="81">
        <f ca="1">IFERROR(__xludf.DUMMYFUNCTION("IMPORTRANGE(""https://docs.google.com/spreadsheets/d/16cywr71Fj4fA5OGRHsZh30ZG2gwJhMAQv69oVBzYHv0/edit?usp=sharing"",""สตูล!J651"")"),0)</f>
        <v>0</v>
      </c>
      <c r="AG87" s="276">
        <f ca="1">IFERROR(__xludf.DUMMYFUNCTION("IMPORTRANGE(""https://docs.google.com/spreadsheets/d/16cywr71Fj4fA5OGRHsZh30ZG2gwJhMAQv69oVBzYHv0/edit?usp=sharing"",""สตูล!J652"")"),0)</f>
        <v>0</v>
      </c>
      <c r="AH87" s="82">
        <f t="shared" ca="1" si="26"/>
        <v>0</v>
      </c>
    </row>
    <row r="88" spans="1:34" ht="24" customHeight="1" x14ac:dyDescent="0.3">
      <c r="A88" s="83">
        <v>14</v>
      </c>
      <c r="B88" s="84" t="s">
        <v>105</v>
      </c>
      <c r="C88" s="85">
        <f t="shared" ca="1" si="62"/>
        <v>0</v>
      </c>
      <c r="D88" s="86">
        <f ca="1">IFERROR(__xludf.DUMMYFUNCTION("IMPORTRANGE(""https://docs.google.com/spreadsheets/d/1vO9Sws6kMtrVtyvrAJptINXjK8TFBoX9xLYOVK_C8bQ/edit?usp=sharing"",""สุราษฎร์ธานี!L634"")"),0)</f>
        <v>0</v>
      </c>
      <c r="E88" s="87">
        <f ca="1">IFERROR(__xludf.DUMMYFUNCTION("IMPORTRANGE(""https://docs.google.com/spreadsheets/d/1vO9Sws6kMtrVtyvrAJptINXjK8TFBoX9xLYOVK_C8bQ/edit?usp=sharing"",""สุราษฎร์ธานี!L641"")"),0)</f>
        <v>0</v>
      </c>
      <c r="F88" s="88">
        <f t="shared" ca="1" si="1"/>
        <v>0</v>
      </c>
      <c r="G88" s="89">
        <f t="shared" ca="1" si="2"/>
        <v>0</v>
      </c>
      <c r="H88" s="90">
        <f t="shared" ca="1" si="63"/>
        <v>0</v>
      </c>
      <c r="I88" s="87">
        <f ca="1">IFERROR(__xludf.DUMMYFUNCTION("IMPORTRANGE(""https://docs.google.com/spreadsheets/d/1vO9Sws6kMtrVtyvrAJptINXjK8TFBoX9xLYOVK_C8bQ/edit?usp=sharing"",""สุราษฎร์ธานี!N635"")"),0)</f>
        <v>0</v>
      </c>
      <c r="J88" s="87">
        <f ca="1">IFERROR(__xludf.DUMMYFUNCTION("IMPORTRANGE(""https://docs.google.com/spreadsheets/d/1vO9Sws6kMtrVtyvrAJptINXjK8TFBoX9xLYOVK_C8bQ/edit?usp=sharing"",""สุราษฎร์ธานี!N636"")"),0)</f>
        <v>0</v>
      </c>
      <c r="K88" s="87">
        <f ca="1">IFERROR(__xludf.DUMMYFUNCTION("IMPORTRANGE(""https://docs.google.com/spreadsheets/d/1vO9Sws6kMtrVtyvrAJptINXjK8TFBoX9xLYOVK_C8bQ/edit?usp=sharing"",""สุราษฎร์ธานี!N637"")"),0)</f>
        <v>0</v>
      </c>
      <c r="L88" s="87">
        <f ca="1">IFERROR(__xludf.DUMMYFUNCTION("IMPORTRANGE(""https://docs.google.com/spreadsheets/d/1vO9Sws6kMtrVtyvrAJptINXjK8TFBoX9xLYOVK_C8bQ/edit?usp=sharing"",""สุราษฎร์ธานี!N638"")"),0)</f>
        <v>0</v>
      </c>
      <c r="M88" s="91">
        <f ca="1">IFERROR(__xludf.DUMMYFUNCTION("IMPORTRANGE(""https://docs.google.com/spreadsheets/d/1vO9Sws6kMtrVtyvrAJptINXjK8TFBoX9xLYOVK_C8bQ/edit?usp=sharing"",""สุราษฎร์ธานี!N641"")"),0)</f>
        <v>0</v>
      </c>
      <c r="N88" s="91">
        <f t="shared" ca="1" si="29"/>
        <v>0</v>
      </c>
      <c r="O88" s="92">
        <f ca="1">IFERROR(__xludf.DUMMYFUNCTION("IMPORTRANGE(""https://docs.google.com/spreadsheets/d/1vO9Sws6kMtrVtyvrAJptINXjK8TFBoX9xLYOVK_C8bQ/edit?usp=sharing"",""สุราษฎร์ธานี!I643"")"),0)</f>
        <v>0</v>
      </c>
      <c r="P88" s="92">
        <f ca="1">IFERROR(__xludf.DUMMYFUNCTION("IMPORTRANGE(""https://docs.google.com/spreadsheets/d/1vO9Sws6kMtrVtyvrAJptINXjK8TFBoX9xLYOVK_C8bQ/edit?usp=sharing"",""สุราษฎร์ธานี!J643"")"),0)</f>
        <v>0</v>
      </c>
      <c r="Q88" s="93">
        <f t="shared" ca="1" si="22"/>
        <v>0</v>
      </c>
      <c r="R88" s="92">
        <f ca="1">IFERROR(__xludf.DUMMYFUNCTION("IMPORTRANGE(""https://docs.google.com/spreadsheets/d/1vO9Sws6kMtrVtyvrAJptINXjK8TFBoX9xLYOVK_C8bQ/edit?usp=sharing"",""สุราษฎร์ธานี!I644"")"),0)</f>
        <v>0</v>
      </c>
      <c r="S88" s="92">
        <f ca="1">IFERROR(__xludf.DUMMYFUNCTION("IMPORTRANGE(""https://docs.google.com/spreadsheets/d/1vO9Sws6kMtrVtyvrAJptINXjK8TFBoX9xLYOVK_C8bQ/edit?usp=sharing"",""สุราษฎร์ธานี!J644"")"),0)</f>
        <v>0</v>
      </c>
      <c r="T88" s="93">
        <f t="shared" ca="1" si="23"/>
        <v>0</v>
      </c>
      <c r="U88" s="92">
        <f ca="1">IFERROR(__xludf.DUMMYFUNCTION("IMPORTRANGE(""https://docs.google.com/spreadsheets/d/1vO9Sws6kMtrVtyvrAJptINXjK8TFBoX9xLYOVK_C8bQ/edit?usp=sharing"",""สุราษฎร์ธานี!J645"")"),0)</f>
        <v>0</v>
      </c>
      <c r="V88" s="277">
        <f ca="1">IFERROR(__xludf.DUMMYFUNCTION("IMPORTRANGE(""https://docs.google.com/spreadsheets/d/1vO9Sws6kMtrVtyvrAJptINXjK8TFBoX9xLYOVK_C8bQ/edit?usp=sharing"",""สุราษฎร์ธานี!J646"")"),0)</f>
        <v>0</v>
      </c>
      <c r="W88" s="92">
        <f ca="1">IFERROR(__xludf.DUMMYFUNCTION("IMPORTRANGE(""https://docs.google.com/spreadsheets/d/1vO9Sws6kMtrVtyvrAJptINXjK8TFBoX9xLYOVK_C8bQ/edit?usp=sharing"",""สุราษฎร์ธานี!I647"")"),0)</f>
        <v>0</v>
      </c>
      <c r="X88" s="92">
        <f ca="1">IFERROR(__xludf.DUMMYFUNCTION("IMPORTRANGE(""https://docs.google.com/spreadsheets/d/1vO9Sws6kMtrVtyvrAJptINXjK8TFBoX9xLYOVK_C8bQ/edit?usp=sharing"",""สุราษฎร์ธานี!J647"")"),0)</f>
        <v>0</v>
      </c>
      <c r="Y88" s="277">
        <f ca="1">IFERROR(__xludf.DUMMYFUNCTION("IMPORTRANGE(""https://docs.google.com/spreadsheets/d/1vO9Sws6kMtrVtyvrAJptINXjK8TFBoX9xLYOVK_C8bQ/edit?usp=sharing"",""สุราษฎร์ธานี!J648"")"),0)</f>
        <v>0</v>
      </c>
      <c r="Z88" s="93">
        <f t="shared" ca="1" si="24"/>
        <v>0</v>
      </c>
      <c r="AA88" s="235">
        <f ca="1">IFERROR(__xludf.DUMMYFUNCTION("IMPORTRANGE(""https://docs.google.com/spreadsheets/d/1vO9Sws6kMtrVtyvrAJptINXjK8TFBoX9xLYOVK_C8bQ/edit?usp=sharing"",""สุราษฎร์ธานี!I649"")"),0)</f>
        <v>0</v>
      </c>
      <c r="AB88" s="92">
        <f ca="1">IFERROR(__xludf.DUMMYFUNCTION("IMPORTRANGE(""https://docs.google.com/spreadsheets/d/1vO9Sws6kMtrVtyvrAJptINXjK8TFBoX9xLYOVK_C8bQ/edit?usp=sharing"",""สุราษฎร์ธานี!J649"")"),0)</f>
        <v>0</v>
      </c>
      <c r="AC88" s="277">
        <f ca="1">IFERROR(__xludf.DUMMYFUNCTION("IMPORTRANGE(""https://docs.google.com/spreadsheets/d/1vO9Sws6kMtrVtyvrAJptINXjK8TFBoX9xLYOVK_C8bQ/edit?usp=sharing"",""สุราษฎร์ธานี!J650"")"),0)</f>
        <v>0</v>
      </c>
      <c r="AD88" s="93">
        <f t="shared" ca="1" si="25"/>
        <v>0</v>
      </c>
      <c r="AE88" s="235">
        <f ca="1">IFERROR(__xludf.DUMMYFUNCTION("IMPORTRANGE(""https://docs.google.com/spreadsheets/d/1vO9Sws6kMtrVtyvrAJptINXjK8TFBoX9xLYOVK_C8bQ/edit?usp=sharing"",""สุราษฎร์ธานี!I651"")"),0)</f>
        <v>0</v>
      </c>
      <c r="AF88" s="92">
        <f ca="1">IFERROR(__xludf.DUMMYFUNCTION("IMPORTRANGE(""https://docs.google.com/spreadsheets/d/1vO9Sws6kMtrVtyvrAJptINXjK8TFBoX9xLYOVK_C8bQ/edit?usp=sharing"",""สุราษฎร์ธานี!J651"")"),0)</f>
        <v>0</v>
      </c>
      <c r="AG88" s="277">
        <f ca="1">IFERROR(__xludf.DUMMYFUNCTION("IMPORTRANGE(""https://docs.google.com/spreadsheets/d/1vO9Sws6kMtrVtyvrAJptINXjK8TFBoX9xLYOVK_C8bQ/edit?usp=sharing"",""สุราษฎร์ธานี!J652"")"),0)</f>
        <v>0</v>
      </c>
      <c r="AH88" s="93">
        <f t="shared" ca="1" si="26"/>
        <v>0</v>
      </c>
    </row>
    <row r="89" spans="1:34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29"/>
        <v>0</v>
      </c>
      <c r="O89" s="43"/>
      <c r="P89" s="43"/>
      <c r="Q89" s="46"/>
      <c r="R89" s="43"/>
      <c r="S89" s="43"/>
      <c r="T89" s="46"/>
      <c r="U89" s="43"/>
      <c r="V89" s="43"/>
      <c r="W89" s="43"/>
      <c r="X89" s="43"/>
      <c r="Y89" s="43"/>
      <c r="Z89" s="46"/>
      <c r="AA89" s="232"/>
      <c r="AB89" s="43"/>
      <c r="AC89" s="43"/>
      <c r="AD89" s="46"/>
      <c r="AE89" s="232"/>
      <c r="AF89" s="43"/>
      <c r="AG89" s="43"/>
      <c r="AH89" s="46"/>
    </row>
    <row r="90" spans="1:34" ht="24" hidden="1" customHeight="1" x14ac:dyDescent="0.2">
      <c r="A90" s="103">
        <v>1</v>
      </c>
      <c r="B90" s="104" t="s">
        <v>107</v>
      </c>
      <c r="C90" s="97">
        <f t="shared" ref="C90:C103" si="64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65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29"/>
        <v>0</v>
      </c>
      <c r="O90" s="107"/>
      <c r="P90" s="107"/>
      <c r="Q90" s="108"/>
      <c r="R90" s="107"/>
      <c r="S90" s="107"/>
      <c r="T90" s="108"/>
      <c r="U90" s="107"/>
      <c r="V90" s="107"/>
      <c r="W90" s="107"/>
      <c r="X90" s="107"/>
      <c r="Y90" s="107"/>
      <c r="Z90" s="108"/>
      <c r="AA90" s="236"/>
      <c r="AB90" s="107"/>
      <c r="AC90" s="107"/>
      <c r="AD90" s="108"/>
      <c r="AE90" s="236"/>
      <c r="AF90" s="107"/>
      <c r="AG90" s="107"/>
      <c r="AH90" s="108"/>
    </row>
    <row r="91" spans="1:34" ht="24" hidden="1" customHeight="1" x14ac:dyDescent="0.2">
      <c r="A91" s="109">
        <v>2</v>
      </c>
      <c r="B91" s="110" t="s">
        <v>108</v>
      </c>
      <c r="C91" s="74">
        <f t="shared" si="64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65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29"/>
        <v>0</v>
      </c>
      <c r="O91" s="76"/>
      <c r="P91" s="76"/>
      <c r="Q91" s="113"/>
      <c r="R91" s="76"/>
      <c r="S91" s="76"/>
      <c r="T91" s="113"/>
      <c r="U91" s="76"/>
      <c r="V91" s="76"/>
      <c r="W91" s="76"/>
      <c r="X91" s="76"/>
      <c r="Y91" s="76"/>
      <c r="Z91" s="113"/>
      <c r="AA91" s="236"/>
      <c r="AB91" s="76"/>
      <c r="AC91" s="76"/>
      <c r="AD91" s="113"/>
      <c r="AE91" s="236"/>
      <c r="AF91" s="76"/>
      <c r="AG91" s="76"/>
      <c r="AH91" s="113"/>
    </row>
    <row r="92" spans="1:34" ht="24" hidden="1" customHeight="1" x14ac:dyDescent="0.2">
      <c r="A92" s="109">
        <v>3</v>
      </c>
      <c r="B92" s="110" t="s">
        <v>109</v>
      </c>
      <c r="C92" s="74">
        <f t="shared" si="64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65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29"/>
        <v>0</v>
      </c>
      <c r="O92" s="76"/>
      <c r="P92" s="76"/>
      <c r="Q92" s="113"/>
      <c r="R92" s="76"/>
      <c r="S92" s="76"/>
      <c r="T92" s="113"/>
      <c r="U92" s="76"/>
      <c r="V92" s="76"/>
      <c r="W92" s="76"/>
      <c r="X92" s="76"/>
      <c r="Y92" s="76"/>
      <c r="Z92" s="113"/>
      <c r="AA92" s="236"/>
      <c r="AB92" s="76"/>
      <c r="AC92" s="76"/>
      <c r="AD92" s="113"/>
      <c r="AE92" s="236"/>
      <c r="AF92" s="76"/>
      <c r="AG92" s="76"/>
      <c r="AH92" s="113"/>
    </row>
    <row r="93" spans="1:34" ht="24" hidden="1" customHeight="1" x14ac:dyDescent="0.2">
      <c r="A93" s="109">
        <f t="shared" ref="A93:A103" si="66">+A92+1</f>
        <v>4</v>
      </c>
      <c r="B93" s="110" t="s">
        <v>110</v>
      </c>
      <c r="C93" s="74">
        <f t="shared" si="64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65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29"/>
        <v>0</v>
      </c>
      <c r="O93" s="76"/>
      <c r="P93" s="76"/>
      <c r="Q93" s="113"/>
      <c r="R93" s="76"/>
      <c r="S93" s="76"/>
      <c r="T93" s="113"/>
      <c r="U93" s="76"/>
      <c r="V93" s="76"/>
      <c r="W93" s="76"/>
      <c r="X93" s="76"/>
      <c r="Y93" s="76"/>
      <c r="Z93" s="113"/>
      <c r="AA93" s="236"/>
      <c r="AB93" s="76"/>
      <c r="AC93" s="76"/>
      <c r="AD93" s="113"/>
      <c r="AE93" s="236"/>
      <c r="AF93" s="76"/>
      <c r="AG93" s="76"/>
      <c r="AH93" s="113"/>
    </row>
    <row r="94" spans="1:34" ht="24" hidden="1" customHeight="1" x14ac:dyDescent="0.2">
      <c r="A94" s="109">
        <f t="shared" si="66"/>
        <v>5</v>
      </c>
      <c r="B94" s="110" t="s">
        <v>111</v>
      </c>
      <c r="C94" s="74">
        <f t="shared" si="64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65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29"/>
        <v>0</v>
      </c>
      <c r="O94" s="76"/>
      <c r="P94" s="76"/>
      <c r="Q94" s="113"/>
      <c r="R94" s="76"/>
      <c r="S94" s="76"/>
      <c r="T94" s="113"/>
      <c r="U94" s="76"/>
      <c r="V94" s="76"/>
      <c r="W94" s="76"/>
      <c r="X94" s="76"/>
      <c r="Y94" s="76"/>
      <c r="Z94" s="113"/>
      <c r="AA94" s="236"/>
      <c r="AB94" s="76"/>
      <c r="AC94" s="76"/>
      <c r="AD94" s="113"/>
      <c r="AE94" s="236"/>
      <c r="AF94" s="76"/>
      <c r="AG94" s="76"/>
      <c r="AH94" s="113"/>
    </row>
    <row r="95" spans="1:34" ht="24" hidden="1" customHeight="1" x14ac:dyDescent="0.2">
      <c r="A95" s="109">
        <f t="shared" si="66"/>
        <v>6</v>
      </c>
      <c r="B95" s="110" t="s">
        <v>112</v>
      </c>
      <c r="C95" s="74">
        <f t="shared" si="64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65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29"/>
        <v>0</v>
      </c>
      <c r="O95" s="76"/>
      <c r="P95" s="76"/>
      <c r="Q95" s="113"/>
      <c r="R95" s="76"/>
      <c r="S95" s="76"/>
      <c r="T95" s="113"/>
      <c r="U95" s="76"/>
      <c r="V95" s="76"/>
      <c r="W95" s="76"/>
      <c r="X95" s="76"/>
      <c r="Y95" s="76"/>
      <c r="Z95" s="113"/>
      <c r="AA95" s="236"/>
      <c r="AB95" s="76"/>
      <c r="AC95" s="76"/>
      <c r="AD95" s="113"/>
      <c r="AE95" s="236"/>
      <c r="AF95" s="76"/>
      <c r="AG95" s="76"/>
      <c r="AH95" s="113"/>
    </row>
    <row r="96" spans="1:34" ht="24" hidden="1" customHeight="1" x14ac:dyDescent="0.2">
      <c r="A96" s="109">
        <f t="shared" si="66"/>
        <v>7</v>
      </c>
      <c r="B96" s="110" t="s">
        <v>113</v>
      </c>
      <c r="C96" s="74">
        <f t="shared" si="64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65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29"/>
        <v>0</v>
      </c>
      <c r="O96" s="76"/>
      <c r="P96" s="76"/>
      <c r="Q96" s="113"/>
      <c r="R96" s="76"/>
      <c r="S96" s="76"/>
      <c r="T96" s="113"/>
      <c r="U96" s="76"/>
      <c r="V96" s="76"/>
      <c r="W96" s="76"/>
      <c r="X96" s="76"/>
      <c r="Y96" s="76"/>
      <c r="Z96" s="113"/>
      <c r="AA96" s="236"/>
      <c r="AB96" s="76"/>
      <c r="AC96" s="76"/>
      <c r="AD96" s="113"/>
      <c r="AE96" s="236"/>
      <c r="AF96" s="76"/>
      <c r="AG96" s="76"/>
      <c r="AH96" s="113"/>
    </row>
    <row r="97" spans="1:34" ht="24" hidden="1" customHeight="1" x14ac:dyDescent="0.2">
      <c r="A97" s="109">
        <f t="shared" si="66"/>
        <v>8</v>
      </c>
      <c r="B97" s="110" t="s">
        <v>114</v>
      </c>
      <c r="C97" s="74">
        <f t="shared" si="64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65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29"/>
        <v>0</v>
      </c>
      <c r="O97" s="76"/>
      <c r="P97" s="76"/>
      <c r="Q97" s="113"/>
      <c r="R97" s="76"/>
      <c r="S97" s="76"/>
      <c r="T97" s="113"/>
      <c r="U97" s="76"/>
      <c r="V97" s="76"/>
      <c r="W97" s="76"/>
      <c r="X97" s="76"/>
      <c r="Y97" s="76"/>
      <c r="Z97" s="113"/>
      <c r="AA97" s="236"/>
      <c r="AB97" s="76"/>
      <c r="AC97" s="76"/>
      <c r="AD97" s="113"/>
      <c r="AE97" s="236"/>
      <c r="AF97" s="76"/>
      <c r="AG97" s="76"/>
      <c r="AH97" s="113"/>
    </row>
    <row r="98" spans="1:34" ht="24" hidden="1" customHeight="1" x14ac:dyDescent="0.2">
      <c r="A98" s="109">
        <f t="shared" si="66"/>
        <v>9</v>
      </c>
      <c r="B98" s="110" t="s">
        <v>115</v>
      </c>
      <c r="C98" s="74">
        <f t="shared" si="64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65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29"/>
        <v>0</v>
      </c>
      <c r="O98" s="76"/>
      <c r="P98" s="76"/>
      <c r="Q98" s="113"/>
      <c r="R98" s="76"/>
      <c r="S98" s="76"/>
      <c r="T98" s="113"/>
      <c r="U98" s="76"/>
      <c r="V98" s="76"/>
      <c r="W98" s="76"/>
      <c r="X98" s="76"/>
      <c r="Y98" s="76"/>
      <c r="Z98" s="113"/>
      <c r="AA98" s="236"/>
      <c r="AB98" s="76"/>
      <c r="AC98" s="76"/>
      <c r="AD98" s="113"/>
      <c r="AE98" s="236"/>
      <c r="AF98" s="76"/>
      <c r="AG98" s="76"/>
      <c r="AH98" s="113"/>
    </row>
    <row r="99" spans="1:34" ht="24" hidden="1" customHeight="1" x14ac:dyDescent="0.2">
      <c r="A99" s="109">
        <f t="shared" si="66"/>
        <v>10</v>
      </c>
      <c r="B99" s="110" t="s">
        <v>116</v>
      </c>
      <c r="C99" s="74">
        <f t="shared" si="64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65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29"/>
        <v>0</v>
      </c>
      <c r="O99" s="76"/>
      <c r="P99" s="76"/>
      <c r="Q99" s="113"/>
      <c r="R99" s="76"/>
      <c r="S99" s="76"/>
      <c r="T99" s="113"/>
      <c r="U99" s="76"/>
      <c r="V99" s="76"/>
      <c r="W99" s="76"/>
      <c r="X99" s="76"/>
      <c r="Y99" s="76"/>
      <c r="Z99" s="113"/>
      <c r="AA99" s="236"/>
      <c r="AB99" s="76"/>
      <c r="AC99" s="76"/>
      <c r="AD99" s="113"/>
      <c r="AE99" s="236"/>
      <c r="AF99" s="76"/>
      <c r="AG99" s="76"/>
      <c r="AH99" s="113"/>
    </row>
    <row r="100" spans="1:34" ht="24" hidden="1" customHeight="1" x14ac:dyDescent="0.2">
      <c r="A100" s="109">
        <f t="shared" si="66"/>
        <v>11</v>
      </c>
      <c r="B100" s="110" t="s">
        <v>117</v>
      </c>
      <c r="C100" s="74">
        <f t="shared" si="64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65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29"/>
        <v>0</v>
      </c>
      <c r="O100" s="76"/>
      <c r="P100" s="76"/>
      <c r="Q100" s="113"/>
      <c r="R100" s="76"/>
      <c r="S100" s="76"/>
      <c r="T100" s="113"/>
      <c r="U100" s="76"/>
      <c r="V100" s="76"/>
      <c r="W100" s="76"/>
      <c r="X100" s="76"/>
      <c r="Y100" s="76"/>
      <c r="Z100" s="113"/>
      <c r="AA100" s="236"/>
      <c r="AB100" s="76"/>
      <c r="AC100" s="76"/>
      <c r="AD100" s="113"/>
      <c r="AE100" s="236"/>
      <c r="AF100" s="76"/>
      <c r="AG100" s="76"/>
      <c r="AH100" s="113"/>
    </row>
    <row r="101" spans="1:34" ht="24" hidden="1" customHeight="1" x14ac:dyDescent="0.2">
      <c r="A101" s="109">
        <f t="shared" si="66"/>
        <v>12</v>
      </c>
      <c r="B101" s="110" t="s">
        <v>118</v>
      </c>
      <c r="C101" s="74">
        <f t="shared" si="64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65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29"/>
        <v>0</v>
      </c>
      <c r="O101" s="76"/>
      <c r="P101" s="76"/>
      <c r="Q101" s="113"/>
      <c r="R101" s="76"/>
      <c r="S101" s="76"/>
      <c r="T101" s="113"/>
      <c r="U101" s="76"/>
      <c r="V101" s="76"/>
      <c r="W101" s="76"/>
      <c r="X101" s="76"/>
      <c r="Y101" s="76"/>
      <c r="Z101" s="113"/>
      <c r="AA101" s="236"/>
      <c r="AB101" s="76"/>
      <c r="AC101" s="76"/>
      <c r="AD101" s="113"/>
      <c r="AE101" s="236"/>
      <c r="AF101" s="76"/>
      <c r="AG101" s="76"/>
      <c r="AH101" s="113"/>
    </row>
    <row r="102" spans="1:34" ht="24" hidden="1" customHeight="1" x14ac:dyDescent="0.2">
      <c r="A102" s="109">
        <f t="shared" si="66"/>
        <v>13</v>
      </c>
      <c r="B102" s="110" t="s">
        <v>119</v>
      </c>
      <c r="C102" s="74">
        <f t="shared" si="64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65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29"/>
        <v>0</v>
      </c>
      <c r="O102" s="76"/>
      <c r="P102" s="76"/>
      <c r="Q102" s="113"/>
      <c r="R102" s="76"/>
      <c r="S102" s="76"/>
      <c r="T102" s="113"/>
      <c r="U102" s="76"/>
      <c r="V102" s="76"/>
      <c r="W102" s="76"/>
      <c r="X102" s="76"/>
      <c r="Y102" s="76"/>
      <c r="Z102" s="113"/>
      <c r="AA102" s="236"/>
      <c r="AB102" s="76"/>
      <c r="AC102" s="76"/>
      <c r="AD102" s="113"/>
      <c r="AE102" s="236"/>
      <c r="AF102" s="76"/>
      <c r="AG102" s="76"/>
      <c r="AH102" s="113"/>
    </row>
    <row r="103" spans="1:34" ht="24" hidden="1" customHeight="1" x14ac:dyDescent="0.2">
      <c r="A103" s="114">
        <f t="shared" si="66"/>
        <v>14</v>
      </c>
      <c r="B103" s="115" t="s">
        <v>120</v>
      </c>
      <c r="C103" s="85">
        <f t="shared" si="64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65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29"/>
        <v>0</v>
      </c>
      <c r="O103" s="87"/>
      <c r="P103" s="87"/>
      <c r="Q103" s="118"/>
      <c r="R103" s="87"/>
      <c r="S103" s="87"/>
      <c r="T103" s="118"/>
      <c r="U103" s="87"/>
      <c r="V103" s="87"/>
      <c r="W103" s="87"/>
      <c r="X103" s="87"/>
      <c r="Y103" s="87"/>
      <c r="Z103" s="118"/>
      <c r="AA103" s="237"/>
      <c r="AB103" s="87"/>
      <c r="AC103" s="87"/>
      <c r="AD103" s="118"/>
      <c r="AE103" s="237"/>
      <c r="AF103" s="87"/>
      <c r="AG103" s="87"/>
      <c r="AH103" s="118"/>
    </row>
    <row r="104" spans="1:34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29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232"/>
      <c r="AB104" s="43"/>
      <c r="AC104" s="43"/>
      <c r="AD104" s="43"/>
      <c r="AE104" s="232"/>
      <c r="AF104" s="43"/>
      <c r="AG104" s="43"/>
      <c r="AH104" s="43"/>
    </row>
    <row r="105" spans="1:34" ht="24" hidden="1" customHeight="1" x14ac:dyDescent="0.2">
      <c r="A105" s="103">
        <v>1</v>
      </c>
      <c r="B105" s="119" t="s">
        <v>122</v>
      </c>
      <c r="C105" s="120">
        <f t="shared" ref="C105:C116" si="67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68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29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236"/>
      <c r="AB105" s="107"/>
      <c r="AC105" s="107"/>
      <c r="AD105" s="107"/>
      <c r="AE105" s="236"/>
      <c r="AF105" s="107"/>
      <c r="AG105" s="107"/>
      <c r="AH105" s="107"/>
    </row>
    <row r="106" spans="1:34" ht="24" hidden="1" customHeight="1" x14ac:dyDescent="0.2">
      <c r="A106" s="109">
        <v>2</v>
      </c>
      <c r="B106" s="122" t="s">
        <v>123</v>
      </c>
      <c r="C106" s="123">
        <f t="shared" si="67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68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29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236"/>
      <c r="AB106" s="76"/>
      <c r="AC106" s="76"/>
      <c r="AD106" s="76"/>
      <c r="AE106" s="236"/>
      <c r="AF106" s="76"/>
      <c r="AG106" s="76"/>
      <c r="AH106" s="76"/>
    </row>
    <row r="107" spans="1:34" ht="24" hidden="1" customHeight="1" x14ac:dyDescent="0.2">
      <c r="A107" s="109">
        <v>3</v>
      </c>
      <c r="B107" s="122" t="s">
        <v>124</v>
      </c>
      <c r="C107" s="123">
        <f t="shared" si="67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68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29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236"/>
      <c r="AB107" s="76"/>
      <c r="AC107" s="76"/>
      <c r="AD107" s="76"/>
      <c r="AE107" s="236"/>
      <c r="AF107" s="76"/>
      <c r="AG107" s="76"/>
      <c r="AH107" s="76"/>
    </row>
    <row r="108" spans="1:34" ht="24" hidden="1" customHeight="1" x14ac:dyDescent="0.2">
      <c r="A108" s="125">
        <v>4</v>
      </c>
      <c r="B108" s="122" t="s">
        <v>125</v>
      </c>
      <c r="C108" s="123">
        <f t="shared" si="67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68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29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236"/>
      <c r="AB108" s="76"/>
      <c r="AC108" s="76"/>
      <c r="AD108" s="76"/>
      <c r="AE108" s="236"/>
      <c r="AF108" s="76"/>
      <c r="AG108" s="76"/>
      <c r="AH108" s="76"/>
    </row>
    <row r="109" spans="1:34" ht="24" hidden="1" customHeight="1" x14ac:dyDescent="0.2">
      <c r="A109" s="125">
        <v>5</v>
      </c>
      <c r="B109" s="122" t="s">
        <v>126</v>
      </c>
      <c r="C109" s="123">
        <f t="shared" si="67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68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29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236"/>
      <c r="AB109" s="76"/>
      <c r="AC109" s="76"/>
      <c r="AD109" s="76"/>
      <c r="AE109" s="236"/>
      <c r="AF109" s="76"/>
      <c r="AG109" s="76"/>
      <c r="AH109" s="76"/>
    </row>
    <row r="110" spans="1:34" ht="24" hidden="1" customHeight="1" x14ac:dyDescent="0.2">
      <c r="A110" s="125">
        <v>6</v>
      </c>
      <c r="B110" s="122" t="s">
        <v>127</v>
      </c>
      <c r="C110" s="123">
        <f t="shared" si="67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68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29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236"/>
      <c r="AB110" s="76"/>
      <c r="AC110" s="76"/>
      <c r="AD110" s="76"/>
      <c r="AE110" s="236"/>
      <c r="AF110" s="76"/>
      <c r="AG110" s="76"/>
      <c r="AH110" s="76"/>
    </row>
    <row r="111" spans="1:34" ht="24" hidden="1" customHeight="1" x14ac:dyDescent="0.2">
      <c r="A111" s="125">
        <v>7</v>
      </c>
      <c r="B111" s="122" t="s">
        <v>128</v>
      </c>
      <c r="C111" s="123">
        <f t="shared" si="67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68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29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236"/>
      <c r="AB111" s="76"/>
      <c r="AC111" s="76"/>
      <c r="AD111" s="76"/>
      <c r="AE111" s="236"/>
      <c r="AF111" s="76"/>
      <c r="AG111" s="76"/>
      <c r="AH111" s="76"/>
    </row>
    <row r="112" spans="1:34" ht="24" hidden="1" customHeight="1" x14ac:dyDescent="0.2">
      <c r="A112" s="125">
        <v>8</v>
      </c>
      <c r="B112" s="122" t="s">
        <v>129</v>
      </c>
      <c r="C112" s="123">
        <f t="shared" si="67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68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29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236"/>
      <c r="AB112" s="76"/>
      <c r="AC112" s="76"/>
      <c r="AD112" s="76"/>
      <c r="AE112" s="236"/>
      <c r="AF112" s="76"/>
      <c r="AG112" s="76"/>
      <c r="AH112" s="76"/>
    </row>
    <row r="113" spans="1:34" ht="24" hidden="1" customHeight="1" x14ac:dyDescent="0.2">
      <c r="A113" s="125">
        <v>9</v>
      </c>
      <c r="B113" s="122" t="s">
        <v>130</v>
      </c>
      <c r="C113" s="123">
        <f t="shared" si="67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68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29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236"/>
      <c r="AB113" s="76"/>
      <c r="AC113" s="76"/>
      <c r="AD113" s="76"/>
      <c r="AE113" s="236"/>
      <c r="AF113" s="76"/>
      <c r="AG113" s="76"/>
      <c r="AH113" s="76"/>
    </row>
    <row r="114" spans="1:34" ht="24" hidden="1" customHeight="1" x14ac:dyDescent="0.2">
      <c r="A114" s="125">
        <v>10</v>
      </c>
      <c r="B114" s="122" t="s">
        <v>131</v>
      </c>
      <c r="C114" s="123">
        <f t="shared" si="67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68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29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236"/>
      <c r="AB114" s="76"/>
      <c r="AC114" s="76"/>
      <c r="AD114" s="76"/>
      <c r="AE114" s="236"/>
      <c r="AF114" s="76"/>
      <c r="AG114" s="76"/>
      <c r="AH114" s="76"/>
    </row>
    <row r="115" spans="1:34" ht="24" hidden="1" customHeight="1" x14ac:dyDescent="0.2">
      <c r="A115" s="125">
        <v>11</v>
      </c>
      <c r="B115" s="122" t="s">
        <v>132</v>
      </c>
      <c r="C115" s="123">
        <f t="shared" si="67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68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29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236"/>
      <c r="AB115" s="76"/>
      <c r="AC115" s="76"/>
      <c r="AD115" s="76"/>
      <c r="AE115" s="236"/>
      <c r="AF115" s="76"/>
      <c r="AG115" s="76"/>
      <c r="AH115" s="76"/>
    </row>
    <row r="116" spans="1:34" ht="24" hidden="1" customHeight="1" x14ac:dyDescent="0.2">
      <c r="A116" s="125">
        <v>12</v>
      </c>
      <c r="B116" s="122" t="s">
        <v>133</v>
      </c>
      <c r="C116" s="123">
        <f t="shared" si="67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68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29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236"/>
      <c r="AB116" s="76"/>
      <c r="AC116" s="76"/>
      <c r="AD116" s="76"/>
      <c r="AE116" s="236"/>
      <c r="AF116" s="76"/>
      <c r="AG116" s="76"/>
      <c r="AH116" s="76"/>
    </row>
    <row r="117" spans="1:34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</row>
    <row r="118" spans="1:34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</row>
    <row r="119" spans="1:34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</row>
    <row r="120" spans="1:34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</row>
    <row r="121" spans="1:34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</row>
    <row r="122" spans="1:34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</row>
    <row r="123" spans="1:34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</row>
    <row r="124" spans="1:34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</row>
    <row r="125" spans="1:34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</row>
    <row r="126" spans="1:34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</row>
    <row r="127" spans="1:34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</row>
    <row r="128" spans="1:34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</row>
    <row r="129" spans="1:34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</row>
    <row r="130" spans="1:34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</row>
    <row r="131" spans="1:34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</row>
    <row r="132" spans="1:34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</row>
    <row r="133" spans="1:34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</row>
    <row r="134" spans="1:34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</row>
    <row r="135" spans="1:34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</row>
    <row r="136" spans="1:34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</row>
    <row r="137" spans="1:34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</row>
    <row r="138" spans="1:34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</row>
    <row r="139" spans="1:34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</row>
    <row r="140" spans="1:34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</row>
    <row r="141" spans="1:34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</row>
    <row r="142" spans="1:34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</row>
    <row r="143" spans="1:34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</row>
    <row r="144" spans="1:34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</row>
    <row r="145" spans="1:34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</row>
    <row r="146" spans="1:34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</row>
    <row r="147" spans="1:34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</row>
    <row r="148" spans="1:34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</row>
    <row r="149" spans="1:34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</row>
    <row r="150" spans="1:34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</row>
    <row r="151" spans="1:34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</row>
    <row r="152" spans="1:34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</row>
    <row r="153" spans="1:34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</row>
    <row r="154" spans="1:34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</row>
    <row r="155" spans="1:34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</row>
    <row r="156" spans="1:34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</row>
    <row r="157" spans="1:34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</row>
    <row r="158" spans="1:34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</row>
    <row r="159" spans="1:34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</row>
    <row r="160" spans="1:34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</row>
    <row r="161" spans="1:34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</row>
    <row r="162" spans="1:34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</row>
    <row r="163" spans="1:34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</row>
    <row r="164" spans="1:34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</row>
    <row r="165" spans="1:34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</row>
    <row r="166" spans="1:34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</row>
    <row r="167" spans="1:34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</row>
    <row r="168" spans="1:34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</row>
    <row r="169" spans="1:34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</row>
    <row r="170" spans="1:34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</row>
    <row r="171" spans="1:34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</row>
    <row r="172" spans="1:34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</row>
    <row r="173" spans="1:34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</row>
    <row r="174" spans="1:34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</row>
    <row r="175" spans="1:34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</row>
    <row r="176" spans="1:34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</row>
    <row r="177" spans="1:34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</row>
    <row r="178" spans="1:34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</row>
    <row r="179" spans="1:34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</row>
    <row r="180" spans="1:34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</row>
    <row r="181" spans="1:34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</row>
    <row r="182" spans="1:34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</row>
    <row r="183" spans="1:34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</row>
    <row r="184" spans="1:34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</row>
    <row r="185" spans="1:34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</row>
    <row r="186" spans="1:34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</row>
    <row r="187" spans="1:34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</row>
    <row r="188" spans="1:34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</row>
    <row r="189" spans="1:34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</row>
    <row r="190" spans="1:34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</row>
    <row r="191" spans="1:34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</row>
    <row r="192" spans="1:34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</row>
    <row r="193" spans="1:34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</row>
    <row r="194" spans="1:34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</row>
    <row r="195" spans="1:34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</row>
    <row r="196" spans="1:34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</row>
    <row r="197" spans="1:34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</row>
    <row r="198" spans="1:34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</row>
    <row r="199" spans="1:34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</row>
    <row r="200" spans="1:34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</row>
    <row r="201" spans="1:34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</row>
    <row r="202" spans="1:34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</row>
    <row r="203" spans="1:34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</row>
    <row r="204" spans="1:34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</row>
    <row r="205" spans="1:34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</row>
    <row r="206" spans="1:34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</row>
    <row r="207" spans="1:34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</row>
    <row r="208" spans="1:34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</row>
    <row r="209" spans="1:34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</row>
    <row r="210" spans="1:34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</row>
    <row r="211" spans="1:34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</row>
    <row r="212" spans="1:34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</row>
    <row r="213" spans="1:34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</row>
    <row r="214" spans="1:34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</row>
    <row r="215" spans="1:34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</row>
    <row r="216" spans="1:34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</row>
    <row r="217" spans="1:34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</row>
    <row r="218" spans="1:34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</row>
    <row r="219" spans="1:34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</row>
    <row r="220" spans="1:34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</row>
    <row r="221" spans="1:34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</row>
    <row r="222" spans="1:34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</row>
    <row r="223" spans="1:34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</row>
    <row r="224" spans="1:34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</row>
    <row r="225" spans="1:34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</row>
    <row r="226" spans="1:34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</row>
    <row r="227" spans="1:34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</row>
    <row r="228" spans="1:34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</row>
    <row r="229" spans="1:34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</row>
    <row r="230" spans="1:34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</row>
    <row r="231" spans="1:34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</row>
    <row r="232" spans="1:34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</row>
    <row r="233" spans="1:34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</row>
    <row r="234" spans="1:34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</row>
    <row r="235" spans="1:34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</row>
    <row r="236" spans="1:34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</row>
    <row r="237" spans="1:34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</row>
    <row r="238" spans="1:34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</row>
    <row r="239" spans="1:34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</row>
    <row r="240" spans="1:34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</row>
    <row r="241" spans="1:34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</row>
    <row r="242" spans="1:34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</row>
    <row r="243" spans="1:34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</row>
    <row r="244" spans="1:34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</row>
    <row r="245" spans="1:34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</row>
    <row r="246" spans="1:34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</row>
    <row r="247" spans="1:34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</row>
    <row r="248" spans="1:34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</row>
    <row r="249" spans="1:34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</row>
    <row r="250" spans="1:34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</row>
    <row r="251" spans="1:34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</row>
    <row r="252" spans="1:34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</row>
    <row r="253" spans="1:34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</row>
    <row r="254" spans="1:34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</row>
    <row r="255" spans="1:34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</row>
    <row r="256" spans="1:34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</row>
    <row r="257" spans="1:34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</row>
    <row r="258" spans="1:34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</row>
    <row r="259" spans="1:34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</row>
    <row r="260" spans="1:34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</row>
    <row r="261" spans="1:34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</row>
    <row r="262" spans="1:34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</row>
    <row r="263" spans="1:34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</row>
    <row r="264" spans="1:34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</row>
    <row r="265" spans="1:34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</row>
    <row r="266" spans="1:34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</row>
    <row r="267" spans="1:34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</row>
    <row r="268" spans="1:34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</row>
    <row r="269" spans="1:34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</row>
    <row r="270" spans="1:34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</row>
    <row r="271" spans="1:34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</row>
    <row r="272" spans="1:34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</row>
    <row r="273" spans="1:34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</row>
    <row r="274" spans="1:34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</row>
    <row r="275" spans="1:34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</row>
    <row r="276" spans="1:34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</row>
    <row r="277" spans="1:34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</row>
    <row r="278" spans="1:34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</row>
    <row r="279" spans="1:34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</row>
    <row r="280" spans="1:34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</row>
    <row r="281" spans="1:34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</row>
    <row r="282" spans="1:34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</row>
    <row r="283" spans="1:34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</row>
    <row r="284" spans="1:34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</row>
    <row r="285" spans="1:34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</row>
    <row r="286" spans="1:34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</row>
    <row r="287" spans="1:34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</row>
    <row r="288" spans="1:34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</row>
    <row r="289" spans="1:34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</row>
    <row r="290" spans="1:34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</row>
    <row r="291" spans="1:34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</row>
    <row r="292" spans="1:34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</row>
    <row r="293" spans="1:34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</row>
    <row r="294" spans="1:34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</row>
    <row r="295" spans="1:34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</row>
    <row r="296" spans="1:34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</row>
    <row r="297" spans="1:34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</row>
    <row r="298" spans="1:34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</row>
    <row r="299" spans="1:34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</row>
    <row r="300" spans="1:34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</row>
    <row r="301" spans="1:34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</row>
    <row r="302" spans="1:34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</row>
    <row r="303" spans="1:34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</row>
    <row r="304" spans="1:34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</row>
    <row r="305" spans="1:34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</row>
    <row r="306" spans="1:34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</row>
    <row r="307" spans="1:34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</row>
    <row r="308" spans="1:34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</row>
    <row r="309" spans="1:34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</row>
    <row r="310" spans="1:34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</row>
    <row r="311" spans="1:34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</row>
    <row r="312" spans="1:34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</row>
    <row r="313" spans="1:34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</row>
    <row r="314" spans="1:34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</row>
    <row r="315" spans="1:34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</row>
    <row r="316" spans="1:34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</row>
    <row r="317" spans="1:34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</row>
    <row r="318" spans="1:34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</row>
    <row r="319" spans="1:34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</row>
    <row r="320" spans="1:34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</row>
    <row r="321" spans="1:34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</row>
    <row r="322" spans="1:34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</row>
    <row r="323" spans="1:34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</row>
    <row r="324" spans="1:34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</row>
    <row r="325" spans="1:34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</row>
    <row r="326" spans="1:34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</row>
    <row r="327" spans="1:34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</row>
    <row r="328" spans="1:34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</row>
    <row r="329" spans="1:34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</row>
    <row r="330" spans="1:34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</row>
    <row r="331" spans="1:34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</row>
    <row r="332" spans="1:34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</row>
    <row r="333" spans="1:34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</row>
    <row r="334" spans="1:34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</row>
    <row r="335" spans="1:34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</row>
    <row r="336" spans="1:34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</row>
    <row r="337" spans="1:34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</row>
    <row r="338" spans="1:34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</row>
    <row r="339" spans="1:34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</row>
    <row r="340" spans="1:34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</row>
    <row r="341" spans="1:34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</row>
    <row r="342" spans="1:34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</row>
    <row r="343" spans="1:34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</row>
    <row r="344" spans="1:34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</row>
    <row r="345" spans="1:34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</row>
    <row r="346" spans="1:34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</row>
    <row r="347" spans="1:34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</row>
    <row r="348" spans="1:34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</row>
    <row r="349" spans="1:34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</row>
    <row r="350" spans="1:34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</row>
    <row r="351" spans="1:34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</row>
    <row r="352" spans="1:34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</row>
    <row r="353" spans="1:34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</row>
    <row r="354" spans="1:34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</row>
    <row r="355" spans="1:34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</row>
    <row r="356" spans="1:34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</row>
    <row r="357" spans="1:34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</row>
    <row r="358" spans="1:34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</row>
    <row r="359" spans="1:34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</row>
    <row r="360" spans="1:34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</row>
    <row r="361" spans="1:34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</row>
    <row r="362" spans="1:34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</row>
    <row r="363" spans="1:34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</row>
    <row r="364" spans="1:34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</row>
    <row r="365" spans="1:34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</row>
    <row r="366" spans="1:34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</row>
    <row r="367" spans="1:34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</row>
    <row r="368" spans="1:34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</row>
    <row r="369" spans="1:34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</row>
    <row r="370" spans="1:34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</row>
    <row r="371" spans="1:34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</row>
    <row r="372" spans="1:34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</row>
    <row r="373" spans="1:34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</row>
    <row r="374" spans="1:34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</row>
    <row r="375" spans="1:34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</row>
    <row r="376" spans="1:34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</row>
    <row r="377" spans="1:34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</row>
    <row r="378" spans="1:34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</row>
    <row r="379" spans="1:34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</row>
    <row r="380" spans="1:34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</row>
    <row r="381" spans="1:34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</row>
    <row r="382" spans="1:34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</row>
    <row r="383" spans="1:34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</row>
    <row r="384" spans="1:34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</row>
    <row r="385" spans="1:34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</row>
    <row r="386" spans="1:34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</row>
    <row r="387" spans="1:34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</row>
    <row r="388" spans="1:34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</row>
    <row r="389" spans="1:34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</row>
    <row r="390" spans="1:34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</row>
    <row r="391" spans="1:34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</row>
    <row r="392" spans="1:34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</row>
    <row r="393" spans="1:34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</row>
    <row r="394" spans="1:34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</row>
    <row r="395" spans="1:34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</row>
    <row r="396" spans="1:34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</row>
    <row r="397" spans="1:34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</row>
    <row r="398" spans="1:34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</row>
    <row r="399" spans="1:34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</row>
    <row r="400" spans="1:34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</row>
    <row r="401" spans="1:34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</row>
    <row r="402" spans="1:34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</row>
    <row r="403" spans="1:34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</row>
    <row r="404" spans="1:34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</row>
    <row r="405" spans="1:34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</row>
    <row r="406" spans="1:34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</row>
    <row r="407" spans="1:34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</row>
    <row r="408" spans="1:34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</row>
    <row r="409" spans="1:34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</row>
    <row r="410" spans="1:34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</row>
    <row r="411" spans="1:34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</row>
    <row r="412" spans="1:34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</row>
    <row r="413" spans="1:34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</row>
    <row r="414" spans="1:34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</row>
    <row r="415" spans="1:34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</row>
    <row r="416" spans="1:34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</row>
    <row r="417" spans="1:34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</row>
    <row r="418" spans="1:34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</row>
    <row r="419" spans="1:34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</row>
    <row r="420" spans="1:34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</row>
    <row r="421" spans="1:34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</row>
    <row r="422" spans="1:34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</row>
    <row r="423" spans="1:34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</row>
    <row r="424" spans="1:34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</row>
    <row r="425" spans="1:34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</row>
    <row r="426" spans="1:34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</row>
    <row r="427" spans="1:34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</row>
    <row r="428" spans="1:34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</row>
    <row r="429" spans="1:34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</row>
    <row r="430" spans="1:34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</row>
    <row r="431" spans="1:34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</row>
    <row r="432" spans="1:34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</row>
    <row r="433" spans="1:34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</row>
    <row r="434" spans="1:34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</row>
    <row r="435" spans="1:34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</row>
    <row r="436" spans="1:34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</row>
    <row r="437" spans="1:34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</row>
    <row r="438" spans="1:34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</row>
    <row r="439" spans="1:34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</row>
    <row r="440" spans="1:34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</row>
    <row r="441" spans="1:34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</row>
    <row r="442" spans="1:34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</row>
    <row r="443" spans="1:34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</row>
    <row r="444" spans="1:34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</row>
    <row r="445" spans="1:34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</row>
    <row r="446" spans="1:34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</row>
    <row r="447" spans="1:34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</row>
    <row r="448" spans="1:34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</row>
    <row r="449" spans="1:34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</row>
    <row r="450" spans="1:34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</row>
    <row r="451" spans="1:34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</row>
    <row r="452" spans="1:34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</row>
    <row r="453" spans="1:34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</row>
    <row r="454" spans="1:34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</row>
    <row r="455" spans="1:34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</row>
    <row r="456" spans="1:34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</row>
    <row r="457" spans="1:34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</row>
    <row r="458" spans="1:34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</row>
    <row r="459" spans="1:34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</row>
    <row r="460" spans="1:34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</row>
    <row r="461" spans="1:34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</row>
    <row r="462" spans="1:34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</row>
    <row r="463" spans="1:34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</row>
    <row r="464" spans="1:34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</row>
    <row r="465" spans="1:34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</row>
    <row r="466" spans="1:34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</row>
    <row r="467" spans="1:34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</row>
    <row r="468" spans="1:34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</row>
    <row r="469" spans="1:34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</row>
    <row r="470" spans="1:34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</row>
    <row r="471" spans="1:34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</row>
    <row r="472" spans="1:34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</row>
    <row r="473" spans="1:34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</row>
    <row r="474" spans="1:34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</row>
    <row r="475" spans="1:34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</row>
    <row r="476" spans="1:34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</row>
    <row r="477" spans="1:34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</row>
    <row r="478" spans="1:34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</row>
    <row r="479" spans="1:34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</row>
    <row r="480" spans="1:34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</row>
    <row r="481" spans="1:34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</row>
    <row r="482" spans="1:34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</row>
    <row r="483" spans="1:34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</row>
    <row r="484" spans="1:34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</row>
    <row r="485" spans="1:34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</row>
    <row r="486" spans="1:34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</row>
    <row r="487" spans="1:34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</row>
    <row r="488" spans="1:34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</row>
    <row r="489" spans="1:34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</row>
    <row r="490" spans="1:34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</row>
    <row r="491" spans="1:34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</row>
    <row r="492" spans="1:34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</row>
    <row r="493" spans="1:34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</row>
    <row r="494" spans="1:34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</row>
    <row r="495" spans="1:34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</row>
    <row r="496" spans="1:34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</row>
    <row r="497" spans="1:34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</row>
    <row r="498" spans="1:34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</row>
    <row r="499" spans="1:34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</row>
    <row r="500" spans="1:34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</row>
    <row r="501" spans="1:34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</row>
    <row r="502" spans="1:34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</row>
    <row r="503" spans="1:34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</row>
    <row r="504" spans="1:34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</row>
    <row r="505" spans="1:34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</row>
    <row r="506" spans="1:34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</row>
    <row r="507" spans="1:34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</row>
    <row r="508" spans="1:34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</row>
    <row r="509" spans="1:34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</row>
    <row r="510" spans="1:34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</row>
    <row r="511" spans="1:34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</row>
    <row r="512" spans="1:34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</row>
    <row r="513" spans="1:34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</row>
    <row r="514" spans="1:34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</row>
    <row r="515" spans="1:34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</row>
    <row r="516" spans="1:34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</row>
    <row r="517" spans="1:34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</row>
    <row r="518" spans="1:34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</row>
    <row r="519" spans="1:34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</row>
    <row r="520" spans="1:34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</row>
    <row r="521" spans="1:34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</row>
    <row r="522" spans="1:34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</row>
    <row r="523" spans="1:34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</row>
    <row r="524" spans="1:34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</row>
    <row r="525" spans="1:34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</row>
    <row r="526" spans="1:34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</row>
    <row r="527" spans="1:34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</row>
    <row r="528" spans="1:34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</row>
    <row r="529" spans="1:34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</row>
    <row r="530" spans="1:34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</row>
    <row r="531" spans="1:34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</row>
    <row r="532" spans="1:34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</row>
    <row r="533" spans="1:34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</row>
    <row r="534" spans="1:34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</row>
    <row r="535" spans="1:34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</row>
    <row r="536" spans="1:34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</row>
    <row r="537" spans="1:34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</row>
    <row r="538" spans="1:34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</row>
    <row r="539" spans="1:34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</row>
    <row r="540" spans="1:34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</row>
    <row r="541" spans="1:34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</row>
    <row r="542" spans="1:34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</row>
    <row r="543" spans="1:34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</row>
    <row r="544" spans="1:34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</row>
    <row r="545" spans="1:34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</row>
    <row r="546" spans="1:34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</row>
    <row r="547" spans="1:34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</row>
    <row r="548" spans="1:34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</row>
    <row r="549" spans="1:34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</row>
    <row r="550" spans="1:34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</row>
    <row r="551" spans="1:34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</row>
    <row r="552" spans="1:34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</row>
    <row r="553" spans="1:34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</row>
    <row r="554" spans="1:34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</row>
    <row r="555" spans="1:34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</row>
    <row r="556" spans="1:34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</row>
    <row r="557" spans="1:34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</row>
    <row r="558" spans="1:34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</row>
    <row r="559" spans="1:34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</row>
    <row r="560" spans="1:34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</row>
    <row r="561" spans="1:34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</row>
    <row r="562" spans="1:34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</row>
    <row r="563" spans="1:34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</row>
    <row r="564" spans="1:34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</row>
    <row r="565" spans="1:34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</row>
    <row r="566" spans="1:34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</row>
    <row r="567" spans="1:34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</row>
    <row r="568" spans="1:34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</row>
    <row r="569" spans="1:34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</row>
    <row r="570" spans="1:34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</row>
    <row r="571" spans="1:34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</row>
    <row r="572" spans="1:34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</row>
    <row r="573" spans="1:34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</row>
    <row r="574" spans="1:34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</row>
    <row r="575" spans="1:34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</row>
    <row r="576" spans="1:34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</row>
    <row r="577" spans="1:34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</row>
    <row r="578" spans="1:34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</row>
    <row r="579" spans="1:34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</row>
    <row r="580" spans="1:34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</row>
    <row r="581" spans="1:34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</row>
    <row r="582" spans="1:34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</row>
    <row r="583" spans="1:34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</row>
    <row r="584" spans="1:34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</row>
    <row r="585" spans="1:34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</row>
    <row r="586" spans="1:34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</row>
    <row r="587" spans="1:34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</row>
    <row r="588" spans="1:34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</row>
    <row r="589" spans="1:34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</row>
    <row r="590" spans="1:34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</row>
    <row r="591" spans="1:34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</row>
    <row r="592" spans="1:34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</row>
    <row r="593" spans="1:34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</row>
    <row r="594" spans="1:34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</row>
    <row r="595" spans="1:34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</row>
    <row r="596" spans="1:34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</row>
    <row r="597" spans="1:34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</row>
    <row r="598" spans="1:34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</row>
    <row r="599" spans="1:34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</row>
    <row r="600" spans="1:34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</row>
    <row r="601" spans="1:34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</row>
    <row r="602" spans="1:34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</row>
    <row r="603" spans="1:34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</row>
    <row r="604" spans="1:34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</row>
    <row r="605" spans="1:34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</row>
    <row r="606" spans="1:34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</row>
    <row r="607" spans="1:34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</row>
    <row r="608" spans="1:34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</row>
    <row r="609" spans="1:34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</row>
    <row r="610" spans="1:34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</row>
    <row r="611" spans="1:34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</row>
    <row r="612" spans="1:34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</row>
    <row r="613" spans="1:34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</row>
    <row r="614" spans="1:34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</row>
    <row r="615" spans="1:34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</row>
    <row r="616" spans="1:34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</row>
    <row r="617" spans="1:34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</row>
    <row r="618" spans="1:34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</row>
    <row r="619" spans="1:34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</row>
    <row r="620" spans="1:34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</row>
    <row r="621" spans="1:34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</row>
    <row r="622" spans="1:34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</row>
    <row r="623" spans="1:34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</row>
    <row r="624" spans="1:34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</row>
    <row r="625" spans="1:34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</row>
    <row r="626" spans="1:34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</row>
    <row r="627" spans="1:34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</row>
    <row r="628" spans="1:34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</row>
    <row r="629" spans="1:34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</row>
    <row r="630" spans="1:34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</row>
    <row r="631" spans="1:34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</row>
    <row r="632" spans="1:34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</row>
    <row r="633" spans="1:34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</row>
    <row r="634" spans="1:34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</row>
    <row r="635" spans="1:34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</row>
    <row r="636" spans="1:34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</row>
    <row r="637" spans="1:34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</row>
    <row r="638" spans="1:34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</row>
    <row r="639" spans="1:34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</row>
    <row r="640" spans="1:34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</row>
    <row r="641" spans="1:34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</row>
    <row r="642" spans="1:34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</row>
    <row r="643" spans="1:34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</row>
    <row r="644" spans="1:34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</row>
    <row r="645" spans="1:34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</row>
    <row r="646" spans="1:34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</row>
    <row r="647" spans="1:34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</row>
    <row r="648" spans="1:34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</row>
    <row r="649" spans="1:34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</row>
    <row r="650" spans="1:34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</row>
    <row r="651" spans="1:34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</row>
    <row r="652" spans="1:34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</row>
    <row r="653" spans="1:34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</row>
    <row r="654" spans="1:34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</row>
    <row r="655" spans="1:34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</row>
    <row r="656" spans="1:34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</row>
    <row r="657" spans="1:34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</row>
    <row r="658" spans="1:34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</row>
    <row r="659" spans="1:34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</row>
    <row r="660" spans="1:34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</row>
    <row r="661" spans="1:34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</row>
    <row r="662" spans="1:34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</row>
    <row r="663" spans="1:34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</row>
    <row r="664" spans="1:34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</row>
    <row r="665" spans="1:34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</row>
    <row r="666" spans="1:34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</row>
    <row r="667" spans="1:34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</row>
    <row r="668" spans="1:34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</row>
    <row r="669" spans="1:34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</row>
    <row r="670" spans="1:34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</row>
    <row r="671" spans="1:34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</row>
    <row r="672" spans="1:34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</row>
    <row r="673" spans="1:34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</row>
    <row r="674" spans="1:34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</row>
    <row r="675" spans="1:34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</row>
    <row r="676" spans="1:34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</row>
    <row r="677" spans="1:34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</row>
    <row r="678" spans="1:34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</row>
    <row r="679" spans="1:34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</row>
    <row r="680" spans="1:34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</row>
    <row r="681" spans="1:34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</row>
    <row r="682" spans="1:34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</row>
    <row r="683" spans="1:34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</row>
    <row r="684" spans="1:34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</row>
    <row r="685" spans="1:34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</row>
    <row r="686" spans="1:34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</row>
    <row r="687" spans="1:34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</row>
    <row r="688" spans="1:34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</row>
    <row r="689" spans="1:34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</row>
    <row r="690" spans="1:34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</row>
    <row r="691" spans="1:34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</row>
    <row r="692" spans="1:34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</row>
    <row r="693" spans="1:34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</row>
    <row r="694" spans="1:34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</row>
    <row r="695" spans="1:34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</row>
    <row r="696" spans="1:34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</row>
    <row r="697" spans="1:34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</row>
    <row r="698" spans="1:34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</row>
    <row r="699" spans="1:34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</row>
    <row r="700" spans="1:34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</row>
    <row r="701" spans="1:34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</row>
    <row r="702" spans="1:34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</row>
    <row r="703" spans="1:34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</row>
    <row r="704" spans="1:34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</row>
    <row r="705" spans="1:34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</row>
    <row r="706" spans="1:34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</row>
    <row r="707" spans="1:34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</row>
    <row r="708" spans="1:34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</row>
    <row r="709" spans="1:34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</row>
    <row r="710" spans="1:34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</row>
    <row r="711" spans="1:34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</row>
    <row r="712" spans="1:34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</row>
    <row r="713" spans="1:34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</row>
    <row r="714" spans="1:34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</row>
    <row r="715" spans="1:34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</row>
    <row r="716" spans="1:34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</row>
    <row r="717" spans="1:34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</row>
    <row r="718" spans="1:34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</row>
    <row r="719" spans="1:34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</row>
    <row r="720" spans="1:34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</row>
    <row r="721" spans="1:34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</row>
    <row r="722" spans="1:34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</row>
    <row r="723" spans="1:34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</row>
    <row r="724" spans="1:34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</row>
    <row r="725" spans="1:34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</row>
    <row r="726" spans="1:34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</row>
    <row r="727" spans="1:34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</row>
    <row r="728" spans="1:34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</row>
    <row r="729" spans="1:34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</row>
    <row r="730" spans="1:34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</row>
    <row r="731" spans="1:34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</row>
    <row r="732" spans="1:34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</row>
    <row r="733" spans="1:34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</row>
    <row r="734" spans="1:34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</row>
    <row r="735" spans="1:34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</row>
    <row r="736" spans="1:34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</row>
    <row r="737" spans="1:34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</row>
    <row r="738" spans="1:34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</row>
    <row r="739" spans="1:34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</row>
    <row r="740" spans="1:34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</row>
    <row r="741" spans="1:34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</row>
    <row r="742" spans="1:34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</row>
    <row r="743" spans="1:34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</row>
    <row r="744" spans="1:34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</row>
    <row r="745" spans="1:34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</row>
    <row r="746" spans="1:34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</row>
    <row r="747" spans="1:34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</row>
    <row r="748" spans="1:34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</row>
    <row r="749" spans="1:34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</row>
    <row r="750" spans="1:34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</row>
    <row r="751" spans="1:34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</row>
    <row r="752" spans="1:34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</row>
    <row r="753" spans="1:34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</row>
    <row r="754" spans="1:34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</row>
    <row r="755" spans="1:34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</row>
    <row r="756" spans="1:34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</row>
    <row r="757" spans="1:34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</row>
    <row r="758" spans="1:34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</row>
    <row r="759" spans="1:34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</row>
    <row r="760" spans="1:34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</row>
    <row r="761" spans="1:34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</row>
    <row r="762" spans="1:34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</row>
    <row r="763" spans="1:34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</row>
    <row r="764" spans="1:34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</row>
    <row r="765" spans="1:34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</row>
    <row r="766" spans="1:34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</row>
    <row r="767" spans="1:34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</row>
    <row r="768" spans="1:34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</row>
    <row r="769" spans="1:34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</row>
    <row r="770" spans="1:34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</row>
    <row r="771" spans="1:34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</row>
    <row r="772" spans="1:34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</row>
    <row r="773" spans="1:34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</row>
    <row r="774" spans="1:34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</row>
    <row r="775" spans="1:34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</row>
    <row r="776" spans="1:34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</row>
    <row r="777" spans="1:34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</row>
    <row r="778" spans="1:34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</row>
    <row r="779" spans="1:34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</row>
    <row r="780" spans="1:34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</row>
    <row r="781" spans="1:34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</row>
    <row r="782" spans="1:34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</row>
    <row r="783" spans="1:34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</row>
    <row r="784" spans="1:34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</row>
    <row r="785" spans="1:34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</row>
    <row r="786" spans="1:34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</row>
    <row r="787" spans="1:34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</row>
    <row r="788" spans="1:34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</row>
    <row r="789" spans="1:34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</row>
    <row r="790" spans="1:34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</row>
    <row r="791" spans="1:34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</row>
    <row r="792" spans="1:34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</row>
    <row r="793" spans="1:34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</row>
    <row r="794" spans="1:34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</row>
    <row r="795" spans="1:34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</row>
    <row r="796" spans="1:34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</row>
    <row r="797" spans="1:34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</row>
    <row r="798" spans="1:34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</row>
    <row r="799" spans="1:34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</row>
    <row r="800" spans="1:34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</row>
    <row r="801" spans="1:34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</row>
    <row r="802" spans="1:34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</row>
    <row r="803" spans="1:34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</row>
    <row r="804" spans="1:34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</row>
    <row r="805" spans="1:34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</row>
    <row r="806" spans="1:34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</row>
    <row r="807" spans="1:34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</row>
    <row r="808" spans="1:34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</row>
    <row r="809" spans="1:34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</row>
    <row r="810" spans="1:34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</row>
    <row r="811" spans="1:34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</row>
    <row r="812" spans="1:34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</row>
    <row r="813" spans="1:34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</row>
    <row r="814" spans="1:34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</row>
    <row r="815" spans="1:34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</row>
    <row r="816" spans="1:34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</row>
    <row r="817" spans="1:34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</row>
    <row r="818" spans="1:34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</row>
    <row r="819" spans="1:34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</row>
    <row r="820" spans="1:34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</row>
    <row r="821" spans="1:34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</row>
    <row r="822" spans="1:34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</row>
    <row r="823" spans="1:34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</row>
    <row r="824" spans="1:34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</row>
    <row r="825" spans="1:34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</row>
    <row r="826" spans="1:34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</row>
    <row r="827" spans="1:34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</row>
    <row r="828" spans="1:34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</row>
    <row r="829" spans="1:34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</row>
    <row r="830" spans="1:34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</row>
    <row r="831" spans="1:34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</row>
    <row r="832" spans="1:34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</row>
    <row r="833" spans="1:34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</row>
    <row r="834" spans="1:34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</row>
    <row r="835" spans="1:34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</row>
    <row r="836" spans="1:34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</row>
    <row r="837" spans="1:34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</row>
    <row r="838" spans="1:34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</row>
    <row r="839" spans="1:34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</row>
    <row r="840" spans="1:34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</row>
    <row r="841" spans="1:34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</row>
    <row r="842" spans="1:34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</row>
    <row r="843" spans="1:34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</row>
    <row r="844" spans="1:34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</row>
    <row r="845" spans="1:34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</row>
    <row r="846" spans="1:34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</row>
    <row r="847" spans="1:34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</row>
    <row r="848" spans="1:34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</row>
    <row r="849" spans="1:34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</row>
    <row r="850" spans="1:34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</row>
    <row r="851" spans="1:34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</row>
    <row r="852" spans="1:34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</row>
    <row r="853" spans="1:34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</row>
    <row r="854" spans="1:34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</row>
    <row r="855" spans="1:34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</row>
    <row r="856" spans="1:34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</row>
    <row r="857" spans="1:34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</row>
    <row r="858" spans="1:34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</row>
    <row r="859" spans="1:34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</row>
    <row r="860" spans="1:34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</row>
    <row r="861" spans="1:34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</row>
    <row r="862" spans="1:34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</row>
    <row r="863" spans="1:34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</row>
    <row r="864" spans="1:34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</row>
    <row r="865" spans="1:34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</row>
    <row r="866" spans="1:34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</row>
    <row r="867" spans="1:34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</row>
    <row r="868" spans="1:34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</row>
    <row r="869" spans="1:34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</row>
    <row r="870" spans="1:34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</row>
    <row r="871" spans="1:34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</row>
    <row r="872" spans="1:34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</row>
    <row r="873" spans="1:34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</row>
    <row r="874" spans="1:34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</row>
    <row r="875" spans="1:34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</row>
    <row r="876" spans="1:34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</row>
    <row r="877" spans="1:34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</row>
    <row r="878" spans="1:34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</row>
    <row r="879" spans="1:34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</row>
    <row r="880" spans="1:34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</row>
    <row r="881" spans="1:34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</row>
    <row r="882" spans="1:34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</row>
    <row r="883" spans="1:34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</row>
    <row r="884" spans="1:34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</row>
    <row r="885" spans="1:34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</row>
    <row r="886" spans="1:34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</row>
    <row r="887" spans="1:34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</row>
    <row r="888" spans="1:34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</row>
    <row r="889" spans="1:34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</row>
    <row r="890" spans="1:34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</row>
    <row r="891" spans="1:34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</row>
    <row r="892" spans="1:34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</row>
    <row r="893" spans="1:34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</row>
    <row r="894" spans="1:34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</row>
    <row r="895" spans="1:34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</row>
    <row r="896" spans="1:34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</row>
    <row r="897" spans="1:34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</row>
    <row r="898" spans="1:34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</row>
    <row r="899" spans="1:34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</row>
    <row r="900" spans="1:34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</row>
    <row r="901" spans="1:34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</row>
    <row r="902" spans="1:34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</row>
    <row r="903" spans="1:34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</row>
    <row r="904" spans="1:34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</row>
    <row r="905" spans="1:34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</row>
    <row r="906" spans="1:34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</row>
    <row r="907" spans="1:34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</row>
    <row r="908" spans="1:34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</row>
    <row r="909" spans="1:34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</row>
    <row r="910" spans="1:34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</row>
    <row r="911" spans="1:34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</row>
    <row r="912" spans="1:34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</row>
    <row r="913" spans="1:34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</row>
    <row r="914" spans="1:34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</row>
    <row r="915" spans="1:34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</row>
    <row r="916" spans="1:34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</row>
    <row r="917" spans="1:34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</row>
    <row r="918" spans="1:34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</row>
    <row r="919" spans="1:34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</row>
    <row r="920" spans="1:34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</row>
    <row r="921" spans="1:34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</row>
    <row r="922" spans="1:34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</row>
    <row r="923" spans="1:34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</row>
    <row r="924" spans="1:34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</row>
    <row r="925" spans="1:34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</row>
    <row r="926" spans="1:34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</row>
    <row r="927" spans="1:34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</row>
    <row r="928" spans="1:34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</row>
    <row r="929" spans="1:34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</row>
    <row r="930" spans="1:34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</row>
    <row r="931" spans="1:34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</row>
    <row r="932" spans="1:34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</row>
    <row r="933" spans="1:34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</row>
    <row r="934" spans="1:34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</row>
    <row r="935" spans="1:34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</row>
    <row r="936" spans="1:34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</row>
    <row r="937" spans="1:34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</row>
    <row r="938" spans="1:34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</row>
    <row r="939" spans="1:34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</row>
    <row r="940" spans="1:34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</row>
    <row r="941" spans="1:34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</row>
    <row r="942" spans="1:34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</row>
    <row r="943" spans="1:34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</row>
    <row r="944" spans="1:34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</row>
    <row r="945" spans="1:34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</row>
    <row r="946" spans="1:34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</row>
    <row r="947" spans="1:34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</row>
    <row r="948" spans="1:34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</row>
    <row r="949" spans="1:34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</row>
    <row r="950" spans="1:34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</row>
    <row r="951" spans="1:34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</row>
    <row r="952" spans="1:34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</row>
    <row r="953" spans="1:34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</row>
    <row r="954" spans="1:34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</row>
    <row r="955" spans="1:34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</row>
    <row r="956" spans="1:34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</row>
    <row r="957" spans="1:34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</row>
    <row r="958" spans="1:34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</row>
    <row r="959" spans="1:34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</row>
    <row r="960" spans="1:34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</row>
    <row r="961" spans="1:34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</row>
    <row r="962" spans="1:34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</row>
    <row r="963" spans="1:34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</row>
    <row r="964" spans="1:34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</row>
    <row r="965" spans="1:34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</row>
    <row r="966" spans="1:34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</row>
    <row r="967" spans="1:34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</row>
    <row r="968" spans="1:34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</row>
    <row r="969" spans="1:34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</row>
    <row r="970" spans="1:34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</row>
    <row r="971" spans="1:34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</row>
    <row r="972" spans="1:34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</row>
    <row r="973" spans="1:34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</row>
    <row r="974" spans="1:34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</row>
    <row r="975" spans="1:34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</row>
    <row r="976" spans="1:34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</row>
    <row r="977" spans="1:34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</row>
    <row r="978" spans="1:34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</row>
    <row r="979" spans="1:34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</row>
    <row r="980" spans="1:34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</row>
    <row r="981" spans="1:34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</row>
    <row r="982" spans="1:34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</row>
    <row r="983" spans="1:34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</row>
    <row r="984" spans="1:34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</row>
    <row r="985" spans="1:34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</row>
    <row r="986" spans="1:34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</row>
    <row r="987" spans="1:34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</row>
    <row r="988" spans="1:34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</row>
    <row r="989" spans="1:34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</row>
    <row r="990" spans="1:34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</row>
    <row r="991" spans="1:34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</row>
    <row r="992" spans="1:34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</row>
    <row r="993" spans="1:34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</row>
    <row r="994" spans="1:34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</row>
    <row r="995" spans="1:34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</row>
    <row r="996" spans="1:34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</row>
    <row r="997" spans="1:34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</row>
    <row r="998" spans="1:34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</row>
    <row r="999" spans="1:34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</row>
    <row r="1000" spans="1:34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</row>
  </sheetData>
  <mergeCells count="30">
    <mergeCell ref="A7:B7"/>
    <mergeCell ref="A13:B13"/>
    <mergeCell ref="A2:B6"/>
    <mergeCell ref="C5:C6"/>
    <mergeCell ref="D5:D6"/>
    <mergeCell ref="E5:E6"/>
    <mergeCell ref="F5:G5"/>
    <mergeCell ref="A31:B31"/>
    <mergeCell ref="A52:B52"/>
    <mergeCell ref="A74:B74"/>
    <mergeCell ref="A89:B89"/>
    <mergeCell ref="A104:B104"/>
    <mergeCell ref="C2:AH2"/>
    <mergeCell ref="C3:N3"/>
    <mergeCell ref="O3:Q4"/>
    <mergeCell ref="U3:AH3"/>
    <mergeCell ref="C4:E4"/>
    <mergeCell ref="F4:N4"/>
    <mergeCell ref="AE4:AH4"/>
    <mergeCell ref="W4:Z4"/>
    <mergeCell ref="AA4:AD4"/>
    <mergeCell ref="X5:Z5"/>
    <mergeCell ref="AB5:AD5"/>
    <mergeCell ref="AF5:AH5"/>
    <mergeCell ref="R3:T4"/>
    <mergeCell ref="U4:V4"/>
    <mergeCell ref="M5:N5"/>
    <mergeCell ref="P5:Q5"/>
    <mergeCell ref="S5:T5"/>
    <mergeCell ref="U5:V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O1000"/>
  <sheetViews>
    <sheetView view="pageBreakPreview" zoomScale="60" zoomScaleNormal="100" workbookViewId="0">
      <pane xSplit="2" ySplit="7" topLeftCell="C8" activePane="bottomRight" state="frozen"/>
      <selection activeCell="P71" sqref="P71"/>
      <selection pane="topRight" activeCell="P71" sqref="P71"/>
      <selection pane="bottomLeft" activeCell="P71" sqref="P71"/>
      <selection pane="bottomRight" activeCell="AN9" sqref="AN9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5" width="13.85546875" customWidth="1"/>
    <col min="16" max="16" width="11.140625" customWidth="1"/>
    <col min="17" max="17" width="10.140625" bestFit="1" customWidth="1"/>
    <col min="18" max="18" width="13.85546875" customWidth="1"/>
    <col min="19" max="19" width="12.28515625" customWidth="1"/>
    <col min="20" max="20" width="12.5703125" bestFit="1" customWidth="1"/>
    <col min="21" max="21" width="13.85546875" customWidth="1"/>
    <col min="22" max="22" width="12.7109375" customWidth="1"/>
    <col min="23" max="23" width="12.5703125" bestFit="1" customWidth="1"/>
    <col min="24" max="24" width="13.85546875" customWidth="1"/>
    <col min="25" max="25" width="12.5703125" bestFit="1" customWidth="1"/>
    <col min="26" max="26" width="13.140625" customWidth="1"/>
    <col min="27" max="27" width="12.5703125" bestFit="1" customWidth="1"/>
    <col min="28" max="28" width="12" customWidth="1"/>
    <col min="29" max="29" width="13.140625" customWidth="1"/>
    <col min="30" max="30" width="10.5703125" customWidth="1"/>
    <col min="31" max="31" width="11.7109375" customWidth="1"/>
    <col min="32" max="33" width="16.42578125" customWidth="1"/>
    <col min="34" max="37" width="13.85546875" customWidth="1"/>
    <col min="38" max="38" width="28.42578125" customWidth="1"/>
    <col min="39" max="39" width="27.42578125" customWidth="1"/>
    <col min="40" max="40" width="16.42578125" customWidth="1"/>
    <col min="41" max="41" width="23.28515625" customWidth="1"/>
  </cols>
  <sheetData>
    <row r="1" spans="1:41" ht="24" customHeight="1" x14ac:dyDescent="0.3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41" ht="24" customHeight="1" x14ac:dyDescent="0.2">
      <c r="A2" s="357" t="s">
        <v>1</v>
      </c>
      <c r="B2" s="358"/>
      <c r="C2" s="320" t="s">
        <v>211</v>
      </c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2"/>
    </row>
    <row r="3" spans="1:41" ht="30" customHeight="1" x14ac:dyDescent="0.2">
      <c r="A3" s="344"/>
      <c r="B3" s="343"/>
      <c r="C3" s="353" t="s">
        <v>3</v>
      </c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4"/>
      <c r="O3" s="394" t="s">
        <v>212</v>
      </c>
      <c r="P3" s="324"/>
      <c r="Q3" s="317"/>
      <c r="R3" s="395" t="s">
        <v>213</v>
      </c>
      <c r="S3" s="324"/>
      <c r="T3" s="317"/>
      <c r="U3" s="395" t="s">
        <v>214</v>
      </c>
      <c r="V3" s="324"/>
      <c r="W3" s="317"/>
      <c r="X3" s="395" t="s">
        <v>215</v>
      </c>
      <c r="Y3" s="317"/>
      <c r="Z3" s="395" t="s">
        <v>216</v>
      </c>
      <c r="AA3" s="317"/>
      <c r="AB3" s="395" t="s">
        <v>217</v>
      </c>
      <c r="AC3" s="317"/>
      <c r="AD3" s="395" t="s">
        <v>218</v>
      </c>
      <c r="AE3" s="317"/>
      <c r="AF3" s="397" t="s">
        <v>219</v>
      </c>
      <c r="AG3" s="397" t="s">
        <v>220</v>
      </c>
      <c r="AH3" s="355" t="s">
        <v>221</v>
      </c>
      <c r="AI3" s="324"/>
      <c r="AJ3" s="317"/>
      <c r="AK3" s="398" t="s">
        <v>222</v>
      </c>
      <c r="AL3" s="396" t="s">
        <v>219</v>
      </c>
      <c r="AM3" s="396" t="s">
        <v>220</v>
      </c>
      <c r="AN3" s="398" t="s">
        <v>223</v>
      </c>
      <c r="AO3" s="396" t="s">
        <v>224</v>
      </c>
    </row>
    <row r="4" spans="1:41" ht="60" customHeight="1" x14ac:dyDescent="0.2">
      <c r="A4" s="344"/>
      <c r="B4" s="343"/>
      <c r="C4" s="310" t="s">
        <v>8</v>
      </c>
      <c r="D4" s="309"/>
      <c r="E4" s="304"/>
      <c r="F4" s="311" t="s">
        <v>9</v>
      </c>
      <c r="G4" s="309"/>
      <c r="H4" s="309"/>
      <c r="I4" s="309"/>
      <c r="J4" s="309"/>
      <c r="K4" s="309"/>
      <c r="L4" s="309"/>
      <c r="M4" s="309"/>
      <c r="N4" s="304"/>
      <c r="O4" s="319"/>
      <c r="P4" s="325"/>
      <c r="Q4" s="313"/>
      <c r="R4" s="319"/>
      <c r="S4" s="325"/>
      <c r="T4" s="313"/>
      <c r="U4" s="319"/>
      <c r="V4" s="325"/>
      <c r="W4" s="313"/>
      <c r="X4" s="319"/>
      <c r="Y4" s="313"/>
      <c r="Z4" s="319"/>
      <c r="AA4" s="313"/>
      <c r="AB4" s="319"/>
      <c r="AC4" s="313"/>
      <c r="AD4" s="319"/>
      <c r="AE4" s="313"/>
      <c r="AF4" s="300"/>
      <c r="AG4" s="300"/>
      <c r="AH4" s="319"/>
      <c r="AI4" s="325"/>
      <c r="AJ4" s="313"/>
      <c r="AK4" s="300"/>
      <c r="AL4" s="300"/>
      <c r="AM4" s="300"/>
      <c r="AN4" s="300"/>
      <c r="AO4" s="300"/>
    </row>
    <row r="5" spans="1:41" ht="56.25" customHeight="1" x14ac:dyDescent="0.2">
      <c r="A5" s="344"/>
      <c r="B5" s="343"/>
      <c r="C5" s="405" t="s">
        <v>10</v>
      </c>
      <c r="D5" s="406" t="s">
        <v>11</v>
      </c>
      <c r="E5" s="407" t="s">
        <v>12</v>
      </c>
      <c r="F5" s="413" t="s">
        <v>13</v>
      </c>
      <c r="G5" s="414"/>
      <c r="H5" s="415" t="s">
        <v>14</v>
      </c>
      <c r="I5" s="416" t="s">
        <v>15</v>
      </c>
      <c r="J5" s="416" t="s">
        <v>16</v>
      </c>
      <c r="K5" s="416" t="s">
        <v>17</v>
      </c>
      <c r="L5" s="416" t="s">
        <v>18</v>
      </c>
      <c r="M5" s="417" t="s">
        <v>19</v>
      </c>
      <c r="N5" s="412"/>
      <c r="O5" s="270" t="s">
        <v>20</v>
      </c>
      <c r="P5" s="389" t="s">
        <v>21</v>
      </c>
      <c r="Q5" s="313"/>
      <c r="R5" s="279" t="s">
        <v>20</v>
      </c>
      <c r="S5" s="389" t="s">
        <v>21</v>
      </c>
      <c r="T5" s="313"/>
      <c r="U5" s="279" t="s">
        <v>20</v>
      </c>
      <c r="V5" s="389" t="s">
        <v>21</v>
      </c>
      <c r="W5" s="313"/>
      <c r="X5" s="315" t="s">
        <v>21</v>
      </c>
      <c r="Y5" s="304"/>
      <c r="Z5" s="389" t="s">
        <v>21</v>
      </c>
      <c r="AA5" s="313"/>
      <c r="AB5" s="389" t="s">
        <v>21</v>
      </c>
      <c r="AC5" s="313"/>
      <c r="AD5" s="389" t="s">
        <v>21</v>
      </c>
      <c r="AE5" s="313"/>
      <c r="AF5" s="280" t="s">
        <v>21</v>
      </c>
      <c r="AG5" s="280" t="s">
        <v>21</v>
      </c>
      <c r="AH5" s="281" t="s">
        <v>20</v>
      </c>
      <c r="AI5" s="389" t="s">
        <v>21</v>
      </c>
      <c r="AJ5" s="313"/>
      <c r="AK5" s="282" t="s">
        <v>21</v>
      </c>
      <c r="AL5" s="282" t="s">
        <v>21</v>
      </c>
      <c r="AM5" s="282" t="s">
        <v>21</v>
      </c>
      <c r="AN5" s="282" t="s">
        <v>21</v>
      </c>
      <c r="AO5" s="282" t="s">
        <v>21</v>
      </c>
    </row>
    <row r="6" spans="1:41" ht="30" customHeight="1" x14ac:dyDescent="0.2">
      <c r="A6" s="345"/>
      <c r="B6" s="346"/>
      <c r="C6" s="408"/>
      <c r="D6" s="408"/>
      <c r="E6" s="408"/>
      <c r="F6" s="11" t="s">
        <v>22</v>
      </c>
      <c r="G6" s="12" t="s">
        <v>23</v>
      </c>
      <c r="H6" s="13" t="s">
        <v>22</v>
      </c>
      <c r="I6" s="14" t="s">
        <v>22</v>
      </c>
      <c r="J6" s="14" t="s">
        <v>22</v>
      </c>
      <c r="K6" s="14" t="s">
        <v>22</v>
      </c>
      <c r="L6" s="14" t="s">
        <v>22</v>
      </c>
      <c r="M6" s="15" t="s">
        <v>22</v>
      </c>
      <c r="N6" s="16" t="s">
        <v>23</v>
      </c>
      <c r="O6" s="221" t="s">
        <v>139</v>
      </c>
      <c r="P6" s="21" t="s">
        <v>139</v>
      </c>
      <c r="Q6" s="20" t="s">
        <v>23</v>
      </c>
      <c r="R6" s="222" t="s">
        <v>225</v>
      </c>
      <c r="S6" s="21" t="s">
        <v>225</v>
      </c>
      <c r="T6" s="20" t="s">
        <v>23</v>
      </c>
      <c r="U6" s="222" t="s">
        <v>225</v>
      </c>
      <c r="V6" s="21" t="s">
        <v>225</v>
      </c>
      <c r="W6" s="20" t="s">
        <v>23</v>
      </c>
      <c r="X6" s="21" t="s">
        <v>139</v>
      </c>
      <c r="Y6" s="21" t="s">
        <v>23</v>
      </c>
      <c r="Z6" s="21" t="s">
        <v>139</v>
      </c>
      <c r="AA6" s="21" t="s">
        <v>23</v>
      </c>
      <c r="AB6" s="21" t="s">
        <v>139</v>
      </c>
      <c r="AC6" s="20" t="s">
        <v>23</v>
      </c>
      <c r="AD6" s="21" t="s">
        <v>139</v>
      </c>
      <c r="AE6" s="20" t="s">
        <v>23</v>
      </c>
      <c r="AF6" s="21" t="s">
        <v>139</v>
      </c>
      <c r="AG6" s="21" t="s">
        <v>139</v>
      </c>
      <c r="AH6" s="283" t="s">
        <v>139</v>
      </c>
      <c r="AI6" s="21" t="s">
        <v>139</v>
      </c>
      <c r="AJ6" s="20" t="s">
        <v>23</v>
      </c>
      <c r="AK6" s="21" t="s">
        <v>139</v>
      </c>
      <c r="AL6" s="21" t="s">
        <v>139</v>
      </c>
      <c r="AM6" s="21" t="s">
        <v>139</v>
      </c>
      <c r="AN6" s="21" t="s">
        <v>139</v>
      </c>
      <c r="AO6" s="21" t="s">
        <v>139</v>
      </c>
    </row>
    <row r="7" spans="1:41" ht="24" customHeight="1" x14ac:dyDescent="0.2">
      <c r="A7" s="359" t="s">
        <v>248</v>
      </c>
      <c r="B7" s="360"/>
      <c r="C7" s="23">
        <f ca="1">C8+C9+C12</f>
        <v>560500</v>
      </c>
      <c r="D7" s="24">
        <f t="shared" ref="D7:E7" ca="1" si="0">D8</f>
        <v>560500</v>
      </c>
      <c r="E7" s="25">
        <f t="shared" ca="1" si="0"/>
        <v>0</v>
      </c>
      <c r="F7" s="26">
        <f t="shared" ref="F7:F116" ca="1" si="1">H7+M7</f>
        <v>165622.6</v>
      </c>
      <c r="G7" s="27">
        <f t="shared" ref="G7:G116" ca="1" si="2">IF(D7&gt;0,F7*100/D7,0)</f>
        <v>29.549081177520073</v>
      </c>
      <c r="H7" s="26">
        <f t="shared" ref="H7:M7" ca="1" si="3">H8</f>
        <v>165622.6</v>
      </c>
      <c r="I7" s="26">
        <f t="shared" ca="1" si="3"/>
        <v>0</v>
      </c>
      <c r="J7" s="26">
        <f t="shared" ca="1" si="3"/>
        <v>0</v>
      </c>
      <c r="K7" s="26">
        <f t="shared" ca="1" si="3"/>
        <v>0</v>
      </c>
      <c r="L7" s="26">
        <f t="shared" ca="1" si="3"/>
        <v>165622.6</v>
      </c>
      <c r="M7" s="28">
        <f t="shared" ca="1" si="3"/>
        <v>0</v>
      </c>
      <c r="N7" s="28">
        <f t="shared" ref="N7:N11" ca="1" si="4">IF(E7&gt;0,M7*100/E7,0)</f>
        <v>0</v>
      </c>
      <c r="O7" s="226">
        <f t="shared" ref="O7:P7" ca="1" si="5">O8</f>
        <v>3955</v>
      </c>
      <c r="P7" s="30">
        <f t="shared" ca="1" si="5"/>
        <v>0</v>
      </c>
      <c r="Q7" s="31">
        <f t="shared" ref="Q7:Q8" ca="1" si="6">IF(O7&gt;0,P7*100/O7,0)</f>
        <v>0</v>
      </c>
      <c r="R7" s="227">
        <f t="shared" ref="R7:S7" ca="1" si="7">R8</f>
        <v>202</v>
      </c>
      <c r="S7" s="30">
        <f t="shared" ca="1" si="7"/>
        <v>179</v>
      </c>
      <c r="T7" s="31">
        <f t="shared" ref="T7:T8" ca="1" si="8">IF(R7&gt;0,S7*100/R7,0)</f>
        <v>88.613861386138609</v>
      </c>
      <c r="U7" s="227">
        <f t="shared" ref="U7:V7" ca="1" si="9">U8</f>
        <v>202</v>
      </c>
      <c r="V7" s="30">
        <f t="shared" ca="1" si="9"/>
        <v>176</v>
      </c>
      <c r="W7" s="31">
        <f t="shared" ref="W7:W8" ca="1" si="10">IF(U7&gt;0,V7*100/U7,0)</f>
        <v>87.128712871287135</v>
      </c>
      <c r="X7" s="30">
        <f ca="1">X8</f>
        <v>6363.1799999999994</v>
      </c>
      <c r="Y7" s="31">
        <f t="shared" ref="Y7:Y88" ca="1" si="11">IF(O7&gt;0,X7*100/O7,0)</f>
        <v>160.88950695322373</v>
      </c>
      <c r="Z7" s="30">
        <f ca="1">Z8</f>
        <v>2216</v>
      </c>
      <c r="AA7" s="31">
        <f t="shared" ref="AA7:AA88" ca="1" si="12">IF(O7&gt;0,Z7*100/O7,0)</f>
        <v>56.03034134007585</v>
      </c>
      <c r="AB7" s="31">
        <f ca="1">AB8</f>
        <v>0</v>
      </c>
      <c r="AC7" s="31">
        <f t="shared" ref="AC7:AC88" ca="1" si="13">IF(O7&gt;0,AB7*100/O7,0)</f>
        <v>0</v>
      </c>
      <c r="AD7" s="31">
        <f ca="1">AD8</f>
        <v>0</v>
      </c>
      <c r="AE7" s="31">
        <f ca="1">IF(O7&gt;0,AD7*100/O7,0)</f>
        <v>0</v>
      </c>
      <c r="AF7" s="31">
        <f t="shared" ref="AF7:AI7" ca="1" si="14">AF8</f>
        <v>0</v>
      </c>
      <c r="AG7" s="31">
        <f t="shared" ca="1" si="14"/>
        <v>0</v>
      </c>
      <c r="AH7" s="284">
        <f t="shared" ca="1" si="14"/>
        <v>0</v>
      </c>
      <c r="AI7" s="30">
        <f t="shared" ca="1" si="14"/>
        <v>168.76</v>
      </c>
      <c r="AJ7" s="31">
        <f t="shared" ref="AJ7:AJ8" ca="1" si="15">IF(AH7&gt;0,AI7*100/AH7,0)</f>
        <v>0</v>
      </c>
      <c r="AK7" s="30">
        <f t="shared" ref="AK7:AO7" ca="1" si="16">AK8</f>
        <v>168.76</v>
      </c>
      <c r="AL7" s="30">
        <f t="shared" ca="1" si="16"/>
        <v>31.56</v>
      </c>
      <c r="AM7" s="30">
        <f t="shared" ca="1" si="16"/>
        <v>137.19999999999999</v>
      </c>
      <c r="AN7" s="30">
        <f t="shared" ca="1" si="16"/>
        <v>0</v>
      </c>
      <c r="AO7" s="30">
        <f t="shared" ca="1" si="16"/>
        <v>0</v>
      </c>
    </row>
    <row r="8" spans="1:41" ht="28.5" customHeight="1" x14ac:dyDescent="0.2">
      <c r="A8" s="32" t="s">
        <v>26</v>
      </c>
      <c r="B8" s="33"/>
      <c r="C8" s="34">
        <f t="shared" ref="C8:E8" ca="1" si="17">+C13+C31+C52+C74</f>
        <v>560500</v>
      </c>
      <c r="D8" s="35">
        <f t="shared" ca="1" si="17"/>
        <v>560500</v>
      </c>
      <c r="E8" s="36">
        <f t="shared" ca="1" si="17"/>
        <v>0</v>
      </c>
      <c r="F8" s="36">
        <f t="shared" ca="1" si="1"/>
        <v>165622.6</v>
      </c>
      <c r="G8" s="37">
        <f t="shared" ca="1" si="2"/>
        <v>29.549081177520073</v>
      </c>
      <c r="H8" s="36">
        <f t="shared" ref="H8:M8" ca="1" si="18">+H13+H31+H52+H74</f>
        <v>165622.6</v>
      </c>
      <c r="I8" s="36">
        <f t="shared" ca="1" si="18"/>
        <v>0</v>
      </c>
      <c r="J8" s="36">
        <f t="shared" ca="1" si="18"/>
        <v>0</v>
      </c>
      <c r="K8" s="36">
        <f t="shared" ca="1" si="18"/>
        <v>0</v>
      </c>
      <c r="L8" s="36">
        <f t="shared" ca="1" si="18"/>
        <v>165622.6</v>
      </c>
      <c r="M8" s="38">
        <f t="shared" ca="1" si="18"/>
        <v>0</v>
      </c>
      <c r="N8" s="38">
        <f t="shared" ca="1" si="4"/>
        <v>0</v>
      </c>
      <c r="O8" s="36">
        <f t="shared" ref="O8:P8" ca="1" si="19">+O13+O31+O52+O74</f>
        <v>3955</v>
      </c>
      <c r="P8" s="36">
        <f t="shared" ca="1" si="19"/>
        <v>0</v>
      </c>
      <c r="Q8" s="39">
        <f t="shared" ca="1" si="6"/>
        <v>0</v>
      </c>
      <c r="R8" s="36">
        <f t="shared" ref="R8:S8" ca="1" si="20">+R13+R31+R52+R74</f>
        <v>202</v>
      </c>
      <c r="S8" s="36">
        <f t="shared" ca="1" si="20"/>
        <v>179</v>
      </c>
      <c r="T8" s="39">
        <f t="shared" ca="1" si="8"/>
        <v>88.613861386138609</v>
      </c>
      <c r="U8" s="36">
        <f t="shared" ref="U8:V8" ca="1" si="21">+U13+U31+U52+U74</f>
        <v>202</v>
      </c>
      <c r="V8" s="36">
        <f t="shared" ca="1" si="21"/>
        <v>176</v>
      </c>
      <c r="W8" s="39">
        <f t="shared" ca="1" si="10"/>
        <v>87.128712871287135</v>
      </c>
      <c r="X8" s="36">
        <f ca="1">+X13+X31+X52+X74</f>
        <v>6363.1799999999994</v>
      </c>
      <c r="Y8" s="271">
        <f t="shared" ca="1" si="11"/>
        <v>160.88950695322373</v>
      </c>
      <c r="Z8" s="36">
        <f ca="1">+Z13+Z31+Z52+Z74</f>
        <v>2216</v>
      </c>
      <c r="AA8" s="271">
        <f t="shared" ca="1" si="12"/>
        <v>56.03034134007585</v>
      </c>
      <c r="AB8" s="271">
        <f ca="1">+AB13+AB31+AB52+AB74</f>
        <v>0</v>
      </c>
      <c r="AC8" s="39">
        <f t="shared" ca="1" si="13"/>
        <v>0</v>
      </c>
      <c r="AD8" s="271">
        <f ca="1">+AD13+AD31+AD52+AD74</f>
        <v>0</v>
      </c>
      <c r="AE8" s="39">
        <f t="shared" ref="AE8:AE88" ca="1" si="22">IF(Q8&gt;0,AD8*100/Q8,0)</f>
        <v>0</v>
      </c>
      <c r="AF8" s="271">
        <f t="shared" ref="AF8:AI8" ca="1" si="23">+AF13+AF31+AF52+AF74</f>
        <v>0</v>
      </c>
      <c r="AG8" s="271">
        <f t="shared" ca="1" si="23"/>
        <v>0</v>
      </c>
      <c r="AH8" s="36">
        <f t="shared" ca="1" si="23"/>
        <v>0</v>
      </c>
      <c r="AI8" s="36">
        <f t="shared" ca="1" si="23"/>
        <v>168.76</v>
      </c>
      <c r="AJ8" s="39">
        <f t="shared" ca="1" si="15"/>
        <v>0</v>
      </c>
      <c r="AK8" s="36">
        <f t="shared" ref="AK8:AO8" ca="1" si="24">+AK13+AK31+AK52+AK74</f>
        <v>168.76</v>
      </c>
      <c r="AL8" s="36">
        <f t="shared" ca="1" si="24"/>
        <v>31.56</v>
      </c>
      <c r="AM8" s="36">
        <f t="shared" ca="1" si="24"/>
        <v>137.19999999999999</v>
      </c>
      <c r="AN8" s="36">
        <f t="shared" ca="1" si="24"/>
        <v>0</v>
      </c>
      <c r="AO8" s="36">
        <f t="shared" ca="1" si="24"/>
        <v>0</v>
      </c>
    </row>
    <row r="9" spans="1:41" ht="28.5" customHeight="1" x14ac:dyDescent="0.2">
      <c r="A9" s="40" t="s">
        <v>249</v>
      </c>
      <c r="B9" s="41"/>
      <c r="C9" s="42">
        <f>+C10+C11</f>
        <v>0</v>
      </c>
      <c r="D9" s="43"/>
      <c r="E9" s="43"/>
      <c r="F9" s="43">
        <f t="shared" si="1"/>
        <v>0</v>
      </c>
      <c r="G9" s="44">
        <f t="shared" si="2"/>
        <v>0</v>
      </c>
      <c r="H9" s="43"/>
      <c r="I9" s="43"/>
      <c r="J9" s="43"/>
      <c r="K9" s="43"/>
      <c r="L9" s="43"/>
      <c r="M9" s="45"/>
      <c r="N9" s="45">
        <f t="shared" si="4"/>
        <v>0</v>
      </c>
      <c r="O9" s="43"/>
      <c r="P9" s="43"/>
      <c r="Q9" s="46"/>
      <c r="R9" s="43"/>
      <c r="S9" s="43"/>
      <c r="T9" s="46"/>
      <c r="U9" s="43"/>
      <c r="V9" s="43"/>
      <c r="W9" s="46"/>
      <c r="X9" s="43"/>
      <c r="Y9" s="272">
        <f t="shared" si="11"/>
        <v>0</v>
      </c>
      <c r="Z9" s="43"/>
      <c r="AA9" s="272">
        <f t="shared" si="12"/>
        <v>0</v>
      </c>
      <c r="AB9" s="272"/>
      <c r="AC9" s="46">
        <f t="shared" si="13"/>
        <v>0</v>
      </c>
      <c r="AD9" s="272"/>
      <c r="AE9" s="46">
        <f t="shared" si="22"/>
        <v>0</v>
      </c>
      <c r="AF9" s="272"/>
      <c r="AG9" s="272"/>
      <c r="AH9" s="43"/>
      <c r="AI9" s="43"/>
      <c r="AJ9" s="46"/>
      <c r="AK9" s="43"/>
      <c r="AL9" s="43"/>
      <c r="AM9" s="43"/>
      <c r="AN9" s="43"/>
      <c r="AO9" s="43"/>
    </row>
    <row r="10" spans="1:41" ht="28.5" hidden="1" customHeight="1" x14ac:dyDescent="0.2">
      <c r="A10" s="40" t="s">
        <v>27</v>
      </c>
      <c r="B10" s="41"/>
      <c r="C10" s="42">
        <f>+C89</f>
        <v>0</v>
      </c>
      <c r="D10" s="43"/>
      <c r="E10" s="43"/>
      <c r="F10" s="43">
        <f t="shared" si="1"/>
        <v>0</v>
      </c>
      <c r="G10" s="44">
        <f t="shared" si="2"/>
        <v>0</v>
      </c>
      <c r="H10" s="43"/>
      <c r="I10" s="43"/>
      <c r="J10" s="43"/>
      <c r="K10" s="43"/>
      <c r="L10" s="43"/>
      <c r="M10" s="45"/>
      <c r="N10" s="45">
        <f t="shared" si="4"/>
        <v>0</v>
      </c>
      <c r="O10" s="43"/>
      <c r="P10" s="43"/>
      <c r="Q10" s="46"/>
      <c r="R10" s="43"/>
      <c r="S10" s="43"/>
      <c r="T10" s="46"/>
      <c r="U10" s="43"/>
      <c r="V10" s="43"/>
      <c r="W10" s="46"/>
      <c r="X10" s="43"/>
      <c r="Y10" s="272">
        <f t="shared" si="11"/>
        <v>0</v>
      </c>
      <c r="Z10" s="43"/>
      <c r="AA10" s="272">
        <f t="shared" si="12"/>
        <v>0</v>
      </c>
      <c r="AB10" s="272"/>
      <c r="AC10" s="46">
        <f t="shared" si="13"/>
        <v>0</v>
      </c>
      <c r="AD10" s="272"/>
      <c r="AE10" s="46">
        <f t="shared" si="22"/>
        <v>0</v>
      </c>
      <c r="AF10" s="272"/>
      <c r="AG10" s="272"/>
      <c r="AH10" s="43"/>
      <c r="AI10" s="43"/>
      <c r="AJ10" s="46"/>
      <c r="AK10" s="43"/>
      <c r="AL10" s="43"/>
      <c r="AM10" s="43"/>
      <c r="AN10" s="43"/>
      <c r="AO10" s="43"/>
    </row>
    <row r="11" spans="1:41" ht="28.5" hidden="1" customHeight="1" x14ac:dyDescent="0.2">
      <c r="A11" s="47" t="s">
        <v>28</v>
      </c>
      <c r="B11" s="41"/>
      <c r="C11" s="42">
        <f>+C104</f>
        <v>0</v>
      </c>
      <c r="D11" s="43"/>
      <c r="E11" s="43"/>
      <c r="F11" s="43">
        <f t="shared" si="1"/>
        <v>0</v>
      </c>
      <c r="G11" s="44">
        <f t="shared" si="2"/>
        <v>0</v>
      </c>
      <c r="H11" s="43"/>
      <c r="I11" s="43"/>
      <c r="J11" s="43"/>
      <c r="K11" s="43"/>
      <c r="L11" s="43"/>
      <c r="M11" s="45"/>
      <c r="N11" s="45">
        <f t="shared" si="4"/>
        <v>0</v>
      </c>
      <c r="O11" s="43"/>
      <c r="P11" s="43"/>
      <c r="Q11" s="46"/>
      <c r="R11" s="43"/>
      <c r="S11" s="43"/>
      <c r="T11" s="46"/>
      <c r="U11" s="43"/>
      <c r="V11" s="43"/>
      <c r="W11" s="46"/>
      <c r="X11" s="43"/>
      <c r="Y11" s="272">
        <f t="shared" si="11"/>
        <v>0</v>
      </c>
      <c r="Z11" s="43"/>
      <c r="AA11" s="272">
        <f t="shared" si="12"/>
        <v>0</v>
      </c>
      <c r="AB11" s="272"/>
      <c r="AC11" s="46">
        <f t="shared" si="13"/>
        <v>0</v>
      </c>
      <c r="AD11" s="272"/>
      <c r="AE11" s="46">
        <f t="shared" si="22"/>
        <v>0</v>
      </c>
      <c r="AF11" s="272"/>
      <c r="AG11" s="272"/>
      <c r="AH11" s="43"/>
      <c r="AI11" s="43"/>
      <c r="AJ11" s="46"/>
      <c r="AK11" s="43"/>
      <c r="AL11" s="43"/>
      <c r="AM11" s="43"/>
      <c r="AN11" s="43"/>
      <c r="AO11" s="43"/>
    </row>
    <row r="12" spans="1:41" ht="28.5" hidden="1" customHeight="1" x14ac:dyDescent="0.2">
      <c r="A12" s="48" t="s">
        <v>29</v>
      </c>
      <c r="B12" s="49"/>
      <c r="C12" s="50">
        <v>0</v>
      </c>
      <c r="D12" s="51">
        <v>0</v>
      </c>
      <c r="E12" s="52">
        <v>0</v>
      </c>
      <c r="F12" s="52">
        <f t="shared" si="1"/>
        <v>0</v>
      </c>
      <c r="G12" s="53">
        <f t="shared" si="2"/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4">
        <v>0</v>
      </c>
      <c r="N12" s="54"/>
      <c r="O12" s="52">
        <v>0</v>
      </c>
      <c r="P12" s="52">
        <v>0</v>
      </c>
      <c r="Q12" s="55">
        <f t="shared" ref="Q12:Q88" si="25">IF(O12&gt;0,P12*100/O12,0)</f>
        <v>0</v>
      </c>
      <c r="R12" s="52">
        <v>0</v>
      </c>
      <c r="S12" s="52">
        <v>0</v>
      </c>
      <c r="T12" s="55">
        <f t="shared" ref="T12:T88" si="26">IF(R12&gt;0,S12*100/R12,0)</f>
        <v>0</v>
      </c>
      <c r="U12" s="52">
        <v>0</v>
      </c>
      <c r="V12" s="52">
        <v>0</v>
      </c>
      <c r="W12" s="55">
        <f t="shared" ref="W12:W88" si="27">IF(U12&gt;0,V12*100/U12,0)</f>
        <v>0</v>
      </c>
      <c r="X12" s="52">
        <v>0</v>
      </c>
      <c r="Y12" s="273">
        <f t="shared" si="11"/>
        <v>0</v>
      </c>
      <c r="Z12" s="52">
        <v>0</v>
      </c>
      <c r="AA12" s="273">
        <f t="shared" si="12"/>
        <v>0</v>
      </c>
      <c r="AB12" s="273">
        <v>0</v>
      </c>
      <c r="AC12" s="55">
        <f t="shared" si="13"/>
        <v>0</v>
      </c>
      <c r="AD12" s="273">
        <v>0</v>
      </c>
      <c r="AE12" s="55">
        <f t="shared" si="22"/>
        <v>0</v>
      </c>
      <c r="AF12" s="273">
        <v>0</v>
      </c>
      <c r="AG12" s="273">
        <v>0</v>
      </c>
      <c r="AH12" s="52">
        <v>0</v>
      </c>
      <c r="AI12" s="52">
        <v>0</v>
      </c>
      <c r="AJ12" s="55">
        <f t="shared" ref="AJ12:AJ88" si="28">IF(AH12&gt;0,AI12*100/AH12,0)</f>
        <v>0</v>
      </c>
      <c r="AK12" s="52">
        <v>0</v>
      </c>
      <c r="AL12" s="52">
        <v>0</v>
      </c>
      <c r="AM12" s="52">
        <v>0</v>
      </c>
      <c r="AN12" s="52">
        <v>0</v>
      </c>
      <c r="AO12" s="52">
        <v>0</v>
      </c>
    </row>
    <row r="13" spans="1:41" ht="28.5" customHeight="1" x14ac:dyDescent="0.2">
      <c r="A13" s="303" t="s">
        <v>30</v>
      </c>
      <c r="B13" s="304"/>
      <c r="C13" s="56">
        <f t="shared" ref="C13:E13" ca="1" si="29">SUM(C14:C30)</f>
        <v>139600</v>
      </c>
      <c r="D13" s="57">
        <f t="shared" ca="1" si="29"/>
        <v>139600</v>
      </c>
      <c r="E13" s="58">
        <f t="shared" ca="1" si="29"/>
        <v>0</v>
      </c>
      <c r="F13" s="58">
        <f t="shared" ca="1" si="1"/>
        <v>28535</v>
      </c>
      <c r="G13" s="59">
        <f t="shared" ca="1" si="2"/>
        <v>20.440544412607451</v>
      </c>
      <c r="H13" s="58">
        <f t="shared" ref="H13:M13" ca="1" si="30">SUM(H14:H30)</f>
        <v>28535</v>
      </c>
      <c r="I13" s="58">
        <f t="shared" ca="1" si="30"/>
        <v>0</v>
      </c>
      <c r="J13" s="58">
        <f t="shared" ca="1" si="30"/>
        <v>0</v>
      </c>
      <c r="K13" s="58">
        <f t="shared" ca="1" si="30"/>
        <v>0</v>
      </c>
      <c r="L13" s="58">
        <f t="shared" ca="1" si="30"/>
        <v>28535</v>
      </c>
      <c r="M13" s="60">
        <f t="shared" ca="1" si="30"/>
        <v>0</v>
      </c>
      <c r="N13" s="60">
        <f t="shared" ref="N13:N116" ca="1" si="31">IF(E13&gt;0,M13*100/E13,0)</f>
        <v>0</v>
      </c>
      <c r="O13" s="58">
        <f t="shared" ref="O13:P13" ca="1" si="32">SUM(O14:O30)</f>
        <v>1100</v>
      </c>
      <c r="P13" s="58">
        <f t="shared" ca="1" si="32"/>
        <v>0</v>
      </c>
      <c r="Q13" s="61">
        <f t="shared" ca="1" si="25"/>
        <v>0</v>
      </c>
      <c r="R13" s="58">
        <f t="shared" ref="R13:S13" ca="1" si="33">SUM(R14:R30)</f>
        <v>46</v>
      </c>
      <c r="S13" s="58">
        <f t="shared" ca="1" si="33"/>
        <v>45</v>
      </c>
      <c r="T13" s="61">
        <f t="shared" ca="1" si="26"/>
        <v>97.826086956521735</v>
      </c>
      <c r="U13" s="58">
        <f t="shared" ref="U13:V13" ca="1" si="34">SUM(U14:U30)</f>
        <v>46</v>
      </c>
      <c r="V13" s="58">
        <f t="shared" ca="1" si="34"/>
        <v>42</v>
      </c>
      <c r="W13" s="61">
        <f t="shared" ca="1" si="27"/>
        <v>91.304347826086953</v>
      </c>
      <c r="X13" s="58">
        <f ca="1">SUM(X14:X30)</f>
        <v>1446.95</v>
      </c>
      <c r="Y13" s="274">
        <f t="shared" ca="1" si="11"/>
        <v>131.54090909090908</v>
      </c>
      <c r="Z13" s="58">
        <f ca="1">SUM(Z14:Z30)</f>
        <v>0</v>
      </c>
      <c r="AA13" s="274">
        <f t="shared" ca="1" si="12"/>
        <v>0</v>
      </c>
      <c r="AB13" s="274">
        <f ca="1">SUM(AB14:AB30)</f>
        <v>0</v>
      </c>
      <c r="AC13" s="61">
        <f t="shared" ca="1" si="13"/>
        <v>0</v>
      </c>
      <c r="AD13" s="274">
        <f ca="1">SUM(AD14:AD30)</f>
        <v>0</v>
      </c>
      <c r="AE13" s="61">
        <f t="shared" ca="1" si="22"/>
        <v>0</v>
      </c>
      <c r="AF13" s="274">
        <f t="shared" ref="AF13:AI13" ca="1" si="35">SUM(AF14:AF30)</f>
        <v>0</v>
      </c>
      <c r="AG13" s="274">
        <f t="shared" ca="1" si="35"/>
        <v>0</v>
      </c>
      <c r="AH13" s="58">
        <f t="shared" ca="1" si="35"/>
        <v>0</v>
      </c>
      <c r="AI13" s="58">
        <f t="shared" ca="1" si="35"/>
        <v>0</v>
      </c>
      <c r="AJ13" s="61">
        <f t="shared" ca="1" si="28"/>
        <v>0</v>
      </c>
      <c r="AK13" s="58">
        <f t="shared" ref="AK13:AO13" ca="1" si="36">SUM(AK14:AK30)</f>
        <v>0</v>
      </c>
      <c r="AL13" s="58">
        <f t="shared" ca="1" si="36"/>
        <v>0</v>
      </c>
      <c r="AM13" s="58">
        <f t="shared" ca="1" si="36"/>
        <v>0</v>
      </c>
      <c r="AN13" s="58">
        <f t="shared" ca="1" si="36"/>
        <v>0</v>
      </c>
      <c r="AO13" s="58">
        <f t="shared" ca="1" si="36"/>
        <v>0</v>
      </c>
    </row>
    <row r="14" spans="1:41" ht="24" customHeight="1" x14ac:dyDescent="0.2">
      <c r="A14" s="62">
        <v>1</v>
      </c>
      <c r="B14" s="63" t="s">
        <v>31</v>
      </c>
      <c r="C14" s="64">
        <f t="shared" ref="C14:C30" ca="1" si="37">D14+E14</f>
        <v>0</v>
      </c>
      <c r="D14" s="65">
        <f ca="1">IFERROR(__xludf.DUMMYFUNCTION("IMPORTRANGE(""https://docs.google.com/spreadsheets/d/1KxicF4apzSqm0-jIpmueT4kyZtE-Cwn5zskl7GD4loQ/edit?usp=sharing"",""กำแพงเพชร!L660"")"),0)</f>
        <v>0</v>
      </c>
      <c r="E14" s="66">
        <f ca="1">IFERROR(__xludf.DUMMYFUNCTION("IMPORTRANGE(""https://docs.google.com/spreadsheets/d/1KxicF4apzSqm0-jIpmueT4kyZtE-Cwn5zskl7GD4loQ/edit?usp=sharing"",""กำแพงเพชร!L667"")"),0)</f>
        <v>0</v>
      </c>
      <c r="F14" s="67">
        <f t="shared" ca="1" si="1"/>
        <v>0</v>
      </c>
      <c r="G14" s="68">
        <f t="shared" ca="1" si="2"/>
        <v>0</v>
      </c>
      <c r="H14" s="69">
        <f t="shared" ref="H14:H30" ca="1" si="38">I14+J14+K14+L14</f>
        <v>0</v>
      </c>
      <c r="I14" s="66">
        <f ca="1">IFERROR(__xludf.DUMMYFUNCTION("IMPORTRANGE(""https://docs.google.com/spreadsheets/d/1KxicF4apzSqm0-jIpmueT4kyZtE-Cwn5zskl7GD4loQ/edit?usp=sharing"",""กำแพงเพชร!N661"")"),0)</f>
        <v>0</v>
      </c>
      <c r="J14" s="66">
        <f ca="1">IFERROR(__xludf.DUMMYFUNCTION("IMPORTRANGE(""https://docs.google.com/spreadsheets/d/1KxicF4apzSqm0-jIpmueT4kyZtE-Cwn5zskl7GD4loQ/edit?usp=sharing"",""กำแพงเพชร!N662"")"),0)</f>
        <v>0</v>
      </c>
      <c r="K14" s="66">
        <f ca="1">IFERROR(__xludf.DUMMYFUNCTION("IMPORTRANGE(""https://docs.google.com/spreadsheets/d/1KxicF4apzSqm0-jIpmueT4kyZtE-Cwn5zskl7GD4loQ/edit?usp=sharing"",""กำแพงเพชร!N663"")"),0)</f>
        <v>0</v>
      </c>
      <c r="L14" s="66">
        <f ca="1">IFERROR(__xludf.DUMMYFUNCTION("IMPORTRANGE(""https://docs.google.com/spreadsheets/d/1KxicF4apzSqm0-jIpmueT4kyZtE-Cwn5zskl7GD4loQ/edit?usp=sharing"",""กำแพงเพชร!N664"")"),0)</f>
        <v>0</v>
      </c>
      <c r="M14" s="70">
        <f ca="1">IFERROR(__xludf.DUMMYFUNCTION("IMPORTRANGE(""https://docs.google.com/spreadsheets/d/1KxicF4apzSqm0-jIpmueT4kyZtE-Cwn5zskl7GD4loQ/edit?usp=sharing"",""กำแพงเพชร!N667"")"),0)</f>
        <v>0</v>
      </c>
      <c r="N14" s="70">
        <f t="shared" ca="1" si="31"/>
        <v>0</v>
      </c>
      <c r="O14" s="66">
        <f ca="1">IFERROR(__xludf.DUMMYFUNCTION("IMPORTRANGE(""https://docs.google.com/spreadsheets/d/1KxicF4apzSqm0-jIpmueT4kyZtE-Cwn5zskl7GD4loQ/edit?usp=sharing"",""กำแพงเพชร!I669"")"),0)</f>
        <v>0</v>
      </c>
      <c r="P14" s="66">
        <f ca="1">IFERROR(__xludf.DUMMYFUNCTION("IMPORTRANGE(""https://docs.google.com/spreadsheets/d/1KxicF4apzSqm0-jIpmueT4kyZtE-Cwn5zskl7GD4loQ/edit?usp=sharing"",""กำแพงเพชร!J669"")"),0)</f>
        <v>0</v>
      </c>
      <c r="Q14" s="71">
        <f t="shared" ca="1" si="25"/>
        <v>0</v>
      </c>
      <c r="R14" s="66">
        <f ca="1">IFERROR(__xludf.DUMMYFUNCTION("IMPORTRANGE(""https://docs.google.com/spreadsheets/d/1KxicF4apzSqm0-jIpmueT4kyZtE-Cwn5zskl7GD4loQ/edit?usp=sharing"",""กำแพงเพชร!I670"")"),0)</f>
        <v>0</v>
      </c>
      <c r="S14" s="66">
        <f ca="1">IFERROR(__xludf.DUMMYFUNCTION("IMPORTRANGE(""https://docs.google.com/spreadsheets/d/1KxicF4apzSqm0-jIpmueT4kyZtE-Cwn5zskl7GD4loQ/edit?usp=sharing"",""กำแพงเพชร!J670"")"),0)</f>
        <v>0</v>
      </c>
      <c r="T14" s="71">
        <f t="shared" ca="1" si="26"/>
        <v>0</v>
      </c>
      <c r="U14" s="66">
        <f ca="1">IFERROR(__xludf.DUMMYFUNCTION("IMPORTRANGE(""https://docs.google.com/spreadsheets/d/1KxicF4apzSqm0-jIpmueT4kyZtE-Cwn5zskl7GD4loQ/edit?usp=sharing"",""กำแพงเพชร!I671"")"),0)</f>
        <v>0</v>
      </c>
      <c r="V14" s="66">
        <f ca="1">IFERROR(__xludf.DUMMYFUNCTION("IMPORTRANGE(""https://docs.google.com/spreadsheets/d/1KxicF4apzSqm0-jIpmueT4kyZtE-Cwn5zskl7GD4loQ/edit?usp=sharing"",""กำแพงเพชร!J671"")"),0)</f>
        <v>0</v>
      </c>
      <c r="W14" s="71">
        <f t="shared" ca="1" si="27"/>
        <v>0</v>
      </c>
      <c r="X14" s="66">
        <f ca="1">IFERROR(__xludf.DUMMYFUNCTION("IMPORTRANGE(""https://docs.google.com/spreadsheets/d/1KxicF4apzSqm0-jIpmueT4kyZtE-Cwn5zskl7GD4loQ/edit?usp=sharing"",""กำแพงเพชร!J672"")"),0)</f>
        <v>0</v>
      </c>
      <c r="Y14" s="275">
        <f t="shared" ca="1" si="11"/>
        <v>0</v>
      </c>
      <c r="Z14" s="66">
        <f ca="1">IFERROR(__xludf.DUMMYFUNCTION("IMPORTRANGE(""https://docs.google.com/spreadsheets/d/1KxicF4apzSqm0-jIpmueT4kyZtE-Cwn5zskl7GD4loQ/edit?usp=sharing"",""กำแพงเพชร!J673"")"),0)</f>
        <v>0</v>
      </c>
      <c r="AA14" s="275">
        <f t="shared" ca="1" si="12"/>
        <v>0</v>
      </c>
      <c r="AB14" s="275">
        <f ca="1">IFERROR(__xludf.DUMMYFUNCTION("IMPORTRANGE(""https://docs.google.com/spreadsheets/d/1KxicF4apzSqm0-jIpmueT4kyZtE-Cwn5zskl7GD4loQ/edit?usp=sharing"",""กำแพงเพชร!J674"")"),0)</f>
        <v>0</v>
      </c>
      <c r="AC14" s="71">
        <f t="shared" ca="1" si="13"/>
        <v>0</v>
      </c>
      <c r="AD14" s="275">
        <f ca="1">IFERROR(__xludf.DUMMYFUNCTION("IMPORTRANGE(""https://docs.google.com/spreadsheets/d/1KxicF4apzSqm0-jIpmueT4kyZtE-Cwn5zskl7GD4loQ/edit?usp=sharing"",""กำแพงเพชร!J675"")"),0)</f>
        <v>0</v>
      </c>
      <c r="AE14" s="71">
        <f t="shared" ca="1" si="22"/>
        <v>0</v>
      </c>
      <c r="AF14" s="275">
        <f ca="1">IFERROR(__xludf.DUMMYFUNCTION("IMPORTRANGE(""https://docs.google.com/spreadsheets/d/1KxicF4apzSqm0-jIpmueT4kyZtE-Cwn5zskl7GD4loQ/edit?usp=sharing"",""กำแพงเพชร!J676"")"),0)</f>
        <v>0</v>
      </c>
      <c r="AG14" s="275">
        <f ca="1">IFERROR(__xludf.DUMMYFUNCTION("IMPORTRANGE(""https://docs.google.com/spreadsheets/d/1KxicF4apzSqm0-jIpmueT4kyZtE-Cwn5zskl7GD4loQ/edit?usp=sharing"",""กำแพงเพชร!J677"")"),0)</f>
        <v>0</v>
      </c>
      <c r="AH14" s="66">
        <f ca="1">IFERROR(__xludf.DUMMYFUNCTION("IMPORTRANGE(""https://docs.google.com/spreadsheets/d/1KxicF4apzSqm0-jIpmueT4kyZtE-Cwn5zskl7GD4loQ/edit?usp=sharing"",""กำแพงเพชร!I678"")"),0)</f>
        <v>0</v>
      </c>
      <c r="AI14" s="66">
        <f ca="1">IFERROR(__xludf.DUMMYFUNCTION("IMPORTRANGE(""https://docs.google.com/spreadsheets/d/1KxicF4apzSqm0-jIpmueT4kyZtE-Cwn5zskl7GD4loQ/edit?usp=sharing"",""กำแพงเพชร!J678"")"),0)</f>
        <v>0</v>
      </c>
      <c r="AJ14" s="71">
        <f t="shared" ca="1" si="28"/>
        <v>0</v>
      </c>
      <c r="AK14" s="66">
        <f ca="1">IFERROR(__xludf.DUMMYFUNCTION("IMPORTRANGE(""https://docs.google.com/spreadsheets/d/1KxicF4apzSqm0-jIpmueT4kyZtE-Cwn5zskl7GD4loQ/edit?usp=sharing"",""กำแพงเพชร!J679"")"),0)</f>
        <v>0</v>
      </c>
      <c r="AL14" s="66">
        <f ca="1">IFERROR(__xludf.DUMMYFUNCTION("IMPORTRANGE(""https://docs.google.com/spreadsheets/d/1KxicF4apzSqm0-jIpmueT4kyZtE-Cwn5zskl7GD4loQ/edit?usp=sharing"",""กำแพงเพชร!J680"")"),0)</f>
        <v>0</v>
      </c>
      <c r="AM14" s="66">
        <f ca="1">IFERROR(__xludf.DUMMYFUNCTION("IMPORTRANGE(""https://docs.google.com/spreadsheets/d/1KxicF4apzSqm0-jIpmueT4kyZtE-Cwn5zskl7GD4loQ/edit?usp=sharing"",""กำแพงเพชร!J681"")"),0)</f>
        <v>0</v>
      </c>
      <c r="AN14" s="66">
        <f ca="1">IFERROR(__xludf.DUMMYFUNCTION("IMPORTRANGE(""https://docs.google.com/spreadsheets/d/1KxicF4apzSqm0-jIpmueT4kyZtE-Cwn5zskl7GD4loQ/edit?usp=sharing"",""กำแพงเพชร!J682"")"),0)</f>
        <v>0</v>
      </c>
      <c r="AO14" s="66">
        <f ca="1">IFERROR(__xludf.DUMMYFUNCTION("IMPORTRANGE(""https://docs.google.com/spreadsheets/d/1KxicF4apzSqm0-jIpmueT4kyZtE-Cwn5zskl7GD4loQ/edit?usp=sharing"",""กำแพงเพชร!J683"")"),0)</f>
        <v>0</v>
      </c>
    </row>
    <row r="15" spans="1:41" ht="24" customHeight="1" x14ac:dyDescent="0.2">
      <c r="A15" s="72">
        <v>2</v>
      </c>
      <c r="B15" s="73" t="s">
        <v>32</v>
      </c>
      <c r="C15" s="74">
        <f t="shared" ca="1" si="37"/>
        <v>27600</v>
      </c>
      <c r="D15" s="75">
        <f ca="1">IFERROR(__xludf.DUMMYFUNCTION("IMPORTRANGE(""https://docs.google.com/spreadsheets/d/1ZNYWeiFoFA1K1U4xKWqRX29MBvEyRHXORjo734Gnq_c/edit?usp=sharing"",""เชียงราย!L660"")"),27600)</f>
        <v>27600</v>
      </c>
      <c r="E15" s="76">
        <f ca="1">IFERROR(__xludf.DUMMYFUNCTION("IMPORTRANGE(""https://docs.google.com/spreadsheets/d/1ZNYWeiFoFA1K1U4xKWqRX29MBvEyRHXORjo734Gnq_c/edit?usp=sharing"",""เชียงราย!L667"")"),0)</f>
        <v>0</v>
      </c>
      <c r="F15" s="77">
        <f t="shared" ca="1" si="1"/>
        <v>4092</v>
      </c>
      <c r="G15" s="78">
        <f t="shared" ca="1" si="2"/>
        <v>14.826086956521738</v>
      </c>
      <c r="H15" s="79">
        <f t="shared" ca="1" si="38"/>
        <v>4092</v>
      </c>
      <c r="I15" s="76">
        <f ca="1">IFERROR(__xludf.DUMMYFUNCTION("IMPORTRANGE(""https://docs.google.com/spreadsheets/d/1ZNYWeiFoFA1K1U4xKWqRX29MBvEyRHXORjo734Gnq_c/edit?usp=sharing"",""เชียงราย!N661"")"),0)</f>
        <v>0</v>
      </c>
      <c r="J15" s="76">
        <f ca="1">IFERROR(__xludf.DUMMYFUNCTION("IMPORTRANGE(""https://docs.google.com/spreadsheets/d/1ZNYWeiFoFA1K1U4xKWqRX29MBvEyRHXORjo734Gnq_c/edit?usp=sharing"",""เชียงราย!N662"")"),0)</f>
        <v>0</v>
      </c>
      <c r="K15" s="76">
        <f ca="1">IFERROR(__xludf.DUMMYFUNCTION("IMPORTRANGE(""https://docs.google.com/spreadsheets/d/1ZNYWeiFoFA1K1U4xKWqRX29MBvEyRHXORjo734Gnq_c/edit?usp=sharing"",""เชียงราย!N663"")"),0)</f>
        <v>0</v>
      </c>
      <c r="L15" s="76">
        <f ca="1">IFERROR(__xludf.DUMMYFUNCTION("IMPORTRANGE(""https://docs.google.com/spreadsheets/d/1ZNYWeiFoFA1K1U4xKWqRX29MBvEyRHXORjo734Gnq_c/edit?usp=sharing"",""เชียงราย!N664"")"),4092)</f>
        <v>4092</v>
      </c>
      <c r="M15" s="80">
        <f ca="1">IFERROR(__xludf.DUMMYFUNCTION("IMPORTRANGE(""https://docs.google.com/spreadsheets/d/1ZNYWeiFoFA1K1U4xKWqRX29MBvEyRHXORjo734Gnq_c/edit?usp=sharing"",""เชียงราย!N667"")"),0)</f>
        <v>0</v>
      </c>
      <c r="N15" s="80">
        <f t="shared" ca="1" si="31"/>
        <v>0</v>
      </c>
      <c r="O15" s="81">
        <f ca="1">IFERROR(__xludf.DUMMYFUNCTION("IMPORTRANGE(""https://docs.google.com/spreadsheets/d/1ZNYWeiFoFA1K1U4xKWqRX29MBvEyRHXORjo734Gnq_c/edit?usp=sharing"",""เชียงราย!I669"")"),300)</f>
        <v>300</v>
      </c>
      <c r="P15" s="81">
        <f ca="1">IFERROR(__xludf.DUMMYFUNCTION("IMPORTRANGE(""https://docs.google.com/spreadsheets/d/1ZNYWeiFoFA1K1U4xKWqRX29MBvEyRHXORjo734Gnq_c/edit?usp=sharing"",""เชียงราย!J669"")"),0)</f>
        <v>0</v>
      </c>
      <c r="Q15" s="82">
        <f t="shared" ca="1" si="25"/>
        <v>0</v>
      </c>
      <c r="R15" s="81">
        <f ca="1">IFERROR(__xludf.DUMMYFUNCTION("IMPORTRANGE(""https://docs.google.com/spreadsheets/d/1ZNYWeiFoFA1K1U4xKWqRX29MBvEyRHXORjo734Gnq_c/edit?usp=sharing"",""เชียงราย!I670"")"),6)</f>
        <v>6</v>
      </c>
      <c r="S15" s="81">
        <f ca="1">IFERROR(__xludf.DUMMYFUNCTION("IMPORTRANGE(""https://docs.google.com/spreadsheets/d/1ZNYWeiFoFA1K1U4xKWqRX29MBvEyRHXORjo734Gnq_c/edit?usp=sharing"",""เชียงราย!J670"")"),6)</f>
        <v>6</v>
      </c>
      <c r="T15" s="82">
        <f t="shared" ca="1" si="26"/>
        <v>100</v>
      </c>
      <c r="U15" s="81">
        <f ca="1">IFERROR(__xludf.DUMMYFUNCTION("IMPORTRANGE(""https://docs.google.com/spreadsheets/d/1ZNYWeiFoFA1K1U4xKWqRX29MBvEyRHXORjo734Gnq_c/edit?usp=sharing"",""เชียงราย!I671"")"),6)</f>
        <v>6</v>
      </c>
      <c r="V15" s="81">
        <f ca="1">IFERROR(__xludf.DUMMYFUNCTION("IMPORTRANGE(""https://docs.google.com/spreadsheets/d/1ZNYWeiFoFA1K1U4xKWqRX29MBvEyRHXORjo734Gnq_c/edit?usp=sharing"",""เชียงราย!J671"")"),6)</f>
        <v>6</v>
      </c>
      <c r="W15" s="82">
        <f t="shared" ca="1" si="27"/>
        <v>100</v>
      </c>
      <c r="X15" s="81">
        <f ca="1">IFERROR(__xludf.DUMMYFUNCTION("IMPORTRANGE(""https://docs.google.com/spreadsheets/d/1ZNYWeiFoFA1K1U4xKWqRX29MBvEyRHXORjo734Gnq_c/edit?usp=sharing"",""เชียงราย!J672"")"),800)</f>
        <v>800</v>
      </c>
      <c r="Y15" s="276">
        <f t="shared" ca="1" si="11"/>
        <v>266.66666666666669</v>
      </c>
      <c r="Z15" s="81">
        <f ca="1">IFERROR(__xludf.DUMMYFUNCTION("IMPORTRANGE(""https://docs.google.com/spreadsheets/d/1ZNYWeiFoFA1K1U4xKWqRX29MBvEyRHXORjo734Gnq_c/edit?usp=sharing"",""เชียงราย!J673"")"),0)</f>
        <v>0</v>
      </c>
      <c r="AA15" s="276">
        <f t="shared" ca="1" si="12"/>
        <v>0</v>
      </c>
      <c r="AB15" s="276">
        <f ca="1">IFERROR(__xludf.DUMMYFUNCTION("IMPORTRANGE(""https://docs.google.com/spreadsheets/d/1ZNYWeiFoFA1K1U4xKWqRX29MBvEyRHXORjo734Gnq_c/edit?usp=sharing"",""เชียงราย!J674"")"),0)</f>
        <v>0</v>
      </c>
      <c r="AC15" s="82">
        <f t="shared" ca="1" si="13"/>
        <v>0</v>
      </c>
      <c r="AD15" s="276">
        <f ca="1">IFERROR(__xludf.DUMMYFUNCTION("IMPORTRANGE(""https://docs.google.com/spreadsheets/d/1ZNYWeiFoFA1K1U4xKWqRX29MBvEyRHXORjo734Gnq_c/edit?usp=sharing"",""เชียงราย!J675"")"),0)</f>
        <v>0</v>
      </c>
      <c r="AE15" s="82">
        <f t="shared" ca="1" si="22"/>
        <v>0</v>
      </c>
      <c r="AF15" s="276">
        <f ca="1">IFERROR(__xludf.DUMMYFUNCTION("IMPORTRANGE(""https://docs.google.com/spreadsheets/d/1ZNYWeiFoFA1K1U4xKWqRX29MBvEyRHXORjo734Gnq_c/edit?usp=sharing"",""เชียงราย!J676"")"),0)</f>
        <v>0</v>
      </c>
      <c r="AG15" s="276">
        <f ca="1">IFERROR(__xludf.DUMMYFUNCTION("IMPORTRANGE(""https://docs.google.com/spreadsheets/d/1ZNYWeiFoFA1K1U4xKWqRX29MBvEyRHXORjo734Gnq_c/edit?usp=sharing"",""เชียงราย!J677"")"),0)</f>
        <v>0</v>
      </c>
      <c r="AH15" s="81">
        <f ca="1">IFERROR(__xludf.DUMMYFUNCTION("IMPORTRANGE(""https://docs.google.com/spreadsheets/d/1ZNYWeiFoFA1K1U4xKWqRX29MBvEyRHXORjo734Gnq_c/edit?usp=sharing"",""เชียงราย!I678"")"),0)</f>
        <v>0</v>
      </c>
      <c r="AI15" s="81">
        <f ca="1">IFERROR(__xludf.DUMMYFUNCTION("IMPORTRANGE(""https://docs.google.com/spreadsheets/d/1ZNYWeiFoFA1K1U4xKWqRX29MBvEyRHXORjo734Gnq_c/edit?usp=sharing"",""เชียงราย!J678"")"),0)</f>
        <v>0</v>
      </c>
      <c r="AJ15" s="82">
        <f t="shared" ca="1" si="28"/>
        <v>0</v>
      </c>
      <c r="AK15" s="81">
        <f ca="1">IFERROR(__xludf.DUMMYFUNCTION("IMPORTRANGE(""https://docs.google.com/spreadsheets/d/1ZNYWeiFoFA1K1U4xKWqRX29MBvEyRHXORjo734Gnq_c/edit?usp=sharing"",""เชียงราย!J679"")"),0)</f>
        <v>0</v>
      </c>
      <c r="AL15" s="81">
        <f ca="1">IFERROR(__xludf.DUMMYFUNCTION("IMPORTRANGE(""https://docs.google.com/spreadsheets/d/1ZNYWeiFoFA1K1U4xKWqRX29MBvEyRHXORjo734Gnq_c/edit?usp=sharing"",""เชียงราย!J680"")"),0)</f>
        <v>0</v>
      </c>
      <c r="AM15" s="81">
        <f ca="1">IFERROR(__xludf.DUMMYFUNCTION("IMPORTRANGE(""https://docs.google.com/spreadsheets/d/1ZNYWeiFoFA1K1U4xKWqRX29MBvEyRHXORjo734Gnq_c/edit?usp=sharing"",""เชียงราย!J681"")"),0)</f>
        <v>0</v>
      </c>
      <c r="AN15" s="81">
        <f ca="1">IFERROR(__xludf.DUMMYFUNCTION("IMPORTRANGE(""https://docs.google.com/spreadsheets/d/1ZNYWeiFoFA1K1U4xKWqRX29MBvEyRHXORjo734Gnq_c/edit?usp=sharing"",""เชียงราย!J682"")"),0)</f>
        <v>0</v>
      </c>
      <c r="AO15" s="81">
        <f ca="1">IFERROR(__xludf.DUMMYFUNCTION("IMPORTRANGE(""https://docs.google.com/spreadsheets/d/1ZNYWeiFoFA1K1U4xKWqRX29MBvEyRHXORjo734Gnq_c/edit?usp=sharing"",""เชียงราย!J683"")"),0)</f>
        <v>0</v>
      </c>
    </row>
    <row r="16" spans="1:41" ht="24" customHeight="1" x14ac:dyDescent="0.2">
      <c r="A16" s="72">
        <v>3</v>
      </c>
      <c r="B16" s="73" t="s">
        <v>33</v>
      </c>
      <c r="C16" s="74">
        <f t="shared" ca="1" si="37"/>
        <v>15600</v>
      </c>
      <c r="D16" s="75">
        <f ca="1">IFERROR(__xludf.DUMMYFUNCTION("IMPORTRANGE(""https://docs.google.com/spreadsheets/d/1Jgv0Y7YlHDtsiDawwp-uvifEJ8HVaSn0k2aGHG8-hwM/edit?usp=sharing"",""เชียงใหม่!L660"")"),15600)</f>
        <v>15600</v>
      </c>
      <c r="E16" s="76">
        <f ca="1">IFERROR(__xludf.DUMMYFUNCTION("IMPORTRANGE(""https://docs.google.com/spreadsheets/d/1Jgv0Y7YlHDtsiDawwp-uvifEJ8HVaSn0k2aGHG8-hwM/edit?usp=sharing"",""เชียงใหม่!L667"")"),0)</f>
        <v>0</v>
      </c>
      <c r="F16" s="77">
        <f t="shared" ca="1" si="1"/>
        <v>3403</v>
      </c>
      <c r="G16" s="78">
        <f t="shared" ca="1" si="2"/>
        <v>21.814102564102566</v>
      </c>
      <c r="H16" s="79">
        <f t="shared" ca="1" si="38"/>
        <v>3403</v>
      </c>
      <c r="I16" s="76">
        <f ca="1">IFERROR(__xludf.DUMMYFUNCTION("IMPORTRANGE(""https://docs.google.com/spreadsheets/d/1Jgv0Y7YlHDtsiDawwp-uvifEJ8HVaSn0k2aGHG8-hwM/edit?usp=sharing"",""เชียงใหม่!N661"")"),0)</f>
        <v>0</v>
      </c>
      <c r="J16" s="76">
        <f ca="1">IFERROR(__xludf.DUMMYFUNCTION("IMPORTRANGE(""https://docs.google.com/spreadsheets/d/1Jgv0Y7YlHDtsiDawwp-uvifEJ8HVaSn0k2aGHG8-hwM/edit?usp=sharing"",""เชียงใหม่!N662"")"),0)</f>
        <v>0</v>
      </c>
      <c r="K16" s="76">
        <f ca="1">IFERROR(__xludf.DUMMYFUNCTION("IMPORTRANGE(""https://docs.google.com/spreadsheets/d/1Jgv0Y7YlHDtsiDawwp-uvifEJ8HVaSn0k2aGHG8-hwM/edit?usp=sharing"",""เชียงใหม่!N663"")"),0)</f>
        <v>0</v>
      </c>
      <c r="L16" s="76">
        <f ca="1">IFERROR(__xludf.DUMMYFUNCTION("IMPORTRANGE(""https://docs.google.com/spreadsheets/d/1Jgv0Y7YlHDtsiDawwp-uvifEJ8HVaSn0k2aGHG8-hwM/edit?usp=sharing"",""เชียงใหม่!N664"")"),3403)</f>
        <v>3403</v>
      </c>
      <c r="M16" s="80">
        <f ca="1">IFERROR(__xludf.DUMMYFUNCTION("IMPORTRANGE(""https://docs.google.com/spreadsheets/d/1Jgv0Y7YlHDtsiDawwp-uvifEJ8HVaSn0k2aGHG8-hwM/edit?usp=sharing"",""เชียงใหม่!N667"")"),0)</f>
        <v>0</v>
      </c>
      <c r="N16" s="80">
        <f t="shared" ca="1" si="31"/>
        <v>0</v>
      </c>
      <c r="O16" s="81">
        <f ca="1">IFERROR(__xludf.DUMMYFUNCTION("IMPORTRANGE(""https://docs.google.com/spreadsheets/d/1Jgv0Y7YlHDtsiDawwp-uvifEJ8HVaSn0k2aGHG8-hwM/edit?usp=sharing"",""เชียงใหม่!I669"")"),100)</f>
        <v>100</v>
      </c>
      <c r="P16" s="81">
        <f ca="1">IFERROR(__xludf.DUMMYFUNCTION("IMPORTRANGE(""https://docs.google.com/spreadsheets/d/1Jgv0Y7YlHDtsiDawwp-uvifEJ8HVaSn0k2aGHG8-hwM/edit?usp=sharing"",""เชียงใหม่!J669"")"),0)</f>
        <v>0</v>
      </c>
      <c r="Q16" s="82">
        <f t="shared" ca="1" si="25"/>
        <v>0</v>
      </c>
      <c r="R16" s="81">
        <f ca="1">IFERROR(__xludf.DUMMYFUNCTION("IMPORTRANGE(""https://docs.google.com/spreadsheets/d/1Jgv0Y7YlHDtsiDawwp-uvifEJ8HVaSn0k2aGHG8-hwM/edit?usp=sharing"",""เชียงใหม่!I670"")"),6)</f>
        <v>6</v>
      </c>
      <c r="S16" s="81">
        <f ca="1">IFERROR(__xludf.DUMMYFUNCTION("IMPORTRANGE(""https://docs.google.com/spreadsheets/d/1Jgv0Y7YlHDtsiDawwp-uvifEJ8HVaSn0k2aGHG8-hwM/edit?usp=sharing"",""เชียงใหม่!J670"")"),6)</f>
        <v>6</v>
      </c>
      <c r="T16" s="82">
        <f t="shared" ca="1" si="26"/>
        <v>100</v>
      </c>
      <c r="U16" s="81">
        <f ca="1">IFERROR(__xludf.DUMMYFUNCTION("IMPORTRANGE(""https://docs.google.com/spreadsheets/d/1Jgv0Y7YlHDtsiDawwp-uvifEJ8HVaSn0k2aGHG8-hwM/edit?usp=sharing"",""เชียงใหม่!I671"")"),6)</f>
        <v>6</v>
      </c>
      <c r="V16" s="81">
        <f ca="1">IFERROR(__xludf.DUMMYFUNCTION("IMPORTRANGE(""https://docs.google.com/spreadsheets/d/1Jgv0Y7YlHDtsiDawwp-uvifEJ8HVaSn0k2aGHG8-hwM/edit?usp=sharing"",""เชียงใหม่!J671"")"),6)</f>
        <v>6</v>
      </c>
      <c r="W16" s="82">
        <f t="shared" ca="1" si="27"/>
        <v>100</v>
      </c>
      <c r="X16" s="81">
        <f ca="1">IFERROR(__xludf.DUMMYFUNCTION("IMPORTRANGE(""https://docs.google.com/spreadsheets/d/1Jgv0Y7YlHDtsiDawwp-uvifEJ8HVaSn0k2aGHG8-hwM/edit?usp=sharing"",""เชียงใหม่!J672"")"),0)</f>
        <v>0</v>
      </c>
      <c r="Y16" s="276">
        <f t="shared" ca="1" si="11"/>
        <v>0</v>
      </c>
      <c r="Z16" s="81">
        <f ca="1">IFERROR(__xludf.DUMMYFUNCTION("IMPORTRANGE(""https://docs.google.com/spreadsheets/d/1Jgv0Y7YlHDtsiDawwp-uvifEJ8HVaSn0k2aGHG8-hwM/edit?usp=sharing"",""เชียงใหม่!J673"")"),0)</f>
        <v>0</v>
      </c>
      <c r="AA16" s="276">
        <f t="shared" ca="1" si="12"/>
        <v>0</v>
      </c>
      <c r="AB16" s="276">
        <f ca="1">IFERROR(__xludf.DUMMYFUNCTION("IMPORTRANGE(""https://docs.google.com/spreadsheets/d/1Jgv0Y7YlHDtsiDawwp-uvifEJ8HVaSn0k2aGHG8-hwM/edit?usp=sharing"",""เชียงใหม่!J674"")"),0)</f>
        <v>0</v>
      </c>
      <c r="AC16" s="82">
        <f t="shared" ca="1" si="13"/>
        <v>0</v>
      </c>
      <c r="AD16" s="276">
        <f ca="1">IFERROR(__xludf.DUMMYFUNCTION("IMPORTRANGE(""https://docs.google.com/spreadsheets/d/1Jgv0Y7YlHDtsiDawwp-uvifEJ8HVaSn0k2aGHG8-hwM/edit?usp=sharing"",""เชียงใหม่!J675"")"),0)</f>
        <v>0</v>
      </c>
      <c r="AE16" s="82">
        <f t="shared" ca="1" si="22"/>
        <v>0</v>
      </c>
      <c r="AF16" s="276">
        <f ca="1">IFERROR(__xludf.DUMMYFUNCTION("IMPORTRANGE(""https://docs.google.com/spreadsheets/d/1Jgv0Y7YlHDtsiDawwp-uvifEJ8HVaSn0k2aGHG8-hwM/edit?usp=sharing"",""เชียงใหม่!J676"")"),0)</f>
        <v>0</v>
      </c>
      <c r="AG16" s="276">
        <f ca="1">IFERROR(__xludf.DUMMYFUNCTION("IMPORTRANGE(""https://docs.google.com/spreadsheets/d/1Jgv0Y7YlHDtsiDawwp-uvifEJ8HVaSn0k2aGHG8-hwM/edit?usp=sharing"",""เชียงใหม่!J677"")"),0)</f>
        <v>0</v>
      </c>
      <c r="AH16" s="81">
        <f ca="1">IFERROR(__xludf.DUMMYFUNCTION("IMPORTRANGE(""https://docs.google.com/spreadsheets/d/1Jgv0Y7YlHDtsiDawwp-uvifEJ8HVaSn0k2aGHG8-hwM/edit?usp=sharing"",""เชียงใหม่!I678"")"),0)</f>
        <v>0</v>
      </c>
      <c r="AI16" s="81">
        <f ca="1">IFERROR(__xludf.DUMMYFUNCTION("IMPORTRANGE(""https://docs.google.com/spreadsheets/d/1Jgv0Y7YlHDtsiDawwp-uvifEJ8HVaSn0k2aGHG8-hwM/edit?usp=sharing"",""เชียงใหม่!J678"")"),0)</f>
        <v>0</v>
      </c>
      <c r="AJ16" s="82">
        <f t="shared" ca="1" si="28"/>
        <v>0</v>
      </c>
      <c r="AK16" s="81">
        <f ca="1">IFERROR(__xludf.DUMMYFUNCTION("IMPORTRANGE(""https://docs.google.com/spreadsheets/d/1Jgv0Y7YlHDtsiDawwp-uvifEJ8HVaSn0k2aGHG8-hwM/edit?usp=sharing"",""เชียงใหม่!J679"")"),0)</f>
        <v>0</v>
      </c>
      <c r="AL16" s="81">
        <f ca="1">IFERROR(__xludf.DUMMYFUNCTION("IMPORTRANGE(""https://docs.google.com/spreadsheets/d/1Jgv0Y7YlHDtsiDawwp-uvifEJ8HVaSn0k2aGHG8-hwM/edit?usp=sharing"",""เชียงใหม่!J680"")"),0)</f>
        <v>0</v>
      </c>
      <c r="AM16" s="81">
        <f ca="1">IFERROR(__xludf.DUMMYFUNCTION("IMPORTRANGE(""https://docs.google.com/spreadsheets/d/1Jgv0Y7YlHDtsiDawwp-uvifEJ8HVaSn0k2aGHG8-hwM/edit?usp=sharing"",""เชียงใหม่!J681"")"),0)</f>
        <v>0</v>
      </c>
      <c r="AN16" s="81">
        <f ca="1">IFERROR(__xludf.DUMMYFUNCTION("IMPORTRANGE(""https://docs.google.com/spreadsheets/d/1Jgv0Y7YlHDtsiDawwp-uvifEJ8HVaSn0k2aGHG8-hwM/edit?usp=sharing"",""เชียงใหม่!J682"")"),0)</f>
        <v>0</v>
      </c>
      <c r="AO16" s="81">
        <f ca="1">IFERROR(__xludf.DUMMYFUNCTION("IMPORTRANGE(""https://docs.google.com/spreadsheets/d/1Jgv0Y7YlHDtsiDawwp-uvifEJ8HVaSn0k2aGHG8-hwM/edit?usp=sharing"",""เชียงใหม่!J683"")"),0)</f>
        <v>0</v>
      </c>
    </row>
    <row r="17" spans="1:41" ht="24" customHeight="1" x14ac:dyDescent="0.2">
      <c r="A17" s="72">
        <v>4</v>
      </c>
      <c r="B17" s="73" t="s">
        <v>34</v>
      </c>
      <c r="C17" s="74">
        <f t="shared" ca="1" si="37"/>
        <v>0</v>
      </c>
      <c r="D17" s="75">
        <f ca="1">IFERROR(__xludf.DUMMYFUNCTION("IMPORTRANGE(""https://docs.google.com/spreadsheets/d/1JWG2rZePOz9pe-f-ObA-yDr0VoOX2kSb0qIix2mTUo8/edit?usp=sharing"",""ตาก!L660"")"),0)</f>
        <v>0</v>
      </c>
      <c r="E17" s="76">
        <f ca="1">IFERROR(__xludf.DUMMYFUNCTION("IMPORTRANGE(""https://docs.google.com/spreadsheets/d/1JWG2rZePOz9pe-f-ObA-yDr0VoOX2kSb0qIix2mTUo8/edit?usp=sharing"",""ตาก!L667"")"),0)</f>
        <v>0</v>
      </c>
      <c r="F17" s="77">
        <f t="shared" ca="1" si="1"/>
        <v>0</v>
      </c>
      <c r="G17" s="78">
        <f t="shared" ca="1" si="2"/>
        <v>0</v>
      </c>
      <c r="H17" s="79">
        <f t="shared" ca="1" si="38"/>
        <v>0</v>
      </c>
      <c r="I17" s="76">
        <f ca="1">IFERROR(__xludf.DUMMYFUNCTION("IMPORTRANGE(""https://docs.google.com/spreadsheets/d/1JWG2rZePOz9pe-f-ObA-yDr0VoOX2kSb0qIix2mTUo8/edit?usp=sharing"",""ตาก!N661"")"),0)</f>
        <v>0</v>
      </c>
      <c r="J17" s="76">
        <f ca="1">IFERROR(__xludf.DUMMYFUNCTION("IMPORTRANGE(""https://docs.google.com/spreadsheets/d/1JWG2rZePOz9pe-f-ObA-yDr0VoOX2kSb0qIix2mTUo8/edit?usp=sharing"",""ตาก!N662"")"),0)</f>
        <v>0</v>
      </c>
      <c r="K17" s="76">
        <f ca="1">IFERROR(__xludf.DUMMYFUNCTION("IMPORTRANGE(""https://docs.google.com/spreadsheets/d/1JWG2rZePOz9pe-f-ObA-yDr0VoOX2kSb0qIix2mTUo8/edit?usp=sharing"",""ตาก!N663"")"),0)</f>
        <v>0</v>
      </c>
      <c r="L17" s="76">
        <f ca="1">IFERROR(__xludf.DUMMYFUNCTION("IMPORTRANGE(""https://docs.google.com/spreadsheets/d/1JWG2rZePOz9pe-f-ObA-yDr0VoOX2kSb0qIix2mTUo8/edit?usp=sharing"",""ตาก!N664"")"),0)</f>
        <v>0</v>
      </c>
      <c r="M17" s="80">
        <f ca="1">IFERROR(__xludf.DUMMYFUNCTION("IMPORTRANGE(""https://docs.google.com/spreadsheets/d/1JWG2rZePOz9pe-f-ObA-yDr0VoOX2kSb0qIix2mTUo8/edit?usp=sharing"",""ตาก!N667"")"),0)</f>
        <v>0</v>
      </c>
      <c r="N17" s="80">
        <f t="shared" ca="1" si="31"/>
        <v>0</v>
      </c>
      <c r="O17" s="81">
        <f ca="1">IFERROR(__xludf.DUMMYFUNCTION("IMPORTRANGE(""https://docs.google.com/spreadsheets/d/1JWG2rZePOz9pe-f-ObA-yDr0VoOX2kSb0qIix2mTUo8/edit?usp=sharing"",""ตาก!I669"")"),0)</f>
        <v>0</v>
      </c>
      <c r="P17" s="81">
        <f ca="1">IFERROR(__xludf.DUMMYFUNCTION("IMPORTRANGE(""https://docs.google.com/spreadsheets/d/1JWG2rZePOz9pe-f-ObA-yDr0VoOX2kSb0qIix2mTUo8/edit?usp=sharing"",""ตาก!J669"")"),0)</f>
        <v>0</v>
      </c>
      <c r="Q17" s="82">
        <f t="shared" ca="1" si="25"/>
        <v>0</v>
      </c>
      <c r="R17" s="81">
        <f ca="1">IFERROR(__xludf.DUMMYFUNCTION("IMPORTRANGE(""https://docs.google.com/spreadsheets/d/1JWG2rZePOz9pe-f-ObA-yDr0VoOX2kSb0qIix2mTUo8/edit?usp=sharing"",""ตาก!I670"")"),0)</f>
        <v>0</v>
      </c>
      <c r="S17" s="81">
        <f ca="1">IFERROR(__xludf.DUMMYFUNCTION("IMPORTRANGE(""https://docs.google.com/spreadsheets/d/1JWG2rZePOz9pe-f-ObA-yDr0VoOX2kSb0qIix2mTUo8/edit?usp=sharing"",""ตาก!J670"")"),0)</f>
        <v>0</v>
      </c>
      <c r="T17" s="82">
        <f t="shared" ca="1" si="26"/>
        <v>0</v>
      </c>
      <c r="U17" s="81">
        <f ca="1">IFERROR(__xludf.DUMMYFUNCTION("IMPORTRANGE(""https://docs.google.com/spreadsheets/d/1JWG2rZePOz9pe-f-ObA-yDr0VoOX2kSb0qIix2mTUo8/edit?usp=sharing"",""ตาก!I671"")"),0)</f>
        <v>0</v>
      </c>
      <c r="V17" s="81">
        <f ca="1">IFERROR(__xludf.DUMMYFUNCTION("IMPORTRANGE(""https://docs.google.com/spreadsheets/d/1JWG2rZePOz9pe-f-ObA-yDr0VoOX2kSb0qIix2mTUo8/edit?usp=sharing"",""ตาก!J671"")"),0)</f>
        <v>0</v>
      </c>
      <c r="W17" s="82">
        <f t="shared" ca="1" si="27"/>
        <v>0</v>
      </c>
      <c r="X17" s="81">
        <f ca="1">IFERROR(__xludf.DUMMYFUNCTION("IMPORTRANGE(""https://docs.google.com/spreadsheets/d/1JWG2rZePOz9pe-f-ObA-yDr0VoOX2kSb0qIix2mTUo8/edit?usp=sharing"",""ตาก!J672"")"),0)</f>
        <v>0</v>
      </c>
      <c r="Y17" s="276">
        <f t="shared" ca="1" si="11"/>
        <v>0</v>
      </c>
      <c r="Z17" s="81">
        <f ca="1">IFERROR(__xludf.DUMMYFUNCTION("IMPORTRANGE(""https://docs.google.com/spreadsheets/d/1JWG2rZePOz9pe-f-ObA-yDr0VoOX2kSb0qIix2mTUo8/edit?usp=sharing"",""ตาก!J673"")"),0)</f>
        <v>0</v>
      </c>
      <c r="AA17" s="276">
        <f t="shared" ca="1" si="12"/>
        <v>0</v>
      </c>
      <c r="AB17" s="276">
        <f ca="1">IFERROR(__xludf.DUMMYFUNCTION("IMPORTRANGE(""https://docs.google.com/spreadsheets/d/1JWG2rZePOz9pe-f-ObA-yDr0VoOX2kSb0qIix2mTUo8/edit?usp=sharing"",""ตาก!J674"")"),0)</f>
        <v>0</v>
      </c>
      <c r="AC17" s="82">
        <f t="shared" ca="1" si="13"/>
        <v>0</v>
      </c>
      <c r="AD17" s="276">
        <f ca="1">IFERROR(__xludf.DUMMYFUNCTION("IMPORTRANGE(""https://docs.google.com/spreadsheets/d/1JWG2rZePOz9pe-f-ObA-yDr0VoOX2kSb0qIix2mTUo8/edit?usp=sharing"",""ตาก!J675"")"),0)</f>
        <v>0</v>
      </c>
      <c r="AE17" s="82">
        <f t="shared" ca="1" si="22"/>
        <v>0</v>
      </c>
      <c r="AF17" s="276">
        <f ca="1">IFERROR(__xludf.DUMMYFUNCTION("IMPORTRANGE(""https://docs.google.com/spreadsheets/d/1JWG2rZePOz9pe-f-ObA-yDr0VoOX2kSb0qIix2mTUo8/edit?usp=sharing"",""ตาก!J676"")"),0)</f>
        <v>0</v>
      </c>
      <c r="AG17" s="276">
        <f ca="1">IFERROR(__xludf.DUMMYFUNCTION("IMPORTRANGE(""https://docs.google.com/spreadsheets/d/1JWG2rZePOz9pe-f-ObA-yDr0VoOX2kSb0qIix2mTUo8/edit?usp=sharing"",""ตาก!J677"")"),0)</f>
        <v>0</v>
      </c>
      <c r="AH17" s="81">
        <f ca="1">IFERROR(__xludf.DUMMYFUNCTION("IMPORTRANGE(""https://docs.google.com/spreadsheets/d/1JWG2rZePOz9pe-f-ObA-yDr0VoOX2kSb0qIix2mTUo8/edit?usp=sharing"",""ตาก!I678"")"),0)</f>
        <v>0</v>
      </c>
      <c r="AI17" s="81">
        <f ca="1">IFERROR(__xludf.DUMMYFUNCTION("IMPORTRANGE(""https://docs.google.com/spreadsheets/d/1JWG2rZePOz9pe-f-ObA-yDr0VoOX2kSb0qIix2mTUo8/edit?usp=sharing"",""ตาก!J678"")"),0)</f>
        <v>0</v>
      </c>
      <c r="AJ17" s="82">
        <f t="shared" ca="1" si="28"/>
        <v>0</v>
      </c>
      <c r="AK17" s="81">
        <f ca="1">IFERROR(__xludf.DUMMYFUNCTION("IMPORTRANGE(""https://docs.google.com/spreadsheets/d/1JWG2rZePOz9pe-f-ObA-yDr0VoOX2kSb0qIix2mTUo8/edit?usp=sharing"",""ตาก!J679"")"),0)</f>
        <v>0</v>
      </c>
      <c r="AL17" s="81">
        <f ca="1">IFERROR(__xludf.DUMMYFUNCTION("IMPORTRANGE(""https://docs.google.com/spreadsheets/d/1JWG2rZePOz9pe-f-ObA-yDr0VoOX2kSb0qIix2mTUo8/edit?usp=sharing"",""ตาก!J680"")"),0)</f>
        <v>0</v>
      </c>
      <c r="AM17" s="81">
        <f ca="1">IFERROR(__xludf.DUMMYFUNCTION("IMPORTRANGE(""https://docs.google.com/spreadsheets/d/1JWG2rZePOz9pe-f-ObA-yDr0VoOX2kSb0qIix2mTUo8/edit?usp=sharing"",""ตาก!J681"")"),0)</f>
        <v>0</v>
      </c>
      <c r="AN17" s="81">
        <f ca="1">IFERROR(__xludf.DUMMYFUNCTION("IMPORTRANGE(""https://docs.google.com/spreadsheets/d/1JWG2rZePOz9pe-f-ObA-yDr0VoOX2kSb0qIix2mTUo8/edit?usp=sharing"",""ตาก!J682"")"),0)</f>
        <v>0</v>
      </c>
      <c r="AO17" s="81">
        <f ca="1">IFERROR(__xludf.DUMMYFUNCTION("IMPORTRANGE(""https://docs.google.com/spreadsheets/d/1JWG2rZePOz9pe-f-ObA-yDr0VoOX2kSb0qIix2mTUo8/edit?usp=sharing"",""ตาก!J683"")"),0)</f>
        <v>0</v>
      </c>
    </row>
    <row r="18" spans="1:41" ht="24" customHeight="1" x14ac:dyDescent="0.2">
      <c r="A18" s="72">
        <v>5</v>
      </c>
      <c r="B18" s="73" t="s">
        <v>35</v>
      </c>
      <c r="C18" s="74">
        <f t="shared" ca="1" si="37"/>
        <v>0</v>
      </c>
      <c r="D18" s="75">
        <f ca="1">IFERROR(__xludf.DUMMYFUNCTION("IMPORTRANGE(""https://docs.google.com/spreadsheets/d/10nSRjK08hx8Y6HgSOQKNw81lyY46Zc7U_Cj72hBMp9U/edit?usp=sharing"",""นครสวรรค์!L660"")"),0)</f>
        <v>0</v>
      </c>
      <c r="E18" s="76">
        <f ca="1">IFERROR(__xludf.DUMMYFUNCTION("IMPORTRANGE(""https://docs.google.com/spreadsheets/d/10nSRjK08hx8Y6HgSOQKNw81lyY46Zc7U_Cj72hBMp9U/edit?usp=sharing"",""นครสวรรค์!L667"")"),0)</f>
        <v>0</v>
      </c>
      <c r="F18" s="77">
        <f t="shared" ca="1" si="1"/>
        <v>0</v>
      </c>
      <c r="G18" s="78">
        <f t="shared" ca="1" si="2"/>
        <v>0</v>
      </c>
      <c r="H18" s="79">
        <f t="shared" ca="1" si="38"/>
        <v>0</v>
      </c>
      <c r="I18" s="76">
        <f ca="1">IFERROR(__xludf.DUMMYFUNCTION("IMPORTRANGE(""https://docs.google.com/spreadsheets/d/10nSRjK08hx8Y6HgSOQKNw81lyY46Zc7U_Cj72hBMp9U/edit?usp=sharing"",""นครสวรรค์!N661"")"),0)</f>
        <v>0</v>
      </c>
      <c r="J18" s="76">
        <f ca="1">IFERROR(__xludf.DUMMYFUNCTION("IMPORTRANGE(""https://docs.google.com/spreadsheets/d/10nSRjK08hx8Y6HgSOQKNw81lyY46Zc7U_Cj72hBMp9U/edit?usp=sharing"",""นครสวรรค์!N662"")"),0)</f>
        <v>0</v>
      </c>
      <c r="K18" s="76">
        <f ca="1">IFERROR(__xludf.DUMMYFUNCTION("IMPORTRANGE(""https://docs.google.com/spreadsheets/d/10nSRjK08hx8Y6HgSOQKNw81lyY46Zc7U_Cj72hBMp9U/edit?usp=sharing"",""นครสวรรค์!N663"")"),0)</f>
        <v>0</v>
      </c>
      <c r="L18" s="76">
        <f ca="1">IFERROR(__xludf.DUMMYFUNCTION("IMPORTRANGE(""https://docs.google.com/spreadsheets/d/10nSRjK08hx8Y6HgSOQKNw81lyY46Zc7U_Cj72hBMp9U/edit?usp=sharing"",""นครสวรรค์!N664"")"),0)</f>
        <v>0</v>
      </c>
      <c r="M18" s="80">
        <f ca="1">IFERROR(__xludf.DUMMYFUNCTION("IMPORTRANGE(""https://docs.google.com/spreadsheets/d/10nSRjK08hx8Y6HgSOQKNw81lyY46Zc7U_Cj72hBMp9U/edit?usp=sharing"",""นครสวรรค์!N667"")"),0)</f>
        <v>0</v>
      </c>
      <c r="N18" s="80">
        <f t="shared" ca="1" si="31"/>
        <v>0</v>
      </c>
      <c r="O18" s="81">
        <f ca="1">IFERROR(__xludf.DUMMYFUNCTION("IMPORTRANGE(""https://docs.google.com/spreadsheets/d/10nSRjK08hx8Y6HgSOQKNw81lyY46Zc7U_Cj72hBMp9U/edit?usp=sharing"",""นครสวรรค์!I669"")"),0)</f>
        <v>0</v>
      </c>
      <c r="P18" s="81">
        <f ca="1">IFERROR(__xludf.DUMMYFUNCTION("IMPORTRANGE(""https://docs.google.com/spreadsheets/d/10nSRjK08hx8Y6HgSOQKNw81lyY46Zc7U_Cj72hBMp9U/edit?usp=sharing"",""นครสวรรค์!J669"")"),0)</f>
        <v>0</v>
      </c>
      <c r="Q18" s="82">
        <f t="shared" ca="1" si="25"/>
        <v>0</v>
      </c>
      <c r="R18" s="81">
        <f ca="1">IFERROR(__xludf.DUMMYFUNCTION("IMPORTRANGE(""https://docs.google.com/spreadsheets/d/10nSRjK08hx8Y6HgSOQKNw81lyY46Zc7U_Cj72hBMp9U/edit?usp=sharing"",""นครสวรรค์!I670"")"),0)</f>
        <v>0</v>
      </c>
      <c r="S18" s="81">
        <f ca="1">IFERROR(__xludf.DUMMYFUNCTION("IMPORTRANGE(""https://docs.google.com/spreadsheets/d/10nSRjK08hx8Y6HgSOQKNw81lyY46Zc7U_Cj72hBMp9U/edit?usp=sharing"",""นครสวรรค์!J670"")"),0)</f>
        <v>0</v>
      </c>
      <c r="T18" s="82">
        <f t="shared" ca="1" si="26"/>
        <v>0</v>
      </c>
      <c r="U18" s="81">
        <f ca="1">IFERROR(__xludf.DUMMYFUNCTION("IMPORTRANGE(""https://docs.google.com/spreadsheets/d/10nSRjK08hx8Y6HgSOQKNw81lyY46Zc7U_Cj72hBMp9U/edit?usp=sharing"",""นครสวรรค์!I671"")"),0)</f>
        <v>0</v>
      </c>
      <c r="V18" s="81">
        <f ca="1">IFERROR(__xludf.DUMMYFUNCTION("IMPORTRANGE(""https://docs.google.com/spreadsheets/d/10nSRjK08hx8Y6HgSOQKNw81lyY46Zc7U_Cj72hBMp9U/edit?usp=sharing"",""นครสวรรค์!J671"")"),0)</f>
        <v>0</v>
      </c>
      <c r="W18" s="82">
        <f t="shared" ca="1" si="27"/>
        <v>0</v>
      </c>
      <c r="X18" s="81">
        <f ca="1">IFERROR(__xludf.DUMMYFUNCTION("IMPORTRANGE(""https://docs.google.com/spreadsheets/d/10nSRjK08hx8Y6HgSOQKNw81lyY46Zc7U_Cj72hBMp9U/edit?usp=sharing"",""นครสวรรค์!J672"")"),0)</f>
        <v>0</v>
      </c>
      <c r="Y18" s="276">
        <f t="shared" ca="1" si="11"/>
        <v>0</v>
      </c>
      <c r="Z18" s="81">
        <f ca="1">IFERROR(__xludf.DUMMYFUNCTION("IMPORTRANGE(""https://docs.google.com/spreadsheets/d/10nSRjK08hx8Y6HgSOQKNw81lyY46Zc7U_Cj72hBMp9U/edit?usp=sharing"",""นครสวรรค์!J673"")"),0)</f>
        <v>0</v>
      </c>
      <c r="AA18" s="276">
        <f t="shared" ca="1" si="12"/>
        <v>0</v>
      </c>
      <c r="AB18" s="276">
        <f ca="1">IFERROR(__xludf.DUMMYFUNCTION("IMPORTRANGE(""https://docs.google.com/spreadsheets/d/10nSRjK08hx8Y6HgSOQKNw81lyY46Zc7U_Cj72hBMp9U/edit?usp=sharing"",""นครสวรรค์!J674"")"),0)</f>
        <v>0</v>
      </c>
      <c r="AC18" s="82">
        <f t="shared" ca="1" si="13"/>
        <v>0</v>
      </c>
      <c r="AD18" s="276">
        <f ca="1">IFERROR(__xludf.DUMMYFUNCTION("IMPORTRANGE(""https://docs.google.com/spreadsheets/d/10nSRjK08hx8Y6HgSOQKNw81lyY46Zc7U_Cj72hBMp9U/edit?usp=sharing"",""นครสวรรค์!J675"")"),0)</f>
        <v>0</v>
      </c>
      <c r="AE18" s="82">
        <f t="shared" ca="1" si="22"/>
        <v>0</v>
      </c>
      <c r="AF18" s="276">
        <f ca="1">IFERROR(__xludf.DUMMYFUNCTION("IMPORTRANGE(""https://docs.google.com/spreadsheets/d/10nSRjK08hx8Y6HgSOQKNw81lyY46Zc7U_Cj72hBMp9U/edit?usp=sharing"",""นครสวรรค์!J676"")"),0)</f>
        <v>0</v>
      </c>
      <c r="AG18" s="276">
        <f ca="1">IFERROR(__xludf.DUMMYFUNCTION("IMPORTRANGE(""https://docs.google.com/spreadsheets/d/10nSRjK08hx8Y6HgSOQKNw81lyY46Zc7U_Cj72hBMp9U/edit?usp=sharing"",""นครสวรรค์!J677"")"),0)</f>
        <v>0</v>
      </c>
      <c r="AH18" s="81">
        <f ca="1">IFERROR(__xludf.DUMMYFUNCTION("IMPORTRANGE(""https://docs.google.com/spreadsheets/d/10nSRjK08hx8Y6HgSOQKNw81lyY46Zc7U_Cj72hBMp9U/edit?usp=sharing"",""นครสวรรค์!I678"")"),0)</f>
        <v>0</v>
      </c>
      <c r="AI18" s="81">
        <f ca="1">IFERROR(__xludf.DUMMYFUNCTION("IMPORTRANGE(""https://docs.google.com/spreadsheets/d/10nSRjK08hx8Y6HgSOQKNw81lyY46Zc7U_Cj72hBMp9U/edit?usp=sharing"",""นครสวรรค์!J678"")"),0)</f>
        <v>0</v>
      </c>
      <c r="AJ18" s="82">
        <f t="shared" ca="1" si="28"/>
        <v>0</v>
      </c>
      <c r="AK18" s="81">
        <f ca="1">IFERROR(__xludf.DUMMYFUNCTION("IMPORTRANGE(""https://docs.google.com/spreadsheets/d/10nSRjK08hx8Y6HgSOQKNw81lyY46Zc7U_Cj72hBMp9U/edit?usp=sharing"",""นครสวรรค์!J679"")"),0)</f>
        <v>0</v>
      </c>
      <c r="AL18" s="81">
        <f ca="1">IFERROR(__xludf.DUMMYFUNCTION("IMPORTRANGE(""https://docs.google.com/spreadsheets/d/10nSRjK08hx8Y6HgSOQKNw81lyY46Zc7U_Cj72hBMp9U/edit?usp=sharing"",""นครสวรรค์!J680"")"),0)</f>
        <v>0</v>
      </c>
      <c r="AM18" s="81">
        <f ca="1">IFERROR(__xludf.DUMMYFUNCTION("IMPORTRANGE(""https://docs.google.com/spreadsheets/d/10nSRjK08hx8Y6HgSOQKNw81lyY46Zc7U_Cj72hBMp9U/edit?usp=sharing"",""นครสวรรค์!J681"")"),0)</f>
        <v>0</v>
      </c>
      <c r="AN18" s="81">
        <f ca="1">IFERROR(__xludf.DUMMYFUNCTION("IMPORTRANGE(""https://docs.google.com/spreadsheets/d/10nSRjK08hx8Y6HgSOQKNw81lyY46Zc7U_Cj72hBMp9U/edit?usp=sharing"",""นครสวรรค์!J682"")"),0)</f>
        <v>0</v>
      </c>
      <c r="AO18" s="81">
        <f ca="1">IFERROR(__xludf.DUMMYFUNCTION("IMPORTRANGE(""https://docs.google.com/spreadsheets/d/10nSRjK08hx8Y6HgSOQKNw81lyY46Zc7U_Cj72hBMp9U/edit?usp=sharing"",""นครสวรรค์!J683"")"),0)</f>
        <v>0</v>
      </c>
    </row>
    <row r="19" spans="1:41" ht="24" customHeight="1" x14ac:dyDescent="0.2">
      <c r="A19" s="72">
        <v>6</v>
      </c>
      <c r="B19" s="73" t="s">
        <v>36</v>
      </c>
      <c r="C19" s="74">
        <f t="shared" ca="1" si="37"/>
        <v>0</v>
      </c>
      <c r="D19" s="75">
        <f ca="1">IFERROR(__xludf.DUMMYFUNCTION("IMPORTRANGE(""https://docs.google.com/spreadsheets/d/1gFVb7qd7amutrIxAAoM7lcy35hllxznovot8lyOfvDo/edit?usp=sharing"",""น่าน!L660"")"),0)</f>
        <v>0</v>
      </c>
      <c r="E19" s="76">
        <f ca="1">IFERROR(__xludf.DUMMYFUNCTION("IMPORTRANGE(""https://docs.google.com/spreadsheets/d/1gFVb7qd7amutrIxAAoM7lcy35hllxznovot8lyOfvDo/edit?usp=sharing"",""น่าน!L667"")"),0)</f>
        <v>0</v>
      </c>
      <c r="F19" s="77">
        <f t="shared" ca="1" si="1"/>
        <v>0</v>
      </c>
      <c r="G19" s="78">
        <f t="shared" ca="1" si="2"/>
        <v>0</v>
      </c>
      <c r="H19" s="79">
        <f t="shared" ca="1" si="38"/>
        <v>0</v>
      </c>
      <c r="I19" s="76">
        <f ca="1">IFERROR(__xludf.DUMMYFUNCTION("IMPORTRANGE(""https://docs.google.com/spreadsheets/d/1gFVb7qd7amutrIxAAoM7lcy35hllxznovot8lyOfvDo/edit?usp=sharing"",""น่าน!N661"")"),0)</f>
        <v>0</v>
      </c>
      <c r="J19" s="76">
        <f ca="1">IFERROR(__xludf.DUMMYFUNCTION("IMPORTRANGE(""https://docs.google.com/spreadsheets/d/1gFVb7qd7amutrIxAAoM7lcy35hllxznovot8lyOfvDo/edit?usp=sharing"",""น่าน!N662"")"),0)</f>
        <v>0</v>
      </c>
      <c r="K19" s="76">
        <f ca="1">IFERROR(__xludf.DUMMYFUNCTION("IMPORTRANGE(""https://docs.google.com/spreadsheets/d/1gFVb7qd7amutrIxAAoM7lcy35hllxznovot8lyOfvDo/edit?usp=sharing"",""น่าน!N663"")"),0)</f>
        <v>0</v>
      </c>
      <c r="L19" s="76">
        <f ca="1">IFERROR(__xludf.DUMMYFUNCTION("IMPORTRANGE(""https://docs.google.com/spreadsheets/d/1gFVb7qd7amutrIxAAoM7lcy35hllxznovot8lyOfvDo/edit?usp=sharing"",""น่าน!N664"")"),0)</f>
        <v>0</v>
      </c>
      <c r="M19" s="80">
        <f ca="1">IFERROR(__xludf.DUMMYFUNCTION("IMPORTRANGE(""https://docs.google.com/spreadsheets/d/1gFVb7qd7amutrIxAAoM7lcy35hllxznovot8lyOfvDo/edit?usp=sharing"",""น่าน!N667"")"),0)</f>
        <v>0</v>
      </c>
      <c r="N19" s="80">
        <f t="shared" ca="1" si="31"/>
        <v>0</v>
      </c>
      <c r="O19" s="81">
        <f ca="1">IFERROR(__xludf.DUMMYFUNCTION("IMPORTRANGE(""https://docs.google.com/spreadsheets/d/1gFVb7qd7amutrIxAAoM7lcy35hllxznovot8lyOfvDo/edit?usp=sharing"",""น่าน!I669"")"),0)</f>
        <v>0</v>
      </c>
      <c r="P19" s="81">
        <f ca="1">IFERROR(__xludf.DUMMYFUNCTION("IMPORTRANGE(""https://docs.google.com/spreadsheets/d/1gFVb7qd7amutrIxAAoM7lcy35hllxznovot8lyOfvDo/edit?usp=sharing"",""น่าน!J669"")"),0)</f>
        <v>0</v>
      </c>
      <c r="Q19" s="82">
        <f t="shared" ca="1" si="25"/>
        <v>0</v>
      </c>
      <c r="R19" s="81">
        <f ca="1">IFERROR(__xludf.DUMMYFUNCTION("IMPORTRANGE(""https://docs.google.com/spreadsheets/d/1gFVb7qd7amutrIxAAoM7lcy35hllxznovot8lyOfvDo/edit?usp=sharing"",""น่าน!I670"")"),0)</f>
        <v>0</v>
      </c>
      <c r="S19" s="81">
        <f ca="1">IFERROR(__xludf.DUMMYFUNCTION("IMPORTRANGE(""https://docs.google.com/spreadsheets/d/1gFVb7qd7amutrIxAAoM7lcy35hllxznovot8lyOfvDo/edit?usp=sharing"",""น่าน!J670"")"),0)</f>
        <v>0</v>
      </c>
      <c r="T19" s="82">
        <f t="shared" ca="1" si="26"/>
        <v>0</v>
      </c>
      <c r="U19" s="81">
        <f ca="1">IFERROR(__xludf.DUMMYFUNCTION("IMPORTRANGE(""https://docs.google.com/spreadsheets/d/1gFVb7qd7amutrIxAAoM7lcy35hllxznovot8lyOfvDo/edit?usp=sharing"",""น่าน!I671"")"),0)</f>
        <v>0</v>
      </c>
      <c r="V19" s="81">
        <f ca="1">IFERROR(__xludf.DUMMYFUNCTION("IMPORTRANGE(""https://docs.google.com/spreadsheets/d/1gFVb7qd7amutrIxAAoM7lcy35hllxznovot8lyOfvDo/edit?usp=sharing"",""น่าน!J671"")"),0)</f>
        <v>0</v>
      </c>
      <c r="W19" s="82">
        <f t="shared" ca="1" si="27"/>
        <v>0</v>
      </c>
      <c r="X19" s="81">
        <f ca="1">IFERROR(__xludf.DUMMYFUNCTION("IMPORTRANGE(""https://docs.google.com/spreadsheets/d/1gFVb7qd7amutrIxAAoM7lcy35hllxznovot8lyOfvDo/edit?usp=sharing"",""น่าน!J672"")"),0)</f>
        <v>0</v>
      </c>
      <c r="Y19" s="276">
        <f t="shared" ca="1" si="11"/>
        <v>0</v>
      </c>
      <c r="Z19" s="81">
        <f ca="1">IFERROR(__xludf.DUMMYFUNCTION("IMPORTRANGE(""https://docs.google.com/spreadsheets/d/1gFVb7qd7amutrIxAAoM7lcy35hllxznovot8lyOfvDo/edit?usp=sharing"",""น่าน!J673"")"),0)</f>
        <v>0</v>
      </c>
      <c r="AA19" s="276">
        <f t="shared" ca="1" si="12"/>
        <v>0</v>
      </c>
      <c r="AB19" s="276">
        <f ca="1">IFERROR(__xludf.DUMMYFUNCTION("IMPORTRANGE(""https://docs.google.com/spreadsheets/d/1gFVb7qd7amutrIxAAoM7lcy35hllxznovot8lyOfvDo/edit?usp=sharing"",""น่าน!J674"")"),0)</f>
        <v>0</v>
      </c>
      <c r="AC19" s="82">
        <f t="shared" ca="1" si="13"/>
        <v>0</v>
      </c>
      <c r="AD19" s="276">
        <f ca="1">IFERROR(__xludf.DUMMYFUNCTION("IMPORTRANGE(""https://docs.google.com/spreadsheets/d/1gFVb7qd7amutrIxAAoM7lcy35hllxznovot8lyOfvDo/edit?usp=sharing"",""น่าน!J675"")"),0)</f>
        <v>0</v>
      </c>
      <c r="AE19" s="82">
        <f t="shared" ca="1" si="22"/>
        <v>0</v>
      </c>
      <c r="AF19" s="276">
        <f ca="1">IFERROR(__xludf.DUMMYFUNCTION("IMPORTRANGE(""https://docs.google.com/spreadsheets/d/1gFVb7qd7amutrIxAAoM7lcy35hllxznovot8lyOfvDo/edit?usp=sharing"",""น่าน!J676"")"),0)</f>
        <v>0</v>
      </c>
      <c r="AG19" s="276">
        <f ca="1">IFERROR(__xludf.DUMMYFUNCTION("IMPORTRANGE(""https://docs.google.com/spreadsheets/d/1gFVb7qd7amutrIxAAoM7lcy35hllxznovot8lyOfvDo/edit?usp=sharing"",""น่าน!J677"")"),0)</f>
        <v>0</v>
      </c>
      <c r="AH19" s="81">
        <f ca="1">IFERROR(__xludf.DUMMYFUNCTION("IMPORTRANGE(""https://docs.google.com/spreadsheets/d/1gFVb7qd7amutrIxAAoM7lcy35hllxznovot8lyOfvDo/edit?usp=sharing"",""น่าน!I678"")"),0)</f>
        <v>0</v>
      </c>
      <c r="AI19" s="81">
        <f ca="1">IFERROR(__xludf.DUMMYFUNCTION("IMPORTRANGE(""https://docs.google.com/spreadsheets/d/1gFVb7qd7amutrIxAAoM7lcy35hllxznovot8lyOfvDo/edit?usp=sharing"",""น่าน!J678"")"),0)</f>
        <v>0</v>
      </c>
      <c r="AJ19" s="82">
        <f t="shared" ca="1" si="28"/>
        <v>0</v>
      </c>
      <c r="AK19" s="81">
        <f ca="1">IFERROR(__xludf.DUMMYFUNCTION("IMPORTRANGE(""https://docs.google.com/spreadsheets/d/1gFVb7qd7amutrIxAAoM7lcy35hllxznovot8lyOfvDo/edit?usp=sharing"",""น่าน!J679"")"),0)</f>
        <v>0</v>
      </c>
      <c r="AL19" s="81">
        <f ca="1">IFERROR(__xludf.DUMMYFUNCTION("IMPORTRANGE(""https://docs.google.com/spreadsheets/d/1gFVb7qd7amutrIxAAoM7lcy35hllxznovot8lyOfvDo/edit?usp=sharing"",""น่าน!J680"")"),0)</f>
        <v>0</v>
      </c>
      <c r="AM19" s="81">
        <f ca="1">IFERROR(__xludf.DUMMYFUNCTION("IMPORTRANGE(""https://docs.google.com/spreadsheets/d/1gFVb7qd7amutrIxAAoM7lcy35hllxznovot8lyOfvDo/edit?usp=sharing"",""น่าน!J681"")"),0)</f>
        <v>0</v>
      </c>
      <c r="AN19" s="81">
        <f ca="1">IFERROR(__xludf.DUMMYFUNCTION("IMPORTRANGE(""https://docs.google.com/spreadsheets/d/1gFVb7qd7amutrIxAAoM7lcy35hllxznovot8lyOfvDo/edit?usp=sharing"",""น่าน!J682"")"),0)</f>
        <v>0</v>
      </c>
      <c r="AO19" s="81">
        <f ca="1">IFERROR(__xludf.DUMMYFUNCTION("IMPORTRANGE(""https://docs.google.com/spreadsheets/d/1gFVb7qd7amutrIxAAoM7lcy35hllxznovot8lyOfvDo/edit?usp=sharing"",""น่าน!J683"")"),0)</f>
        <v>0</v>
      </c>
    </row>
    <row r="20" spans="1:41" ht="24" customHeight="1" x14ac:dyDescent="0.2">
      <c r="A20" s="72">
        <v>7</v>
      </c>
      <c r="B20" s="73" t="s">
        <v>37</v>
      </c>
      <c r="C20" s="74">
        <f t="shared" ca="1" si="37"/>
        <v>9400</v>
      </c>
      <c r="D20" s="75">
        <f ca="1">IFERROR(__xludf.DUMMYFUNCTION("IMPORTRANGE(""https://docs.google.com/spreadsheets/d/1K0Aa9s-6EuHE5M0FG1F9aHLXRCOV917xvycTdLdct0w/edit?usp=sharing"",""พะเยา!L660"")"),9400)</f>
        <v>9400</v>
      </c>
      <c r="E20" s="76">
        <f ca="1">IFERROR(__xludf.DUMMYFUNCTION("IMPORTRANGE(""https://docs.google.com/spreadsheets/d/1K0Aa9s-6EuHE5M0FG1F9aHLXRCOV917xvycTdLdct0w/edit?usp=sharing"",""พะเยา!L667"")"),0)</f>
        <v>0</v>
      </c>
      <c r="F20" s="77">
        <f t="shared" ca="1" si="1"/>
        <v>1000</v>
      </c>
      <c r="G20" s="78">
        <f t="shared" ca="1" si="2"/>
        <v>10.638297872340425</v>
      </c>
      <c r="H20" s="79">
        <f t="shared" ca="1" si="38"/>
        <v>1000</v>
      </c>
      <c r="I20" s="76">
        <f ca="1">IFERROR(__xludf.DUMMYFUNCTION("IMPORTRANGE(""https://docs.google.com/spreadsheets/d/1K0Aa9s-6EuHE5M0FG1F9aHLXRCOV917xvycTdLdct0w/edit?usp=sharing"",""พะเยา!N661"")"),0)</f>
        <v>0</v>
      </c>
      <c r="J20" s="76">
        <f ca="1">IFERROR(__xludf.DUMMYFUNCTION("IMPORTRANGE(""https://docs.google.com/spreadsheets/d/1K0Aa9s-6EuHE5M0FG1F9aHLXRCOV917xvycTdLdct0w/edit?usp=sharing"",""พะเยา!N662"")"),0)</f>
        <v>0</v>
      </c>
      <c r="K20" s="76">
        <f ca="1">IFERROR(__xludf.DUMMYFUNCTION("IMPORTRANGE(""https://docs.google.com/spreadsheets/d/1K0Aa9s-6EuHE5M0FG1F9aHLXRCOV917xvycTdLdct0w/edit?usp=sharing"",""พะเยา!N663"")"),0)</f>
        <v>0</v>
      </c>
      <c r="L20" s="76">
        <f ca="1">IFERROR(__xludf.DUMMYFUNCTION("IMPORTRANGE(""https://docs.google.com/spreadsheets/d/1K0Aa9s-6EuHE5M0FG1F9aHLXRCOV917xvycTdLdct0w/edit?usp=sharing"",""พะเยา!N664"")"),1000)</f>
        <v>1000</v>
      </c>
      <c r="M20" s="80">
        <f ca="1">IFERROR(__xludf.DUMMYFUNCTION("IMPORTRANGE(""https://docs.google.com/spreadsheets/d/1K0Aa9s-6EuHE5M0FG1F9aHLXRCOV917xvycTdLdct0w/edit?usp=sharing"",""พะเยา!N667"")"),0)</f>
        <v>0</v>
      </c>
      <c r="N20" s="80">
        <f t="shared" ca="1" si="31"/>
        <v>0</v>
      </c>
      <c r="O20" s="81">
        <f ca="1">IFERROR(__xludf.DUMMYFUNCTION("IMPORTRANGE(""https://docs.google.com/spreadsheets/d/1K0Aa9s-6EuHE5M0FG1F9aHLXRCOV917xvycTdLdct0w/edit?usp=sharing"",""พะเยา!I669"")"),50)</f>
        <v>50</v>
      </c>
      <c r="P20" s="81">
        <f ca="1">IFERROR(__xludf.DUMMYFUNCTION("IMPORTRANGE(""https://docs.google.com/spreadsheets/d/1K0Aa9s-6EuHE5M0FG1F9aHLXRCOV917xvycTdLdct0w/edit?usp=sharing"",""พะเยา!J669"")"),0)</f>
        <v>0</v>
      </c>
      <c r="Q20" s="82">
        <f t="shared" ca="1" si="25"/>
        <v>0</v>
      </c>
      <c r="R20" s="81">
        <f ca="1">IFERROR(__xludf.DUMMYFUNCTION("IMPORTRANGE(""https://docs.google.com/spreadsheets/d/1K0Aa9s-6EuHE5M0FG1F9aHLXRCOV917xvycTdLdct0w/edit?usp=sharing"",""พะเยา!I670"")"),4)</f>
        <v>4</v>
      </c>
      <c r="S20" s="81">
        <f ca="1">IFERROR(__xludf.DUMMYFUNCTION("IMPORTRANGE(""https://docs.google.com/spreadsheets/d/1K0Aa9s-6EuHE5M0FG1F9aHLXRCOV917xvycTdLdct0w/edit?usp=sharing"",""พะเยา!J670"")"),0)</f>
        <v>0</v>
      </c>
      <c r="T20" s="82">
        <f t="shared" ca="1" si="26"/>
        <v>0</v>
      </c>
      <c r="U20" s="81">
        <f ca="1">IFERROR(__xludf.DUMMYFUNCTION("IMPORTRANGE(""https://docs.google.com/spreadsheets/d/1K0Aa9s-6EuHE5M0FG1F9aHLXRCOV917xvycTdLdct0w/edit?usp=sharing"",""พะเยา!I671"")"),4)</f>
        <v>4</v>
      </c>
      <c r="V20" s="81">
        <f ca="1">IFERROR(__xludf.DUMMYFUNCTION("IMPORTRANGE(""https://docs.google.com/spreadsheets/d/1K0Aa9s-6EuHE5M0FG1F9aHLXRCOV917xvycTdLdct0w/edit?usp=sharing"",""พะเยา!J671"")"),0)</f>
        <v>0</v>
      </c>
      <c r="W20" s="82">
        <f t="shared" ca="1" si="27"/>
        <v>0</v>
      </c>
      <c r="X20" s="81">
        <f ca="1">IFERROR(__xludf.DUMMYFUNCTION("IMPORTRANGE(""https://docs.google.com/spreadsheets/d/1K0Aa9s-6EuHE5M0FG1F9aHLXRCOV917xvycTdLdct0w/edit?usp=sharing"",""พะเยา!J672"")"),0)</f>
        <v>0</v>
      </c>
      <c r="Y20" s="276">
        <f t="shared" ca="1" si="11"/>
        <v>0</v>
      </c>
      <c r="Z20" s="81">
        <f ca="1">IFERROR(__xludf.DUMMYFUNCTION("IMPORTRANGE(""https://docs.google.com/spreadsheets/d/1K0Aa9s-6EuHE5M0FG1F9aHLXRCOV917xvycTdLdct0w/edit?usp=sharing"",""พะเยา!J673"")"),0)</f>
        <v>0</v>
      </c>
      <c r="AA20" s="276">
        <f t="shared" ca="1" si="12"/>
        <v>0</v>
      </c>
      <c r="AB20" s="276">
        <f ca="1">IFERROR(__xludf.DUMMYFUNCTION("IMPORTRANGE(""https://docs.google.com/spreadsheets/d/1K0Aa9s-6EuHE5M0FG1F9aHLXRCOV917xvycTdLdct0w/edit?usp=sharing"",""พะเยา!J674"")"),0)</f>
        <v>0</v>
      </c>
      <c r="AC20" s="82">
        <f t="shared" ca="1" si="13"/>
        <v>0</v>
      </c>
      <c r="AD20" s="276">
        <f ca="1">IFERROR(__xludf.DUMMYFUNCTION("IMPORTRANGE(""https://docs.google.com/spreadsheets/d/1K0Aa9s-6EuHE5M0FG1F9aHLXRCOV917xvycTdLdct0w/edit?usp=sharing"",""พะเยา!J675"")"),0)</f>
        <v>0</v>
      </c>
      <c r="AE20" s="82">
        <f t="shared" ca="1" si="22"/>
        <v>0</v>
      </c>
      <c r="AF20" s="276">
        <f ca="1">IFERROR(__xludf.DUMMYFUNCTION("IMPORTRANGE(""https://docs.google.com/spreadsheets/d/1K0Aa9s-6EuHE5M0FG1F9aHLXRCOV917xvycTdLdct0w/edit?usp=sharing"",""พะเยา!J676"")"),0)</f>
        <v>0</v>
      </c>
      <c r="AG20" s="276">
        <f ca="1">IFERROR(__xludf.DUMMYFUNCTION("IMPORTRANGE(""https://docs.google.com/spreadsheets/d/1K0Aa9s-6EuHE5M0FG1F9aHLXRCOV917xvycTdLdct0w/edit?usp=sharing"",""พะเยา!J677"")"),0)</f>
        <v>0</v>
      </c>
      <c r="AH20" s="81">
        <f ca="1">IFERROR(__xludf.DUMMYFUNCTION("IMPORTRANGE(""https://docs.google.com/spreadsheets/d/1K0Aa9s-6EuHE5M0FG1F9aHLXRCOV917xvycTdLdct0w/edit?usp=sharing"",""พะเยา!I678"")"),0)</f>
        <v>0</v>
      </c>
      <c r="AI20" s="81">
        <f ca="1">IFERROR(__xludf.DUMMYFUNCTION("IMPORTRANGE(""https://docs.google.com/spreadsheets/d/1K0Aa9s-6EuHE5M0FG1F9aHLXRCOV917xvycTdLdct0w/edit?usp=sharing"",""พะเยา!J678"")"),0)</f>
        <v>0</v>
      </c>
      <c r="AJ20" s="82">
        <f t="shared" ca="1" si="28"/>
        <v>0</v>
      </c>
      <c r="AK20" s="81">
        <f ca="1">IFERROR(__xludf.DUMMYFUNCTION("IMPORTRANGE(""https://docs.google.com/spreadsheets/d/1K0Aa9s-6EuHE5M0FG1F9aHLXRCOV917xvycTdLdct0w/edit?usp=sharing"",""พะเยา!J679"")"),0)</f>
        <v>0</v>
      </c>
      <c r="AL20" s="81">
        <f ca="1">IFERROR(__xludf.DUMMYFUNCTION("IMPORTRANGE(""https://docs.google.com/spreadsheets/d/1K0Aa9s-6EuHE5M0FG1F9aHLXRCOV917xvycTdLdct0w/edit?usp=sharing"",""พะเยา!J680"")"),0)</f>
        <v>0</v>
      </c>
      <c r="AM20" s="81">
        <f ca="1">IFERROR(__xludf.DUMMYFUNCTION("IMPORTRANGE(""https://docs.google.com/spreadsheets/d/1K0Aa9s-6EuHE5M0FG1F9aHLXRCOV917xvycTdLdct0w/edit?usp=sharing"",""พะเยา!J681"")"),0)</f>
        <v>0</v>
      </c>
      <c r="AN20" s="81">
        <f ca="1">IFERROR(__xludf.DUMMYFUNCTION("IMPORTRANGE(""https://docs.google.com/spreadsheets/d/1K0Aa9s-6EuHE5M0FG1F9aHLXRCOV917xvycTdLdct0w/edit?usp=sharing"",""พะเยา!J682"")"),0)</f>
        <v>0</v>
      </c>
      <c r="AO20" s="81">
        <f ca="1">IFERROR(__xludf.DUMMYFUNCTION("IMPORTRANGE(""https://docs.google.com/spreadsheets/d/1K0Aa9s-6EuHE5M0FG1F9aHLXRCOV917xvycTdLdct0w/edit?usp=sharing"",""พะเยา!J683"")"),0)</f>
        <v>0</v>
      </c>
    </row>
    <row r="21" spans="1:41" ht="24" customHeight="1" x14ac:dyDescent="0.2">
      <c r="A21" s="72">
        <v>8</v>
      </c>
      <c r="B21" s="73" t="s">
        <v>38</v>
      </c>
      <c r="C21" s="74">
        <f t="shared" ca="1" si="37"/>
        <v>11000</v>
      </c>
      <c r="D21" s="75">
        <f ca="1">IFERROR(__xludf.DUMMYFUNCTION("IMPORTRANGE(""https://docs.google.com/spreadsheets/d/1Y9LPKx95PyL5OKy09d-KbKJSuuEZCFdkhYjwC0XQjBA/edit?usp=sharing"",""พิจิตร!L660"")"),11000)</f>
        <v>11000</v>
      </c>
      <c r="E21" s="76">
        <f ca="1">IFERROR(__xludf.DUMMYFUNCTION("IMPORTRANGE(""https://docs.google.com/spreadsheets/d/1Y9LPKx95PyL5OKy09d-KbKJSuuEZCFdkhYjwC0XQjBA/edit?usp=sharing"",""พิจิตร!L667"")"),0)</f>
        <v>0</v>
      </c>
      <c r="F21" s="77">
        <f t="shared" ca="1" si="1"/>
        <v>5240</v>
      </c>
      <c r="G21" s="78">
        <f t="shared" ca="1" si="2"/>
        <v>47.636363636363633</v>
      </c>
      <c r="H21" s="79">
        <f t="shared" ca="1" si="38"/>
        <v>5240</v>
      </c>
      <c r="I21" s="76">
        <f ca="1">IFERROR(__xludf.DUMMYFUNCTION("IMPORTRANGE(""https://docs.google.com/spreadsheets/d/1Y9LPKx95PyL5OKy09d-KbKJSuuEZCFdkhYjwC0XQjBA/edit?usp=sharing"",""พิจิตร!N661"")"),0)</f>
        <v>0</v>
      </c>
      <c r="J21" s="76">
        <f ca="1">IFERROR(__xludf.DUMMYFUNCTION("IMPORTRANGE(""https://docs.google.com/spreadsheets/d/1Y9LPKx95PyL5OKy09d-KbKJSuuEZCFdkhYjwC0XQjBA/edit?usp=sharing"",""พิจิตร!N662"")"),0)</f>
        <v>0</v>
      </c>
      <c r="K21" s="76">
        <f ca="1">IFERROR(__xludf.DUMMYFUNCTION("IMPORTRANGE(""https://docs.google.com/spreadsheets/d/1Y9LPKx95PyL5OKy09d-KbKJSuuEZCFdkhYjwC0XQjBA/edit?usp=sharing"",""พิจิตร!N663"")"),0)</f>
        <v>0</v>
      </c>
      <c r="L21" s="76">
        <f ca="1">IFERROR(__xludf.DUMMYFUNCTION("IMPORTRANGE(""https://docs.google.com/spreadsheets/d/1Y9LPKx95PyL5OKy09d-KbKJSuuEZCFdkhYjwC0XQjBA/edit?usp=sharing"",""พิจิตร!N664"")"),5240)</f>
        <v>5240</v>
      </c>
      <c r="M21" s="80">
        <f ca="1">IFERROR(__xludf.DUMMYFUNCTION("IMPORTRANGE(""https://docs.google.com/spreadsheets/d/1Y9LPKx95PyL5OKy09d-KbKJSuuEZCFdkhYjwC0XQjBA/edit?usp=sharing"",""พิจิตร!N667"")"),0)</f>
        <v>0</v>
      </c>
      <c r="N21" s="80">
        <f t="shared" ca="1" si="31"/>
        <v>0</v>
      </c>
      <c r="O21" s="81">
        <f ca="1">IFERROR(__xludf.DUMMYFUNCTION("IMPORTRANGE(""https://docs.google.com/spreadsheets/d/1Y9LPKx95PyL5OKy09d-KbKJSuuEZCFdkhYjwC0XQjBA/edit?usp=sharing"",""พิจิตร!I669"")"),50)</f>
        <v>50</v>
      </c>
      <c r="P21" s="81">
        <f ca="1">IFERROR(__xludf.DUMMYFUNCTION("IMPORTRANGE(""https://docs.google.com/spreadsheets/d/1Y9LPKx95PyL5OKy09d-KbKJSuuEZCFdkhYjwC0XQjBA/edit?usp=sharing"",""พิจิตร!J669"")"),0)</f>
        <v>0</v>
      </c>
      <c r="Q21" s="82">
        <f t="shared" ca="1" si="25"/>
        <v>0</v>
      </c>
      <c r="R21" s="81">
        <f ca="1">IFERROR(__xludf.DUMMYFUNCTION("IMPORTRANGE(""https://docs.google.com/spreadsheets/d/1Y9LPKx95PyL5OKy09d-KbKJSuuEZCFdkhYjwC0XQjBA/edit?usp=sharing"",""พิจิตร!I670"")"),5)</f>
        <v>5</v>
      </c>
      <c r="S21" s="81">
        <f ca="1">IFERROR(__xludf.DUMMYFUNCTION("IMPORTRANGE(""https://docs.google.com/spreadsheets/d/1Y9LPKx95PyL5OKy09d-KbKJSuuEZCFdkhYjwC0XQjBA/edit?usp=sharing"",""พิจิตร!J670"")"),5)</f>
        <v>5</v>
      </c>
      <c r="T21" s="82">
        <f t="shared" ca="1" si="26"/>
        <v>100</v>
      </c>
      <c r="U21" s="81">
        <f ca="1">IFERROR(__xludf.DUMMYFUNCTION("IMPORTRANGE(""https://docs.google.com/spreadsheets/d/1Y9LPKx95PyL5OKy09d-KbKJSuuEZCFdkhYjwC0XQjBA/edit?usp=sharing"",""พิจิตร!I671"")"),5)</f>
        <v>5</v>
      </c>
      <c r="V21" s="81">
        <f ca="1">IFERROR(__xludf.DUMMYFUNCTION("IMPORTRANGE(""https://docs.google.com/spreadsheets/d/1Y9LPKx95PyL5OKy09d-KbKJSuuEZCFdkhYjwC0XQjBA/edit?usp=sharing"",""พิจิตร!J671"")"),5)</f>
        <v>5</v>
      </c>
      <c r="W21" s="82">
        <f t="shared" ca="1" si="27"/>
        <v>100</v>
      </c>
      <c r="X21" s="81">
        <f ca="1">IFERROR(__xludf.DUMMYFUNCTION("IMPORTRANGE(""https://docs.google.com/spreadsheets/d/1Y9LPKx95PyL5OKy09d-KbKJSuuEZCFdkhYjwC0XQjBA/edit?usp=sharing"",""พิจิตร!J672"")"),0)</f>
        <v>0</v>
      </c>
      <c r="Y21" s="276">
        <f t="shared" ca="1" si="11"/>
        <v>0</v>
      </c>
      <c r="Z21" s="81">
        <f ca="1">IFERROR(__xludf.DUMMYFUNCTION("IMPORTRANGE(""https://docs.google.com/spreadsheets/d/1Y9LPKx95PyL5OKy09d-KbKJSuuEZCFdkhYjwC0XQjBA/edit?usp=sharing"",""พิจิตร!J673"")"),0)</f>
        <v>0</v>
      </c>
      <c r="AA21" s="276">
        <f t="shared" ca="1" si="12"/>
        <v>0</v>
      </c>
      <c r="AB21" s="276">
        <f ca="1">IFERROR(__xludf.DUMMYFUNCTION("IMPORTRANGE(""https://docs.google.com/spreadsheets/d/1Y9LPKx95PyL5OKy09d-KbKJSuuEZCFdkhYjwC0XQjBA/edit?usp=sharing"",""พิจิตร!J674"")"),0)</f>
        <v>0</v>
      </c>
      <c r="AC21" s="82">
        <f t="shared" ca="1" si="13"/>
        <v>0</v>
      </c>
      <c r="AD21" s="276">
        <f ca="1">IFERROR(__xludf.DUMMYFUNCTION("IMPORTRANGE(""https://docs.google.com/spreadsheets/d/1Y9LPKx95PyL5OKy09d-KbKJSuuEZCFdkhYjwC0XQjBA/edit?usp=sharing"",""พิจิตร!J675"")"),0)</f>
        <v>0</v>
      </c>
      <c r="AE21" s="82">
        <f t="shared" ca="1" si="22"/>
        <v>0</v>
      </c>
      <c r="AF21" s="276">
        <f ca="1">IFERROR(__xludf.DUMMYFUNCTION("IMPORTRANGE(""https://docs.google.com/spreadsheets/d/1Y9LPKx95PyL5OKy09d-KbKJSuuEZCFdkhYjwC0XQjBA/edit?usp=sharing"",""พิจิตร!J676"")"),0)</f>
        <v>0</v>
      </c>
      <c r="AG21" s="276">
        <f ca="1">IFERROR(__xludf.DUMMYFUNCTION("IMPORTRANGE(""https://docs.google.com/spreadsheets/d/1Y9LPKx95PyL5OKy09d-KbKJSuuEZCFdkhYjwC0XQjBA/edit?usp=sharing"",""พิจิตร!J677"")"),0)</f>
        <v>0</v>
      </c>
      <c r="AH21" s="81">
        <f ca="1">IFERROR(__xludf.DUMMYFUNCTION("IMPORTRANGE(""https://docs.google.com/spreadsheets/d/1Y9LPKx95PyL5OKy09d-KbKJSuuEZCFdkhYjwC0XQjBA/edit?usp=sharing"",""พิจิตร!I678"")"),0)</f>
        <v>0</v>
      </c>
      <c r="AI21" s="81">
        <f ca="1">IFERROR(__xludf.DUMMYFUNCTION("IMPORTRANGE(""https://docs.google.com/spreadsheets/d/1Y9LPKx95PyL5OKy09d-KbKJSuuEZCFdkhYjwC0XQjBA/edit?usp=sharing"",""พิจิตร!J678"")"),0)</f>
        <v>0</v>
      </c>
      <c r="AJ21" s="82">
        <f t="shared" ca="1" si="28"/>
        <v>0</v>
      </c>
      <c r="AK21" s="81">
        <f ca="1">IFERROR(__xludf.DUMMYFUNCTION("IMPORTRANGE(""https://docs.google.com/spreadsheets/d/1Y9LPKx95PyL5OKy09d-KbKJSuuEZCFdkhYjwC0XQjBA/edit?usp=sharing"",""พิจิตร!J679"")"),0)</f>
        <v>0</v>
      </c>
      <c r="AL21" s="81">
        <f ca="1">IFERROR(__xludf.DUMMYFUNCTION("IMPORTRANGE(""https://docs.google.com/spreadsheets/d/1Y9LPKx95PyL5OKy09d-KbKJSuuEZCFdkhYjwC0XQjBA/edit?usp=sharing"",""พิจิตร!J680"")"),0)</f>
        <v>0</v>
      </c>
      <c r="AM21" s="81">
        <f ca="1">IFERROR(__xludf.DUMMYFUNCTION("IMPORTRANGE(""https://docs.google.com/spreadsheets/d/1Y9LPKx95PyL5OKy09d-KbKJSuuEZCFdkhYjwC0XQjBA/edit?usp=sharing"",""พิจิตร!J681"")"),0)</f>
        <v>0</v>
      </c>
      <c r="AN21" s="81">
        <f ca="1">IFERROR(__xludf.DUMMYFUNCTION("IMPORTRANGE(""https://docs.google.com/spreadsheets/d/1Y9LPKx95PyL5OKy09d-KbKJSuuEZCFdkhYjwC0XQjBA/edit?usp=sharing"",""พิจิตร!J682"")"),0)</f>
        <v>0</v>
      </c>
      <c r="AO21" s="81">
        <f ca="1">IFERROR(__xludf.DUMMYFUNCTION("IMPORTRANGE(""https://docs.google.com/spreadsheets/d/1Y9LPKx95PyL5OKy09d-KbKJSuuEZCFdkhYjwC0XQjBA/edit?usp=sharing"",""พิจิตร!J683"")"),0)</f>
        <v>0</v>
      </c>
    </row>
    <row r="22" spans="1:41" ht="24" customHeight="1" x14ac:dyDescent="0.2">
      <c r="A22" s="72">
        <v>9</v>
      </c>
      <c r="B22" s="73" t="s">
        <v>39</v>
      </c>
      <c r="C22" s="74">
        <f t="shared" ca="1" si="37"/>
        <v>9400</v>
      </c>
      <c r="D22" s="75">
        <f ca="1">IFERROR(__xludf.DUMMYFUNCTION("IMPORTRANGE(""https://docs.google.com/spreadsheets/d/16OMuOwy2eVqZcYWOouQtTpa8X1L23h4660uVHc0C8os/edit?usp=sharing"",""พิษณุโลก!L660"")"),9400)</f>
        <v>9400</v>
      </c>
      <c r="E22" s="76">
        <f ca="1">IFERROR(__xludf.DUMMYFUNCTION("IMPORTRANGE(""https://docs.google.com/spreadsheets/d/16OMuOwy2eVqZcYWOouQtTpa8X1L23h4660uVHc0C8os/edit?usp=sharing"",""พิษณุโลก!L667"")"),0)</f>
        <v>0</v>
      </c>
      <c r="F22" s="77">
        <f t="shared" ca="1" si="1"/>
        <v>0</v>
      </c>
      <c r="G22" s="78">
        <f t="shared" ca="1" si="2"/>
        <v>0</v>
      </c>
      <c r="H22" s="79">
        <f t="shared" ca="1" si="38"/>
        <v>0</v>
      </c>
      <c r="I22" s="76">
        <f ca="1">IFERROR(__xludf.DUMMYFUNCTION("IMPORTRANGE(""https://docs.google.com/spreadsheets/d/16OMuOwy2eVqZcYWOouQtTpa8X1L23h4660uVHc0C8os/edit?usp=sharing"",""พิษณุโลก!N661"")"),0)</f>
        <v>0</v>
      </c>
      <c r="J22" s="76">
        <f ca="1">IFERROR(__xludf.DUMMYFUNCTION("IMPORTRANGE(""https://docs.google.com/spreadsheets/d/16OMuOwy2eVqZcYWOouQtTpa8X1L23h4660uVHc0C8os/edit?usp=sharing"",""พิษณุโลก!N662"")"),0)</f>
        <v>0</v>
      </c>
      <c r="K22" s="76">
        <f ca="1">IFERROR(__xludf.DUMMYFUNCTION("IMPORTRANGE(""https://docs.google.com/spreadsheets/d/16OMuOwy2eVqZcYWOouQtTpa8X1L23h4660uVHc0C8os/edit?usp=sharing"",""พิษณุโลก!N663"")"),0)</f>
        <v>0</v>
      </c>
      <c r="L22" s="76">
        <f ca="1">IFERROR(__xludf.DUMMYFUNCTION("IMPORTRANGE(""https://docs.google.com/spreadsheets/d/16OMuOwy2eVqZcYWOouQtTpa8X1L23h4660uVHc0C8os/edit?usp=sharing"",""พิษณุโลก!N664"")"),0)</f>
        <v>0</v>
      </c>
      <c r="M22" s="80">
        <f ca="1">IFERROR(__xludf.DUMMYFUNCTION("IMPORTRANGE(""https://docs.google.com/spreadsheets/d/16OMuOwy2eVqZcYWOouQtTpa8X1L23h4660uVHc0C8os/edit?usp=sharing"",""พิษณุโลก!N667"")"),0)</f>
        <v>0</v>
      </c>
      <c r="N22" s="80">
        <f t="shared" ca="1" si="31"/>
        <v>0</v>
      </c>
      <c r="O22" s="81">
        <f ca="1">IFERROR(__xludf.DUMMYFUNCTION("IMPORTRANGE(""https://docs.google.com/spreadsheets/d/16OMuOwy2eVqZcYWOouQtTpa8X1L23h4660uVHc0C8os/edit?usp=sharing"",""พิษณุโลก!I669"")"),50)</f>
        <v>50</v>
      </c>
      <c r="P22" s="81">
        <f ca="1">IFERROR(__xludf.DUMMYFUNCTION("IMPORTRANGE(""https://docs.google.com/spreadsheets/d/16OMuOwy2eVqZcYWOouQtTpa8X1L23h4660uVHc0C8os/edit?usp=sharing"",""พิษณุโลก!J669"")"),0)</f>
        <v>0</v>
      </c>
      <c r="Q22" s="82">
        <f t="shared" ca="1" si="25"/>
        <v>0</v>
      </c>
      <c r="R22" s="81">
        <f ca="1">IFERROR(__xludf.DUMMYFUNCTION("IMPORTRANGE(""https://docs.google.com/spreadsheets/d/16OMuOwy2eVqZcYWOouQtTpa8X1L23h4660uVHc0C8os/edit?usp=sharing"",""พิษณุโลก!I670"")"),4)</f>
        <v>4</v>
      </c>
      <c r="S22" s="81">
        <f ca="1">IFERROR(__xludf.DUMMYFUNCTION("IMPORTRANGE(""https://docs.google.com/spreadsheets/d/16OMuOwy2eVqZcYWOouQtTpa8X1L23h4660uVHc0C8os/edit?usp=sharing"",""พิษณุโลก!J670"")"),4)</f>
        <v>4</v>
      </c>
      <c r="T22" s="82">
        <f t="shared" ca="1" si="26"/>
        <v>100</v>
      </c>
      <c r="U22" s="81">
        <f ca="1">IFERROR(__xludf.DUMMYFUNCTION("IMPORTRANGE(""https://docs.google.com/spreadsheets/d/16OMuOwy2eVqZcYWOouQtTpa8X1L23h4660uVHc0C8os/edit?usp=sharing"",""พิษณุโลก!I671"")"),4)</f>
        <v>4</v>
      </c>
      <c r="V22" s="81">
        <f ca="1">IFERROR(__xludf.DUMMYFUNCTION("IMPORTRANGE(""https://docs.google.com/spreadsheets/d/16OMuOwy2eVqZcYWOouQtTpa8X1L23h4660uVHc0C8os/edit?usp=sharing"",""พิษณุโลก!J671"")"),4)</f>
        <v>4</v>
      </c>
      <c r="W22" s="82">
        <f t="shared" ca="1" si="27"/>
        <v>100</v>
      </c>
      <c r="X22" s="81">
        <f ca="1">IFERROR(__xludf.DUMMYFUNCTION("IMPORTRANGE(""https://docs.google.com/spreadsheets/d/16OMuOwy2eVqZcYWOouQtTpa8X1L23h4660uVHc0C8os/edit?usp=sharing"",""พิษณุโลก!J672"")"),0)</f>
        <v>0</v>
      </c>
      <c r="Y22" s="276">
        <f t="shared" ca="1" si="11"/>
        <v>0</v>
      </c>
      <c r="Z22" s="81">
        <f ca="1">IFERROR(__xludf.DUMMYFUNCTION("IMPORTRANGE(""https://docs.google.com/spreadsheets/d/16OMuOwy2eVqZcYWOouQtTpa8X1L23h4660uVHc0C8os/edit?usp=sharing"",""พิษณุโลก!J673"")"),0)</f>
        <v>0</v>
      </c>
      <c r="AA22" s="276">
        <f t="shared" ca="1" si="12"/>
        <v>0</v>
      </c>
      <c r="AB22" s="276">
        <f ca="1">IFERROR(__xludf.DUMMYFUNCTION("IMPORTRANGE(""https://docs.google.com/spreadsheets/d/16OMuOwy2eVqZcYWOouQtTpa8X1L23h4660uVHc0C8os/edit?usp=sharing"",""พิษณุโลก!J674"")"),0)</f>
        <v>0</v>
      </c>
      <c r="AC22" s="82">
        <f t="shared" ca="1" si="13"/>
        <v>0</v>
      </c>
      <c r="AD22" s="276">
        <f ca="1">IFERROR(__xludf.DUMMYFUNCTION("IMPORTRANGE(""https://docs.google.com/spreadsheets/d/16OMuOwy2eVqZcYWOouQtTpa8X1L23h4660uVHc0C8os/edit?usp=sharing"",""พิษณุโลก!J675"")"),0)</f>
        <v>0</v>
      </c>
      <c r="AE22" s="82">
        <f t="shared" ca="1" si="22"/>
        <v>0</v>
      </c>
      <c r="AF22" s="276">
        <f ca="1">IFERROR(__xludf.DUMMYFUNCTION("IMPORTRANGE(""https://docs.google.com/spreadsheets/d/16OMuOwy2eVqZcYWOouQtTpa8X1L23h4660uVHc0C8os/edit?usp=sharing"",""พิษณุโลก!J676"")"),0)</f>
        <v>0</v>
      </c>
      <c r="AG22" s="276">
        <f ca="1">IFERROR(__xludf.DUMMYFUNCTION("IMPORTRANGE(""https://docs.google.com/spreadsheets/d/16OMuOwy2eVqZcYWOouQtTpa8X1L23h4660uVHc0C8os/edit?usp=sharing"",""พิษณุโลก!J677"")"),0)</f>
        <v>0</v>
      </c>
      <c r="AH22" s="81">
        <f ca="1">IFERROR(__xludf.DUMMYFUNCTION("IMPORTRANGE(""https://docs.google.com/spreadsheets/d/16OMuOwy2eVqZcYWOouQtTpa8X1L23h4660uVHc0C8os/edit?usp=sharing"",""พิษณุโลก!I678"")"),0)</f>
        <v>0</v>
      </c>
      <c r="AI22" s="81">
        <f ca="1">IFERROR(__xludf.DUMMYFUNCTION("IMPORTRANGE(""https://docs.google.com/spreadsheets/d/16OMuOwy2eVqZcYWOouQtTpa8X1L23h4660uVHc0C8os/edit?usp=sharing"",""พิษณุโลก!J678"")"),0)</f>
        <v>0</v>
      </c>
      <c r="AJ22" s="82">
        <f t="shared" ca="1" si="28"/>
        <v>0</v>
      </c>
      <c r="AK22" s="81">
        <f ca="1">IFERROR(__xludf.DUMMYFUNCTION("IMPORTRANGE(""https://docs.google.com/spreadsheets/d/16OMuOwy2eVqZcYWOouQtTpa8X1L23h4660uVHc0C8os/edit?usp=sharing"",""พิษณุโลก!J679"")"),0)</f>
        <v>0</v>
      </c>
      <c r="AL22" s="81">
        <f ca="1">IFERROR(__xludf.DUMMYFUNCTION("IMPORTRANGE(""https://docs.google.com/spreadsheets/d/16OMuOwy2eVqZcYWOouQtTpa8X1L23h4660uVHc0C8os/edit?usp=sharing"",""พิษณุโลก!J680"")"),0)</f>
        <v>0</v>
      </c>
      <c r="AM22" s="81">
        <f ca="1">IFERROR(__xludf.DUMMYFUNCTION("IMPORTRANGE(""https://docs.google.com/spreadsheets/d/16OMuOwy2eVqZcYWOouQtTpa8X1L23h4660uVHc0C8os/edit?usp=sharing"",""พิษณุโลก!J681"")"),0)</f>
        <v>0</v>
      </c>
      <c r="AN22" s="81">
        <f ca="1">IFERROR(__xludf.DUMMYFUNCTION("IMPORTRANGE(""https://docs.google.com/spreadsheets/d/16OMuOwy2eVqZcYWOouQtTpa8X1L23h4660uVHc0C8os/edit?usp=sharing"",""พิษณุโลก!J682"")"),0)</f>
        <v>0</v>
      </c>
      <c r="AO22" s="81">
        <f ca="1">IFERROR(__xludf.DUMMYFUNCTION("IMPORTRANGE(""https://docs.google.com/spreadsheets/d/16OMuOwy2eVqZcYWOouQtTpa8X1L23h4660uVHc0C8os/edit?usp=sharing"",""พิษณุโลก!J683"")"),0)</f>
        <v>0</v>
      </c>
    </row>
    <row r="23" spans="1:41" ht="24" customHeight="1" x14ac:dyDescent="0.2">
      <c r="A23" s="72">
        <v>10</v>
      </c>
      <c r="B23" s="73" t="s">
        <v>40</v>
      </c>
      <c r="C23" s="74">
        <f t="shared" ca="1" si="37"/>
        <v>0</v>
      </c>
      <c r="D23" s="75">
        <f ca="1">IFERROR(__xludf.DUMMYFUNCTION("IMPORTRANGE(""https://docs.google.com/spreadsheets/d/1GfgTldLG6k77HXaMQzaafODklYuucJZQNs_GAPEfZyY/edit?usp=sharing"",""เพชรบูรณ์!L660"")"),0)</f>
        <v>0</v>
      </c>
      <c r="E23" s="76">
        <f ca="1">IFERROR(__xludf.DUMMYFUNCTION("IMPORTRANGE(""https://docs.google.com/spreadsheets/d/1GfgTldLG6k77HXaMQzaafODklYuucJZQNs_GAPEfZyY/edit?usp=sharing"",""เพชรบูรณ์!L667"")"),0)</f>
        <v>0</v>
      </c>
      <c r="F23" s="77">
        <f t="shared" ca="1" si="1"/>
        <v>0</v>
      </c>
      <c r="G23" s="78">
        <f t="shared" ca="1" si="2"/>
        <v>0</v>
      </c>
      <c r="H23" s="79">
        <f t="shared" ca="1" si="38"/>
        <v>0</v>
      </c>
      <c r="I23" s="76">
        <f ca="1">IFERROR(__xludf.DUMMYFUNCTION("IMPORTRANGE(""https://docs.google.com/spreadsheets/d/1GfgTldLG6k77HXaMQzaafODklYuucJZQNs_GAPEfZyY/edit?usp=sharing"",""เพชรบูรณ์!N661"")"),0)</f>
        <v>0</v>
      </c>
      <c r="J23" s="76">
        <f ca="1">IFERROR(__xludf.DUMMYFUNCTION("IMPORTRANGE(""https://docs.google.com/spreadsheets/d/1GfgTldLG6k77HXaMQzaafODklYuucJZQNs_GAPEfZyY/edit?usp=sharing"",""เพชรบูรณ์!N662"")"),0)</f>
        <v>0</v>
      </c>
      <c r="K23" s="76">
        <f ca="1">IFERROR(__xludf.DUMMYFUNCTION("IMPORTRANGE(""https://docs.google.com/spreadsheets/d/1GfgTldLG6k77HXaMQzaafODklYuucJZQNs_GAPEfZyY/edit?usp=sharing"",""เพชรบูรณ์!N663"")"),0)</f>
        <v>0</v>
      </c>
      <c r="L23" s="76">
        <f ca="1">IFERROR(__xludf.DUMMYFUNCTION("IMPORTRANGE(""https://docs.google.com/spreadsheets/d/1GfgTldLG6k77HXaMQzaafODklYuucJZQNs_GAPEfZyY/edit?usp=sharing"",""เพชรบูรณ์!N664"")"),0)</f>
        <v>0</v>
      </c>
      <c r="M23" s="80">
        <f ca="1">IFERROR(__xludf.DUMMYFUNCTION("IMPORTRANGE(""https://docs.google.com/spreadsheets/d/1GfgTldLG6k77HXaMQzaafODklYuucJZQNs_GAPEfZyY/edit?usp=sharing"",""เพชรบูรณ์!N667"")"),0)</f>
        <v>0</v>
      </c>
      <c r="N23" s="80">
        <f t="shared" ca="1" si="31"/>
        <v>0</v>
      </c>
      <c r="O23" s="81">
        <f ca="1">IFERROR(__xludf.DUMMYFUNCTION("IMPORTRANGE(""https://docs.google.com/spreadsheets/d/1GfgTldLG6k77HXaMQzaafODklYuucJZQNs_GAPEfZyY/edit?usp=sharing"",""เพชรบูรณ์!I669"")"),0)</f>
        <v>0</v>
      </c>
      <c r="P23" s="81">
        <f ca="1">IFERROR(__xludf.DUMMYFUNCTION("IMPORTRANGE(""https://docs.google.com/spreadsheets/d/1GfgTldLG6k77HXaMQzaafODklYuucJZQNs_GAPEfZyY/edit?usp=sharing"",""เพชรบูรณ์!J669"")"),0)</f>
        <v>0</v>
      </c>
      <c r="Q23" s="82">
        <f t="shared" ca="1" si="25"/>
        <v>0</v>
      </c>
      <c r="R23" s="81">
        <f ca="1">IFERROR(__xludf.DUMMYFUNCTION("IMPORTRANGE(""https://docs.google.com/spreadsheets/d/1GfgTldLG6k77HXaMQzaafODklYuucJZQNs_GAPEfZyY/edit?usp=sharing"",""เพชรบูรณ์!I670"")"),0)</f>
        <v>0</v>
      </c>
      <c r="S23" s="81">
        <f ca="1">IFERROR(__xludf.DUMMYFUNCTION("IMPORTRANGE(""https://docs.google.com/spreadsheets/d/1GfgTldLG6k77HXaMQzaafODklYuucJZQNs_GAPEfZyY/edit?usp=sharing"",""เพชรบูรณ์!J670"")"),0)</f>
        <v>0</v>
      </c>
      <c r="T23" s="82">
        <f t="shared" ca="1" si="26"/>
        <v>0</v>
      </c>
      <c r="U23" s="81">
        <f ca="1">IFERROR(__xludf.DUMMYFUNCTION("IMPORTRANGE(""https://docs.google.com/spreadsheets/d/1GfgTldLG6k77HXaMQzaafODklYuucJZQNs_GAPEfZyY/edit?usp=sharing"",""เพชรบูรณ์!I671"")"),0)</f>
        <v>0</v>
      </c>
      <c r="V23" s="81">
        <f ca="1">IFERROR(__xludf.DUMMYFUNCTION("IMPORTRANGE(""https://docs.google.com/spreadsheets/d/1GfgTldLG6k77HXaMQzaafODklYuucJZQNs_GAPEfZyY/edit?usp=sharing"",""เพชรบูรณ์!J671"")"),0)</f>
        <v>0</v>
      </c>
      <c r="W23" s="82">
        <f t="shared" ca="1" si="27"/>
        <v>0</v>
      </c>
      <c r="X23" s="81">
        <f ca="1">IFERROR(__xludf.DUMMYFUNCTION("IMPORTRANGE(""https://docs.google.com/spreadsheets/d/1GfgTldLG6k77HXaMQzaafODklYuucJZQNs_GAPEfZyY/edit?usp=sharing"",""เพชรบูรณ์!J672"")"),0)</f>
        <v>0</v>
      </c>
      <c r="Y23" s="276">
        <f t="shared" ca="1" si="11"/>
        <v>0</v>
      </c>
      <c r="Z23" s="81">
        <f ca="1">IFERROR(__xludf.DUMMYFUNCTION("IMPORTRANGE(""https://docs.google.com/spreadsheets/d/1GfgTldLG6k77HXaMQzaafODklYuucJZQNs_GAPEfZyY/edit?usp=sharing"",""เพชรบูรณ์!J673"")"),0)</f>
        <v>0</v>
      </c>
      <c r="AA23" s="276">
        <f t="shared" ca="1" si="12"/>
        <v>0</v>
      </c>
      <c r="AB23" s="276">
        <f ca="1">IFERROR(__xludf.DUMMYFUNCTION("IMPORTRANGE(""https://docs.google.com/spreadsheets/d/1GfgTldLG6k77HXaMQzaafODklYuucJZQNs_GAPEfZyY/edit?usp=sharing"",""เพชรบูรณ์!J674"")"),0)</f>
        <v>0</v>
      </c>
      <c r="AC23" s="82">
        <f t="shared" ca="1" si="13"/>
        <v>0</v>
      </c>
      <c r="AD23" s="276">
        <f ca="1">IFERROR(__xludf.DUMMYFUNCTION("IMPORTRANGE(""https://docs.google.com/spreadsheets/d/1GfgTldLG6k77HXaMQzaafODklYuucJZQNs_GAPEfZyY/edit?usp=sharing"",""เพชรบูรณ์!J675"")"),0)</f>
        <v>0</v>
      </c>
      <c r="AE23" s="82">
        <f t="shared" ca="1" si="22"/>
        <v>0</v>
      </c>
      <c r="AF23" s="276">
        <f ca="1">IFERROR(__xludf.DUMMYFUNCTION("IMPORTRANGE(""https://docs.google.com/spreadsheets/d/1GfgTldLG6k77HXaMQzaafODklYuucJZQNs_GAPEfZyY/edit?usp=sharing"",""เพชรบูรณ์!J676"")"),0)</f>
        <v>0</v>
      </c>
      <c r="AG23" s="276">
        <f ca="1">IFERROR(__xludf.DUMMYFUNCTION("IMPORTRANGE(""https://docs.google.com/spreadsheets/d/1GfgTldLG6k77HXaMQzaafODklYuucJZQNs_GAPEfZyY/edit?usp=sharing"",""เพชรบูรณ์!J677"")"),0)</f>
        <v>0</v>
      </c>
      <c r="AH23" s="81">
        <f ca="1">IFERROR(__xludf.DUMMYFUNCTION("IMPORTRANGE(""https://docs.google.com/spreadsheets/d/1GfgTldLG6k77HXaMQzaafODklYuucJZQNs_GAPEfZyY/edit?usp=sharing"",""เพชรบูรณ์!I678"")"),0)</f>
        <v>0</v>
      </c>
      <c r="AI23" s="81">
        <f ca="1">IFERROR(__xludf.DUMMYFUNCTION("IMPORTRANGE(""https://docs.google.com/spreadsheets/d/1GfgTldLG6k77HXaMQzaafODklYuucJZQNs_GAPEfZyY/edit?usp=sharing"",""เพชรบูรณ์!J678"")"),0)</f>
        <v>0</v>
      </c>
      <c r="AJ23" s="82">
        <f t="shared" ca="1" si="28"/>
        <v>0</v>
      </c>
      <c r="AK23" s="81">
        <f ca="1">IFERROR(__xludf.DUMMYFUNCTION("IMPORTRANGE(""https://docs.google.com/spreadsheets/d/1GfgTldLG6k77HXaMQzaafODklYuucJZQNs_GAPEfZyY/edit?usp=sharing"",""เพชรบูรณ์!J679"")"),0)</f>
        <v>0</v>
      </c>
      <c r="AL23" s="81">
        <f ca="1">IFERROR(__xludf.DUMMYFUNCTION("IMPORTRANGE(""https://docs.google.com/spreadsheets/d/1GfgTldLG6k77HXaMQzaafODklYuucJZQNs_GAPEfZyY/edit?usp=sharing"",""เพชรบูรณ์!J680"")"),0)</f>
        <v>0</v>
      </c>
      <c r="AM23" s="81">
        <f ca="1">IFERROR(__xludf.DUMMYFUNCTION("IMPORTRANGE(""https://docs.google.com/spreadsheets/d/1GfgTldLG6k77HXaMQzaafODklYuucJZQNs_GAPEfZyY/edit?usp=sharing"",""เพชรบูรณ์!J681"")"),0)</f>
        <v>0</v>
      </c>
      <c r="AN23" s="81">
        <f ca="1">IFERROR(__xludf.DUMMYFUNCTION("IMPORTRANGE(""https://docs.google.com/spreadsheets/d/1GfgTldLG6k77HXaMQzaafODklYuucJZQNs_GAPEfZyY/edit?usp=sharing"",""เพชรบูรณ์!J682"")"),0)</f>
        <v>0</v>
      </c>
      <c r="AO23" s="81">
        <f ca="1">IFERROR(__xludf.DUMMYFUNCTION("IMPORTRANGE(""https://docs.google.com/spreadsheets/d/1GfgTldLG6k77HXaMQzaafODklYuucJZQNs_GAPEfZyY/edit?usp=sharing"",""เพชรบูรณ์!J683"")"),0)</f>
        <v>0</v>
      </c>
    </row>
    <row r="24" spans="1:41" ht="24" customHeight="1" x14ac:dyDescent="0.2">
      <c r="A24" s="72">
        <v>11</v>
      </c>
      <c r="B24" s="73" t="s">
        <v>41</v>
      </c>
      <c r="C24" s="74">
        <f t="shared" ca="1" si="37"/>
        <v>0</v>
      </c>
      <c r="D24" s="75">
        <f ca="1">IFERROR(__xludf.DUMMYFUNCTION("IMPORTRANGE(""https://docs.google.com/spreadsheets/d/1gvTMYAnm7v1yG1BKWFtr0DnaTsq59oW9dwWvFgq6hs0/edit?usp=sharing"",""แพร่!L660"")"),0)</f>
        <v>0</v>
      </c>
      <c r="E24" s="76">
        <f ca="1">IFERROR(__xludf.DUMMYFUNCTION("IMPORTRANGE(""https://docs.google.com/spreadsheets/d/1gvTMYAnm7v1yG1BKWFtr0DnaTsq59oW9dwWvFgq6hs0/edit?usp=sharing"",""แพร่!L667"")"),0)</f>
        <v>0</v>
      </c>
      <c r="F24" s="77">
        <f t="shared" ca="1" si="1"/>
        <v>0</v>
      </c>
      <c r="G24" s="78">
        <f t="shared" ca="1" si="2"/>
        <v>0</v>
      </c>
      <c r="H24" s="79">
        <f t="shared" ca="1" si="38"/>
        <v>0</v>
      </c>
      <c r="I24" s="76">
        <f ca="1">IFERROR(__xludf.DUMMYFUNCTION("IMPORTRANGE(""https://docs.google.com/spreadsheets/d/1gvTMYAnm7v1yG1BKWFtr0DnaTsq59oW9dwWvFgq6hs0/edit?usp=sharing"",""แพร่!N661"")"),0)</f>
        <v>0</v>
      </c>
      <c r="J24" s="76">
        <f ca="1">IFERROR(__xludf.DUMMYFUNCTION("IMPORTRANGE(""https://docs.google.com/spreadsheets/d/1gvTMYAnm7v1yG1BKWFtr0DnaTsq59oW9dwWvFgq6hs0/edit?usp=sharing"",""แพร่!N662"")"),0)</f>
        <v>0</v>
      </c>
      <c r="K24" s="76">
        <f ca="1">IFERROR(__xludf.DUMMYFUNCTION("IMPORTRANGE(""https://docs.google.com/spreadsheets/d/1gvTMYAnm7v1yG1BKWFtr0DnaTsq59oW9dwWvFgq6hs0/edit?usp=sharing"",""แพร่!N663"")"),0)</f>
        <v>0</v>
      </c>
      <c r="L24" s="76">
        <f ca="1">IFERROR(__xludf.DUMMYFUNCTION("IMPORTRANGE(""https://docs.google.com/spreadsheets/d/1gvTMYAnm7v1yG1BKWFtr0DnaTsq59oW9dwWvFgq6hs0/edit?usp=sharing"",""แพร่!N664"")"),0)</f>
        <v>0</v>
      </c>
      <c r="M24" s="80">
        <f ca="1">IFERROR(__xludf.DUMMYFUNCTION("IMPORTRANGE(""https://docs.google.com/spreadsheets/d/1gvTMYAnm7v1yG1BKWFtr0DnaTsq59oW9dwWvFgq6hs0/edit?usp=sharing"",""แพร่!N667"")"),0)</f>
        <v>0</v>
      </c>
      <c r="N24" s="80">
        <f t="shared" ca="1" si="31"/>
        <v>0</v>
      </c>
      <c r="O24" s="81">
        <f ca="1">IFERROR(__xludf.DUMMYFUNCTION("IMPORTRANGE(""https://docs.google.com/spreadsheets/d/1gvTMYAnm7v1yG1BKWFtr0DnaTsq59oW9dwWvFgq6hs0/edit?usp=sharing"",""แพร่!I669"")"),0)</f>
        <v>0</v>
      </c>
      <c r="P24" s="81">
        <f ca="1">IFERROR(__xludf.DUMMYFUNCTION("IMPORTRANGE(""https://docs.google.com/spreadsheets/d/1gvTMYAnm7v1yG1BKWFtr0DnaTsq59oW9dwWvFgq6hs0/edit?usp=sharing"",""แพร่!J669"")"),0)</f>
        <v>0</v>
      </c>
      <c r="Q24" s="82">
        <f t="shared" ca="1" si="25"/>
        <v>0</v>
      </c>
      <c r="R24" s="81">
        <f ca="1">IFERROR(__xludf.DUMMYFUNCTION("IMPORTRANGE(""https://docs.google.com/spreadsheets/d/1gvTMYAnm7v1yG1BKWFtr0DnaTsq59oW9dwWvFgq6hs0/edit?usp=sharing"",""แพร่!I670"")"),0)</f>
        <v>0</v>
      </c>
      <c r="S24" s="81">
        <f ca="1">IFERROR(__xludf.DUMMYFUNCTION("IMPORTRANGE(""https://docs.google.com/spreadsheets/d/1gvTMYAnm7v1yG1BKWFtr0DnaTsq59oW9dwWvFgq6hs0/edit?usp=sharing"",""แพร่!J670"")"),0)</f>
        <v>0</v>
      </c>
      <c r="T24" s="82">
        <f t="shared" ca="1" si="26"/>
        <v>0</v>
      </c>
      <c r="U24" s="81">
        <f ca="1">IFERROR(__xludf.DUMMYFUNCTION("IMPORTRANGE(""https://docs.google.com/spreadsheets/d/1gvTMYAnm7v1yG1BKWFtr0DnaTsq59oW9dwWvFgq6hs0/edit?usp=sharing"",""แพร่!I671"")"),0)</f>
        <v>0</v>
      </c>
      <c r="V24" s="81">
        <f ca="1">IFERROR(__xludf.DUMMYFUNCTION("IMPORTRANGE(""https://docs.google.com/spreadsheets/d/1gvTMYAnm7v1yG1BKWFtr0DnaTsq59oW9dwWvFgq6hs0/edit?usp=sharing"",""แพร่!J671"")"),0)</f>
        <v>0</v>
      </c>
      <c r="W24" s="82">
        <f t="shared" ca="1" si="27"/>
        <v>0</v>
      </c>
      <c r="X24" s="81">
        <f ca="1">IFERROR(__xludf.DUMMYFUNCTION("IMPORTRANGE(""https://docs.google.com/spreadsheets/d/1gvTMYAnm7v1yG1BKWFtr0DnaTsq59oW9dwWvFgq6hs0/edit?usp=sharing"",""แพร่!J672"")"),0)</f>
        <v>0</v>
      </c>
      <c r="Y24" s="276">
        <f t="shared" ca="1" si="11"/>
        <v>0</v>
      </c>
      <c r="Z24" s="81">
        <f ca="1">IFERROR(__xludf.DUMMYFUNCTION("IMPORTRANGE(""https://docs.google.com/spreadsheets/d/1gvTMYAnm7v1yG1BKWFtr0DnaTsq59oW9dwWvFgq6hs0/edit?usp=sharing"",""แพร่!J673"")"),0)</f>
        <v>0</v>
      </c>
      <c r="AA24" s="276">
        <f t="shared" ca="1" si="12"/>
        <v>0</v>
      </c>
      <c r="AB24" s="276">
        <f ca="1">IFERROR(__xludf.DUMMYFUNCTION("IMPORTRANGE(""https://docs.google.com/spreadsheets/d/1gvTMYAnm7v1yG1BKWFtr0DnaTsq59oW9dwWvFgq6hs0/edit?usp=sharing"",""แพร่!J674"")"),0)</f>
        <v>0</v>
      </c>
      <c r="AC24" s="82">
        <f t="shared" ca="1" si="13"/>
        <v>0</v>
      </c>
      <c r="AD24" s="276">
        <f ca="1">IFERROR(__xludf.DUMMYFUNCTION("IMPORTRANGE(""https://docs.google.com/spreadsheets/d/1gvTMYAnm7v1yG1BKWFtr0DnaTsq59oW9dwWvFgq6hs0/edit?usp=sharing"",""แพร่!J675"")"),0)</f>
        <v>0</v>
      </c>
      <c r="AE24" s="82">
        <f t="shared" ca="1" si="22"/>
        <v>0</v>
      </c>
      <c r="AF24" s="276">
        <f ca="1">IFERROR(__xludf.DUMMYFUNCTION("IMPORTRANGE(""https://docs.google.com/spreadsheets/d/1gvTMYAnm7v1yG1BKWFtr0DnaTsq59oW9dwWvFgq6hs0/edit?usp=sharing"",""แพร่!J676"")"),0)</f>
        <v>0</v>
      </c>
      <c r="AG24" s="276">
        <f ca="1">IFERROR(__xludf.DUMMYFUNCTION("IMPORTRANGE(""https://docs.google.com/spreadsheets/d/1gvTMYAnm7v1yG1BKWFtr0DnaTsq59oW9dwWvFgq6hs0/edit?usp=sharing"",""แพร่!J677"")"),0)</f>
        <v>0</v>
      </c>
      <c r="AH24" s="81">
        <f ca="1">IFERROR(__xludf.DUMMYFUNCTION("IMPORTRANGE(""https://docs.google.com/spreadsheets/d/1gvTMYAnm7v1yG1BKWFtr0DnaTsq59oW9dwWvFgq6hs0/edit?usp=sharing"",""แพร่!I678"")"),0)</f>
        <v>0</v>
      </c>
      <c r="AI24" s="81">
        <f ca="1">IFERROR(__xludf.DUMMYFUNCTION("IMPORTRANGE(""https://docs.google.com/spreadsheets/d/1gvTMYAnm7v1yG1BKWFtr0DnaTsq59oW9dwWvFgq6hs0/edit?usp=sharing"",""แพร่!J678"")"),0)</f>
        <v>0</v>
      </c>
      <c r="AJ24" s="82">
        <f t="shared" ca="1" si="28"/>
        <v>0</v>
      </c>
      <c r="AK24" s="81">
        <f ca="1">IFERROR(__xludf.DUMMYFUNCTION("IMPORTRANGE(""https://docs.google.com/spreadsheets/d/1gvTMYAnm7v1yG1BKWFtr0DnaTsq59oW9dwWvFgq6hs0/edit?usp=sharing"",""แพร่!J679"")"),0)</f>
        <v>0</v>
      </c>
      <c r="AL24" s="81">
        <f ca="1">IFERROR(__xludf.DUMMYFUNCTION("IMPORTRANGE(""https://docs.google.com/spreadsheets/d/1gvTMYAnm7v1yG1BKWFtr0DnaTsq59oW9dwWvFgq6hs0/edit?usp=sharing"",""แพร่!J680"")"),0)</f>
        <v>0</v>
      </c>
      <c r="AM24" s="81">
        <f ca="1">IFERROR(__xludf.DUMMYFUNCTION("IMPORTRANGE(""https://docs.google.com/spreadsheets/d/1gvTMYAnm7v1yG1BKWFtr0DnaTsq59oW9dwWvFgq6hs0/edit?usp=sharing"",""แพร่!J681"")"),0)</f>
        <v>0</v>
      </c>
      <c r="AN24" s="81">
        <f ca="1">IFERROR(__xludf.DUMMYFUNCTION("IMPORTRANGE(""https://docs.google.com/spreadsheets/d/1gvTMYAnm7v1yG1BKWFtr0DnaTsq59oW9dwWvFgq6hs0/edit?usp=sharing"",""แพร่!J682"")"),0)</f>
        <v>0</v>
      </c>
      <c r="AO24" s="81">
        <f ca="1">IFERROR(__xludf.DUMMYFUNCTION("IMPORTRANGE(""https://docs.google.com/spreadsheets/d/1gvTMYAnm7v1yG1BKWFtr0DnaTsq59oW9dwWvFgq6hs0/edit?usp=sharing"",""แพร่!J683"")"),0)</f>
        <v>0</v>
      </c>
    </row>
    <row r="25" spans="1:41" ht="24" customHeight="1" x14ac:dyDescent="0.2">
      <c r="A25" s="72">
        <v>12</v>
      </c>
      <c r="B25" s="73" t="s">
        <v>42</v>
      </c>
      <c r="C25" s="74">
        <f t="shared" ca="1" si="37"/>
        <v>0</v>
      </c>
      <c r="D25" s="75">
        <f ca="1">IFERROR(__xludf.DUMMYFUNCTION("IMPORTRANGE(""https://docs.google.com/spreadsheets/d/1Wbcosgy-Xa1xXUArJSOenub6EfZHUSzc_bpJFWwQUf0/edit?usp=sharing"",""แม่ฮ่องสอน!L660"")"),0)</f>
        <v>0</v>
      </c>
      <c r="E25" s="76">
        <f ca="1">IFERROR(__xludf.DUMMYFUNCTION("IMPORTRANGE(""https://docs.google.com/spreadsheets/d/1Wbcosgy-Xa1xXUArJSOenub6EfZHUSzc_bpJFWwQUf0/edit?usp=sharing"",""แม่ฮ่องสอน!L667"")"),0)</f>
        <v>0</v>
      </c>
      <c r="F25" s="77">
        <f t="shared" ca="1" si="1"/>
        <v>0</v>
      </c>
      <c r="G25" s="78">
        <f t="shared" ca="1" si="2"/>
        <v>0</v>
      </c>
      <c r="H25" s="79">
        <f t="shared" ca="1" si="38"/>
        <v>0</v>
      </c>
      <c r="I25" s="76">
        <f ca="1">IFERROR(__xludf.DUMMYFUNCTION("IMPORTRANGE(""https://docs.google.com/spreadsheets/d/1Wbcosgy-Xa1xXUArJSOenub6EfZHUSzc_bpJFWwQUf0/edit?usp=sharing"",""แม่ฮ่องสอน!N661"")"),0)</f>
        <v>0</v>
      </c>
      <c r="J25" s="76">
        <f ca="1">IFERROR(__xludf.DUMMYFUNCTION("IMPORTRANGE(""https://docs.google.com/spreadsheets/d/1Wbcosgy-Xa1xXUArJSOenub6EfZHUSzc_bpJFWwQUf0/edit?usp=sharing"",""แม่ฮ่องสอน!N662"")"),0)</f>
        <v>0</v>
      </c>
      <c r="K25" s="76">
        <f ca="1">IFERROR(__xludf.DUMMYFUNCTION("IMPORTRANGE(""https://docs.google.com/spreadsheets/d/1Wbcosgy-Xa1xXUArJSOenub6EfZHUSzc_bpJFWwQUf0/edit?usp=sharing"",""แม่ฮ่องสอน!N663"")"),0)</f>
        <v>0</v>
      </c>
      <c r="L25" s="76">
        <f ca="1">IFERROR(__xludf.DUMMYFUNCTION("IMPORTRANGE(""https://docs.google.com/spreadsheets/d/1Wbcosgy-Xa1xXUArJSOenub6EfZHUSzc_bpJFWwQUf0/edit?usp=sharing"",""แม่ฮ่องสอน!N664"")"),0)</f>
        <v>0</v>
      </c>
      <c r="M25" s="80">
        <f ca="1">IFERROR(__xludf.DUMMYFUNCTION("IMPORTRANGE(""https://docs.google.com/spreadsheets/d/1Wbcosgy-Xa1xXUArJSOenub6EfZHUSzc_bpJFWwQUf0/edit?usp=sharing"",""แม่ฮ่องสอน!N667"")"),0)</f>
        <v>0</v>
      </c>
      <c r="N25" s="80">
        <f t="shared" ca="1" si="31"/>
        <v>0</v>
      </c>
      <c r="O25" s="81">
        <f ca="1">IFERROR(__xludf.DUMMYFUNCTION("IMPORTRANGE(""https://docs.google.com/spreadsheets/d/1Wbcosgy-Xa1xXUArJSOenub6EfZHUSzc_bpJFWwQUf0/edit?usp=sharing"",""แม่ฮ่องสอน!I669"")"),0)</f>
        <v>0</v>
      </c>
      <c r="P25" s="81">
        <f ca="1">IFERROR(__xludf.DUMMYFUNCTION("IMPORTRANGE(""https://docs.google.com/spreadsheets/d/1Wbcosgy-Xa1xXUArJSOenub6EfZHUSzc_bpJFWwQUf0/edit?usp=sharing"",""แม่ฮ่องสอน!J669"")"),0)</f>
        <v>0</v>
      </c>
      <c r="Q25" s="82">
        <f t="shared" ca="1" si="25"/>
        <v>0</v>
      </c>
      <c r="R25" s="81">
        <f ca="1">IFERROR(__xludf.DUMMYFUNCTION("IMPORTRANGE(""https://docs.google.com/spreadsheets/d/1Wbcosgy-Xa1xXUArJSOenub6EfZHUSzc_bpJFWwQUf0/edit?usp=sharing"",""แม่ฮ่องสอน!I670"")"),0)</f>
        <v>0</v>
      </c>
      <c r="S25" s="81">
        <f ca="1">IFERROR(__xludf.DUMMYFUNCTION("IMPORTRANGE(""https://docs.google.com/spreadsheets/d/1Wbcosgy-Xa1xXUArJSOenub6EfZHUSzc_bpJFWwQUf0/edit?usp=sharing"",""แม่ฮ่องสอน!J670"")"),0)</f>
        <v>0</v>
      </c>
      <c r="T25" s="82">
        <f t="shared" ca="1" si="26"/>
        <v>0</v>
      </c>
      <c r="U25" s="81">
        <f ca="1">IFERROR(__xludf.DUMMYFUNCTION("IMPORTRANGE(""https://docs.google.com/spreadsheets/d/1Wbcosgy-Xa1xXUArJSOenub6EfZHUSzc_bpJFWwQUf0/edit?usp=sharing"",""แม่ฮ่องสอน!I671"")"),0)</f>
        <v>0</v>
      </c>
      <c r="V25" s="81">
        <f ca="1">IFERROR(__xludf.DUMMYFUNCTION("IMPORTRANGE(""https://docs.google.com/spreadsheets/d/1Wbcosgy-Xa1xXUArJSOenub6EfZHUSzc_bpJFWwQUf0/edit?usp=sharing"",""แม่ฮ่องสอน!J671"")"),0)</f>
        <v>0</v>
      </c>
      <c r="W25" s="82">
        <f t="shared" ca="1" si="27"/>
        <v>0</v>
      </c>
      <c r="X25" s="81">
        <f ca="1">IFERROR(__xludf.DUMMYFUNCTION("IMPORTRANGE(""https://docs.google.com/spreadsheets/d/1Wbcosgy-Xa1xXUArJSOenub6EfZHUSzc_bpJFWwQUf0/edit?usp=sharing"",""แม่ฮ่องสอน!J672"")"),0)</f>
        <v>0</v>
      </c>
      <c r="Y25" s="276">
        <f t="shared" ca="1" si="11"/>
        <v>0</v>
      </c>
      <c r="Z25" s="81">
        <f ca="1">IFERROR(__xludf.DUMMYFUNCTION("IMPORTRANGE(""https://docs.google.com/spreadsheets/d/1Wbcosgy-Xa1xXUArJSOenub6EfZHUSzc_bpJFWwQUf0/edit?usp=sharing"",""แม่ฮ่องสอน!J673"")"),0)</f>
        <v>0</v>
      </c>
      <c r="AA25" s="276">
        <f t="shared" ca="1" si="12"/>
        <v>0</v>
      </c>
      <c r="AB25" s="276">
        <f ca="1">IFERROR(__xludf.DUMMYFUNCTION("IMPORTRANGE(""https://docs.google.com/spreadsheets/d/1Wbcosgy-Xa1xXUArJSOenub6EfZHUSzc_bpJFWwQUf0/edit?usp=sharing"",""แม่ฮ่องสอน!J674"")"),0)</f>
        <v>0</v>
      </c>
      <c r="AC25" s="82">
        <f t="shared" ca="1" si="13"/>
        <v>0</v>
      </c>
      <c r="AD25" s="276">
        <f ca="1">IFERROR(__xludf.DUMMYFUNCTION("IMPORTRANGE(""https://docs.google.com/spreadsheets/d/1Wbcosgy-Xa1xXUArJSOenub6EfZHUSzc_bpJFWwQUf0/edit?usp=sharing"",""แม่ฮ่องสอน!J675"")"),0)</f>
        <v>0</v>
      </c>
      <c r="AE25" s="82">
        <f t="shared" ca="1" si="22"/>
        <v>0</v>
      </c>
      <c r="AF25" s="276">
        <f ca="1">IFERROR(__xludf.DUMMYFUNCTION("IMPORTRANGE(""https://docs.google.com/spreadsheets/d/1Wbcosgy-Xa1xXUArJSOenub6EfZHUSzc_bpJFWwQUf0/edit?usp=sharing"",""แม่ฮ่องสอน!J676"")"),0)</f>
        <v>0</v>
      </c>
      <c r="AG25" s="276">
        <f ca="1">IFERROR(__xludf.DUMMYFUNCTION("IMPORTRANGE(""https://docs.google.com/spreadsheets/d/1Wbcosgy-Xa1xXUArJSOenub6EfZHUSzc_bpJFWwQUf0/edit?usp=sharing"",""แม่ฮ่องสอน!J677"")"),0)</f>
        <v>0</v>
      </c>
      <c r="AH25" s="81">
        <f ca="1">IFERROR(__xludf.DUMMYFUNCTION("IMPORTRANGE(""https://docs.google.com/spreadsheets/d/1Wbcosgy-Xa1xXUArJSOenub6EfZHUSzc_bpJFWwQUf0/edit?usp=sharing"",""แม่ฮ่องสอน!I678"")"),0)</f>
        <v>0</v>
      </c>
      <c r="AI25" s="81">
        <f ca="1">IFERROR(__xludf.DUMMYFUNCTION("IMPORTRANGE(""https://docs.google.com/spreadsheets/d/1Wbcosgy-Xa1xXUArJSOenub6EfZHUSzc_bpJFWwQUf0/edit?usp=sharing"",""แม่ฮ่องสอน!J678"")"),0)</f>
        <v>0</v>
      </c>
      <c r="AJ25" s="82">
        <f t="shared" ca="1" si="28"/>
        <v>0</v>
      </c>
      <c r="AK25" s="81">
        <f ca="1">IFERROR(__xludf.DUMMYFUNCTION("IMPORTRANGE(""https://docs.google.com/spreadsheets/d/1Wbcosgy-Xa1xXUArJSOenub6EfZHUSzc_bpJFWwQUf0/edit?usp=sharing"",""แม่ฮ่องสอน!J679"")"),0)</f>
        <v>0</v>
      </c>
      <c r="AL25" s="81">
        <f ca="1">IFERROR(__xludf.DUMMYFUNCTION("IMPORTRANGE(""https://docs.google.com/spreadsheets/d/1Wbcosgy-Xa1xXUArJSOenub6EfZHUSzc_bpJFWwQUf0/edit?usp=sharing"",""แม่ฮ่องสอน!J680"")"),0)</f>
        <v>0</v>
      </c>
      <c r="AM25" s="81">
        <f ca="1">IFERROR(__xludf.DUMMYFUNCTION("IMPORTRANGE(""https://docs.google.com/spreadsheets/d/1Wbcosgy-Xa1xXUArJSOenub6EfZHUSzc_bpJFWwQUf0/edit?usp=sharing"",""แม่ฮ่องสอน!J681"")"),0)</f>
        <v>0</v>
      </c>
      <c r="AN25" s="81">
        <f ca="1">IFERROR(__xludf.DUMMYFUNCTION("IMPORTRANGE(""https://docs.google.com/spreadsheets/d/1Wbcosgy-Xa1xXUArJSOenub6EfZHUSzc_bpJFWwQUf0/edit?usp=sharing"",""แม่ฮ่องสอน!J682"")"),0)</f>
        <v>0</v>
      </c>
      <c r="AO25" s="81">
        <f ca="1">IFERROR(__xludf.DUMMYFUNCTION("IMPORTRANGE(""https://docs.google.com/spreadsheets/d/1Wbcosgy-Xa1xXUArJSOenub6EfZHUSzc_bpJFWwQUf0/edit?usp=sharing"",""แม่ฮ่องสอน!J683"")"),0)</f>
        <v>0</v>
      </c>
    </row>
    <row r="26" spans="1:41" ht="24" customHeight="1" x14ac:dyDescent="0.2">
      <c r="A26" s="72">
        <v>13</v>
      </c>
      <c r="B26" s="73" t="s">
        <v>43</v>
      </c>
      <c r="C26" s="74">
        <f t="shared" ca="1" si="37"/>
        <v>14000</v>
      </c>
      <c r="D26" s="75">
        <f ca="1">IFERROR(__xludf.DUMMYFUNCTION("IMPORTRANGE(""https://docs.google.com/spreadsheets/d/1p7ERhsr0qZeSn-KSOdeHS9r0heI-lHtkcn2OH7hP0jQ/edit?usp=sharing"",""ลำปาง!L660"")"),14000)</f>
        <v>14000</v>
      </c>
      <c r="E26" s="76">
        <f ca="1">IFERROR(__xludf.DUMMYFUNCTION("IMPORTRANGE(""https://docs.google.com/spreadsheets/d/1p7ERhsr0qZeSn-KSOdeHS9r0heI-lHtkcn2OH7hP0jQ/edit?usp=sharing"",""ลำปาง!L667"")"),0)</f>
        <v>0</v>
      </c>
      <c r="F26" s="77">
        <f t="shared" ca="1" si="1"/>
        <v>5780</v>
      </c>
      <c r="G26" s="78">
        <f t="shared" ca="1" si="2"/>
        <v>41.285714285714285</v>
      </c>
      <c r="H26" s="79">
        <f t="shared" ca="1" si="38"/>
        <v>5780</v>
      </c>
      <c r="I26" s="76">
        <f ca="1">IFERROR(__xludf.DUMMYFUNCTION("IMPORTRANGE(""https://docs.google.com/spreadsheets/d/1p7ERhsr0qZeSn-KSOdeHS9r0heI-lHtkcn2OH7hP0jQ/edit?usp=sharing"",""ลำปาง!N661"")"),0)</f>
        <v>0</v>
      </c>
      <c r="J26" s="76">
        <f ca="1">IFERROR(__xludf.DUMMYFUNCTION("IMPORTRANGE(""https://docs.google.com/spreadsheets/d/1p7ERhsr0qZeSn-KSOdeHS9r0heI-lHtkcn2OH7hP0jQ/edit?usp=sharing"",""ลำปาง!N662"")"),0)</f>
        <v>0</v>
      </c>
      <c r="K26" s="76">
        <f ca="1">IFERROR(__xludf.DUMMYFUNCTION("IMPORTRANGE(""https://docs.google.com/spreadsheets/d/1p7ERhsr0qZeSn-KSOdeHS9r0heI-lHtkcn2OH7hP0jQ/edit?usp=sharing"",""ลำปาง!N663"")"),0)</f>
        <v>0</v>
      </c>
      <c r="L26" s="76">
        <f ca="1">IFERROR(__xludf.DUMMYFUNCTION("IMPORTRANGE(""https://docs.google.com/spreadsheets/d/1p7ERhsr0qZeSn-KSOdeHS9r0heI-lHtkcn2OH7hP0jQ/edit?usp=sharing"",""ลำปาง!N664"")"),5780)</f>
        <v>5780</v>
      </c>
      <c r="M26" s="80">
        <f ca="1">IFERROR(__xludf.DUMMYFUNCTION("IMPORTRANGE(""https://docs.google.com/spreadsheets/d/1p7ERhsr0qZeSn-KSOdeHS9r0heI-lHtkcn2OH7hP0jQ/edit?usp=sharing"",""ลำปาง!N667"")"),0)</f>
        <v>0</v>
      </c>
      <c r="N26" s="80">
        <f t="shared" ca="1" si="31"/>
        <v>0</v>
      </c>
      <c r="O26" s="81">
        <f ca="1">IFERROR(__xludf.DUMMYFUNCTION("IMPORTRANGE(""https://docs.google.com/spreadsheets/d/1p7ERhsr0qZeSn-KSOdeHS9r0heI-lHtkcn2OH7hP0jQ/edit?usp=sharing"",""ลำปาง!I669"")"),100)</f>
        <v>100</v>
      </c>
      <c r="P26" s="81">
        <f ca="1">IFERROR(__xludf.DUMMYFUNCTION("IMPORTRANGE(""https://docs.google.com/spreadsheets/d/1p7ERhsr0qZeSn-KSOdeHS9r0heI-lHtkcn2OH7hP0jQ/edit?usp=sharing"",""ลำปาง!J669"")"),0)</f>
        <v>0</v>
      </c>
      <c r="Q26" s="82">
        <f t="shared" ca="1" si="25"/>
        <v>0</v>
      </c>
      <c r="R26" s="81">
        <f ca="1">IFERROR(__xludf.DUMMYFUNCTION("IMPORTRANGE(""https://docs.google.com/spreadsheets/d/1p7ERhsr0qZeSn-KSOdeHS9r0heI-lHtkcn2OH7hP0jQ/edit?usp=sharing"",""ลำปาง!I670"")"),5)</f>
        <v>5</v>
      </c>
      <c r="S26" s="81">
        <f ca="1">IFERROR(__xludf.DUMMYFUNCTION("IMPORTRANGE(""https://docs.google.com/spreadsheets/d/1p7ERhsr0qZeSn-KSOdeHS9r0heI-lHtkcn2OH7hP0jQ/edit?usp=sharing"",""ลำปาง!J670"")"),5)</f>
        <v>5</v>
      </c>
      <c r="T26" s="82">
        <f t="shared" ca="1" si="26"/>
        <v>100</v>
      </c>
      <c r="U26" s="81">
        <f ca="1">IFERROR(__xludf.DUMMYFUNCTION("IMPORTRANGE(""https://docs.google.com/spreadsheets/d/1p7ERhsr0qZeSn-KSOdeHS9r0heI-lHtkcn2OH7hP0jQ/edit?usp=sharing"",""ลำปาง!I671"")"),5)</f>
        <v>5</v>
      </c>
      <c r="V26" s="81">
        <f ca="1">IFERROR(__xludf.DUMMYFUNCTION("IMPORTRANGE(""https://docs.google.com/spreadsheets/d/1p7ERhsr0qZeSn-KSOdeHS9r0heI-lHtkcn2OH7hP0jQ/edit?usp=sharing"",""ลำปาง!J671"")"),5)</f>
        <v>5</v>
      </c>
      <c r="W26" s="82">
        <f t="shared" ca="1" si="27"/>
        <v>100</v>
      </c>
      <c r="X26" s="81">
        <f ca="1">IFERROR(__xludf.DUMMYFUNCTION("IMPORTRANGE(""https://docs.google.com/spreadsheets/d/1p7ERhsr0qZeSn-KSOdeHS9r0heI-lHtkcn2OH7hP0jQ/edit?usp=sharing"",""ลำปาง!J672"")"),0)</f>
        <v>0</v>
      </c>
      <c r="Y26" s="276">
        <f t="shared" ca="1" si="11"/>
        <v>0</v>
      </c>
      <c r="Z26" s="81">
        <f ca="1">IFERROR(__xludf.DUMMYFUNCTION("IMPORTRANGE(""https://docs.google.com/spreadsheets/d/1p7ERhsr0qZeSn-KSOdeHS9r0heI-lHtkcn2OH7hP0jQ/edit?usp=sharing"",""ลำปาง!J673"")"),0)</f>
        <v>0</v>
      </c>
      <c r="AA26" s="276">
        <f t="shared" ca="1" si="12"/>
        <v>0</v>
      </c>
      <c r="AB26" s="276">
        <f ca="1">IFERROR(__xludf.DUMMYFUNCTION("IMPORTRANGE(""https://docs.google.com/spreadsheets/d/1p7ERhsr0qZeSn-KSOdeHS9r0heI-lHtkcn2OH7hP0jQ/edit?usp=sharing"",""ลำปาง!J674"")"),0)</f>
        <v>0</v>
      </c>
      <c r="AC26" s="82">
        <f t="shared" ca="1" si="13"/>
        <v>0</v>
      </c>
      <c r="AD26" s="276">
        <f ca="1">IFERROR(__xludf.DUMMYFUNCTION("IMPORTRANGE(""https://docs.google.com/spreadsheets/d/1p7ERhsr0qZeSn-KSOdeHS9r0heI-lHtkcn2OH7hP0jQ/edit?usp=sharing"",""ลำปาง!J675"")"),0)</f>
        <v>0</v>
      </c>
      <c r="AE26" s="82">
        <f t="shared" ca="1" si="22"/>
        <v>0</v>
      </c>
      <c r="AF26" s="276">
        <f ca="1">IFERROR(__xludf.DUMMYFUNCTION("IMPORTRANGE(""https://docs.google.com/spreadsheets/d/1p7ERhsr0qZeSn-KSOdeHS9r0heI-lHtkcn2OH7hP0jQ/edit?usp=sharing"",""ลำปาง!J676"")"),0)</f>
        <v>0</v>
      </c>
      <c r="AG26" s="276">
        <f ca="1">IFERROR(__xludf.DUMMYFUNCTION("IMPORTRANGE(""https://docs.google.com/spreadsheets/d/1p7ERhsr0qZeSn-KSOdeHS9r0heI-lHtkcn2OH7hP0jQ/edit?usp=sharing"",""ลำปาง!J677"")"),0)</f>
        <v>0</v>
      </c>
      <c r="AH26" s="81">
        <f ca="1">IFERROR(__xludf.DUMMYFUNCTION("IMPORTRANGE(""https://docs.google.com/spreadsheets/d/1p7ERhsr0qZeSn-KSOdeHS9r0heI-lHtkcn2OH7hP0jQ/edit?usp=sharing"",""ลำปาง!I678"")"),0)</f>
        <v>0</v>
      </c>
      <c r="AI26" s="81">
        <f ca="1">IFERROR(__xludf.DUMMYFUNCTION("IMPORTRANGE(""https://docs.google.com/spreadsheets/d/1p7ERhsr0qZeSn-KSOdeHS9r0heI-lHtkcn2OH7hP0jQ/edit?usp=sharing"",""ลำปาง!J678"")"),0)</f>
        <v>0</v>
      </c>
      <c r="AJ26" s="82">
        <f t="shared" ca="1" si="28"/>
        <v>0</v>
      </c>
      <c r="AK26" s="81">
        <f ca="1">IFERROR(__xludf.DUMMYFUNCTION("IMPORTRANGE(""https://docs.google.com/spreadsheets/d/1p7ERhsr0qZeSn-KSOdeHS9r0heI-lHtkcn2OH7hP0jQ/edit?usp=sharing"",""ลำปาง!J679"")"),0)</f>
        <v>0</v>
      </c>
      <c r="AL26" s="81">
        <f ca="1">IFERROR(__xludf.DUMMYFUNCTION("IMPORTRANGE(""https://docs.google.com/spreadsheets/d/1p7ERhsr0qZeSn-KSOdeHS9r0heI-lHtkcn2OH7hP0jQ/edit?usp=sharing"",""ลำปาง!J680"")"),0)</f>
        <v>0</v>
      </c>
      <c r="AM26" s="81">
        <f ca="1">IFERROR(__xludf.DUMMYFUNCTION("IMPORTRANGE(""https://docs.google.com/spreadsheets/d/1p7ERhsr0qZeSn-KSOdeHS9r0heI-lHtkcn2OH7hP0jQ/edit?usp=sharing"",""ลำปาง!J681"")"),0)</f>
        <v>0</v>
      </c>
      <c r="AN26" s="81">
        <f ca="1">IFERROR(__xludf.DUMMYFUNCTION("IMPORTRANGE(""https://docs.google.com/spreadsheets/d/1p7ERhsr0qZeSn-KSOdeHS9r0heI-lHtkcn2OH7hP0jQ/edit?usp=sharing"",""ลำปาง!J682"")"),0)</f>
        <v>0</v>
      </c>
      <c r="AO26" s="81">
        <f ca="1">IFERROR(__xludf.DUMMYFUNCTION("IMPORTRANGE(""https://docs.google.com/spreadsheets/d/1p7ERhsr0qZeSn-KSOdeHS9r0heI-lHtkcn2OH7hP0jQ/edit?usp=sharing"",""ลำปาง!J683"")"),0)</f>
        <v>0</v>
      </c>
    </row>
    <row r="27" spans="1:41" ht="24" customHeight="1" x14ac:dyDescent="0.2">
      <c r="A27" s="72">
        <v>14</v>
      </c>
      <c r="B27" s="73" t="s">
        <v>44</v>
      </c>
      <c r="C27" s="74">
        <f t="shared" ca="1" si="37"/>
        <v>18400</v>
      </c>
      <c r="D27" s="75">
        <f ca="1">IFERROR(__xludf.DUMMYFUNCTION("IMPORTRANGE(""https://docs.google.com/spreadsheets/d/1-uUXvimVhiU2U0bMN-xi2te0tS4X7DI2GLPnMjzl8cA/edit?usp=sharing"",""ลำพูน!L660"")"),18400)</f>
        <v>18400</v>
      </c>
      <c r="E27" s="76">
        <f ca="1">IFERROR(__xludf.DUMMYFUNCTION("IMPORTRANGE(""https://docs.google.com/spreadsheets/d/1-uUXvimVhiU2U0bMN-xi2te0tS4X7DI2GLPnMjzl8cA/edit?usp=sharing"",""ลำพูน!L667"")"),0)</f>
        <v>0</v>
      </c>
      <c r="F27" s="77">
        <f t="shared" ca="1" si="1"/>
        <v>2000</v>
      </c>
      <c r="G27" s="78">
        <f t="shared" ca="1" si="2"/>
        <v>10.869565217391305</v>
      </c>
      <c r="H27" s="79">
        <f t="shared" ca="1" si="38"/>
        <v>2000</v>
      </c>
      <c r="I27" s="76">
        <f ca="1">IFERROR(__xludf.DUMMYFUNCTION("IMPORTRANGE(""https://docs.google.com/spreadsheets/d/1-uUXvimVhiU2U0bMN-xi2te0tS4X7DI2GLPnMjzl8cA/edit?usp=sharing"",""ลำพูน!N661"")"),0)</f>
        <v>0</v>
      </c>
      <c r="J27" s="76">
        <f ca="1">IFERROR(__xludf.DUMMYFUNCTION("IMPORTRANGE(""https://docs.google.com/spreadsheets/d/1-uUXvimVhiU2U0bMN-xi2te0tS4X7DI2GLPnMjzl8cA/edit?usp=sharing"",""ลำพูน!N662"")"),0)</f>
        <v>0</v>
      </c>
      <c r="K27" s="76">
        <f ca="1">IFERROR(__xludf.DUMMYFUNCTION("IMPORTRANGE(""https://docs.google.com/spreadsheets/d/1-uUXvimVhiU2U0bMN-xi2te0tS4X7DI2GLPnMjzl8cA/edit?usp=sharing"",""ลำพูน!N663"")"),0)</f>
        <v>0</v>
      </c>
      <c r="L27" s="76">
        <f ca="1">IFERROR(__xludf.DUMMYFUNCTION("IMPORTRANGE(""https://docs.google.com/spreadsheets/d/1-uUXvimVhiU2U0bMN-xi2te0tS4X7DI2GLPnMjzl8cA/edit?usp=sharing"",""ลำพูน!N664"")"),2000)</f>
        <v>2000</v>
      </c>
      <c r="M27" s="80">
        <f ca="1">IFERROR(__xludf.DUMMYFUNCTION("IMPORTRANGE(""https://docs.google.com/spreadsheets/d/1-uUXvimVhiU2U0bMN-xi2te0tS4X7DI2GLPnMjzl8cA/edit?usp=sharing"",""ลำพูน!N667"")"),0)</f>
        <v>0</v>
      </c>
      <c r="N27" s="80">
        <f t="shared" ca="1" si="31"/>
        <v>0</v>
      </c>
      <c r="O27" s="81">
        <f ca="1">IFERROR(__xludf.DUMMYFUNCTION("IMPORTRANGE(""https://docs.google.com/spreadsheets/d/1-uUXvimVhiU2U0bMN-xi2te0tS4X7DI2GLPnMjzl8cA/edit?usp=sharing"",""ลำพูน!I669"")"),200)</f>
        <v>200</v>
      </c>
      <c r="P27" s="81">
        <f ca="1">IFERROR(__xludf.DUMMYFUNCTION("IMPORTRANGE(""https://docs.google.com/spreadsheets/d/1-uUXvimVhiU2U0bMN-xi2te0tS4X7DI2GLPnMjzl8cA/edit?usp=sharing"",""ลำพูน!J669"")"),0)</f>
        <v>0</v>
      </c>
      <c r="Q27" s="82">
        <f t="shared" ca="1" si="25"/>
        <v>0</v>
      </c>
      <c r="R27" s="81">
        <f ca="1">IFERROR(__xludf.DUMMYFUNCTION("IMPORTRANGE(""https://docs.google.com/spreadsheets/d/1-uUXvimVhiU2U0bMN-xi2te0tS4X7DI2GLPnMjzl8cA/edit?usp=sharing"",""ลำพูน!I670"")"),4)</f>
        <v>4</v>
      </c>
      <c r="S27" s="81">
        <f ca="1">IFERROR(__xludf.DUMMYFUNCTION("IMPORTRANGE(""https://docs.google.com/spreadsheets/d/1-uUXvimVhiU2U0bMN-xi2te0tS4X7DI2GLPnMjzl8cA/edit?usp=sharing"",""ลำพูน!J670"")"),4)</f>
        <v>4</v>
      </c>
      <c r="T27" s="82">
        <f t="shared" ca="1" si="26"/>
        <v>100</v>
      </c>
      <c r="U27" s="81">
        <f ca="1">IFERROR(__xludf.DUMMYFUNCTION("IMPORTRANGE(""https://docs.google.com/spreadsheets/d/1-uUXvimVhiU2U0bMN-xi2te0tS4X7DI2GLPnMjzl8cA/edit?usp=sharing"",""ลำพูน!I671"")"),4)</f>
        <v>4</v>
      </c>
      <c r="V27" s="81">
        <f ca="1">IFERROR(__xludf.DUMMYFUNCTION("IMPORTRANGE(""https://docs.google.com/spreadsheets/d/1-uUXvimVhiU2U0bMN-xi2te0tS4X7DI2GLPnMjzl8cA/edit?usp=sharing"",""ลำพูน!J671"")"),4)</f>
        <v>4</v>
      </c>
      <c r="W27" s="82">
        <f t="shared" ca="1" si="27"/>
        <v>100</v>
      </c>
      <c r="X27" s="81">
        <f ca="1">IFERROR(__xludf.DUMMYFUNCTION("IMPORTRANGE(""https://docs.google.com/spreadsheets/d/1-uUXvimVhiU2U0bMN-xi2te0tS4X7DI2GLPnMjzl8cA/edit?usp=sharing"",""ลำพูน!J672"")"),646.95)</f>
        <v>646.95000000000005</v>
      </c>
      <c r="Y27" s="276">
        <f t="shared" ca="1" si="11"/>
        <v>323.47500000000002</v>
      </c>
      <c r="Z27" s="81">
        <f ca="1">IFERROR(__xludf.DUMMYFUNCTION("IMPORTRANGE(""https://docs.google.com/spreadsheets/d/1-uUXvimVhiU2U0bMN-xi2te0tS4X7DI2GLPnMjzl8cA/edit?usp=sharing"",""ลำพูน!J673"")"),0)</f>
        <v>0</v>
      </c>
      <c r="AA27" s="276">
        <f t="shared" ca="1" si="12"/>
        <v>0</v>
      </c>
      <c r="AB27" s="276">
        <f ca="1">IFERROR(__xludf.DUMMYFUNCTION("IMPORTRANGE(""https://docs.google.com/spreadsheets/d/1-uUXvimVhiU2U0bMN-xi2te0tS4X7DI2GLPnMjzl8cA/edit?usp=sharing"",""ลำพูน!J674"")"),0)</f>
        <v>0</v>
      </c>
      <c r="AC27" s="82">
        <f t="shared" ca="1" si="13"/>
        <v>0</v>
      </c>
      <c r="AD27" s="276">
        <f ca="1">IFERROR(__xludf.DUMMYFUNCTION("IMPORTRANGE(""https://docs.google.com/spreadsheets/d/1-uUXvimVhiU2U0bMN-xi2te0tS4X7DI2GLPnMjzl8cA/edit?usp=sharing"",""ลำพูน!J675"")"),0)</f>
        <v>0</v>
      </c>
      <c r="AE27" s="82">
        <f t="shared" ca="1" si="22"/>
        <v>0</v>
      </c>
      <c r="AF27" s="276">
        <f ca="1">IFERROR(__xludf.DUMMYFUNCTION("IMPORTRANGE(""https://docs.google.com/spreadsheets/d/1-uUXvimVhiU2U0bMN-xi2te0tS4X7DI2GLPnMjzl8cA/edit?usp=sharing"",""ลำพูน!J676"")"),0)</f>
        <v>0</v>
      </c>
      <c r="AG27" s="276">
        <f ca="1">IFERROR(__xludf.DUMMYFUNCTION("IMPORTRANGE(""https://docs.google.com/spreadsheets/d/1-uUXvimVhiU2U0bMN-xi2te0tS4X7DI2GLPnMjzl8cA/edit?usp=sharing"",""ลำพูน!J677"")"),0)</f>
        <v>0</v>
      </c>
      <c r="AH27" s="81">
        <f ca="1">IFERROR(__xludf.DUMMYFUNCTION("IMPORTRANGE(""https://docs.google.com/spreadsheets/d/1-uUXvimVhiU2U0bMN-xi2te0tS4X7DI2GLPnMjzl8cA/edit?usp=sharing"",""ลำพูน!I678"")"),0)</f>
        <v>0</v>
      </c>
      <c r="AI27" s="81">
        <f ca="1">IFERROR(__xludf.DUMMYFUNCTION("IMPORTRANGE(""https://docs.google.com/spreadsheets/d/1-uUXvimVhiU2U0bMN-xi2te0tS4X7DI2GLPnMjzl8cA/edit?usp=sharing"",""ลำพูน!J678"")"),0)</f>
        <v>0</v>
      </c>
      <c r="AJ27" s="82">
        <f t="shared" ca="1" si="28"/>
        <v>0</v>
      </c>
      <c r="AK27" s="81">
        <f ca="1">IFERROR(__xludf.DUMMYFUNCTION("IMPORTRANGE(""https://docs.google.com/spreadsheets/d/1-uUXvimVhiU2U0bMN-xi2te0tS4X7DI2GLPnMjzl8cA/edit?usp=sharing"",""ลำพูน!J679"")"),0)</f>
        <v>0</v>
      </c>
      <c r="AL27" s="81">
        <f ca="1">IFERROR(__xludf.DUMMYFUNCTION("IMPORTRANGE(""https://docs.google.com/spreadsheets/d/1-uUXvimVhiU2U0bMN-xi2te0tS4X7DI2GLPnMjzl8cA/edit?usp=sharing"",""ลำพูน!J680"")"),0)</f>
        <v>0</v>
      </c>
      <c r="AM27" s="81">
        <f ca="1">IFERROR(__xludf.DUMMYFUNCTION("IMPORTRANGE(""https://docs.google.com/spreadsheets/d/1-uUXvimVhiU2U0bMN-xi2te0tS4X7DI2GLPnMjzl8cA/edit?usp=sharing"",""ลำพูน!J681"")"),0)</f>
        <v>0</v>
      </c>
      <c r="AN27" s="81">
        <f ca="1">IFERROR(__xludf.DUMMYFUNCTION("IMPORTRANGE(""https://docs.google.com/spreadsheets/d/1-uUXvimVhiU2U0bMN-xi2te0tS4X7DI2GLPnMjzl8cA/edit?usp=sharing"",""ลำพูน!J682"")"),0)</f>
        <v>0</v>
      </c>
      <c r="AO27" s="81">
        <f ca="1">IFERROR(__xludf.DUMMYFUNCTION("IMPORTRANGE(""https://docs.google.com/spreadsheets/d/1-uUXvimVhiU2U0bMN-xi2te0tS4X7DI2GLPnMjzl8cA/edit?usp=sharing"",""ลำพูน!J683"")"),0)</f>
        <v>0</v>
      </c>
    </row>
    <row r="28" spans="1:41" ht="24" customHeight="1" x14ac:dyDescent="0.2">
      <c r="A28" s="72">
        <v>15</v>
      </c>
      <c r="B28" s="73" t="s">
        <v>45</v>
      </c>
      <c r="C28" s="74">
        <f t="shared" ca="1" si="37"/>
        <v>12400</v>
      </c>
      <c r="D28" s="75">
        <f ca="1">IFERROR(__xludf.DUMMYFUNCTION("IMPORTRANGE(""https://docs.google.com/spreadsheets/d/17HrOaa5pBUI1onckFfumXB8xlg35qb2uBAFfF1D-Myo/edit?usp=sharing"",""สุโขทัย!L660"")"),12400)</f>
        <v>12400</v>
      </c>
      <c r="E28" s="76">
        <f ca="1">IFERROR(__xludf.DUMMYFUNCTION("IMPORTRANGE(""https://docs.google.com/spreadsheets/d/17HrOaa5pBUI1onckFfumXB8xlg35qb2uBAFfF1D-Myo/edit?usp=sharing"",""สุโขทัย!L667"")"),0)</f>
        <v>0</v>
      </c>
      <c r="F28" s="77">
        <f t="shared" ca="1" si="1"/>
        <v>0</v>
      </c>
      <c r="G28" s="78">
        <f t="shared" ca="1" si="2"/>
        <v>0</v>
      </c>
      <c r="H28" s="79">
        <f t="shared" ca="1" si="38"/>
        <v>0</v>
      </c>
      <c r="I28" s="76">
        <f ca="1">IFERROR(__xludf.DUMMYFUNCTION("IMPORTRANGE(""https://docs.google.com/spreadsheets/d/17HrOaa5pBUI1onckFfumXB8xlg35qb2uBAFfF1D-Myo/edit?usp=sharing"",""สุโขทัย!N661"")"),0)</f>
        <v>0</v>
      </c>
      <c r="J28" s="76">
        <f ca="1">IFERROR(__xludf.DUMMYFUNCTION("IMPORTRANGE(""https://docs.google.com/spreadsheets/d/17HrOaa5pBUI1onckFfumXB8xlg35qb2uBAFfF1D-Myo/edit?usp=sharing"",""สุโขทัย!N662"")"),0)</f>
        <v>0</v>
      </c>
      <c r="K28" s="76">
        <f ca="1">IFERROR(__xludf.DUMMYFUNCTION("IMPORTRANGE(""https://docs.google.com/spreadsheets/d/17HrOaa5pBUI1onckFfumXB8xlg35qb2uBAFfF1D-Myo/edit?usp=sharing"",""สุโขทัย!N663"")"),0)</f>
        <v>0</v>
      </c>
      <c r="L28" s="76">
        <f ca="1">IFERROR(__xludf.DUMMYFUNCTION("IMPORTRANGE(""https://docs.google.com/spreadsheets/d/17HrOaa5pBUI1onckFfumXB8xlg35qb2uBAFfF1D-Myo/edit?usp=sharing"",""สุโขทัย!N664"")"),0)</f>
        <v>0</v>
      </c>
      <c r="M28" s="80">
        <f ca="1">IFERROR(__xludf.DUMMYFUNCTION("IMPORTRANGE(""https://docs.google.com/spreadsheets/d/17HrOaa5pBUI1onckFfumXB8xlg35qb2uBAFfF1D-Myo/edit?usp=sharing"",""สุโขทัย!N667"")"),0)</f>
        <v>0</v>
      </c>
      <c r="N28" s="80">
        <f t="shared" ca="1" si="31"/>
        <v>0</v>
      </c>
      <c r="O28" s="81">
        <f ca="1">IFERROR(__xludf.DUMMYFUNCTION("IMPORTRANGE(""https://docs.google.com/spreadsheets/d/17HrOaa5pBUI1onckFfumXB8xlg35qb2uBAFfF1D-Myo/edit?usp=sharing"",""สุโขทัย!I669"")"),100)</f>
        <v>100</v>
      </c>
      <c r="P28" s="81">
        <f ca="1">IFERROR(__xludf.DUMMYFUNCTION("IMPORTRANGE(""https://docs.google.com/spreadsheets/d/17HrOaa5pBUI1onckFfumXB8xlg35qb2uBAFfF1D-Myo/edit?usp=sharing"",""สุโขทัย!J669"")"),0)</f>
        <v>0</v>
      </c>
      <c r="Q28" s="82">
        <f t="shared" ca="1" si="25"/>
        <v>0</v>
      </c>
      <c r="R28" s="81">
        <f ca="1">IFERROR(__xludf.DUMMYFUNCTION("IMPORTRANGE(""https://docs.google.com/spreadsheets/d/17HrOaa5pBUI1onckFfumXB8xlg35qb2uBAFfF1D-Myo/edit?usp=sharing"",""สุโขทัย!I670"")"),4)</f>
        <v>4</v>
      </c>
      <c r="S28" s="81">
        <f ca="1">IFERROR(__xludf.DUMMYFUNCTION("IMPORTRANGE(""https://docs.google.com/spreadsheets/d/17HrOaa5pBUI1onckFfumXB8xlg35qb2uBAFfF1D-Myo/edit?usp=sharing"",""สุโขทัย!J670"")"),4)</f>
        <v>4</v>
      </c>
      <c r="T28" s="82">
        <f t="shared" ca="1" si="26"/>
        <v>100</v>
      </c>
      <c r="U28" s="81">
        <f ca="1">IFERROR(__xludf.DUMMYFUNCTION("IMPORTRANGE(""https://docs.google.com/spreadsheets/d/17HrOaa5pBUI1onckFfumXB8xlg35qb2uBAFfF1D-Myo/edit?usp=sharing"",""สุโขทัย!I671"")"),4)</f>
        <v>4</v>
      </c>
      <c r="V28" s="81">
        <f ca="1">IFERROR(__xludf.DUMMYFUNCTION("IMPORTRANGE(""https://docs.google.com/spreadsheets/d/17HrOaa5pBUI1onckFfumXB8xlg35qb2uBAFfF1D-Myo/edit?usp=sharing"",""สุโขทัย!J671"")"),7)</f>
        <v>7</v>
      </c>
      <c r="W28" s="82">
        <f t="shared" ca="1" si="27"/>
        <v>175</v>
      </c>
      <c r="X28" s="81">
        <f ca="1">IFERROR(__xludf.DUMMYFUNCTION("IMPORTRANGE(""https://docs.google.com/spreadsheets/d/17HrOaa5pBUI1onckFfumXB8xlg35qb2uBAFfF1D-Myo/edit?usp=sharing"",""สุโขทัย!J672"")"),0)</f>
        <v>0</v>
      </c>
      <c r="Y28" s="276">
        <f t="shared" ca="1" si="11"/>
        <v>0</v>
      </c>
      <c r="Z28" s="81">
        <f ca="1">IFERROR(__xludf.DUMMYFUNCTION("IMPORTRANGE(""https://docs.google.com/spreadsheets/d/17HrOaa5pBUI1onckFfumXB8xlg35qb2uBAFfF1D-Myo/edit?usp=sharing"",""สุโขทัย!J673"")"),0)</f>
        <v>0</v>
      </c>
      <c r="AA28" s="276">
        <f t="shared" ca="1" si="12"/>
        <v>0</v>
      </c>
      <c r="AB28" s="276">
        <f ca="1">IFERROR(__xludf.DUMMYFUNCTION("IMPORTRANGE(""https://docs.google.com/spreadsheets/d/17HrOaa5pBUI1onckFfumXB8xlg35qb2uBAFfF1D-Myo/edit?usp=sharing"",""สุโขทัย!J674"")"),0)</f>
        <v>0</v>
      </c>
      <c r="AC28" s="82">
        <f t="shared" ca="1" si="13"/>
        <v>0</v>
      </c>
      <c r="AD28" s="276">
        <f ca="1">IFERROR(__xludf.DUMMYFUNCTION("IMPORTRANGE(""https://docs.google.com/spreadsheets/d/17HrOaa5pBUI1onckFfumXB8xlg35qb2uBAFfF1D-Myo/edit?usp=sharing"",""สุโขทัย!J675"")"),0)</f>
        <v>0</v>
      </c>
      <c r="AE28" s="82">
        <f t="shared" ca="1" si="22"/>
        <v>0</v>
      </c>
      <c r="AF28" s="276">
        <f ca="1">IFERROR(__xludf.DUMMYFUNCTION("IMPORTRANGE(""https://docs.google.com/spreadsheets/d/17HrOaa5pBUI1onckFfumXB8xlg35qb2uBAFfF1D-Myo/edit?usp=sharing"",""สุโขทัย!J676"")"),0)</f>
        <v>0</v>
      </c>
      <c r="AG28" s="276">
        <f ca="1">IFERROR(__xludf.DUMMYFUNCTION("IMPORTRANGE(""https://docs.google.com/spreadsheets/d/17HrOaa5pBUI1onckFfumXB8xlg35qb2uBAFfF1D-Myo/edit?usp=sharing"",""สุโขทัย!J677"")"),0)</f>
        <v>0</v>
      </c>
      <c r="AH28" s="81">
        <f ca="1">IFERROR(__xludf.DUMMYFUNCTION("IMPORTRANGE(""https://docs.google.com/spreadsheets/d/17HrOaa5pBUI1onckFfumXB8xlg35qb2uBAFfF1D-Myo/edit?usp=sharing"",""สุโขทัย!I678"")"),0)</f>
        <v>0</v>
      </c>
      <c r="AI28" s="81">
        <f ca="1">IFERROR(__xludf.DUMMYFUNCTION("IMPORTRANGE(""https://docs.google.com/spreadsheets/d/17HrOaa5pBUI1onckFfumXB8xlg35qb2uBAFfF1D-Myo/edit?usp=sharing"",""สุโขทัย!J678"")"),0)</f>
        <v>0</v>
      </c>
      <c r="AJ28" s="82">
        <f t="shared" ca="1" si="28"/>
        <v>0</v>
      </c>
      <c r="AK28" s="81">
        <f ca="1">IFERROR(__xludf.DUMMYFUNCTION("IMPORTRANGE(""https://docs.google.com/spreadsheets/d/17HrOaa5pBUI1onckFfumXB8xlg35qb2uBAFfF1D-Myo/edit?usp=sharing"",""สุโขทัย!J679"")"),0)</f>
        <v>0</v>
      </c>
      <c r="AL28" s="81">
        <f ca="1">IFERROR(__xludf.DUMMYFUNCTION("IMPORTRANGE(""https://docs.google.com/spreadsheets/d/17HrOaa5pBUI1onckFfumXB8xlg35qb2uBAFfF1D-Myo/edit?usp=sharing"",""สุโขทัย!J680"")"),0)</f>
        <v>0</v>
      </c>
      <c r="AM28" s="81">
        <f ca="1">IFERROR(__xludf.DUMMYFUNCTION("IMPORTRANGE(""https://docs.google.com/spreadsheets/d/17HrOaa5pBUI1onckFfumXB8xlg35qb2uBAFfF1D-Myo/edit?usp=sharing"",""สุโขทัย!J681"")"),0)</f>
        <v>0</v>
      </c>
      <c r="AN28" s="81">
        <f ca="1">IFERROR(__xludf.DUMMYFUNCTION("IMPORTRANGE(""https://docs.google.com/spreadsheets/d/17HrOaa5pBUI1onckFfumXB8xlg35qb2uBAFfF1D-Myo/edit?usp=sharing"",""สุโขทัย!J682"")"),0)</f>
        <v>0</v>
      </c>
      <c r="AO28" s="81">
        <f ca="1">IFERROR(__xludf.DUMMYFUNCTION("IMPORTRANGE(""https://docs.google.com/spreadsheets/d/17HrOaa5pBUI1onckFfumXB8xlg35qb2uBAFfF1D-Myo/edit?usp=sharing"",""สุโขทัย!J683"")"),0)</f>
        <v>0</v>
      </c>
    </row>
    <row r="29" spans="1:41" ht="24" customHeight="1" x14ac:dyDescent="0.2">
      <c r="A29" s="72">
        <v>16</v>
      </c>
      <c r="B29" s="73" t="s">
        <v>46</v>
      </c>
      <c r="C29" s="74">
        <f t="shared" ca="1" si="37"/>
        <v>9400</v>
      </c>
      <c r="D29" s="75">
        <f ca="1">IFERROR(__xludf.DUMMYFUNCTION("IMPORTRANGE(""https://docs.google.com/spreadsheets/d/1ubs5cl16eYL9gHbdHTJtmtYb9MGzHBs7CAphn8kNCgM/edit?usp=sharing"",""อุตรดิตถ์!L660"")"),9400)</f>
        <v>9400</v>
      </c>
      <c r="E29" s="76">
        <f ca="1">IFERROR(__xludf.DUMMYFUNCTION("IMPORTRANGE(""https://docs.google.com/spreadsheets/d/1ubs5cl16eYL9gHbdHTJtmtYb9MGzHBs7CAphn8kNCgM/edit?usp=sharing"",""อุตรดิตถ์!L667"")"),0)</f>
        <v>0</v>
      </c>
      <c r="F29" s="77">
        <f t="shared" ca="1" si="1"/>
        <v>2500</v>
      </c>
      <c r="G29" s="78">
        <f t="shared" ca="1" si="2"/>
        <v>26.595744680851062</v>
      </c>
      <c r="H29" s="79">
        <f t="shared" ca="1" si="38"/>
        <v>2500</v>
      </c>
      <c r="I29" s="76">
        <f ca="1">IFERROR(__xludf.DUMMYFUNCTION("IMPORTRANGE(""https://docs.google.com/spreadsheets/d/1ubs5cl16eYL9gHbdHTJtmtYb9MGzHBs7CAphn8kNCgM/edit?usp=sharing"",""อุตรดิตถ์!N661"")"),0)</f>
        <v>0</v>
      </c>
      <c r="J29" s="76">
        <f ca="1">IFERROR(__xludf.DUMMYFUNCTION("IMPORTRANGE(""https://docs.google.com/spreadsheets/d/1ubs5cl16eYL9gHbdHTJtmtYb9MGzHBs7CAphn8kNCgM/edit?usp=sharing"",""อุตรดิตถ์!N662"")"),0)</f>
        <v>0</v>
      </c>
      <c r="K29" s="76">
        <f ca="1">IFERROR(__xludf.DUMMYFUNCTION("IMPORTRANGE(""https://docs.google.com/spreadsheets/d/1ubs5cl16eYL9gHbdHTJtmtYb9MGzHBs7CAphn8kNCgM/edit?usp=sharing"",""อุตรดิตถ์!N663"")"),0)</f>
        <v>0</v>
      </c>
      <c r="L29" s="76">
        <f ca="1">IFERROR(__xludf.DUMMYFUNCTION("IMPORTRANGE(""https://docs.google.com/spreadsheets/d/1ubs5cl16eYL9gHbdHTJtmtYb9MGzHBs7CAphn8kNCgM/edit?usp=sharing"",""อุตรดิตถ์!N664"")"),2500)</f>
        <v>2500</v>
      </c>
      <c r="M29" s="80">
        <f ca="1">IFERROR(__xludf.DUMMYFUNCTION("IMPORTRANGE(""https://docs.google.com/spreadsheets/d/1ubs5cl16eYL9gHbdHTJtmtYb9MGzHBs7CAphn8kNCgM/edit?usp=sharing"",""อุตรดิตถ์!N667"")"),0)</f>
        <v>0</v>
      </c>
      <c r="N29" s="80">
        <f t="shared" ca="1" si="31"/>
        <v>0</v>
      </c>
      <c r="O29" s="81">
        <f ca="1">IFERROR(__xludf.DUMMYFUNCTION("IMPORTRANGE(""https://docs.google.com/spreadsheets/d/1ubs5cl16eYL9gHbdHTJtmtYb9MGzHBs7CAphn8kNCgM/edit?usp=sharing"",""อุตรดิตถ์!I669"")"),50)</f>
        <v>50</v>
      </c>
      <c r="P29" s="81">
        <f ca="1">IFERROR(__xludf.DUMMYFUNCTION("IMPORTRANGE(""https://docs.google.com/spreadsheets/d/1ubs5cl16eYL9gHbdHTJtmtYb9MGzHBs7CAphn8kNCgM/edit?usp=sharing"",""อุตรดิตถ์!J669"")"),0)</f>
        <v>0</v>
      </c>
      <c r="Q29" s="82">
        <f t="shared" ca="1" si="25"/>
        <v>0</v>
      </c>
      <c r="R29" s="81">
        <f ca="1">IFERROR(__xludf.DUMMYFUNCTION("IMPORTRANGE(""https://docs.google.com/spreadsheets/d/1ubs5cl16eYL9gHbdHTJtmtYb9MGzHBs7CAphn8kNCgM/edit?usp=sharing"",""อุตรดิตถ์!I670"")"),4)</f>
        <v>4</v>
      </c>
      <c r="S29" s="81">
        <f ca="1">IFERROR(__xludf.DUMMYFUNCTION("IMPORTRANGE(""https://docs.google.com/spreadsheets/d/1ubs5cl16eYL9gHbdHTJtmtYb9MGzHBs7CAphn8kNCgM/edit?usp=sharing"",""อุตรดิตถ์!J670"")"),5)</f>
        <v>5</v>
      </c>
      <c r="T29" s="82">
        <f t="shared" ca="1" si="26"/>
        <v>125</v>
      </c>
      <c r="U29" s="81">
        <f ca="1">IFERROR(__xludf.DUMMYFUNCTION("IMPORTRANGE(""https://docs.google.com/spreadsheets/d/1ubs5cl16eYL9gHbdHTJtmtYb9MGzHBs7CAphn8kNCgM/edit?usp=sharing"",""อุตรดิตถ์!I671"")"),4)</f>
        <v>4</v>
      </c>
      <c r="V29" s="81">
        <f ca="1">IFERROR(__xludf.DUMMYFUNCTION("IMPORTRANGE(""https://docs.google.com/spreadsheets/d/1ubs5cl16eYL9gHbdHTJtmtYb9MGzHBs7CAphn8kNCgM/edit?usp=sharing"",""อุตรดิตถ์!J671"")"),5)</f>
        <v>5</v>
      </c>
      <c r="W29" s="82">
        <f t="shared" ca="1" si="27"/>
        <v>125</v>
      </c>
      <c r="X29" s="81">
        <f ca="1">IFERROR(__xludf.DUMMYFUNCTION("IMPORTRANGE(""https://docs.google.com/spreadsheets/d/1ubs5cl16eYL9gHbdHTJtmtYb9MGzHBs7CAphn8kNCgM/edit?usp=sharing"",""อุตรดิตถ์!J672"")"),0)</f>
        <v>0</v>
      </c>
      <c r="Y29" s="276">
        <f t="shared" ca="1" si="11"/>
        <v>0</v>
      </c>
      <c r="Z29" s="81">
        <f ca="1">IFERROR(__xludf.DUMMYFUNCTION("IMPORTRANGE(""https://docs.google.com/spreadsheets/d/1ubs5cl16eYL9gHbdHTJtmtYb9MGzHBs7CAphn8kNCgM/edit?usp=sharing"",""อุตรดิตถ์!J673"")"),0)</f>
        <v>0</v>
      </c>
      <c r="AA29" s="276">
        <f t="shared" ca="1" si="12"/>
        <v>0</v>
      </c>
      <c r="AB29" s="276">
        <f ca="1">IFERROR(__xludf.DUMMYFUNCTION("IMPORTRANGE(""https://docs.google.com/spreadsheets/d/1ubs5cl16eYL9gHbdHTJtmtYb9MGzHBs7CAphn8kNCgM/edit?usp=sharing"",""อุตรดิตถ์!J674"")"),0)</f>
        <v>0</v>
      </c>
      <c r="AC29" s="82">
        <f t="shared" ca="1" si="13"/>
        <v>0</v>
      </c>
      <c r="AD29" s="276">
        <f ca="1">IFERROR(__xludf.DUMMYFUNCTION("IMPORTRANGE(""https://docs.google.com/spreadsheets/d/1ubs5cl16eYL9gHbdHTJtmtYb9MGzHBs7CAphn8kNCgM/edit?usp=sharing"",""อุตรดิตถ์!J675"")"),0)</f>
        <v>0</v>
      </c>
      <c r="AE29" s="82">
        <f t="shared" ca="1" si="22"/>
        <v>0</v>
      </c>
      <c r="AF29" s="276">
        <f ca="1">IFERROR(__xludf.DUMMYFUNCTION("IMPORTRANGE(""https://docs.google.com/spreadsheets/d/1ubs5cl16eYL9gHbdHTJtmtYb9MGzHBs7CAphn8kNCgM/edit?usp=sharing"",""อุตรดิตถ์!J676"")"),0)</f>
        <v>0</v>
      </c>
      <c r="AG29" s="276">
        <f ca="1">IFERROR(__xludf.DUMMYFUNCTION("IMPORTRANGE(""https://docs.google.com/spreadsheets/d/1ubs5cl16eYL9gHbdHTJtmtYb9MGzHBs7CAphn8kNCgM/edit?usp=sharing"",""อุตรดิตถ์!J677"")"),0)</f>
        <v>0</v>
      </c>
      <c r="AH29" s="81">
        <f ca="1">IFERROR(__xludf.DUMMYFUNCTION("IMPORTRANGE(""https://docs.google.com/spreadsheets/d/1ubs5cl16eYL9gHbdHTJtmtYb9MGzHBs7CAphn8kNCgM/edit?usp=sharing"",""อุตรดิตถ์!I678"")"),0)</f>
        <v>0</v>
      </c>
      <c r="AI29" s="81">
        <f ca="1">IFERROR(__xludf.DUMMYFUNCTION("IMPORTRANGE(""https://docs.google.com/spreadsheets/d/1ubs5cl16eYL9gHbdHTJtmtYb9MGzHBs7CAphn8kNCgM/edit?usp=sharing"",""อุตรดิตถ์!J678"")"),0)</f>
        <v>0</v>
      </c>
      <c r="AJ29" s="82">
        <f t="shared" ca="1" si="28"/>
        <v>0</v>
      </c>
      <c r="AK29" s="81">
        <f ca="1">IFERROR(__xludf.DUMMYFUNCTION("IMPORTRANGE(""https://docs.google.com/spreadsheets/d/1ubs5cl16eYL9gHbdHTJtmtYb9MGzHBs7CAphn8kNCgM/edit?usp=sharing"",""อุตรดิตถ์!J679"")"),0)</f>
        <v>0</v>
      </c>
      <c r="AL29" s="81">
        <f ca="1">IFERROR(__xludf.DUMMYFUNCTION("IMPORTRANGE(""https://docs.google.com/spreadsheets/d/1ubs5cl16eYL9gHbdHTJtmtYb9MGzHBs7CAphn8kNCgM/edit?usp=sharing"",""อุตรดิตถ์!J680"")"),0)</f>
        <v>0</v>
      </c>
      <c r="AM29" s="81">
        <f ca="1">IFERROR(__xludf.DUMMYFUNCTION("IMPORTRANGE(""https://docs.google.com/spreadsheets/d/1ubs5cl16eYL9gHbdHTJtmtYb9MGzHBs7CAphn8kNCgM/edit?usp=sharing"",""อุตรดิตถ์!J681"")"),0)</f>
        <v>0</v>
      </c>
      <c r="AN29" s="81">
        <f ca="1">IFERROR(__xludf.DUMMYFUNCTION("IMPORTRANGE(""https://docs.google.com/spreadsheets/d/1ubs5cl16eYL9gHbdHTJtmtYb9MGzHBs7CAphn8kNCgM/edit?usp=sharing"",""อุตรดิตถ์!J682"")"),0)</f>
        <v>0</v>
      </c>
      <c r="AO29" s="81">
        <f ca="1">IFERROR(__xludf.DUMMYFUNCTION("IMPORTRANGE(""https://docs.google.com/spreadsheets/d/1ubs5cl16eYL9gHbdHTJtmtYb9MGzHBs7CAphn8kNCgM/edit?usp=sharing"",""อุตรดิตถ์!J683"")"),0)</f>
        <v>0</v>
      </c>
    </row>
    <row r="30" spans="1:41" ht="24" customHeight="1" x14ac:dyDescent="0.2">
      <c r="A30" s="83">
        <v>17</v>
      </c>
      <c r="B30" s="84" t="s">
        <v>47</v>
      </c>
      <c r="C30" s="85">
        <f t="shared" ca="1" si="37"/>
        <v>12400</v>
      </c>
      <c r="D30" s="86">
        <f ca="1">IFERROR(__xludf.DUMMYFUNCTION("IMPORTRANGE(""https://docs.google.com/spreadsheets/d/1kII0BjS6CtVrBvI8IrytgPdxDrlyQDyigzMsohRtDMs/edit?usp=sharing"",""อุทัยธานี!L660"")"),12400)</f>
        <v>12400</v>
      </c>
      <c r="E30" s="87">
        <f ca="1">IFERROR(__xludf.DUMMYFUNCTION("IMPORTRANGE(""https://docs.google.com/spreadsheets/d/1kII0BjS6CtVrBvI8IrytgPdxDrlyQDyigzMsohRtDMs/edit?usp=sharing"",""อุทัยธานี!L667"")"),0)</f>
        <v>0</v>
      </c>
      <c r="F30" s="88">
        <f t="shared" ca="1" si="1"/>
        <v>4520</v>
      </c>
      <c r="G30" s="89">
        <f t="shared" ca="1" si="2"/>
        <v>36.451612903225808</v>
      </c>
      <c r="H30" s="90">
        <f t="shared" ca="1" si="38"/>
        <v>4520</v>
      </c>
      <c r="I30" s="87">
        <f ca="1">IFERROR(__xludf.DUMMYFUNCTION("IMPORTRANGE(""https://docs.google.com/spreadsheets/d/1kII0BjS6CtVrBvI8IrytgPdxDrlyQDyigzMsohRtDMs/edit?usp=sharing"",""อุทัยธานี!N661"")"),0)</f>
        <v>0</v>
      </c>
      <c r="J30" s="87">
        <f ca="1">IFERROR(__xludf.DUMMYFUNCTION("IMPORTRANGE(""https://docs.google.com/spreadsheets/d/1kII0BjS6CtVrBvI8IrytgPdxDrlyQDyigzMsohRtDMs/edit?usp=sharing"",""อุทัยธานี!N662"")"),0)</f>
        <v>0</v>
      </c>
      <c r="K30" s="87">
        <f ca="1">IFERROR(__xludf.DUMMYFUNCTION("IMPORTRANGE(""https://docs.google.com/spreadsheets/d/1kII0BjS6CtVrBvI8IrytgPdxDrlyQDyigzMsohRtDMs/edit?usp=sharing"",""อุทัยธานี!N663"")"),0)</f>
        <v>0</v>
      </c>
      <c r="L30" s="87">
        <f ca="1">IFERROR(__xludf.DUMMYFUNCTION("IMPORTRANGE(""https://docs.google.com/spreadsheets/d/1kII0BjS6CtVrBvI8IrytgPdxDrlyQDyigzMsohRtDMs/edit?usp=sharing"",""อุทัยธานี!N664"")"),4520)</f>
        <v>4520</v>
      </c>
      <c r="M30" s="91">
        <f ca="1">IFERROR(__xludf.DUMMYFUNCTION("IMPORTRANGE(""https://docs.google.com/spreadsheets/d/1kII0BjS6CtVrBvI8IrytgPdxDrlyQDyigzMsohRtDMs/edit?usp=sharing"",""อุทัยธานี!N667"")"),0)</f>
        <v>0</v>
      </c>
      <c r="N30" s="91">
        <f t="shared" ca="1" si="31"/>
        <v>0</v>
      </c>
      <c r="O30" s="92">
        <f ca="1">IFERROR(__xludf.DUMMYFUNCTION("IMPORTRANGE(""https://docs.google.com/spreadsheets/d/1kII0BjS6CtVrBvI8IrytgPdxDrlyQDyigzMsohRtDMs/edit?usp=sharing"",""อุทัยธานี!I669"")"),100)</f>
        <v>100</v>
      </c>
      <c r="P30" s="92">
        <f ca="1">IFERROR(__xludf.DUMMYFUNCTION("IMPORTRANGE(""https://docs.google.com/spreadsheets/d/1kII0BjS6CtVrBvI8IrytgPdxDrlyQDyigzMsohRtDMs/edit?usp=sharing"",""อุทัยธานี!J669"")"),0)</f>
        <v>0</v>
      </c>
      <c r="Q30" s="93">
        <f t="shared" ca="1" si="25"/>
        <v>0</v>
      </c>
      <c r="R30" s="92">
        <f ca="1">IFERROR(__xludf.DUMMYFUNCTION("IMPORTRANGE(""https://docs.google.com/spreadsheets/d/1kII0BjS6CtVrBvI8IrytgPdxDrlyQDyigzMsohRtDMs/edit?usp=sharing"",""อุทัยธานี!I670"")"),4)</f>
        <v>4</v>
      </c>
      <c r="S30" s="92">
        <f ca="1">IFERROR(__xludf.DUMMYFUNCTION("IMPORTRANGE(""https://docs.google.com/spreadsheets/d/1kII0BjS6CtVrBvI8IrytgPdxDrlyQDyigzMsohRtDMs/edit?usp=sharing"",""อุทัยธานี!J670"")"),6)</f>
        <v>6</v>
      </c>
      <c r="T30" s="93">
        <f t="shared" ca="1" si="26"/>
        <v>150</v>
      </c>
      <c r="U30" s="92">
        <f ca="1">IFERROR(__xludf.DUMMYFUNCTION("IMPORTRANGE(""https://docs.google.com/spreadsheets/d/1kII0BjS6CtVrBvI8IrytgPdxDrlyQDyigzMsohRtDMs/edit?usp=sharing"",""อุทัยธานี!I671"")"),4)</f>
        <v>4</v>
      </c>
      <c r="V30" s="92">
        <f ca="1">IFERROR(__xludf.DUMMYFUNCTION("IMPORTRANGE(""https://docs.google.com/spreadsheets/d/1kII0BjS6CtVrBvI8IrytgPdxDrlyQDyigzMsohRtDMs/edit?usp=sharing"",""อุทัยธานี!J671"")"),0)</f>
        <v>0</v>
      </c>
      <c r="W30" s="93">
        <f t="shared" ca="1" si="27"/>
        <v>0</v>
      </c>
      <c r="X30" s="92">
        <f ca="1">IFERROR(__xludf.DUMMYFUNCTION("IMPORTRANGE(""https://docs.google.com/spreadsheets/d/1kII0BjS6CtVrBvI8IrytgPdxDrlyQDyigzMsohRtDMs/edit?usp=sharing"",""อุทัยธานี!J672"")"),0)</f>
        <v>0</v>
      </c>
      <c r="Y30" s="277">
        <f t="shared" ca="1" si="11"/>
        <v>0</v>
      </c>
      <c r="Z30" s="92">
        <f ca="1">IFERROR(__xludf.DUMMYFUNCTION("IMPORTRANGE(""https://docs.google.com/spreadsheets/d/1kII0BjS6CtVrBvI8IrytgPdxDrlyQDyigzMsohRtDMs/edit?usp=sharing"",""อุทัยธานี!J673"")"),0)</f>
        <v>0</v>
      </c>
      <c r="AA30" s="277">
        <f t="shared" ca="1" si="12"/>
        <v>0</v>
      </c>
      <c r="AB30" s="277">
        <f ca="1">IFERROR(__xludf.DUMMYFUNCTION("IMPORTRANGE(""https://docs.google.com/spreadsheets/d/1kII0BjS6CtVrBvI8IrytgPdxDrlyQDyigzMsohRtDMs/edit?usp=sharing"",""อุทัยธานี!J674"")"),0)</f>
        <v>0</v>
      </c>
      <c r="AC30" s="93">
        <f t="shared" ca="1" si="13"/>
        <v>0</v>
      </c>
      <c r="AD30" s="277">
        <f ca="1">IFERROR(__xludf.DUMMYFUNCTION("IMPORTRANGE(""https://docs.google.com/spreadsheets/d/1kII0BjS6CtVrBvI8IrytgPdxDrlyQDyigzMsohRtDMs/edit?usp=sharing"",""อุทัยธานี!J675"")"),0)</f>
        <v>0</v>
      </c>
      <c r="AE30" s="93">
        <f t="shared" ca="1" si="22"/>
        <v>0</v>
      </c>
      <c r="AF30" s="277">
        <f ca="1">IFERROR(__xludf.DUMMYFUNCTION("IMPORTRANGE(""https://docs.google.com/spreadsheets/d/1kII0BjS6CtVrBvI8IrytgPdxDrlyQDyigzMsohRtDMs/edit?usp=sharing"",""อุทัยธานี!J676"")"),0)</f>
        <v>0</v>
      </c>
      <c r="AG30" s="277">
        <f ca="1">IFERROR(__xludf.DUMMYFUNCTION("IMPORTRANGE(""https://docs.google.com/spreadsheets/d/1kII0BjS6CtVrBvI8IrytgPdxDrlyQDyigzMsohRtDMs/edit?usp=sharing"",""อุทัยธานี!J677"")"),0)</f>
        <v>0</v>
      </c>
      <c r="AH30" s="92">
        <f ca="1">IFERROR(__xludf.DUMMYFUNCTION("IMPORTRANGE(""https://docs.google.com/spreadsheets/d/1kII0BjS6CtVrBvI8IrytgPdxDrlyQDyigzMsohRtDMs/edit?usp=sharing"",""อุทัยธานี!I678"")"),0)</f>
        <v>0</v>
      </c>
      <c r="AI30" s="92">
        <f ca="1">IFERROR(__xludf.DUMMYFUNCTION("IMPORTRANGE(""https://docs.google.com/spreadsheets/d/1kII0BjS6CtVrBvI8IrytgPdxDrlyQDyigzMsohRtDMs/edit?usp=sharing"",""อุทัยธานี!J678"")"),0)</f>
        <v>0</v>
      </c>
      <c r="AJ30" s="93">
        <f t="shared" ca="1" si="28"/>
        <v>0</v>
      </c>
      <c r="AK30" s="92">
        <f ca="1">IFERROR(__xludf.DUMMYFUNCTION("IMPORTRANGE(""https://docs.google.com/spreadsheets/d/1kII0BjS6CtVrBvI8IrytgPdxDrlyQDyigzMsohRtDMs/edit?usp=sharing"",""อุทัยธานี!J679"")"),0)</f>
        <v>0</v>
      </c>
      <c r="AL30" s="92">
        <f ca="1">IFERROR(__xludf.DUMMYFUNCTION("IMPORTRANGE(""https://docs.google.com/spreadsheets/d/1kII0BjS6CtVrBvI8IrytgPdxDrlyQDyigzMsohRtDMs/edit?usp=sharing"",""อุทัยธานี!J680"")"),0)</f>
        <v>0</v>
      </c>
      <c r="AM30" s="92">
        <f ca="1">IFERROR(__xludf.DUMMYFUNCTION("IMPORTRANGE(""https://docs.google.com/spreadsheets/d/1kII0BjS6CtVrBvI8IrytgPdxDrlyQDyigzMsohRtDMs/edit?usp=sharing"",""อุทัยธานี!J681"")"),0)</f>
        <v>0</v>
      </c>
      <c r="AN30" s="92">
        <f ca="1">IFERROR(__xludf.DUMMYFUNCTION("IMPORTRANGE(""https://docs.google.com/spreadsheets/d/1kII0BjS6CtVrBvI8IrytgPdxDrlyQDyigzMsohRtDMs/edit?usp=sharing"",""อุทัยธานี!J682"")"),0)</f>
        <v>0</v>
      </c>
      <c r="AO30" s="92">
        <f ca="1">IFERROR(__xludf.DUMMYFUNCTION("IMPORTRANGE(""https://docs.google.com/spreadsheets/d/1kII0BjS6CtVrBvI8IrytgPdxDrlyQDyigzMsohRtDMs/edit?usp=sharing"",""อุทัยธานี!J683"")"),0)</f>
        <v>0</v>
      </c>
    </row>
    <row r="31" spans="1:41" ht="21" customHeight="1" x14ac:dyDescent="0.2">
      <c r="A31" s="305" t="s">
        <v>48</v>
      </c>
      <c r="B31" s="306"/>
      <c r="C31" s="34">
        <f t="shared" ref="C31:E31" ca="1" si="39">SUM(C32:C51)</f>
        <v>194200</v>
      </c>
      <c r="D31" s="34">
        <f t="shared" ca="1" si="39"/>
        <v>194200</v>
      </c>
      <c r="E31" s="57">
        <f t="shared" ca="1" si="39"/>
        <v>0</v>
      </c>
      <c r="F31" s="57">
        <f t="shared" ca="1" si="1"/>
        <v>69839</v>
      </c>
      <c r="G31" s="94">
        <f t="shared" ca="1" si="2"/>
        <v>35.962409886714724</v>
      </c>
      <c r="H31" s="57">
        <f t="shared" ref="H31:M31" ca="1" si="40">SUM(H32:H51)</f>
        <v>69839</v>
      </c>
      <c r="I31" s="57">
        <f t="shared" ca="1" si="40"/>
        <v>0</v>
      </c>
      <c r="J31" s="57">
        <f t="shared" ca="1" si="40"/>
        <v>0</v>
      </c>
      <c r="K31" s="57">
        <f t="shared" ca="1" si="40"/>
        <v>0</v>
      </c>
      <c r="L31" s="57">
        <f t="shared" ca="1" si="40"/>
        <v>69839</v>
      </c>
      <c r="M31" s="95">
        <f t="shared" ca="1" si="40"/>
        <v>0</v>
      </c>
      <c r="N31" s="95">
        <f t="shared" ca="1" si="31"/>
        <v>0</v>
      </c>
      <c r="O31" s="57">
        <f t="shared" ref="O31:P31" ca="1" si="41">SUM(O32:O51)</f>
        <v>1370</v>
      </c>
      <c r="P31" s="57">
        <f t="shared" ca="1" si="41"/>
        <v>0</v>
      </c>
      <c r="Q31" s="96">
        <f t="shared" ca="1" si="25"/>
        <v>0</v>
      </c>
      <c r="R31" s="57">
        <f t="shared" ref="R31:S31" ca="1" si="42">SUM(R32:R51)</f>
        <v>70</v>
      </c>
      <c r="S31" s="57">
        <f t="shared" ca="1" si="42"/>
        <v>60</v>
      </c>
      <c r="T31" s="96">
        <f t="shared" ca="1" si="26"/>
        <v>85.714285714285708</v>
      </c>
      <c r="U31" s="57">
        <f t="shared" ref="U31:V31" ca="1" si="43">SUM(U32:U51)</f>
        <v>70</v>
      </c>
      <c r="V31" s="57">
        <f t="shared" ca="1" si="43"/>
        <v>60</v>
      </c>
      <c r="W31" s="96">
        <f t="shared" ca="1" si="27"/>
        <v>85.714285714285708</v>
      </c>
      <c r="X31" s="57">
        <f ca="1">SUM(X32:X51)</f>
        <v>4132.2299999999996</v>
      </c>
      <c r="Y31" s="278">
        <f t="shared" ca="1" si="11"/>
        <v>301.62262773722625</v>
      </c>
      <c r="Z31" s="57">
        <f ca="1">SUM(Z32:Z51)</f>
        <v>1952</v>
      </c>
      <c r="AA31" s="278">
        <f t="shared" ca="1" si="12"/>
        <v>142.48175182481751</v>
      </c>
      <c r="AB31" s="278">
        <f ca="1">SUM(AB32:AB51)</f>
        <v>0</v>
      </c>
      <c r="AC31" s="96">
        <f t="shared" ca="1" si="13"/>
        <v>0</v>
      </c>
      <c r="AD31" s="278">
        <f ca="1">SUM(AD32:AD51)</f>
        <v>0</v>
      </c>
      <c r="AE31" s="96">
        <f t="shared" ca="1" si="22"/>
        <v>0</v>
      </c>
      <c r="AF31" s="278">
        <f t="shared" ref="AF31:AI31" ca="1" si="44">SUM(AF32:AF51)</f>
        <v>0</v>
      </c>
      <c r="AG31" s="278">
        <f t="shared" ca="1" si="44"/>
        <v>0</v>
      </c>
      <c r="AH31" s="57">
        <f t="shared" ca="1" si="44"/>
        <v>0</v>
      </c>
      <c r="AI31" s="57">
        <f t="shared" ca="1" si="44"/>
        <v>0</v>
      </c>
      <c r="AJ31" s="96">
        <f t="shared" ca="1" si="28"/>
        <v>0</v>
      </c>
      <c r="AK31" s="57">
        <f t="shared" ref="AK31:AO31" ca="1" si="45">SUM(AK32:AK51)</f>
        <v>0</v>
      </c>
      <c r="AL31" s="57">
        <f t="shared" ca="1" si="45"/>
        <v>0</v>
      </c>
      <c r="AM31" s="57">
        <f t="shared" ca="1" si="45"/>
        <v>0</v>
      </c>
      <c r="AN31" s="57">
        <f t="shared" ca="1" si="45"/>
        <v>0</v>
      </c>
      <c r="AO31" s="57">
        <f t="shared" ca="1" si="45"/>
        <v>0</v>
      </c>
    </row>
    <row r="32" spans="1:41" ht="21" customHeight="1" x14ac:dyDescent="0.2">
      <c r="A32" s="62">
        <v>1</v>
      </c>
      <c r="B32" s="63" t="s">
        <v>49</v>
      </c>
      <c r="C32" s="97">
        <f t="shared" ref="C32:C51" ca="1" si="46">D32+E32</f>
        <v>15600</v>
      </c>
      <c r="D32" s="98">
        <f ca="1">IFERROR(__xludf.DUMMYFUNCTION("IMPORTRANGE(""https://docs.google.com/spreadsheets/d/1fb2B9NLcpJgjIieIJvenUTNPn0TimZDUi0OtYeiSQ_s/edit?usp=sharing"",""กาฬสินธุ์!L660"")"),15600)</f>
        <v>15600</v>
      </c>
      <c r="E32" s="66">
        <f ca="1">IFERROR(__xludf.DUMMYFUNCTION("IMPORTRANGE(""https://docs.google.com/spreadsheets/d/1fb2B9NLcpJgjIieIJvenUTNPn0TimZDUi0OtYeiSQ_s/edit?usp=sharing"",""กาฬสินธุ์!L667"")"),0)</f>
        <v>0</v>
      </c>
      <c r="F32" s="67">
        <f t="shared" ca="1" si="1"/>
        <v>3690</v>
      </c>
      <c r="G32" s="68">
        <f t="shared" ca="1" si="2"/>
        <v>23.653846153846153</v>
      </c>
      <c r="H32" s="69">
        <f t="shared" ref="H32:H51" ca="1" si="47">I32+J32+K32+L32</f>
        <v>3690</v>
      </c>
      <c r="I32" s="66">
        <f ca="1">IFERROR(__xludf.DUMMYFUNCTION("IMPORTRANGE(""https://docs.google.com/spreadsheets/d/1fb2B9NLcpJgjIieIJvenUTNPn0TimZDUi0OtYeiSQ_s/edit?usp=sharing"",""กาฬสินธุ์!N661"")"),0)</f>
        <v>0</v>
      </c>
      <c r="J32" s="66">
        <f ca="1">IFERROR(__xludf.DUMMYFUNCTION("IMPORTRANGE(""https://docs.google.com/spreadsheets/d/1fb2B9NLcpJgjIieIJvenUTNPn0TimZDUi0OtYeiSQ_s/edit?usp=sharing"",""กาฬสินธุ์!N662"")"),0)</f>
        <v>0</v>
      </c>
      <c r="K32" s="66">
        <f ca="1">IFERROR(__xludf.DUMMYFUNCTION("IMPORTRANGE(""https://docs.google.com/spreadsheets/d/1fb2B9NLcpJgjIieIJvenUTNPn0TimZDUi0OtYeiSQ_s/edit?usp=sharing"",""กาฬสินธุ์!N663"")"),0)</f>
        <v>0</v>
      </c>
      <c r="L32" s="66">
        <f ca="1">IFERROR(__xludf.DUMMYFUNCTION("IMPORTRANGE(""https://docs.google.com/spreadsheets/d/1fb2B9NLcpJgjIieIJvenUTNPn0TimZDUi0OtYeiSQ_s/edit?usp=sharing"",""กาฬสินธุ์!N664"")"),3690)</f>
        <v>3690</v>
      </c>
      <c r="M32" s="70">
        <f ca="1">IFERROR(__xludf.DUMMYFUNCTION("IMPORTRANGE(""https://docs.google.com/spreadsheets/d/1fb2B9NLcpJgjIieIJvenUTNPn0TimZDUi0OtYeiSQ_s/edit?usp=sharing"",""กาฬสินธุ์!N667"")"),0)</f>
        <v>0</v>
      </c>
      <c r="N32" s="70">
        <f t="shared" ca="1" si="31"/>
        <v>0</v>
      </c>
      <c r="O32" s="66">
        <f ca="1">IFERROR(__xludf.DUMMYFUNCTION("IMPORTRANGE(""https://docs.google.com/spreadsheets/d/1fb2B9NLcpJgjIieIJvenUTNPn0TimZDUi0OtYeiSQ_s/edit?usp=sharing"",""กาฬสินธุ์!I669"")"),100)</f>
        <v>100</v>
      </c>
      <c r="P32" s="66">
        <f ca="1">IFERROR(__xludf.DUMMYFUNCTION("IMPORTRANGE(""https://docs.google.com/spreadsheets/d/1fb2B9NLcpJgjIieIJvenUTNPn0TimZDUi0OtYeiSQ_s/edit?usp=sharing"",""กาฬสินธุ์!J669"")"),0)</f>
        <v>0</v>
      </c>
      <c r="Q32" s="71">
        <f t="shared" ca="1" si="25"/>
        <v>0</v>
      </c>
      <c r="R32" s="66">
        <f ca="1">IFERROR(__xludf.DUMMYFUNCTION("IMPORTRANGE(""https://docs.google.com/spreadsheets/d/1fb2B9NLcpJgjIieIJvenUTNPn0TimZDUi0OtYeiSQ_s/edit?usp=sharing"",""กาฬสินธุ์!I670"")"),6)</f>
        <v>6</v>
      </c>
      <c r="S32" s="66">
        <f ca="1">IFERROR(__xludf.DUMMYFUNCTION("IMPORTRANGE(""https://docs.google.com/spreadsheets/d/1fb2B9NLcpJgjIieIJvenUTNPn0TimZDUi0OtYeiSQ_s/edit?usp=sharing"",""กาฬสินธุ์!J670"")"),6)</f>
        <v>6</v>
      </c>
      <c r="T32" s="71">
        <f t="shared" ca="1" si="26"/>
        <v>100</v>
      </c>
      <c r="U32" s="66">
        <f ca="1">IFERROR(__xludf.DUMMYFUNCTION("IMPORTRANGE(""https://docs.google.com/spreadsheets/d/1fb2B9NLcpJgjIieIJvenUTNPn0TimZDUi0OtYeiSQ_s/edit?usp=sharing"",""กาฬสินธุ์!I671"")"),6)</f>
        <v>6</v>
      </c>
      <c r="V32" s="66">
        <f ca="1">IFERROR(__xludf.DUMMYFUNCTION("IMPORTRANGE(""https://docs.google.com/spreadsheets/d/1fb2B9NLcpJgjIieIJvenUTNPn0TimZDUi0OtYeiSQ_s/edit?usp=sharing"",""กาฬสินธุ์!J671"")"),6)</f>
        <v>6</v>
      </c>
      <c r="W32" s="71">
        <f t="shared" ca="1" si="27"/>
        <v>100</v>
      </c>
      <c r="X32" s="66">
        <f ca="1">IFERROR(__xludf.DUMMYFUNCTION("IMPORTRANGE(""https://docs.google.com/spreadsheets/d/1fb2B9NLcpJgjIieIJvenUTNPn0TimZDUi0OtYeiSQ_s/edit?usp=sharing"",""กาฬสินธุ์!J672"")"),154)</f>
        <v>154</v>
      </c>
      <c r="Y32" s="275">
        <f t="shared" ca="1" si="11"/>
        <v>154</v>
      </c>
      <c r="Z32" s="66">
        <f ca="1">IFERROR(__xludf.DUMMYFUNCTION("IMPORTRANGE(""https://docs.google.com/spreadsheets/d/1fb2B9NLcpJgjIieIJvenUTNPn0TimZDUi0OtYeiSQ_s/edit?usp=sharing"",""กาฬสินธุ์!J673"")"),0)</f>
        <v>0</v>
      </c>
      <c r="AA32" s="275">
        <f t="shared" ca="1" si="12"/>
        <v>0</v>
      </c>
      <c r="AB32" s="275">
        <f ca="1">IFERROR(__xludf.DUMMYFUNCTION("IMPORTRANGE(""https://docs.google.com/spreadsheets/d/1fb2B9NLcpJgjIieIJvenUTNPn0TimZDUi0OtYeiSQ_s/edit?usp=sharing"",""กาฬสินธุ์!J674"")"),0)</f>
        <v>0</v>
      </c>
      <c r="AC32" s="71">
        <f t="shared" ca="1" si="13"/>
        <v>0</v>
      </c>
      <c r="AD32" s="275">
        <f ca="1">IFERROR(__xludf.DUMMYFUNCTION("IMPORTRANGE(""https://docs.google.com/spreadsheets/d/1fb2B9NLcpJgjIieIJvenUTNPn0TimZDUi0OtYeiSQ_s/edit?usp=sharing"",""กาฬสินธุ์!J675"")"),0)</f>
        <v>0</v>
      </c>
      <c r="AE32" s="71">
        <f t="shared" ca="1" si="22"/>
        <v>0</v>
      </c>
      <c r="AF32" s="275">
        <f ca="1">IFERROR(__xludf.DUMMYFUNCTION("IMPORTRANGE(""https://docs.google.com/spreadsheets/d/1fb2B9NLcpJgjIieIJvenUTNPn0TimZDUi0OtYeiSQ_s/edit?usp=sharing"",""กาฬสินธุ์!J676"")"),0)</f>
        <v>0</v>
      </c>
      <c r="AG32" s="275">
        <f ca="1">IFERROR(__xludf.DUMMYFUNCTION("IMPORTRANGE(""https://docs.google.com/spreadsheets/d/1fb2B9NLcpJgjIieIJvenUTNPn0TimZDUi0OtYeiSQ_s/edit?usp=sharing"",""กาฬสินธุ์!J677"")"),0)</f>
        <v>0</v>
      </c>
      <c r="AH32" s="66">
        <f ca="1">IFERROR(__xludf.DUMMYFUNCTION("IMPORTRANGE(""https://docs.google.com/spreadsheets/d/1fb2B9NLcpJgjIieIJvenUTNPn0TimZDUi0OtYeiSQ_s/edit?usp=sharing"",""กาฬสินธุ์!I678"")"),0)</f>
        <v>0</v>
      </c>
      <c r="AI32" s="66">
        <f ca="1">IFERROR(__xludf.DUMMYFUNCTION("IMPORTRANGE(""https://docs.google.com/spreadsheets/d/1fb2B9NLcpJgjIieIJvenUTNPn0TimZDUi0OtYeiSQ_s/edit?usp=sharing"",""กาฬสินธุ์!J678"")"),0)</f>
        <v>0</v>
      </c>
      <c r="AJ32" s="71">
        <f t="shared" ca="1" si="28"/>
        <v>0</v>
      </c>
      <c r="AK32" s="66">
        <f ca="1">IFERROR(__xludf.DUMMYFUNCTION("IMPORTRANGE(""https://docs.google.com/spreadsheets/d/1fb2B9NLcpJgjIieIJvenUTNPn0TimZDUi0OtYeiSQ_s/edit?usp=sharing"",""กาฬสินธุ์!J679"")"),0)</f>
        <v>0</v>
      </c>
      <c r="AL32" s="66">
        <f ca="1">IFERROR(__xludf.DUMMYFUNCTION("IMPORTRANGE(""https://docs.google.com/spreadsheets/d/1fb2B9NLcpJgjIieIJvenUTNPn0TimZDUi0OtYeiSQ_s/edit?usp=sharing"",""กาฬสินธุ์!J680"")"),0)</f>
        <v>0</v>
      </c>
      <c r="AM32" s="66">
        <f ca="1">IFERROR(__xludf.DUMMYFUNCTION("IMPORTRANGE(""https://docs.google.com/spreadsheets/d/1fb2B9NLcpJgjIieIJvenUTNPn0TimZDUi0OtYeiSQ_s/edit?usp=sharing"",""กาฬสินธุ์!J681"")"),0)</f>
        <v>0</v>
      </c>
      <c r="AN32" s="66">
        <f ca="1">IFERROR(__xludf.DUMMYFUNCTION("IMPORTRANGE(""https://docs.google.com/spreadsheets/d/1fb2B9NLcpJgjIieIJvenUTNPn0TimZDUi0OtYeiSQ_s/edit?usp=sharing"",""กาฬสินธุ์!J682"")"),0)</f>
        <v>0</v>
      </c>
      <c r="AO32" s="66">
        <f ca="1">IFERROR(__xludf.DUMMYFUNCTION("IMPORTRANGE(""https://docs.google.com/spreadsheets/d/1fb2B9NLcpJgjIieIJvenUTNPn0TimZDUi0OtYeiSQ_s/edit?usp=sharing"",""กาฬสินธุ์!J683"")"),0)</f>
        <v>0</v>
      </c>
    </row>
    <row r="33" spans="1:41" ht="21" customHeight="1" x14ac:dyDescent="0.2">
      <c r="A33" s="72">
        <v>2</v>
      </c>
      <c r="B33" s="73" t="s">
        <v>50</v>
      </c>
      <c r="C33" s="74">
        <f t="shared" ca="1" si="46"/>
        <v>0</v>
      </c>
      <c r="D33" s="75">
        <f ca="1">IFERROR(__xludf.DUMMYFUNCTION("IMPORTRANGE(""https://docs.google.com/spreadsheets/d/1SaMnqrwRGmFYNR0MhpWmHuL5niYUd5E7vDq8X7whAlI/edit?usp=sharing"",""ขอนแก่น!L660"")"),0)</f>
        <v>0</v>
      </c>
      <c r="E33" s="76">
        <f ca="1">IFERROR(__xludf.DUMMYFUNCTION("IMPORTRANGE(""https://docs.google.com/spreadsheets/d/1SaMnqrwRGmFYNR0MhpWmHuL5niYUd5E7vDq8X7whAlI/edit?usp=sharing"",""ขอนแก่น!L667"")"),0)</f>
        <v>0</v>
      </c>
      <c r="F33" s="77">
        <f t="shared" ca="1" si="1"/>
        <v>0</v>
      </c>
      <c r="G33" s="78">
        <f t="shared" ca="1" si="2"/>
        <v>0</v>
      </c>
      <c r="H33" s="79">
        <f t="shared" ca="1" si="47"/>
        <v>0</v>
      </c>
      <c r="I33" s="76">
        <f ca="1">IFERROR(__xludf.DUMMYFUNCTION("IMPORTRANGE(""https://docs.google.com/spreadsheets/d/1SaMnqrwRGmFYNR0MhpWmHuL5niYUd5E7vDq8X7whAlI/edit?usp=sharing"",""ขอนแก่น!N661"")"),0)</f>
        <v>0</v>
      </c>
      <c r="J33" s="76">
        <f ca="1">IFERROR(__xludf.DUMMYFUNCTION("IMPORTRANGE(""https://docs.google.com/spreadsheets/d/1SaMnqrwRGmFYNR0MhpWmHuL5niYUd5E7vDq8X7whAlI/edit?usp=sharing"",""ขอนแก่น!N662"")"),0)</f>
        <v>0</v>
      </c>
      <c r="K33" s="76">
        <f ca="1">IFERROR(__xludf.DUMMYFUNCTION("IMPORTRANGE(""https://docs.google.com/spreadsheets/d/1SaMnqrwRGmFYNR0MhpWmHuL5niYUd5E7vDq8X7whAlI/edit?usp=sharing"",""ขอนแก่น!N663"")"),0)</f>
        <v>0</v>
      </c>
      <c r="L33" s="76">
        <f ca="1">IFERROR(__xludf.DUMMYFUNCTION("IMPORTRANGE(""https://docs.google.com/spreadsheets/d/1SaMnqrwRGmFYNR0MhpWmHuL5niYUd5E7vDq8X7whAlI/edit?usp=sharing"",""ขอนแก่น!N664"")"),0)</f>
        <v>0</v>
      </c>
      <c r="M33" s="80">
        <f ca="1">IFERROR(__xludf.DUMMYFUNCTION("IMPORTRANGE(""https://docs.google.com/spreadsheets/d/1SaMnqrwRGmFYNR0MhpWmHuL5niYUd5E7vDq8X7whAlI/edit?usp=sharing"",""ขอนแก่น!N667"")"),0)</f>
        <v>0</v>
      </c>
      <c r="N33" s="80">
        <f t="shared" ca="1" si="31"/>
        <v>0</v>
      </c>
      <c r="O33" s="81">
        <f ca="1">IFERROR(__xludf.DUMMYFUNCTION("IMPORTRANGE(""https://docs.google.com/spreadsheets/d/1SaMnqrwRGmFYNR0MhpWmHuL5niYUd5E7vDq8X7whAlI/edit?usp=sharing"",""ขอนแก่น!I669"")"),0)</f>
        <v>0</v>
      </c>
      <c r="P33" s="81">
        <f ca="1">IFERROR(__xludf.DUMMYFUNCTION("IMPORTRANGE(""https://docs.google.com/spreadsheets/d/1SaMnqrwRGmFYNR0MhpWmHuL5niYUd5E7vDq8X7whAlI/edit?usp=sharing"",""ขอนแก่น!J669"")"),0)</f>
        <v>0</v>
      </c>
      <c r="Q33" s="82">
        <f t="shared" ca="1" si="25"/>
        <v>0</v>
      </c>
      <c r="R33" s="81">
        <f ca="1">IFERROR(__xludf.DUMMYFUNCTION("IMPORTRANGE(""https://docs.google.com/spreadsheets/d/1SaMnqrwRGmFYNR0MhpWmHuL5niYUd5E7vDq8X7whAlI/edit?usp=sharing"",""ขอนแก่น!I670"")"),0)</f>
        <v>0</v>
      </c>
      <c r="S33" s="81">
        <f ca="1">IFERROR(__xludf.DUMMYFUNCTION("IMPORTRANGE(""https://docs.google.com/spreadsheets/d/1SaMnqrwRGmFYNR0MhpWmHuL5niYUd5E7vDq8X7whAlI/edit?usp=sharing"",""ขอนแก่น!J670"")"),0)</f>
        <v>0</v>
      </c>
      <c r="T33" s="82">
        <f t="shared" ca="1" si="26"/>
        <v>0</v>
      </c>
      <c r="U33" s="81">
        <f ca="1">IFERROR(__xludf.DUMMYFUNCTION("IMPORTRANGE(""https://docs.google.com/spreadsheets/d/1SaMnqrwRGmFYNR0MhpWmHuL5niYUd5E7vDq8X7whAlI/edit?usp=sharing"",""ขอนแก่น!I671"")"),0)</f>
        <v>0</v>
      </c>
      <c r="V33" s="81">
        <f ca="1">IFERROR(__xludf.DUMMYFUNCTION("IMPORTRANGE(""https://docs.google.com/spreadsheets/d/1SaMnqrwRGmFYNR0MhpWmHuL5niYUd5E7vDq8X7whAlI/edit?usp=sharing"",""ขอนแก่น!J671"")"),0)</f>
        <v>0</v>
      </c>
      <c r="W33" s="82">
        <f t="shared" ca="1" si="27"/>
        <v>0</v>
      </c>
      <c r="X33" s="81">
        <f ca="1">IFERROR(__xludf.DUMMYFUNCTION("IMPORTRANGE(""https://docs.google.com/spreadsheets/d/1SaMnqrwRGmFYNR0MhpWmHuL5niYUd5E7vDq8X7whAlI/edit?usp=sharing"",""ขอนแก่น!J672"")"),0)</f>
        <v>0</v>
      </c>
      <c r="Y33" s="276">
        <f t="shared" ca="1" si="11"/>
        <v>0</v>
      </c>
      <c r="Z33" s="81">
        <f ca="1">IFERROR(__xludf.DUMMYFUNCTION("IMPORTRANGE(""https://docs.google.com/spreadsheets/d/1SaMnqrwRGmFYNR0MhpWmHuL5niYUd5E7vDq8X7whAlI/edit?usp=sharing"",""ขอนแก่น!J673"")"),0)</f>
        <v>0</v>
      </c>
      <c r="AA33" s="276">
        <f t="shared" ca="1" si="12"/>
        <v>0</v>
      </c>
      <c r="AB33" s="276">
        <f ca="1">IFERROR(__xludf.DUMMYFUNCTION("IMPORTRANGE(""https://docs.google.com/spreadsheets/d/1SaMnqrwRGmFYNR0MhpWmHuL5niYUd5E7vDq8X7whAlI/edit?usp=sharing"",""ขอนแก่น!J674"")"),0)</f>
        <v>0</v>
      </c>
      <c r="AC33" s="82">
        <f t="shared" ca="1" si="13"/>
        <v>0</v>
      </c>
      <c r="AD33" s="276">
        <f ca="1">IFERROR(__xludf.DUMMYFUNCTION("IMPORTRANGE(""https://docs.google.com/spreadsheets/d/1SaMnqrwRGmFYNR0MhpWmHuL5niYUd5E7vDq8X7whAlI/edit?usp=sharing"",""ขอนแก่น!J675"")"),0)</f>
        <v>0</v>
      </c>
      <c r="AE33" s="82">
        <f t="shared" ca="1" si="22"/>
        <v>0</v>
      </c>
      <c r="AF33" s="276">
        <f ca="1">IFERROR(__xludf.DUMMYFUNCTION("IMPORTRANGE(""https://docs.google.com/spreadsheets/d/1SaMnqrwRGmFYNR0MhpWmHuL5niYUd5E7vDq8X7whAlI/edit?usp=sharing"",""ขอนแก่น!J676"")"),0)</f>
        <v>0</v>
      </c>
      <c r="AG33" s="276">
        <f ca="1">IFERROR(__xludf.DUMMYFUNCTION("IMPORTRANGE(""https://docs.google.com/spreadsheets/d/1SaMnqrwRGmFYNR0MhpWmHuL5niYUd5E7vDq8X7whAlI/edit?usp=sharing"",""ขอนแก่น!J677"")"),0)</f>
        <v>0</v>
      </c>
      <c r="AH33" s="81">
        <f ca="1">IFERROR(__xludf.DUMMYFUNCTION("IMPORTRANGE(""https://docs.google.com/spreadsheets/d/1SaMnqrwRGmFYNR0MhpWmHuL5niYUd5E7vDq8X7whAlI/edit?usp=sharing"",""ขอนแก่น!I678"")"),0)</f>
        <v>0</v>
      </c>
      <c r="AI33" s="81">
        <f ca="1">IFERROR(__xludf.DUMMYFUNCTION("IMPORTRANGE(""https://docs.google.com/spreadsheets/d/1SaMnqrwRGmFYNR0MhpWmHuL5niYUd5E7vDq8X7whAlI/edit?usp=sharing"",""ขอนแก่น!J678"")"),0)</f>
        <v>0</v>
      </c>
      <c r="AJ33" s="82">
        <f t="shared" ca="1" si="28"/>
        <v>0</v>
      </c>
      <c r="AK33" s="81">
        <f ca="1">IFERROR(__xludf.DUMMYFUNCTION("IMPORTRANGE(""https://docs.google.com/spreadsheets/d/1SaMnqrwRGmFYNR0MhpWmHuL5niYUd5E7vDq8X7whAlI/edit?usp=sharing"",""ขอนแก่น!J679"")"),0)</f>
        <v>0</v>
      </c>
      <c r="AL33" s="81">
        <f ca="1">IFERROR(__xludf.DUMMYFUNCTION("IMPORTRANGE(""https://docs.google.com/spreadsheets/d/1SaMnqrwRGmFYNR0MhpWmHuL5niYUd5E7vDq8X7whAlI/edit?usp=sharing"",""ขอนแก่น!J680"")"),0)</f>
        <v>0</v>
      </c>
      <c r="AM33" s="81">
        <f ca="1">IFERROR(__xludf.DUMMYFUNCTION("IMPORTRANGE(""https://docs.google.com/spreadsheets/d/1SaMnqrwRGmFYNR0MhpWmHuL5niYUd5E7vDq8X7whAlI/edit?usp=sharing"",""ขอนแก่น!J681"")"),0)</f>
        <v>0</v>
      </c>
      <c r="AN33" s="81">
        <f ca="1">IFERROR(__xludf.DUMMYFUNCTION("IMPORTRANGE(""https://docs.google.com/spreadsheets/d/1SaMnqrwRGmFYNR0MhpWmHuL5niYUd5E7vDq8X7whAlI/edit?usp=sharing"",""ขอนแก่น!J682"")"),0)</f>
        <v>0</v>
      </c>
      <c r="AO33" s="81">
        <f ca="1">IFERROR(__xludf.DUMMYFUNCTION("IMPORTRANGE(""https://docs.google.com/spreadsheets/d/1SaMnqrwRGmFYNR0MhpWmHuL5niYUd5E7vDq8X7whAlI/edit?usp=sharing"",""ขอนแก่น!J683"")"),0)</f>
        <v>0</v>
      </c>
    </row>
    <row r="34" spans="1:41" ht="21" customHeight="1" x14ac:dyDescent="0.2">
      <c r="A34" s="72">
        <v>3</v>
      </c>
      <c r="B34" s="73" t="s">
        <v>51</v>
      </c>
      <c r="C34" s="74">
        <f t="shared" ca="1" si="46"/>
        <v>15600</v>
      </c>
      <c r="D34" s="75">
        <f ca="1">IFERROR(__xludf.DUMMYFUNCTION("IMPORTRANGE(""https://docs.google.com/spreadsheets/d/1xQzEtGHhTTgxHh6YUkKY1P4dRyjVhS74dGswLfAASA4/edit?usp=sharing"",""ชัยภูมิ!L660"")"),15600)</f>
        <v>15600</v>
      </c>
      <c r="E34" s="76">
        <f ca="1">IFERROR(__xludf.DUMMYFUNCTION("IMPORTRANGE(""https://docs.google.com/spreadsheets/d/1xQzEtGHhTTgxHh6YUkKY1P4dRyjVhS74dGswLfAASA4/edit?usp=sharing"",""ชัยภูมิ!L667"")"),0)</f>
        <v>0</v>
      </c>
      <c r="F34" s="77">
        <f t="shared" ca="1" si="1"/>
        <v>3880</v>
      </c>
      <c r="G34" s="78">
        <f t="shared" ca="1" si="2"/>
        <v>24.871794871794872</v>
      </c>
      <c r="H34" s="79">
        <f t="shared" ca="1" si="47"/>
        <v>3880</v>
      </c>
      <c r="I34" s="76">
        <f ca="1">IFERROR(__xludf.DUMMYFUNCTION("IMPORTRANGE(""https://docs.google.com/spreadsheets/d/1xQzEtGHhTTgxHh6YUkKY1P4dRyjVhS74dGswLfAASA4/edit?usp=sharing"",""ชัยภูมิ!N661"")"),0)</f>
        <v>0</v>
      </c>
      <c r="J34" s="76">
        <f ca="1">IFERROR(__xludf.DUMMYFUNCTION("IMPORTRANGE(""https://docs.google.com/spreadsheets/d/1xQzEtGHhTTgxHh6YUkKY1P4dRyjVhS74dGswLfAASA4/edit?usp=sharing"",""ชัยภูมิ!N662"")"),0)</f>
        <v>0</v>
      </c>
      <c r="K34" s="76">
        <f ca="1">IFERROR(__xludf.DUMMYFUNCTION("IMPORTRANGE(""https://docs.google.com/spreadsheets/d/1xQzEtGHhTTgxHh6YUkKY1P4dRyjVhS74dGswLfAASA4/edit?usp=sharing"",""ชัยภูมิ!N663"")"),0)</f>
        <v>0</v>
      </c>
      <c r="L34" s="76">
        <f ca="1">IFERROR(__xludf.DUMMYFUNCTION("IMPORTRANGE(""https://docs.google.com/spreadsheets/d/1xQzEtGHhTTgxHh6YUkKY1P4dRyjVhS74dGswLfAASA4/edit?usp=sharing"",""ชัยภูมิ!N664"")"),3880)</f>
        <v>3880</v>
      </c>
      <c r="M34" s="80">
        <f ca="1">IFERROR(__xludf.DUMMYFUNCTION("IMPORTRANGE(""https://docs.google.com/spreadsheets/d/1xQzEtGHhTTgxHh6YUkKY1P4dRyjVhS74dGswLfAASA4/edit?usp=sharing"",""ชัยภูมิ!N667"")"),0)</f>
        <v>0</v>
      </c>
      <c r="N34" s="80">
        <f t="shared" ca="1" si="31"/>
        <v>0</v>
      </c>
      <c r="O34" s="81">
        <f ca="1">IFERROR(__xludf.DUMMYFUNCTION("IMPORTRANGE(""https://docs.google.com/spreadsheets/d/1xQzEtGHhTTgxHh6YUkKY1P4dRyjVhS74dGswLfAASA4/edit?usp=sharing"",""ชัยภูมิ!I669"")"),100)</f>
        <v>100</v>
      </c>
      <c r="P34" s="81">
        <f ca="1">IFERROR(__xludf.DUMMYFUNCTION("IMPORTRANGE(""https://docs.google.com/spreadsheets/d/1xQzEtGHhTTgxHh6YUkKY1P4dRyjVhS74dGswLfAASA4/edit?usp=sharing"",""ชัยภูมิ!J669"")"),0)</f>
        <v>0</v>
      </c>
      <c r="Q34" s="82">
        <f t="shared" ca="1" si="25"/>
        <v>0</v>
      </c>
      <c r="R34" s="81">
        <f ca="1">IFERROR(__xludf.DUMMYFUNCTION("IMPORTRANGE(""https://docs.google.com/spreadsheets/d/1xQzEtGHhTTgxHh6YUkKY1P4dRyjVhS74dGswLfAASA4/edit?usp=sharing"",""ชัยภูมิ!I670"")"),6)</f>
        <v>6</v>
      </c>
      <c r="S34" s="81">
        <f ca="1">IFERROR(__xludf.DUMMYFUNCTION("IMPORTRANGE(""https://docs.google.com/spreadsheets/d/1xQzEtGHhTTgxHh6YUkKY1P4dRyjVhS74dGswLfAASA4/edit?usp=sharing"",""ชัยภูมิ!J670"")"),6)</f>
        <v>6</v>
      </c>
      <c r="T34" s="82">
        <f t="shared" ca="1" si="26"/>
        <v>100</v>
      </c>
      <c r="U34" s="81">
        <f ca="1">IFERROR(__xludf.DUMMYFUNCTION("IMPORTRANGE(""https://docs.google.com/spreadsheets/d/1xQzEtGHhTTgxHh6YUkKY1P4dRyjVhS74dGswLfAASA4/edit?usp=sharing"",""ชัยภูมิ!I671"")"),6)</f>
        <v>6</v>
      </c>
      <c r="V34" s="81">
        <f ca="1">IFERROR(__xludf.DUMMYFUNCTION("IMPORTRANGE(""https://docs.google.com/spreadsheets/d/1xQzEtGHhTTgxHh6YUkKY1P4dRyjVhS74dGswLfAASA4/edit?usp=sharing"",""ชัยภูมิ!J671"")"),6)</f>
        <v>6</v>
      </c>
      <c r="W34" s="82">
        <f t="shared" ca="1" si="27"/>
        <v>100</v>
      </c>
      <c r="X34" s="81">
        <f ca="1">IFERROR(__xludf.DUMMYFUNCTION("IMPORTRANGE(""https://docs.google.com/spreadsheets/d/1xQzEtGHhTTgxHh6YUkKY1P4dRyjVhS74dGswLfAASA4/edit?usp=sharing"",""ชัยภูมิ!J672"")"),512)</f>
        <v>512</v>
      </c>
      <c r="Y34" s="276">
        <f t="shared" ca="1" si="11"/>
        <v>512</v>
      </c>
      <c r="Z34" s="81">
        <f ca="1">IFERROR(__xludf.DUMMYFUNCTION("IMPORTRANGE(""https://docs.google.com/spreadsheets/d/1xQzEtGHhTTgxHh6YUkKY1P4dRyjVhS74dGswLfAASA4/edit?usp=sharing"",""ชัยภูมิ!J673"")"),0)</f>
        <v>0</v>
      </c>
      <c r="AA34" s="276">
        <f t="shared" ca="1" si="12"/>
        <v>0</v>
      </c>
      <c r="AB34" s="276">
        <f ca="1">IFERROR(__xludf.DUMMYFUNCTION("IMPORTRANGE(""https://docs.google.com/spreadsheets/d/1xQzEtGHhTTgxHh6YUkKY1P4dRyjVhS74dGswLfAASA4/edit?usp=sharing"",""ชัยภูมิ!J674"")"),0)</f>
        <v>0</v>
      </c>
      <c r="AC34" s="82">
        <f t="shared" ca="1" si="13"/>
        <v>0</v>
      </c>
      <c r="AD34" s="276">
        <f ca="1">IFERROR(__xludf.DUMMYFUNCTION("IMPORTRANGE(""https://docs.google.com/spreadsheets/d/1xQzEtGHhTTgxHh6YUkKY1P4dRyjVhS74dGswLfAASA4/edit?usp=sharing"",""ชัยภูมิ!J675"")"),0)</f>
        <v>0</v>
      </c>
      <c r="AE34" s="82">
        <f t="shared" ca="1" si="22"/>
        <v>0</v>
      </c>
      <c r="AF34" s="276">
        <f ca="1">IFERROR(__xludf.DUMMYFUNCTION("IMPORTRANGE(""https://docs.google.com/spreadsheets/d/1xQzEtGHhTTgxHh6YUkKY1P4dRyjVhS74dGswLfAASA4/edit?usp=sharing"",""ชัยภูมิ!J676"")"),0)</f>
        <v>0</v>
      </c>
      <c r="AG34" s="276">
        <f ca="1">IFERROR(__xludf.DUMMYFUNCTION("IMPORTRANGE(""https://docs.google.com/spreadsheets/d/1xQzEtGHhTTgxHh6YUkKY1P4dRyjVhS74dGswLfAASA4/edit?usp=sharing"",""ชัยภูมิ!J677"")"),0)</f>
        <v>0</v>
      </c>
      <c r="AH34" s="81">
        <f ca="1">IFERROR(__xludf.DUMMYFUNCTION("IMPORTRANGE(""https://docs.google.com/spreadsheets/d/1xQzEtGHhTTgxHh6YUkKY1P4dRyjVhS74dGswLfAASA4/edit?usp=sharing"",""ชัยภูมิ!I678"")"),0)</f>
        <v>0</v>
      </c>
      <c r="AI34" s="81">
        <f ca="1">IFERROR(__xludf.DUMMYFUNCTION("IMPORTRANGE(""https://docs.google.com/spreadsheets/d/1xQzEtGHhTTgxHh6YUkKY1P4dRyjVhS74dGswLfAASA4/edit?usp=sharing"",""ชัยภูมิ!J678"")"),0)</f>
        <v>0</v>
      </c>
      <c r="AJ34" s="82">
        <f t="shared" ca="1" si="28"/>
        <v>0</v>
      </c>
      <c r="AK34" s="81">
        <f ca="1">IFERROR(__xludf.DUMMYFUNCTION("IMPORTRANGE(""https://docs.google.com/spreadsheets/d/1xQzEtGHhTTgxHh6YUkKY1P4dRyjVhS74dGswLfAASA4/edit?usp=sharing"",""ชัยภูมิ!J679"")"),0)</f>
        <v>0</v>
      </c>
      <c r="AL34" s="81">
        <f ca="1">IFERROR(__xludf.DUMMYFUNCTION("IMPORTRANGE(""https://docs.google.com/spreadsheets/d/1xQzEtGHhTTgxHh6YUkKY1P4dRyjVhS74dGswLfAASA4/edit?usp=sharing"",""ชัยภูมิ!J680"")"),0)</f>
        <v>0</v>
      </c>
      <c r="AM34" s="81">
        <f ca="1">IFERROR(__xludf.DUMMYFUNCTION("IMPORTRANGE(""https://docs.google.com/spreadsheets/d/1xQzEtGHhTTgxHh6YUkKY1P4dRyjVhS74dGswLfAASA4/edit?usp=sharing"",""ชัยภูมิ!J681"")"),0)</f>
        <v>0</v>
      </c>
      <c r="AN34" s="81">
        <f ca="1">IFERROR(__xludf.DUMMYFUNCTION("IMPORTRANGE(""https://docs.google.com/spreadsheets/d/1xQzEtGHhTTgxHh6YUkKY1P4dRyjVhS74dGswLfAASA4/edit?usp=sharing"",""ชัยภูมิ!J682"")"),0)</f>
        <v>0</v>
      </c>
      <c r="AO34" s="81">
        <f ca="1">IFERROR(__xludf.DUMMYFUNCTION("IMPORTRANGE(""https://docs.google.com/spreadsheets/d/1xQzEtGHhTTgxHh6YUkKY1P4dRyjVhS74dGswLfAASA4/edit?usp=sharing"",""ชัยภูมิ!J683"")"),0)</f>
        <v>0</v>
      </c>
    </row>
    <row r="35" spans="1:41" ht="21" customHeight="1" x14ac:dyDescent="0.2">
      <c r="A35" s="72">
        <v>4</v>
      </c>
      <c r="B35" s="73" t="s">
        <v>52</v>
      </c>
      <c r="C35" s="74">
        <f t="shared" ca="1" si="46"/>
        <v>11000</v>
      </c>
      <c r="D35" s="75">
        <f ca="1">IFERROR(__xludf.DUMMYFUNCTION("IMPORTRANGE(""https://docs.google.com/spreadsheets/d/1EXMBoBxU3OFbjT2TRpneM33qFjqDzrKmn9ydcflfI0o/edit?usp=sharing"",""นครพนม!L660"")"),11000)</f>
        <v>11000</v>
      </c>
      <c r="E35" s="76">
        <f ca="1">IFERROR(__xludf.DUMMYFUNCTION("IMPORTRANGE(""https://docs.google.com/spreadsheets/d/1EXMBoBxU3OFbjT2TRpneM33qFjqDzrKmn9ydcflfI0o/edit?usp=sharing"",""นครพนม!L667"")"),0)</f>
        <v>0</v>
      </c>
      <c r="F35" s="77">
        <f t="shared" ca="1" si="1"/>
        <v>5089</v>
      </c>
      <c r="G35" s="78">
        <f t="shared" ca="1" si="2"/>
        <v>46.263636363636365</v>
      </c>
      <c r="H35" s="79">
        <f t="shared" ca="1" si="47"/>
        <v>5089</v>
      </c>
      <c r="I35" s="76">
        <f ca="1">IFERROR(__xludf.DUMMYFUNCTION("IMPORTRANGE(""https://docs.google.com/spreadsheets/d/1EXMBoBxU3OFbjT2TRpneM33qFjqDzrKmn9ydcflfI0o/edit?usp=sharing"",""นครพนม!N661"")"),0)</f>
        <v>0</v>
      </c>
      <c r="J35" s="76">
        <f ca="1">IFERROR(__xludf.DUMMYFUNCTION("IMPORTRANGE(""https://docs.google.com/spreadsheets/d/1EXMBoBxU3OFbjT2TRpneM33qFjqDzrKmn9ydcflfI0o/edit?usp=sharing"",""นครพนม!N662"")"),0)</f>
        <v>0</v>
      </c>
      <c r="K35" s="76">
        <f ca="1">IFERROR(__xludf.DUMMYFUNCTION("IMPORTRANGE(""https://docs.google.com/spreadsheets/d/1EXMBoBxU3OFbjT2TRpneM33qFjqDzrKmn9ydcflfI0o/edit?usp=sharing"",""นครพนม!N663"")"),0)</f>
        <v>0</v>
      </c>
      <c r="L35" s="76">
        <f ca="1">IFERROR(__xludf.DUMMYFUNCTION("IMPORTRANGE(""https://docs.google.com/spreadsheets/d/1EXMBoBxU3OFbjT2TRpneM33qFjqDzrKmn9ydcflfI0o/edit?usp=sharing"",""นครพนม!N664"")"),5089)</f>
        <v>5089</v>
      </c>
      <c r="M35" s="80">
        <f ca="1">IFERROR(__xludf.DUMMYFUNCTION("IMPORTRANGE(""https://docs.google.com/spreadsheets/d/1EXMBoBxU3OFbjT2TRpneM33qFjqDzrKmn9ydcflfI0o/edit?usp=sharing"",""นครพนม!N667"")"),0)</f>
        <v>0</v>
      </c>
      <c r="N35" s="80">
        <f t="shared" ca="1" si="31"/>
        <v>0</v>
      </c>
      <c r="O35" s="81">
        <f ca="1">IFERROR(__xludf.DUMMYFUNCTION("IMPORTRANGE(""https://docs.google.com/spreadsheets/d/1EXMBoBxU3OFbjT2TRpneM33qFjqDzrKmn9ydcflfI0o/edit?usp=sharing"",""นครพนม!I669"")"),50)</f>
        <v>50</v>
      </c>
      <c r="P35" s="81">
        <f ca="1">IFERROR(__xludf.DUMMYFUNCTION("IMPORTRANGE(""https://docs.google.com/spreadsheets/d/1EXMBoBxU3OFbjT2TRpneM33qFjqDzrKmn9ydcflfI0o/edit?usp=sharing"",""นครพนม!J669"")"),0)</f>
        <v>0</v>
      </c>
      <c r="Q35" s="82">
        <f t="shared" ca="1" si="25"/>
        <v>0</v>
      </c>
      <c r="R35" s="81">
        <f ca="1">IFERROR(__xludf.DUMMYFUNCTION("IMPORTRANGE(""https://docs.google.com/spreadsheets/d/1EXMBoBxU3OFbjT2TRpneM33qFjqDzrKmn9ydcflfI0o/edit?usp=sharing"",""นครพนม!I670"")"),5)</f>
        <v>5</v>
      </c>
      <c r="S35" s="81">
        <f ca="1">IFERROR(__xludf.DUMMYFUNCTION("IMPORTRANGE(""https://docs.google.com/spreadsheets/d/1EXMBoBxU3OFbjT2TRpneM33qFjqDzrKmn9ydcflfI0o/edit?usp=sharing"",""นครพนม!J670"")"),5)</f>
        <v>5</v>
      </c>
      <c r="T35" s="82">
        <f t="shared" ca="1" si="26"/>
        <v>100</v>
      </c>
      <c r="U35" s="81">
        <f ca="1">IFERROR(__xludf.DUMMYFUNCTION("IMPORTRANGE(""https://docs.google.com/spreadsheets/d/1EXMBoBxU3OFbjT2TRpneM33qFjqDzrKmn9ydcflfI0o/edit?usp=sharing"",""นครพนม!I671"")"),5)</f>
        <v>5</v>
      </c>
      <c r="V35" s="81">
        <f ca="1">IFERROR(__xludf.DUMMYFUNCTION("IMPORTRANGE(""https://docs.google.com/spreadsheets/d/1EXMBoBxU3OFbjT2TRpneM33qFjqDzrKmn9ydcflfI0o/edit?usp=sharing"",""นครพนม!J671"")"),5)</f>
        <v>5</v>
      </c>
      <c r="W35" s="82">
        <f t="shared" ca="1" si="27"/>
        <v>100</v>
      </c>
      <c r="X35" s="81">
        <f ca="1">IFERROR(__xludf.DUMMYFUNCTION("IMPORTRANGE(""https://docs.google.com/spreadsheets/d/1EXMBoBxU3OFbjT2TRpneM33qFjqDzrKmn9ydcflfI0o/edit?usp=sharing"",""นครพนม!J672"")"),0)</f>
        <v>0</v>
      </c>
      <c r="Y35" s="276">
        <f t="shared" ca="1" si="11"/>
        <v>0</v>
      </c>
      <c r="Z35" s="81">
        <f ca="1">IFERROR(__xludf.DUMMYFUNCTION("IMPORTRANGE(""https://docs.google.com/spreadsheets/d/1EXMBoBxU3OFbjT2TRpneM33qFjqDzrKmn9ydcflfI0o/edit?usp=sharing"",""นครพนม!J673"")"),0)</f>
        <v>0</v>
      </c>
      <c r="AA35" s="276">
        <f t="shared" ca="1" si="12"/>
        <v>0</v>
      </c>
      <c r="AB35" s="276">
        <f ca="1">IFERROR(__xludf.DUMMYFUNCTION("IMPORTRANGE(""https://docs.google.com/spreadsheets/d/1EXMBoBxU3OFbjT2TRpneM33qFjqDzrKmn9ydcflfI0o/edit?usp=sharing"",""นครพนม!J674"")"),0)</f>
        <v>0</v>
      </c>
      <c r="AC35" s="82">
        <f t="shared" ca="1" si="13"/>
        <v>0</v>
      </c>
      <c r="AD35" s="276">
        <f ca="1">IFERROR(__xludf.DUMMYFUNCTION("IMPORTRANGE(""https://docs.google.com/spreadsheets/d/1EXMBoBxU3OFbjT2TRpneM33qFjqDzrKmn9ydcflfI0o/edit?usp=sharing"",""นครพนม!J675"")"),0)</f>
        <v>0</v>
      </c>
      <c r="AE35" s="82">
        <f t="shared" ca="1" si="22"/>
        <v>0</v>
      </c>
      <c r="AF35" s="276">
        <f ca="1">IFERROR(__xludf.DUMMYFUNCTION("IMPORTRANGE(""https://docs.google.com/spreadsheets/d/1EXMBoBxU3OFbjT2TRpneM33qFjqDzrKmn9ydcflfI0o/edit?usp=sharing"",""นครพนม!J676"")"),0)</f>
        <v>0</v>
      </c>
      <c r="AG35" s="276">
        <f ca="1">IFERROR(__xludf.DUMMYFUNCTION("IMPORTRANGE(""https://docs.google.com/spreadsheets/d/1EXMBoBxU3OFbjT2TRpneM33qFjqDzrKmn9ydcflfI0o/edit?usp=sharing"",""นครพนม!J677"")"),0)</f>
        <v>0</v>
      </c>
      <c r="AH35" s="81">
        <f ca="1">IFERROR(__xludf.DUMMYFUNCTION("IMPORTRANGE(""https://docs.google.com/spreadsheets/d/1EXMBoBxU3OFbjT2TRpneM33qFjqDzrKmn9ydcflfI0o/edit?usp=sharing"",""นครพนม!I678"")"),0)</f>
        <v>0</v>
      </c>
      <c r="AI35" s="81">
        <f ca="1">IFERROR(__xludf.DUMMYFUNCTION("IMPORTRANGE(""https://docs.google.com/spreadsheets/d/1EXMBoBxU3OFbjT2TRpneM33qFjqDzrKmn9ydcflfI0o/edit?usp=sharing"",""นครพนม!J678"")"),0)</f>
        <v>0</v>
      </c>
      <c r="AJ35" s="82">
        <f t="shared" ca="1" si="28"/>
        <v>0</v>
      </c>
      <c r="AK35" s="81">
        <f ca="1">IFERROR(__xludf.DUMMYFUNCTION("IMPORTRANGE(""https://docs.google.com/spreadsheets/d/1EXMBoBxU3OFbjT2TRpneM33qFjqDzrKmn9ydcflfI0o/edit?usp=sharing"",""นครพนม!J679"")"),0)</f>
        <v>0</v>
      </c>
      <c r="AL35" s="81">
        <f ca="1">IFERROR(__xludf.DUMMYFUNCTION("IMPORTRANGE(""https://docs.google.com/spreadsheets/d/1EXMBoBxU3OFbjT2TRpneM33qFjqDzrKmn9ydcflfI0o/edit?usp=sharing"",""นครพนม!J680"")"),0)</f>
        <v>0</v>
      </c>
      <c r="AM35" s="81">
        <f ca="1">IFERROR(__xludf.DUMMYFUNCTION("IMPORTRANGE(""https://docs.google.com/spreadsheets/d/1EXMBoBxU3OFbjT2TRpneM33qFjqDzrKmn9ydcflfI0o/edit?usp=sharing"",""นครพนม!J681"")"),0)</f>
        <v>0</v>
      </c>
      <c r="AN35" s="81">
        <f ca="1">IFERROR(__xludf.DUMMYFUNCTION("IMPORTRANGE(""https://docs.google.com/spreadsheets/d/1EXMBoBxU3OFbjT2TRpneM33qFjqDzrKmn9ydcflfI0o/edit?usp=sharing"",""นครพนม!J682"")"),0)</f>
        <v>0</v>
      </c>
      <c r="AO35" s="81">
        <f ca="1">IFERROR(__xludf.DUMMYFUNCTION("IMPORTRANGE(""https://docs.google.com/spreadsheets/d/1EXMBoBxU3OFbjT2TRpneM33qFjqDzrKmn9ydcflfI0o/edit?usp=sharing"",""นครพนม!J683"")"),0)</f>
        <v>0</v>
      </c>
    </row>
    <row r="36" spans="1:41" ht="21" customHeight="1" x14ac:dyDescent="0.2">
      <c r="A36" s="72">
        <v>5</v>
      </c>
      <c r="B36" s="73" t="s">
        <v>53</v>
      </c>
      <c r="C36" s="74">
        <f t="shared" ca="1" si="46"/>
        <v>28800</v>
      </c>
      <c r="D36" s="75">
        <f ca="1">IFERROR(__xludf.DUMMYFUNCTION("IMPORTRANGE(""https://docs.google.com/spreadsheets/d/1bDQrolntRWtHumK8W-x-HXKntwxB9S3sF5aDeRS66Ko/edit?usp=sharing"",""นครราชสีมา!L660"")"),28800)</f>
        <v>28800</v>
      </c>
      <c r="E36" s="76">
        <f ca="1">IFERROR(__xludf.DUMMYFUNCTION("IMPORTRANGE(""https://docs.google.com/spreadsheets/d/1bDQrolntRWtHumK8W-x-HXKntwxB9S3sF5aDeRS66Ko/edit?usp=sharing"",""นครราชสีมา!L667"")"),0)</f>
        <v>0</v>
      </c>
      <c r="F36" s="77">
        <f t="shared" ca="1" si="1"/>
        <v>18440</v>
      </c>
      <c r="G36" s="78">
        <f t="shared" ca="1" si="2"/>
        <v>64.027777777777771</v>
      </c>
      <c r="H36" s="79">
        <f t="shared" ca="1" si="47"/>
        <v>18440</v>
      </c>
      <c r="I36" s="76">
        <f ca="1">IFERROR(__xludf.DUMMYFUNCTION("IMPORTRANGE(""https://docs.google.com/spreadsheets/d/1bDQrolntRWtHumK8W-x-HXKntwxB9S3sF5aDeRS66Ko/edit?usp=sharing"",""นครราชสีมา!N661"")"),0)</f>
        <v>0</v>
      </c>
      <c r="J36" s="76">
        <f ca="1">IFERROR(__xludf.DUMMYFUNCTION("IMPORTRANGE(""https://docs.google.com/spreadsheets/d/1bDQrolntRWtHumK8W-x-HXKntwxB9S3sF5aDeRS66Ko/edit?usp=sharing"",""นครราชสีมา!N662"")"),0)</f>
        <v>0</v>
      </c>
      <c r="K36" s="76">
        <f ca="1">IFERROR(__xludf.DUMMYFUNCTION("IMPORTRANGE(""https://docs.google.com/spreadsheets/d/1bDQrolntRWtHumK8W-x-HXKntwxB9S3sF5aDeRS66Ko/edit?usp=sharing"",""นครราชสีมา!N663"")"),0)</f>
        <v>0</v>
      </c>
      <c r="L36" s="76">
        <f ca="1">IFERROR(__xludf.DUMMYFUNCTION("IMPORTRANGE(""https://docs.google.com/spreadsheets/d/1bDQrolntRWtHumK8W-x-HXKntwxB9S3sF5aDeRS66Ko/edit?usp=sharing"",""นครราชสีมา!N664"")"),18440)</f>
        <v>18440</v>
      </c>
      <c r="M36" s="80">
        <f ca="1">IFERROR(__xludf.DUMMYFUNCTION("IMPORTRANGE(""https://docs.google.com/spreadsheets/d/1bDQrolntRWtHumK8W-x-HXKntwxB9S3sF5aDeRS66Ko/edit?usp=sharing"",""นครราชสีมา!N667"")"),0)</f>
        <v>0</v>
      </c>
      <c r="N36" s="80">
        <f t="shared" ca="1" si="31"/>
        <v>0</v>
      </c>
      <c r="O36" s="81">
        <f ca="1">IFERROR(__xludf.DUMMYFUNCTION("IMPORTRANGE(""https://docs.google.com/spreadsheets/d/1bDQrolntRWtHumK8W-x-HXKntwxB9S3sF5aDeRS66Ko/edit?usp=sharing"",""นครราชสีมา!I669"")"),320)</f>
        <v>320</v>
      </c>
      <c r="P36" s="81">
        <f ca="1">IFERROR(__xludf.DUMMYFUNCTION("IMPORTRANGE(""https://docs.google.com/spreadsheets/d/1bDQrolntRWtHumK8W-x-HXKntwxB9S3sF5aDeRS66Ko/edit?usp=sharing"",""นครราชสีมา!J669"")"),0)</f>
        <v>0</v>
      </c>
      <c r="Q36" s="82">
        <f t="shared" ca="1" si="25"/>
        <v>0</v>
      </c>
      <c r="R36" s="81">
        <f ca="1">IFERROR(__xludf.DUMMYFUNCTION("IMPORTRANGE(""https://docs.google.com/spreadsheets/d/1bDQrolntRWtHumK8W-x-HXKntwxB9S3sF5aDeRS66Ko/edit?usp=sharing"",""นครราชสีมา!I670"")"),6)</f>
        <v>6</v>
      </c>
      <c r="S36" s="81">
        <f ca="1">IFERROR(__xludf.DUMMYFUNCTION("IMPORTRANGE(""https://docs.google.com/spreadsheets/d/1bDQrolntRWtHumK8W-x-HXKntwxB9S3sF5aDeRS66Ko/edit?usp=sharing"",""นครราชสีมา!J670"")"),6)</f>
        <v>6</v>
      </c>
      <c r="T36" s="82">
        <f t="shared" ca="1" si="26"/>
        <v>100</v>
      </c>
      <c r="U36" s="81">
        <f ca="1">IFERROR(__xludf.DUMMYFUNCTION("IMPORTRANGE(""https://docs.google.com/spreadsheets/d/1bDQrolntRWtHumK8W-x-HXKntwxB9S3sF5aDeRS66Ko/edit?usp=sharing"",""นครราชสีมา!I671"")"),6)</f>
        <v>6</v>
      </c>
      <c r="V36" s="81">
        <f ca="1">IFERROR(__xludf.DUMMYFUNCTION("IMPORTRANGE(""https://docs.google.com/spreadsheets/d/1bDQrolntRWtHumK8W-x-HXKntwxB9S3sF5aDeRS66Ko/edit?usp=sharing"",""นครราชสีมา!J671"")"),6)</f>
        <v>6</v>
      </c>
      <c r="W36" s="82">
        <f t="shared" ca="1" si="27"/>
        <v>100</v>
      </c>
      <c r="X36" s="81">
        <f ca="1">IFERROR(__xludf.DUMMYFUNCTION("IMPORTRANGE(""https://docs.google.com/spreadsheets/d/1bDQrolntRWtHumK8W-x-HXKntwxB9S3sF5aDeRS66Ko/edit?usp=sharing"",""นครราชสีมา!J672"")"),2596)</f>
        <v>2596</v>
      </c>
      <c r="Y36" s="276">
        <f t="shared" ca="1" si="11"/>
        <v>811.25</v>
      </c>
      <c r="Z36" s="81">
        <f ca="1">IFERROR(__xludf.DUMMYFUNCTION("IMPORTRANGE(""https://docs.google.com/spreadsheets/d/1bDQrolntRWtHumK8W-x-HXKntwxB9S3sF5aDeRS66Ko/edit?usp=sharing"",""นครราชสีมา!J673"")"),1223)</f>
        <v>1223</v>
      </c>
      <c r="AA36" s="276">
        <f t="shared" ca="1" si="12"/>
        <v>382.1875</v>
      </c>
      <c r="AB36" s="276">
        <f ca="1">IFERROR(__xludf.DUMMYFUNCTION("IMPORTRANGE(""https://docs.google.com/spreadsheets/d/1bDQrolntRWtHumK8W-x-HXKntwxB9S3sF5aDeRS66Ko/edit?usp=sharing"",""นครราชสีมา!J674"")"),0)</f>
        <v>0</v>
      </c>
      <c r="AC36" s="82">
        <f t="shared" ca="1" si="13"/>
        <v>0</v>
      </c>
      <c r="AD36" s="276">
        <f ca="1">IFERROR(__xludf.DUMMYFUNCTION("IMPORTRANGE(""https://docs.google.com/spreadsheets/d/1bDQrolntRWtHumK8W-x-HXKntwxB9S3sF5aDeRS66Ko/edit?usp=sharing"",""นครราชสีมา!J675"")"),0)</f>
        <v>0</v>
      </c>
      <c r="AE36" s="82">
        <f t="shared" ca="1" si="22"/>
        <v>0</v>
      </c>
      <c r="AF36" s="276">
        <f ca="1">IFERROR(__xludf.DUMMYFUNCTION("IMPORTRANGE(""https://docs.google.com/spreadsheets/d/1bDQrolntRWtHumK8W-x-HXKntwxB9S3sF5aDeRS66Ko/edit?usp=sharing"",""นครราชสีมา!J676"")"),0)</f>
        <v>0</v>
      </c>
      <c r="AG36" s="276">
        <f ca="1">IFERROR(__xludf.DUMMYFUNCTION("IMPORTRANGE(""https://docs.google.com/spreadsheets/d/1bDQrolntRWtHumK8W-x-HXKntwxB9S3sF5aDeRS66Ko/edit?usp=sharing"",""นครราชสีมา!J677"")"),0)</f>
        <v>0</v>
      </c>
      <c r="AH36" s="81">
        <f ca="1">IFERROR(__xludf.DUMMYFUNCTION("IMPORTRANGE(""https://docs.google.com/spreadsheets/d/1bDQrolntRWtHumK8W-x-HXKntwxB9S3sF5aDeRS66Ko/edit?usp=sharing"",""นครราชสีมา!I678"")"),0)</f>
        <v>0</v>
      </c>
      <c r="AI36" s="81">
        <f ca="1">IFERROR(__xludf.DUMMYFUNCTION("IMPORTRANGE(""https://docs.google.com/spreadsheets/d/1bDQrolntRWtHumK8W-x-HXKntwxB9S3sF5aDeRS66Ko/edit?usp=sharing"",""นครราชสีมา!J678"")"),0)</f>
        <v>0</v>
      </c>
      <c r="AJ36" s="82">
        <f t="shared" ca="1" si="28"/>
        <v>0</v>
      </c>
      <c r="AK36" s="81">
        <f ca="1">IFERROR(__xludf.DUMMYFUNCTION("IMPORTRANGE(""https://docs.google.com/spreadsheets/d/1bDQrolntRWtHumK8W-x-HXKntwxB9S3sF5aDeRS66Ko/edit?usp=sharing"",""นครราชสีมา!J679"")"),0)</f>
        <v>0</v>
      </c>
      <c r="AL36" s="81">
        <f ca="1">IFERROR(__xludf.DUMMYFUNCTION("IMPORTRANGE(""https://docs.google.com/spreadsheets/d/1bDQrolntRWtHumK8W-x-HXKntwxB9S3sF5aDeRS66Ko/edit?usp=sharing"",""นครราชสีมา!J680"")"),0)</f>
        <v>0</v>
      </c>
      <c r="AM36" s="81">
        <f ca="1">IFERROR(__xludf.DUMMYFUNCTION("IMPORTRANGE(""https://docs.google.com/spreadsheets/d/1bDQrolntRWtHumK8W-x-HXKntwxB9S3sF5aDeRS66Ko/edit?usp=sharing"",""นครราชสีมา!J681"")"),0)</f>
        <v>0</v>
      </c>
      <c r="AN36" s="81">
        <f ca="1">IFERROR(__xludf.DUMMYFUNCTION("IMPORTRANGE(""https://docs.google.com/spreadsheets/d/1bDQrolntRWtHumK8W-x-HXKntwxB9S3sF5aDeRS66Ko/edit?usp=sharing"",""นครราชสีมา!J682"")"),0)</f>
        <v>0</v>
      </c>
      <c r="AO36" s="81">
        <f ca="1">IFERROR(__xludf.DUMMYFUNCTION("IMPORTRANGE(""https://docs.google.com/spreadsheets/d/1bDQrolntRWtHumK8W-x-HXKntwxB9S3sF5aDeRS66Ko/edit?usp=sharing"",""นครราชสีมา!J683"")"),0)</f>
        <v>0</v>
      </c>
    </row>
    <row r="37" spans="1:41" ht="21" customHeight="1" x14ac:dyDescent="0.2">
      <c r="A37" s="72">
        <v>6</v>
      </c>
      <c r="B37" s="73" t="s">
        <v>54</v>
      </c>
      <c r="C37" s="74">
        <f t="shared" ca="1" si="46"/>
        <v>0</v>
      </c>
      <c r="D37" s="75">
        <f ca="1">IFERROR(__xludf.DUMMYFUNCTION("IMPORTRANGE(""https://docs.google.com/spreadsheets/d/1_MzZ-2gVPiCW-d2VcafoCmFJQTSrZ6SQyFcMqRRQQ2w/edit?usp=sharing"",""บึงกาฬ!L660"")"),0)</f>
        <v>0</v>
      </c>
      <c r="E37" s="76">
        <f ca="1">IFERROR(__xludf.DUMMYFUNCTION("IMPORTRANGE(""https://docs.google.com/spreadsheets/d/1_MzZ-2gVPiCW-d2VcafoCmFJQTSrZ6SQyFcMqRRQQ2w/edit?usp=sharing"",""บึงกาฬ!L667"")"),0)</f>
        <v>0</v>
      </c>
      <c r="F37" s="77">
        <f t="shared" ca="1" si="1"/>
        <v>0</v>
      </c>
      <c r="G37" s="78">
        <f t="shared" ca="1" si="2"/>
        <v>0</v>
      </c>
      <c r="H37" s="79">
        <f t="shared" ca="1" si="47"/>
        <v>0</v>
      </c>
      <c r="I37" s="76">
        <f ca="1">IFERROR(__xludf.DUMMYFUNCTION("IMPORTRANGE(""https://docs.google.com/spreadsheets/d/1_MzZ-2gVPiCW-d2VcafoCmFJQTSrZ6SQyFcMqRRQQ2w/edit?usp=sharing"",""บึงกาฬ!N661"")"),0)</f>
        <v>0</v>
      </c>
      <c r="J37" s="76">
        <f ca="1">IFERROR(__xludf.DUMMYFUNCTION("IMPORTRANGE(""https://docs.google.com/spreadsheets/d/1_MzZ-2gVPiCW-d2VcafoCmFJQTSrZ6SQyFcMqRRQQ2w/edit?usp=sharing"",""บึงกาฬ!N662"")"),0)</f>
        <v>0</v>
      </c>
      <c r="K37" s="76">
        <f ca="1">IFERROR(__xludf.DUMMYFUNCTION("IMPORTRANGE(""https://docs.google.com/spreadsheets/d/1_MzZ-2gVPiCW-d2VcafoCmFJQTSrZ6SQyFcMqRRQQ2w/edit?usp=sharing"",""บึงกาฬ!N663"")"),0)</f>
        <v>0</v>
      </c>
      <c r="L37" s="76">
        <f ca="1">IFERROR(__xludf.DUMMYFUNCTION("IMPORTRANGE(""https://docs.google.com/spreadsheets/d/1_MzZ-2gVPiCW-d2VcafoCmFJQTSrZ6SQyFcMqRRQQ2w/edit?usp=sharing"",""บึงกาฬ!N664"")"),0)</f>
        <v>0</v>
      </c>
      <c r="M37" s="80">
        <f ca="1">IFERROR(__xludf.DUMMYFUNCTION("IMPORTRANGE(""https://docs.google.com/spreadsheets/d/1_MzZ-2gVPiCW-d2VcafoCmFJQTSrZ6SQyFcMqRRQQ2w/edit?usp=sharing"",""บึงกาฬ!N667"")"),0)</f>
        <v>0</v>
      </c>
      <c r="N37" s="80">
        <f t="shared" ca="1" si="31"/>
        <v>0</v>
      </c>
      <c r="O37" s="81">
        <f ca="1">IFERROR(__xludf.DUMMYFUNCTION("IMPORTRANGE(""https://docs.google.com/spreadsheets/d/1_MzZ-2gVPiCW-d2VcafoCmFJQTSrZ6SQyFcMqRRQQ2w/edit?usp=sharing"",""บึงกาฬ!I669"")"),0)</f>
        <v>0</v>
      </c>
      <c r="P37" s="81">
        <f ca="1">IFERROR(__xludf.DUMMYFUNCTION("IMPORTRANGE(""https://docs.google.com/spreadsheets/d/1_MzZ-2gVPiCW-d2VcafoCmFJQTSrZ6SQyFcMqRRQQ2w/edit?usp=sharing"",""บึงกาฬ!J669"")"),0)</f>
        <v>0</v>
      </c>
      <c r="Q37" s="82">
        <f t="shared" ca="1" si="25"/>
        <v>0</v>
      </c>
      <c r="R37" s="81">
        <f ca="1">IFERROR(__xludf.DUMMYFUNCTION("IMPORTRANGE(""https://docs.google.com/spreadsheets/d/1_MzZ-2gVPiCW-d2VcafoCmFJQTSrZ6SQyFcMqRRQQ2w/edit?usp=sharing"",""บึงกาฬ!I670"")"),0)</f>
        <v>0</v>
      </c>
      <c r="S37" s="81">
        <f ca="1">IFERROR(__xludf.DUMMYFUNCTION("IMPORTRANGE(""https://docs.google.com/spreadsheets/d/1_MzZ-2gVPiCW-d2VcafoCmFJQTSrZ6SQyFcMqRRQQ2w/edit?usp=sharing"",""บึงกาฬ!J670"")"),0)</f>
        <v>0</v>
      </c>
      <c r="T37" s="82">
        <f t="shared" ca="1" si="26"/>
        <v>0</v>
      </c>
      <c r="U37" s="81">
        <f ca="1">IFERROR(__xludf.DUMMYFUNCTION("IMPORTRANGE(""https://docs.google.com/spreadsheets/d/1_MzZ-2gVPiCW-d2VcafoCmFJQTSrZ6SQyFcMqRRQQ2w/edit?usp=sharing"",""บึงกาฬ!I671"")"),0)</f>
        <v>0</v>
      </c>
      <c r="V37" s="81">
        <f ca="1">IFERROR(__xludf.DUMMYFUNCTION("IMPORTRANGE(""https://docs.google.com/spreadsheets/d/1_MzZ-2gVPiCW-d2VcafoCmFJQTSrZ6SQyFcMqRRQQ2w/edit?usp=sharing"",""บึงกาฬ!J671"")"),0)</f>
        <v>0</v>
      </c>
      <c r="W37" s="82">
        <f t="shared" ca="1" si="27"/>
        <v>0</v>
      </c>
      <c r="X37" s="81">
        <f ca="1">IFERROR(__xludf.DUMMYFUNCTION("IMPORTRANGE(""https://docs.google.com/spreadsheets/d/1_MzZ-2gVPiCW-d2VcafoCmFJQTSrZ6SQyFcMqRRQQ2w/edit?usp=sharing"",""บึงกาฬ!J672"")"),0)</f>
        <v>0</v>
      </c>
      <c r="Y37" s="276">
        <f t="shared" ca="1" si="11"/>
        <v>0</v>
      </c>
      <c r="Z37" s="81">
        <f ca="1">IFERROR(__xludf.DUMMYFUNCTION("IMPORTRANGE(""https://docs.google.com/spreadsheets/d/1_MzZ-2gVPiCW-d2VcafoCmFJQTSrZ6SQyFcMqRRQQ2w/edit?usp=sharing"",""บึงกาฬ!J673"")"),0)</f>
        <v>0</v>
      </c>
      <c r="AA37" s="276">
        <f t="shared" ca="1" si="12"/>
        <v>0</v>
      </c>
      <c r="AB37" s="276">
        <f ca="1">IFERROR(__xludf.DUMMYFUNCTION("IMPORTRANGE(""https://docs.google.com/spreadsheets/d/1_MzZ-2gVPiCW-d2VcafoCmFJQTSrZ6SQyFcMqRRQQ2w/edit?usp=sharing"",""บึงกาฬ!J674"")"),0)</f>
        <v>0</v>
      </c>
      <c r="AC37" s="82">
        <f t="shared" ca="1" si="13"/>
        <v>0</v>
      </c>
      <c r="AD37" s="276">
        <f ca="1">IFERROR(__xludf.DUMMYFUNCTION("IMPORTRANGE(""https://docs.google.com/spreadsheets/d/1_MzZ-2gVPiCW-d2VcafoCmFJQTSrZ6SQyFcMqRRQQ2w/edit?usp=sharing"",""บึงกาฬ!J675"")"),0)</f>
        <v>0</v>
      </c>
      <c r="AE37" s="82">
        <f t="shared" ca="1" si="22"/>
        <v>0</v>
      </c>
      <c r="AF37" s="276">
        <f ca="1">IFERROR(__xludf.DUMMYFUNCTION("IMPORTRANGE(""https://docs.google.com/spreadsheets/d/1_MzZ-2gVPiCW-d2VcafoCmFJQTSrZ6SQyFcMqRRQQ2w/edit?usp=sharing"",""บึงกาฬ!J676"")"),0)</f>
        <v>0</v>
      </c>
      <c r="AG37" s="276">
        <f ca="1">IFERROR(__xludf.DUMMYFUNCTION("IMPORTRANGE(""https://docs.google.com/spreadsheets/d/1_MzZ-2gVPiCW-d2VcafoCmFJQTSrZ6SQyFcMqRRQQ2w/edit?usp=sharing"",""บึงกาฬ!J677"")"),0)</f>
        <v>0</v>
      </c>
      <c r="AH37" s="81">
        <f ca="1">IFERROR(__xludf.DUMMYFUNCTION("IMPORTRANGE(""https://docs.google.com/spreadsheets/d/1_MzZ-2gVPiCW-d2VcafoCmFJQTSrZ6SQyFcMqRRQQ2w/edit?usp=sharing"",""บึงกาฬ!I678"")"),0)</f>
        <v>0</v>
      </c>
      <c r="AI37" s="81">
        <f ca="1">IFERROR(__xludf.DUMMYFUNCTION("IMPORTRANGE(""https://docs.google.com/spreadsheets/d/1_MzZ-2gVPiCW-d2VcafoCmFJQTSrZ6SQyFcMqRRQQ2w/edit?usp=sharing"",""บึงกาฬ!J678"")"),0)</f>
        <v>0</v>
      </c>
      <c r="AJ37" s="82">
        <f t="shared" ca="1" si="28"/>
        <v>0</v>
      </c>
      <c r="AK37" s="81">
        <f ca="1">IFERROR(__xludf.DUMMYFUNCTION("IMPORTRANGE(""https://docs.google.com/spreadsheets/d/1_MzZ-2gVPiCW-d2VcafoCmFJQTSrZ6SQyFcMqRRQQ2w/edit?usp=sharing"",""บึงกาฬ!J679"")"),0)</f>
        <v>0</v>
      </c>
      <c r="AL37" s="81">
        <f ca="1">IFERROR(__xludf.DUMMYFUNCTION("IMPORTRANGE(""https://docs.google.com/spreadsheets/d/1_MzZ-2gVPiCW-d2VcafoCmFJQTSrZ6SQyFcMqRRQQ2w/edit?usp=sharing"",""บึงกาฬ!J680"")"),0)</f>
        <v>0</v>
      </c>
      <c r="AM37" s="81">
        <f ca="1">IFERROR(__xludf.DUMMYFUNCTION("IMPORTRANGE(""https://docs.google.com/spreadsheets/d/1_MzZ-2gVPiCW-d2VcafoCmFJQTSrZ6SQyFcMqRRQQ2w/edit?usp=sharing"",""บึงกาฬ!J681"")"),0)</f>
        <v>0</v>
      </c>
      <c r="AN37" s="81">
        <f ca="1">IFERROR(__xludf.DUMMYFUNCTION("IMPORTRANGE(""https://docs.google.com/spreadsheets/d/1_MzZ-2gVPiCW-d2VcafoCmFJQTSrZ6SQyFcMqRRQQ2w/edit?usp=sharing"",""บึงกาฬ!J682"")"),0)</f>
        <v>0</v>
      </c>
      <c r="AO37" s="81">
        <f ca="1">IFERROR(__xludf.DUMMYFUNCTION("IMPORTRANGE(""https://docs.google.com/spreadsheets/d/1_MzZ-2gVPiCW-d2VcafoCmFJQTSrZ6SQyFcMqRRQQ2w/edit?usp=sharing"",""บึงกาฬ!J683"")"),0)</f>
        <v>0</v>
      </c>
    </row>
    <row r="38" spans="1:41" ht="21" customHeight="1" x14ac:dyDescent="0.2">
      <c r="A38" s="72">
        <v>7</v>
      </c>
      <c r="B38" s="73" t="s">
        <v>55</v>
      </c>
      <c r="C38" s="74">
        <f t="shared" ca="1" si="46"/>
        <v>15600</v>
      </c>
      <c r="D38" s="75">
        <f ca="1">IFERROR(__xludf.DUMMYFUNCTION("IMPORTRANGE(""https://docs.google.com/spreadsheets/d/1B3lPpzOuaNwVItLwLEZYl_qEblfcx7dRnbRkAw0l-pE/edit?usp=sharing"",""บุรีรัมย์!L660"")"),15600)</f>
        <v>15600</v>
      </c>
      <c r="E38" s="76">
        <f ca="1">IFERROR(__xludf.DUMMYFUNCTION("IMPORTRANGE(""https://docs.google.com/spreadsheets/d/1B3lPpzOuaNwVItLwLEZYl_qEblfcx7dRnbRkAw0l-pE/edit?usp=sharing"",""บุรีรัมย์!L667"")"),0)</f>
        <v>0</v>
      </c>
      <c r="F38" s="77">
        <f t="shared" ca="1" si="1"/>
        <v>3100</v>
      </c>
      <c r="G38" s="78">
        <f t="shared" ca="1" si="2"/>
        <v>19.871794871794872</v>
      </c>
      <c r="H38" s="79">
        <f t="shared" ca="1" si="47"/>
        <v>3100</v>
      </c>
      <c r="I38" s="76">
        <f ca="1">IFERROR(__xludf.DUMMYFUNCTION("IMPORTRANGE(""https://docs.google.com/spreadsheets/d/1B3lPpzOuaNwVItLwLEZYl_qEblfcx7dRnbRkAw0l-pE/edit?usp=sharing"",""บุรีรัมย์!N661"")"),0)</f>
        <v>0</v>
      </c>
      <c r="J38" s="76">
        <f ca="1">IFERROR(__xludf.DUMMYFUNCTION("IMPORTRANGE(""https://docs.google.com/spreadsheets/d/1B3lPpzOuaNwVItLwLEZYl_qEblfcx7dRnbRkAw0l-pE/edit?usp=sharing"",""บุรีรัมย์!N662"")"),0)</f>
        <v>0</v>
      </c>
      <c r="K38" s="76">
        <f ca="1">IFERROR(__xludf.DUMMYFUNCTION("IMPORTRANGE(""https://docs.google.com/spreadsheets/d/1B3lPpzOuaNwVItLwLEZYl_qEblfcx7dRnbRkAw0l-pE/edit?usp=sharing"",""บุรีรัมย์!N663"")"),0)</f>
        <v>0</v>
      </c>
      <c r="L38" s="76">
        <f ca="1">IFERROR(__xludf.DUMMYFUNCTION("IMPORTRANGE(""https://docs.google.com/spreadsheets/d/1B3lPpzOuaNwVItLwLEZYl_qEblfcx7dRnbRkAw0l-pE/edit?usp=sharing"",""บุรีรัมย์!N664"")"),3100)</f>
        <v>3100</v>
      </c>
      <c r="M38" s="80">
        <f ca="1">IFERROR(__xludf.DUMMYFUNCTION("IMPORTRANGE(""https://docs.google.com/spreadsheets/d/1B3lPpzOuaNwVItLwLEZYl_qEblfcx7dRnbRkAw0l-pE/edit?usp=sharing"",""บุรีรัมย์!N667"")"),0)</f>
        <v>0</v>
      </c>
      <c r="N38" s="80">
        <f t="shared" ca="1" si="31"/>
        <v>0</v>
      </c>
      <c r="O38" s="81">
        <f ca="1">IFERROR(__xludf.DUMMYFUNCTION("IMPORTRANGE(""https://docs.google.com/spreadsheets/d/1B3lPpzOuaNwVItLwLEZYl_qEblfcx7dRnbRkAw0l-pE/edit?usp=sharing"",""บุรีรัมย์!I669"")"),100)</f>
        <v>100</v>
      </c>
      <c r="P38" s="81">
        <f ca="1">IFERROR(__xludf.DUMMYFUNCTION("IMPORTRANGE(""https://docs.google.com/spreadsheets/d/1B3lPpzOuaNwVItLwLEZYl_qEblfcx7dRnbRkAw0l-pE/edit?usp=sharing"",""บุรีรัมย์!J669"")"),0)</f>
        <v>0</v>
      </c>
      <c r="Q38" s="82">
        <f t="shared" ca="1" si="25"/>
        <v>0</v>
      </c>
      <c r="R38" s="81">
        <f ca="1">IFERROR(__xludf.DUMMYFUNCTION("IMPORTRANGE(""https://docs.google.com/spreadsheets/d/1B3lPpzOuaNwVItLwLEZYl_qEblfcx7dRnbRkAw0l-pE/edit?usp=sharing"",""บุรีรัมย์!I670"")"),6)</f>
        <v>6</v>
      </c>
      <c r="S38" s="81">
        <f ca="1">IFERROR(__xludf.DUMMYFUNCTION("IMPORTRANGE(""https://docs.google.com/spreadsheets/d/1B3lPpzOuaNwVItLwLEZYl_qEblfcx7dRnbRkAw0l-pE/edit?usp=sharing"",""บุรีรัมย์!J670"")"),6)</f>
        <v>6</v>
      </c>
      <c r="T38" s="82">
        <f t="shared" ca="1" si="26"/>
        <v>100</v>
      </c>
      <c r="U38" s="81">
        <f ca="1">IFERROR(__xludf.DUMMYFUNCTION("IMPORTRANGE(""https://docs.google.com/spreadsheets/d/1B3lPpzOuaNwVItLwLEZYl_qEblfcx7dRnbRkAw0l-pE/edit?usp=sharing"",""บุรีรัมย์!I671"")"),6)</f>
        <v>6</v>
      </c>
      <c r="V38" s="81">
        <f ca="1">IFERROR(__xludf.DUMMYFUNCTION("IMPORTRANGE(""https://docs.google.com/spreadsheets/d/1B3lPpzOuaNwVItLwLEZYl_qEblfcx7dRnbRkAw0l-pE/edit?usp=sharing"",""บุรีรัมย์!J671"")"),6)</f>
        <v>6</v>
      </c>
      <c r="W38" s="82">
        <f t="shared" ca="1" si="27"/>
        <v>100</v>
      </c>
      <c r="X38" s="81">
        <f ca="1">IFERROR(__xludf.DUMMYFUNCTION("IMPORTRANGE(""https://docs.google.com/spreadsheets/d/1B3lPpzOuaNwVItLwLEZYl_qEblfcx7dRnbRkAw0l-pE/edit?usp=sharing"",""บุรีรัมย์!J672"")"),77.23)</f>
        <v>77.23</v>
      </c>
      <c r="Y38" s="276">
        <f t="shared" ca="1" si="11"/>
        <v>77.23</v>
      </c>
      <c r="Z38" s="81">
        <f ca="1">IFERROR(__xludf.DUMMYFUNCTION("IMPORTRANGE(""https://docs.google.com/spreadsheets/d/1B3lPpzOuaNwVItLwLEZYl_qEblfcx7dRnbRkAw0l-pE/edit?usp=sharing"",""บุรีรัมย์!J673"")"),0)</f>
        <v>0</v>
      </c>
      <c r="AA38" s="276">
        <f t="shared" ca="1" si="12"/>
        <v>0</v>
      </c>
      <c r="AB38" s="276">
        <f ca="1">IFERROR(__xludf.DUMMYFUNCTION("IMPORTRANGE(""https://docs.google.com/spreadsheets/d/1B3lPpzOuaNwVItLwLEZYl_qEblfcx7dRnbRkAw0l-pE/edit?usp=sharing"",""บุรีรัมย์!J674"")"),0)</f>
        <v>0</v>
      </c>
      <c r="AC38" s="82">
        <f t="shared" ca="1" si="13"/>
        <v>0</v>
      </c>
      <c r="AD38" s="276">
        <f ca="1">IFERROR(__xludf.DUMMYFUNCTION("IMPORTRANGE(""https://docs.google.com/spreadsheets/d/1B3lPpzOuaNwVItLwLEZYl_qEblfcx7dRnbRkAw0l-pE/edit?usp=sharing"",""บุรีรัมย์!J675"")"),0)</f>
        <v>0</v>
      </c>
      <c r="AE38" s="82">
        <f t="shared" ca="1" si="22"/>
        <v>0</v>
      </c>
      <c r="AF38" s="276">
        <f ca="1">IFERROR(__xludf.DUMMYFUNCTION("IMPORTRANGE(""https://docs.google.com/spreadsheets/d/1B3lPpzOuaNwVItLwLEZYl_qEblfcx7dRnbRkAw0l-pE/edit?usp=sharing"",""บุรีรัมย์!J676"")"),0)</f>
        <v>0</v>
      </c>
      <c r="AG38" s="276">
        <f ca="1">IFERROR(__xludf.DUMMYFUNCTION("IMPORTRANGE(""https://docs.google.com/spreadsheets/d/1B3lPpzOuaNwVItLwLEZYl_qEblfcx7dRnbRkAw0l-pE/edit?usp=sharing"",""บุรีรัมย์!J677"")"),0)</f>
        <v>0</v>
      </c>
      <c r="AH38" s="81">
        <f ca="1">IFERROR(__xludf.DUMMYFUNCTION("IMPORTRANGE(""https://docs.google.com/spreadsheets/d/1B3lPpzOuaNwVItLwLEZYl_qEblfcx7dRnbRkAw0l-pE/edit?usp=sharing"",""บุรีรัมย์!I678"")"),0)</f>
        <v>0</v>
      </c>
      <c r="AI38" s="81">
        <f ca="1">IFERROR(__xludf.DUMMYFUNCTION("IMPORTRANGE(""https://docs.google.com/spreadsheets/d/1B3lPpzOuaNwVItLwLEZYl_qEblfcx7dRnbRkAw0l-pE/edit?usp=sharing"",""บุรีรัมย์!J678"")"),0)</f>
        <v>0</v>
      </c>
      <c r="AJ38" s="82">
        <f t="shared" ca="1" si="28"/>
        <v>0</v>
      </c>
      <c r="AK38" s="81">
        <f ca="1">IFERROR(__xludf.DUMMYFUNCTION("IMPORTRANGE(""https://docs.google.com/spreadsheets/d/1B3lPpzOuaNwVItLwLEZYl_qEblfcx7dRnbRkAw0l-pE/edit?usp=sharing"",""บุรีรัมย์!J679"")"),0)</f>
        <v>0</v>
      </c>
      <c r="AL38" s="81">
        <f ca="1">IFERROR(__xludf.DUMMYFUNCTION("IMPORTRANGE(""https://docs.google.com/spreadsheets/d/1B3lPpzOuaNwVItLwLEZYl_qEblfcx7dRnbRkAw0l-pE/edit?usp=sharing"",""บุรีรัมย์!J680"")"),0)</f>
        <v>0</v>
      </c>
      <c r="AM38" s="81">
        <f ca="1">IFERROR(__xludf.DUMMYFUNCTION("IMPORTRANGE(""https://docs.google.com/spreadsheets/d/1B3lPpzOuaNwVItLwLEZYl_qEblfcx7dRnbRkAw0l-pE/edit?usp=sharing"",""บุรีรัมย์!J681"")"),0)</f>
        <v>0</v>
      </c>
      <c r="AN38" s="81">
        <f ca="1">IFERROR(__xludf.DUMMYFUNCTION("IMPORTRANGE(""https://docs.google.com/spreadsheets/d/1B3lPpzOuaNwVItLwLEZYl_qEblfcx7dRnbRkAw0l-pE/edit?usp=sharing"",""บุรีรัมย์!J682"")"),0)</f>
        <v>0</v>
      </c>
      <c r="AO38" s="81">
        <f ca="1">IFERROR(__xludf.DUMMYFUNCTION("IMPORTRANGE(""https://docs.google.com/spreadsheets/d/1B3lPpzOuaNwVItLwLEZYl_qEblfcx7dRnbRkAw0l-pE/edit?usp=sharing"",""บุรีรัมย์!J683"")"),0)</f>
        <v>0</v>
      </c>
    </row>
    <row r="39" spans="1:41" ht="21" customHeight="1" x14ac:dyDescent="0.2">
      <c r="A39" s="72">
        <v>8</v>
      </c>
      <c r="B39" s="73" t="s">
        <v>56</v>
      </c>
      <c r="C39" s="74">
        <f t="shared" ca="1" si="46"/>
        <v>0</v>
      </c>
      <c r="D39" s="75">
        <f ca="1">IFERROR(__xludf.DUMMYFUNCTION("IMPORTRANGE(""https://docs.google.com/spreadsheets/d/19GOkiOqnzYbevLYWrMk4qFOXe3rX14BkSA8X-mq-a40/edit?usp=sharing"",""มหาสารคาม!L660"")"),0)</f>
        <v>0</v>
      </c>
      <c r="E39" s="76">
        <f ca="1">IFERROR(__xludf.DUMMYFUNCTION("IMPORTRANGE(""https://docs.google.com/spreadsheets/d/19GOkiOqnzYbevLYWrMk4qFOXe3rX14BkSA8X-mq-a40/edit?usp=sharing"",""มหาสารคาม!L667"")"),0)</f>
        <v>0</v>
      </c>
      <c r="F39" s="77">
        <f t="shared" ca="1" si="1"/>
        <v>0</v>
      </c>
      <c r="G39" s="78">
        <f t="shared" ca="1" si="2"/>
        <v>0</v>
      </c>
      <c r="H39" s="79">
        <f t="shared" ca="1" si="47"/>
        <v>0</v>
      </c>
      <c r="I39" s="76">
        <f ca="1">IFERROR(__xludf.DUMMYFUNCTION("IMPORTRANGE(""https://docs.google.com/spreadsheets/d/19GOkiOqnzYbevLYWrMk4qFOXe3rX14BkSA8X-mq-a40/edit?usp=sharing"",""มหาสารคาม!N661"")"),0)</f>
        <v>0</v>
      </c>
      <c r="J39" s="76">
        <f ca="1">IFERROR(__xludf.DUMMYFUNCTION("IMPORTRANGE(""https://docs.google.com/spreadsheets/d/19GOkiOqnzYbevLYWrMk4qFOXe3rX14BkSA8X-mq-a40/edit?usp=sharing"",""มหาสารคาม!N662"")"),0)</f>
        <v>0</v>
      </c>
      <c r="K39" s="76">
        <f ca="1">IFERROR(__xludf.DUMMYFUNCTION("IMPORTRANGE(""https://docs.google.com/spreadsheets/d/19GOkiOqnzYbevLYWrMk4qFOXe3rX14BkSA8X-mq-a40/edit?usp=sharing"",""มหาสารคาม!N663"")"),0)</f>
        <v>0</v>
      </c>
      <c r="L39" s="76">
        <f ca="1">IFERROR(__xludf.DUMMYFUNCTION("IMPORTRANGE(""https://docs.google.com/spreadsheets/d/19GOkiOqnzYbevLYWrMk4qFOXe3rX14BkSA8X-mq-a40/edit?usp=sharing"",""มหาสารคาม!N664"")"),0)</f>
        <v>0</v>
      </c>
      <c r="M39" s="80">
        <f ca="1">IFERROR(__xludf.DUMMYFUNCTION("IMPORTRANGE(""https://docs.google.com/spreadsheets/d/19GOkiOqnzYbevLYWrMk4qFOXe3rX14BkSA8X-mq-a40/edit?usp=sharing"",""มหาสารคาม!N667"")"),0)</f>
        <v>0</v>
      </c>
      <c r="N39" s="80">
        <f t="shared" ca="1" si="31"/>
        <v>0</v>
      </c>
      <c r="O39" s="81">
        <f ca="1">IFERROR(__xludf.DUMMYFUNCTION("IMPORTRANGE(""https://docs.google.com/spreadsheets/d/19GOkiOqnzYbevLYWrMk4qFOXe3rX14BkSA8X-mq-a40/edit?usp=sharing"",""มหาสารคาม!I669"")"),0)</f>
        <v>0</v>
      </c>
      <c r="P39" s="81">
        <f ca="1">IFERROR(__xludf.DUMMYFUNCTION("IMPORTRANGE(""https://docs.google.com/spreadsheets/d/19GOkiOqnzYbevLYWrMk4qFOXe3rX14BkSA8X-mq-a40/edit?usp=sharing"",""มหาสารคาม!J669"")"),0)</f>
        <v>0</v>
      </c>
      <c r="Q39" s="82">
        <f t="shared" ca="1" si="25"/>
        <v>0</v>
      </c>
      <c r="R39" s="81">
        <f ca="1">IFERROR(__xludf.DUMMYFUNCTION("IMPORTRANGE(""https://docs.google.com/spreadsheets/d/19GOkiOqnzYbevLYWrMk4qFOXe3rX14BkSA8X-mq-a40/edit?usp=sharing"",""มหาสารคาม!I670"")"),0)</f>
        <v>0</v>
      </c>
      <c r="S39" s="81">
        <f ca="1">IFERROR(__xludf.DUMMYFUNCTION("IMPORTRANGE(""https://docs.google.com/spreadsheets/d/19GOkiOqnzYbevLYWrMk4qFOXe3rX14BkSA8X-mq-a40/edit?usp=sharing"",""มหาสารคาม!J670"")"),0)</f>
        <v>0</v>
      </c>
      <c r="T39" s="82">
        <f t="shared" ca="1" si="26"/>
        <v>0</v>
      </c>
      <c r="U39" s="81">
        <f ca="1">IFERROR(__xludf.DUMMYFUNCTION("IMPORTRANGE(""https://docs.google.com/spreadsheets/d/19GOkiOqnzYbevLYWrMk4qFOXe3rX14BkSA8X-mq-a40/edit?usp=sharing"",""มหาสารคาม!I671"")"),0)</f>
        <v>0</v>
      </c>
      <c r="V39" s="81">
        <f ca="1">IFERROR(__xludf.DUMMYFUNCTION("IMPORTRANGE(""https://docs.google.com/spreadsheets/d/19GOkiOqnzYbevLYWrMk4qFOXe3rX14BkSA8X-mq-a40/edit?usp=sharing"",""มหาสารคาม!J671"")"),0)</f>
        <v>0</v>
      </c>
      <c r="W39" s="82">
        <f t="shared" ca="1" si="27"/>
        <v>0</v>
      </c>
      <c r="X39" s="81">
        <f ca="1">IFERROR(__xludf.DUMMYFUNCTION("IMPORTRANGE(""https://docs.google.com/spreadsheets/d/19GOkiOqnzYbevLYWrMk4qFOXe3rX14BkSA8X-mq-a40/edit?usp=sharing"",""มหาสารคาม!J672"")"),0)</f>
        <v>0</v>
      </c>
      <c r="Y39" s="276">
        <f t="shared" ca="1" si="11"/>
        <v>0</v>
      </c>
      <c r="Z39" s="81">
        <f ca="1">IFERROR(__xludf.DUMMYFUNCTION("IMPORTRANGE(""https://docs.google.com/spreadsheets/d/19GOkiOqnzYbevLYWrMk4qFOXe3rX14BkSA8X-mq-a40/edit?usp=sharing"",""มหาสารคาม!J673"")"),0)</f>
        <v>0</v>
      </c>
      <c r="AA39" s="276">
        <f t="shared" ca="1" si="12"/>
        <v>0</v>
      </c>
      <c r="AB39" s="276">
        <f ca="1">IFERROR(__xludf.DUMMYFUNCTION("IMPORTRANGE(""https://docs.google.com/spreadsheets/d/19GOkiOqnzYbevLYWrMk4qFOXe3rX14BkSA8X-mq-a40/edit?usp=sharing"",""มหาสารคาม!J674"")"),0)</f>
        <v>0</v>
      </c>
      <c r="AC39" s="82">
        <f t="shared" ca="1" si="13"/>
        <v>0</v>
      </c>
      <c r="AD39" s="276">
        <f ca="1">IFERROR(__xludf.DUMMYFUNCTION("IMPORTRANGE(""https://docs.google.com/spreadsheets/d/19GOkiOqnzYbevLYWrMk4qFOXe3rX14BkSA8X-mq-a40/edit?usp=sharing"",""มหาสารคาม!J675"")"),0)</f>
        <v>0</v>
      </c>
      <c r="AE39" s="82">
        <f t="shared" ca="1" si="22"/>
        <v>0</v>
      </c>
      <c r="AF39" s="276">
        <f ca="1">IFERROR(__xludf.DUMMYFUNCTION("IMPORTRANGE(""https://docs.google.com/spreadsheets/d/19GOkiOqnzYbevLYWrMk4qFOXe3rX14BkSA8X-mq-a40/edit?usp=sharing"",""มหาสารคาม!J676"")"),0)</f>
        <v>0</v>
      </c>
      <c r="AG39" s="276">
        <f ca="1">IFERROR(__xludf.DUMMYFUNCTION("IMPORTRANGE(""https://docs.google.com/spreadsheets/d/19GOkiOqnzYbevLYWrMk4qFOXe3rX14BkSA8X-mq-a40/edit?usp=sharing"",""มหาสารคาม!J677"")"),0)</f>
        <v>0</v>
      </c>
      <c r="AH39" s="81">
        <f ca="1">IFERROR(__xludf.DUMMYFUNCTION("IMPORTRANGE(""https://docs.google.com/spreadsheets/d/19GOkiOqnzYbevLYWrMk4qFOXe3rX14BkSA8X-mq-a40/edit?usp=sharing"",""มหาสารคาม!I678"")"),0)</f>
        <v>0</v>
      </c>
      <c r="AI39" s="81">
        <f ca="1">IFERROR(__xludf.DUMMYFUNCTION("IMPORTRANGE(""https://docs.google.com/spreadsheets/d/19GOkiOqnzYbevLYWrMk4qFOXe3rX14BkSA8X-mq-a40/edit?usp=sharing"",""มหาสารคาม!J678"")"),0)</f>
        <v>0</v>
      </c>
      <c r="AJ39" s="82">
        <f t="shared" ca="1" si="28"/>
        <v>0</v>
      </c>
      <c r="AK39" s="81">
        <f ca="1">IFERROR(__xludf.DUMMYFUNCTION("IMPORTRANGE(""https://docs.google.com/spreadsheets/d/19GOkiOqnzYbevLYWrMk4qFOXe3rX14BkSA8X-mq-a40/edit?usp=sharing"",""มหาสารคาม!J679"")"),0)</f>
        <v>0</v>
      </c>
      <c r="AL39" s="81">
        <f ca="1">IFERROR(__xludf.DUMMYFUNCTION("IMPORTRANGE(""https://docs.google.com/spreadsheets/d/19GOkiOqnzYbevLYWrMk4qFOXe3rX14BkSA8X-mq-a40/edit?usp=sharing"",""มหาสารคาม!J680"")"),0)</f>
        <v>0</v>
      </c>
      <c r="AM39" s="81">
        <f ca="1">IFERROR(__xludf.DUMMYFUNCTION("IMPORTRANGE(""https://docs.google.com/spreadsheets/d/19GOkiOqnzYbevLYWrMk4qFOXe3rX14BkSA8X-mq-a40/edit?usp=sharing"",""มหาสารคาม!J681"")"),0)</f>
        <v>0</v>
      </c>
      <c r="AN39" s="81">
        <f ca="1">IFERROR(__xludf.DUMMYFUNCTION("IMPORTRANGE(""https://docs.google.com/spreadsheets/d/19GOkiOqnzYbevLYWrMk4qFOXe3rX14BkSA8X-mq-a40/edit?usp=sharing"",""มหาสารคาม!J682"")"),0)</f>
        <v>0</v>
      </c>
      <c r="AO39" s="81">
        <f ca="1">IFERROR(__xludf.DUMMYFUNCTION("IMPORTRANGE(""https://docs.google.com/spreadsheets/d/19GOkiOqnzYbevLYWrMk4qFOXe3rX14BkSA8X-mq-a40/edit?usp=sharing"",""มหาสารคาม!J683"")"),0)</f>
        <v>0</v>
      </c>
    </row>
    <row r="40" spans="1:41" ht="21" customHeight="1" x14ac:dyDescent="0.2">
      <c r="A40" s="72">
        <v>9</v>
      </c>
      <c r="B40" s="73" t="s">
        <v>57</v>
      </c>
      <c r="C40" s="74">
        <f t="shared" ca="1" si="46"/>
        <v>0</v>
      </c>
      <c r="D40" s="75">
        <f ca="1">IFERROR(__xludf.DUMMYFUNCTION("IMPORTRANGE(""https://docs.google.com/spreadsheets/d/1uMKqWwuNQ-TCKboGA3Bb1qXb5uj2-faACNUINCz8PN4/edit?usp=sharing"",""มุกดาหาร!L660"")"),0)</f>
        <v>0</v>
      </c>
      <c r="E40" s="76">
        <f ca="1">IFERROR(__xludf.DUMMYFUNCTION("IMPORTRANGE(""https://docs.google.com/spreadsheets/d/1uMKqWwuNQ-TCKboGA3Bb1qXb5uj2-faACNUINCz8PN4/edit?usp=sharing"",""มุกดาหาร!L667"")"),0)</f>
        <v>0</v>
      </c>
      <c r="F40" s="77">
        <f t="shared" ca="1" si="1"/>
        <v>0</v>
      </c>
      <c r="G40" s="78">
        <f t="shared" ca="1" si="2"/>
        <v>0</v>
      </c>
      <c r="H40" s="79">
        <f t="shared" ca="1" si="47"/>
        <v>0</v>
      </c>
      <c r="I40" s="76">
        <f ca="1">IFERROR(__xludf.DUMMYFUNCTION("IMPORTRANGE(""https://docs.google.com/spreadsheets/d/1uMKqWwuNQ-TCKboGA3Bb1qXb5uj2-faACNUINCz8PN4/edit?usp=sharing"",""มุกดาหาร!N661"")"),0)</f>
        <v>0</v>
      </c>
      <c r="J40" s="76">
        <f ca="1">IFERROR(__xludf.DUMMYFUNCTION("IMPORTRANGE(""https://docs.google.com/spreadsheets/d/1uMKqWwuNQ-TCKboGA3Bb1qXb5uj2-faACNUINCz8PN4/edit?usp=sharing"",""มุกดาหาร!N662"")"),0)</f>
        <v>0</v>
      </c>
      <c r="K40" s="76">
        <f ca="1">IFERROR(__xludf.DUMMYFUNCTION("IMPORTRANGE(""https://docs.google.com/spreadsheets/d/1uMKqWwuNQ-TCKboGA3Bb1qXb5uj2-faACNUINCz8PN4/edit?usp=sharing"",""มุกดาหาร!N663"")"),0)</f>
        <v>0</v>
      </c>
      <c r="L40" s="76">
        <f ca="1">IFERROR(__xludf.DUMMYFUNCTION("IMPORTRANGE(""https://docs.google.com/spreadsheets/d/1uMKqWwuNQ-TCKboGA3Bb1qXb5uj2-faACNUINCz8PN4/edit?usp=sharing"",""มุกดาหาร!N664"")"),0)</f>
        <v>0</v>
      </c>
      <c r="M40" s="80">
        <f ca="1">IFERROR(__xludf.DUMMYFUNCTION("IMPORTRANGE(""https://docs.google.com/spreadsheets/d/1uMKqWwuNQ-TCKboGA3Bb1qXb5uj2-faACNUINCz8PN4/edit?usp=sharing"",""มุกดาหาร!N667"")"),0)</f>
        <v>0</v>
      </c>
      <c r="N40" s="80">
        <f t="shared" ca="1" si="31"/>
        <v>0</v>
      </c>
      <c r="O40" s="81">
        <f ca="1">IFERROR(__xludf.DUMMYFUNCTION("IMPORTRANGE(""https://docs.google.com/spreadsheets/d/1uMKqWwuNQ-TCKboGA3Bb1qXb5uj2-faACNUINCz8PN4/edit?usp=sharing"",""มุกดาหาร!I669"")"),0)</f>
        <v>0</v>
      </c>
      <c r="P40" s="81">
        <f ca="1">IFERROR(__xludf.DUMMYFUNCTION("IMPORTRANGE(""https://docs.google.com/spreadsheets/d/1uMKqWwuNQ-TCKboGA3Bb1qXb5uj2-faACNUINCz8PN4/edit?usp=sharing"",""มุกดาหาร!J669"")"),0)</f>
        <v>0</v>
      </c>
      <c r="Q40" s="82">
        <f t="shared" ca="1" si="25"/>
        <v>0</v>
      </c>
      <c r="R40" s="81">
        <f ca="1">IFERROR(__xludf.DUMMYFUNCTION("IMPORTRANGE(""https://docs.google.com/spreadsheets/d/1uMKqWwuNQ-TCKboGA3Bb1qXb5uj2-faACNUINCz8PN4/edit?usp=sharing"",""มุกดาหาร!I670"")"),0)</f>
        <v>0</v>
      </c>
      <c r="S40" s="81">
        <f ca="1">IFERROR(__xludf.DUMMYFUNCTION("IMPORTRANGE(""https://docs.google.com/spreadsheets/d/1uMKqWwuNQ-TCKboGA3Bb1qXb5uj2-faACNUINCz8PN4/edit?usp=sharing"",""มุกดาหาร!J670"")"),0)</f>
        <v>0</v>
      </c>
      <c r="T40" s="82">
        <f t="shared" ca="1" si="26"/>
        <v>0</v>
      </c>
      <c r="U40" s="81">
        <f ca="1">IFERROR(__xludf.DUMMYFUNCTION("IMPORTRANGE(""https://docs.google.com/spreadsheets/d/1uMKqWwuNQ-TCKboGA3Bb1qXb5uj2-faACNUINCz8PN4/edit?usp=sharing"",""มุกดาหาร!I671"")"),0)</f>
        <v>0</v>
      </c>
      <c r="V40" s="81">
        <f ca="1">IFERROR(__xludf.DUMMYFUNCTION("IMPORTRANGE(""https://docs.google.com/spreadsheets/d/1uMKqWwuNQ-TCKboGA3Bb1qXb5uj2-faACNUINCz8PN4/edit?usp=sharing"",""มุกดาหาร!J671"")"),0)</f>
        <v>0</v>
      </c>
      <c r="W40" s="82">
        <f t="shared" ca="1" si="27"/>
        <v>0</v>
      </c>
      <c r="X40" s="81">
        <f ca="1">IFERROR(__xludf.DUMMYFUNCTION("IMPORTRANGE(""https://docs.google.com/spreadsheets/d/1uMKqWwuNQ-TCKboGA3Bb1qXb5uj2-faACNUINCz8PN4/edit?usp=sharing"",""มุกดาหาร!J672"")"),0)</f>
        <v>0</v>
      </c>
      <c r="Y40" s="276">
        <f t="shared" ca="1" si="11"/>
        <v>0</v>
      </c>
      <c r="Z40" s="81">
        <f ca="1">IFERROR(__xludf.DUMMYFUNCTION("IMPORTRANGE(""https://docs.google.com/spreadsheets/d/1uMKqWwuNQ-TCKboGA3Bb1qXb5uj2-faACNUINCz8PN4/edit?usp=sharing"",""มุกดาหาร!J673"")"),0)</f>
        <v>0</v>
      </c>
      <c r="AA40" s="276">
        <f t="shared" ca="1" si="12"/>
        <v>0</v>
      </c>
      <c r="AB40" s="276">
        <f ca="1">IFERROR(__xludf.DUMMYFUNCTION("IMPORTRANGE(""https://docs.google.com/spreadsheets/d/1uMKqWwuNQ-TCKboGA3Bb1qXb5uj2-faACNUINCz8PN4/edit?usp=sharing"",""มุกดาหาร!J674"")"),0)</f>
        <v>0</v>
      </c>
      <c r="AC40" s="82">
        <f t="shared" ca="1" si="13"/>
        <v>0</v>
      </c>
      <c r="AD40" s="276">
        <f ca="1">IFERROR(__xludf.DUMMYFUNCTION("IMPORTRANGE(""https://docs.google.com/spreadsheets/d/1uMKqWwuNQ-TCKboGA3Bb1qXb5uj2-faACNUINCz8PN4/edit?usp=sharing"",""มุกดาหาร!J675"")"),0)</f>
        <v>0</v>
      </c>
      <c r="AE40" s="82">
        <f t="shared" ca="1" si="22"/>
        <v>0</v>
      </c>
      <c r="AF40" s="276">
        <f ca="1">IFERROR(__xludf.DUMMYFUNCTION("IMPORTRANGE(""https://docs.google.com/spreadsheets/d/1uMKqWwuNQ-TCKboGA3Bb1qXb5uj2-faACNUINCz8PN4/edit?usp=sharing"",""มุกดาหาร!J676"")"),0)</f>
        <v>0</v>
      </c>
      <c r="AG40" s="276">
        <f ca="1">IFERROR(__xludf.DUMMYFUNCTION("IMPORTRANGE(""https://docs.google.com/spreadsheets/d/1uMKqWwuNQ-TCKboGA3Bb1qXb5uj2-faACNUINCz8PN4/edit?usp=sharing"",""มุกดาหาร!J677"")"),0)</f>
        <v>0</v>
      </c>
      <c r="AH40" s="81">
        <f ca="1">IFERROR(__xludf.DUMMYFUNCTION("IMPORTRANGE(""https://docs.google.com/spreadsheets/d/1uMKqWwuNQ-TCKboGA3Bb1qXb5uj2-faACNUINCz8PN4/edit?usp=sharing"",""มุกดาหาร!I678"")"),0)</f>
        <v>0</v>
      </c>
      <c r="AI40" s="81">
        <f ca="1">IFERROR(__xludf.DUMMYFUNCTION("IMPORTRANGE(""https://docs.google.com/spreadsheets/d/1uMKqWwuNQ-TCKboGA3Bb1qXb5uj2-faACNUINCz8PN4/edit?usp=sharing"",""มุกดาหาร!J678"")"),0)</f>
        <v>0</v>
      </c>
      <c r="AJ40" s="82">
        <f t="shared" ca="1" si="28"/>
        <v>0</v>
      </c>
      <c r="AK40" s="81">
        <f ca="1">IFERROR(__xludf.DUMMYFUNCTION("IMPORTRANGE(""https://docs.google.com/spreadsheets/d/1uMKqWwuNQ-TCKboGA3Bb1qXb5uj2-faACNUINCz8PN4/edit?usp=sharing"",""มุกดาหาร!J679"")"),0)</f>
        <v>0</v>
      </c>
      <c r="AL40" s="81">
        <f ca="1">IFERROR(__xludf.DUMMYFUNCTION("IMPORTRANGE(""https://docs.google.com/spreadsheets/d/1uMKqWwuNQ-TCKboGA3Bb1qXb5uj2-faACNUINCz8PN4/edit?usp=sharing"",""มุกดาหาร!J680"")"),0)</f>
        <v>0</v>
      </c>
      <c r="AM40" s="81">
        <f ca="1">IFERROR(__xludf.DUMMYFUNCTION("IMPORTRANGE(""https://docs.google.com/spreadsheets/d/1uMKqWwuNQ-TCKboGA3Bb1qXb5uj2-faACNUINCz8PN4/edit?usp=sharing"",""มุกดาหาร!J681"")"),0)</f>
        <v>0</v>
      </c>
      <c r="AN40" s="81">
        <f ca="1">IFERROR(__xludf.DUMMYFUNCTION("IMPORTRANGE(""https://docs.google.com/spreadsheets/d/1uMKqWwuNQ-TCKboGA3Bb1qXb5uj2-faACNUINCz8PN4/edit?usp=sharing"",""มุกดาหาร!J682"")"),0)</f>
        <v>0</v>
      </c>
      <c r="AO40" s="81">
        <f ca="1">IFERROR(__xludf.DUMMYFUNCTION("IMPORTRANGE(""https://docs.google.com/spreadsheets/d/1uMKqWwuNQ-TCKboGA3Bb1qXb5uj2-faACNUINCz8PN4/edit?usp=sharing"",""มุกดาหาร!J683"")"),0)</f>
        <v>0</v>
      </c>
    </row>
    <row r="41" spans="1:41" ht="21" customHeight="1" x14ac:dyDescent="0.2">
      <c r="A41" s="72">
        <v>10</v>
      </c>
      <c r="B41" s="73" t="s">
        <v>58</v>
      </c>
      <c r="C41" s="74">
        <f t="shared" ca="1" si="46"/>
        <v>0</v>
      </c>
      <c r="D41" s="75">
        <f ca="1">IFERROR(__xludf.DUMMYFUNCTION("IMPORTRANGE(""https://docs.google.com/spreadsheets/d/1oKaccgDdQABndOzGr688Dbfxb_V3YcF67VqEPBtdzsc/edit?usp=sharing"",""ยโสธร!L660"")"),0)</f>
        <v>0</v>
      </c>
      <c r="E41" s="76">
        <f ca="1">IFERROR(__xludf.DUMMYFUNCTION("IMPORTRANGE(""https://docs.google.com/spreadsheets/d/1oKaccgDdQABndOzGr688Dbfxb_V3YcF67VqEPBtdzsc/edit?usp=sharing"",""ยโสธร!L667"")"),0)</f>
        <v>0</v>
      </c>
      <c r="F41" s="77">
        <f t="shared" ca="1" si="1"/>
        <v>0</v>
      </c>
      <c r="G41" s="78">
        <f t="shared" ca="1" si="2"/>
        <v>0</v>
      </c>
      <c r="H41" s="79">
        <f t="shared" ca="1" si="47"/>
        <v>0</v>
      </c>
      <c r="I41" s="76">
        <f ca="1">IFERROR(__xludf.DUMMYFUNCTION("IMPORTRANGE(""https://docs.google.com/spreadsheets/d/1oKaccgDdQABndOzGr688Dbfxb_V3YcF67VqEPBtdzsc/edit?usp=sharing"",""ยโสธร!N661"")"),0)</f>
        <v>0</v>
      </c>
      <c r="J41" s="76">
        <f ca="1">IFERROR(__xludf.DUMMYFUNCTION("IMPORTRANGE(""https://docs.google.com/spreadsheets/d/1oKaccgDdQABndOzGr688Dbfxb_V3YcF67VqEPBtdzsc/edit?usp=sharing"",""ยโสธร!N662"")"),0)</f>
        <v>0</v>
      </c>
      <c r="K41" s="76">
        <f ca="1">IFERROR(__xludf.DUMMYFUNCTION("IMPORTRANGE(""https://docs.google.com/spreadsheets/d/1oKaccgDdQABndOzGr688Dbfxb_V3YcF67VqEPBtdzsc/edit?usp=sharing"",""ยโสธร!N663"")"),0)</f>
        <v>0</v>
      </c>
      <c r="L41" s="76">
        <f ca="1">IFERROR(__xludf.DUMMYFUNCTION("IMPORTRANGE(""https://docs.google.com/spreadsheets/d/1oKaccgDdQABndOzGr688Dbfxb_V3YcF67VqEPBtdzsc/edit?usp=sharing"",""ยโสธร!N664"")"),0)</f>
        <v>0</v>
      </c>
      <c r="M41" s="80">
        <f ca="1">IFERROR(__xludf.DUMMYFUNCTION("IMPORTRANGE(""https://docs.google.com/spreadsheets/d/1oKaccgDdQABndOzGr688Dbfxb_V3YcF67VqEPBtdzsc/edit?usp=sharing"",""ยโสธร!N667"")"),0)</f>
        <v>0</v>
      </c>
      <c r="N41" s="80">
        <f t="shared" ca="1" si="31"/>
        <v>0</v>
      </c>
      <c r="O41" s="81">
        <f ca="1">IFERROR(__xludf.DUMMYFUNCTION("IMPORTRANGE(""https://docs.google.com/spreadsheets/d/1oKaccgDdQABndOzGr688Dbfxb_V3YcF67VqEPBtdzsc/edit?usp=sharing"",""ยโสธร!I669"")"),0)</f>
        <v>0</v>
      </c>
      <c r="P41" s="81">
        <f ca="1">IFERROR(__xludf.DUMMYFUNCTION("IMPORTRANGE(""https://docs.google.com/spreadsheets/d/1oKaccgDdQABndOzGr688Dbfxb_V3YcF67VqEPBtdzsc/edit?usp=sharing"",""ยโสธร!J669"")"),0)</f>
        <v>0</v>
      </c>
      <c r="Q41" s="82">
        <f t="shared" ca="1" si="25"/>
        <v>0</v>
      </c>
      <c r="R41" s="81">
        <f ca="1">IFERROR(__xludf.DUMMYFUNCTION("IMPORTRANGE(""https://docs.google.com/spreadsheets/d/1oKaccgDdQABndOzGr688Dbfxb_V3YcF67VqEPBtdzsc/edit?usp=sharing"",""ยโสธร!I670"")"),0)</f>
        <v>0</v>
      </c>
      <c r="S41" s="81">
        <f ca="1">IFERROR(__xludf.DUMMYFUNCTION("IMPORTRANGE(""https://docs.google.com/spreadsheets/d/1oKaccgDdQABndOzGr688Dbfxb_V3YcF67VqEPBtdzsc/edit?usp=sharing"",""ยโสธร!J670"")"),0)</f>
        <v>0</v>
      </c>
      <c r="T41" s="82">
        <f t="shared" ca="1" si="26"/>
        <v>0</v>
      </c>
      <c r="U41" s="81">
        <f ca="1">IFERROR(__xludf.DUMMYFUNCTION("IMPORTRANGE(""https://docs.google.com/spreadsheets/d/1oKaccgDdQABndOzGr688Dbfxb_V3YcF67VqEPBtdzsc/edit?usp=sharing"",""ยโสธร!I671"")"),0)</f>
        <v>0</v>
      </c>
      <c r="V41" s="81">
        <f ca="1">IFERROR(__xludf.DUMMYFUNCTION("IMPORTRANGE(""https://docs.google.com/spreadsheets/d/1oKaccgDdQABndOzGr688Dbfxb_V3YcF67VqEPBtdzsc/edit?usp=sharing"",""ยโสธร!J671"")"),0)</f>
        <v>0</v>
      </c>
      <c r="W41" s="82">
        <f t="shared" ca="1" si="27"/>
        <v>0</v>
      </c>
      <c r="X41" s="81">
        <f ca="1">IFERROR(__xludf.DUMMYFUNCTION("IMPORTRANGE(""https://docs.google.com/spreadsheets/d/1oKaccgDdQABndOzGr688Dbfxb_V3YcF67VqEPBtdzsc/edit?usp=sharing"",""ยโสธร!J672"")"),0)</f>
        <v>0</v>
      </c>
      <c r="Y41" s="276">
        <f t="shared" ca="1" si="11"/>
        <v>0</v>
      </c>
      <c r="Z41" s="81">
        <f ca="1">IFERROR(__xludf.DUMMYFUNCTION("IMPORTRANGE(""https://docs.google.com/spreadsheets/d/1oKaccgDdQABndOzGr688Dbfxb_V3YcF67VqEPBtdzsc/edit?usp=sharing"",""ยโสธร!J673"")"),0)</f>
        <v>0</v>
      </c>
      <c r="AA41" s="276">
        <f t="shared" ca="1" si="12"/>
        <v>0</v>
      </c>
      <c r="AB41" s="276">
        <f ca="1">IFERROR(__xludf.DUMMYFUNCTION("IMPORTRANGE(""https://docs.google.com/spreadsheets/d/1oKaccgDdQABndOzGr688Dbfxb_V3YcF67VqEPBtdzsc/edit?usp=sharing"",""ยโสธร!J674"")"),0)</f>
        <v>0</v>
      </c>
      <c r="AC41" s="82">
        <f t="shared" ca="1" si="13"/>
        <v>0</v>
      </c>
      <c r="AD41" s="276">
        <f ca="1">IFERROR(__xludf.DUMMYFUNCTION("IMPORTRANGE(""https://docs.google.com/spreadsheets/d/1oKaccgDdQABndOzGr688Dbfxb_V3YcF67VqEPBtdzsc/edit?usp=sharing"",""ยโสธร!J675"")"),0)</f>
        <v>0</v>
      </c>
      <c r="AE41" s="82">
        <f t="shared" ca="1" si="22"/>
        <v>0</v>
      </c>
      <c r="AF41" s="276">
        <f ca="1">IFERROR(__xludf.DUMMYFUNCTION("IMPORTRANGE(""https://docs.google.com/spreadsheets/d/1oKaccgDdQABndOzGr688Dbfxb_V3YcF67VqEPBtdzsc/edit?usp=sharing"",""ยโสธร!J676"")"),0)</f>
        <v>0</v>
      </c>
      <c r="AG41" s="276">
        <f ca="1">IFERROR(__xludf.DUMMYFUNCTION("IMPORTRANGE(""https://docs.google.com/spreadsheets/d/1oKaccgDdQABndOzGr688Dbfxb_V3YcF67VqEPBtdzsc/edit?usp=sharing"",""ยโสธร!J677"")"),0)</f>
        <v>0</v>
      </c>
      <c r="AH41" s="81">
        <f ca="1">IFERROR(__xludf.DUMMYFUNCTION("IMPORTRANGE(""https://docs.google.com/spreadsheets/d/1oKaccgDdQABndOzGr688Dbfxb_V3YcF67VqEPBtdzsc/edit?usp=sharing"",""ยโสธร!I678"")"),0)</f>
        <v>0</v>
      </c>
      <c r="AI41" s="81">
        <f ca="1">IFERROR(__xludf.DUMMYFUNCTION("IMPORTRANGE(""https://docs.google.com/spreadsheets/d/1oKaccgDdQABndOzGr688Dbfxb_V3YcF67VqEPBtdzsc/edit?usp=sharing"",""ยโสธร!J678"")"),0)</f>
        <v>0</v>
      </c>
      <c r="AJ41" s="82">
        <f t="shared" ca="1" si="28"/>
        <v>0</v>
      </c>
      <c r="AK41" s="81">
        <f ca="1">IFERROR(__xludf.DUMMYFUNCTION("IMPORTRANGE(""https://docs.google.com/spreadsheets/d/1oKaccgDdQABndOzGr688Dbfxb_V3YcF67VqEPBtdzsc/edit?usp=sharing"",""ยโสธร!J679"")"),0)</f>
        <v>0</v>
      </c>
      <c r="AL41" s="81">
        <f ca="1">IFERROR(__xludf.DUMMYFUNCTION("IMPORTRANGE(""https://docs.google.com/spreadsheets/d/1oKaccgDdQABndOzGr688Dbfxb_V3YcF67VqEPBtdzsc/edit?usp=sharing"",""ยโสธร!J680"")"),0)</f>
        <v>0</v>
      </c>
      <c r="AM41" s="81">
        <f ca="1">IFERROR(__xludf.DUMMYFUNCTION("IMPORTRANGE(""https://docs.google.com/spreadsheets/d/1oKaccgDdQABndOzGr688Dbfxb_V3YcF67VqEPBtdzsc/edit?usp=sharing"",""ยโสธร!J681"")"),0)</f>
        <v>0</v>
      </c>
      <c r="AN41" s="81">
        <f ca="1">IFERROR(__xludf.DUMMYFUNCTION("IMPORTRANGE(""https://docs.google.com/spreadsheets/d/1oKaccgDdQABndOzGr688Dbfxb_V3YcF67VqEPBtdzsc/edit?usp=sharing"",""ยโสธร!J682"")"),0)</f>
        <v>0</v>
      </c>
      <c r="AO41" s="81">
        <f ca="1">IFERROR(__xludf.DUMMYFUNCTION("IMPORTRANGE(""https://docs.google.com/spreadsheets/d/1oKaccgDdQABndOzGr688Dbfxb_V3YcF67VqEPBtdzsc/edit?usp=sharing"",""ยโสธร!J683"")"),0)</f>
        <v>0</v>
      </c>
    </row>
    <row r="42" spans="1:41" ht="21" customHeight="1" x14ac:dyDescent="0.2">
      <c r="A42" s="72">
        <v>11</v>
      </c>
      <c r="B42" s="73" t="s">
        <v>59</v>
      </c>
      <c r="C42" s="74">
        <f t="shared" ca="1" si="46"/>
        <v>12600</v>
      </c>
      <c r="D42" s="75">
        <f ca="1">IFERROR(__xludf.DUMMYFUNCTION("IMPORTRANGE(""https://docs.google.com/spreadsheets/d/1BRgc8xKpxZ0PX-gauieMVkV_IOxKSotf0yW8MabGprQ/edit?usp=sharing"",""ร้อยเอ็ด!L660"")"),12600)</f>
        <v>12600</v>
      </c>
      <c r="E42" s="76">
        <f ca="1">IFERROR(__xludf.DUMMYFUNCTION("IMPORTRANGE(""https://docs.google.com/spreadsheets/d/1BRgc8xKpxZ0PX-gauieMVkV_IOxKSotf0yW8MabGprQ/edit?usp=sharing"",""ร้อยเอ็ด!L667"")"),0)</f>
        <v>0</v>
      </c>
      <c r="F42" s="77">
        <f t="shared" ca="1" si="1"/>
        <v>360</v>
      </c>
      <c r="G42" s="78">
        <f t="shared" ca="1" si="2"/>
        <v>2.8571428571428572</v>
      </c>
      <c r="H42" s="79">
        <f t="shared" ca="1" si="47"/>
        <v>360</v>
      </c>
      <c r="I42" s="76">
        <f ca="1">IFERROR(__xludf.DUMMYFUNCTION("IMPORTRANGE(""https://docs.google.com/spreadsheets/d/1BRgc8xKpxZ0PX-gauieMVkV_IOxKSotf0yW8MabGprQ/edit?usp=sharing"",""ร้อยเอ็ด!N661"")"),0)</f>
        <v>0</v>
      </c>
      <c r="J42" s="76">
        <f ca="1">IFERROR(__xludf.DUMMYFUNCTION("IMPORTRANGE(""https://docs.google.com/spreadsheets/d/1BRgc8xKpxZ0PX-gauieMVkV_IOxKSotf0yW8MabGprQ/edit?usp=sharing"",""ร้อยเอ็ด!N662"")"),0)</f>
        <v>0</v>
      </c>
      <c r="K42" s="76">
        <f ca="1">IFERROR(__xludf.DUMMYFUNCTION("IMPORTRANGE(""https://docs.google.com/spreadsheets/d/1BRgc8xKpxZ0PX-gauieMVkV_IOxKSotf0yW8MabGprQ/edit?usp=sharing"",""ร้อยเอ็ด!N663"")"),0)</f>
        <v>0</v>
      </c>
      <c r="L42" s="76">
        <f ca="1">IFERROR(__xludf.DUMMYFUNCTION("IMPORTRANGE(""https://docs.google.com/spreadsheets/d/1BRgc8xKpxZ0PX-gauieMVkV_IOxKSotf0yW8MabGprQ/edit?usp=sharing"",""ร้อยเอ็ด!N664"")"),360)</f>
        <v>360</v>
      </c>
      <c r="M42" s="80">
        <f ca="1">IFERROR(__xludf.DUMMYFUNCTION("IMPORTRANGE(""https://docs.google.com/spreadsheets/d/1BRgc8xKpxZ0PX-gauieMVkV_IOxKSotf0yW8MabGprQ/edit?usp=sharing"",""ร้อยเอ็ด!N667"")"),0)</f>
        <v>0</v>
      </c>
      <c r="N42" s="80">
        <f t="shared" ca="1" si="31"/>
        <v>0</v>
      </c>
      <c r="O42" s="81">
        <f ca="1">IFERROR(__xludf.DUMMYFUNCTION("IMPORTRANGE(""https://docs.google.com/spreadsheets/d/1BRgc8xKpxZ0PX-gauieMVkV_IOxKSotf0yW8MabGprQ/edit?usp=sharing"",""ร้อยเอ็ด!I669"")"),50)</f>
        <v>50</v>
      </c>
      <c r="P42" s="81">
        <f ca="1">IFERROR(__xludf.DUMMYFUNCTION("IMPORTRANGE(""https://docs.google.com/spreadsheets/d/1BRgc8xKpxZ0PX-gauieMVkV_IOxKSotf0yW8MabGprQ/edit?usp=sharing"",""ร้อยเอ็ด!J669"")"),0)</f>
        <v>0</v>
      </c>
      <c r="Q42" s="82">
        <f t="shared" ca="1" si="25"/>
        <v>0</v>
      </c>
      <c r="R42" s="81">
        <f ca="1">IFERROR(__xludf.DUMMYFUNCTION("IMPORTRANGE(""https://docs.google.com/spreadsheets/d/1BRgc8xKpxZ0PX-gauieMVkV_IOxKSotf0yW8MabGprQ/edit?usp=sharing"",""ร้อยเอ็ด!I670"")"),6)</f>
        <v>6</v>
      </c>
      <c r="S42" s="81">
        <f ca="1">IFERROR(__xludf.DUMMYFUNCTION("IMPORTRANGE(""https://docs.google.com/spreadsheets/d/1BRgc8xKpxZ0PX-gauieMVkV_IOxKSotf0yW8MabGprQ/edit?usp=sharing"",""ร้อยเอ็ด!J670"")"),0)</f>
        <v>0</v>
      </c>
      <c r="T42" s="82">
        <f t="shared" ca="1" si="26"/>
        <v>0</v>
      </c>
      <c r="U42" s="81">
        <f ca="1">IFERROR(__xludf.DUMMYFUNCTION("IMPORTRANGE(""https://docs.google.com/spreadsheets/d/1BRgc8xKpxZ0PX-gauieMVkV_IOxKSotf0yW8MabGprQ/edit?usp=sharing"",""ร้อยเอ็ด!I671"")"),6)</f>
        <v>6</v>
      </c>
      <c r="V42" s="81">
        <f ca="1">IFERROR(__xludf.DUMMYFUNCTION("IMPORTRANGE(""https://docs.google.com/spreadsheets/d/1BRgc8xKpxZ0PX-gauieMVkV_IOxKSotf0yW8MabGprQ/edit?usp=sharing"",""ร้อยเอ็ด!J671"")"),0)</f>
        <v>0</v>
      </c>
      <c r="W42" s="82">
        <f t="shared" ca="1" si="27"/>
        <v>0</v>
      </c>
      <c r="X42" s="81">
        <f ca="1">IFERROR(__xludf.DUMMYFUNCTION("IMPORTRANGE(""https://docs.google.com/spreadsheets/d/1BRgc8xKpxZ0PX-gauieMVkV_IOxKSotf0yW8MabGprQ/edit?usp=sharing"",""ร้อยเอ็ด!J672"")"),0)</f>
        <v>0</v>
      </c>
      <c r="Y42" s="276">
        <f t="shared" ca="1" si="11"/>
        <v>0</v>
      </c>
      <c r="Z42" s="81">
        <f ca="1">IFERROR(__xludf.DUMMYFUNCTION("IMPORTRANGE(""https://docs.google.com/spreadsheets/d/1BRgc8xKpxZ0PX-gauieMVkV_IOxKSotf0yW8MabGprQ/edit?usp=sharing"",""ร้อยเอ็ด!J673"")"),0)</f>
        <v>0</v>
      </c>
      <c r="AA42" s="276">
        <f t="shared" ca="1" si="12"/>
        <v>0</v>
      </c>
      <c r="AB42" s="276">
        <f ca="1">IFERROR(__xludf.DUMMYFUNCTION("IMPORTRANGE(""https://docs.google.com/spreadsheets/d/1BRgc8xKpxZ0PX-gauieMVkV_IOxKSotf0yW8MabGprQ/edit?usp=sharing"",""ร้อยเอ็ด!J674"")"),0)</f>
        <v>0</v>
      </c>
      <c r="AC42" s="82">
        <f t="shared" ca="1" si="13"/>
        <v>0</v>
      </c>
      <c r="AD42" s="276">
        <f ca="1">IFERROR(__xludf.DUMMYFUNCTION("IMPORTRANGE(""https://docs.google.com/spreadsheets/d/1BRgc8xKpxZ0PX-gauieMVkV_IOxKSotf0yW8MabGprQ/edit?usp=sharing"",""ร้อยเอ็ด!J675"")"),0)</f>
        <v>0</v>
      </c>
      <c r="AE42" s="82">
        <f t="shared" ca="1" si="22"/>
        <v>0</v>
      </c>
      <c r="AF42" s="276">
        <f ca="1">IFERROR(__xludf.DUMMYFUNCTION("IMPORTRANGE(""https://docs.google.com/spreadsheets/d/1BRgc8xKpxZ0PX-gauieMVkV_IOxKSotf0yW8MabGprQ/edit?usp=sharing"",""ร้อยเอ็ด!J676"")"),0)</f>
        <v>0</v>
      </c>
      <c r="AG42" s="276">
        <f ca="1">IFERROR(__xludf.DUMMYFUNCTION("IMPORTRANGE(""https://docs.google.com/spreadsheets/d/1BRgc8xKpxZ0PX-gauieMVkV_IOxKSotf0yW8MabGprQ/edit?usp=sharing"",""ร้อยเอ็ด!J677"")"),0)</f>
        <v>0</v>
      </c>
      <c r="AH42" s="81">
        <f ca="1">IFERROR(__xludf.DUMMYFUNCTION("IMPORTRANGE(""https://docs.google.com/spreadsheets/d/1BRgc8xKpxZ0PX-gauieMVkV_IOxKSotf0yW8MabGprQ/edit?usp=sharing"",""ร้อยเอ็ด!I678"")"),0)</f>
        <v>0</v>
      </c>
      <c r="AI42" s="81">
        <f ca="1">IFERROR(__xludf.DUMMYFUNCTION("IMPORTRANGE(""https://docs.google.com/spreadsheets/d/1BRgc8xKpxZ0PX-gauieMVkV_IOxKSotf0yW8MabGprQ/edit?usp=sharing"",""ร้อยเอ็ด!J678"")"),0)</f>
        <v>0</v>
      </c>
      <c r="AJ42" s="82">
        <f t="shared" ca="1" si="28"/>
        <v>0</v>
      </c>
      <c r="AK42" s="81">
        <f ca="1">IFERROR(__xludf.DUMMYFUNCTION("IMPORTRANGE(""https://docs.google.com/spreadsheets/d/1BRgc8xKpxZ0PX-gauieMVkV_IOxKSotf0yW8MabGprQ/edit?usp=sharing"",""ร้อยเอ็ด!J679"")"),0)</f>
        <v>0</v>
      </c>
      <c r="AL42" s="81">
        <f ca="1">IFERROR(__xludf.DUMMYFUNCTION("IMPORTRANGE(""https://docs.google.com/spreadsheets/d/1BRgc8xKpxZ0PX-gauieMVkV_IOxKSotf0yW8MabGprQ/edit?usp=sharing"",""ร้อยเอ็ด!J680"")"),0)</f>
        <v>0</v>
      </c>
      <c r="AM42" s="81">
        <f ca="1">IFERROR(__xludf.DUMMYFUNCTION("IMPORTRANGE(""https://docs.google.com/spreadsheets/d/1BRgc8xKpxZ0PX-gauieMVkV_IOxKSotf0yW8MabGprQ/edit?usp=sharing"",""ร้อยเอ็ด!J681"")"),0)</f>
        <v>0</v>
      </c>
      <c r="AN42" s="81">
        <f ca="1">IFERROR(__xludf.DUMMYFUNCTION("IMPORTRANGE(""https://docs.google.com/spreadsheets/d/1BRgc8xKpxZ0PX-gauieMVkV_IOxKSotf0yW8MabGprQ/edit?usp=sharing"",""ร้อยเอ็ด!J682"")"),0)</f>
        <v>0</v>
      </c>
      <c r="AO42" s="81">
        <f ca="1">IFERROR(__xludf.DUMMYFUNCTION("IMPORTRANGE(""https://docs.google.com/spreadsheets/d/1BRgc8xKpxZ0PX-gauieMVkV_IOxKSotf0yW8MabGprQ/edit?usp=sharing"",""ร้อยเอ็ด!J683"")"),0)</f>
        <v>0</v>
      </c>
    </row>
    <row r="43" spans="1:41" ht="21" customHeight="1" x14ac:dyDescent="0.2">
      <c r="A43" s="72">
        <v>12</v>
      </c>
      <c r="B43" s="73" t="s">
        <v>60</v>
      </c>
      <c r="C43" s="74">
        <f t="shared" ca="1" si="46"/>
        <v>14000</v>
      </c>
      <c r="D43" s="75">
        <f ca="1">IFERROR(__xludf.DUMMYFUNCTION("IMPORTRANGE(""https://docs.google.com/spreadsheets/d/1IdolZc-dfdgMwAm_KZxYJl1sUOcIgnbGQzbWOlddedo/edit?usp=sharing"",""เลย!L660"")"),14000)</f>
        <v>14000</v>
      </c>
      <c r="E43" s="76">
        <f ca="1">IFERROR(__xludf.DUMMYFUNCTION("IMPORTRANGE(""https://docs.google.com/spreadsheets/d/1IdolZc-dfdgMwAm_KZxYJl1sUOcIgnbGQzbWOlddedo/edit?usp=sharing"",""เลย!L667"")"),0)</f>
        <v>0</v>
      </c>
      <c r="F43" s="77">
        <f t="shared" ca="1" si="1"/>
        <v>3360</v>
      </c>
      <c r="G43" s="78">
        <f t="shared" ca="1" si="2"/>
        <v>24</v>
      </c>
      <c r="H43" s="79">
        <f t="shared" ca="1" si="47"/>
        <v>3360</v>
      </c>
      <c r="I43" s="76">
        <f ca="1">IFERROR(__xludf.DUMMYFUNCTION("IMPORTRANGE(""https://docs.google.com/spreadsheets/d/1IdolZc-dfdgMwAm_KZxYJl1sUOcIgnbGQzbWOlddedo/edit?usp=sharing"",""เลย!N661"")"),0)</f>
        <v>0</v>
      </c>
      <c r="J43" s="76">
        <f ca="1">IFERROR(__xludf.DUMMYFUNCTION("IMPORTRANGE(""https://docs.google.com/spreadsheets/d/1IdolZc-dfdgMwAm_KZxYJl1sUOcIgnbGQzbWOlddedo/edit?usp=sharing"",""เลย!N662"")"),0)</f>
        <v>0</v>
      </c>
      <c r="K43" s="76">
        <f ca="1">IFERROR(__xludf.DUMMYFUNCTION("IMPORTRANGE(""https://docs.google.com/spreadsheets/d/1IdolZc-dfdgMwAm_KZxYJl1sUOcIgnbGQzbWOlddedo/edit?usp=sharing"",""เลย!N663"")"),0)</f>
        <v>0</v>
      </c>
      <c r="L43" s="76">
        <f ca="1">IFERROR(__xludf.DUMMYFUNCTION("IMPORTRANGE(""https://docs.google.com/spreadsheets/d/1IdolZc-dfdgMwAm_KZxYJl1sUOcIgnbGQzbWOlddedo/edit?usp=sharing"",""เลย!N664"")"),3360)</f>
        <v>3360</v>
      </c>
      <c r="M43" s="80">
        <f ca="1">IFERROR(__xludf.DUMMYFUNCTION("IMPORTRANGE(""https://docs.google.com/spreadsheets/d/1IdolZc-dfdgMwAm_KZxYJl1sUOcIgnbGQzbWOlddedo/edit?usp=sharing"",""เลย!N667"")"),0)</f>
        <v>0</v>
      </c>
      <c r="N43" s="80">
        <f t="shared" ca="1" si="31"/>
        <v>0</v>
      </c>
      <c r="O43" s="81">
        <f ca="1">IFERROR(__xludf.DUMMYFUNCTION("IMPORTRANGE(""https://docs.google.com/spreadsheets/d/1IdolZc-dfdgMwAm_KZxYJl1sUOcIgnbGQzbWOlddedo/edit?usp=sharing"",""เลย!I669"")"),100)</f>
        <v>100</v>
      </c>
      <c r="P43" s="81">
        <f ca="1">IFERROR(__xludf.DUMMYFUNCTION("IMPORTRANGE(""https://docs.google.com/spreadsheets/d/1IdolZc-dfdgMwAm_KZxYJl1sUOcIgnbGQzbWOlddedo/edit?usp=sharing"",""เลย!J669"")"),0)</f>
        <v>0</v>
      </c>
      <c r="Q43" s="82">
        <f t="shared" ca="1" si="25"/>
        <v>0</v>
      </c>
      <c r="R43" s="81">
        <f ca="1">IFERROR(__xludf.DUMMYFUNCTION("IMPORTRANGE(""https://docs.google.com/spreadsheets/d/1IdolZc-dfdgMwAm_KZxYJl1sUOcIgnbGQzbWOlddedo/edit?usp=sharing"",""เลย!I670"")"),5)</f>
        <v>5</v>
      </c>
      <c r="S43" s="81">
        <f ca="1">IFERROR(__xludf.DUMMYFUNCTION("IMPORTRANGE(""https://docs.google.com/spreadsheets/d/1IdolZc-dfdgMwAm_KZxYJl1sUOcIgnbGQzbWOlddedo/edit?usp=sharing"",""เลย!J670"")"),5)</f>
        <v>5</v>
      </c>
      <c r="T43" s="82">
        <f t="shared" ca="1" si="26"/>
        <v>100</v>
      </c>
      <c r="U43" s="81">
        <f ca="1">IFERROR(__xludf.DUMMYFUNCTION("IMPORTRANGE(""https://docs.google.com/spreadsheets/d/1IdolZc-dfdgMwAm_KZxYJl1sUOcIgnbGQzbWOlddedo/edit?usp=sharing"",""เลย!I671"")"),5)</f>
        <v>5</v>
      </c>
      <c r="V43" s="81">
        <f ca="1">IFERROR(__xludf.DUMMYFUNCTION("IMPORTRANGE(""https://docs.google.com/spreadsheets/d/1IdolZc-dfdgMwAm_KZxYJl1sUOcIgnbGQzbWOlddedo/edit?usp=sharing"",""เลย!J671"")"),5)</f>
        <v>5</v>
      </c>
      <c r="W43" s="82">
        <f t="shared" ca="1" si="27"/>
        <v>100</v>
      </c>
      <c r="X43" s="81">
        <f ca="1">IFERROR(__xludf.DUMMYFUNCTION("IMPORTRANGE(""https://docs.google.com/spreadsheets/d/1IdolZc-dfdgMwAm_KZxYJl1sUOcIgnbGQzbWOlddedo/edit?usp=sharing"",""เลย!J672"")"),0)</f>
        <v>0</v>
      </c>
      <c r="Y43" s="276">
        <f t="shared" ca="1" si="11"/>
        <v>0</v>
      </c>
      <c r="Z43" s="81">
        <f ca="1">IFERROR(__xludf.DUMMYFUNCTION("IMPORTRANGE(""https://docs.google.com/spreadsheets/d/1IdolZc-dfdgMwAm_KZxYJl1sUOcIgnbGQzbWOlddedo/edit?usp=sharing"",""เลย!J673"")"),0)</f>
        <v>0</v>
      </c>
      <c r="AA43" s="276">
        <f t="shared" ca="1" si="12"/>
        <v>0</v>
      </c>
      <c r="AB43" s="276">
        <f ca="1">IFERROR(__xludf.DUMMYFUNCTION("IMPORTRANGE(""https://docs.google.com/spreadsheets/d/1IdolZc-dfdgMwAm_KZxYJl1sUOcIgnbGQzbWOlddedo/edit?usp=sharing"",""เลย!J674"")"),0)</f>
        <v>0</v>
      </c>
      <c r="AC43" s="82">
        <f t="shared" ca="1" si="13"/>
        <v>0</v>
      </c>
      <c r="AD43" s="276">
        <f ca="1">IFERROR(__xludf.DUMMYFUNCTION("IMPORTRANGE(""https://docs.google.com/spreadsheets/d/1IdolZc-dfdgMwAm_KZxYJl1sUOcIgnbGQzbWOlddedo/edit?usp=sharing"",""เลย!J675"")"),0)</f>
        <v>0</v>
      </c>
      <c r="AE43" s="82">
        <f t="shared" ca="1" si="22"/>
        <v>0</v>
      </c>
      <c r="AF43" s="276">
        <f ca="1">IFERROR(__xludf.DUMMYFUNCTION("IMPORTRANGE(""https://docs.google.com/spreadsheets/d/1IdolZc-dfdgMwAm_KZxYJl1sUOcIgnbGQzbWOlddedo/edit?usp=sharing"",""เลย!J676"")"),0)</f>
        <v>0</v>
      </c>
      <c r="AG43" s="276">
        <f ca="1">IFERROR(__xludf.DUMMYFUNCTION("IMPORTRANGE(""https://docs.google.com/spreadsheets/d/1IdolZc-dfdgMwAm_KZxYJl1sUOcIgnbGQzbWOlddedo/edit?usp=sharing"",""เลย!J677"")"),0)</f>
        <v>0</v>
      </c>
      <c r="AH43" s="81">
        <f ca="1">IFERROR(__xludf.DUMMYFUNCTION("IMPORTRANGE(""https://docs.google.com/spreadsheets/d/1IdolZc-dfdgMwAm_KZxYJl1sUOcIgnbGQzbWOlddedo/edit?usp=sharing"",""เลย!I678"")"),0)</f>
        <v>0</v>
      </c>
      <c r="AI43" s="81">
        <f ca="1">IFERROR(__xludf.DUMMYFUNCTION("IMPORTRANGE(""https://docs.google.com/spreadsheets/d/1IdolZc-dfdgMwAm_KZxYJl1sUOcIgnbGQzbWOlddedo/edit?usp=sharing"",""เลย!J678"")"),0)</f>
        <v>0</v>
      </c>
      <c r="AJ43" s="82">
        <f t="shared" ca="1" si="28"/>
        <v>0</v>
      </c>
      <c r="AK43" s="81">
        <f ca="1">IFERROR(__xludf.DUMMYFUNCTION("IMPORTRANGE(""https://docs.google.com/spreadsheets/d/1IdolZc-dfdgMwAm_KZxYJl1sUOcIgnbGQzbWOlddedo/edit?usp=sharing"",""เลย!J679"")"),0)</f>
        <v>0</v>
      </c>
      <c r="AL43" s="81">
        <f ca="1">IFERROR(__xludf.DUMMYFUNCTION("IMPORTRANGE(""https://docs.google.com/spreadsheets/d/1IdolZc-dfdgMwAm_KZxYJl1sUOcIgnbGQzbWOlddedo/edit?usp=sharing"",""เลย!J680"")"),0)</f>
        <v>0</v>
      </c>
      <c r="AM43" s="81">
        <f ca="1">IFERROR(__xludf.DUMMYFUNCTION("IMPORTRANGE(""https://docs.google.com/spreadsheets/d/1IdolZc-dfdgMwAm_KZxYJl1sUOcIgnbGQzbWOlddedo/edit?usp=sharing"",""เลย!J681"")"),0)</f>
        <v>0</v>
      </c>
      <c r="AN43" s="81">
        <f ca="1">IFERROR(__xludf.DUMMYFUNCTION("IMPORTRANGE(""https://docs.google.com/spreadsheets/d/1IdolZc-dfdgMwAm_KZxYJl1sUOcIgnbGQzbWOlddedo/edit?usp=sharing"",""เลย!J682"")"),0)</f>
        <v>0</v>
      </c>
      <c r="AO43" s="81">
        <f ca="1">IFERROR(__xludf.DUMMYFUNCTION("IMPORTRANGE(""https://docs.google.com/spreadsheets/d/1IdolZc-dfdgMwAm_KZxYJl1sUOcIgnbGQzbWOlddedo/edit?usp=sharing"",""เลย!J683"")"),0)</f>
        <v>0</v>
      </c>
    </row>
    <row r="44" spans="1:41" ht="21" customHeight="1" x14ac:dyDescent="0.2">
      <c r="A44" s="72">
        <v>13</v>
      </c>
      <c r="B44" s="73" t="s">
        <v>61</v>
      </c>
      <c r="C44" s="74">
        <f t="shared" ca="1" si="46"/>
        <v>15600</v>
      </c>
      <c r="D44" s="75">
        <f ca="1">IFERROR(__xludf.DUMMYFUNCTION("IMPORTRANGE(""https://docs.google.com/spreadsheets/d/1tZ0nmtGuIRCaGAMXHlQU8EpR9LOAJvyKfc4f7EFmE34/edit?usp=sharing"",""ศรีสะเกษ!L660"")"),15600)</f>
        <v>15600</v>
      </c>
      <c r="E44" s="76">
        <f ca="1">IFERROR(__xludf.DUMMYFUNCTION("IMPORTRANGE(""https://docs.google.com/spreadsheets/d/1tZ0nmtGuIRCaGAMXHlQU8EpR9LOAJvyKfc4f7EFmE34/edit?usp=sharing"",""ศรีสะเกษ!L667"")"),0)</f>
        <v>0</v>
      </c>
      <c r="F44" s="77">
        <f t="shared" ca="1" si="1"/>
        <v>13340</v>
      </c>
      <c r="G44" s="78">
        <f t="shared" ca="1" si="2"/>
        <v>85.512820512820511</v>
      </c>
      <c r="H44" s="79">
        <f t="shared" ca="1" si="47"/>
        <v>13340</v>
      </c>
      <c r="I44" s="76">
        <f ca="1">IFERROR(__xludf.DUMMYFUNCTION("IMPORTRANGE(""https://docs.google.com/spreadsheets/d/1tZ0nmtGuIRCaGAMXHlQU8EpR9LOAJvyKfc4f7EFmE34/edit?usp=sharing"",""ศรีสะเกษ!N661"")"),0)</f>
        <v>0</v>
      </c>
      <c r="J44" s="76">
        <f ca="1">IFERROR(__xludf.DUMMYFUNCTION("IMPORTRANGE(""https://docs.google.com/spreadsheets/d/1tZ0nmtGuIRCaGAMXHlQU8EpR9LOAJvyKfc4f7EFmE34/edit?usp=sharing"",""ศรีสะเกษ!N662"")"),0)</f>
        <v>0</v>
      </c>
      <c r="K44" s="76">
        <f ca="1">IFERROR(__xludf.DUMMYFUNCTION("IMPORTRANGE(""https://docs.google.com/spreadsheets/d/1tZ0nmtGuIRCaGAMXHlQU8EpR9LOAJvyKfc4f7EFmE34/edit?usp=sharing"",""ศรีสะเกษ!N663"")"),0)</f>
        <v>0</v>
      </c>
      <c r="L44" s="76">
        <f ca="1">IFERROR(__xludf.DUMMYFUNCTION("IMPORTRANGE(""https://docs.google.com/spreadsheets/d/1tZ0nmtGuIRCaGAMXHlQU8EpR9LOAJvyKfc4f7EFmE34/edit?usp=sharing"",""ศรีสะเกษ!N664"")"),13340)</f>
        <v>13340</v>
      </c>
      <c r="M44" s="80">
        <f ca="1">IFERROR(__xludf.DUMMYFUNCTION("IMPORTRANGE(""https://docs.google.com/spreadsheets/d/1tZ0nmtGuIRCaGAMXHlQU8EpR9LOAJvyKfc4f7EFmE34/edit?usp=sharing"",""ศรีสะเกษ!N667"")"),0)</f>
        <v>0</v>
      </c>
      <c r="N44" s="80">
        <f t="shared" ca="1" si="31"/>
        <v>0</v>
      </c>
      <c r="O44" s="81">
        <f ca="1">IFERROR(__xludf.DUMMYFUNCTION("IMPORTRANGE(""https://docs.google.com/spreadsheets/d/1tZ0nmtGuIRCaGAMXHlQU8EpR9LOAJvyKfc4f7EFmE34/edit?usp=sharing"",""ศรีสะเกษ!I669"")"),100)</f>
        <v>100</v>
      </c>
      <c r="P44" s="81">
        <f ca="1">IFERROR(__xludf.DUMMYFUNCTION("IMPORTRANGE(""https://docs.google.com/spreadsheets/d/1tZ0nmtGuIRCaGAMXHlQU8EpR9LOAJvyKfc4f7EFmE34/edit?usp=sharing"",""ศรีสะเกษ!J669"")"),0)</f>
        <v>0</v>
      </c>
      <c r="Q44" s="82">
        <f t="shared" ca="1" si="25"/>
        <v>0</v>
      </c>
      <c r="R44" s="81">
        <f ca="1">IFERROR(__xludf.DUMMYFUNCTION("IMPORTRANGE(""https://docs.google.com/spreadsheets/d/1tZ0nmtGuIRCaGAMXHlQU8EpR9LOAJvyKfc4f7EFmE34/edit?usp=sharing"",""ศรีสะเกษ!I670"")"),6)</f>
        <v>6</v>
      </c>
      <c r="S44" s="81">
        <f ca="1">IFERROR(__xludf.DUMMYFUNCTION("IMPORTRANGE(""https://docs.google.com/spreadsheets/d/1tZ0nmtGuIRCaGAMXHlQU8EpR9LOAJvyKfc4f7EFmE34/edit?usp=sharing"",""ศรีสะเกษ!J670"")"),6)</f>
        <v>6</v>
      </c>
      <c r="T44" s="82">
        <f t="shared" ca="1" si="26"/>
        <v>100</v>
      </c>
      <c r="U44" s="81">
        <f ca="1">IFERROR(__xludf.DUMMYFUNCTION("IMPORTRANGE(""https://docs.google.com/spreadsheets/d/1tZ0nmtGuIRCaGAMXHlQU8EpR9LOAJvyKfc4f7EFmE34/edit?usp=sharing"",""ศรีสะเกษ!I671"")"),6)</f>
        <v>6</v>
      </c>
      <c r="V44" s="81">
        <f ca="1">IFERROR(__xludf.DUMMYFUNCTION("IMPORTRANGE(""https://docs.google.com/spreadsheets/d/1tZ0nmtGuIRCaGAMXHlQU8EpR9LOAJvyKfc4f7EFmE34/edit?usp=sharing"",""ศรีสะเกษ!J671"")"),6)</f>
        <v>6</v>
      </c>
      <c r="W44" s="82">
        <f t="shared" ca="1" si="27"/>
        <v>100</v>
      </c>
      <c r="X44" s="81">
        <f ca="1">IFERROR(__xludf.DUMMYFUNCTION("IMPORTRANGE(""https://docs.google.com/spreadsheets/d/1tZ0nmtGuIRCaGAMXHlQU8EpR9LOAJvyKfc4f7EFmE34/edit?usp=sharing"",""ศรีสะเกษ!J672"")"),18)</f>
        <v>18</v>
      </c>
      <c r="Y44" s="276">
        <f t="shared" ca="1" si="11"/>
        <v>18</v>
      </c>
      <c r="Z44" s="81">
        <f ca="1">IFERROR(__xludf.DUMMYFUNCTION("IMPORTRANGE(""https://docs.google.com/spreadsheets/d/1tZ0nmtGuIRCaGAMXHlQU8EpR9LOAJvyKfc4f7EFmE34/edit?usp=sharing"",""ศรีสะเกษ!J673"")"),18)</f>
        <v>18</v>
      </c>
      <c r="AA44" s="276">
        <f t="shared" ca="1" si="12"/>
        <v>18</v>
      </c>
      <c r="AB44" s="276">
        <f ca="1">IFERROR(__xludf.DUMMYFUNCTION("IMPORTRANGE(""https://docs.google.com/spreadsheets/d/1tZ0nmtGuIRCaGAMXHlQU8EpR9LOAJvyKfc4f7EFmE34/edit?usp=sharing"",""ศรีสะเกษ!J674"")"),0)</f>
        <v>0</v>
      </c>
      <c r="AC44" s="82">
        <f t="shared" ca="1" si="13"/>
        <v>0</v>
      </c>
      <c r="AD44" s="276">
        <f ca="1">IFERROR(__xludf.DUMMYFUNCTION("IMPORTRANGE(""https://docs.google.com/spreadsheets/d/1tZ0nmtGuIRCaGAMXHlQU8EpR9LOAJvyKfc4f7EFmE34/edit?usp=sharing"",""ศรีสะเกษ!J675"")"),0)</f>
        <v>0</v>
      </c>
      <c r="AE44" s="82">
        <f t="shared" ca="1" si="22"/>
        <v>0</v>
      </c>
      <c r="AF44" s="276">
        <f ca="1">IFERROR(__xludf.DUMMYFUNCTION("IMPORTRANGE(""https://docs.google.com/spreadsheets/d/1tZ0nmtGuIRCaGAMXHlQU8EpR9LOAJvyKfc4f7EFmE34/edit?usp=sharing"",""ศรีสะเกษ!J676"")"),0)</f>
        <v>0</v>
      </c>
      <c r="AG44" s="276">
        <f ca="1">IFERROR(__xludf.DUMMYFUNCTION("IMPORTRANGE(""https://docs.google.com/spreadsheets/d/1tZ0nmtGuIRCaGAMXHlQU8EpR9LOAJvyKfc4f7EFmE34/edit?usp=sharing"",""ศรีสะเกษ!J677"")"),0)</f>
        <v>0</v>
      </c>
      <c r="AH44" s="81">
        <f ca="1">IFERROR(__xludf.DUMMYFUNCTION("IMPORTRANGE(""https://docs.google.com/spreadsheets/d/1tZ0nmtGuIRCaGAMXHlQU8EpR9LOAJvyKfc4f7EFmE34/edit?usp=sharing"",""ศรีสะเกษ!I678"")"),0)</f>
        <v>0</v>
      </c>
      <c r="AI44" s="81">
        <f ca="1">IFERROR(__xludf.DUMMYFUNCTION("IMPORTRANGE(""https://docs.google.com/spreadsheets/d/1tZ0nmtGuIRCaGAMXHlQU8EpR9LOAJvyKfc4f7EFmE34/edit?usp=sharing"",""ศรีสะเกษ!J678"")"),0)</f>
        <v>0</v>
      </c>
      <c r="AJ44" s="82">
        <f t="shared" ca="1" si="28"/>
        <v>0</v>
      </c>
      <c r="AK44" s="81">
        <f ca="1">IFERROR(__xludf.DUMMYFUNCTION("IMPORTRANGE(""https://docs.google.com/spreadsheets/d/1tZ0nmtGuIRCaGAMXHlQU8EpR9LOAJvyKfc4f7EFmE34/edit?usp=sharing"",""ศรีสะเกษ!J679"")"),0)</f>
        <v>0</v>
      </c>
      <c r="AL44" s="81">
        <f ca="1">IFERROR(__xludf.DUMMYFUNCTION("IMPORTRANGE(""https://docs.google.com/spreadsheets/d/1tZ0nmtGuIRCaGAMXHlQU8EpR9LOAJvyKfc4f7EFmE34/edit?usp=sharing"",""ศรีสะเกษ!J680"")"),0)</f>
        <v>0</v>
      </c>
      <c r="AM44" s="81">
        <f ca="1">IFERROR(__xludf.DUMMYFUNCTION("IMPORTRANGE(""https://docs.google.com/spreadsheets/d/1tZ0nmtGuIRCaGAMXHlQU8EpR9LOAJvyKfc4f7EFmE34/edit?usp=sharing"",""ศรีสะเกษ!J681"")"),0)</f>
        <v>0</v>
      </c>
      <c r="AN44" s="81">
        <f ca="1">IFERROR(__xludf.DUMMYFUNCTION("IMPORTRANGE(""https://docs.google.com/spreadsheets/d/1tZ0nmtGuIRCaGAMXHlQU8EpR9LOAJvyKfc4f7EFmE34/edit?usp=sharing"",""ศรีสะเกษ!J682"")"),0)</f>
        <v>0</v>
      </c>
      <c r="AO44" s="81">
        <f ca="1">IFERROR(__xludf.DUMMYFUNCTION("IMPORTRANGE(""https://docs.google.com/spreadsheets/d/1tZ0nmtGuIRCaGAMXHlQU8EpR9LOAJvyKfc4f7EFmE34/edit?usp=sharing"",""ศรีสะเกษ!J683"")"),0)</f>
        <v>0</v>
      </c>
    </row>
    <row r="45" spans="1:41" ht="21" customHeight="1" x14ac:dyDescent="0.2">
      <c r="A45" s="72">
        <v>14</v>
      </c>
      <c r="B45" s="73" t="s">
        <v>62</v>
      </c>
      <c r="C45" s="74">
        <f t="shared" ca="1" si="46"/>
        <v>0</v>
      </c>
      <c r="D45" s="75">
        <f ca="1">IFERROR(__xludf.DUMMYFUNCTION("IMPORTRANGE(""https://docs.google.com/spreadsheets/d/1QC8psz9w0f9IVE9Xuc2FT_btkaOzZbbUSgYObpBuetM/edit?usp=sharing"",""สกลนคร!L660"")"),0)</f>
        <v>0</v>
      </c>
      <c r="E45" s="76">
        <f ca="1">IFERROR(__xludf.DUMMYFUNCTION("IMPORTRANGE(""https://docs.google.com/spreadsheets/d/1QC8psz9w0f9IVE9Xuc2FT_btkaOzZbbUSgYObpBuetM/edit?usp=sharing"",""สกลนคร!L667"")"),0)</f>
        <v>0</v>
      </c>
      <c r="F45" s="77">
        <f t="shared" ca="1" si="1"/>
        <v>0</v>
      </c>
      <c r="G45" s="78">
        <f t="shared" ca="1" si="2"/>
        <v>0</v>
      </c>
      <c r="H45" s="79">
        <f t="shared" ca="1" si="47"/>
        <v>0</v>
      </c>
      <c r="I45" s="76">
        <f ca="1">IFERROR(__xludf.DUMMYFUNCTION("IMPORTRANGE(""https://docs.google.com/spreadsheets/d/1QC8psz9w0f9IVE9Xuc2FT_btkaOzZbbUSgYObpBuetM/edit?usp=sharing"",""สกลนคร!N661"")"),0)</f>
        <v>0</v>
      </c>
      <c r="J45" s="76">
        <f ca="1">IFERROR(__xludf.DUMMYFUNCTION("IMPORTRANGE(""https://docs.google.com/spreadsheets/d/1QC8psz9w0f9IVE9Xuc2FT_btkaOzZbbUSgYObpBuetM/edit?usp=sharing"",""สกลนคร!N662"")"),0)</f>
        <v>0</v>
      </c>
      <c r="K45" s="76">
        <f ca="1">IFERROR(__xludf.DUMMYFUNCTION("IMPORTRANGE(""https://docs.google.com/spreadsheets/d/1QC8psz9w0f9IVE9Xuc2FT_btkaOzZbbUSgYObpBuetM/edit?usp=sharing"",""สกลนคร!N663"")"),0)</f>
        <v>0</v>
      </c>
      <c r="L45" s="76">
        <f ca="1">IFERROR(__xludf.DUMMYFUNCTION("IMPORTRANGE(""https://docs.google.com/spreadsheets/d/1QC8psz9w0f9IVE9Xuc2FT_btkaOzZbbUSgYObpBuetM/edit?usp=sharing"",""สกลนคร!N664"")"),0)</f>
        <v>0</v>
      </c>
      <c r="M45" s="80">
        <f ca="1">IFERROR(__xludf.DUMMYFUNCTION("IMPORTRANGE(""https://docs.google.com/spreadsheets/d/1QC8psz9w0f9IVE9Xuc2FT_btkaOzZbbUSgYObpBuetM/edit?usp=sharing"",""สกลนคร!N667"")"),0)</f>
        <v>0</v>
      </c>
      <c r="N45" s="80">
        <f t="shared" ca="1" si="31"/>
        <v>0</v>
      </c>
      <c r="O45" s="81">
        <f ca="1">IFERROR(__xludf.DUMMYFUNCTION("IMPORTRANGE(""https://docs.google.com/spreadsheets/d/1QC8psz9w0f9IVE9Xuc2FT_btkaOzZbbUSgYObpBuetM/edit?usp=sharing"",""สกลนคร!I669"")"),0)</f>
        <v>0</v>
      </c>
      <c r="P45" s="81">
        <f ca="1">IFERROR(__xludf.DUMMYFUNCTION("IMPORTRANGE(""https://docs.google.com/spreadsheets/d/1QC8psz9w0f9IVE9Xuc2FT_btkaOzZbbUSgYObpBuetM/edit?usp=sharing"",""สกลนคร!J669"")"),0)</f>
        <v>0</v>
      </c>
      <c r="Q45" s="82">
        <f t="shared" ca="1" si="25"/>
        <v>0</v>
      </c>
      <c r="R45" s="81">
        <f ca="1">IFERROR(__xludf.DUMMYFUNCTION("IMPORTRANGE(""https://docs.google.com/spreadsheets/d/1QC8psz9w0f9IVE9Xuc2FT_btkaOzZbbUSgYObpBuetM/edit?usp=sharing"",""สกลนคร!I670"")"),0)</f>
        <v>0</v>
      </c>
      <c r="S45" s="81">
        <f ca="1">IFERROR(__xludf.DUMMYFUNCTION("IMPORTRANGE(""https://docs.google.com/spreadsheets/d/1QC8psz9w0f9IVE9Xuc2FT_btkaOzZbbUSgYObpBuetM/edit?usp=sharing"",""สกลนคร!J670"")"),0)</f>
        <v>0</v>
      </c>
      <c r="T45" s="82">
        <f t="shared" ca="1" si="26"/>
        <v>0</v>
      </c>
      <c r="U45" s="81">
        <f ca="1">IFERROR(__xludf.DUMMYFUNCTION("IMPORTRANGE(""https://docs.google.com/spreadsheets/d/1QC8psz9w0f9IVE9Xuc2FT_btkaOzZbbUSgYObpBuetM/edit?usp=sharing"",""สกลนคร!I671"")"),0)</f>
        <v>0</v>
      </c>
      <c r="V45" s="81">
        <f ca="1">IFERROR(__xludf.DUMMYFUNCTION("IMPORTRANGE(""https://docs.google.com/spreadsheets/d/1QC8psz9w0f9IVE9Xuc2FT_btkaOzZbbUSgYObpBuetM/edit?usp=sharing"",""สกลนคร!J671"")"),0)</f>
        <v>0</v>
      </c>
      <c r="W45" s="82">
        <f t="shared" ca="1" si="27"/>
        <v>0</v>
      </c>
      <c r="X45" s="81">
        <f ca="1">IFERROR(__xludf.DUMMYFUNCTION("IMPORTRANGE(""https://docs.google.com/spreadsheets/d/1QC8psz9w0f9IVE9Xuc2FT_btkaOzZbbUSgYObpBuetM/edit?usp=sharing"",""สกลนคร!J672"")"),0)</f>
        <v>0</v>
      </c>
      <c r="Y45" s="276">
        <f t="shared" ca="1" si="11"/>
        <v>0</v>
      </c>
      <c r="Z45" s="81">
        <f ca="1">IFERROR(__xludf.DUMMYFUNCTION("IMPORTRANGE(""https://docs.google.com/spreadsheets/d/1QC8psz9w0f9IVE9Xuc2FT_btkaOzZbbUSgYObpBuetM/edit?usp=sharing"",""สกลนคร!J673"")"),0)</f>
        <v>0</v>
      </c>
      <c r="AA45" s="276">
        <f t="shared" ca="1" si="12"/>
        <v>0</v>
      </c>
      <c r="AB45" s="276">
        <f ca="1">IFERROR(__xludf.DUMMYFUNCTION("IMPORTRANGE(""https://docs.google.com/spreadsheets/d/1QC8psz9w0f9IVE9Xuc2FT_btkaOzZbbUSgYObpBuetM/edit?usp=sharing"",""สกลนคร!J674"")"),0)</f>
        <v>0</v>
      </c>
      <c r="AC45" s="82">
        <f t="shared" ca="1" si="13"/>
        <v>0</v>
      </c>
      <c r="AD45" s="276">
        <f ca="1">IFERROR(__xludf.DUMMYFUNCTION("IMPORTRANGE(""https://docs.google.com/spreadsheets/d/1QC8psz9w0f9IVE9Xuc2FT_btkaOzZbbUSgYObpBuetM/edit?usp=sharing"",""สกลนคร!J675"")"),0)</f>
        <v>0</v>
      </c>
      <c r="AE45" s="82">
        <f t="shared" ca="1" si="22"/>
        <v>0</v>
      </c>
      <c r="AF45" s="276">
        <f ca="1">IFERROR(__xludf.DUMMYFUNCTION("IMPORTRANGE(""https://docs.google.com/spreadsheets/d/1QC8psz9w0f9IVE9Xuc2FT_btkaOzZbbUSgYObpBuetM/edit?usp=sharing"",""สกลนคร!J676"")"),0)</f>
        <v>0</v>
      </c>
      <c r="AG45" s="276">
        <f ca="1">IFERROR(__xludf.DUMMYFUNCTION("IMPORTRANGE(""https://docs.google.com/spreadsheets/d/1QC8psz9w0f9IVE9Xuc2FT_btkaOzZbbUSgYObpBuetM/edit?usp=sharing"",""สกลนคร!J677"")"),0)</f>
        <v>0</v>
      </c>
      <c r="AH45" s="81">
        <f ca="1">IFERROR(__xludf.DUMMYFUNCTION("IMPORTRANGE(""https://docs.google.com/spreadsheets/d/1QC8psz9w0f9IVE9Xuc2FT_btkaOzZbbUSgYObpBuetM/edit?usp=sharing"",""สกลนคร!I678"")"),0)</f>
        <v>0</v>
      </c>
      <c r="AI45" s="81">
        <f ca="1">IFERROR(__xludf.DUMMYFUNCTION("IMPORTRANGE(""https://docs.google.com/spreadsheets/d/1QC8psz9w0f9IVE9Xuc2FT_btkaOzZbbUSgYObpBuetM/edit?usp=sharing"",""สกลนคร!J678"")"),0)</f>
        <v>0</v>
      </c>
      <c r="AJ45" s="82">
        <f t="shared" ca="1" si="28"/>
        <v>0</v>
      </c>
      <c r="AK45" s="81">
        <f ca="1">IFERROR(__xludf.DUMMYFUNCTION("IMPORTRANGE(""https://docs.google.com/spreadsheets/d/1QC8psz9w0f9IVE9Xuc2FT_btkaOzZbbUSgYObpBuetM/edit?usp=sharing"",""สกลนคร!J679"")"),0)</f>
        <v>0</v>
      </c>
      <c r="AL45" s="81">
        <f ca="1">IFERROR(__xludf.DUMMYFUNCTION("IMPORTRANGE(""https://docs.google.com/spreadsheets/d/1QC8psz9w0f9IVE9Xuc2FT_btkaOzZbbUSgYObpBuetM/edit?usp=sharing"",""สกลนคร!J680"")"),0)</f>
        <v>0</v>
      </c>
      <c r="AM45" s="81">
        <f ca="1">IFERROR(__xludf.DUMMYFUNCTION("IMPORTRANGE(""https://docs.google.com/spreadsheets/d/1QC8psz9w0f9IVE9Xuc2FT_btkaOzZbbUSgYObpBuetM/edit?usp=sharing"",""สกลนคร!J681"")"),0)</f>
        <v>0</v>
      </c>
      <c r="AN45" s="81">
        <f ca="1">IFERROR(__xludf.DUMMYFUNCTION("IMPORTRANGE(""https://docs.google.com/spreadsheets/d/1QC8psz9w0f9IVE9Xuc2FT_btkaOzZbbUSgYObpBuetM/edit?usp=sharing"",""สกลนคร!J682"")"),0)</f>
        <v>0</v>
      </c>
      <c r="AO45" s="81">
        <f ca="1">IFERROR(__xludf.DUMMYFUNCTION("IMPORTRANGE(""https://docs.google.com/spreadsheets/d/1QC8psz9w0f9IVE9Xuc2FT_btkaOzZbbUSgYObpBuetM/edit?usp=sharing"",""สกลนคร!J683"")"),0)</f>
        <v>0</v>
      </c>
    </row>
    <row r="46" spans="1:41" ht="21" customHeight="1" x14ac:dyDescent="0.2">
      <c r="A46" s="72">
        <v>15</v>
      </c>
      <c r="B46" s="73" t="s">
        <v>63</v>
      </c>
      <c r="C46" s="74">
        <f t="shared" ca="1" si="46"/>
        <v>15600</v>
      </c>
      <c r="D46" s="75">
        <f ca="1">IFERROR(__xludf.DUMMYFUNCTION("IMPORTRANGE(""https://docs.google.com/spreadsheets/d/1wPdvRbu02d33MYVlbsCnyTiZpefEBs9NNktAnT1HZvw/edit?usp=sharing"",""สุรินทร์!L660"")"),15600)</f>
        <v>15600</v>
      </c>
      <c r="E46" s="76">
        <f ca="1">IFERROR(__xludf.DUMMYFUNCTION("IMPORTRANGE(""https://docs.google.com/spreadsheets/d/1wPdvRbu02d33MYVlbsCnyTiZpefEBs9NNktAnT1HZvw/edit?usp=sharing"",""สุรินทร์!L667"")"),0)</f>
        <v>0</v>
      </c>
      <c r="F46" s="77">
        <f t="shared" ca="1" si="1"/>
        <v>2700</v>
      </c>
      <c r="G46" s="78">
        <f t="shared" ca="1" si="2"/>
        <v>17.307692307692307</v>
      </c>
      <c r="H46" s="79">
        <f t="shared" ca="1" si="47"/>
        <v>2700</v>
      </c>
      <c r="I46" s="76">
        <f ca="1">IFERROR(__xludf.DUMMYFUNCTION("IMPORTRANGE(""https://docs.google.com/spreadsheets/d/1wPdvRbu02d33MYVlbsCnyTiZpefEBs9NNktAnT1HZvw/edit?usp=sharing"",""สุรินทร์!N661"")"),0)</f>
        <v>0</v>
      </c>
      <c r="J46" s="76">
        <f ca="1">IFERROR(__xludf.DUMMYFUNCTION("IMPORTRANGE(""https://docs.google.com/spreadsheets/d/1wPdvRbu02d33MYVlbsCnyTiZpefEBs9NNktAnT1HZvw/edit?usp=sharing"",""สุรินทร์!N662"")"),0)</f>
        <v>0</v>
      </c>
      <c r="K46" s="76">
        <f ca="1">IFERROR(__xludf.DUMMYFUNCTION("IMPORTRANGE(""https://docs.google.com/spreadsheets/d/1wPdvRbu02d33MYVlbsCnyTiZpefEBs9NNktAnT1HZvw/edit?usp=sharing"",""สุรินทร์!N663"")"),0)</f>
        <v>0</v>
      </c>
      <c r="L46" s="76">
        <f ca="1">IFERROR(__xludf.DUMMYFUNCTION("IMPORTRANGE(""https://docs.google.com/spreadsheets/d/1wPdvRbu02d33MYVlbsCnyTiZpefEBs9NNktAnT1HZvw/edit?usp=sharing"",""สุรินทร์!N664"")"),2700)</f>
        <v>2700</v>
      </c>
      <c r="M46" s="80">
        <f ca="1">IFERROR(__xludf.DUMMYFUNCTION("IMPORTRANGE(""https://docs.google.com/spreadsheets/d/1wPdvRbu02d33MYVlbsCnyTiZpefEBs9NNktAnT1HZvw/edit?usp=sharing"",""สุรินทร์!N667"")"),0)</f>
        <v>0</v>
      </c>
      <c r="N46" s="80">
        <f t="shared" ca="1" si="31"/>
        <v>0</v>
      </c>
      <c r="O46" s="81">
        <f ca="1">IFERROR(__xludf.DUMMYFUNCTION("IMPORTRANGE(""https://docs.google.com/spreadsheets/d/1wPdvRbu02d33MYVlbsCnyTiZpefEBs9NNktAnT1HZvw/edit?usp=sharing"",""สุรินทร์!I669"")"),100)</f>
        <v>100</v>
      </c>
      <c r="P46" s="81">
        <f ca="1">IFERROR(__xludf.DUMMYFUNCTION("IMPORTRANGE(""https://docs.google.com/spreadsheets/d/1wPdvRbu02d33MYVlbsCnyTiZpefEBs9NNktAnT1HZvw/edit?usp=sharing"",""สุรินทร์!J669"")"),0)</f>
        <v>0</v>
      </c>
      <c r="Q46" s="82">
        <f t="shared" ca="1" si="25"/>
        <v>0</v>
      </c>
      <c r="R46" s="81">
        <f ca="1">IFERROR(__xludf.DUMMYFUNCTION("IMPORTRANGE(""https://docs.google.com/spreadsheets/d/1wPdvRbu02d33MYVlbsCnyTiZpefEBs9NNktAnT1HZvw/edit?usp=sharing"",""สุรินทร์!I670"")"),6)</f>
        <v>6</v>
      </c>
      <c r="S46" s="81">
        <f ca="1">IFERROR(__xludf.DUMMYFUNCTION("IMPORTRANGE(""https://docs.google.com/spreadsheets/d/1wPdvRbu02d33MYVlbsCnyTiZpefEBs9NNktAnT1HZvw/edit?usp=sharing"",""สุรินทร์!J670"")"),6)</f>
        <v>6</v>
      </c>
      <c r="T46" s="82">
        <f t="shared" ca="1" si="26"/>
        <v>100</v>
      </c>
      <c r="U46" s="81">
        <f ca="1">IFERROR(__xludf.DUMMYFUNCTION("IMPORTRANGE(""https://docs.google.com/spreadsheets/d/1wPdvRbu02d33MYVlbsCnyTiZpefEBs9NNktAnT1HZvw/edit?usp=sharing"",""สุรินทร์!I671"")"),6)</f>
        <v>6</v>
      </c>
      <c r="V46" s="81">
        <f ca="1">IFERROR(__xludf.DUMMYFUNCTION("IMPORTRANGE(""https://docs.google.com/spreadsheets/d/1wPdvRbu02d33MYVlbsCnyTiZpefEBs9NNktAnT1HZvw/edit?usp=sharing"",""สุรินทร์!J671"")"),6)</f>
        <v>6</v>
      </c>
      <c r="W46" s="82">
        <f t="shared" ca="1" si="27"/>
        <v>100</v>
      </c>
      <c r="X46" s="81">
        <f ca="1">IFERROR(__xludf.DUMMYFUNCTION("IMPORTRANGE(""https://docs.google.com/spreadsheets/d/1wPdvRbu02d33MYVlbsCnyTiZpefEBs9NNktAnT1HZvw/edit?usp=sharing"",""สุรินทร์!J672"")"),64)</f>
        <v>64</v>
      </c>
      <c r="Y46" s="276">
        <f t="shared" ca="1" si="11"/>
        <v>64</v>
      </c>
      <c r="Z46" s="81">
        <f ca="1">IFERROR(__xludf.DUMMYFUNCTION("IMPORTRANGE(""https://docs.google.com/spreadsheets/d/1wPdvRbu02d33MYVlbsCnyTiZpefEBs9NNktAnT1HZvw/edit?usp=sharing"",""สุรินทร์!J673"")"),0)</f>
        <v>0</v>
      </c>
      <c r="AA46" s="276">
        <f t="shared" ca="1" si="12"/>
        <v>0</v>
      </c>
      <c r="AB46" s="276">
        <f ca="1">IFERROR(__xludf.DUMMYFUNCTION("IMPORTRANGE(""https://docs.google.com/spreadsheets/d/1wPdvRbu02d33MYVlbsCnyTiZpefEBs9NNktAnT1HZvw/edit?usp=sharing"",""สุรินทร์!J674"")"),0)</f>
        <v>0</v>
      </c>
      <c r="AC46" s="82">
        <f t="shared" ca="1" si="13"/>
        <v>0</v>
      </c>
      <c r="AD46" s="276">
        <f ca="1">IFERROR(__xludf.DUMMYFUNCTION("IMPORTRANGE(""https://docs.google.com/spreadsheets/d/1wPdvRbu02d33MYVlbsCnyTiZpefEBs9NNktAnT1HZvw/edit?usp=sharing"",""สุรินทร์!J675"")"),0)</f>
        <v>0</v>
      </c>
      <c r="AE46" s="82">
        <f t="shared" ca="1" si="22"/>
        <v>0</v>
      </c>
      <c r="AF46" s="276">
        <f ca="1">IFERROR(__xludf.DUMMYFUNCTION("IMPORTRANGE(""https://docs.google.com/spreadsheets/d/1wPdvRbu02d33MYVlbsCnyTiZpefEBs9NNktAnT1HZvw/edit?usp=sharing"",""สุรินทร์!J676"")"),0)</f>
        <v>0</v>
      </c>
      <c r="AG46" s="276">
        <f ca="1">IFERROR(__xludf.DUMMYFUNCTION("IMPORTRANGE(""https://docs.google.com/spreadsheets/d/1wPdvRbu02d33MYVlbsCnyTiZpefEBs9NNktAnT1HZvw/edit?usp=sharing"",""สุรินทร์!J677"")"),0)</f>
        <v>0</v>
      </c>
      <c r="AH46" s="81">
        <f ca="1">IFERROR(__xludf.DUMMYFUNCTION("IMPORTRANGE(""https://docs.google.com/spreadsheets/d/1wPdvRbu02d33MYVlbsCnyTiZpefEBs9NNktAnT1HZvw/edit?usp=sharing"",""สุรินทร์!I678"")"),0)</f>
        <v>0</v>
      </c>
      <c r="AI46" s="81">
        <f ca="1">IFERROR(__xludf.DUMMYFUNCTION("IMPORTRANGE(""https://docs.google.com/spreadsheets/d/1wPdvRbu02d33MYVlbsCnyTiZpefEBs9NNktAnT1HZvw/edit?usp=sharing"",""สุรินทร์!J678"")"),0)</f>
        <v>0</v>
      </c>
      <c r="AJ46" s="82">
        <f t="shared" ca="1" si="28"/>
        <v>0</v>
      </c>
      <c r="AK46" s="81">
        <f ca="1">IFERROR(__xludf.DUMMYFUNCTION("IMPORTRANGE(""https://docs.google.com/spreadsheets/d/1wPdvRbu02d33MYVlbsCnyTiZpefEBs9NNktAnT1HZvw/edit?usp=sharing"",""สุรินทร์!J679"")"),0)</f>
        <v>0</v>
      </c>
      <c r="AL46" s="81">
        <f ca="1">IFERROR(__xludf.DUMMYFUNCTION("IMPORTRANGE(""https://docs.google.com/spreadsheets/d/1wPdvRbu02d33MYVlbsCnyTiZpefEBs9NNktAnT1HZvw/edit?usp=sharing"",""สุรินทร์!J680"")"),0)</f>
        <v>0</v>
      </c>
      <c r="AM46" s="81">
        <f ca="1">IFERROR(__xludf.DUMMYFUNCTION("IMPORTRANGE(""https://docs.google.com/spreadsheets/d/1wPdvRbu02d33MYVlbsCnyTiZpefEBs9NNktAnT1HZvw/edit?usp=sharing"",""สุรินทร์!J681"")"),0)</f>
        <v>0</v>
      </c>
      <c r="AN46" s="81">
        <f ca="1">IFERROR(__xludf.DUMMYFUNCTION("IMPORTRANGE(""https://docs.google.com/spreadsheets/d/1wPdvRbu02d33MYVlbsCnyTiZpefEBs9NNktAnT1HZvw/edit?usp=sharing"",""สุรินทร์!J682"")"),0)</f>
        <v>0</v>
      </c>
      <c r="AO46" s="81">
        <f ca="1">IFERROR(__xludf.DUMMYFUNCTION("IMPORTRANGE(""https://docs.google.com/spreadsheets/d/1wPdvRbu02d33MYVlbsCnyTiZpefEBs9NNktAnT1HZvw/edit?usp=sharing"",""สุรินทร์!J683"")"),0)</f>
        <v>0</v>
      </c>
    </row>
    <row r="47" spans="1:41" ht="21" customHeight="1" x14ac:dyDescent="0.2">
      <c r="A47" s="72">
        <v>16</v>
      </c>
      <c r="B47" s="73" t="s">
        <v>64</v>
      </c>
      <c r="C47" s="74">
        <f t="shared" ca="1" si="46"/>
        <v>12400</v>
      </c>
      <c r="D47" s="75">
        <f ca="1">IFERROR(__xludf.DUMMYFUNCTION("IMPORTRANGE(""https://docs.google.com/spreadsheets/d/1GVExpf-Exi_2gmuqTYH28fseTB9MoKPXWcXCbSt_YrM/edit?usp=sharing"",""หนองคาย!L660"")"),12400)</f>
        <v>12400</v>
      </c>
      <c r="E47" s="76">
        <f ca="1">IFERROR(__xludf.DUMMYFUNCTION("IMPORTRANGE(""https://docs.google.com/spreadsheets/d/1GVExpf-Exi_2gmuqTYH28fseTB9MoKPXWcXCbSt_YrM/edit?usp=sharing"",""หนองคาย!L667"")"),0)</f>
        <v>0</v>
      </c>
      <c r="F47" s="77">
        <f t="shared" ca="1" si="1"/>
        <v>6340</v>
      </c>
      <c r="G47" s="78">
        <f t="shared" ca="1" si="2"/>
        <v>51.12903225806452</v>
      </c>
      <c r="H47" s="79">
        <f t="shared" ca="1" si="47"/>
        <v>6340</v>
      </c>
      <c r="I47" s="76">
        <f ca="1">IFERROR(__xludf.DUMMYFUNCTION("IMPORTRANGE(""https://docs.google.com/spreadsheets/d/1GVExpf-Exi_2gmuqTYH28fseTB9MoKPXWcXCbSt_YrM/edit?usp=sharing"",""หนองคาย!N661"")"),0)</f>
        <v>0</v>
      </c>
      <c r="J47" s="76">
        <f ca="1">IFERROR(__xludf.DUMMYFUNCTION("IMPORTRANGE(""https://docs.google.com/spreadsheets/d/1GVExpf-Exi_2gmuqTYH28fseTB9MoKPXWcXCbSt_YrM/edit?usp=sharing"",""หนองคาย!N662"")"),0)</f>
        <v>0</v>
      </c>
      <c r="K47" s="76">
        <f ca="1">IFERROR(__xludf.DUMMYFUNCTION("IMPORTRANGE(""https://docs.google.com/spreadsheets/d/1GVExpf-Exi_2gmuqTYH28fseTB9MoKPXWcXCbSt_YrM/edit?usp=sharing"",""หนองคาย!N663"")"),0)</f>
        <v>0</v>
      </c>
      <c r="L47" s="76">
        <f ca="1">IFERROR(__xludf.DUMMYFUNCTION("IMPORTRANGE(""https://docs.google.com/spreadsheets/d/1GVExpf-Exi_2gmuqTYH28fseTB9MoKPXWcXCbSt_YrM/edit?usp=sharing"",""หนองคาย!N664"")"),6340)</f>
        <v>6340</v>
      </c>
      <c r="M47" s="80">
        <f ca="1">IFERROR(__xludf.DUMMYFUNCTION("IMPORTRANGE(""https://docs.google.com/spreadsheets/d/1GVExpf-Exi_2gmuqTYH28fseTB9MoKPXWcXCbSt_YrM/edit?usp=sharing"",""หนองคาย!N667"")"),0)</f>
        <v>0</v>
      </c>
      <c r="N47" s="80">
        <f t="shared" ca="1" si="31"/>
        <v>0</v>
      </c>
      <c r="O47" s="81">
        <f ca="1">IFERROR(__xludf.DUMMYFUNCTION("IMPORTRANGE(""https://docs.google.com/spreadsheets/d/1GVExpf-Exi_2gmuqTYH28fseTB9MoKPXWcXCbSt_YrM/edit?usp=sharing"",""หนองคาย!I669"")"),100)</f>
        <v>100</v>
      </c>
      <c r="P47" s="81">
        <f ca="1">IFERROR(__xludf.DUMMYFUNCTION("IMPORTRANGE(""https://docs.google.com/spreadsheets/d/1GVExpf-Exi_2gmuqTYH28fseTB9MoKPXWcXCbSt_YrM/edit?usp=sharing"",""หนองคาย!J669"")"),0)</f>
        <v>0</v>
      </c>
      <c r="Q47" s="82">
        <f t="shared" ca="1" si="25"/>
        <v>0</v>
      </c>
      <c r="R47" s="81">
        <f ca="1">IFERROR(__xludf.DUMMYFUNCTION("IMPORTRANGE(""https://docs.google.com/spreadsheets/d/1GVExpf-Exi_2gmuqTYH28fseTB9MoKPXWcXCbSt_YrM/edit?usp=sharing"",""หนองคาย!I670"")"),4)</f>
        <v>4</v>
      </c>
      <c r="S47" s="81">
        <f ca="1">IFERROR(__xludf.DUMMYFUNCTION("IMPORTRANGE(""https://docs.google.com/spreadsheets/d/1GVExpf-Exi_2gmuqTYH28fseTB9MoKPXWcXCbSt_YrM/edit?usp=sharing"",""หนองคาย!J670"")"),4)</f>
        <v>4</v>
      </c>
      <c r="T47" s="82">
        <f t="shared" ca="1" si="26"/>
        <v>100</v>
      </c>
      <c r="U47" s="81">
        <f ca="1">IFERROR(__xludf.DUMMYFUNCTION("IMPORTRANGE(""https://docs.google.com/spreadsheets/d/1GVExpf-Exi_2gmuqTYH28fseTB9MoKPXWcXCbSt_YrM/edit?usp=sharing"",""หนองคาย!I671"")"),4)</f>
        <v>4</v>
      </c>
      <c r="V47" s="81">
        <f ca="1">IFERROR(__xludf.DUMMYFUNCTION("IMPORTRANGE(""https://docs.google.com/spreadsheets/d/1GVExpf-Exi_2gmuqTYH28fseTB9MoKPXWcXCbSt_YrM/edit?usp=sharing"",""หนองคาย!J671"")"),4)</f>
        <v>4</v>
      </c>
      <c r="W47" s="82">
        <f t="shared" ca="1" si="27"/>
        <v>100</v>
      </c>
      <c r="X47" s="81">
        <f ca="1">IFERROR(__xludf.DUMMYFUNCTION("IMPORTRANGE(""https://docs.google.com/spreadsheets/d/1GVExpf-Exi_2gmuqTYH28fseTB9MoKPXWcXCbSt_YrM/edit?usp=sharing"",""หนองคาย!J672"")"),0)</f>
        <v>0</v>
      </c>
      <c r="Y47" s="276">
        <f t="shared" ca="1" si="11"/>
        <v>0</v>
      </c>
      <c r="Z47" s="81">
        <f ca="1">IFERROR(__xludf.DUMMYFUNCTION("IMPORTRANGE(""https://docs.google.com/spreadsheets/d/1GVExpf-Exi_2gmuqTYH28fseTB9MoKPXWcXCbSt_YrM/edit?usp=sharing"",""หนองคาย!J673"")"),0)</f>
        <v>0</v>
      </c>
      <c r="AA47" s="276">
        <f t="shared" ca="1" si="12"/>
        <v>0</v>
      </c>
      <c r="AB47" s="276">
        <f ca="1">IFERROR(__xludf.DUMMYFUNCTION("IMPORTRANGE(""https://docs.google.com/spreadsheets/d/1GVExpf-Exi_2gmuqTYH28fseTB9MoKPXWcXCbSt_YrM/edit?usp=sharing"",""หนองคาย!J674"")"),0)</f>
        <v>0</v>
      </c>
      <c r="AC47" s="82">
        <f t="shared" ca="1" si="13"/>
        <v>0</v>
      </c>
      <c r="AD47" s="276">
        <f ca="1">IFERROR(__xludf.DUMMYFUNCTION("IMPORTRANGE(""https://docs.google.com/spreadsheets/d/1GVExpf-Exi_2gmuqTYH28fseTB9MoKPXWcXCbSt_YrM/edit?usp=sharing"",""หนองคาย!J675"")"),0)</f>
        <v>0</v>
      </c>
      <c r="AE47" s="82">
        <f t="shared" ca="1" si="22"/>
        <v>0</v>
      </c>
      <c r="AF47" s="276">
        <f ca="1">IFERROR(__xludf.DUMMYFUNCTION("IMPORTRANGE(""https://docs.google.com/spreadsheets/d/1GVExpf-Exi_2gmuqTYH28fseTB9MoKPXWcXCbSt_YrM/edit?usp=sharing"",""หนองคาย!J676"")"),0)</f>
        <v>0</v>
      </c>
      <c r="AG47" s="276">
        <f ca="1">IFERROR(__xludf.DUMMYFUNCTION("IMPORTRANGE(""https://docs.google.com/spreadsheets/d/1GVExpf-Exi_2gmuqTYH28fseTB9MoKPXWcXCbSt_YrM/edit?usp=sharing"",""หนองคาย!J677"")"),0)</f>
        <v>0</v>
      </c>
      <c r="AH47" s="81">
        <f ca="1">IFERROR(__xludf.DUMMYFUNCTION("IMPORTRANGE(""https://docs.google.com/spreadsheets/d/1GVExpf-Exi_2gmuqTYH28fseTB9MoKPXWcXCbSt_YrM/edit?usp=sharing"",""หนองคาย!I678"")"),0)</f>
        <v>0</v>
      </c>
      <c r="AI47" s="81">
        <f ca="1">IFERROR(__xludf.DUMMYFUNCTION("IMPORTRANGE(""https://docs.google.com/spreadsheets/d/1GVExpf-Exi_2gmuqTYH28fseTB9MoKPXWcXCbSt_YrM/edit?usp=sharing"",""หนองคาย!J678"")"),0)</f>
        <v>0</v>
      </c>
      <c r="AJ47" s="82">
        <f t="shared" ca="1" si="28"/>
        <v>0</v>
      </c>
      <c r="AK47" s="81">
        <f ca="1">IFERROR(__xludf.DUMMYFUNCTION("IMPORTRANGE(""https://docs.google.com/spreadsheets/d/1GVExpf-Exi_2gmuqTYH28fseTB9MoKPXWcXCbSt_YrM/edit?usp=sharing"",""หนองคาย!J679"")"),0)</f>
        <v>0</v>
      </c>
      <c r="AL47" s="81">
        <f ca="1">IFERROR(__xludf.DUMMYFUNCTION("IMPORTRANGE(""https://docs.google.com/spreadsheets/d/1GVExpf-Exi_2gmuqTYH28fseTB9MoKPXWcXCbSt_YrM/edit?usp=sharing"",""หนองคาย!J680"")"),0)</f>
        <v>0</v>
      </c>
      <c r="AM47" s="81">
        <f ca="1">IFERROR(__xludf.DUMMYFUNCTION("IMPORTRANGE(""https://docs.google.com/spreadsheets/d/1GVExpf-Exi_2gmuqTYH28fseTB9MoKPXWcXCbSt_YrM/edit?usp=sharing"",""หนองคาย!J681"")"),0)</f>
        <v>0</v>
      </c>
      <c r="AN47" s="81">
        <f ca="1">IFERROR(__xludf.DUMMYFUNCTION("IMPORTRANGE(""https://docs.google.com/spreadsheets/d/1GVExpf-Exi_2gmuqTYH28fseTB9MoKPXWcXCbSt_YrM/edit?usp=sharing"",""หนองคาย!J682"")"),0)</f>
        <v>0</v>
      </c>
      <c r="AO47" s="81">
        <f ca="1">IFERROR(__xludf.DUMMYFUNCTION("IMPORTRANGE(""https://docs.google.com/spreadsheets/d/1GVExpf-Exi_2gmuqTYH28fseTB9MoKPXWcXCbSt_YrM/edit?usp=sharing"",""หนองคาย!J683"")"),0)</f>
        <v>0</v>
      </c>
    </row>
    <row r="48" spans="1:41" ht="21" customHeight="1" x14ac:dyDescent="0.2">
      <c r="A48" s="72">
        <v>17</v>
      </c>
      <c r="B48" s="73" t="s">
        <v>65</v>
      </c>
      <c r="C48" s="74">
        <f t="shared" ca="1" si="46"/>
        <v>12400</v>
      </c>
      <c r="D48" s="75">
        <f ca="1">IFERROR(__xludf.DUMMYFUNCTION("IMPORTRANGE(""https://docs.google.com/spreadsheets/d/16UeMz0UgOB5BZcoxP75eYGcLFtGYRn9GoesD4OX9m5U/edit?usp=sharing"",""หนองบัวลำภู!L660"")"),12400)</f>
        <v>12400</v>
      </c>
      <c r="E48" s="76">
        <f ca="1">IFERROR(__xludf.DUMMYFUNCTION("IMPORTRANGE(""https://docs.google.com/spreadsheets/d/16UeMz0UgOB5BZcoxP75eYGcLFtGYRn9GoesD4OX9m5U/edit?usp=sharing"",""หนองบัวลำภู!L667"")"),0)</f>
        <v>0</v>
      </c>
      <c r="F48" s="77">
        <f t="shared" ca="1" si="1"/>
        <v>2000</v>
      </c>
      <c r="G48" s="78">
        <f t="shared" ca="1" si="2"/>
        <v>16.129032258064516</v>
      </c>
      <c r="H48" s="79">
        <f t="shared" ca="1" si="47"/>
        <v>2000</v>
      </c>
      <c r="I48" s="76">
        <f ca="1">IFERROR(__xludf.DUMMYFUNCTION("IMPORTRANGE(""https://docs.google.com/spreadsheets/d/16UeMz0UgOB5BZcoxP75eYGcLFtGYRn9GoesD4OX9m5U/edit?usp=sharing"",""หนองบัวลำภู!N661"")"),0)</f>
        <v>0</v>
      </c>
      <c r="J48" s="76">
        <f ca="1">IFERROR(__xludf.DUMMYFUNCTION("IMPORTRANGE(""https://docs.google.com/spreadsheets/d/16UeMz0UgOB5BZcoxP75eYGcLFtGYRn9GoesD4OX9m5U/edit?usp=sharing"",""หนองบัวลำภู!N662"")"),0)</f>
        <v>0</v>
      </c>
      <c r="K48" s="76">
        <f ca="1">IFERROR(__xludf.DUMMYFUNCTION("IMPORTRANGE(""https://docs.google.com/spreadsheets/d/16UeMz0UgOB5BZcoxP75eYGcLFtGYRn9GoesD4OX9m5U/edit?usp=sharing"",""หนองบัวลำภู!N663"")"),0)</f>
        <v>0</v>
      </c>
      <c r="L48" s="76">
        <f ca="1">IFERROR(__xludf.DUMMYFUNCTION("IMPORTRANGE(""https://docs.google.com/spreadsheets/d/16UeMz0UgOB5BZcoxP75eYGcLFtGYRn9GoesD4OX9m5U/edit?usp=sharing"",""หนองบัวลำภู!N664"")"),2000)</f>
        <v>2000</v>
      </c>
      <c r="M48" s="80">
        <f ca="1">IFERROR(__xludf.DUMMYFUNCTION("IMPORTRANGE(""https://docs.google.com/spreadsheets/d/16UeMz0UgOB5BZcoxP75eYGcLFtGYRn9GoesD4OX9m5U/edit?usp=sharing"",""หนองบัวลำภู!N667"")"),0)</f>
        <v>0</v>
      </c>
      <c r="N48" s="80">
        <f t="shared" ca="1" si="31"/>
        <v>0</v>
      </c>
      <c r="O48" s="81">
        <f ca="1">IFERROR(__xludf.DUMMYFUNCTION("IMPORTRANGE(""https://docs.google.com/spreadsheets/d/16UeMz0UgOB5BZcoxP75eYGcLFtGYRn9GoesD4OX9m5U/edit?usp=sharing"",""หนองบัวลำภู!I669"")"),100)</f>
        <v>100</v>
      </c>
      <c r="P48" s="81">
        <f ca="1">IFERROR(__xludf.DUMMYFUNCTION("IMPORTRANGE(""https://docs.google.com/spreadsheets/d/16UeMz0UgOB5BZcoxP75eYGcLFtGYRn9GoesD4OX9m5U/edit?usp=sharing"",""หนองบัวลำภู!J669"")"),0)</f>
        <v>0</v>
      </c>
      <c r="Q48" s="82">
        <f t="shared" ca="1" si="25"/>
        <v>0</v>
      </c>
      <c r="R48" s="81">
        <f ca="1">IFERROR(__xludf.DUMMYFUNCTION("IMPORTRANGE(""https://docs.google.com/spreadsheets/d/16UeMz0UgOB5BZcoxP75eYGcLFtGYRn9GoesD4OX9m5U/edit?usp=sharing"",""หนองบัวลำภู!I670"")"),4)</f>
        <v>4</v>
      </c>
      <c r="S48" s="81">
        <f ca="1">IFERROR(__xludf.DUMMYFUNCTION("IMPORTRANGE(""https://docs.google.com/spreadsheets/d/16UeMz0UgOB5BZcoxP75eYGcLFtGYRn9GoesD4OX9m5U/edit?usp=sharing"",""หนองบัวลำภู!J670"")"),4)</f>
        <v>4</v>
      </c>
      <c r="T48" s="82">
        <f t="shared" ca="1" si="26"/>
        <v>100</v>
      </c>
      <c r="U48" s="81">
        <f ca="1">IFERROR(__xludf.DUMMYFUNCTION("IMPORTRANGE(""https://docs.google.com/spreadsheets/d/16UeMz0UgOB5BZcoxP75eYGcLFtGYRn9GoesD4OX9m5U/edit?usp=sharing"",""หนองบัวลำภู!I671"")"),4)</f>
        <v>4</v>
      </c>
      <c r="V48" s="81">
        <f ca="1">IFERROR(__xludf.DUMMYFUNCTION("IMPORTRANGE(""https://docs.google.com/spreadsheets/d/16UeMz0UgOB5BZcoxP75eYGcLFtGYRn9GoesD4OX9m5U/edit?usp=sharing"",""หนองบัวลำภู!J671"")"),4)</f>
        <v>4</v>
      </c>
      <c r="W48" s="82">
        <f t="shared" ca="1" si="27"/>
        <v>100</v>
      </c>
      <c r="X48" s="81">
        <f ca="1">IFERROR(__xludf.DUMMYFUNCTION("IMPORTRANGE(""https://docs.google.com/spreadsheets/d/16UeMz0UgOB5BZcoxP75eYGcLFtGYRn9GoesD4OX9m5U/edit?usp=sharing"",""หนองบัวลำภู!J672"")"),0)</f>
        <v>0</v>
      </c>
      <c r="Y48" s="276">
        <f t="shared" ca="1" si="11"/>
        <v>0</v>
      </c>
      <c r="Z48" s="81">
        <f ca="1">IFERROR(__xludf.DUMMYFUNCTION("IMPORTRANGE(""https://docs.google.com/spreadsheets/d/16UeMz0UgOB5BZcoxP75eYGcLFtGYRn9GoesD4OX9m5U/edit?usp=sharing"",""หนองบัวลำภู!J673"")"),0)</f>
        <v>0</v>
      </c>
      <c r="AA48" s="276">
        <f t="shared" ca="1" si="12"/>
        <v>0</v>
      </c>
      <c r="AB48" s="276">
        <f ca="1">IFERROR(__xludf.DUMMYFUNCTION("IMPORTRANGE(""https://docs.google.com/spreadsheets/d/16UeMz0UgOB5BZcoxP75eYGcLFtGYRn9GoesD4OX9m5U/edit?usp=sharing"",""หนองบัวลำภู!J674"")"),0)</f>
        <v>0</v>
      </c>
      <c r="AC48" s="82">
        <f t="shared" ca="1" si="13"/>
        <v>0</v>
      </c>
      <c r="AD48" s="276">
        <f ca="1">IFERROR(__xludf.DUMMYFUNCTION("IMPORTRANGE(""https://docs.google.com/spreadsheets/d/16UeMz0UgOB5BZcoxP75eYGcLFtGYRn9GoesD4OX9m5U/edit?usp=sharing"",""หนองบัวลำภู!J675"")"),0)</f>
        <v>0</v>
      </c>
      <c r="AE48" s="82">
        <f t="shared" ca="1" si="22"/>
        <v>0</v>
      </c>
      <c r="AF48" s="276">
        <f ca="1">IFERROR(__xludf.DUMMYFUNCTION("IMPORTRANGE(""https://docs.google.com/spreadsheets/d/16UeMz0UgOB5BZcoxP75eYGcLFtGYRn9GoesD4OX9m5U/edit?usp=sharing"",""หนองบัวลำภู!J676"")"),0)</f>
        <v>0</v>
      </c>
      <c r="AG48" s="276">
        <f ca="1">IFERROR(__xludf.DUMMYFUNCTION("IMPORTRANGE(""https://docs.google.com/spreadsheets/d/16UeMz0UgOB5BZcoxP75eYGcLFtGYRn9GoesD4OX9m5U/edit?usp=sharing"",""หนองบัวลำภู!J677"")"),0)</f>
        <v>0</v>
      </c>
      <c r="AH48" s="81">
        <f ca="1">IFERROR(__xludf.DUMMYFUNCTION("IMPORTRANGE(""https://docs.google.com/spreadsheets/d/16UeMz0UgOB5BZcoxP75eYGcLFtGYRn9GoesD4OX9m5U/edit?usp=sharing"",""หนองบัวลำภู!I678"")"),0)</f>
        <v>0</v>
      </c>
      <c r="AI48" s="81">
        <f ca="1">IFERROR(__xludf.DUMMYFUNCTION("IMPORTRANGE(""https://docs.google.com/spreadsheets/d/16UeMz0UgOB5BZcoxP75eYGcLFtGYRn9GoesD4OX9m5U/edit?usp=sharing"",""หนองบัวลำภู!J678"")"),0)</f>
        <v>0</v>
      </c>
      <c r="AJ48" s="82">
        <f t="shared" ca="1" si="28"/>
        <v>0</v>
      </c>
      <c r="AK48" s="81">
        <f ca="1">IFERROR(__xludf.DUMMYFUNCTION("IMPORTRANGE(""https://docs.google.com/spreadsheets/d/16UeMz0UgOB5BZcoxP75eYGcLFtGYRn9GoesD4OX9m5U/edit?usp=sharing"",""หนองบัวลำภู!J679"")"),0)</f>
        <v>0</v>
      </c>
      <c r="AL48" s="81">
        <f ca="1">IFERROR(__xludf.DUMMYFUNCTION("IMPORTRANGE(""https://docs.google.com/spreadsheets/d/16UeMz0UgOB5BZcoxP75eYGcLFtGYRn9GoesD4OX9m5U/edit?usp=sharing"",""หนองบัวลำภู!J680"")"),0)</f>
        <v>0</v>
      </c>
      <c r="AM48" s="81">
        <f ca="1">IFERROR(__xludf.DUMMYFUNCTION("IMPORTRANGE(""https://docs.google.com/spreadsheets/d/16UeMz0UgOB5BZcoxP75eYGcLFtGYRn9GoesD4OX9m5U/edit?usp=sharing"",""หนองบัวลำภู!J681"")"),0)</f>
        <v>0</v>
      </c>
      <c r="AN48" s="81">
        <f ca="1">IFERROR(__xludf.DUMMYFUNCTION("IMPORTRANGE(""https://docs.google.com/spreadsheets/d/16UeMz0UgOB5BZcoxP75eYGcLFtGYRn9GoesD4OX9m5U/edit?usp=sharing"",""หนองบัวลำภู!J682"")"),0)</f>
        <v>0</v>
      </c>
      <c r="AO48" s="81">
        <f ca="1">IFERROR(__xludf.DUMMYFUNCTION("IMPORTRANGE(""https://docs.google.com/spreadsheets/d/16UeMz0UgOB5BZcoxP75eYGcLFtGYRn9GoesD4OX9m5U/edit?usp=sharing"",""หนองบัวลำภู!J683"")"),0)</f>
        <v>0</v>
      </c>
    </row>
    <row r="49" spans="1:41" ht="21" customHeight="1" x14ac:dyDescent="0.2">
      <c r="A49" s="72">
        <v>18</v>
      </c>
      <c r="B49" s="73" t="s">
        <v>66</v>
      </c>
      <c r="C49" s="74">
        <f t="shared" ca="1" si="46"/>
        <v>9400</v>
      </c>
      <c r="D49" s="75">
        <f ca="1">IFERROR(__xludf.DUMMYFUNCTION("IMPORTRANGE(""https://docs.google.com/spreadsheets/d/1uUP8Zo1-qaJLuIkRU0qlwLSE3DHkbdrrj2JGJiWBQZE/edit?usp=sharing"",""อำนาจเจริญ!L660"")"),9400)</f>
        <v>9400</v>
      </c>
      <c r="E49" s="76">
        <f ca="1">IFERROR(__xludf.DUMMYFUNCTION("IMPORTRANGE(""https://docs.google.com/spreadsheets/d/1uUP8Zo1-qaJLuIkRU0qlwLSE3DHkbdrrj2JGJiWBQZE/edit?usp=sharing"",""อำนาจเจริญ!L667"")"),0)</f>
        <v>0</v>
      </c>
      <c r="F49" s="77">
        <f t="shared" ca="1" si="1"/>
        <v>0</v>
      </c>
      <c r="G49" s="78">
        <f t="shared" ca="1" si="2"/>
        <v>0</v>
      </c>
      <c r="H49" s="79">
        <f t="shared" ca="1" si="47"/>
        <v>0</v>
      </c>
      <c r="I49" s="76">
        <f ca="1">IFERROR(__xludf.DUMMYFUNCTION("IMPORTRANGE(""https://docs.google.com/spreadsheets/d/1uUP8Zo1-qaJLuIkRU0qlwLSE3DHkbdrrj2JGJiWBQZE/edit?usp=sharing"",""อำนาจเจริญ!N661"")"),0)</f>
        <v>0</v>
      </c>
      <c r="J49" s="76">
        <f ca="1">IFERROR(__xludf.DUMMYFUNCTION("IMPORTRANGE(""https://docs.google.com/spreadsheets/d/1uUP8Zo1-qaJLuIkRU0qlwLSE3DHkbdrrj2JGJiWBQZE/edit?usp=sharing"",""อำนาจเจริญ!N662"")"),0)</f>
        <v>0</v>
      </c>
      <c r="K49" s="76">
        <f ca="1">IFERROR(__xludf.DUMMYFUNCTION("IMPORTRANGE(""https://docs.google.com/spreadsheets/d/1uUP8Zo1-qaJLuIkRU0qlwLSE3DHkbdrrj2JGJiWBQZE/edit?usp=sharing"",""อำนาจเจริญ!N663"")"),0)</f>
        <v>0</v>
      </c>
      <c r="L49" s="76">
        <f ca="1">IFERROR(__xludf.DUMMYFUNCTION("IMPORTRANGE(""https://docs.google.com/spreadsheets/d/1uUP8Zo1-qaJLuIkRU0qlwLSE3DHkbdrrj2JGJiWBQZE/edit?usp=sharing"",""อำนาจเจริญ!N664"")"),0)</f>
        <v>0</v>
      </c>
      <c r="M49" s="80">
        <f ca="1">IFERROR(__xludf.DUMMYFUNCTION("IMPORTRANGE(""https://docs.google.com/spreadsheets/d/1uUP8Zo1-qaJLuIkRU0qlwLSE3DHkbdrrj2JGJiWBQZE/edit?usp=sharing"",""อำนาจเจริญ!N667"")"),0)</f>
        <v>0</v>
      </c>
      <c r="N49" s="80">
        <f t="shared" ca="1" si="31"/>
        <v>0</v>
      </c>
      <c r="O49" s="81">
        <f ca="1">IFERROR(__xludf.DUMMYFUNCTION("IMPORTRANGE(""https://docs.google.com/spreadsheets/d/1uUP8Zo1-qaJLuIkRU0qlwLSE3DHkbdrrj2JGJiWBQZE/edit?usp=sharing"",""อำนาจเจริญ!I669"")"),50)</f>
        <v>50</v>
      </c>
      <c r="P49" s="81">
        <f ca="1">IFERROR(__xludf.DUMMYFUNCTION("IMPORTRANGE(""https://docs.google.com/spreadsheets/d/1uUP8Zo1-qaJLuIkRU0qlwLSE3DHkbdrrj2JGJiWBQZE/edit?usp=sharing"",""อำนาจเจริญ!J669"")"),0)</f>
        <v>0</v>
      </c>
      <c r="Q49" s="82">
        <f t="shared" ca="1" si="25"/>
        <v>0</v>
      </c>
      <c r="R49" s="81">
        <f ca="1">IFERROR(__xludf.DUMMYFUNCTION("IMPORTRANGE(""https://docs.google.com/spreadsheets/d/1uUP8Zo1-qaJLuIkRU0qlwLSE3DHkbdrrj2JGJiWBQZE/edit?usp=sharing"",""อำนาจเจริญ!I670"")"),4)</f>
        <v>4</v>
      </c>
      <c r="S49" s="81">
        <f ca="1">IFERROR(__xludf.DUMMYFUNCTION("IMPORTRANGE(""https://docs.google.com/spreadsheets/d/1uUP8Zo1-qaJLuIkRU0qlwLSE3DHkbdrrj2JGJiWBQZE/edit?usp=sharing"",""อำนาจเจริญ!J670"")"),0)</f>
        <v>0</v>
      </c>
      <c r="T49" s="82">
        <f t="shared" ca="1" si="26"/>
        <v>0</v>
      </c>
      <c r="U49" s="81">
        <f ca="1">IFERROR(__xludf.DUMMYFUNCTION("IMPORTRANGE(""https://docs.google.com/spreadsheets/d/1uUP8Zo1-qaJLuIkRU0qlwLSE3DHkbdrrj2JGJiWBQZE/edit?usp=sharing"",""อำนาจเจริญ!I671"")"),4)</f>
        <v>4</v>
      </c>
      <c r="V49" s="81">
        <f ca="1">IFERROR(__xludf.DUMMYFUNCTION("IMPORTRANGE(""https://docs.google.com/spreadsheets/d/1uUP8Zo1-qaJLuIkRU0qlwLSE3DHkbdrrj2JGJiWBQZE/edit?usp=sharing"",""อำนาจเจริญ!J671"")"),0)</f>
        <v>0</v>
      </c>
      <c r="W49" s="82">
        <f t="shared" ca="1" si="27"/>
        <v>0</v>
      </c>
      <c r="X49" s="81">
        <f ca="1">IFERROR(__xludf.DUMMYFUNCTION("IMPORTRANGE(""https://docs.google.com/spreadsheets/d/1uUP8Zo1-qaJLuIkRU0qlwLSE3DHkbdrrj2JGJiWBQZE/edit?usp=sharing"",""อำนาจเจริญ!J672"")"),0)</f>
        <v>0</v>
      </c>
      <c r="Y49" s="276">
        <f t="shared" ca="1" si="11"/>
        <v>0</v>
      </c>
      <c r="Z49" s="81">
        <f ca="1">IFERROR(__xludf.DUMMYFUNCTION("IMPORTRANGE(""https://docs.google.com/spreadsheets/d/1uUP8Zo1-qaJLuIkRU0qlwLSE3DHkbdrrj2JGJiWBQZE/edit?usp=sharing"",""อำนาจเจริญ!J673"")"),0)</f>
        <v>0</v>
      </c>
      <c r="AA49" s="276">
        <f t="shared" ca="1" si="12"/>
        <v>0</v>
      </c>
      <c r="AB49" s="276">
        <f ca="1">IFERROR(__xludf.DUMMYFUNCTION("IMPORTRANGE(""https://docs.google.com/spreadsheets/d/1uUP8Zo1-qaJLuIkRU0qlwLSE3DHkbdrrj2JGJiWBQZE/edit?usp=sharing"",""อำนาจเจริญ!J674"")"),0)</f>
        <v>0</v>
      </c>
      <c r="AC49" s="82">
        <f t="shared" ca="1" si="13"/>
        <v>0</v>
      </c>
      <c r="AD49" s="276">
        <f ca="1">IFERROR(__xludf.DUMMYFUNCTION("IMPORTRANGE(""https://docs.google.com/spreadsheets/d/1uUP8Zo1-qaJLuIkRU0qlwLSE3DHkbdrrj2JGJiWBQZE/edit?usp=sharing"",""อำนาจเจริญ!J675"")"),0)</f>
        <v>0</v>
      </c>
      <c r="AE49" s="82">
        <f t="shared" ca="1" si="22"/>
        <v>0</v>
      </c>
      <c r="AF49" s="276">
        <f ca="1">IFERROR(__xludf.DUMMYFUNCTION("IMPORTRANGE(""https://docs.google.com/spreadsheets/d/1uUP8Zo1-qaJLuIkRU0qlwLSE3DHkbdrrj2JGJiWBQZE/edit?usp=sharing"",""อำนาจเจริญ!J676"")"),0)</f>
        <v>0</v>
      </c>
      <c r="AG49" s="276">
        <f ca="1">IFERROR(__xludf.DUMMYFUNCTION("IMPORTRANGE(""https://docs.google.com/spreadsheets/d/1uUP8Zo1-qaJLuIkRU0qlwLSE3DHkbdrrj2JGJiWBQZE/edit?usp=sharing"",""อำนาจเจริญ!J677"")"),0)</f>
        <v>0</v>
      </c>
      <c r="AH49" s="81">
        <f ca="1">IFERROR(__xludf.DUMMYFUNCTION("IMPORTRANGE(""https://docs.google.com/spreadsheets/d/1uUP8Zo1-qaJLuIkRU0qlwLSE3DHkbdrrj2JGJiWBQZE/edit?usp=sharing"",""อำนาจเจริญ!I678"")"),0)</f>
        <v>0</v>
      </c>
      <c r="AI49" s="81">
        <f ca="1">IFERROR(__xludf.DUMMYFUNCTION("IMPORTRANGE(""https://docs.google.com/spreadsheets/d/1uUP8Zo1-qaJLuIkRU0qlwLSE3DHkbdrrj2JGJiWBQZE/edit?usp=sharing"",""อำนาจเจริญ!J678"")"),0)</f>
        <v>0</v>
      </c>
      <c r="AJ49" s="82">
        <f t="shared" ca="1" si="28"/>
        <v>0</v>
      </c>
      <c r="AK49" s="81">
        <f ca="1">IFERROR(__xludf.DUMMYFUNCTION("IMPORTRANGE(""https://docs.google.com/spreadsheets/d/1uUP8Zo1-qaJLuIkRU0qlwLSE3DHkbdrrj2JGJiWBQZE/edit?usp=sharing"",""อำนาจเจริญ!J679"")"),0)</f>
        <v>0</v>
      </c>
      <c r="AL49" s="81">
        <f ca="1">IFERROR(__xludf.DUMMYFUNCTION("IMPORTRANGE(""https://docs.google.com/spreadsheets/d/1uUP8Zo1-qaJLuIkRU0qlwLSE3DHkbdrrj2JGJiWBQZE/edit?usp=sharing"",""อำนาจเจริญ!J680"")"),0)</f>
        <v>0</v>
      </c>
      <c r="AM49" s="81">
        <f ca="1">IFERROR(__xludf.DUMMYFUNCTION("IMPORTRANGE(""https://docs.google.com/spreadsheets/d/1uUP8Zo1-qaJLuIkRU0qlwLSE3DHkbdrrj2JGJiWBQZE/edit?usp=sharing"",""อำนาจเจริญ!J681"")"),0)</f>
        <v>0</v>
      </c>
      <c r="AN49" s="81">
        <f ca="1">IFERROR(__xludf.DUMMYFUNCTION("IMPORTRANGE(""https://docs.google.com/spreadsheets/d/1uUP8Zo1-qaJLuIkRU0qlwLSE3DHkbdrrj2JGJiWBQZE/edit?usp=sharing"",""อำนาจเจริญ!J682"")"),0)</f>
        <v>0</v>
      </c>
      <c r="AO49" s="81">
        <f ca="1">IFERROR(__xludf.DUMMYFUNCTION("IMPORTRANGE(""https://docs.google.com/spreadsheets/d/1uUP8Zo1-qaJLuIkRU0qlwLSE3DHkbdrrj2JGJiWBQZE/edit?usp=sharing"",""อำนาจเจริญ!J683"")"),0)</f>
        <v>0</v>
      </c>
    </row>
    <row r="50" spans="1:41" ht="21" customHeight="1" x14ac:dyDescent="0.2">
      <c r="A50" s="72">
        <v>19</v>
      </c>
      <c r="B50" s="73" t="s">
        <v>67</v>
      </c>
      <c r="C50" s="74">
        <f t="shared" ca="1" si="46"/>
        <v>0</v>
      </c>
      <c r="D50" s="75">
        <f ca="1">IFERROR(__xludf.DUMMYFUNCTION("IMPORTRANGE(""https://docs.google.com/spreadsheets/d/1hb_taSOHanzRjqfzWPiFo8yiT83VV1L7vvUCLhOiHKc/edit?usp=sharing"",""อุดรธานี!L660"")"),0)</f>
        <v>0</v>
      </c>
      <c r="E50" s="76">
        <f ca="1">IFERROR(__xludf.DUMMYFUNCTION("IMPORTRANGE(""https://docs.google.com/spreadsheets/d/1hb_taSOHanzRjqfzWPiFo8yiT83VV1L7vvUCLhOiHKc/edit?usp=sharing"",""อุดรธานี!L667"")"),0)</f>
        <v>0</v>
      </c>
      <c r="F50" s="77">
        <f t="shared" ca="1" si="1"/>
        <v>0</v>
      </c>
      <c r="G50" s="78">
        <f t="shared" ca="1" si="2"/>
        <v>0</v>
      </c>
      <c r="H50" s="79">
        <f t="shared" ca="1" si="47"/>
        <v>0</v>
      </c>
      <c r="I50" s="76">
        <f ca="1">IFERROR(__xludf.DUMMYFUNCTION("IMPORTRANGE(""https://docs.google.com/spreadsheets/d/1hb_taSOHanzRjqfzWPiFo8yiT83VV1L7vvUCLhOiHKc/edit?usp=sharing"",""อุดรธานี!N661"")"),0)</f>
        <v>0</v>
      </c>
      <c r="J50" s="76">
        <f ca="1">IFERROR(__xludf.DUMMYFUNCTION("IMPORTRANGE(""https://docs.google.com/spreadsheets/d/1hb_taSOHanzRjqfzWPiFo8yiT83VV1L7vvUCLhOiHKc/edit?usp=sharing"",""อุดรธานี!N662"")"),0)</f>
        <v>0</v>
      </c>
      <c r="K50" s="76">
        <f ca="1">IFERROR(__xludf.DUMMYFUNCTION("IMPORTRANGE(""https://docs.google.com/spreadsheets/d/1hb_taSOHanzRjqfzWPiFo8yiT83VV1L7vvUCLhOiHKc/edit?usp=sharing"",""อุดรธานี!N663"")"),0)</f>
        <v>0</v>
      </c>
      <c r="L50" s="76">
        <f ca="1">IFERROR(__xludf.DUMMYFUNCTION("IMPORTRANGE(""https://docs.google.com/spreadsheets/d/1hb_taSOHanzRjqfzWPiFo8yiT83VV1L7vvUCLhOiHKc/edit?usp=sharing"",""อุดรธานี!N664"")"),0)</f>
        <v>0</v>
      </c>
      <c r="M50" s="80">
        <f ca="1">IFERROR(__xludf.DUMMYFUNCTION("IMPORTRANGE(""https://docs.google.com/spreadsheets/d/1hb_taSOHanzRjqfzWPiFo8yiT83VV1L7vvUCLhOiHKc/edit?usp=sharing"",""อุดรธานี!N667"")"),0)</f>
        <v>0</v>
      </c>
      <c r="N50" s="80">
        <f t="shared" ca="1" si="31"/>
        <v>0</v>
      </c>
      <c r="O50" s="81">
        <f ca="1">IFERROR(__xludf.DUMMYFUNCTION("IMPORTRANGE(""https://docs.google.com/spreadsheets/d/1hb_taSOHanzRjqfzWPiFo8yiT83VV1L7vvUCLhOiHKc/edit?usp=sharing"",""อุดรธานี!I669"")"),0)</f>
        <v>0</v>
      </c>
      <c r="P50" s="81">
        <f ca="1">IFERROR(__xludf.DUMMYFUNCTION("IMPORTRANGE(""https://docs.google.com/spreadsheets/d/1hb_taSOHanzRjqfzWPiFo8yiT83VV1L7vvUCLhOiHKc/edit?usp=sharing"",""อุดรธานี!J669"")"),0)</f>
        <v>0</v>
      </c>
      <c r="Q50" s="82">
        <f t="shared" ca="1" si="25"/>
        <v>0</v>
      </c>
      <c r="R50" s="81">
        <f ca="1">IFERROR(__xludf.DUMMYFUNCTION("IMPORTRANGE(""https://docs.google.com/spreadsheets/d/1hb_taSOHanzRjqfzWPiFo8yiT83VV1L7vvUCLhOiHKc/edit?usp=sharing"",""อุดรธานี!I670"")"),0)</f>
        <v>0</v>
      </c>
      <c r="S50" s="81">
        <f ca="1">IFERROR(__xludf.DUMMYFUNCTION("IMPORTRANGE(""https://docs.google.com/spreadsheets/d/1hb_taSOHanzRjqfzWPiFo8yiT83VV1L7vvUCLhOiHKc/edit?usp=sharing"",""อุดรธานี!J670"")"),0)</f>
        <v>0</v>
      </c>
      <c r="T50" s="82">
        <f t="shared" ca="1" si="26"/>
        <v>0</v>
      </c>
      <c r="U50" s="81">
        <f ca="1">IFERROR(__xludf.DUMMYFUNCTION("IMPORTRANGE(""https://docs.google.com/spreadsheets/d/1hb_taSOHanzRjqfzWPiFo8yiT83VV1L7vvUCLhOiHKc/edit?usp=sharing"",""อุดรธานี!I671"")"),0)</f>
        <v>0</v>
      </c>
      <c r="V50" s="81">
        <f ca="1">IFERROR(__xludf.DUMMYFUNCTION("IMPORTRANGE(""https://docs.google.com/spreadsheets/d/1hb_taSOHanzRjqfzWPiFo8yiT83VV1L7vvUCLhOiHKc/edit?usp=sharing"",""อุดรธานี!J671"")"),0)</f>
        <v>0</v>
      </c>
      <c r="W50" s="82">
        <f t="shared" ca="1" si="27"/>
        <v>0</v>
      </c>
      <c r="X50" s="81">
        <f ca="1">IFERROR(__xludf.DUMMYFUNCTION("IMPORTRANGE(""https://docs.google.com/spreadsheets/d/1hb_taSOHanzRjqfzWPiFo8yiT83VV1L7vvUCLhOiHKc/edit?usp=sharing"",""อุดรธานี!J672"")"),0)</f>
        <v>0</v>
      </c>
      <c r="Y50" s="276">
        <f t="shared" ca="1" si="11"/>
        <v>0</v>
      </c>
      <c r="Z50" s="81">
        <f ca="1">IFERROR(__xludf.DUMMYFUNCTION("IMPORTRANGE(""https://docs.google.com/spreadsheets/d/1hb_taSOHanzRjqfzWPiFo8yiT83VV1L7vvUCLhOiHKc/edit?usp=sharing"",""อุดรธานี!J673"")"),0)</f>
        <v>0</v>
      </c>
      <c r="AA50" s="276">
        <f t="shared" ca="1" si="12"/>
        <v>0</v>
      </c>
      <c r="AB50" s="276">
        <f ca="1">IFERROR(__xludf.DUMMYFUNCTION("IMPORTRANGE(""https://docs.google.com/spreadsheets/d/1hb_taSOHanzRjqfzWPiFo8yiT83VV1L7vvUCLhOiHKc/edit?usp=sharing"",""อุดรธานี!J674"")"),0)</f>
        <v>0</v>
      </c>
      <c r="AC50" s="82">
        <f t="shared" ca="1" si="13"/>
        <v>0</v>
      </c>
      <c r="AD50" s="276">
        <f ca="1">IFERROR(__xludf.DUMMYFUNCTION("IMPORTRANGE(""https://docs.google.com/spreadsheets/d/1hb_taSOHanzRjqfzWPiFo8yiT83VV1L7vvUCLhOiHKc/edit?usp=sharing"",""อุดรธานี!J675"")"),0)</f>
        <v>0</v>
      </c>
      <c r="AE50" s="82">
        <f t="shared" ca="1" si="22"/>
        <v>0</v>
      </c>
      <c r="AF50" s="276">
        <f ca="1">IFERROR(__xludf.DUMMYFUNCTION("IMPORTRANGE(""https://docs.google.com/spreadsheets/d/1hb_taSOHanzRjqfzWPiFo8yiT83VV1L7vvUCLhOiHKc/edit?usp=sharing"",""อุดรธานี!J676"")"),0)</f>
        <v>0</v>
      </c>
      <c r="AG50" s="276">
        <f ca="1">IFERROR(__xludf.DUMMYFUNCTION("IMPORTRANGE(""https://docs.google.com/spreadsheets/d/1hb_taSOHanzRjqfzWPiFo8yiT83VV1L7vvUCLhOiHKc/edit?usp=sharing"",""อุดรธานี!J677"")"),0)</f>
        <v>0</v>
      </c>
      <c r="AH50" s="81">
        <f ca="1">IFERROR(__xludf.DUMMYFUNCTION("IMPORTRANGE(""https://docs.google.com/spreadsheets/d/1hb_taSOHanzRjqfzWPiFo8yiT83VV1L7vvUCLhOiHKc/edit?usp=sharing"",""อุดรธานี!I678"")"),0)</f>
        <v>0</v>
      </c>
      <c r="AI50" s="81">
        <f ca="1">IFERROR(__xludf.DUMMYFUNCTION("IMPORTRANGE(""https://docs.google.com/spreadsheets/d/1hb_taSOHanzRjqfzWPiFo8yiT83VV1L7vvUCLhOiHKc/edit?usp=sharing"",""อุดรธานี!J678"")"),0)</f>
        <v>0</v>
      </c>
      <c r="AJ50" s="82">
        <f t="shared" ca="1" si="28"/>
        <v>0</v>
      </c>
      <c r="AK50" s="81">
        <f ca="1">IFERROR(__xludf.DUMMYFUNCTION("IMPORTRANGE(""https://docs.google.com/spreadsheets/d/1hb_taSOHanzRjqfzWPiFo8yiT83VV1L7vvUCLhOiHKc/edit?usp=sharing"",""อุดรธานี!J679"")"),0)</f>
        <v>0</v>
      </c>
      <c r="AL50" s="81">
        <f ca="1">IFERROR(__xludf.DUMMYFUNCTION("IMPORTRANGE(""https://docs.google.com/spreadsheets/d/1hb_taSOHanzRjqfzWPiFo8yiT83VV1L7vvUCLhOiHKc/edit?usp=sharing"",""อุดรธานี!J680"")"),0)</f>
        <v>0</v>
      </c>
      <c r="AM50" s="81">
        <f ca="1">IFERROR(__xludf.DUMMYFUNCTION("IMPORTRANGE(""https://docs.google.com/spreadsheets/d/1hb_taSOHanzRjqfzWPiFo8yiT83VV1L7vvUCLhOiHKc/edit?usp=sharing"",""อุดรธานี!J681"")"),0)</f>
        <v>0</v>
      </c>
      <c r="AN50" s="81">
        <f ca="1">IFERROR(__xludf.DUMMYFUNCTION("IMPORTRANGE(""https://docs.google.com/spreadsheets/d/1hb_taSOHanzRjqfzWPiFo8yiT83VV1L7vvUCLhOiHKc/edit?usp=sharing"",""อุดรธานี!J682"")"),0)</f>
        <v>0</v>
      </c>
      <c r="AO50" s="81">
        <f ca="1">IFERROR(__xludf.DUMMYFUNCTION("IMPORTRANGE(""https://docs.google.com/spreadsheets/d/1hb_taSOHanzRjqfzWPiFo8yiT83VV1L7vvUCLhOiHKc/edit?usp=sharing"",""อุดรธานี!J683"")"),0)</f>
        <v>0</v>
      </c>
    </row>
    <row r="51" spans="1:41" ht="21" customHeight="1" x14ac:dyDescent="0.2">
      <c r="A51" s="83">
        <v>20</v>
      </c>
      <c r="B51" s="84" t="s">
        <v>68</v>
      </c>
      <c r="C51" s="85">
        <f t="shared" ca="1" si="46"/>
        <v>15600</v>
      </c>
      <c r="D51" s="86">
        <f ca="1">IFERROR(__xludf.DUMMYFUNCTION("IMPORTRANGE(""https://docs.google.com/spreadsheets/d/17IOkEwkUd63EGNfyNDnM5de9YlZ7rwzTiW6-dokVjKI/edit?usp=sharing"",""อุบลราชธานี!L660"")"),15600)</f>
        <v>15600</v>
      </c>
      <c r="E51" s="87">
        <f ca="1">IFERROR(__xludf.DUMMYFUNCTION("IMPORTRANGE(""https://docs.google.com/spreadsheets/d/17IOkEwkUd63EGNfyNDnM5de9YlZ7rwzTiW6-dokVjKI/edit?usp=sharing"",""อุบลราชธานี!L667"")"),0)</f>
        <v>0</v>
      </c>
      <c r="F51" s="88">
        <f t="shared" ca="1" si="1"/>
        <v>7540</v>
      </c>
      <c r="G51" s="89">
        <f t="shared" ca="1" si="2"/>
        <v>48.333333333333336</v>
      </c>
      <c r="H51" s="90">
        <f t="shared" ca="1" si="47"/>
        <v>7540</v>
      </c>
      <c r="I51" s="87">
        <f ca="1">IFERROR(__xludf.DUMMYFUNCTION("IMPORTRANGE(""https://docs.google.com/spreadsheets/d/17IOkEwkUd63EGNfyNDnM5de9YlZ7rwzTiW6-dokVjKI/edit?usp=sharing"",""อุบลราชธานี!N661"")"),0)</f>
        <v>0</v>
      </c>
      <c r="J51" s="87">
        <f ca="1">IFERROR(__xludf.DUMMYFUNCTION("IMPORTRANGE(""https://docs.google.com/spreadsheets/d/17IOkEwkUd63EGNfyNDnM5de9YlZ7rwzTiW6-dokVjKI/edit?usp=sharing"",""อุบลราชธานี!N662"")"),0)</f>
        <v>0</v>
      </c>
      <c r="K51" s="87">
        <f ca="1">IFERROR(__xludf.DUMMYFUNCTION("IMPORTRANGE(""https://docs.google.com/spreadsheets/d/17IOkEwkUd63EGNfyNDnM5de9YlZ7rwzTiW6-dokVjKI/edit?usp=sharing"",""อุบลราชธานี!N663"")"),0)</f>
        <v>0</v>
      </c>
      <c r="L51" s="87">
        <f ca="1">IFERROR(__xludf.DUMMYFUNCTION("IMPORTRANGE(""https://docs.google.com/spreadsheets/d/17IOkEwkUd63EGNfyNDnM5de9YlZ7rwzTiW6-dokVjKI/edit?usp=sharing"",""อุบลราชธานี!N664"")"),7540)</f>
        <v>7540</v>
      </c>
      <c r="M51" s="91">
        <f ca="1">IFERROR(__xludf.DUMMYFUNCTION("IMPORTRANGE(""https://docs.google.com/spreadsheets/d/17IOkEwkUd63EGNfyNDnM5de9YlZ7rwzTiW6-dokVjKI/edit?usp=sharing"",""อุบลราชธานี!N667"")"),0)</f>
        <v>0</v>
      </c>
      <c r="N51" s="91">
        <f t="shared" ca="1" si="31"/>
        <v>0</v>
      </c>
      <c r="O51" s="92">
        <f ca="1">IFERROR(__xludf.DUMMYFUNCTION("IMPORTRANGE(""https://docs.google.com/spreadsheets/d/17IOkEwkUd63EGNfyNDnM5de9YlZ7rwzTiW6-dokVjKI/edit?usp=sharing"",""อุบลราชธานี!I669"")"),100)</f>
        <v>100</v>
      </c>
      <c r="P51" s="92">
        <f ca="1">IFERROR(__xludf.DUMMYFUNCTION("IMPORTRANGE(""https://docs.google.com/spreadsheets/d/17IOkEwkUd63EGNfyNDnM5de9YlZ7rwzTiW6-dokVjKI/edit?usp=sharing"",""อุบลราชธานี!J669"")"),0)</f>
        <v>0</v>
      </c>
      <c r="Q51" s="93">
        <f t="shared" ca="1" si="25"/>
        <v>0</v>
      </c>
      <c r="R51" s="92">
        <f ca="1">IFERROR(__xludf.DUMMYFUNCTION("IMPORTRANGE(""https://docs.google.com/spreadsheets/d/17IOkEwkUd63EGNfyNDnM5de9YlZ7rwzTiW6-dokVjKI/edit?usp=sharing"",""อุบลราชธานี!I670"")"),6)</f>
        <v>6</v>
      </c>
      <c r="S51" s="92">
        <f ca="1">IFERROR(__xludf.DUMMYFUNCTION("IMPORTRANGE(""https://docs.google.com/spreadsheets/d/17IOkEwkUd63EGNfyNDnM5de9YlZ7rwzTiW6-dokVjKI/edit?usp=sharing"",""อุบลราชธานี!J670"")"),6)</f>
        <v>6</v>
      </c>
      <c r="T51" s="93">
        <f t="shared" ca="1" si="26"/>
        <v>100</v>
      </c>
      <c r="U51" s="92">
        <f ca="1">IFERROR(__xludf.DUMMYFUNCTION("IMPORTRANGE(""https://docs.google.com/spreadsheets/d/17IOkEwkUd63EGNfyNDnM5de9YlZ7rwzTiW6-dokVjKI/edit?usp=sharing"",""อุบลราชธานี!I671"")"),6)</f>
        <v>6</v>
      </c>
      <c r="V51" s="92">
        <f ca="1">IFERROR(__xludf.DUMMYFUNCTION("IMPORTRANGE(""https://docs.google.com/spreadsheets/d/17IOkEwkUd63EGNfyNDnM5de9YlZ7rwzTiW6-dokVjKI/edit?usp=sharing"",""อุบลราชธานี!J671"")"),6)</f>
        <v>6</v>
      </c>
      <c r="W51" s="93">
        <f t="shared" ca="1" si="27"/>
        <v>100</v>
      </c>
      <c r="X51" s="92">
        <f ca="1">IFERROR(__xludf.DUMMYFUNCTION("IMPORTRANGE(""https://docs.google.com/spreadsheets/d/17IOkEwkUd63EGNfyNDnM5de9YlZ7rwzTiW6-dokVjKI/edit?usp=sharing"",""อุบลราชธานี!J672"")"),711)</f>
        <v>711</v>
      </c>
      <c r="Y51" s="277">
        <f t="shared" ca="1" si="11"/>
        <v>711</v>
      </c>
      <c r="Z51" s="92">
        <f ca="1">IFERROR(__xludf.DUMMYFUNCTION("IMPORTRANGE(""https://docs.google.com/spreadsheets/d/17IOkEwkUd63EGNfyNDnM5de9YlZ7rwzTiW6-dokVjKI/edit?usp=sharing"",""อุบลราชธานี!J673"")"),711)</f>
        <v>711</v>
      </c>
      <c r="AA51" s="277">
        <f t="shared" ca="1" si="12"/>
        <v>711</v>
      </c>
      <c r="AB51" s="277">
        <f ca="1">IFERROR(__xludf.DUMMYFUNCTION("IMPORTRANGE(""https://docs.google.com/spreadsheets/d/17IOkEwkUd63EGNfyNDnM5de9YlZ7rwzTiW6-dokVjKI/edit?usp=sharing"",""อุบลราชธานี!J674"")"),0)</f>
        <v>0</v>
      </c>
      <c r="AC51" s="93">
        <f t="shared" ca="1" si="13"/>
        <v>0</v>
      </c>
      <c r="AD51" s="277">
        <f ca="1">IFERROR(__xludf.DUMMYFUNCTION("IMPORTRANGE(""https://docs.google.com/spreadsheets/d/17IOkEwkUd63EGNfyNDnM5de9YlZ7rwzTiW6-dokVjKI/edit?usp=sharing"",""อุบลราชธานี!J675"")"),0)</f>
        <v>0</v>
      </c>
      <c r="AE51" s="93">
        <f t="shared" ca="1" si="22"/>
        <v>0</v>
      </c>
      <c r="AF51" s="277">
        <f ca="1">IFERROR(__xludf.DUMMYFUNCTION("IMPORTRANGE(""https://docs.google.com/spreadsheets/d/17IOkEwkUd63EGNfyNDnM5de9YlZ7rwzTiW6-dokVjKI/edit?usp=sharing"",""อุบลราชธานี!J676"")"),0)</f>
        <v>0</v>
      </c>
      <c r="AG51" s="277">
        <f ca="1">IFERROR(__xludf.DUMMYFUNCTION("IMPORTRANGE(""https://docs.google.com/spreadsheets/d/17IOkEwkUd63EGNfyNDnM5de9YlZ7rwzTiW6-dokVjKI/edit?usp=sharing"",""อุบลราชธานี!J677"")"),0)</f>
        <v>0</v>
      </c>
      <c r="AH51" s="92">
        <f ca="1">IFERROR(__xludf.DUMMYFUNCTION("IMPORTRANGE(""https://docs.google.com/spreadsheets/d/17IOkEwkUd63EGNfyNDnM5de9YlZ7rwzTiW6-dokVjKI/edit?usp=sharing"",""อุบลราชธานี!I678"")"),0)</f>
        <v>0</v>
      </c>
      <c r="AI51" s="92">
        <f ca="1">IFERROR(__xludf.DUMMYFUNCTION("IMPORTRANGE(""https://docs.google.com/spreadsheets/d/17IOkEwkUd63EGNfyNDnM5de9YlZ7rwzTiW6-dokVjKI/edit?usp=sharing"",""อุบลราชธานี!J678"")"),0)</f>
        <v>0</v>
      </c>
      <c r="AJ51" s="93">
        <f t="shared" ca="1" si="28"/>
        <v>0</v>
      </c>
      <c r="AK51" s="92">
        <f ca="1">IFERROR(__xludf.DUMMYFUNCTION("IMPORTRANGE(""https://docs.google.com/spreadsheets/d/17IOkEwkUd63EGNfyNDnM5de9YlZ7rwzTiW6-dokVjKI/edit?usp=sharing"",""อุบลราชธานี!J679"")"),0)</f>
        <v>0</v>
      </c>
      <c r="AL51" s="92">
        <f ca="1">IFERROR(__xludf.DUMMYFUNCTION("IMPORTRANGE(""https://docs.google.com/spreadsheets/d/17IOkEwkUd63EGNfyNDnM5de9YlZ7rwzTiW6-dokVjKI/edit?usp=sharing"",""อุบลราชธานี!J680"")"),0)</f>
        <v>0</v>
      </c>
      <c r="AM51" s="92">
        <f ca="1">IFERROR(__xludf.DUMMYFUNCTION("IMPORTRANGE(""https://docs.google.com/spreadsheets/d/17IOkEwkUd63EGNfyNDnM5de9YlZ7rwzTiW6-dokVjKI/edit?usp=sharing"",""อุบลราชธานี!J681"")"),0)</f>
        <v>0</v>
      </c>
      <c r="AN51" s="92">
        <f ca="1">IFERROR(__xludf.DUMMYFUNCTION("IMPORTRANGE(""https://docs.google.com/spreadsheets/d/17IOkEwkUd63EGNfyNDnM5de9YlZ7rwzTiW6-dokVjKI/edit?usp=sharing"",""อุบลราชธานี!J682"")"),0)</f>
        <v>0</v>
      </c>
      <c r="AO51" s="92">
        <f ca="1">IFERROR(__xludf.DUMMYFUNCTION("IMPORTRANGE(""https://docs.google.com/spreadsheets/d/17IOkEwkUd63EGNfyNDnM5de9YlZ7rwzTiW6-dokVjKI/edit?usp=sharing"",""อุบลราชธานี!J683"")"),0)</f>
        <v>0</v>
      </c>
    </row>
    <row r="52" spans="1:41" ht="21" customHeight="1" x14ac:dyDescent="0.2">
      <c r="A52" s="307" t="s">
        <v>69</v>
      </c>
      <c r="B52" s="306"/>
      <c r="C52" s="34">
        <f t="shared" ref="C52:E52" ca="1" si="48">SUM(C53:C73)</f>
        <v>171700</v>
      </c>
      <c r="D52" s="34">
        <f t="shared" ca="1" si="48"/>
        <v>171700</v>
      </c>
      <c r="E52" s="57">
        <f t="shared" ca="1" si="48"/>
        <v>0</v>
      </c>
      <c r="F52" s="57">
        <f t="shared" ca="1" si="1"/>
        <v>36432.199999999997</v>
      </c>
      <c r="G52" s="94">
        <f t="shared" ca="1" si="2"/>
        <v>21.21852067559697</v>
      </c>
      <c r="H52" s="57">
        <f t="shared" ref="H52:M52" ca="1" si="49">SUM(H53:H73)</f>
        <v>36432.199999999997</v>
      </c>
      <c r="I52" s="57">
        <f t="shared" ca="1" si="49"/>
        <v>0</v>
      </c>
      <c r="J52" s="57">
        <f t="shared" ca="1" si="49"/>
        <v>0</v>
      </c>
      <c r="K52" s="57">
        <f t="shared" ca="1" si="49"/>
        <v>0</v>
      </c>
      <c r="L52" s="57">
        <f t="shared" ca="1" si="49"/>
        <v>36432.199999999997</v>
      </c>
      <c r="M52" s="95">
        <f t="shared" ca="1" si="49"/>
        <v>0</v>
      </c>
      <c r="N52" s="95">
        <f t="shared" ca="1" si="31"/>
        <v>0</v>
      </c>
      <c r="O52" s="57">
        <f t="shared" ref="O52:P52" ca="1" si="50">SUM(O53:O73)</f>
        <v>1235</v>
      </c>
      <c r="P52" s="57">
        <f t="shared" ca="1" si="50"/>
        <v>0</v>
      </c>
      <c r="Q52" s="96">
        <f t="shared" ca="1" si="25"/>
        <v>0</v>
      </c>
      <c r="R52" s="57">
        <f t="shared" ref="R52:S52" ca="1" si="51">SUM(R53:R73)</f>
        <v>61</v>
      </c>
      <c r="S52" s="57">
        <f t="shared" ca="1" si="51"/>
        <v>49</v>
      </c>
      <c r="T52" s="96">
        <f t="shared" ca="1" si="26"/>
        <v>80.327868852459019</v>
      </c>
      <c r="U52" s="57">
        <f t="shared" ref="U52:V52" ca="1" si="52">SUM(U53:U73)</f>
        <v>61</v>
      </c>
      <c r="V52" s="57">
        <f t="shared" ca="1" si="52"/>
        <v>49</v>
      </c>
      <c r="W52" s="96">
        <f t="shared" ca="1" si="27"/>
        <v>80.327868852459019</v>
      </c>
      <c r="X52" s="57">
        <f ca="1">SUM(X53:X73)</f>
        <v>569</v>
      </c>
      <c r="Y52" s="278">
        <f t="shared" ca="1" si="11"/>
        <v>46.072874493927124</v>
      </c>
      <c r="Z52" s="57">
        <f ca="1">SUM(Z53:Z73)</f>
        <v>264</v>
      </c>
      <c r="AA52" s="278">
        <f t="shared" ca="1" si="12"/>
        <v>21.376518218623481</v>
      </c>
      <c r="AB52" s="278">
        <f ca="1">SUM(AB53:AB73)</f>
        <v>0</v>
      </c>
      <c r="AC52" s="96">
        <f t="shared" ca="1" si="13"/>
        <v>0</v>
      </c>
      <c r="AD52" s="278">
        <f ca="1">SUM(AD53:AD73)</f>
        <v>0</v>
      </c>
      <c r="AE52" s="96">
        <f t="shared" ca="1" si="22"/>
        <v>0</v>
      </c>
      <c r="AF52" s="278">
        <f t="shared" ref="AF52:AI52" ca="1" si="53">SUM(AF53:AF73)</f>
        <v>0</v>
      </c>
      <c r="AG52" s="278">
        <f t="shared" ca="1" si="53"/>
        <v>0</v>
      </c>
      <c r="AH52" s="57">
        <f t="shared" ca="1" si="53"/>
        <v>0</v>
      </c>
      <c r="AI52" s="57">
        <f t="shared" ca="1" si="53"/>
        <v>0</v>
      </c>
      <c r="AJ52" s="96">
        <f t="shared" ca="1" si="28"/>
        <v>0</v>
      </c>
      <c r="AK52" s="57">
        <f t="shared" ref="AK52:AO52" ca="1" si="54">SUM(AK53:AK73)</f>
        <v>0</v>
      </c>
      <c r="AL52" s="57">
        <f t="shared" ca="1" si="54"/>
        <v>0</v>
      </c>
      <c r="AM52" s="57">
        <f t="shared" ca="1" si="54"/>
        <v>0</v>
      </c>
      <c r="AN52" s="57">
        <f t="shared" ca="1" si="54"/>
        <v>0</v>
      </c>
      <c r="AO52" s="57">
        <f t="shared" ca="1" si="54"/>
        <v>0</v>
      </c>
    </row>
    <row r="53" spans="1:41" ht="21" customHeight="1" x14ac:dyDescent="0.2">
      <c r="A53" s="62">
        <v>1</v>
      </c>
      <c r="B53" s="63" t="s">
        <v>70</v>
      </c>
      <c r="C53" s="97">
        <f t="shared" ref="C53:C73" ca="1" si="55">D53+E53</f>
        <v>20000</v>
      </c>
      <c r="D53" s="98">
        <f ca="1">IFERROR(__xludf.DUMMYFUNCTION("IMPORTRANGE(""https://docs.google.com/spreadsheets/d/1hKO5uv94SSRZWOvrh72HRcpyoEQF9TsE_Cvxl77XNU4/edit?usp=sharing"",""กาญจนบุรี!L660"")"),20000)</f>
        <v>20000</v>
      </c>
      <c r="E53" s="66">
        <f ca="1">IFERROR(__xludf.DUMMYFUNCTION("IMPORTRANGE(""https://docs.google.com/spreadsheets/d/1hKO5uv94SSRZWOvrh72HRcpyoEQF9TsE_Cvxl77XNU4/edit?usp=sharing"",""กาญจนบุรี!L667"")"),0)</f>
        <v>0</v>
      </c>
      <c r="F53" s="67">
        <f t="shared" ca="1" si="1"/>
        <v>320</v>
      </c>
      <c r="G53" s="68">
        <f t="shared" ca="1" si="2"/>
        <v>1.6</v>
      </c>
      <c r="H53" s="69">
        <f t="shared" ref="H53:H73" ca="1" si="56">I53+J53+K53+L53</f>
        <v>320</v>
      </c>
      <c r="I53" s="66">
        <f ca="1">IFERROR(__xludf.DUMMYFUNCTION("IMPORTRANGE(""https://docs.google.com/spreadsheets/d/1hKO5uv94SSRZWOvrh72HRcpyoEQF9TsE_Cvxl77XNU4/edit?usp=sharing"",""กาญจนบุรี!N661"")"),0)</f>
        <v>0</v>
      </c>
      <c r="J53" s="66">
        <f ca="1">IFERROR(__xludf.DUMMYFUNCTION("IMPORTRANGE(""https://docs.google.com/spreadsheets/d/1hKO5uv94SSRZWOvrh72HRcpyoEQF9TsE_Cvxl77XNU4/edit?usp=sharing"",""กาญจนบุรี!N662"")"),0)</f>
        <v>0</v>
      </c>
      <c r="K53" s="66">
        <f ca="1">IFERROR(__xludf.DUMMYFUNCTION("IMPORTRANGE(""https://docs.google.com/spreadsheets/d/1hKO5uv94SSRZWOvrh72HRcpyoEQF9TsE_Cvxl77XNU4/edit?usp=sharing"",""กาญจนบุรี!N663"")"),0)</f>
        <v>0</v>
      </c>
      <c r="L53" s="66">
        <f ca="1">IFERROR(__xludf.DUMMYFUNCTION("IMPORTRANGE(""https://docs.google.com/spreadsheets/d/1hKO5uv94SSRZWOvrh72HRcpyoEQF9TsE_Cvxl77XNU4/edit?usp=sharing"",""กาญจนบุรี!N664"")"),320)</f>
        <v>320</v>
      </c>
      <c r="M53" s="70">
        <f ca="1">IFERROR(__xludf.DUMMYFUNCTION("IMPORTRANGE(""https://docs.google.com/spreadsheets/d/1hKO5uv94SSRZWOvrh72HRcpyoEQF9TsE_Cvxl77XNU4/edit?usp=sharing"",""กาญจนบุรี!N667"")"),0)</f>
        <v>0</v>
      </c>
      <c r="N53" s="70">
        <f t="shared" ca="1" si="31"/>
        <v>0</v>
      </c>
      <c r="O53" s="66">
        <f ca="1">IFERROR(__xludf.DUMMYFUNCTION("IMPORTRANGE(""https://docs.google.com/spreadsheets/d/1hKO5uv94SSRZWOvrh72HRcpyoEQF9TsE_Cvxl77XNU4/edit?usp=sharing"",""กาญจนบุรี!I669"")"),200)</f>
        <v>200</v>
      </c>
      <c r="P53" s="66">
        <f ca="1">IFERROR(__xludf.DUMMYFUNCTION("IMPORTRANGE(""https://docs.google.com/spreadsheets/d/1hKO5uv94SSRZWOvrh72HRcpyoEQF9TsE_Cvxl77XNU4/edit?usp=sharing"",""กาญจนบุรี!J669"")"),0)</f>
        <v>0</v>
      </c>
      <c r="Q53" s="71">
        <f t="shared" ca="1" si="25"/>
        <v>0</v>
      </c>
      <c r="R53" s="66">
        <f ca="1">IFERROR(__xludf.DUMMYFUNCTION("IMPORTRANGE(""https://docs.google.com/spreadsheets/d/1hKO5uv94SSRZWOvrh72HRcpyoEQF9TsE_Cvxl77XNU4/edit?usp=sharing"",""กาญจนบุรี!I670"")"),5)</f>
        <v>5</v>
      </c>
      <c r="S53" s="66">
        <f ca="1">IFERROR(__xludf.DUMMYFUNCTION("IMPORTRANGE(""https://docs.google.com/spreadsheets/d/1hKO5uv94SSRZWOvrh72HRcpyoEQF9TsE_Cvxl77XNU4/edit?usp=sharing"",""กาญจนบุรี!J670"")"),1)</f>
        <v>1</v>
      </c>
      <c r="T53" s="71">
        <f t="shared" ca="1" si="26"/>
        <v>20</v>
      </c>
      <c r="U53" s="66">
        <f ca="1">IFERROR(__xludf.DUMMYFUNCTION("IMPORTRANGE(""https://docs.google.com/spreadsheets/d/1hKO5uv94SSRZWOvrh72HRcpyoEQF9TsE_Cvxl77XNU4/edit?usp=sharing"",""กาญจนบุรี!I671"")"),5)</f>
        <v>5</v>
      </c>
      <c r="V53" s="66">
        <f ca="1">IFERROR(__xludf.DUMMYFUNCTION("IMPORTRANGE(""https://docs.google.com/spreadsheets/d/1hKO5uv94SSRZWOvrh72HRcpyoEQF9TsE_Cvxl77XNU4/edit?usp=sharing"",""กาญจนบุรี!J671"")"),1)</f>
        <v>1</v>
      </c>
      <c r="W53" s="71">
        <f t="shared" ca="1" si="27"/>
        <v>20</v>
      </c>
      <c r="X53" s="66">
        <f ca="1">IFERROR(__xludf.DUMMYFUNCTION("IMPORTRANGE(""https://docs.google.com/spreadsheets/d/1hKO5uv94SSRZWOvrh72HRcpyoEQF9TsE_Cvxl77XNU4/edit?usp=sharing"",""กาญจนบุรี!J672"")"),0)</f>
        <v>0</v>
      </c>
      <c r="Y53" s="275">
        <f t="shared" ca="1" si="11"/>
        <v>0</v>
      </c>
      <c r="Z53" s="66">
        <f ca="1">IFERROR(__xludf.DUMMYFUNCTION("IMPORTRANGE(""https://docs.google.com/spreadsheets/d/1hKO5uv94SSRZWOvrh72HRcpyoEQF9TsE_Cvxl77XNU4/edit?usp=sharing"",""กาญจนบุรี!J673"")"),0)</f>
        <v>0</v>
      </c>
      <c r="AA53" s="275">
        <f t="shared" ca="1" si="12"/>
        <v>0</v>
      </c>
      <c r="AB53" s="275">
        <f ca="1">IFERROR(__xludf.DUMMYFUNCTION("IMPORTRANGE(""https://docs.google.com/spreadsheets/d/1hKO5uv94SSRZWOvrh72HRcpyoEQF9TsE_Cvxl77XNU4/edit?usp=sharing"",""กาญจนบุรี!J674"")"),0)</f>
        <v>0</v>
      </c>
      <c r="AC53" s="71">
        <f t="shared" ca="1" si="13"/>
        <v>0</v>
      </c>
      <c r="AD53" s="275">
        <f ca="1">IFERROR(__xludf.DUMMYFUNCTION("IMPORTRANGE(""https://docs.google.com/spreadsheets/d/1hKO5uv94SSRZWOvrh72HRcpyoEQF9TsE_Cvxl77XNU4/edit?usp=sharing"",""กาญจนบุรี!J675"")"),0)</f>
        <v>0</v>
      </c>
      <c r="AE53" s="71">
        <f t="shared" ca="1" si="22"/>
        <v>0</v>
      </c>
      <c r="AF53" s="275">
        <f ca="1">IFERROR(__xludf.DUMMYFUNCTION("IMPORTRANGE(""https://docs.google.com/spreadsheets/d/1hKO5uv94SSRZWOvrh72HRcpyoEQF9TsE_Cvxl77XNU4/edit?usp=sharing"",""กาญจนบุรี!J676"")"),0)</f>
        <v>0</v>
      </c>
      <c r="AG53" s="275">
        <f ca="1">IFERROR(__xludf.DUMMYFUNCTION("IMPORTRANGE(""https://docs.google.com/spreadsheets/d/1hKO5uv94SSRZWOvrh72HRcpyoEQF9TsE_Cvxl77XNU4/edit?usp=sharing"",""กาญจนบุรี!J677"")"),0)</f>
        <v>0</v>
      </c>
      <c r="AH53" s="66">
        <f ca="1">IFERROR(__xludf.DUMMYFUNCTION("IMPORTRANGE(""https://docs.google.com/spreadsheets/d/1hKO5uv94SSRZWOvrh72HRcpyoEQF9TsE_Cvxl77XNU4/edit?usp=sharing"",""กาญจนบุรี!I678"")"),0)</f>
        <v>0</v>
      </c>
      <c r="AI53" s="66">
        <f ca="1">IFERROR(__xludf.DUMMYFUNCTION("IMPORTRANGE(""https://docs.google.com/spreadsheets/d/1hKO5uv94SSRZWOvrh72HRcpyoEQF9TsE_Cvxl77XNU4/edit?usp=sharing"",""กาญจนบุรี!J678"")"),0)</f>
        <v>0</v>
      </c>
      <c r="AJ53" s="71">
        <f t="shared" ca="1" si="28"/>
        <v>0</v>
      </c>
      <c r="AK53" s="66">
        <f ca="1">IFERROR(__xludf.DUMMYFUNCTION("IMPORTRANGE(""https://docs.google.com/spreadsheets/d/1hKO5uv94SSRZWOvrh72HRcpyoEQF9TsE_Cvxl77XNU4/edit?usp=sharing"",""กาญจนบุรี!J679"")"),0)</f>
        <v>0</v>
      </c>
      <c r="AL53" s="66">
        <f ca="1">IFERROR(__xludf.DUMMYFUNCTION("IMPORTRANGE(""https://docs.google.com/spreadsheets/d/1hKO5uv94SSRZWOvrh72HRcpyoEQF9TsE_Cvxl77XNU4/edit?usp=sharing"",""กาญจนบุรี!J680"")"),0)</f>
        <v>0</v>
      </c>
      <c r="AM53" s="66">
        <f ca="1">IFERROR(__xludf.DUMMYFUNCTION("IMPORTRANGE(""https://docs.google.com/spreadsheets/d/1hKO5uv94SSRZWOvrh72HRcpyoEQF9TsE_Cvxl77XNU4/edit?usp=sharing"",""กาญจนบุรี!J681"")"),0)</f>
        <v>0</v>
      </c>
      <c r="AN53" s="66">
        <f ca="1">IFERROR(__xludf.DUMMYFUNCTION("IMPORTRANGE(""https://docs.google.com/spreadsheets/d/1hKO5uv94SSRZWOvrh72HRcpyoEQF9TsE_Cvxl77XNU4/edit?usp=sharing"",""กาญจนบุรี!J682"")"),0)</f>
        <v>0</v>
      </c>
      <c r="AO53" s="66">
        <f ca="1">IFERROR(__xludf.DUMMYFUNCTION("IMPORTRANGE(""https://docs.google.com/spreadsheets/d/1hKO5uv94SSRZWOvrh72HRcpyoEQF9TsE_Cvxl77XNU4/edit?usp=sharing"",""กาญจนบุรี!J683"")"),0)</f>
        <v>0</v>
      </c>
    </row>
    <row r="54" spans="1:41" ht="21" customHeight="1" x14ac:dyDescent="0.2">
      <c r="A54" s="72">
        <v>2</v>
      </c>
      <c r="B54" s="73" t="s">
        <v>71</v>
      </c>
      <c r="C54" s="74">
        <f t="shared" ca="1" si="55"/>
        <v>9400</v>
      </c>
      <c r="D54" s="75">
        <f ca="1">IFERROR(__xludf.DUMMYFUNCTION("IMPORTRANGE(""https://docs.google.com/spreadsheets/d/1njBaP_xXd-Uotvo2D9zb01TTCFkLJLDK97Tk1l9Qux0/edit?usp=sharing"",""จันทบุรี!L660"")"),9400)</f>
        <v>9400</v>
      </c>
      <c r="E54" s="76">
        <f ca="1">IFERROR(__xludf.DUMMYFUNCTION("IMPORTRANGE(""https://docs.google.com/spreadsheets/d/1njBaP_xXd-Uotvo2D9zb01TTCFkLJLDK97Tk1l9Qux0/edit?usp=sharing"",""จันทบุรี!L667"")"),0)</f>
        <v>0</v>
      </c>
      <c r="F54" s="77">
        <f t="shared" ca="1" si="1"/>
        <v>3789</v>
      </c>
      <c r="G54" s="78">
        <f t="shared" ca="1" si="2"/>
        <v>40.308510638297875</v>
      </c>
      <c r="H54" s="79">
        <f t="shared" ca="1" si="56"/>
        <v>3789</v>
      </c>
      <c r="I54" s="76">
        <f ca="1">IFERROR(__xludf.DUMMYFUNCTION("IMPORTRANGE(""https://docs.google.com/spreadsheets/d/1njBaP_xXd-Uotvo2D9zb01TTCFkLJLDK97Tk1l9Qux0/edit?usp=sharing"",""จันทบุรี!N661"")"),0)</f>
        <v>0</v>
      </c>
      <c r="J54" s="76">
        <f ca="1">IFERROR(__xludf.DUMMYFUNCTION("IMPORTRANGE(""https://docs.google.com/spreadsheets/d/1njBaP_xXd-Uotvo2D9zb01TTCFkLJLDK97Tk1l9Qux0/edit?usp=sharing"",""จันทบุรี!N662"")"),0)</f>
        <v>0</v>
      </c>
      <c r="K54" s="76">
        <f ca="1">IFERROR(__xludf.DUMMYFUNCTION("IMPORTRANGE(""https://docs.google.com/spreadsheets/d/1njBaP_xXd-Uotvo2D9zb01TTCFkLJLDK97Tk1l9Qux0/edit?usp=sharing"",""จันทบุรี!N663"")"),0)</f>
        <v>0</v>
      </c>
      <c r="L54" s="76">
        <f ca="1">IFERROR(__xludf.DUMMYFUNCTION("IMPORTRANGE(""https://docs.google.com/spreadsheets/d/1njBaP_xXd-Uotvo2D9zb01TTCFkLJLDK97Tk1l9Qux0/edit?usp=sharing"",""จันทบุรี!N664"")"),3789)</f>
        <v>3789</v>
      </c>
      <c r="M54" s="80">
        <f ca="1">IFERROR(__xludf.DUMMYFUNCTION("IMPORTRANGE(""https://docs.google.com/spreadsheets/d/1njBaP_xXd-Uotvo2D9zb01TTCFkLJLDK97Tk1l9Qux0/edit?usp=sharing"",""จันทบุรี!N667"")"),0)</f>
        <v>0</v>
      </c>
      <c r="N54" s="80">
        <f t="shared" ca="1" si="31"/>
        <v>0</v>
      </c>
      <c r="O54" s="81">
        <f ca="1">IFERROR(__xludf.DUMMYFUNCTION("IMPORTRANGE(""https://docs.google.com/spreadsheets/d/1njBaP_xXd-Uotvo2D9zb01TTCFkLJLDK97Tk1l9Qux0/edit?usp=sharing"",""จันทบุรี!I669"")"),50)</f>
        <v>50</v>
      </c>
      <c r="P54" s="81">
        <f ca="1">IFERROR(__xludf.DUMMYFUNCTION("IMPORTRANGE(""https://docs.google.com/spreadsheets/d/1njBaP_xXd-Uotvo2D9zb01TTCFkLJLDK97Tk1l9Qux0/edit?usp=sharing"",""จันทบุรี!J669"")"),0)</f>
        <v>0</v>
      </c>
      <c r="Q54" s="82">
        <f t="shared" ca="1" si="25"/>
        <v>0</v>
      </c>
      <c r="R54" s="81">
        <f ca="1">IFERROR(__xludf.DUMMYFUNCTION("IMPORTRANGE(""https://docs.google.com/spreadsheets/d/1njBaP_xXd-Uotvo2D9zb01TTCFkLJLDK97Tk1l9Qux0/edit?usp=sharing"",""จันทบุรี!I670"")"),4)</f>
        <v>4</v>
      </c>
      <c r="S54" s="81">
        <f ca="1">IFERROR(__xludf.DUMMYFUNCTION("IMPORTRANGE(""https://docs.google.com/spreadsheets/d/1njBaP_xXd-Uotvo2D9zb01TTCFkLJLDK97Tk1l9Qux0/edit?usp=sharing"",""จันทบุรี!J670"")"),4)</f>
        <v>4</v>
      </c>
      <c r="T54" s="82">
        <f t="shared" ca="1" si="26"/>
        <v>100</v>
      </c>
      <c r="U54" s="81">
        <f ca="1">IFERROR(__xludf.DUMMYFUNCTION("IMPORTRANGE(""https://docs.google.com/spreadsheets/d/1njBaP_xXd-Uotvo2D9zb01TTCFkLJLDK97Tk1l9Qux0/edit?usp=sharing"",""จันทบุรี!I671"")"),4)</f>
        <v>4</v>
      </c>
      <c r="V54" s="81">
        <f ca="1">IFERROR(__xludf.DUMMYFUNCTION("IMPORTRANGE(""https://docs.google.com/spreadsheets/d/1njBaP_xXd-Uotvo2D9zb01TTCFkLJLDK97Tk1l9Qux0/edit?usp=sharing"",""จันทบุรี!J671"")"),4)</f>
        <v>4</v>
      </c>
      <c r="W54" s="82">
        <f t="shared" ca="1" si="27"/>
        <v>100</v>
      </c>
      <c r="X54" s="81">
        <f ca="1">IFERROR(__xludf.DUMMYFUNCTION("IMPORTRANGE(""https://docs.google.com/spreadsheets/d/1njBaP_xXd-Uotvo2D9zb01TTCFkLJLDK97Tk1l9Qux0/edit?usp=sharing"",""จันทบุรี!J672"")"),11)</f>
        <v>11</v>
      </c>
      <c r="Y54" s="276">
        <f t="shared" ca="1" si="11"/>
        <v>22</v>
      </c>
      <c r="Z54" s="81">
        <f ca="1">IFERROR(__xludf.DUMMYFUNCTION("IMPORTRANGE(""https://docs.google.com/spreadsheets/d/1njBaP_xXd-Uotvo2D9zb01TTCFkLJLDK97Tk1l9Qux0/edit?usp=sharing"",""จันทบุรี!J673"")"),0)</f>
        <v>0</v>
      </c>
      <c r="AA54" s="276">
        <f t="shared" ca="1" si="12"/>
        <v>0</v>
      </c>
      <c r="AB54" s="276">
        <f ca="1">IFERROR(__xludf.DUMMYFUNCTION("IMPORTRANGE(""https://docs.google.com/spreadsheets/d/1njBaP_xXd-Uotvo2D9zb01TTCFkLJLDK97Tk1l9Qux0/edit?usp=sharing"",""จันทบุรี!J674"")"),0)</f>
        <v>0</v>
      </c>
      <c r="AC54" s="82">
        <f t="shared" ca="1" si="13"/>
        <v>0</v>
      </c>
      <c r="AD54" s="276">
        <f ca="1">IFERROR(__xludf.DUMMYFUNCTION("IMPORTRANGE(""https://docs.google.com/spreadsheets/d/1njBaP_xXd-Uotvo2D9zb01TTCFkLJLDK97Tk1l9Qux0/edit?usp=sharing"",""จันทบุรี!J675"")"),0)</f>
        <v>0</v>
      </c>
      <c r="AE54" s="82">
        <f t="shared" ca="1" si="22"/>
        <v>0</v>
      </c>
      <c r="AF54" s="276">
        <f ca="1">IFERROR(__xludf.DUMMYFUNCTION("IMPORTRANGE(""https://docs.google.com/spreadsheets/d/1njBaP_xXd-Uotvo2D9zb01TTCFkLJLDK97Tk1l9Qux0/edit?usp=sharing"",""จันทบุรี!J676"")"),0)</f>
        <v>0</v>
      </c>
      <c r="AG54" s="276">
        <f ca="1">IFERROR(__xludf.DUMMYFUNCTION("IMPORTRANGE(""https://docs.google.com/spreadsheets/d/1njBaP_xXd-Uotvo2D9zb01TTCFkLJLDK97Tk1l9Qux0/edit?usp=sharing"",""จันทบุรี!J677"")"),0)</f>
        <v>0</v>
      </c>
      <c r="AH54" s="81">
        <f ca="1">IFERROR(__xludf.DUMMYFUNCTION("IMPORTRANGE(""https://docs.google.com/spreadsheets/d/1njBaP_xXd-Uotvo2D9zb01TTCFkLJLDK97Tk1l9Qux0/edit?usp=sharing"",""จันทบุรี!I678"")"),0)</f>
        <v>0</v>
      </c>
      <c r="AI54" s="81">
        <f ca="1">IFERROR(__xludf.DUMMYFUNCTION("IMPORTRANGE(""https://docs.google.com/spreadsheets/d/1njBaP_xXd-Uotvo2D9zb01TTCFkLJLDK97Tk1l9Qux0/edit?usp=sharing"",""จันทบุรี!J678"")"),0)</f>
        <v>0</v>
      </c>
      <c r="AJ54" s="82">
        <f t="shared" ca="1" si="28"/>
        <v>0</v>
      </c>
      <c r="AK54" s="81">
        <f ca="1">IFERROR(__xludf.DUMMYFUNCTION("IMPORTRANGE(""https://docs.google.com/spreadsheets/d/1njBaP_xXd-Uotvo2D9zb01TTCFkLJLDK97Tk1l9Qux0/edit?usp=sharing"",""จันทบุรี!J679"")"),0)</f>
        <v>0</v>
      </c>
      <c r="AL54" s="81">
        <f ca="1">IFERROR(__xludf.DUMMYFUNCTION("IMPORTRANGE(""https://docs.google.com/spreadsheets/d/1njBaP_xXd-Uotvo2D9zb01TTCFkLJLDK97Tk1l9Qux0/edit?usp=sharing"",""จันทบุรี!J680"")"),0)</f>
        <v>0</v>
      </c>
      <c r="AM54" s="81">
        <f ca="1">IFERROR(__xludf.DUMMYFUNCTION("IMPORTRANGE(""https://docs.google.com/spreadsheets/d/1njBaP_xXd-Uotvo2D9zb01TTCFkLJLDK97Tk1l9Qux0/edit?usp=sharing"",""จันทบุรี!J681"")"),0)</f>
        <v>0</v>
      </c>
      <c r="AN54" s="81">
        <f ca="1">IFERROR(__xludf.DUMMYFUNCTION("IMPORTRANGE(""https://docs.google.com/spreadsheets/d/1njBaP_xXd-Uotvo2D9zb01TTCFkLJLDK97Tk1l9Qux0/edit?usp=sharing"",""จันทบุรี!J682"")"),0)</f>
        <v>0</v>
      </c>
      <c r="AO54" s="81">
        <f ca="1">IFERROR(__xludf.DUMMYFUNCTION("IMPORTRANGE(""https://docs.google.com/spreadsheets/d/1njBaP_xXd-Uotvo2D9zb01TTCFkLJLDK97Tk1l9Qux0/edit?usp=sharing"",""จันทบุรี!J683"")"),0)</f>
        <v>0</v>
      </c>
    </row>
    <row r="55" spans="1:41" ht="21" customHeight="1" x14ac:dyDescent="0.2">
      <c r="A55" s="72">
        <v>3</v>
      </c>
      <c r="B55" s="73" t="s">
        <v>72</v>
      </c>
      <c r="C55" s="74">
        <f t="shared" ca="1" si="55"/>
        <v>14000</v>
      </c>
      <c r="D55" s="75">
        <f ca="1">IFERROR(__xludf.DUMMYFUNCTION("IMPORTRANGE(""https://docs.google.com/spreadsheets/d/14xp6qUzrGFnUk_qnc1eEmfiaNRd4_grkhpfQH_46fa8/edit?usp=sharing"",""ฉะเชิงเทรา!L660"")"),14000)</f>
        <v>14000</v>
      </c>
      <c r="E55" s="76">
        <f ca="1">IFERROR(__xludf.DUMMYFUNCTION("IMPORTRANGE(""https://docs.google.com/spreadsheets/d/14xp6qUzrGFnUk_qnc1eEmfiaNRd4_grkhpfQH_46fa8/edit?usp=sharing"",""ฉะเชิงเทรา!L667"")"),0)</f>
        <v>0</v>
      </c>
      <c r="F55" s="77">
        <f t="shared" ca="1" si="1"/>
        <v>3500</v>
      </c>
      <c r="G55" s="78">
        <f t="shared" ca="1" si="2"/>
        <v>25</v>
      </c>
      <c r="H55" s="79">
        <f t="shared" ca="1" si="56"/>
        <v>3500</v>
      </c>
      <c r="I55" s="76">
        <f ca="1">IFERROR(__xludf.DUMMYFUNCTION("IMPORTRANGE(""https://docs.google.com/spreadsheets/d/14xp6qUzrGFnUk_qnc1eEmfiaNRd4_grkhpfQH_46fa8/edit?usp=sharing"",""ฉะเชิงเทรา!N661"")"),0)</f>
        <v>0</v>
      </c>
      <c r="J55" s="76">
        <f ca="1">IFERROR(__xludf.DUMMYFUNCTION("IMPORTRANGE(""https://docs.google.com/spreadsheets/d/14xp6qUzrGFnUk_qnc1eEmfiaNRd4_grkhpfQH_46fa8/edit?usp=sharing"",""ฉะเชิงเทรา!N662"")"),0)</f>
        <v>0</v>
      </c>
      <c r="K55" s="76">
        <f ca="1">IFERROR(__xludf.DUMMYFUNCTION("IMPORTRANGE(""https://docs.google.com/spreadsheets/d/14xp6qUzrGFnUk_qnc1eEmfiaNRd4_grkhpfQH_46fa8/edit?usp=sharing"",""ฉะเชิงเทรา!N663"")"),0)</f>
        <v>0</v>
      </c>
      <c r="L55" s="76">
        <f ca="1">IFERROR(__xludf.DUMMYFUNCTION("IMPORTRANGE(""https://docs.google.com/spreadsheets/d/14xp6qUzrGFnUk_qnc1eEmfiaNRd4_grkhpfQH_46fa8/edit?usp=sharing"",""ฉะเชิงเทรา!N664"")"),3500)</f>
        <v>3500</v>
      </c>
      <c r="M55" s="80">
        <f ca="1">IFERROR(__xludf.DUMMYFUNCTION("IMPORTRANGE(""https://docs.google.com/spreadsheets/d/14xp6qUzrGFnUk_qnc1eEmfiaNRd4_grkhpfQH_46fa8/edit?usp=sharing"",""ฉะเชิงเทรา!N667"")"),0)</f>
        <v>0</v>
      </c>
      <c r="N55" s="80">
        <f t="shared" ca="1" si="31"/>
        <v>0</v>
      </c>
      <c r="O55" s="81">
        <f ca="1">IFERROR(__xludf.DUMMYFUNCTION("IMPORTRANGE(""https://docs.google.com/spreadsheets/d/14xp6qUzrGFnUk_qnc1eEmfiaNRd4_grkhpfQH_46fa8/edit?usp=sharing"",""ฉะเชิงเทรา!I669"")"),100)</f>
        <v>100</v>
      </c>
      <c r="P55" s="81">
        <f ca="1">IFERROR(__xludf.DUMMYFUNCTION("IMPORTRANGE(""https://docs.google.com/spreadsheets/d/14xp6qUzrGFnUk_qnc1eEmfiaNRd4_grkhpfQH_46fa8/edit?usp=sharing"",""ฉะเชิงเทรา!J669"")"),0)</f>
        <v>0</v>
      </c>
      <c r="Q55" s="82">
        <f t="shared" ca="1" si="25"/>
        <v>0</v>
      </c>
      <c r="R55" s="81">
        <f ca="1">IFERROR(__xludf.DUMMYFUNCTION("IMPORTRANGE(""https://docs.google.com/spreadsheets/d/14xp6qUzrGFnUk_qnc1eEmfiaNRd4_grkhpfQH_46fa8/edit?usp=sharing"",""ฉะเชิงเทรา!I670"")"),5)</f>
        <v>5</v>
      </c>
      <c r="S55" s="81">
        <f ca="1">IFERROR(__xludf.DUMMYFUNCTION("IMPORTRANGE(""https://docs.google.com/spreadsheets/d/14xp6qUzrGFnUk_qnc1eEmfiaNRd4_grkhpfQH_46fa8/edit?usp=sharing"",""ฉะเชิงเทรา!J670"")"),5)</f>
        <v>5</v>
      </c>
      <c r="T55" s="82">
        <f t="shared" ca="1" si="26"/>
        <v>100</v>
      </c>
      <c r="U55" s="81">
        <f ca="1">IFERROR(__xludf.DUMMYFUNCTION("IMPORTRANGE(""https://docs.google.com/spreadsheets/d/14xp6qUzrGFnUk_qnc1eEmfiaNRd4_grkhpfQH_46fa8/edit?usp=sharing"",""ฉะเชิงเทรา!I671"")"),5)</f>
        <v>5</v>
      </c>
      <c r="V55" s="81">
        <f ca="1">IFERROR(__xludf.DUMMYFUNCTION("IMPORTRANGE(""https://docs.google.com/spreadsheets/d/14xp6qUzrGFnUk_qnc1eEmfiaNRd4_grkhpfQH_46fa8/edit?usp=sharing"",""ฉะเชิงเทรา!J671"")"),5)</f>
        <v>5</v>
      </c>
      <c r="W55" s="82">
        <f t="shared" ca="1" si="27"/>
        <v>100</v>
      </c>
      <c r="X55" s="81">
        <f ca="1">IFERROR(__xludf.DUMMYFUNCTION("IMPORTRANGE(""https://docs.google.com/spreadsheets/d/14xp6qUzrGFnUk_qnc1eEmfiaNRd4_grkhpfQH_46fa8/edit?usp=sharing"",""ฉะเชิงเทรา!J672"")"),179)</f>
        <v>179</v>
      </c>
      <c r="Y55" s="276">
        <f t="shared" ca="1" si="11"/>
        <v>179</v>
      </c>
      <c r="Z55" s="81">
        <f ca="1">IFERROR(__xludf.DUMMYFUNCTION("IMPORTRANGE(""https://docs.google.com/spreadsheets/d/14xp6qUzrGFnUk_qnc1eEmfiaNRd4_grkhpfQH_46fa8/edit?usp=sharing"",""ฉะเชิงเทรา!J673"")"),0)</f>
        <v>0</v>
      </c>
      <c r="AA55" s="276">
        <f t="shared" ca="1" si="12"/>
        <v>0</v>
      </c>
      <c r="AB55" s="276">
        <f ca="1">IFERROR(__xludf.DUMMYFUNCTION("IMPORTRANGE(""https://docs.google.com/spreadsheets/d/14xp6qUzrGFnUk_qnc1eEmfiaNRd4_grkhpfQH_46fa8/edit?usp=sharing"",""ฉะเชิงเทรา!J674"")"),0)</f>
        <v>0</v>
      </c>
      <c r="AC55" s="82">
        <f t="shared" ca="1" si="13"/>
        <v>0</v>
      </c>
      <c r="AD55" s="276">
        <f ca="1">IFERROR(__xludf.DUMMYFUNCTION("IMPORTRANGE(""https://docs.google.com/spreadsheets/d/14xp6qUzrGFnUk_qnc1eEmfiaNRd4_grkhpfQH_46fa8/edit?usp=sharing"",""ฉะเชิงเทรา!J675"")"),0)</f>
        <v>0</v>
      </c>
      <c r="AE55" s="82">
        <f t="shared" ca="1" si="22"/>
        <v>0</v>
      </c>
      <c r="AF55" s="276">
        <f ca="1">IFERROR(__xludf.DUMMYFUNCTION("IMPORTRANGE(""https://docs.google.com/spreadsheets/d/14xp6qUzrGFnUk_qnc1eEmfiaNRd4_grkhpfQH_46fa8/edit?usp=sharing"",""ฉะเชิงเทรา!J676"")"),0)</f>
        <v>0</v>
      </c>
      <c r="AG55" s="276">
        <f ca="1">IFERROR(__xludf.DUMMYFUNCTION("IMPORTRANGE(""https://docs.google.com/spreadsheets/d/14xp6qUzrGFnUk_qnc1eEmfiaNRd4_grkhpfQH_46fa8/edit?usp=sharing"",""ฉะเชิงเทรา!J677"")"),0)</f>
        <v>0</v>
      </c>
      <c r="AH55" s="81">
        <f ca="1">IFERROR(__xludf.DUMMYFUNCTION("IMPORTRANGE(""https://docs.google.com/spreadsheets/d/14xp6qUzrGFnUk_qnc1eEmfiaNRd4_grkhpfQH_46fa8/edit?usp=sharing"",""ฉะเชิงเทรา!I678"")"),0)</f>
        <v>0</v>
      </c>
      <c r="AI55" s="81">
        <f ca="1">IFERROR(__xludf.DUMMYFUNCTION("IMPORTRANGE(""https://docs.google.com/spreadsheets/d/14xp6qUzrGFnUk_qnc1eEmfiaNRd4_grkhpfQH_46fa8/edit?usp=sharing"",""ฉะเชิงเทรา!J678"")"),0)</f>
        <v>0</v>
      </c>
      <c r="AJ55" s="82">
        <f t="shared" ca="1" si="28"/>
        <v>0</v>
      </c>
      <c r="AK55" s="81">
        <f ca="1">IFERROR(__xludf.DUMMYFUNCTION("IMPORTRANGE(""https://docs.google.com/spreadsheets/d/14xp6qUzrGFnUk_qnc1eEmfiaNRd4_grkhpfQH_46fa8/edit?usp=sharing"",""ฉะเชิงเทรา!J679"")"),0)</f>
        <v>0</v>
      </c>
      <c r="AL55" s="81">
        <f ca="1">IFERROR(__xludf.DUMMYFUNCTION("IMPORTRANGE(""https://docs.google.com/spreadsheets/d/14xp6qUzrGFnUk_qnc1eEmfiaNRd4_grkhpfQH_46fa8/edit?usp=sharing"",""ฉะเชิงเทรา!J680"")"),0)</f>
        <v>0</v>
      </c>
      <c r="AM55" s="81">
        <f ca="1">IFERROR(__xludf.DUMMYFUNCTION("IMPORTRANGE(""https://docs.google.com/spreadsheets/d/14xp6qUzrGFnUk_qnc1eEmfiaNRd4_grkhpfQH_46fa8/edit?usp=sharing"",""ฉะเชิงเทรา!J681"")"),0)</f>
        <v>0</v>
      </c>
      <c r="AN55" s="81">
        <f ca="1">IFERROR(__xludf.DUMMYFUNCTION("IMPORTRANGE(""https://docs.google.com/spreadsheets/d/14xp6qUzrGFnUk_qnc1eEmfiaNRd4_grkhpfQH_46fa8/edit?usp=sharing"",""ฉะเชิงเทรา!J682"")"),0)</f>
        <v>0</v>
      </c>
      <c r="AO55" s="81">
        <f ca="1">IFERROR(__xludf.DUMMYFUNCTION("IMPORTRANGE(""https://docs.google.com/spreadsheets/d/14xp6qUzrGFnUk_qnc1eEmfiaNRd4_grkhpfQH_46fa8/edit?usp=sharing"",""ฉะเชิงเทรา!J683"")"),0)</f>
        <v>0</v>
      </c>
    </row>
    <row r="56" spans="1:41" ht="21" customHeight="1" x14ac:dyDescent="0.2">
      <c r="A56" s="72">
        <v>4</v>
      </c>
      <c r="B56" s="73" t="s">
        <v>73</v>
      </c>
      <c r="C56" s="74">
        <f t="shared" ca="1" si="55"/>
        <v>0</v>
      </c>
      <c r="D56" s="75">
        <f ca="1">IFERROR(__xludf.DUMMYFUNCTION("IMPORTRANGE(""https://docs.google.com/spreadsheets/d/1_Zwps30dlVa-pZFsorjVf1Pil6WXwzCsJU0U2whO3NI/edit?usp=sharing"",""ชลบุรี!L660"")"),0)</f>
        <v>0</v>
      </c>
      <c r="E56" s="76">
        <f ca="1">IFERROR(__xludf.DUMMYFUNCTION("IMPORTRANGE(""https://docs.google.com/spreadsheets/d/1_Zwps30dlVa-pZFsorjVf1Pil6WXwzCsJU0U2whO3NI/edit?usp=sharing"",""ชลบุรี!L667"")"),0)</f>
        <v>0</v>
      </c>
      <c r="F56" s="77">
        <f t="shared" ca="1" si="1"/>
        <v>0</v>
      </c>
      <c r="G56" s="78">
        <f t="shared" ca="1" si="2"/>
        <v>0</v>
      </c>
      <c r="H56" s="79">
        <f t="shared" ca="1" si="56"/>
        <v>0</v>
      </c>
      <c r="I56" s="76">
        <f ca="1">IFERROR(__xludf.DUMMYFUNCTION("IMPORTRANGE(""https://docs.google.com/spreadsheets/d/1_Zwps30dlVa-pZFsorjVf1Pil6WXwzCsJU0U2whO3NI/edit?usp=sharing"",""ชลบุรี!N661"")"),0)</f>
        <v>0</v>
      </c>
      <c r="J56" s="76">
        <f ca="1">IFERROR(__xludf.DUMMYFUNCTION("IMPORTRANGE(""https://docs.google.com/spreadsheets/d/1_Zwps30dlVa-pZFsorjVf1Pil6WXwzCsJU0U2whO3NI/edit?usp=sharing"",""ชลบุรี!N662"")"),0)</f>
        <v>0</v>
      </c>
      <c r="K56" s="76">
        <f ca="1">IFERROR(__xludf.DUMMYFUNCTION("IMPORTRANGE(""https://docs.google.com/spreadsheets/d/1_Zwps30dlVa-pZFsorjVf1Pil6WXwzCsJU0U2whO3NI/edit?usp=sharing"",""ชลบุรี!N663"")"),0)</f>
        <v>0</v>
      </c>
      <c r="L56" s="76">
        <f ca="1">IFERROR(__xludf.DUMMYFUNCTION("IMPORTRANGE(""https://docs.google.com/spreadsheets/d/1_Zwps30dlVa-pZFsorjVf1Pil6WXwzCsJU0U2whO3NI/edit?usp=sharing"",""ชลบุรี!N664"")"),0)</f>
        <v>0</v>
      </c>
      <c r="M56" s="80">
        <f ca="1">IFERROR(__xludf.DUMMYFUNCTION("IMPORTRANGE(""https://docs.google.com/spreadsheets/d/1_Zwps30dlVa-pZFsorjVf1Pil6WXwzCsJU0U2whO3NI/edit?usp=sharing"",""ชลบุรี!N667"")"),0)</f>
        <v>0</v>
      </c>
      <c r="N56" s="80">
        <f t="shared" ca="1" si="31"/>
        <v>0</v>
      </c>
      <c r="O56" s="81">
        <f ca="1">IFERROR(__xludf.DUMMYFUNCTION("IMPORTRANGE(""https://docs.google.com/spreadsheets/d/1_Zwps30dlVa-pZFsorjVf1Pil6WXwzCsJU0U2whO3NI/edit?usp=sharing"",""ชลบุรี!I669"")"),0)</f>
        <v>0</v>
      </c>
      <c r="P56" s="81">
        <f ca="1">IFERROR(__xludf.DUMMYFUNCTION("IMPORTRANGE(""https://docs.google.com/spreadsheets/d/1_Zwps30dlVa-pZFsorjVf1Pil6WXwzCsJU0U2whO3NI/edit?usp=sharing"",""ชลบุรี!J669"")"),0)</f>
        <v>0</v>
      </c>
      <c r="Q56" s="82">
        <f t="shared" ca="1" si="25"/>
        <v>0</v>
      </c>
      <c r="R56" s="81">
        <f ca="1">IFERROR(__xludf.DUMMYFUNCTION("IMPORTRANGE(""https://docs.google.com/spreadsheets/d/1_Zwps30dlVa-pZFsorjVf1Pil6WXwzCsJU0U2whO3NI/edit?usp=sharing"",""ชลบุรี!I670"")"),0)</f>
        <v>0</v>
      </c>
      <c r="S56" s="81">
        <f ca="1">IFERROR(__xludf.DUMMYFUNCTION("IMPORTRANGE(""https://docs.google.com/spreadsheets/d/1_Zwps30dlVa-pZFsorjVf1Pil6WXwzCsJU0U2whO3NI/edit?usp=sharing"",""ชลบุรี!J670"")"),0)</f>
        <v>0</v>
      </c>
      <c r="T56" s="82">
        <f t="shared" ca="1" si="26"/>
        <v>0</v>
      </c>
      <c r="U56" s="81">
        <f ca="1">IFERROR(__xludf.DUMMYFUNCTION("IMPORTRANGE(""https://docs.google.com/spreadsheets/d/1_Zwps30dlVa-pZFsorjVf1Pil6WXwzCsJU0U2whO3NI/edit?usp=sharing"",""ชลบุรี!I671"")"),0)</f>
        <v>0</v>
      </c>
      <c r="V56" s="81">
        <f ca="1">IFERROR(__xludf.DUMMYFUNCTION("IMPORTRANGE(""https://docs.google.com/spreadsheets/d/1_Zwps30dlVa-pZFsorjVf1Pil6WXwzCsJU0U2whO3NI/edit?usp=sharing"",""ชลบุรี!J671"")"),0)</f>
        <v>0</v>
      </c>
      <c r="W56" s="82">
        <f t="shared" ca="1" si="27"/>
        <v>0</v>
      </c>
      <c r="X56" s="81">
        <f ca="1">IFERROR(__xludf.DUMMYFUNCTION("IMPORTRANGE(""https://docs.google.com/spreadsheets/d/1_Zwps30dlVa-pZFsorjVf1Pil6WXwzCsJU0U2whO3NI/edit?usp=sharing"",""ชลบุรี!J672"")"),0)</f>
        <v>0</v>
      </c>
      <c r="Y56" s="276">
        <f t="shared" ca="1" si="11"/>
        <v>0</v>
      </c>
      <c r="Z56" s="81">
        <f ca="1">IFERROR(__xludf.DUMMYFUNCTION("IMPORTRANGE(""https://docs.google.com/spreadsheets/d/1_Zwps30dlVa-pZFsorjVf1Pil6WXwzCsJU0U2whO3NI/edit?usp=sharing"",""ชลบุรี!J673"")"),0)</f>
        <v>0</v>
      </c>
      <c r="AA56" s="276">
        <f t="shared" ca="1" si="12"/>
        <v>0</v>
      </c>
      <c r="AB56" s="276">
        <f ca="1">IFERROR(__xludf.DUMMYFUNCTION("IMPORTRANGE(""https://docs.google.com/spreadsheets/d/1_Zwps30dlVa-pZFsorjVf1Pil6WXwzCsJU0U2whO3NI/edit?usp=sharing"",""ชลบุรี!J674"")"),0)</f>
        <v>0</v>
      </c>
      <c r="AC56" s="82">
        <f t="shared" ca="1" si="13"/>
        <v>0</v>
      </c>
      <c r="AD56" s="276">
        <f ca="1">IFERROR(__xludf.DUMMYFUNCTION("IMPORTRANGE(""https://docs.google.com/spreadsheets/d/1_Zwps30dlVa-pZFsorjVf1Pil6WXwzCsJU0U2whO3NI/edit?usp=sharing"",""ชลบุรี!J675"")"),0)</f>
        <v>0</v>
      </c>
      <c r="AE56" s="82">
        <f t="shared" ca="1" si="22"/>
        <v>0</v>
      </c>
      <c r="AF56" s="276">
        <f ca="1">IFERROR(__xludf.DUMMYFUNCTION("IMPORTRANGE(""https://docs.google.com/spreadsheets/d/1_Zwps30dlVa-pZFsorjVf1Pil6WXwzCsJU0U2whO3NI/edit?usp=sharing"",""ชลบุรี!J676"")"),0)</f>
        <v>0</v>
      </c>
      <c r="AG56" s="276">
        <f ca="1">IFERROR(__xludf.DUMMYFUNCTION("IMPORTRANGE(""https://docs.google.com/spreadsheets/d/1_Zwps30dlVa-pZFsorjVf1Pil6WXwzCsJU0U2whO3NI/edit?usp=sharing"",""ชลบุรี!J677"")"),0)</f>
        <v>0</v>
      </c>
      <c r="AH56" s="81">
        <f ca="1">IFERROR(__xludf.DUMMYFUNCTION("IMPORTRANGE(""https://docs.google.com/spreadsheets/d/1_Zwps30dlVa-pZFsorjVf1Pil6WXwzCsJU0U2whO3NI/edit?usp=sharing"",""ชลบุรี!I678"")"),0)</f>
        <v>0</v>
      </c>
      <c r="AI56" s="81">
        <f ca="1">IFERROR(__xludf.DUMMYFUNCTION("IMPORTRANGE(""https://docs.google.com/spreadsheets/d/1_Zwps30dlVa-pZFsorjVf1Pil6WXwzCsJU0U2whO3NI/edit?usp=sharing"",""ชลบุรี!J678"")"),0)</f>
        <v>0</v>
      </c>
      <c r="AJ56" s="82">
        <f t="shared" ca="1" si="28"/>
        <v>0</v>
      </c>
      <c r="AK56" s="81">
        <f ca="1">IFERROR(__xludf.DUMMYFUNCTION("IMPORTRANGE(""https://docs.google.com/spreadsheets/d/1_Zwps30dlVa-pZFsorjVf1Pil6WXwzCsJU0U2whO3NI/edit?usp=sharing"",""ชลบุรี!J679"")"),0)</f>
        <v>0</v>
      </c>
      <c r="AL56" s="81">
        <f ca="1">IFERROR(__xludf.DUMMYFUNCTION("IMPORTRANGE(""https://docs.google.com/spreadsheets/d/1_Zwps30dlVa-pZFsorjVf1Pil6WXwzCsJU0U2whO3NI/edit?usp=sharing"",""ชลบุรี!J680"")"),0)</f>
        <v>0</v>
      </c>
      <c r="AM56" s="81">
        <f ca="1">IFERROR(__xludf.DUMMYFUNCTION("IMPORTRANGE(""https://docs.google.com/spreadsheets/d/1_Zwps30dlVa-pZFsorjVf1Pil6WXwzCsJU0U2whO3NI/edit?usp=sharing"",""ชลบุรี!J681"")"),0)</f>
        <v>0</v>
      </c>
      <c r="AN56" s="81">
        <f ca="1">IFERROR(__xludf.DUMMYFUNCTION("IMPORTRANGE(""https://docs.google.com/spreadsheets/d/1_Zwps30dlVa-pZFsorjVf1Pil6WXwzCsJU0U2whO3NI/edit?usp=sharing"",""ชลบุรี!J682"")"),0)</f>
        <v>0</v>
      </c>
      <c r="AO56" s="81">
        <f ca="1">IFERROR(__xludf.DUMMYFUNCTION("IMPORTRANGE(""https://docs.google.com/spreadsheets/d/1_Zwps30dlVa-pZFsorjVf1Pil6WXwzCsJU0U2whO3NI/edit?usp=sharing"",""ชลบุรี!J683"")"),0)</f>
        <v>0</v>
      </c>
    </row>
    <row r="57" spans="1:41" ht="21" customHeight="1" x14ac:dyDescent="0.2">
      <c r="A57" s="72">
        <v>5</v>
      </c>
      <c r="B57" s="73" t="s">
        <v>74</v>
      </c>
      <c r="C57" s="74">
        <f t="shared" ca="1" si="55"/>
        <v>9400</v>
      </c>
      <c r="D57" s="75">
        <f ca="1">IFERROR(__xludf.DUMMYFUNCTION("IMPORTRANGE(""https://docs.google.com/spreadsheets/d/1xAsT4sUbBlom7l0acStESh_15nvjZcXjZM7fK5uZSq8/edit?usp=sharing"",""ชัยนาท!L660"")"),9400)</f>
        <v>9400</v>
      </c>
      <c r="E57" s="76">
        <f ca="1">IFERROR(__xludf.DUMMYFUNCTION("IMPORTRANGE(""https://docs.google.com/spreadsheets/d/1xAsT4sUbBlom7l0acStESh_15nvjZcXjZM7fK5uZSq8/edit?usp=sharing"",""ชัยนาท!L667"")"),0)</f>
        <v>0</v>
      </c>
      <c r="F57" s="77">
        <f t="shared" ca="1" si="1"/>
        <v>1840</v>
      </c>
      <c r="G57" s="78">
        <f t="shared" ca="1" si="2"/>
        <v>19.574468085106382</v>
      </c>
      <c r="H57" s="79">
        <f t="shared" ca="1" si="56"/>
        <v>1840</v>
      </c>
      <c r="I57" s="76">
        <f ca="1">IFERROR(__xludf.DUMMYFUNCTION("IMPORTRANGE(""https://docs.google.com/spreadsheets/d/1xAsT4sUbBlom7l0acStESh_15nvjZcXjZM7fK5uZSq8/edit?usp=sharing"",""ชัยนาท!N661"")"),0)</f>
        <v>0</v>
      </c>
      <c r="J57" s="76">
        <f ca="1">IFERROR(__xludf.DUMMYFUNCTION("IMPORTRANGE(""https://docs.google.com/spreadsheets/d/1xAsT4sUbBlom7l0acStESh_15nvjZcXjZM7fK5uZSq8/edit?usp=sharing"",""ชัยนาท!N662"")"),0)</f>
        <v>0</v>
      </c>
      <c r="K57" s="76">
        <f ca="1">IFERROR(__xludf.DUMMYFUNCTION("IMPORTRANGE(""https://docs.google.com/spreadsheets/d/1xAsT4sUbBlom7l0acStESh_15nvjZcXjZM7fK5uZSq8/edit?usp=sharing"",""ชัยนาท!N663"")"),0)</f>
        <v>0</v>
      </c>
      <c r="L57" s="76">
        <f ca="1">IFERROR(__xludf.DUMMYFUNCTION("IMPORTRANGE(""https://docs.google.com/spreadsheets/d/1xAsT4sUbBlom7l0acStESh_15nvjZcXjZM7fK5uZSq8/edit?usp=sharing"",""ชัยนาท!N664"")"),1840)</f>
        <v>1840</v>
      </c>
      <c r="M57" s="80">
        <f ca="1">IFERROR(__xludf.DUMMYFUNCTION("IMPORTRANGE(""https://docs.google.com/spreadsheets/d/1xAsT4sUbBlom7l0acStESh_15nvjZcXjZM7fK5uZSq8/edit?usp=sharing"",""ชัยนาท!N667"")"),0)</f>
        <v>0</v>
      </c>
      <c r="N57" s="80">
        <f t="shared" ca="1" si="31"/>
        <v>0</v>
      </c>
      <c r="O57" s="81">
        <f ca="1">IFERROR(__xludf.DUMMYFUNCTION("IMPORTRANGE(""https://docs.google.com/spreadsheets/d/1xAsT4sUbBlom7l0acStESh_15nvjZcXjZM7fK5uZSq8/edit?usp=sharing"",""ชัยนาท!I669"")"),50)</f>
        <v>50</v>
      </c>
      <c r="P57" s="81">
        <f ca="1">IFERROR(__xludf.DUMMYFUNCTION("IMPORTRANGE(""https://docs.google.com/spreadsheets/d/1xAsT4sUbBlom7l0acStESh_15nvjZcXjZM7fK5uZSq8/edit?usp=sharing"",""ชัยนาท!J669"")"),0)</f>
        <v>0</v>
      </c>
      <c r="Q57" s="82">
        <f t="shared" ca="1" si="25"/>
        <v>0</v>
      </c>
      <c r="R57" s="81">
        <f ca="1">IFERROR(__xludf.DUMMYFUNCTION("IMPORTRANGE(""https://docs.google.com/spreadsheets/d/1xAsT4sUbBlom7l0acStESh_15nvjZcXjZM7fK5uZSq8/edit?usp=sharing"",""ชัยนาท!I670"")"),4)</f>
        <v>4</v>
      </c>
      <c r="S57" s="81">
        <f ca="1">IFERROR(__xludf.DUMMYFUNCTION("IMPORTRANGE(""https://docs.google.com/spreadsheets/d/1xAsT4sUbBlom7l0acStESh_15nvjZcXjZM7fK5uZSq8/edit?usp=sharing"",""ชัยนาท!J670"")"),8)</f>
        <v>8</v>
      </c>
      <c r="T57" s="82">
        <f t="shared" ca="1" si="26"/>
        <v>200</v>
      </c>
      <c r="U57" s="81">
        <f ca="1">IFERROR(__xludf.DUMMYFUNCTION("IMPORTRANGE(""https://docs.google.com/spreadsheets/d/1xAsT4sUbBlom7l0acStESh_15nvjZcXjZM7fK5uZSq8/edit?usp=sharing"",""ชัยนาท!I671"")"),4)</f>
        <v>4</v>
      </c>
      <c r="V57" s="81">
        <f ca="1">IFERROR(__xludf.DUMMYFUNCTION("IMPORTRANGE(""https://docs.google.com/spreadsheets/d/1xAsT4sUbBlom7l0acStESh_15nvjZcXjZM7fK5uZSq8/edit?usp=sharing"",""ชัยนาท!J671"")"),8)</f>
        <v>8</v>
      </c>
      <c r="W57" s="82">
        <f t="shared" ca="1" si="27"/>
        <v>200</v>
      </c>
      <c r="X57" s="81">
        <f ca="1">IFERROR(__xludf.DUMMYFUNCTION("IMPORTRANGE(""https://docs.google.com/spreadsheets/d/1xAsT4sUbBlom7l0acStESh_15nvjZcXjZM7fK5uZSq8/edit?usp=sharing"",""ชัยนาท!J672"")"),209)</f>
        <v>209</v>
      </c>
      <c r="Y57" s="276">
        <f t="shared" ca="1" si="11"/>
        <v>418</v>
      </c>
      <c r="Z57" s="81">
        <f ca="1">IFERROR(__xludf.DUMMYFUNCTION("IMPORTRANGE(""https://docs.google.com/spreadsheets/d/1xAsT4sUbBlom7l0acStESh_15nvjZcXjZM7fK5uZSq8/edit?usp=sharing"",""ชัยนาท!J673"")"),209)</f>
        <v>209</v>
      </c>
      <c r="AA57" s="276">
        <f t="shared" ca="1" si="12"/>
        <v>418</v>
      </c>
      <c r="AB57" s="276">
        <f ca="1">IFERROR(__xludf.DUMMYFUNCTION("IMPORTRANGE(""https://docs.google.com/spreadsheets/d/1xAsT4sUbBlom7l0acStESh_15nvjZcXjZM7fK5uZSq8/edit?usp=sharing"",""ชัยนาท!J674"")"),0)</f>
        <v>0</v>
      </c>
      <c r="AC57" s="82">
        <f t="shared" ca="1" si="13"/>
        <v>0</v>
      </c>
      <c r="AD57" s="276">
        <f ca="1">IFERROR(__xludf.DUMMYFUNCTION("IMPORTRANGE(""https://docs.google.com/spreadsheets/d/1xAsT4sUbBlom7l0acStESh_15nvjZcXjZM7fK5uZSq8/edit?usp=sharing"",""ชัยนาท!J675"")"),0)</f>
        <v>0</v>
      </c>
      <c r="AE57" s="82">
        <f t="shared" ca="1" si="22"/>
        <v>0</v>
      </c>
      <c r="AF57" s="276">
        <f ca="1">IFERROR(__xludf.DUMMYFUNCTION("IMPORTRANGE(""https://docs.google.com/spreadsheets/d/1xAsT4sUbBlom7l0acStESh_15nvjZcXjZM7fK5uZSq8/edit?usp=sharing"",""ชัยนาท!J676"")"),0)</f>
        <v>0</v>
      </c>
      <c r="AG57" s="276">
        <f ca="1">IFERROR(__xludf.DUMMYFUNCTION("IMPORTRANGE(""https://docs.google.com/spreadsheets/d/1xAsT4sUbBlom7l0acStESh_15nvjZcXjZM7fK5uZSq8/edit?usp=sharing"",""ชัยนาท!J677"")"),0)</f>
        <v>0</v>
      </c>
      <c r="AH57" s="81">
        <f ca="1">IFERROR(__xludf.DUMMYFUNCTION("IMPORTRANGE(""https://docs.google.com/spreadsheets/d/1xAsT4sUbBlom7l0acStESh_15nvjZcXjZM7fK5uZSq8/edit?usp=sharing"",""ชัยนาท!I678"")"),0)</f>
        <v>0</v>
      </c>
      <c r="AI57" s="81">
        <f ca="1">IFERROR(__xludf.DUMMYFUNCTION("IMPORTRANGE(""https://docs.google.com/spreadsheets/d/1xAsT4sUbBlom7l0acStESh_15nvjZcXjZM7fK5uZSq8/edit?usp=sharing"",""ชัยนาท!J678"")"),0)</f>
        <v>0</v>
      </c>
      <c r="AJ57" s="82">
        <f t="shared" ca="1" si="28"/>
        <v>0</v>
      </c>
      <c r="AK57" s="81">
        <f ca="1">IFERROR(__xludf.DUMMYFUNCTION("IMPORTRANGE(""https://docs.google.com/spreadsheets/d/1xAsT4sUbBlom7l0acStESh_15nvjZcXjZM7fK5uZSq8/edit?usp=sharing"",""ชัยนาท!J679"")"),0)</f>
        <v>0</v>
      </c>
      <c r="AL57" s="81">
        <f ca="1">IFERROR(__xludf.DUMMYFUNCTION("IMPORTRANGE(""https://docs.google.com/spreadsheets/d/1xAsT4sUbBlom7l0acStESh_15nvjZcXjZM7fK5uZSq8/edit?usp=sharing"",""ชัยนาท!J680"")"),0)</f>
        <v>0</v>
      </c>
      <c r="AM57" s="81">
        <f ca="1">IFERROR(__xludf.DUMMYFUNCTION("IMPORTRANGE(""https://docs.google.com/spreadsheets/d/1xAsT4sUbBlom7l0acStESh_15nvjZcXjZM7fK5uZSq8/edit?usp=sharing"",""ชัยนาท!J681"")"),0)</f>
        <v>0</v>
      </c>
      <c r="AN57" s="81">
        <f ca="1">IFERROR(__xludf.DUMMYFUNCTION("IMPORTRANGE(""https://docs.google.com/spreadsheets/d/1xAsT4sUbBlom7l0acStESh_15nvjZcXjZM7fK5uZSq8/edit?usp=sharing"",""ชัยนาท!J682"")"),0)</f>
        <v>0</v>
      </c>
      <c r="AO57" s="81">
        <f ca="1">IFERROR(__xludf.DUMMYFUNCTION("IMPORTRANGE(""https://docs.google.com/spreadsheets/d/1xAsT4sUbBlom7l0acStESh_15nvjZcXjZM7fK5uZSq8/edit?usp=sharing"",""ชัยนาท!J683"")"),0)</f>
        <v>0</v>
      </c>
    </row>
    <row r="58" spans="1:41" ht="21" customHeight="1" x14ac:dyDescent="0.2">
      <c r="A58" s="72">
        <v>6</v>
      </c>
      <c r="B58" s="73" t="s">
        <v>75</v>
      </c>
      <c r="C58" s="74">
        <f t="shared" ca="1" si="55"/>
        <v>0</v>
      </c>
      <c r="D58" s="75">
        <f ca="1">IFERROR(__xludf.DUMMYFUNCTION("IMPORTRANGE(""https://docs.google.com/spreadsheets/d/1vWPVBOAaZ6mHSI8yf95DNqHwTJ1cpeFsvqt6cxV34QA/edit?usp=sharing"",""ตราด!L660"")"),0)</f>
        <v>0</v>
      </c>
      <c r="E58" s="76">
        <f ca="1">IFERROR(__xludf.DUMMYFUNCTION("IMPORTRANGE(""https://docs.google.com/spreadsheets/d/1vWPVBOAaZ6mHSI8yf95DNqHwTJ1cpeFsvqt6cxV34QA/edit?usp=sharing"",""ตราด!L667"")"),0)</f>
        <v>0</v>
      </c>
      <c r="F58" s="77">
        <f t="shared" ca="1" si="1"/>
        <v>0</v>
      </c>
      <c r="G58" s="78">
        <f t="shared" ca="1" si="2"/>
        <v>0</v>
      </c>
      <c r="H58" s="79">
        <f t="shared" ca="1" si="56"/>
        <v>0</v>
      </c>
      <c r="I58" s="76">
        <f ca="1">IFERROR(__xludf.DUMMYFUNCTION("IMPORTRANGE(""https://docs.google.com/spreadsheets/d/1vWPVBOAaZ6mHSI8yf95DNqHwTJ1cpeFsvqt6cxV34QA/edit?usp=sharing"",""ตราด!N661"")"),0)</f>
        <v>0</v>
      </c>
      <c r="J58" s="76">
        <f ca="1">IFERROR(__xludf.DUMMYFUNCTION("IMPORTRANGE(""https://docs.google.com/spreadsheets/d/1vWPVBOAaZ6mHSI8yf95DNqHwTJ1cpeFsvqt6cxV34QA/edit?usp=sharing"",""ตราด!N662"")"),0)</f>
        <v>0</v>
      </c>
      <c r="K58" s="76">
        <f ca="1">IFERROR(__xludf.DUMMYFUNCTION("IMPORTRANGE(""https://docs.google.com/spreadsheets/d/1vWPVBOAaZ6mHSI8yf95DNqHwTJ1cpeFsvqt6cxV34QA/edit?usp=sharing"",""ตราด!N663"")"),0)</f>
        <v>0</v>
      </c>
      <c r="L58" s="76">
        <f ca="1">IFERROR(__xludf.DUMMYFUNCTION("IMPORTRANGE(""https://docs.google.com/spreadsheets/d/1vWPVBOAaZ6mHSI8yf95DNqHwTJ1cpeFsvqt6cxV34QA/edit?usp=sharing"",""ตราด!N664"")"),0)</f>
        <v>0</v>
      </c>
      <c r="M58" s="80">
        <f ca="1">IFERROR(__xludf.DUMMYFUNCTION("IMPORTRANGE(""https://docs.google.com/spreadsheets/d/1vWPVBOAaZ6mHSI8yf95DNqHwTJ1cpeFsvqt6cxV34QA/edit?usp=sharing"",""ตราด!N667"")"),0)</f>
        <v>0</v>
      </c>
      <c r="N58" s="80">
        <f t="shared" ca="1" si="31"/>
        <v>0</v>
      </c>
      <c r="O58" s="81">
        <f ca="1">IFERROR(__xludf.DUMMYFUNCTION("IMPORTRANGE(""https://docs.google.com/spreadsheets/d/1vWPVBOAaZ6mHSI8yf95DNqHwTJ1cpeFsvqt6cxV34QA/edit?usp=sharing"",""ตราด!I669"")"),0)</f>
        <v>0</v>
      </c>
      <c r="P58" s="81">
        <f ca="1">IFERROR(__xludf.DUMMYFUNCTION("IMPORTRANGE(""https://docs.google.com/spreadsheets/d/1vWPVBOAaZ6mHSI8yf95DNqHwTJ1cpeFsvqt6cxV34QA/edit?usp=sharing"",""ตราด!J669"")"),0)</f>
        <v>0</v>
      </c>
      <c r="Q58" s="82">
        <f t="shared" ca="1" si="25"/>
        <v>0</v>
      </c>
      <c r="R58" s="81">
        <f ca="1">IFERROR(__xludf.DUMMYFUNCTION("IMPORTRANGE(""https://docs.google.com/spreadsheets/d/1vWPVBOAaZ6mHSI8yf95DNqHwTJ1cpeFsvqt6cxV34QA/edit?usp=sharing"",""ตราด!I670"")"),0)</f>
        <v>0</v>
      </c>
      <c r="S58" s="81">
        <f ca="1">IFERROR(__xludf.DUMMYFUNCTION("IMPORTRANGE(""https://docs.google.com/spreadsheets/d/1vWPVBOAaZ6mHSI8yf95DNqHwTJ1cpeFsvqt6cxV34QA/edit?usp=sharing"",""ตราด!J670"")"),0)</f>
        <v>0</v>
      </c>
      <c r="T58" s="82">
        <f t="shared" ca="1" si="26"/>
        <v>0</v>
      </c>
      <c r="U58" s="81">
        <f ca="1">IFERROR(__xludf.DUMMYFUNCTION("IMPORTRANGE(""https://docs.google.com/spreadsheets/d/1vWPVBOAaZ6mHSI8yf95DNqHwTJ1cpeFsvqt6cxV34QA/edit?usp=sharing"",""ตราด!I671"")"),0)</f>
        <v>0</v>
      </c>
      <c r="V58" s="81">
        <f ca="1">IFERROR(__xludf.DUMMYFUNCTION("IMPORTRANGE(""https://docs.google.com/spreadsheets/d/1vWPVBOAaZ6mHSI8yf95DNqHwTJ1cpeFsvqt6cxV34QA/edit?usp=sharing"",""ตราด!J671"")"),0)</f>
        <v>0</v>
      </c>
      <c r="W58" s="82">
        <f t="shared" ca="1" si="27"/>
        <v>0</v>
      </c>
      <c r="X58" s="81">
        <f ca="1">IFERROR(__xludf.DUMMYFUNCTION("IMPORTRANGE(""https://docs.google.com/spreadsheets/d/1vWPVBOAaZ6mHSI8yf95DNqHwTJ1cpeFsvqt6cxV34QA/edit?usp=sharing"",""ตราด!J672"")"),0)</f>
        <v>0</v>
      </c>
      <c r="Y58" s="276">
        <f t="shared" ca="1" si="11"/>
        <v>0</v>
      </c>
      <c r="Z58" s="81">
        <f ca="1">IFERROR(__xludf.DUMMYFUNCTION("IMPORTRANGE(""https://docs.google.com/spreadsheets/d/1vWPVBOAaZ6mHSI8yf95DNqHwTJ1cpeFsvqt6cxV34QA/edit?usp=sharing"",""ตราด!J673"")"),0)</f>
        <v>0</v>
      </c>
      <c r="AA58" s="276">
        <f t="shared" ca="1" si="12"/>
        <v>0</v>
      </c>
      <c r="AB58" s="276">
        <f ca="1">IFERROR(__xludf.DUMMYFUNCTION("IMPORTRANGE(""https://docs.google.com/spreadsheets/d/1vWPVBOAaZ6mHSI8yf95DNqHwTJ1cpeFsvqt6cxV34QA/edit?usp=sharing"",""ตราด!J674"")"),0)</f>
        <v>0</v>
      </c>
      <c r="AC58" s="82">
        <f t="shared" ca="1" si="13"/>
        <v>0</v>
      </c>
      <c r="AD58" s="276">
        <f ca="1">IFERROR(__xludf.DUMMYFUNCTION("IMPORTRANGE(""https://docs.google.com/spreadsheets/d/1vWPVBOAaZ6mHSI8yf95DNqHwTJ1cpeFsvqt6cxV34QA/edit?usp=sharing"",""ตราด!J675"")"),0)</f>
        <v>0</v>
      </c>
      <c r="AE58" s="82">
        <f t="shared" ca="1" si="22"/>
        <v>0</v>
      </c>
      <c r="AF58" s="276">
        <f ca="1">IFERROR(__xludf.DUMMYFUNCTION("IMPORTRANGE(""https://docs.google.com/spreadsheets/d/1vWPVBOAaZ6mHSI8yf95DNqHwTJ1cpeFsvqt6cxV34QA/edit?usp=sharing"",""ตราด!J676"")"),0)</f>
        <v>0</v>
      </c>
      <c r="AG58" s="276">
        <f ca="1">IFERROR(__xludf.DUMMYFUNCTION("IMPORTRANGE(""https://docs.google.com/spreadsheets/d/1vWPVBOAaZ6mHSI8yf95DNqHwTJ1cpeFsvqt6cxV34QA/edit?usp=sharing"",""ตราด!J677"")"),0)</f>
        <v>0</v>
      </c>
      <c r="AH58" s="81">
        <f ca="1">IFERROR(__xludf.DUMMYFUNCTION("IMPORTRANGE(""https://docs.google.com/spreadsheets/d/1vWPVBOAaZ6mHSI8yf95DNqHwTJ1cpeFsvqt6cxV34QA/edit?usp=sharing"",""ตราด!I678"")"),0)</f>
        <v>0</v>
      </c>
      <c r="AI58" s="81">
        <f ca="1">IFERROR(__xludf.DUMMYFUNCTION("IMPORTRANGE(""https://docs.google.com/spreadsheets/d/1vWPVBOAaZ6mHSI8yf95DNqHwTJ1cpeFsvqt6cxV34QA/edit?usp=sharing"",""ตราด!J678"")"),0)</f>
        <v>0</v>
      </c>
      <c r="AJ58" s="82">
        <f t="shared" ca="1" si="28"/>
        <v>0</v>
      </c>
      <c r="AK58" s="81">
        <f ca="1">IFERROR(__xludf.DUMMYFUNCTION("IMPORTRANGE(""https://docs.google.com/spreadsheets/d/1vWPVBOAaZ6mHSI8yf95DNqHwTJ1cpeFsvqt6cxV34QA/edit?usp=sharing"",""ตราด!J679"")"),0)</f>
        <v>0</v>
      </c>
      <c r="AL58" s="81">
        <f ca="1">IFERROR(__xludf.DUMMYFUNCTION("IMPORTRANGE(""https://docs.google.com/spreadsheets/d/1vWPVBOAaZ6mHSI8yf95DNqHwTJ1cpeFsvqt6cxV34QA/edit?usp=sharing"",""ตราด!J680"")"),0)</f>
        <v>0</v>
      </c>
      <c r="AM58" s="81">
        <f ca="1">IFERROR(__xludf.DUMMYFUNCTION("IMPORTRANGE(""https://docs.google.com/spreadsheets/d/1vWPVBOAaZ6mHSI8yf95DNqHwTJ1cpeFsvqt6cxV34QA/edit?usp=sharing"",""ตราด!J681"")"),0)</f>
        <v>0</v>
      </c>
      <c r="AN58" s="81">
        <f ca="1">IFERROR(__xludf.DUMMYFUNCTION("IMPORTRANGE(""https://docs.google.com/spreadsheets/d/1vWPVBOAaZ6mHSI8yf95DNqHwTJ1cpeFsvqt6cxV34QA/edit?usp=sharing"",""ตราด!J682"")"),0)</f>
        <v>0</v>
      </c>
      <c r="AO58" s="81">
        <f ca="1">IFERROR(__xludf.DUMMYFUNCTION("IMPORTRANGE(""https://docs.google.com/spreadsheets/d/1vWPVBOAaZ6mHSI8yf95DNqHwTJ1cpeFsvqt6cxV34QA/edit?usp=sharing"",""ตราด!J683"")"),0)</f>
        <v>0</v>
      </c>
    </row>
    <row r="59" spans="1:41" ht="21" customHeight="1" x14ac:dyDescent="0.2">
      <c r="A59" s="72">
        <v>7</v>
      </c>
      <c r="B59" s="73" t="s">
        <v>76</v>
      </c>
      <c r="C59" s="74">
        <f t="shared" ca="1" si="55"/>
        <v>7800</v>
      </c>
      <c r="D59" s="75">
        <f ca="1">IFERROR(__xludf.DUMMYFUNCTION("IMPORTRANGE(""https://docs.google.com/spreadsheets/d/1phaeSb9lTGgzDpbvVqI9hfmOQQzUom07-HEvpbARzEg/edit?usp=sharing"",""นครนายก!L660"")"),7800)</f>
        <v>7800</v>
      </c>
      <c r="E59" s="76">
        <f ca="1">IFERROR(__xludf.DUMMYFUNCTION("IMPORTRANGE(""https://docs.google.com/spreadsheets/d/1phaeSb9lTGgzDpbvVqI9hfmOQQzUom07-HEvpbARzEg/edit?usp=sharing"",""นครนายก!L667"")"),0)</f>
        <v>0</v>
      </c>
      <c r="F59" s="77">
        <f t="shared" ca="1" si="1"/>
        <v>0</v>
      </c>
      <c r="G59" s="78">
        <f t="shared" ca="1" si="2"/>
        <v>0</v>
      </c>
      <c r="H59" s="79">
        <f t="shared" ca="1" si="56"/>
        <v>0</v>
      </c>
      <c r="I59" s="76">
        <f ca="1">IFERROR(__xludf.DUMMYFUNCTION("IMPORTRANGE(""https://docs.google.com/spreadsheets/d/1phaeSb9lTGgzDpbvVqI9hfmOQQzUom07-HEvpbARzEg/edit?usp=sharing"",""นครนายก!N661"")"),0)</f>
        <v>0</v>
      </c>
      <c r="J59" s="76">
        <f ca="1">IFERROR(__xludf.DUMMYFUNCTION("IMPORTRANGE(""https://docs.google.com/spreadsheets/d/1phaeSb9lTGgzDpbvVqI9hfmOQQzUom07-HEvpbARzEg/edit?usp=sharing"",""นครนายก!N662"")"),0)</f>
        <v>0</v>
      </c>
      <c r="K59" s="76">
        <f ca="1">IFERROR(__xludf.DUMMYFUNCTION("IMPORTRANGE(""https://docs.google.com/spreadsheets/d/1phaeSb9lTGgzDpbvVqI9hfmOQQzUom07-HEvpbARzEg/edit?usp=sharing"",""นครนายก!N663"")"),0)</f>
        <v>0</v>
      </c>
      <c r="L59" s="76">
        <f ca="1">IFERROR(__xludf.DUMMYFUNCTION("IMPORTRANGE(""https://docs.google.com/spreadsheets/d/1phaeSb9lTGgzDpbvVqI9hfmOQQzUom07-HEvpbARzEg/edit?usp=sharing"",""นครนายก!N664"")"),0)</f>
        <v>0</v>
      </c>
      <c r="M59" s="80">
        <f ca="1">IFERROR(__xludf.DUMMYFUNCTION("IMPORTRANGE(""https://docs.google.com/spreadsheets/d/1phaeSb9lTGgzDpbvVqI9hfmOQQzUom07-HEvpbARzEg/edit?usp=sharing"",""นครนายก!N667"")"),0)</f>
        <v>0</v>
      </c>
      <c r="N59" s="80">
        <f t="shared" ca="1" si="31"/>
        <v>0</v>
      </c>
      <c r="O59" s="81">
        <f ca="1">IFERROR(__xludf.DUMMYFUNCTION("IMPORTRANGE(""https://docs.google.com/spreadsheets/d/1phaeSb9lTGgzDpbvVqI9hfmOQQzUom07-HEvpbARzEg/edit?usp=sharing"",""นครนายก!I669"")"),50)</f>
        <v>50</v>
      </c>
      <c r="P59" s="81">
        <f ca="1">IFERROR(__xludf.DUMMYFUNCTION("IMPORTRANGE(""https://docs.google.com/spreadsheets/d/1phaeSb9lTGgzDpbvVqI9hfmOQQzUom07-HEvpbARzEg/edit?usp=sharing"",""นครนายก!J669"")"),0)</f>
        <v>0</v>
      </c>
      <c r="Q59" s="82">
        <f t="shared" ca="1" si="25"/>
        <v>0</v>
      </c>
      <c r="R59" s="81">
        <f ca="1">IFERROR(__xludf.DUMMYFUNCTION("IMPORTRANGE(""https://docs.google.com/spreadsheets/d/1phaeSb9lTGgzDpbvVqI9hfmOQQzUom07-HEvpbARzEg/edit?usp=sharing"",""นครนายก!I670"")"),3)</f>
        <v>3</v>
      </c>
      <c r="S59" s="81">
        <f ca="1">IFERROR(__xludf.DUMMYFUNCTION("IMPORTRANGE(""https://docs.google.com/spreadsheets/d/1phaeSb9lTGgzDpbvVqI9hfmOQQzUom07-HEvpbARzEg/edit?usp=sharing"",""นครนายก!J670"")"),0)</f>
        <v>0</v>
      </c>
      <c r="T59" s="82">
        <f t="shared" ca="1" si="26"/>
        <v>0</v>
      </c>
      <c r="U59" s="81">
        <f ca="1">IFERROR(__xludf.DUMMYFUNCTION("IMPORTRANGE(""https://docs.google.com/spreadsheets/d/1phaeSb9lTGgzDpbvVqI9hfmOQQzUom07-HEvpbARzEg/edit?usp=sharing"",""นครนายก!I671"")"),3)</f>
        <v>3</v>
      </c>
      <c r="V59" s="81">
        <f ca="1">IFERROR(__xludf.DUMMYFUNCTION("IMPORTRANGE(""https://docs.google.com/spreadsheets/d/1phaeSb9lTGgzDpbvVqI9hfmOQQzUom07-HEvpbARzEg/edit?usp=sharing"",""นครนายก!J671"")"),0)</f>
        <v>0</v>
      </c>
      <c r="W59" s="82">
        <f t="shared" ca="1" si="27"/>
        <v>0</v>
      </c>
      <c r="X59" s="81">
        <f ca="1">IFERROR(__xludf.DUMMYFUNCTION("IMPORTRANGE(""https://docs.google.com/spreadsheets/d/1phaeSb9lTGgzDpbvVqI9hfmOQQzUom07-HEvpbARzEg/edit?usp=sharing"",""นครนายก!J672"")"),0)</f>
        <v>0</v>
      </c>
      <c r="Y59" s="276">
        <f t="shared" ca="1" si="11"/>
        <v>0</v>
      </c>
      <c r="Z59" s="81">
        <f ca="1">IFERROR(__xludf.DUMMYFUNCTION("IMPORTRANGE(""https://docs.google.com/spreadsheets/d/1phaeSb9lTGgzDpbvVqI9hfmOQQzUom07-HEvpbARzEg/edit?usp=sharing"",""นครนายก!J673"")"),0)</f>
        <v>0</v>
      </c>
      <c r="AA59" s="276">
        <f t="shared" ca="1" si="12"/>
        <v>0</v>
      </c>
      <c r="AB59" s="276">
        <f ca="1">IFERROR(__xludf.DUMMYFUNCTION("IMPORTRANGE(""https://docs.google.com/spreadsheets/d/1phaeSb9lTGgzDpbvVqI9hfmOQQzUom07-HEvpbARzEg/edit?usp=sharing"",""นครนายก!J674"")"),0)</f>
        <v>0</v>
      </c>
      <c r="AC59" s="82">
        <f t="shared" ca="1" si="13"/>
        <v>0</v>
      </c>
      <c r="AD59" s="276">
        <f ca="1">IFERROR(__xludf.DUMMYFUNCTION("IMPORTRANGE(""https://docs.google.com/spreadsheets/d/1phaeSb9lTGgzDpbvVqI9hfmOQQzUom07-HEvpbARzEg/edit?usp=sharing"",""นครนายก!J675"")"),0)</f>
        <v>0</v>
      </c>
      <c r="AE59" s="82">
        <f t="shared" ca="1" si="22"/>
        <v>0</v>
      </c>
      <c r="AF59" s="276">
        <f ca="1">IFERROR(__xludf.DUMMYFUNCTION("IMPORTRANGE(""https://docs.google.com/spreadsheets/d/1phaeSb9lTGgzDpbvVqI9hfmOQQzUom07-HEvpbARzEg/edit?usp=sharing"",""นครนายก!J676"")"),0)</f>
        <v>0</v>
      </c>
      <c r="AG59" s="276">
        <f ca="1">IFERROR(__xludf.DUMMYFUNCTION("IMPORTRANGE(""https://docs.google.com/spreadsheets/d/1phaeSb9lTGgzDpbvVqI9hfmOQQzUom07-HEvpbARzEg/edit?usp=sharing"",""นครนายก!J677"")"),0)</f>
        <v>0</v>
      </c>
      <c r="AH59" s="81">
        <f ca="1">IFERROR(__xludf.DUMMYFUNCTION("IMPORTRANGE(""https://docs.google.com/spreadsheets/d/1phaeSb9lTGgzDpbvVqI9hfmOQQzUom07-HEvpbARzEg/edit?usp=sharing"",""นครนายก!I678"")"),0)</f>
        <v>0</v>
      </c>
      <c r="AI59" s="81">
        <f ca="1">IFERROR(__xludf.DUMMYFUNCTION("IMPORTRANGE(""https://docs.google.com/spreadsheets/d/1phaeSb9lTGgzDpbvVqI9hfmOQQzUom07-HEvpbARzEg/edit?usp=sharing"",""นครนายก!J678"")"),0)</f>
        <v>0</v>
      </c>
      <c r="AJ59" s="82">
        <f t="shared" ca="1" si="28"/>
        <v>0</v>
      </c>
      <c r="AK59" s="81">
        <f ca="1">IFERROR(__xludf.DUMMYFUNCTION("IMPORTRANGE(""https://docs.google.com/spreadsheets/d/1phaeSb9lTGgzDpbvVqI9hfmOQQzUom07-HEvpbARzEg/edit?usp=sharing"",""นครนายก!J679"")"),0)</f>
        <v>0</v>
      </c>
      <c r="AL59" s="81">
        <f ca="1">IFERROR(__xludf.DUMMYFUNCTION("IMPORTRANGE(""https://docs.google.com/spreadsheets/d/1phaeSb9lTGgzDpbvVqI9hfmOQQzUom07-HEvpbARzEg/edit?usp=sharing"",""นครนายก!J680"")"),0)</f>
        <v>0</v>
      </c>
      <c r="AM59" s="81">
        <f ca="1">IFERROR(__xludf.DUMMYFUNCTION("IMPORTRANGE(""https://docs.google.com/spreadsheets/d/1phaeSb9lTGgzDpbvVqI9hfmOQQzUom07-HEvpbARzEg/edit?usp=sharing"",""นครนายก!J681"")"),0)</f>
        <v>0</v>
      </c>
      <c r="AN59" s="81">
        <f ca="1">IFERROR(__xludf.DUMMYFUNCTION("IMPORTRANGE(""https://docs.google.com/spreadsheets/d/1phaeSb9lTGgzDpbvVqI9hfmOQQzUom07-HEvpbARzEg/edit?usp=sharing"",""นครนายก!J682"")"),0)</f>
        <v>0</v>
      </c>
      <c r="AO59" s="81">
        <f ca="1">IFERROR(__xludf.DUMMYFUNCTION("IMPORTRANGE(""https://docs.google.com/spreadsheets/d/1phaeSb9lTGgzDpbvVqI9hfmOQQzUom07-HEvpbARzEg/edit?usp=sharing"",""นครนายก!J683"")"),0)</f>
        <v>0</v>
      </c>
    </row>
    <row r="60" spans="1:41" ht="21" customHeight="1" x14ac:dyDescent="0.2">
      <c r="A60" s="72">
        <v>8</v>
      </c>
      <c r="B60" s="73" t="s">
        <v>77</v>
      </c>
      <c r="C60" s="74">
        <f t="shared" ca="1" si="55"/>
        <v>0</v>
      </c>
      <c r="D60" s="75">
        <f ca="1">IFERROR(__xludf.DUMMYFUNCTION("IMPORTRANGE(""https://docs.google.com/spreadsheets/d/1tpwhWwkqkBeiSWCcfB5f2fbwPRbM9hHOEDSDHpl2MIc/edit?usp=sharing"",""นครปฐม!L660"")"),0)</f>
        <v>0</v>
      </c>
      <c r="E60" s="76">
        <f ca="1">IFERROR(__xludf.DUMMYFUNCTION("IMPORTRANGE(""https://docs.google.com/spreadsheets/d/1tpwhWwkqkBeiSWCcfB5f2fbwPRbM9hHOEDSDHpl2MIc/edit?usp=sharing"",""นครปฐม!L667"")"),0)</f>
        <v>0</v>
      </c>
      <c r="F60" s="77">
        <f t="shared" ca="1" si="1"/>
        <v>0</v>
      </c>
      <c r="G60" s="78">
        <f t="shared" ca="1" si="2"/>
        <v>0</v>
      </c>
      <c r="H60" s="79">
        <f t="shared" ca="1" si="56"/>
        <v>0</v>
      </c>
      <c r="I60" s="76">
        <f ca="1">IFERROR(__xludf.DUMMYFUNCTION("IMPORTRANGE(""https://docs.google.com/spreadsheets/d/1tpwhWwkqkBeiSWCcfB5f2fbwPRbM9hHOEDSDHpl2MIc/edit?usp=sharing"",""นครปฐม!N661"")"),0)</f>
        <v>0</v>
      </c>
      <c r="J60" s="76">
        <f ca="1">IFERROR(__xludf.DUMMYFUNCTION("IMPORTRANGE(""https://docs.google.com/spreadsheets/d/1tpwhWwkqkBeiSWCcfB5f2fbwPRbM9hHOEDSDHpl2MIc/edit?usp=sharing"",""นครปฐม!N662"")"),0)</f>
        <v>0</v>
      </c>
      <c r="K60" s="76">
        <f ca="1">IFERROR(__xludf.DUMMYFUNCTION("IMPORTRANGE(""https://docs.google.com/spreadsheets/d/1tpwhWwkqkBeiSWCcfB5f2fbwPRbM9hHOEDSDHpl2MIc/edit?usp=sharing"",""นครปฐม!N663"")"),0)</f>
        <v>0</v>
      </c>
      <c r="L60" s="76">
        <f ca="1">IFERROR(__xludf.DUMMYFUNCTION("IMPORTRANGE(""https://docs.google.com/spreadsheets/d/1tpwhWwkqkBeiSWCcfB5f2fbwPRbM9hHOEDSDHpl2MIc/edit?usp=sharing"",""นครปฐม!N664"")"),0)</f>
        <v>0</v>
      </c>
      <c r="M60" s="80">
        <f ca="1">IFERROR(__xludf.DUMMYFUNCTION("IMPORTRANGE(""https://docs.google.com/spreadsheets/d/1tpwhWwkqkBeiSWCcfB5f2fbwPRbM9hHOEDSDHpl2MIc/edit?usp=sharing"",""นครปฐม!N667"")"),0)</f>
        <v>0</v>
      </c>
      <c r="N60" s="80">
        <f t="shared" ca="1" si="31"/>
        <v>0</v>
      </c>
      <c r="O60" s="81">
        <f ca="1">IFERROR(__xludf.DUMMYFUNCTION("IMPORTRANGE(""https://docs.google.com/spreadsheets/d/1tpwhWwkqkBeiSWCcfB5f2fbwPRbM9hHOEDSDHpl2MIc/edit?usp=sharing"",""นครปฐม!I669"")"),0)</f>
        <v>0</v>
      </c>
      <c r="P60" s="81">
        <f ca="1">IFERROR(__xludf.DUMMYFUNCTION("IMPORTRANGE(""https://docs.google.com/spreadsheets/d/1tpwhWwkqkBeiSWCcfB5f2fbwPRbM9hHOEDSDHpl2MIc/edit?usp=sharing"",""นครปฐม!J669"")"),0)</f>
        <v>0</v>
      </c>
      <c r="Q60" s="82">
        <f t="shared" ca="1" si="25"/>
        <v>0</v>
      </c>
      <c r="R60" s="81">
        <f ca="1">IFERROR(__xludf.DUMMYFUNCTION("IMPORTRANGE(""https://docs.google.com/spreadsheets/d/1tpwhWwkqkBeiSWCcfB5f2fbwPRbM9hHOEDSDHpl2MIc/edit?usp=sharing"",""นครปฐม!I670"")"),0)</f>
        <v>0</v>
      </c>
      <c r="S60" s="81">
        <f ca="1">IFERROR(__xludf.DUMMYFUNCTION("IMPORTRANGE(""https://docs.google.com/spreadsheets/d/1tpwhWwkqkBeiSWCcfB5f2fbwPRbM9hHOEDSDHpl2MIc/edit?usp=sharing"",""นครปฐม!J670"")"),0)</f>
        <v>0</v>
      </c>
      <c r="T60" s="82">
        <f t="shared" ca="1" si="26"/>
        <v>0</v>
      </c>
      <c r="U60" s="81">
        <f ca="1">IFERROR(__xludf.DUMMYFUNCTION("IMPORTRANGE(""https://docs.google.com/spreadsheets/d/1tpwhWwkqkBeiSWCcfB5f2fbwPRbM9hHOEDSDHpl2MIc/edit?usp=sharing"",""นครปฐม!I671"")"),0)</f>
        <v>0</v>
      </c>
      <c r="V60" s="81">
        <f ca="1">IFERROR(__xludf.DUMMYFUNCTION("IMPORTRANGE(""https://docs.google.com/spreadsheets/d/1tpwhWwkqkBeiSWCcfB5f2fbwPRbM9hHOEDSDHpl2MIc/edit?usp=sharing"",""นครปฐม!J671"")"),0)</f>
        <v>0</v>
      </c>
      <c r="W60" s="82">
        <f t="shared" ca="1" si="27"/>
        <v>0</v>
      </c>
      <c r="X60" s="81">
        <f ca="1">IFERROR(__xludf.DUMMYFUNCTION("IMPORTRANGE(""https://docs.google.com/spreadsheets/d/1tpwhWwkqkBeiSWCcfB5f2fbwPRbM9hHOEDSDHpl2MIc/edit?usp=sharing"",""นครปฐม!J672"")"),0)</f>
        <v>0</v>
      </c>
      <c r="Y60" s="276">
        <f t="shared" ca="1" si="11"/>
        <v>0</v>
      </c>
      <c r="Z60" s="81">
        <f ca="1">IFERROR(__xludf.DUMMYFUNCTION("IMPORTRANGE(""https://docs.google.com/spreadsheets/d/1tpwhWwkqkBeiSWCcfB5f2fbwPRbM9hHOEDSDHpl2MIc/edit?usp=sharing"",""นครปฐม!J673"")"),0)</f>
        <v>0</v>
      </c>
      <c r="AA60" s="276">
        <f t="shared" ca="1" si="12"/>
        <v>0</v>
      </c>
      <c r="AB60" s="276">
        <f ca="1">IFERROR(__xludf.DUMMYFUNCTION("IMPORTRANGE(""https://docs.google.com/spreadsheets/d/1tpwhWwkqkBeiSWCcfB5f2fbwPRbM9hHOEDSDHpl2MIc/edit?usp=sharing"",""นครปฐม!J674"")"),0)</f>
        <v>0</v>
      </c>
      <c r="AC60" s="82">
        <f t="shared" ca="1" si="13"/>
        <v>0</v>
      </c>
      <c r="AD60" s="276">
        <f ca="1">IFERROR(__xludf.DUMMYFUNCTION("IMPORTRANGE(""https://docs.google.com/spreadsheets/d/1tpwhWwkqkBeiSWCcfB5f2fbwPRbM9hHOEDSDHpl2MIc/edit?usp=sharing"",""นครปฐม!J675"")"),0)</f>
        <v>0</v>
      </c>
      <c r="AE60" s="82">
        <f t="shared" ca="1" si="22"/>
        <v>0</v>
      </c>
      <c r="AF60" s="276">
        <f ca="1">IFERROR(__xludf.DUMMYFUNCTION("IMPORTRANGE(""https://docs.google.com/spreadsheets/d/1tpwhWwkqkBeiSWCcfB5f2fbwPRbM9hHOEDSDHpl2MIc/edit?usp=sharing"",""นครปฐม!J676"")"),0)</f>
        <v>0</v>
      </c>
      <c r="AG60" s="276">
        <f ca="1">IFERROR(__xludf.DUMMYFUNCTION("IMPORTRANGE(""https://docs.google.com/spreadsheets/d/1tpwhWwkqkBeiSWCcfB5f2fbwPRbM9hHOEDSDHpl2MIc/edit?usp=sharing"",""นครปฐม!J677"")"),0)</f>
        <v>0</v>
      </c>
      <c r="AH60" s="81">
        <f ca="1">IFERROR(__xludf.DUMMYFUNCTION("IMPORTRANGE(""https://docs.google.com/spreadsheets/d/1tpwhWwkqkBeiSWCcfB5f2fbwPRbM9hHOEDSDHpl2MIc/edit?usp=sharing"",""นครปฐม!I678"")"),0)</f>
        <v>0</v>
      </c>
      <c r="AI60" s="81">
        <f ca="1">IFERROR(__xludf.DUMMYFUNCTION("IMPORTRANGE(""https://docs.google.com/spreadsheets/d/1tpwhWwkqkBeiSWCcfB5f2fbwPRbM9hHOEDSDHpl2MIc/edit?usp=sharing"",""นครปฐม!J678"")"),0)</f>
        <v>0</v>
      </c>
      <c r="AJ60" s="82">
        <f t="shared" ca="1" si="28"/>
        <v>0</v>
      </c>
      <c r="AK60" s="81">
        <f ca="1">IFERROR(__xludf.DUMMYFUNCTION("IMPORTRANGE(""https://docs.google.com/spreadsheets/d/1tpwhWwkqkBeiSWCcfB5f2fbwPRbM9hHOEDSDHpl2MIc/edit?usp=sharing"",""นครปฐม!J679"")"),0)</f>
        <v>0</v>
      </c>
      <c r="AL60" s="81">
        <f ca="1">IFERROR(__xludf.DUMMYFUNCTION("IMPORTRANGE(""https://docs.google.com/spreadsheets/d/1tpwhWwkqkBeiSWCcfB5f2fbwPRbM9hHOEDSDHpl2MIc/edit?usp=sharing"",""นครปฐม!J680"")"),0)</f>
        <v>0</v>
      </c>
      <c r="AM60" s="81">
        <f ca="1">IFERROR(__xludf.DUMMYFUNCTION("IMPORTRANGE(""https://docs.google.com/spreadsheets/d/1tpwhWwkqkBeiSWCcfB5f2fbwPRbM9hHOEDSDHpl2MIc/edit?usp=sharing"",""นครปฐม!J681"")"),0)</f>
        <v>0</v>
      </c>
      <c r="AN60" s="81">
        <f ca="1">IFERROR(__xludf.DUMMYFUNCTION("IMPORTRANGE(""https://docs.google.com/spreadsheets/d/1tpwhWwkqkBeiSWCcfB5f2fbwPRbM9hHOEDSDHpl2MIc/edit?usp=sharing"",""นครปฐม!J682"")"),0)</f>
        <v>0</v>
      </c>
      <c r="AO60" s="81">
        <f ca="1">IFERROR(__xludf.DUMMYFUNCTION("IMPORTRANGE(""https://docs.google.com/spreadsheets/d/1tpwhWwkqkBeiSWCcfB5f2fbwPRbM9hHOEDSDHpl2MIc/edit?usp=sharing"",""นครปฐม!J683"")"),0)</f>
        <v>0</v>
      </c>
    </row>
    <row r="61" spans="1:41" ht="21" customHeight="1" x14ac:dyDescent="0.2">
      <c r="A61" s="72">
        <v>9</v>
      </c>
      <c r="B61" s="73" t="s">
        <v>78</v>
      </c>
      <c r="C61" s="74">
        <f t="shared" ca="1" si="55"/>
        <v>0</v>
      </c>
      <c r="D61" s="75">
        <f ca="1">IFERROR(__xludf.DUMMYFUNCTION("IMPORTRANGE(""https://docs.google.com/spreadsheets/d/1fJJCVBkBnhriyv0Cp5ZFMr0I_yrfdEITNpb4zILJgUQ/edit?usp=sharing"",""ปทุมธานี!L660"")"),0)</f>
        <v>0</v>
      </c>
      <c r="E61" s="76">
        <f ca="1">IFERROR(__xludf.DUMMYFUNCTION("IMPORTRANGE(""https://docs.google.com/spreadsheets/d/1fJJCVBkBnhriyv0Cp5ZFMr0I_yrfdEITNpb4zILJgUQ/edit?usp=sharing"",""ปทุมธานี!L667"")"),0)</f>
        <v>0</v>
      </c>
      <c r="F61" s="77">
        <f t="shared" ca="1" si="1"/>
        <v>0</v>
      </c>
      <c r="G61" s="78">
        <f t="shared" ca="1" si="2"/>
        <v>0</v>
      </c>
      <c r="H61" s="79">
        <f t="shared" ca="1" si="56"/>
        <v>0</v>
      </c>
      <c r="I61" s="76">
        <f ca="1">IFERROR(__xludf.DUMMYFUNCTION("IMPORTRANGE(""https://docs.google.com/spreadsheets/d/1fJJCVBkBnhriyv0Cp5ZFMr0I_yrfdEITNpb4zILJgUQ/edit?usp=sharing"",""ปทุมธานี!N661"")"),0)</f>
        <v>0</v>
      </c>
      <c r="J61" s="76">
        <f ca="1">IFERROR(__xludf.DUMMYFUNCTION("IMPORTRANGE(""https://docs.google.com/spreadsheets/d/1fJJCVBkBnhriyv0Cp5ZFMr0I_yrfdEITNpb4zILJgUQ/edit?usp=sharing"",""ปทุมธานี!N662"")"),0)</f>
        <v>0</v>
      </c>
      <c r="K61" s="76">
        <f ca="1">IFERROR(__xludf.DUMMYFUNCTION("IMPORTRANGE(""https://docs.google.com/spreadsheets/d/1fJJCVBkBnhriyv0Cp5ZFMr0I_yrfdEITNpb4zILJgUQ/edit?usp=sharing"",""ปทุมธานี!N663"")"),0)</f>
        <v>0</v>
      </c>
      <c r="L61" s="76">
        <f ca="1">IFERROR(__xludf.DUMMYFUNCTION("IMPORTRANGE(""https://docs.google.com/spreadsheets/d/1fJJCVBkBnhriyv0Cp5ZFMr0I_yrfdEITNpb4zILJgUQ/edit?usp=sharing"",""ปทุมธานี!N664"")"),0)</f>
        <v>0</v>
      </c>
      <c r="M61" s="80">
        <f ca="1">IFERROR(__xludf.DUMMYFUNCTION("IMPORTRANGE(""https://docs.google.com/spreadsheets/d/1fJJCVBkBnhriyv0Cp5ZFMr0I_yrfdEITNpb4zILJgUQ/edit?usp=sharing"",""ปทุมธานี!N667"")"),0)</f>
        <v>0</v>
      </c>
      <c r="N61" s="80">
        <f t="shared" ca="1" si="31"/>
        <v>0</v>
      </c>
      <c r="O61" s="81">
        <f ca="1">IFERROR(__xludf.DUMMYFUNCTION("IMPORTRANGE(""https://docs.google.com/spreadsheets/d/1fJJCVBkBnhriyv0Cp5ZFMr0I_yrfdEITNpb4zILJgUQ/edit?usp=sharing"",""ปทุมธานี!I669"")"),0)</f>
        <v>0</v>
      </c>
      <c r="P61" s="81">
        <f ca="1">IFERROR(__xludf.DUMMYFUNCTION("IMPORTRANGE(""https://docs.google.com/spreadsheets/d/1fJJCVBkBnhriyv0Cp5ZFMr0I_yrfdEITNpb4zILJgUQ/edit?usp=sharing"",""ปทุมธานี!J669"")"),0)</f>
        <v>0</v>
      </c>
      <c r="Q61" s="82">
        <f t="shared" ca="1" si="25"/>
        <v>0</v>
      </c>
      <c r="R61" s="81">
        <f ca="1">IFERROR(__xludf.DUMMYFUNCTION("IMPORTRANGE(""https://docs.google.com/spreadsheets/d/1fJJCVBkBnhriyv0Cp5ZFMr0I_yrfdEITNpb4zILJgUQ/edit?usp=sharing"",""ปทุมธานี!I670"")"),0)</f>
        <v>0</v>
      </c>
      <c r="S61" s="81">
        <f ca="1">IFERROR(__xludf.DUMMYFUNCTION("IMPORTRANGE(""https://docs.google.com/spreadsheets/d/1fJJCVBkBnhriyv0Cp5ZFMr0I_yrfdEITNpb4zILJgUQ/edit?usp=sharing"",""ปทุมธานี!J670"")"),0)</f>
        <v>0</v>
      </c>
      <c r="T61" s="82">
        <f t="shared" ca="1" si="26"/>
        <v>0</v>
      </c>
      <c r="U61" s="81">
        <f ca="1">IFERROR(__xludf.DUMMYFUNCTION("IMPORTRANGE(""https://docs.google.com/spreadsheets/d/1fJJCVBkBnhriyv0Cp5ZFMr0I_yrfdEITNpb4zILJgUQ/edit?usp=sharing"",""ปทุมธานี!I671"")"),0)</f>
        <v>0</v>
      </c>
      <c r="V61" s="81">
        <f ca="1">IFERROR(__xludf.DUMMYFUNCTION("IMPORTRANGE(""https://docs.google.com/spreadsheets/d/1fJJCVBkBnhriyv0Cp5ZFMr0I_yrfdEITNpb4zILJgUQ/edit?usp=sharing"",""ปทุมธานี!J671"")"),0)</f>
        <v>0</v>
      </c>
      <c r="W61" s="82">
        <f t="shared" ca="1" si="27"/>
        <v>0</v>
      </c>
      <c r="X61" s="81">
        <f ca="1">IFERROR(__xludf.DUMMYFUNCTION("IMPORTRANGE(""https://docs.google.com/spreadsheets/d/1fJJCVBkBnhriyv0Cp5ZFMr0I_yrfdEITNpb4zILJgUQ/edit?usp=sharing"",""ปทุมธานี!J672"")"),0)</f>
        <v>0</v>
      </c>
      <c r="Y61" s="276">
        <f t="shared" ca="1" si="11"/>
        <v>0</v>
      </c>
      <c r="Z61" s="81">
        <f ca="1">IFERROR(__xludf.DUMMYFUNCTION("IMPORTRANGE(""https://docs.google.com/spreadsheets/d/1fJJCVBkBnhriyv0Cp5ZFMr0I_yrfdEITNpb4zILJgUQ/edit?usp=sharing"",""ปทุมธานี!J673"")"),0)</f>
        <v>0</v>
      </c>
      <c r="AA61" s="276">
        <f t="shared" ca="1" si="12"/>
        <v>0</v>
      </c>
      <c r="AB61" s="276">
        <f ca="1">IFERROR(__xludf.DUMMYFUNCTION("IMPORTRANGE(""https://docs.google.com/spreadsheets/d/1fJJCVBkBnhriyv0Cp5ZFMr0I_yrfdEITNpb4zILJgUQ/edit?usp=sharing"",""ปทุมธานี!J674"")"),0)</f>
        <v>0</v>
      </c>
      <c r="AC61" s="82">
        <f t="shared" ca="1" si="13"/>
        <v>0</v>
      </c>
      <c r="AD61" s="276">
        <f ca="1">IFERROR(__xludf.DUMMYFUNCTION("IMPORTRANGE(""https://docs.google.com/spreadsheets/d/1fJJCVBkBnhriyv0Cp5ZFMr0I_yrfdEITNpb4zILJgUQ/edit?usp=sharing"",""ปทุมธานี!J675"")"),0)</f>
        <v>0</v>
      </c>
      <c r="AE61" s="82">
        <f t="shared" ca="1" si="22"/>
        <v>0</v>
      </c>
      <c r="AF61" s="276">
        <f ca="1">IFERROR(__xludf.DUMMYFUNCTION("IMPORTRANGE(""https://docs.google.com/spreadsheets/d/1fJJCVBkBnhriyv0Cp5ZFMr0I_yrfdEITNpb4zILJgUQ/edit?usp=sharing"",""ปทุมธานี!J676"")"),0)</f>
        <v>0</v>
      </c>
      <c r="AG61" s="276">
        <f ca="1">IFERROR(__xludf.DUMMYFUNCTION("IMPORTRANGE(""https://docs.google.com/spreadsheets/d/1fJJCVBkBnhriyv0Cp5ZFMr0I_yrfdEITNpb4zILJgUQ/edit?usp=sharing"",""ปทุมธานี!J677"")"),0)</f>
        <v>0</v>
      </c>
      <c r="AH61" s="81">
        <f ca="1">IFERROR(__xludf.DUMMYFUNCTION("IMPORTRANGE(""https://docs.google.com/spreadsheets/d/1fJJCVBkBnhriyv0Cp5ZFMr0I_yrfdEITNpb4zILJgUQ/edit?usp=sharing"",""ปทุมธานี!I678"")"),0)</f>
        <v>0</v>
      </c>
      <c r="AI61" s="81">
        <f ca="1">IFERROR(__xludf.DUMMYFUNCTION("IMPORTRANGE(""https://docs.google.com/spreadsheets/d/1fJJCVBkBnhriyv0Cp5ZFMr0I_yrfdEITNpb4zILJgUQ/edit?usp=sharing"",""ปทุมธานี!J678"")"),0)</f>
        <v>0</v>
      </c>
      <c r="AJ61" s="82">
        <f t="shared" ca="1" si="28"/>
        <v>0</v>
      </c>
      <c r="AK61" s="81">
        <f ca="1">IFERROR(__xludf.DUMMYFUNCTION("IMPORTRANGE(""https://docs.google.com/spreadsheets/d/1fJJCVBkBnhriyv0Cp5ZFMr0I_yrfdEITNpb4zILJgUQ/edit?usp=sharing"",""ปทุมธานี!J679"")"),0)</f>
        <v>0</v>
      </c>
      <c r="AL61" s="81">
        <f ca="1">IFERROR(__xludf.DUMMYFUNCTION("IMPORTRANGE(""https://docs.google.com/spreadsheets/d/1fJJCVBkBnhriyv0Cp5ZFMr0I_yrfdEITNpb4zILJgUQ/edit?usp=sharing"",""ปทุมธานี!J680"")"),0)</f>
        <v>0</v>
      </c>
      <c r="AM61" s="81">
        <f ca="1">IFERROR(__xludf.DUMMYFUNCTION("IMPORTRANGE(""https://docs.google.com/spreadsheets/d/1fJJCVBkBnhriyv0Cp5ZFMr0I_yrfdEITNpb4zILJgUQ/edit?usp=sharing"",""ปทุมธานี!J681"")"),0)</f>
        <v>0</v>
      </c>
      <c r="AN61" s="81">
        <f ca="1">IFERROR(__xludf.DUMMYFUNCTION("IMPORTRANGE(""https://docs.google.com/spreadsheets/d/1fJJCVBkBnhriyv0Cp5ZFMr0I_yrfdEITNpb4zILJgUQ/edit?usp=sharing"",""ปทุมธานี!J682"")"),0)</f>
        <v>0</v>
      </c>
      <c r="AO61" s="81">
        <f ca="1">IFERROR(__xludf.DUMMYFUNCTION("IMPORTRANGE(""https://docs.google.com/spreadsheets/d/1fJJCVBkBnhriyv0Cp5ZFMr0I_yrfdEITNpb4zILJgUQ/edit?usp=sharing"",""ปทุมธานี!J683"")"),0)</f>
        <v>0</v>
      </c>
    </row>
    <row r="62" spans="1:41" ht="21" customHeight="1" x14ac:dyDescent="0.2">
      <c r="A62" s="72">
        <v>10</v>
      </c>
      <c r="B62" s="73" t="s">
        <v>79</v>
      </c>
      <c r="C62" s="74">
        <f t="shared" ca="1" si="55"/>
        <v>0</v>
      </c>
      <c r="D62" s="75">
        <f ca="1">IFERROR(__xludf.DUMMYFUNCTION("IMPORTRANGE(""https://docs.google.com/spreadsheets/d/1W5Jj_S0gYw6wSO7QcMI02YgyOBDKYgmm0NSUk-AQEac/edit?usp=sharing"",""ประจวบคีรีขันธ์!L660"")"),0)</f>
        <v>0</v>
      </c>
      <c r="E62" s="76">
        <f ca="1">IFERROR(__xludf.DUMMYFUNCTION("IMPORTRANGE(""https://docs.google.com/spreadsheets/d/1W5Jj_S0gYw6wSO7QcMI02YgyOBDKYgmm0NSUk-AQEac/edit?usp=sharing"",""ประจวบคีรีขันธ์!L667"")"),0)</f>
        <v>0</v>
      </c>
      <c r="F62" s="77">
        <f t="shared" ca="1" si="1"/>
        <v>0</v>
      </c>
      <c r="G62" s="78">
        <f t="shared" ca="1" si="2"/>
        <v>0</v>
      </c>
      <c r="H62" s="79">
        <f t="shared" ca="1" si="56"/>
        <v>0</v>
      </c>
      <c r="I62" s="76">
        <f ca="1">IFERROR(__xludf.DUMMYFUNCTION("IMPORTRANGE(""https://docs.google.com/spreadsheets/d/1W5Jj_S0gYw6wSO7QcMI02YgyOBDKYgmm0NSUk-AQEac/edit?usp=sharing"",""ประจวบคีรีขันธ์!N661"")"),0)</f>
        <v>0</v>
      </c>
      <c r="J62" s="76">
        <f ca="1">IFERROR(__xludf.DUMMYFUNCTION("IMPORTRANGE(""https://docs.google.com/spreadsheets/d/1W5Jj_S0gYw6wSO7QcMI02YgyOBDKYgmm0NSUk-AQEac/edit?usp=sharing"",""ประจวบคีรีขันธ์!N662"")"),0)</f>
        <v>0</v>
      </c>
      <c r="K62" s="76">
        <f ca="1">IFERROR(__xludf.DUMMYFUNCTION("IMPORTRANGE(""https://docs.google.com/spreadsheets/d/1W5Jj_S0gYw6wSO7QcMI02YgyOBDKYgmm0NSUk-AQEac/edit?usp=sharing"",""ประจวบคีรีขันธ์!N663"")"),0)</f>
        <v>0</v>
      </c>
      <c r="L62" s="76">
        <f ca="1">IFERROR(__xludf.DUMMYFUNCTION("IMPORTRANGE(""https://docs.google.com/spreadsheets/d/1W5Jj_S0gYw6wSO7QcMI02YgyOBDKYgmm0NSUk-AQEac/edit?usp=sharing"",""ประจวบคีรีขันธ์!N664"")"),0)</f>
        <v>0</v>
      </c>
      <c r="M62" s="80">
        <f ca="1">IFERROR(__xludf.DUMMYFUNCTION("IMPORTRANGE(""https://docs.google.com/spreadsheets/d/1W5Jj_S0gYw6wSO7QcMI02YgyOBDKYgmm0NSUk-AQEac/edit?usp=sharing"",""ประจวบคีรีขันธ์!N667"")"),0)</f>
        <v>0</v>
      </c>
      <c r="N62" s="80">
        <f t="shared" ca="1" si="31"/>
        <v>0</v>
      </c>
      <c r="O62" s="81">
        <f ca="1">IFERROR(__xludf.DUMMYFUNCTION("IMPORTRANGE(""https://docs.google.com/spreadsheets/d/1W5Jj_S0gYw6wSO7QcMI02YgyOBDKYgmm0NSUk-AQEac/edit?usp=sharing"",""ประจวบคีรีขันธ์!I669"")"),0)</f>
        <v>0</v>
      </c>
      <c r="P62" s="81">
        <f ca="1">IFERROR(__xludf.DUMMYFUNCTION("IMPORTRANGE(""https://docs.google.com/spreadsheets/d/1W5Jj_S0gYw6wSO7QcMI02YgyOBDKYgmm0NSUk-AQEac/edit?usp=sharing"",""ประจวบคีรีขันธ์!J669"")"),0)</f>
        <v>0</v>
      </c>
      <c r="Q62" s="82">
        <f t="shared" ca="1" si="25"/>
        <v>0</v>
      </c>
      <c r="R62" s="81">
        <f ca="1">IFERROR(__xludf.DUMMYFUNCTION("IMPORTRANGE(""https://docs.google.com/spreadsheets/d/1W5Jj_S0gYw6wSO7QcMI02YgyOBDKYgmm0NSUk-AQEac/edit?usp=sharing"",""ประจวบคีรีขันธ์!I670"")"),0)</f>
        <v>0</v>
      </c>
      <c r="S62" s="81">
        <f ca="1">IFERROR(__xludf.DUMMYFUNCTION("IMPORTRANGE(""https://docs.google.com/spreadsheets/d/1W5Jj_S0gYw6wSO7QcMI02YgyOBDKYgmm0NSUk-AQEac/edit?usp=sharing"",""ประจวบคีรีขันธ์!J670"")"),0)</f>
        <v>0</v>
      </c>
      <c r="T62" s="82">
        <f t="shared" ca="1" si="26"/>
        <v>0</v>
      </c>
      <c r="U62" s="81">
        <f ca="1">IFERROR(__xludf.DUMMYFUNCTION("IMPORTRANGE(""https://docs.google.com/spreadsheets/d/1W5Jj_S0gYw6wSO7QcMI02YgyOBDKYgmm0NSUk-AQEac/edit?usp=sharing"",""ประจวบคีรีขันธ์!I671"")"),0)</f>
        <v>0</v>
      </c>
      <c r="V62" s="81">
        <f ca="1">IFERROR(__xludf.DUMMYFUNCTION("IMPORTRANGE(""https://docs.google.com/spreadsheets/d/1W5Jj_S0gYw6wSO7QcMI02YgyOBDKYgmm0NSUk-AQEac/edit?usp=sharing"",""ประจวบคีรีขันธ์!J671"")"),0)</f>
        <v>0</v>
      </c>
      <c r="W62" s="82">
        <f t="shared" ca="1" si="27"/>
        <v>0</v>
      </c>
      <c r="X62" s="81">
        <f ca="1">IFERROR(__xludf.DUMMYFUNCTION("IMPORTRANGE(""https://docs.google.com/spreadsheets/d/1W5Jj_S0gYw6wSO7QcMI02YgyOBDKYgmm0NSUk-AQEac/edit?usp=sharing"",""ประจวบคีรีขันธ์!J672"")"),0)</f>
        <v>0</v>
      </c>
      <c r="Y62" s="276">
        <f t="shared" ca="1" si="11"/>
        <v>0</v>
      </c>
      <c r="Z62" s="81">
        <f ca="1">IFERROR(__xludf.DUMMYFUNCTION("IMPORTRANGE(""https://docs.google.com/spreadsheets/d/1W5Jj_S0gYw6wSO7QcMI02YgyOBDKYgmm0NSUk-AQEac/edit?usp=sharing"",""ประจวบคีรีขันธ์!J673"")"),0)</f>
        <v>0</v>
      </c>
      <c r="AA62" s="276">
        <f t="shared" ca="1" si="12"/>
        <v>0</v>
      </c>
      <c r="AB62" s="276">
        <f ca="1">IFERROR(__xludf.DUMMYFUNCTION("IMPORTRANGE(""https://docs.google.com/spreadsheets/d/1W5Jj_S0gYw6wSO7QcMI02YgyOBDKYgmm0NSUk-AQEac/edit?usp=sharing"",""ประจวบคีรีขันธ์!J674"")"),0)</f>
        <v>0</v>
      </c>
      <c r="AC62" s="82">
        <f t="shared" ca="1" si="13"/>
        <v>0</v>
      </c>
      <c r="AD62" s="276">
        <f ca="1">IFERROR(__xludf.DUMMYFUNCTION("IMPORTRANGE(""https://docs.google.com/spreadsheets/d/1W5Jj_S0gYw6wSO7QcMI02YgyOBDKYgmm0NSUk-AQEac/edit?usp=sharing"",""ประจวบคีรีขันธ์!J675"")"),0)</f>
        <v>0</v>
      </c>
      <c r="AE62" s="82">
        <f t="shared" ca="1" si="22"/>
        <v>0</v>
      </c>
      <c r="AF62" s="276">
        <f ca="1">IFERROR(__xludf.DUMMYFUNCTION("IMPORTRANGE(""https://docs.google.com/spreadsheets/d/1W5Jj_S0gYw6wSO7QcMI02YgyOBDKYgmm0NSUk-AQEac/edit?usp=sharing"",""ประจวบคีรีขันธ์!J676"")"),0)</f>
        <v>0</v>
      </c>
      <c r="AG62" s="276">
        <f ca="1">IFERROR(__xludf.DUMMYFUNCTION("IMPORTRANGE(""https://docs.google.com/spreadsheets/d/1W5Jj_S0gYw6wSO7QcMI02YgyOBDKYgmm0NSUk-AQEac/edit?usp=sharing"",""ประจวบคีรีขันธ์!J677"")"),0)</f>
        <v>0</v>
      </c>
      <c r="AH62" s="81">
        <f ca="1">IFERROR(__xludf.DUMMYFUNCTION("IMPORTRANGE(""https://docs.google.com/spreadsheets/d/1W5Jj_S0gYw6wSO7QcMI02YgyOBDKYgmm0NSUk-AQEac/edit?usp=sharing"",""ประจวบคีรีขันธ์!I678"")"),0)</f>
        <v>0</v>
      </c>
      <c r="AI62" s="81">
        <f ca="1">IFERROR(__xludf.DUMMYFUNCTION("IMPORTRANGE(""https://docs.google.com/spreadsheets/d/1W5Jj_S0gYw6wSO7QcMI02YgyOBDKYgmm0NSUk-AQEac/edit?usp=sharing"",""ประจวบคีรีขันธ์!J678"")"),0)</f>
        <v>0</v>
      </c>
      <c r="AJ62" s="82">
        <f t="shared" ca="1" si="28"/>
        <v>0</v>
      </c>
      <c r="AK62" s="81">
        <f ca="1">IFERROR(__xludf.DUMMYFUNCTION("IMPORTRANGE(""https://docs.google.com/spreadsheets/d/1W5Jj_S0gYw6wSO7QcMI02YgyOBDKYgmm0NSUk-AQEac/edit?usp=sharing"",""ประจวบคีรีขันธ์!J679"")"),0)</f>
        <v>0</v>
      </c>
      <c r="AL62" s="81">
        <f ca="1">IFERROR(__xludf.DUMMYFUNCTION("IMPORTRANGE(""https://docs.google.com/spreadsheets/d/1W5Jj_S0gYw6wSO7QcMI02YgyOBDKYgmm0NSUk-AQEac/edit?usp=sharing"",""ประจวบคีรีขันธ์!J680"")"),0)</f>
        <v>0</v>
      </c>
      <c r="AM62" s="81">
        <f ca="1">IFERROR(__xludf.DUMMYFUNCTION("IMPORTRANGE(""https://docs.google.com/spreadsheets/d/1W5Jj_S0gYw6wSO7QcMI02YgyOBDKYgmm0NSUk-AQEac/edit?usp=sharing"",""ประจวบคีรีขันธ์!J681"")"),0)</f>
        <v>0</v>
      </c>
      <c r="AN62" s="81">
        <f ca="1">IFERROR(__xludf.DUMMYFUNCTION("IMPORTRANGE(""https://docs.google.com/spreadsheets/d/1W5Jj_S0gYw6wSO7QcMI02YgyOBDKYgmm0NSUk-AQEac/edit?usp=sharing"",""ประจวบคีรีขันธ์!J682"")"),0)</f>
        <v>0</v>
      </c>
      <c r="AO62" s="81">
        <f ca="1">IFERROR(__xludf.DUMMYFUNCTION("IMPORTRANGE(""https://docs.google.com/spreadsheets/d/1W5Jj_S0gYw6wSO7QcMI02YgyOBDKYgmm0NSUk-AQEac/edit?usp=sharing"",""ประจวบคีรีขันธ์!J683"")"),0)</f>
        <v>0</v>
      </c>
    </row>
    <row r="63" spans="1:41" ht="21" customHeight="1" x14ac:dyDescent="0.2">
      <c r="A63" s="72">
        <v>11</v>
      </c>
      <c r="B63" s="73" t="s">
        <v>80</v>
      </c>
      <c r="C63" s="74">
        <f t="shared" ca="1" si="55"/>
        <v>9400</v>
      </c>
      <c r="D63" s="75">
        <f ca="1">IFERROR(__xludf.DUMMYFUNCTION("IMPORTRANGE(""https://docs.google.com/spreadsheets/d/1nYxRXgnCfTXtqUY1otYuTlnrzE0Tn-Y0YRsW5pkRVqo/edit?usp=sharing"",""ปราจีนบุรี!L660"")"),9400)</f>
        <v>9400</v>
      </c>
      <c r="E63" s="76">
        <f ca="1">IFERROR(__xludf.DUMMYFUNCTION("IMPORTRANGE(""https://docs.google.com/spreadsheets/d/1nYxRXgnCfTXtqUY1otYuTlnrzE0Tn-Y0YRsW5pkRVqo/edit?usp=sharing"",""ปราจีนบุรี!L667"")"),0)</f>
        <v>0</v>
      </c>
      <c r="F63" s="77">
        <f t="shared" ca="1" si="1"/>
        <v>3000</v>
      </c>
      <c r="G63" s="78">
        <f t="shared" ca="1" si="2"/>
        <v>31.914893617021278</v>
      </c>
      <c r="H63" s="79">
        <f t="shared" ca="1" si="56"/>
        <v>3000</v>
      </c>
      <c r="I63" s="76">
        <f ca="1">IFERROR(__xludf.DUMMYFUNCTION("IMPORTRANGE(""https://docs.google.com/spreadsheets/d/1nYxRXgnCfTXtqUY1otYuTlnrzE0Tn-Y0YRsW5pkRVqo/edit?usp=sharing"",""ปราจีนบุรี!N661"")"),0)</f>
        <v>0</v>
      </c>
      <c r="J63" s="76">
        <f ca="1">IFERROR(__xludf.DUMMYFUNCTION("IMPORTRANGE(""https://docs.google.com/spreadsheets/d/1nYxRXgnCfTXtqUY1otYuTlnrzE0Tn-Y0YRsW5pkRVqo/edit?usp=sharing"",""ปราจีนบุรี!N662"")"),0)</f>
        <v>0</v>
      </c>
      <c r="K63" s="76">
        <f ca="1">IFERROR(__xludf.DUMMYFUNCTION("IMPORTRANGE(""https://docs.google.com/spreadsheets/d/1nYxRXgnCfTXtqUY1otYuTlnrzE0Tn-Y0YRsW5pkRVqo/edit?usp=sharing"",""ปราจีนบุรี!N663"")"),0)</f>
        <v>0</v>
      </c>
      <c r="L63" s="76">
        <f ca="1">IFERROR(__xludf.DUMMYFUNCTION("IMPORTRANGE(""https://docs.google.com/spreadsheets/d/1nYxRXgnCfTXtqUY1otYuTlnrzE0Tn-Y0YRsW5pkRVqo/edit?usp=sharing"",""ปราจีนบุรี!N664"")"),3000)</f>
        <v>3000</v>
      </c>
      <c r="M63" s="80">
        <f ca="1">IFERROR(__xludf.DUMMYFUNCTION("IMPORTRANGE(""https://docs.google.com/spreadsheets/d/1nYxRXgnCfTXtqUY1otYuTlnrzE0Tn-Y0YRsW5pkRVqo/edit?usp=sharing"",""ปราจีนบุรี!N667"")"),0)</f>
        <v>0</v>
      </c>
      <c r="N63" s="80">
        <f t="shared" ca="1" si="31"/>
        <v>0</v>
      </c>
      <c r="O63" s="81">
        <f ca="1">IFERROR(__xludf.DUMMYFUNCTION("IMPORTRANGE(""https://docs.google.com/spreadsheets/d/1nYxRXgnCfTXtqUY1otYuTlnrzE0Tn-Y0YRsW5pkRVqo/edit?usp=sharing"",""ปราจีนบุรี!I669"")"),50)</f>
        <v>50</v>
      </c>
      <c r="P63" s="81">
        <f ca="1">IFERROR(__xludf.DUMMYFUNCTION("IMPORTRANGE(""https://docs.google.com/spreadsheets/d/1nYxRXgnCfTXtqUY1otYuTlnrzE0Tn-Y0YRsW5pkRVqo/edit?usp=sharing"",""ปราจีนบุรี!J669"")"),0)</f>
        <v>0</v>
      </c>
      <c r="Q63" s="82">
        <f t="shared" ca="1" si="25"/>
        <v>0</v>
      </c>
      <c r="R63" s="81">
        <f ca="1">IFERROR(__xludf.DUMMYFUNCTION("IMPORTRANGE(""https://docs.google.com/spreadsheets/d/1nYxRXgnCfTXtqUY1otYuTlnrzE0Tn-Y0YRsW5pkRVqo/edit?usp=sharing"",""ปราจีนบุรี!I670"")"),4)</f>
        <v>4</v>
      </c>
      <c r="S63" s="81">
        <f ca="1">IFERROR(__xludf.DUMMYFUNCTION("IMPORTRANGE(""https://docs.google.com/spreadsheets/d/1nYxRXgnCfTXtqUY1otYuTlnrzE0Tn-Y0YRsW5pkRVqo/edit?usp=sharing"",""ปราจีนบุรี!J670"")"),4)</f>
        <v>4</v>
      </c>
      <c r="T63" s="82">
        <f t="shared" ca="1" si="26"/>
        <v>100</v>
      </c>
      <c r="U63" s="81">
        <f ca="1">IFERROR(__xludf.DUMMYFUNCTION("IMPORTRANGE(""https://docs.google.com/spreadsheets/d/1nYxRXgnCfTXtqUY1otYuTlnrzE0Tn-Y0YRsW5pkRVqo/edit?usp=sharing"",""ปราจีนบุรี!I671"")"),4)</f>
        <v>4</v>
      </c>
      <c r="V63" s="81">
        <f ca="1">IFERROR(__xludf.DUMMYFUNCTION("IMPORTRANGE(""https://docs.google.com/spreadsheets/d/1nYxRXgnCfTXtqUY1otYuTlnrzE0Tn-Y0YRsW5pkRVqo/edit?usp=sharing"",""ปราจีนบุรี!J671"")"),4)</f>
        <v>4</v>
      </c>
      <c r="W63" s="82">
        <f t="shared" ca="1" si="27"/>
        <v>100</v>
      </c>
      <c r="X63" s="81">
        <f ca="1">IFERROR(__xludf.DUMMYFUNCTION("IMPORTRANGE(""https://docs.google.com/spreadsheets/d/1nYxRXgnCfTXtqUY1otYuTlnrzE0Tn-Y0YRsW5pkRVqo/edit?usp=sharing"",""ปราจีนบุรี!J672"")"),0)</f>
        <v>0</v>
      </c>
      <c r="Y63" s="276">
        <f t="shared" ca="1" si="11"/>
        <v>0</v>
      </c>
      <c r="Z63" s="81">
        <f ca="1">IFERROR(__xludf.DUMMYFUNCTION("IMPORTRANGE(""https://docs.google.com/spreadsheets/d/1nYxRXgnCfTXtqUY1otYuTlnrzE0Tn-Y0YRsW5pkRVqo/edit?usp=sharing"",""ปราจีนบุรี!J673"")"),0)</f>
        <v>0</v>
      </c>
      <c r="AA63" s="276">
        <f t="shared" ca="1" si="12"/>
        <v>0</v>
      </c>
      <c r="AB63" s="276">
        <f ca="1">IFERROR(__xludf.DUMMYFUNCTION("IMPORTRANGE(""https://docs.google.com/spreadsheets/d/1nYxRXgnCfTXtqUY1otYuTlnrzE0Tn-Y0YRsW5pkRVqo/edit?usp=sharing"",""ปราจีนบุรี!J674"")"),0)</f>
        <v>0</v>
      </c>
      <c r="AC63" s="82">
        <f t="shared" ca="1" si="13"/>
        <v>0</v>
      </c>
      <c r="AD63" s="276">
        <f ca="1">IFERROR(__xludf.DUMMYFUNCTION("IMPORTRANGE(""https://docs.google.com/spreadsheets/d/1nYxRXgnCfTXtqUY1otYuTlnrzE0Tn-Y0YRsW5pkRVqo/edit?usp=sharing"",""ปราจีนบุรี!J675"")"),0)</f>
        <v>0</v>
      </c>
      <c r="AE63" s="82">
        <f t="shared" ca="1" si="22"/>
        <v>0</v>
      </c>
      <c r="AF63" s="276">
        <f ca="1">IFERROR(__xludf.DUMMYFUNCTION("IMPORTRANGE(""https://docs.google.com/spreadsheets/d/1nYxRXgnCfTXtqUY1otYuTlnrzE0Tn-Y0YRsW5pkRVqo/edit?usp=sharing"",""ปราจีนบุรี!J676"")"),0)</f>
        <v>0</v>
      </c>
      <c r="AG63" s="276">
        <f ca="1">IFERROR(__xludf.DUMMYFUNCTION("IMPORTRANGE(""https://docs.google.com/spreadsheets/d/1nYxRXgnCfTXtqUY1otYuTlnrzE0Tn-Y0YRsW5pkRVqo/edit?usp=sharing"",""ปราจีนบุรี!J677"")"),0)</f>
        <v>0</v>
      </c>
      <c r="AH63" s="81">
        <f ca="1">IFERROR(__xludf.DUMMYFUNCTION("IMPORTRANGE(""https://docs.google.com/spreadsheets/d/1nYxRXgnCfTXtqUY1otYuTlnrzE0Tn-Y0YRsW5pkRVqo/edit?usp=sharing"",""ปราจีนบุรี!I678"")"),0)</f>
        <v>0</v>
      </c>
      <c r="AI63" s="81">
        <f ca="1">IFERROR(__xludf.DUMMYFUNCTION("IMPORTRANGE(""https://docs.google.com/spreadsheets/d/1nYxRXgnCfTXtqUY1otYuTlnrzE0Tn-Y0YRsW5pkRVqo/edit?usp=sharing"",""ปราจีนบุรี!J678"")"),0)</f>
        <v>0</v>
      </c>
      <c r="AJ63" s="82">
        <f t="shared" ca="1" si="28"/>
        <v>0</v>
      </c>
      <c r="AK63" s="81">
        <f ca="1">IFERROR(__xludf.DUMMYFUNCTION("IMPORTRANGE(""https://docs.google.com/spreadsheets/d/1nYxRXgnCfTXtqUY1otYuTlnrzE0Tn-Y0YRsW5pkRVqo/edit?usp=sharing"",""ปราจีนบุรี!J679"")"),0)</f>
        <v>0</v>
      </c>
      <c r="AL63" s="81">
        <f ca="1">IFERROR(__xludf.DUMMYFUNCTION("IMPORTRANGE(""https://docs.google.com/spreadsheets/d/1nYxRXgnCfTXtqUY1otYuTlnrzE0Tn-Y0YRsW5pkRVqo/edit?usp=sharing"",""ปราจีนบุรี!J680"")"),0)</f>
        <v>0</v>
      </c>
      <c r="AM63" s="81">
        <f ca="1">IFERROR(__xludf.DUMMYFUNCTION("IMPORTRANGE(""https://docs.google.com/spreadsheets/d/1nYxRXgnCfTXtqUY1otYuTlnrzE0Tn-Y0YRsW5pkRVqo/edit?usp=sharing"",""ปราจีนบุรี!J681"")"),0)</f>
        <v>0</v>
      </c>
      <c r="AN63" s="81">
        <f ca="1">IFERROR(__xludf.DUMMYFUNCTION("IMPORTRANGE(""https://docs.google.com/spreadsheets/d/1nYxRXgnCfTXtqUY1otYuTlnrzE0Tn-Y0YRsW5pkRVqo/edit?usp=sharing"",""ปราจีนบุรี!J682"")"),0)</f>
        <v>0</v>
      </c>
      <c r="AO63" s="81">
        <f ca="1">IFERROR(__xludf.DUMMYFUNCTION("IMPORTRANGE(""https://docs.google.com/spreadsheets/d/1nYxRXgnCfTXtqUY1otYuTlnrzE0Tn-Y0YRsW5pkRVqo/edit?usp=sharing"",""ปราจีนบุรี!J683"")"),0)</f>
        <v>0</v>
      </c>
    </row>
    <row r="64" spans="1:41" ht="21" customHeight="1" x14ac:dyDescent="0.2">
      <c r="A64" s="72">
        <v>12</v>
      </c>
      <c r="B64" s="73" t="s">
        <v>81</v>
      </c>
      <c r="C64" s="74">
        <f t="shared" ca="1" si="55"/>
        <v>20700</v>
      </c>
      <c r="D64" s="75">
        <f ca="1">IFERROR(__xludf.DUMMYFUNCTION("IMPORTRANGE(""https://docs.google.com/spreadsheets/d/1nNHCLO8ZAXOMfQvxux7cf_hrzPAh8FAvaHq_ClKbZNo/edit?usp=sharing"",""พระนครศรีอยุธยา!L660"")"),20700)</f>
        <v>20700</v>
      </c>
      <c r="E64" s="76">
        <f ca="1">IFERROR(__xludf.DUMMYFUNCTION("IMPORTRANGE(""https://docs.google.com/spreadsheets/d/1nNHCLO8ZAXOMfQvxux7cf_hrzPAh8FAvaHq_ClKbZNo/edit?usp=sharing"",""พระนครศรีอยุธยา!L667"")"),0)</f>
        <v>0</v>
      </c>
      <c r="F64" s="77">
        <f t="shared" ca="1" si="1"/>
        <v>1883.2</v>
      </c>
      <c r="G64" s="78">
        <f t="shared" ca="1" si="2"/>
        <v>9.0975845410628011</v>
      </c>
      <c r="H64" s="79">
        <f t="shared" ca="1" si="56"/>
        <v>1883.2</v>
      </c>
      <c r="I64" s="76">
        <f ca="1">IFERROR(__xludf.DUMMYFUNCTION("IMPORTRANGE(""https://docs.google.com/spreadsheets/d/1nNHCLO8ZAXOMfQvxux7cf_hrzPAh8FAvaHq_ClKbZNo/edit?usp=sharing"",""พระนครศรีอยุธยา!N661"")"),0)</f>
        <v>0</v>
      </c>
      <c r="J64" s="76">
        <f ca="1">IFERROR(__xludf.DUMMYFUNCTION("IMPORTRANGE(""https://docs.google.com/spreadsheets/d/1nNHCLO8ZAXOMfQvxux7cf_hrzPAh8FAvaHq_ClKbZNo/edit?usp=sharing"",""พระนครศรีอยุธยา!N662"")"),0)</f>
        <v>0</v>
      </c>
      <c r="K64" s="76">
        <f ca="1">IFERROR(__xludf.DUMMYFUNCTION("IMPORTRANGE(""https://docs.google.com/spreadsheets/d/1nNHCLO8ZAXOMfQvxux7cf_hrzPAh8FAvaHq_ClKbZNo/edit?usp=sharing"",""พระนครศรีอยุธยา!N663"")"),0)</f>
        <v>0</v>
      </c>
      <c r="L64" s="76">
        <f ca="1">IFERROR(__xludf.DUMMYFUNCTION("IMPORTRANGE(""https://docs.google.com/spreadsheets/d/1nNHCLO8ZAXOMfQvxux7cf_hrzPAh8FAvaHq_ClKbZNo/edit?usp=sharing"",""พระนครศรีอยุธยา!N664"")"),1883.2)</f>
        <v>1883.2</v>
      </c>
      <c r="M64" s="80">
        <f ca="1">IFERROR(__xludf.DUMMYFUNCTION("IMPORTRANGE(""https://docs.google.com/spreadsheets/d/1nNHCLO8ZAXOMfQvxux7cf_hrzPAh8FAvaHq_ClKbZNo/edit?usp=sharing"",""พระนครศรีอยุธยา!N667"")"),0)</f>
        <v>0</v>
      </c>
      <c r="N64" s="80">
        <f t="shared" ca="1" si="31"/>
        <v>0</v>
      </c>
      <c r="O64" s="81">
        <f ca="1">IFERROR(__xludf.DUMMYFUNCTION("IMPORTRANGE(""https://docs.google.com/spreadsheets/d/1nNHCLO8ZAXOMfQvxux7cf_hrzPAh8FAvaHq_ClKbZNo/edit?usp=sharing"",""พระนครศรีอยุธยา!I669"")"),185)</f>
        <v>185</v>
      </c>
      <c r="P64" s="81">
        <f ca="1">IFERROR(__xludf.DUMMYFUNCTION("IMPORTRANGE(""https://docs.google.com/spreadsheets/d/1nNHCLO8ZAXOMfQvxux7cf_hrzPAh8FAvaHq_ClKbZNo/edit?usp=sharing"",""พระนครศรีอยุธยา!J669"")"),0)</f>
        <v>0</v>
      </c>
      <c r="Q64" s="82">
        <f t="shared" ca="1" si="25"/>
        <v>0</v>
      </c>
      <c r="R64" s="81">
        <f ca="1">IFERROR(__xludf.DUMMYFUNCTION("IMPORTRANGE(""https://docs.google.com/spreadsheets/d/1nNHCLO8ZAXOMfQvxux7cf_hrzPAh8FAvaHq_ClKbZNo/edit?usp=sharing"",""พระนครศรีอยุธยา!I670"")"),6)</f>
        <v>6</v>
      </c>
      <c r="S64" s="81">
        <f ca="1">IFERROR(__xludf.DUMMYFUNCTION("IMPORTRANGE(""https://docs.google.com/spreadsheets/d/1nNHCLO8ZAXOMfQvxux7cf_hrzPAh8FAvaHq_ClKbZNo/edit?usp=sharing"",""พระนครศรีอยุธยา!J670"")"),6)</f>
        <v>6</v>
      </c>
      <c r="T64" s="82">
        <f t="shared" ca="1" si="26"/>
        <v>100</v>
      </c>
      <c r="U64" s="81">
        <f ca="1">IFERROR(__xludf.DUMMYFUNCTION("IMPORTRANGE(""https://docs.google.com/spreadsheets/d/1nNHCLO8ZAXOMfQvxux7cf_hrzPAh8FAvaHq_ClKbZNo/edit?usp=sharing"",""พระนครศรีอยุธยา!I671"")"),6)</f>
        <v>6</v>
      </c>
      <c r="V64" s="81">
        <f ca="1">IFERROR(__xludf.DUMMYFUNCTION("IMPORTRANGE(""https://docs.google.com/spreadsheets/d/1nNHCLO8ZAXOMfQvxux7cf_hrzPAh8FAvaHq_ClKbZNo/edit?usp=sharing"",""พระนครศรีอยุธยา!J671"")"),6)</f>
        <v>6</v>
      </c>
      <c r="W64" s="82">
        <f t="shared" ca="1" si="27"/>
        <v>100</v>
      </c>
      <c r="X64" s="81">
        <f ca="1">IFERROR(__xludf.DUMMYFUNCTION("IMPORTRANGE(""https://docs.google.com/spreadsheets/d/1nNHCLO8ZAXOMfQvxux7cf_hrzPAh8FAvaHq_ClKbZNo/edit?usp=sharing"",""พระนครศรีอยุธยา!J672"")"),0)</f>
        <v>0</v>
      </c>
      <c r="Y64" s="276">
        <f t="shared" ca="1" si="11"/>
        <v>0</v>
      </c>
      <c r="Z64" s="81">
        <f ca="1">IFERROR(__xludf.DUMMYFUNCTION("IMPORTRANGE(""https://docs.google.com/spreadsheets/d/1nNHCLO8ZAXOMfQvxux7cf_hrzPAh8FAvaHq_ClKbZNo/edit?usp=sharing"",""พระนครศรีอยุธยา!J673"")"),0)</f>
        <v>0</v>
      </c>
      <c r="AA64" s="276">
        <f t="shared" ca="1" si="12"/>
        <v>0</v>
      </c>
      <c r="AB64" s="276">
        <f ca="1">IFERROR(__xludf.DUMMYFUNCTION("IMPORTRANGE(""https://docs.google.com/spreadsheets/d/1nNHCLO8ZAXOMfQvxux7cf_hrzPAh8FAvaHq_ClKbZNo/edit?usp=sharing"",""พระนครศรีอยุธยา!J674"")"),0)</f>
        <v>0</v>
      </c>
      <c r="AC64" s="82">
        <f t="shared" ca="1" si="13"/>
        <v>0</v>
      </c>
      <c r="AD64" s="276">
        <f ca="1">IFERROR(__xludf.DUMMYFUNCTION("IMPORTRANGE(""https://docs.google.com/spreadsheets/d/1nNHCLO8ZAXOMfQvxux7cf_hrzPAh8FAvaHq_ClKbZNo/edit?usp=sharing"",""พระนครศรีอยุธยา!J675"")"),0)</f>
        <v>0</v>
      </c>
      <c r="AE64" s="82">
        <f t="shared" ca="1" si="22"/>
        <v>0</v>
      </c>
      <c r="AF64" s="276">
        <f ca="1">IFERROR(__xludf.DUMMYFUNCTION("IMPORTRANGE(""https://docs.google.com/spreadsheets/d/1nNHCLO8ZAXOMfQvxux7cf_hrzPAh8FAvaHq_ClKbZNo/edit?usp=sharing"",""พระนครศรีอยุธยา!J676"")"),0)</f>
        <v>0</v>
      </c>
      <c r="AG64" s="276">
        <f ca="1">IFERROR(__xludf.DUMMYFUNCTION("IMPORTRANGE(""https://docs.google.com/spreadsheets/d/1nNHCLO8ZAXOMfQvxux7cf_hrzPAh8FAvaHq_ClKbZNo/edit?usp=sharing"",""พระนครศรีอยุธยา!J677"")"),0)</f>
        <v>0</v>
      </c>
      <c r="AH64" s="81">
        <f ca="1">IFERROR(__xludf.DUMMYFUNCTION("IMPORTRANGE(""https://docs.google.com/spreadsheets/d/1nNHCLO8ZAXOMfQvxux7cf_hrzPAh8FAvaHq_ClKbZNo/edit?usp=sharing"",""พระนครศรีอยุธยา!I678"")"),0)</f>
        <v>0</v>
      </c>
      <c r="AI64" s="81">
        <f ca="1">IFERROR(__xludf.DUMMYFUNCTION("IMPORTRANGE(""https://docs.google.com/spreadsheets/d/1nNHCLO8ZAXOMfQvxux7cf_hrzPAh8FAvaHq_ClKbZNo/edit?usp=sharing"",""พระนครศรีอยุธยา!J678"")"),0)</f>
        <v>0</v>
      </c>
      <c r="AJ64" s="82">
        <f t="shared" ca="1" si="28"/>
        <v>0</v>
      </c>
      <c r="AK64" s="81">
        <f ca="1">IFERROR(__xludf.DUMMYFUNCTION("IMPORTRANGE(""https://docs.google.com/spreadsheets/d/1nNHCLO8ZAXOMfQvxux7cf_hrzPAh8FAvaHq_ClKbZNo/edit?usp=sharing"",""พระนครศรีอยุธยา!J679"")"),0)</f>
        <v>0</v>
      </c>
      <c r="AL64" s="81">
        <f ca="1">IFERROR(__xludf.DUMMYFUNCTION("IMPORTRANGE(""https://docs.google.com/spreadsheets/d/1nNHCLO8ZAXOMfQvxux7cf_hrzPAh8FAvaHq_ClKbZNo/edit?usp=sharing"",""พระนครศรีอยุธยา!J680"")"),0)</f>
        <v>0</v>
      </c>
      <c r="AM64" s="81">
        <f ca="1">IFERROR(__xludf.DUMMYFUNCTION("IMPORTRANGE(""https://docs.google.com/spreadsheets/d/1nNHCLO8ZAXOMfQvxux7cf_hrzPAh8FAvaHq_ClKbZNo/edit?usp=sharing"",""พระนครศรีอยุธยา!J681"")"),0)</f>
        <v>0</v>
      </c>
      <c r="AN64" s="81">
        <f ca="1">IFERROR(__xludf.DUMMYFUNCTION("IMPORTRANGE(""https://docs.google.com/spreadsheets/d/1nNHCLO8ZAXOMfQvxux7cf_hrzPAh8FAvaHq_ClKbZNo/edit?usp=sharing"",""พระนครศรีอยุธยา!J682"")"),0)</f>
        <v>0</v>
      </c>
      <c r="AO64" s="81">
        <f ca="1">IFERROR(__xludf.DUMMYFUNCTION("IMPORTRANGE(""https://docs.google.com/spreadsheets/d/1nNHCLO8ZAXOMfQvxux7cf_hrzPAh8FAvaHq_ClKbZNo/edit?usp=sharing"",""พระนครศรีอยุธยา!J683"")"),0)</f>
        <v>0</v>
      </c>
    </row>
    <row r="65" spans="1:41" ht="21" customHeight="1" x14ac:dyDescent="0.2">
      <c r="A65" s="72">
        <v>13</v>
      </c>
      <c r="B65" s="73" t="s">
        <v>82</v>
      </c>
      <c r="C65" s="74">
        <f t="shared" ca="1" si="55"/>
        <v>9400</v>
      </c>
      <c r="D65" s="75">
        <f ca="1">IFERROR(__xludf.DUMMYFUNCTION("IMPORTRANGE(""https://docs.google.com/spreadsheets/d/1CdNicvf3i6yt4tJlCePe3V1Va76wYqW0QzMzTsaGRrA/edit?usp=sharing"",""เพชรบุรี!L660"")"),9400)</f>
        <v>9400</v>
      </c>
      <c r="E65" s="76">
        <f ca="1">IFERROR(__xludf.DUMMYFUNCTION("IMPORTRANGE(""https://docs.google.com/spreadsheets/d/1CdNicvf3i6yt4tJlCePe3V1Va76wYqW0QzMzTsaGRrA/edit?usp=sharing"",""เพชรบุรี!L667"")"),0)</f>
        <v>0</v>
      </c>
      <c r="F65" s="77">
        <f t="shared" ca="1" si="1"/>
        <v>4000</v>
      </c>
      <c r="G65" s="78">
        <f t="shared" ca="1" si="2"/>
        <v>42.553191489361701</v>
      </c>
      <c r="H65" s="79">
        <f t="shared" ca="1" si="56"/>
        <v>4000</v>
      </c>
      <c r="I65" s="76">
        <f ca="1">IFERROR(__xludf.DUMMYFUNCTION("IMPORTRANGE(""https://docs.google.com/spreadsheets/d/1CdNicvf3i6yt4tJlCePe3V1Va76wYqW0QzMzTsaGRrA/edit?usp=sharing"",""เพชรบุรี!N661"")"),0)</f>
        <v>0</v>
      </c>
      <c r="J65" s="76">
        <f ca="1">IFERROR(__xludf.DUMMYFUNCTION("IMPORTRANGE(""https://docs.google.com/spreadsheets/d/1CdNicvf3i6yt4tJlCePe3V1Va76wYqW0QzMzTsaGRrA/edit?usp=sharing"",""เพชรบุรี!N662"")"),0)</f>
        <v>0</v>
      </c>
      <c r="K65" s="76">
        <f ca="1">IFERROR(__xludf.DUMMYFUNCTION("IMPORTRANGE(""https://docs.google.com/spreadsheets/d/1CdNicvf3i6yt4tJlCePe3V1Va76wYqW0QzMzTsaGRrA/edit?usp=sharing"",""เพชรบุรี!N663"")"),0)</f>
        <v>0</v>
      </c>
      <c r="L65" s="76">
        <f ca="1">IFERROR(__xludf.DUMMYFUNCTION("IMPORTRANGE(""https://docs.google.com/spreadsheets/d/1CdNicvf3i6yt4tJlCePe3V1Va76wYqW0QzMzTsaGRrA/edit?usp=sharing"",""เพชรบุรี!N664"")"),4000)</f>
        <v>4000</v>
      </c>
      <c r="M65" s="80">
        <f ca="1">IFERROR(__xludf.DUMMYFUNCTION("IMPORTRANGE(""https://docs.google.com/spreadsheets/d/1CdNicvf3i6yt4tJlCePe3V1Va76wYqW0QzMzTsaGRrA/edit?usp=sharing"",""เพชรบุรี!N667"")"),0)</f>
        <v>0</v>
      </c>
      <c r="N65" s="80">
        <f t="shared" ca="1" si="31"/>
        <v>0</v>
      </c>
      <c r="O65" s="81">
        <f ca="1">IFERROR(__xludf.DUMMYFUNCTION("IMPORTRANGE(""https://docs.google.com/spreadsheets/d/1CdNicvf3i6yt4tJlCePe3V1Va76wYqW0QzMzTsaGRrA/edit?usp=sharing"",""เพชรบุรี!I669"")"),50)</f>
        <v>50</v>
      </c>
      <c r="P65" s="81">
        <f ca="1">IFERROR(__xludf.DUMMYFUNCTION("IMPORTRANGE(""https://docs.google.com/spreadsheets/d/1CdNicvf3i6yt4tJlCePe3V1Va76wYqW0QzMzTsaGRrA/edit?usp=sharing"",""เพชรบุรี!J669"")"),0)</f>
        <v>0</v>
      </c>
      <c r="Q65" s="82">
        <f t="shared" ca="1" si="25"/>
        <v>0</v>
      </c>
      <c r="R65" s="81">
        <f ca="1">IFERROR(__xludf.DUMMYFUNCTION("IMPORTRANGE(""https://docs.google.com/spreadsheets/d/1CdNicvf3i6yt4tJlCePe3V1Va76wYqW0QzMzTsaGRrA/edit?usp=sharing"",""เพชรบุรี!I670"")"),4)</f>
        <v>4</v>
      </c>
      <c r="S65" s="81">
        <f ca="1">IFERROR(__xludf.DUMMYFUNCTION("IMPORTRANGE(""https://docs.google.com/spreadsheets/d/1CdNicvf3i6yt4tJlCePe3V1Va76wYqW0QzMzTsaGRrA/edit?usp=sharing"",""เพชรบุรี!J670"")"),4)</f>
        <v>4</v>
      </c>
      <c r="T65" s="82">
        <f t="shared" ca="1" si="26"/>
        <v>100</v>
      </c>
      <c r="U65" s="81">
        <f ca="1">IFERROR(__xludf.DUMMYFUNCTION("IMPORTRANGE(""https://docs.google.com/spreadsheets/d/1CdNicvf3i6yt4tJlCePe3V1Va76wYqW0QzMzTsaGRrA/edit?usp=sharing"",""เพชรบุรี!I671"")"),4)</f>
        <v>4</v>
      </c>
      <c r="V65" s="81">
        <f ca="1">IFERROR(__xludf.DUMMYFUNCTION("IMPORTRANGE(""https://docs.google.com/spreadsheets/d/1CdNicvf3i6yt4tJlCePe3V1Va76wYqW0QzMzTsaGRrA/edit?usp=sharing"",""เพชรบุรี!J671"")"),4)</f>
        <v>4</v>
      </c>
      <c r="W65" s="82">
        <f t="shared" ca="1" si="27"/>
        <v>100</v>
      </c>
      <c r="X65" s="81">
        <f ca="1">IFERROR(__xludf.DUMMYFUNCTION("IMPORTRANGE(""https://docs.google.com/spreadsheets/d/1CdNicvf3i6yt4tJlCePe3V1Va76wYqW0QzMzTsaGRrA/edit?usp=sharing"",""เพชรบุรี!J672"")"),0)</f>
        <v>0</v>
      </c>
      <c r="Y65" s="276">
        <f t="shared" ca="1" si="11"/>
        <v>0</v>
      </c>
      <c r="Z65" s="81">
        <f ca="1">IFERROR(__xludf.DUMMYFUNCTION("IMPORTRANGE(""https://docs.google.com/spreadsheets/d/1CdNicvf3i6yt4tJlCePe3V1Va76wYqW0QzMzTsaGRrA/edit?usp=sharing"",""เพชรบุรี!J673"")"),0)</f>
        <v>0</v>
      </c>
      <c r="AA65" s="276">
        <f t="shared" ca="1" si="12"/>
        <v>0</v>
      </c>
      <c r="AB65" s="276">
        <f ca="1">IFERROR(__xludf.DUMMYFUNCTION("IMPORTRANGE(""https://docs.google.com/spreadsheets/d/1CdNicvf3i6yt4tJlCePe3V1Va76wYqW0QzMzTsaGRrA/edit?usp=sharing"",""เพชรบุรี!J674"")"),0)</f>
        <v>0</v>
      </c>
      <c r="AC65" s="82">
        <f t="shared" ca="1" si="13"/>
        <v>0</v>
      </c>
      <c r="AD65" s="276">
        <f ca="1">IFERROR(__xludf.DUMMYFUNCTION("IMPORTRANGE(""https://docs.google.com/spreadsheets/d/1CdNicvf3i6yt4tJlCePe3V1Va76wYqW0QzMzTsaGRrA/edit?usp=sharing"",""เพชรบุรี!J675"")"),0)</f>
        <v>0</v>
      </c>
      <c r="AE65" s="82">
        <f t="shared" ca="1" si="22"/>
        <v>0</v>
      </c>
      <c r="AF65" s="276">
        <f ca="1">IFERROR(__xludf.DUMMYFUNCTION("IMPORTRANGE(""https://docs.google.com/spreadsheets/d/1CdNicvf3i6yt4tJlCePe3V1Va76wYqW0QzMzTsaGRrA/edit?usp=sharing"",""เพชรบุรี!J676"")"),0)</f>
        <v>0</v>
      </c>
      <c r="AG65" s="276">
        <f ca="1">IFERROR(__xludf.DUMMYFUNCTION("IMPORTRANGE(""https://docs.google.com/spreadsheets/d/1CdNicvf3i6yt4tJlCePe3V1Va76wYqW0QzMzTsaGRrA/edit?usp=sharing"",""เพชรบุรี!J677"")"),0)</f>
        <v>0</v>
      </c>
      <c r="AH65" s="81">
        <f ca="1">IFERROR(__xludf.DUMMYFUNCTION("IMPORTRANGE(""https://docs.google.com/spreadsheets/d/1CdNicvf3i6yt4tJlCePe3V1Va76wYqW0QzMzTsaGRrA/edit?usp=sharing"",""เพชรบุรี!I678"")"),0)</f>
        <v>0</v>
      </c>
      <c r="AI65" s="81">
        <f ca="1">IFERROR(__xludf.DUMMYFUNCTION("IMPORTRANGE(""https://docs.google.com/spreadsheets/d/1CdNicvf3i6yt4tJlCePe3V1Va76wYqW0QzMzTsaGRrA/edit?usp=sharing"",""เพชรบุรี!J678"")"),0)</f>
        <v>0</v>
      </c>
      <c r="AJ65" s="82">
        <f t="shared" ca="1" si="28"/>
        <v>0</v>
      </c>
      <c r="AK65" s="81">
        <f ca="1">IFERROR(__xludf.DUMMYFUNCTION("IMPORTRANGE(""https://docs.google.com/spreadsheets/d/1CdNicvf3i6yt4tJlCePe3V1Va76wYqW0QzMzTsaGRrA/edit?usp=sharing"",""เพชรบุรี!J679"")"),0)</f>
        <v>0</v>
      </c>
      <c r="AL65" s="81">
        <f ca="1">IFERROR(__xludf.DUMMYFUNCTION("IMPORTRANGE(""https://docs.google.com/spreadsheets/d/1CdNicvf3i6yt4tJlCePe3V1Va76wYqW0QzMzTsaGRrA/edit?usp=sharing"",""เพชรบุรี!J680"")"),0)</f>
        <v>0</v>
      </c>
      <c r="AM65" s="81">
        <f ca="1">IFERROR(__xludf.DUMMYFUNCTION("IMPORTRANGE(""https://docs.google.com/spreadsheets/d/1CdNicvf3i6yt4tJlCePe3V1Va76wYqW0QzMzTsaGRrA/edit?usp=sharing"",""เพชรบุรี!J681"")"),0)</f>
        <v>0</v>
      </c>
      <c r="AN65" s="81">
        <f ca="1">IFERROR(__xludf.DUMMYFUNCTION("IMPORTRANGE(""https://docs.google.com/spreadsheets/d/1CdNicvf3i6yt4tJlCePe3V1Va76wYqW0QzMzTsaGRrA/edit?usp=sharing"",""เพชรบุรี!J682"")"),0)</f>
        <v>0</v>
      </c>
      <c r="AO65" s="81">
        <f ca="1">IFERROR(__xludf.DUMMYFUNCTION("IMPORTRANGE(""https://docs.google.com/spreadsheets/d/1CdNicvf3i6yt4tJlCePe3V1Va76wYqW0QzMzTsaGRrA/edit?usp=sharing"",""เพชรบุรี!J683"")"),0)</f>
        <v>0</v>
      </c>
    </row>
    <row r="66" spans="1:41" ht="21" customHeight="1" x14ac:dyDescent="0.2">
      <c r="A66" s="72">
        <v>14</v>
      </c>
      <c r="B66" s="73" t="s">
        <v>83</v>
      </c>
      <c r="C66" s="74">
        <f t="shared" ca="1" si="55"/>
        <v>0</v>
      </c>
      <c r="D66" s="75">
        <f ca="1">IFERROR(__xludf.DUMMYFUNCTION("IMPORTRANGE(""https://docs.google.com/spreadsheets/d/1XiF77UIVHV0Kjc6xbXuOuJ10WgJYxd4p_22ngKVV5oM/edit?usp=sharing"",""ระยอง!L660"")"),0)</f>
        <v>0</v>
      </c>
      <c r="E66" s="76">
        <f ca="1">IFERROR(__xludf.DUMMYFUNCTION("IMPORTRANGE(""https://docs.google.com/spreadsheets/d/1XiF77UIVHV0Kjc6xbXuOuJ10WgJYxd4p_22ngKVV5oM/edit?usp=sharing"",""ระยอง!L667"")"),0)</f>
        <v>0</v>
      </c>
      <c r="F66" s="77">
        <f t="shared" ca="1" si="1"/>
        <v>0</v>
      </c>
      <c r="G66" s="78">
        <f t="shared" ca="1" si="2"/>
        <v>0</v>
      </c>
      <c r="H66" s="79">
        <f t="shared" ca="1" si="56"/>
        <v>0</v>
      </c>
      <c r="I66" s="76">
        <f ca="1">IFERROR(__xludf.DUMMYFUNCTION("IMPORTRANGE(""https://docs.google.com/spreadsheets/d/1XiF77UIVHV0Kjc6xbXuOuJ10WgJYxd4p_22ngKVV5oM/edit?usp=sharing"",""ระยอง!N661"")"),0)</f>
        <v>0</v>
      </c>
      <c r="J66" s="76">
        <f ca="1">IFERROR(__xludf.DUMMYFUNCTION("IMPORTRANGE(""https://docs.google.com/spreadsheets/d/1XiF77UIVHV0Kjc6xbXuOuJ10WgJYxd4p_22ngKVV5oM/edit?usp=sharing"",""ระยอง!N662"")"),0)</f>
        <v>0</v>
      </c>
      <c r="K66" s="76">
        <f ca="1">IFERROR(__xludf.DUMMYFUNCTION("IMPORTRANGE(""https://docs.google.com/spreadsheets/d/1XiF77UIVHV0Kjc6xbXuOuJ10WgJYxd4p_22ngKVV5oM/edit?usp=sharing"",""ระยอง!N663"")"),0)</f>
        <v>0</v>
      </c>
      <c r="L66" s="76">
        <f ca="1">IFERROR(__xludf.DUMMYFUNCTION("IMPORTRANGE(""https://docs.google.com/spreadsheets/d/1XiF77UIVHV0Kjc6xbXuOuJ10WgJYxd4p_22ngKVV5oM/edit?usp=sharing"",""ระยอง!N664"")"),0)</f>
        <v>0</v>
      </c>
      <c r="M66" s="80">
        <f ca="1">IFERROR(__xludf.DUMMYFUNCTION("IMPORTRANGE(""https://docs.google.com/spreadsheets/d/1XiF77UIVHV0Kjc6xbXuOuJ10WgJYxd4p_22ngKVV5oM/edit?usp=sharing"",""ระยอง!N667"")"),0)</f>
        <v>0</v>
      </c>
      <c r="N66" s="80">
        <f t="shared" ca="1" si="31"/>
        <v>0</v>
      </c>
      <c r="O66" s="81">
        <f ca="1">IFERROR(__xludf.DUMMYFUNCTION("IMPORTRANGE(""https://docs.google.com/spreadsheets/d/1XiF77UIVHV0Kjc6xbXuOuJ10WgJYxd4p_22ngKVV5oM/edit?usp=sharing"",""ระยอง!I669"")"),0)</f>
        <v>0</v>
      </c>
      <c r="P66" s="81">
        <f ca="1">IFERROR(__xludf.DUMMYFUNCTION("IMPORTRANGE(""https://docs.google.com/spreadsheets/d/1XiF77UIVHV0Kjc6xbXuOuJ10WgJYxd4p_22ngKVV5oM/edit?usp=sharing"",""ระยอง!J669"")"),0)</f>
        <v>0</v>
      </c>
      <c r="Q66" s="82">
        <f t="shared" ca="1" si="25"/>
        <v>0</v>
      </c>
      <c r="R66" s="81">
        <f ca="1">IFERROR(__xludf.DUMMYFUNCTION("IMPORTRANGE(""https://docs.google.com/spreadsheets/d/1XiF77UIVHV0Kjc6xbXuOuJ10WgJYxd4p_22ngKVV5oM/edit?usp=sharing"",""ระยอง!I670"")"),0)</f>
        <v>0</v>
      </c>
      <c r="S66" s="81">
        <f ca="1">IFERROR(__xludf.DUMMYFUNCTION("IMPORTRANGE(""https://docs.google.com/spreadsheets/d/1XiF77UIVHV0Kjc6xbXuOuJ10WgJYxd4p_22ngKVV5oM/edit?usp=sharing"",""ระยอง!J670"")"),0)</f>
        <v>0</v>
      </c>
      <c r="T66" s="82">
        <f t="shared" ca="1" si="26"/>
        <v>0</v>
      </c>
      <c r="U66" s="81">
        <f ca="1">IFERROR(__xludf.DUMMYFUNCTION("IMPORTRANGE(""https://docs.google.com/spreadsheets/d/1XiF77UIVHV0Kjc6xbXuOuJ10WgJYxd4p_22ngKVV5oM/edit?usp=sharing"",""ระยอง!I671"")"),0)</f>
        <v>0</v>
      </c>
      <c r="V66" s="81">
        <f ca="1">IFERROR(__xludf.DUMMYFUNCTION("IMPORTRANGE(""https://docs.google.com/spreadsheets/d/1XiF77UIVHV0Kjc6xbXuOuJ10WgJYxd4p_22ngKVV5oM/edit?usp=sharing"",""ระยอง!J671"")"),0)</f>
        <v>0</v>
      </c>
      <c r="W66" s="82">
        <f t="shared" ca="1" si="27"/>
        <v>0</v>
      </c>
      <c r="X66" s="81">
        <f ca="1">IFERROR(__xludf.DUMMYFUNCTION("IMPORTRANGE(""https://docs.google.com/spreadsheets/d/1XiF77UIVHV0Kjc6xbXuOuJ10WgJYxd4p_22ngKVV5oM/edit?usp=sharing"",""ระยอง!J672"")"),0)</f>
        <v>0</v>
      </c>
      <c r="Y66" s="276">
        <f t="shared" ca="1" si="11"/>
        <v>0</v>
      </c>
      <c r="Z66" s="81">
        <f ca="1">IFERROR(__xludf.DUMMYFUNCTION("IMPORTRANGE(""https://docs.google.com/spreadsheets/d/1XiF77UIVHV0Kjc6xbXuOuJ10WgJYxd4p_22ngKVV5oM/edit?usp=sharing"",""ระยอง!J673"")"),0)</f>
        <v>0</v>
      </c>
      <c r="AA66" s="276">
        <f t="shared" ca="1" si="12"/>
        <v>0</v>
      </c>
      <c r="AB66" s="276">
        <f ca="1">IFERROR(__xludf.DUMMYFUNCTION("IMPORTRANGE(""https://docs.google.com/spreadsheets/d/1XiF77UIVHV0Kjc6xbXuOuJ10WgJYxd4p_22ngKVV5oM/edit?usp=sharing"",""ระยอง!J674"")"),0)</f>
        <v>0</v>
      </c>
      <c r="AC66" s="82">
        <f t="shared" ca="1" si="13"/>
        <v>0</v>
      </c>
      <c r="AD66" s="276">
        <f ca="1">IFERROR(__xludf.DUMMYFUNCTION("IMPORTRANGE(""https://docs.google.com/spreadsheets/d/1XiF77UIVHV0Kjc6xbXuOuJ10WgJYxd4p_22ngKVV5oM/edit?usp=sharing"",""ระยอง!J675"")"),0)</f>
        <v>0</v>
      </c>
      <c r="AE66" s="82">
        <f t="shared" ca="1" si="22"/>
        <v>0</v>
      </c>
      <c r="AF66" s="276">
        <f ca="1">IFERROR(__xludf.DUMMYFUNCTION("IMPORTRANGE(""https://docs.google.com/spreadsheets/d/1XiF77UIVHV0Kjc6xbXuOuJ10WgJYxd4p_22ngKVV5oM/edit?usp=sharing"",""ระยอง!J676"")"),0)</f>
        <v>0</v>
      </c>
      <c r="AG66" s="276">
        <f ca="1">IFERROR(__xludf.DUMMYFUNCTION("IMPORTRANGE(""https://docs.google.com/spreadsheets/d/1XiF77UIVHV0Kjc6xbXuOuJ10WgJYxd4p_22ngKVV5oM/edit?usp=sharing"",""ระยอง!J677"")"),0)</f>
        <v>0</v>
      </c>
      <c r="AH66" s="81">
        <f ca="1">IFERROR(__xludf.DUMMYFUNCTION("IMPORTRANGE(""https://docs.google.com/spreadsheets/d/1XiF77UIVHV0Kjc6xbXuOuJ10WgJYxd4p_22ngKVV5oM/edit?usp=sharing"",""ระยอง!I678"")"),0)</f>
        <v>0</v>
      </c>
      <c r="AI66" s="81">
        <f ca="1">IFERROR(__xludf.DUMMYFUNCTION("IMPORTRANGE(""https://docs.google.com/spreadsheets/d/1XiF77UIVHV0Kjc6xbXuOuJ10WgJYxd4p_22ngKVV5oM/edit?usp=sharing"",""ระยอง!J678"")"),0)</f>
        <v>0</v>
      </c>
      <c r="AJ66" s="82">
        <f t="shared" ca="1" si="28"/>
        <v>0</v>
      </c>
      <c r="AK66" s="81">
        <f ca="1">IFERROR(__xludf.DUMMYFUNCTION("IMPORTRANGE(""https://docs.google.com/spreadsheets/d/1XiF77UIVHV0Kjc6xbXuOuJ10WgJYxd4p_22ngKVV5oM/edit?usp=sharing"",""ระยอง!J679"")"),0)</f>
        <v>0</v>
      </c>
      <c r="AL66" s="81">
        <f ca="1">IFERROR(__xludf.DUMMYFUNCTION("IMPORTRANGE(""https://docs.google.com/spreadsheets/d/1XiF77UIVHV0Kjc6xbXuOuJ10WgJYxd4p_22ngKVV5oM/edit?usp=sharing"",""ระยอง!J680"")"),0)</f>
        <v>0</v>
      </c>
      <c r="AM66" s="81">
        <f ca="1">IFERROR(__xludf.DUMMYFUNCTION("IMPORTRANGE(""https://docs.google.com/spreadsheets/d/1XiF77UIVHV0Kjc6xbXuOuJ10WgJYxd4p_22ngKVV5oM/edit?usp=sharing"",""ระยอง!J681"")"),0)</f>
        <v>0</v>
      </c>
      <c r="AN66" s="81">
        <f ca="1">IFERROR(__xludf.DUMMYFUNCTION("IMPORTRANGE(""https://docs.google.com/spreadsheets/d/1XiF77UIVHV0Kjc6xbXuOuJ10WgJYxd4p_22ngKVV5oM/edit?usp=sharing"",""ระยอง!J682"")"),0)</f>
        <v>0</v>
      </c>
      <c r="AO66" s="81">
        <f ca="1">IFERROR(__xludf.DUMMYFUNCTION("IMPORTRANGE(""https://docs.google.com/spreadsheets/d/1XiF77UIVHV0Kjc6xbXuOuJ10WgJYxd4p_22ngKVV5oM/edit?usp=sharing"",""ระยอง!J683"")"),0)</f>
        <v>0</v>
      </c>
    </row>
    <row r="67" spans="1:41" ht="21" customHeight="1" x14ac:dyDescent="0.2">
      <c r="A67" s="72">
        <v>15</v>
      </c>
      <c r="B67" s="73" t="s">
        <v>84</v>
      </c>
      <c r="C67" s="74">
        <f t="shared" ca="1" si="55"/>
        <v>0</v>
      </c>
      <c r="D67" s="75">
        <f ca="1">IFERROR(__xludf.DUMMYFUNCTION("IMPORTRANGE(""https://docs.google.com/spreadsheets/d/1qU-W_9MCQD1pgIVXGEOjCFo9QqlmJywuebyGgaN92r8/edit?usp=sharing"",""ราชบุรี!L660"")"),0)</f>
        <v>0</v>
      </c>
      <c r="E67" s="76">
        <f ca="1">IFERROR(__xludf.DUMMYFUNCTION("IMPORTRANGE(""https://docs.google.com/spreadsheets/d/1qU-W_9MCQD1pgIVXGEOjCFo9QqlmJywuebyGgaN92r8/edit?usp=sharing"",""ราชบุรี!L667"")"),0)</f>
        <v>0</v>
      </c>
      <c r="F67" s="77">
        <f t="shared" ca="1" si="1"/>
        <v>0</v>
      </c>
      <c r="G67" s="78">
        <f t="shared" ca="1" si="2"/>
        <v>0</v>
      </c>
      <c r="H67" s="79">
        <f t="shared" ca="1" si="56"/>
        <v>0</v>
      </c>
      <c r="I67" s="76">
        <f ca="1">IFERROR(__xludf.DUMMYFUNCTION("IMPORTRANGE(""https://docs.google.com/spreadsheets/d/1qU-W_9MCQD1pgIVXGEOjCFo9QqlmJywuebyGgaN92r8/edit?usp=sharing"",""ราชบุรี!N661"")"),0)</f>
        <v>0</v>
      </c>
      <c r="J67" s="76">
        <f ca="1">IFERROR(__xludf.DUMMYFUNCTION("IMPORTRANGE(""https://docs.google.com/spreadsheets/d/1qU-W_9MCQD1pgIVXGEOjCFo9QqlmJywuebyGgaN92r8/edit?usp=sharing"",""ราชบุรี!N662"")"),0)</f>
        <v>0</v>
      </c>
      <c r="K67" s="76">
        <f ca="1">IFERROR(__xludf.DUMMYFUNCTION("IMPORTRANGE(""https://docs.google.com/spreadsheets/d/1qU-W_9MCQD1pgIVXGEOjCFo9QqlmJywuebyGgaN92r8/edit?usp=sharing"",""ราชบุรี!N663"")"),0)</f>
        <v>0</v>
      </c>
      <c r="L67" s="76">
        <f ca="1">IFERROR(__xludf.DUMMYFUNCTION("IMPORTRANGE(""https://docs.google.com/spreadsheets/d/1qU-W_9MCQD1pgIVXGEOjCFo9QqlmJywuebyGgaN92r8/edit?usp=sharing"",""ราชบุรี!N664"")"),0)</f>
        <v>0</v>
      </c>
      <c r="M67" s="80">
        <f ca="1">IFERROR(__xludf.DUMMYFUNCTION("IMPORTRANGE(""https://docs.google.com/spreadsheets/d/1qU-W_9MCQD1pgIVXGEOjCFo9QqlmJywuebyGgaN92r8/edit?usp=sharing"",""ราชบุรี!N667"")"),0)</f>
        <v>0</v>
      </c>
      <c r="N67" s="80">
        <f t="shared" ca="1" si="31"/>
        <v>0</v>
      </c>
      <c r="O67" s="81">
        <f ca="1">IFERROR(__xludf.DUMMYFUNCTION("IMPORTRANGE(""https://docs.google.com/spreadsheets/d/1qU-W_9MCQD1pgIVXGEOjCFo9QqlmJywuebyGgaN92r8/edit?usp=sharing"",""ราชบุรี!I669"")"),0)</f>
        <v>0</v>
      </c>
      <c r="P67" s="81">
        <f ca="1">IFERROR(__xludf.DUMMYFUNCTION("IMPORTRANGE(""https://docs.google.com/spreadsheets/d/1qU-W_9MCQD1pgIVXGEOjCFo9QqlmJywuebyGgaN92r8/edit?usp=sharing"",""ราชบุรี!J669"")"),0)</f>
        <v>0</v>
      </c>
      <c r="Q67" s="82">
        <f t="shared" ca="1" si="25"/>
        <v>0</v>
      </c>
      <c r="R67" s="81">
        <f ca="1">IFERROR(__xludf.DUMMYFUNCTION("IMPORTRANGE(""https://docs.google.com/spreadsheets/d/1qU-W_9MCQD1pgIVXGEOjCFo9QqlmJywuebyGgaN92r8/edit?usp=sharing"",""ราชบุรี!I670"")"),0)</f>
        <v>0</v>
      </c>
      <c r="S67" s="81">
        <f ca="1">IFERROR(__xludf.DUMMYFUNCTION("IMPORTRANGE(""https://docs.google.com/spreadsheets/d/1qU-W_9MCQD1pgIVXGEOjCFo9QqlmJywuebyGgaN92r8/edit?usp=sharing"",""ราชบุรี!J670"")"),0)</f>
        <v>0</v>
      </c>
      <c r="T67" s="82">
        <f t="shared" ca="1" si="26"/>
        <v>0</v>
      </c>
      <c r="U67" s="81">
        <f ca="1">IFERROR(__xludf.DUMMYFUNCTION("IMPORTRANGE(""https://docs.google.com/spreadsheets/d/1qU-W_9MCQD1pgIVXGEOjCFo9QqlmJywuebyGgaN92r8/edit?usp=sharing"",""ราชบุรี!I671"")"),0)</f>
        <v>0</v>
      </c>
      <c r="V67" s="81">
        <f ca="1">IFERROR(__xludf.DUMMYFUNCTION("IMPORTRANGE(""https://docs.google.com/spreadsheets/d/1qU-W_9MCQD1pgIVXGEOjCFo9QqlmJywuebyGgaN92r8/edit?usp=sharing"",""ราชบุรี!J671"")"),0)</f>
        <v>0</v>
      </c>
      <c r="W67" s="82">
        <f t="shared" ca="1" si="27"/>
        <v>0</v>
      </c>
      <c r="X67" s="81">
        <f ca="1">IFERROR(__xludf.DUMMYFUNCTION("IMPORTRANGE(""https://docs.google.com/spreadsheets/d/1qU-W_9MCQD1pgIVXGEOjCFo9QqlmJywuebyGgaN92r8/edit?usp=sharing"",""ราชบุรี!J672"")"),0)</f>
        <v>0</v>
      </c>
      <c r="Y67" s="276">
        <f t="shared" ca="1" si="11"/>
        <v>0</v>
      </c>
      <c r="Z67" s="81">
        <f ca="1">IFERROR(__xludf.DUMMYFUNCTION("IMPORTRANGE(""https://docs.google.com/spreadsheets/d/1qU-W_9MCQD1pgIVXGEOjCFo9QqlmJywuebyGgaN92r8/edit?usp=sharing"",""ราชบุรี!J673"")"),0)</f>
        <v>0</v>
      </c>
      <c r="AA67" s="276">
        <f t="shared" ca="1" si="12"/>
        <v>0</v>
      </c>
      <c r="AB67" s="276">
        <f ca="1">IFERROR(__xludf.DUMMYFUNCTION("IMPORTRANGE(""https://docs.google.com/spreadsheets/d/1qU-W_9MCQD1pgIVXGEOjCFo9QqlmJywuebyGgaN92r8/edit?usp=sharing"",""ราชบุรี!J674"")"),0)</f>
        <v>0</v>
      </c>
      <c r="AC67" s="82">
        <f t="shared" ca="1" si="13"/>
        <v>0</v>
      </c>
      <c r="AD67" s="276">
        <f ca="1">IFERROR(__xludf.DUMMYFUNCTION("IMPORTRANGE(""https://docs.google.com/spreadsheets/d/1qU-W_9MCQD1pgIVXGEOjCFo9QqlmJywuebyGgaN92r8/edit?usp=sharing"",""ราชบุรี!J675"")"),0)</f>
        <v>0</v>
      </c>
      <c r="AE67" s="82">
        <f t="shared" ca="1" si="22"/>
        <v>0</v>
      </c>
      <c r="AF67" s="276">
        <f ca="1">IFERROR(__xludf.DUMMYFUNCTION("IMPORTRANGE(""https://docs.google.com/spreadsheets/d/1qU-W_9MCQD1pgIVXGEOjCFo9QqlmJywuebyGgaN92r8/edit?usp=sharing"",""ราชบุรี!J676"")"),0)</f>
        <v>0</v>
      </c>
      <c r="AG67" s="276">
        <f ca="1">IFERROR(__xludf.DUMMYFUNCTION("IMPORTRANGE(""https://docs.google.com/spreadsheets/d/1qU-W_9MCQD1pgIVXGEOjCFo9QqlmJywuebyGgaN92r8/edit?usp=sharing"",""ราชบุรี!J677"")"),0)</f>
        <v>0</v>
      </c>
      <c r="AH67" s="81">
        <f ca="1">IFERROR(__xludf.DUMMYFUNCTION("IMPORTRANGE(""https://docs.google.com/spreadsheets/d/1qU-W_9MCQD1pgIVXGEOjCFo9QqlmJywuebyGgaN92r8/edit?usp=sharing"",""ราชบุรี!I678"")"),0)</f>
        <v>0</v>
      </c>
      <c r="AI67" s="81">
        <f ca="1">IFERROR(__xludf.DUMMYFUNCTION("IMPORTRANGE(""https://docs.google.com/spreadsheets/d/1qU-W_9MCQD1pgIVXGEOjCFo9QqlmJywuebyGgaN92r8/edit?usp=sharing"",""ราชบุรี!J678"")"),0)</f>
        <v>0</v>
      </c>
      <c r="AJ67" s="82">
        <f t="shared" ca="1" si="28"/>
        <v>0</v>
      </c>
      <c r="AK67" s="81">
        <f ca="1">IFERROR(__xludf.DUMMYFUNCTION("IMPORTRANGE(""https://docs.google.com/spreadsheets/d/1qU-W_9MCQD1pgIVXGEOjCFo9QqlmJywuebyGgaN92r8/edit?usp=sharing"",""ราชบุรี!J679"")"),0)</f>
        <v>0</v>
      </c>
      <c r="AL67" s="81">
        <f ca="1">IFERROR(__xludf.DUMMYFUNCTION("IMPORTRANGE(""https://docs.google.com/spreadsheets/d/1qU-W_9MCQD1pgIVXGEOjCFo9QqlmJywuebyGgaN92r8/edit?usp=sharing"",""ราชบุรี!J680"")"),0)</f>
        <v>0</v>
      </c>
      <c r="AM67" s="81">
        <f ca="1">IFERROR(__xludf.DUMMYFUNCTION("IMPORTRANGE(""https://docs.google.com/spreadsheets/d/1qU-W_9MCQD1pgIVXGEOjCFo9QqlmJywuebyGgaN92r8/edit?usp=sharing"",""ราชบุรี!J681"")"),0)</f>
        <v>0</v>
      </c>
      <c r="AN67" s="81">
        <f ca="1">IFERROR(__xludf.DUMMYFUNCTION("IMPORTRANGE(""https://docs.google.com/spreadsheets/d/1qU-W_9MCQD1pgIVXGEOjCFo9QqlmJywuebyGgaN92r8/edit?usp=sharing"",""ราชบุรี!J682"")"),0)</f>
        <v>0</v>
      </c>
      <c r="AO67" s="81">
        <f ca="1">IFERROR(__xludf.DUMMYFUNCTION("IMPORTRANGE(""https://docs.google.com/spreadsheets/d/1qU-W_9MCQD1pgIVXGEOjCFo9QqlmJywuebyGgaN92r8/edit?usp=sharing"",""ราชบุรี!J683"")"),0)</f>
        <v>0</v>
      </c>
    </row>
    <row r="68" spans="1:41" ht="24" customHeight="1" x14ac:dyDescent="0.2">
      <c r="A68" s="72">
        <v>16</v>
      </c>
      <c r="B68" s="73" t="s">
        <v>85</v>
      </c>
      <c r="C68" s="74">
        <f t="shared" ca="1" si="55"/>
        <v>11000</v>
      </c>
      <c r="D68" s="75">
        <f ca="1">IFERROR(__xludf.DUMMYFUNCTION("IMPORTRANGE(""https://docs.google.com/spreadsheets/d/1xYFIxIM_CspAP5Q-5Zx_V0T_Ut3cjryrjd2hss28vGk/edit?usp=sharing"",""ลพบุรี!L660"")"),11000)</f>
        <v>11000</v>
      </c>
      <c r="E68" s="76">
        <f ca="1">IFERROR(__xludf.DUMMYFUNCTION("IMPORTRANGE(""https://docs.google.com/spreadsheets/d/1xYFIxIM_CspAP5Q-5Zx_V0T_Ut3cjryrjd2hss28vGk/edit?usp=sharing"",""ลพบุรี!L667"")"),0)</f>
        <v>0</v>
      </c>
      <c r="F68" s="77">
        <f t="shared" ca="1" si="1"/>
        <v>2500</v>
      </c>
      <c r="G68" s="78">
        <f t="shared" ca="1" si="2"/>
        <v>22.727272727272727</v>
      </c>
      <c r="H68" s="79">
        <f t="shared" ca="1" si="56"/>
        <v>2500</v>
      </c>
      <c r="I68" s="76">
        <f ca="1">IFERROR(__xludf.DUMMYFUNCTION("IMPORTRANGE(""https://docs.google.com/spreadsheets/d/1xYFIxIM_CspAP5Q-5Zx_V0T_Ut3cjryrjd2hss28vGk/edit?usp=sharing"",""ลพบุรี!N661"")"),0)</f>
        <v>0</v>
      </c>
      <c r="J68" s="76">
        <f ca="1">IFERROR(__xludf.DUMMYFUNCTION("IMPORTRANGE(""https://docs.google.com/spreadsheets/d/1xYFIxIM_CspAP5Q-5Zx_V0T_Ut3cjryrjd2hss28vGk/edit?usp=sharing"",""ลพบุรี!N662"")"),0)</f>
        <v>0</v>
      </c>
      <c r="K68" s="76">
        <f ca="1">IFERROR(__xludf.DUMMYFUNCTION("IMPORTRANGE(""https://docs.google.com/spreadsheets/d/1xYFIxIM_CspAP5Q-5Zx_V0T_Ut3cjryrjd2hss28vGk/edit?usp=sharing"",""ลพบุรี!N663"")"),0)</f>
        <v>0</v>
      </c>
      <c r="L68" s="76">
        <f ca="1">IFERROR(__xludf.DUMMYFUNCTION("IMPORTRANGE(""https://docs.google.com/spreadsheets/d/1xYFIxIM_CspAP5Q-5Zx_V0T_Ut3cjryrjd2hss28vGk/edit?usp=sharing"",""ลพบุรี!N664"")"),2500)</f>
        <v>2500</v>
      </c>
      <c r="M68" s="80">
        <f ca="1">IFERROR(__xludf.DUMMYFUNCTION("IMPORTRANGE(""https://docs.google.com/spreadsheets/d/1xYFIxIM_CspAP5Q-5Zx_V0T_Ut3cjryrjd2hss28vGk/edit?usp=sharing"",""ลพบุรี!N667"")"),0)</f>
        <v>0</v>
      </c>
      <c r="N68" s="80">
        <f t="shared" ca="1" si="31"/>
        <v>0</v>
      </c>
      <c r="O68" s="81">
        <f ca="1">IFERROR(__xludf.DUMMYFUNCTION("IMPORTRANGE(""https://docs.google.com/spreadsheets/d/1xYFIxIM_CspAP5Q-5Zx_V0T_Ut3cjryrjd2hss28vGk/edit?usp=sharing"",""ลพบุรี!I669"")"),50)</f>
        <v>50</v>
      </c>
      <c r="P68" s="81">
        <f ca="1">IFERROR(__xludf.DUMMYFUNCTION("IMPORTRANGE(""https://docs.google.com/spreadsheets/d/1xYFIxIM_CspAP5Q-5Zx_V0T_Ut3cjryrjd2hss28vGk/edit?usp=sharing"",""ลพบุรี!J669"")"),0)</f>
        <v>0</v>
      </c>
      <c r="Q68" s="82">
        <f t="shared" ca="1" si="25"/>
        <v>0</v>
      </c>
      <c r="R68" s="81">
        <f ca="1">IFERROR(__xludf.DUMMYFUNCTION("IMPORTRANGE(""https://docs.google.com/spreadsheets/d/1xYFIxIM_CspAP5Q-5Zx_V0T_Ut3cjryrjd2hss28vGk/edit?usp=sharing"",""ลพบุรี!I670"")"),5)</f>
        <v>5</v>
      </c>
      <c r="S68" s="81">
        <f ca="1">IFERROR(__xludf.DUMMYFUNCTION("IMPORTRANGE(""https://docs.google.com/spreadsheets/d/1xYFIxIM_CspAP5Q-5Zx_V0T_Ut3cjryrjd2hss28vGk/edit?usp=sharing"",""ลพบุรี!J670"")"),5)</f>
        <v>5</v>
      </c>
      <c r="T68" s="82">
        <f t="shared" ca="1" si="26"/>
        <v>100</v>
      </c>
      <c r="U68" s="81">
        <f ca="1">IFERROR(__xludf.DUMMYFUNCTION("IMPORTRANGE(""https://docs.google.com/spreadsheets/d/1xYFIxIM_CspAP5Q-5Zx_V0T_Ut3cjryrjd2hss28vGk/edit?usp=sharing"",""ลพบุรี!I671"")"),5)</f>
        <v>5</v>
      </c>
      <c r="V68" s="81">
        <f ca="1">IFERROR(__xludf.DUMMYFUNCTION("IMPORTRANGE(""https://docs.google.com/spreadsheets/d/1xYFIxIM_CspAP5Q-5Zx_V0T_Ut3cjryrjd2hss28vGk/edit?usp=sharing"",""ลพบุรี!J671"")"),5)</f>
        <v>5</v>
      </c>
      <c r="W68" s="82">
        <f t="shared" ca="1" si="27"/>
        <v>100</v>
      </c>
      <c r="X68" s="81">
        <f ca="1">IFERROR(__xludf.DUMMYFUNCTION("IMPORTRANGE(""https://docs.google.com/spreadsheets/d/1xYFIxIM_CspAP5Q-5Zx_V0T_Ut3cjryrjd2hss28vGk/edit?usp=sharing"",""ลพบุรี!J672"")"),0)</f>
        <v>0</v>
      </c>
      <c r="Y68" s="276">
        <f t="shared" ca="1" si="11"/>
        <v>0</v>
      </c>
      <c r="Z68" s="81">
        <f ca="1">IFERROR(__xludf.DUMMYFUNCTION("IMPORTRANGE(""https://docs.google.com/spreadsheets/d/1xYFIxIM_CspAP5Q-5Zx_V0T_Ut3cjryrjd2hss28vGk/edit?usp=sharing"",""ลพบุรี!J673"")"),0)</f>
        <v>0</v>
      </c>
      <c r="AA68" s="276">
        <f t="shared" ca="1" si="12"/>
        <v>0</v>
      </c>
      <c r="AB68" s="276">
        <f ca="1">IFERROR(__xludf.DUMMYFUNCTION("IMPORTRANGE(""https://docs.google.com/spreadsheets/d/1xYFIxIM_CspAP5Q-5Zx_V0T_Ut3cjryrjd2hss28vGk/edit?usp=sharing"",""ลพบุรี!J674"")"),0)</f>
        <v>0</v>
      </c>
      <c r="AC68" s="82">
        <f t="shared" ca="1" si="13"/>
        <v>0</v>
      </c>
      <c r="AD68" s="276">
        <f ca="1">IFERROR(__xludf.DUMMYFUNCTION("IMPORTRANGE(""https://docs.google.com/spreadsheets/d/1xYFIxIM_CspAP5Q-5Zx_V0T_Ut3cjryrjd2hss28vGk/edit?usp=sharing"",""ลพบุรี!J675"")"),0)</f>
        <v>0</v>
      </c>
      <c r="AE68" s="82">
        <f t="shared" ca="1" si="22"/>
        <v>0</v>
      </c>
      <c r="AF68" s="276">
        <f ca="1">IFERROR(__xludf.DUMMYFUNCTION("IMPORTRANGE(""https://docs.google.com/spreadsheets/d/1xYFIxIM_CspAP5Q-5Zx_V0T_Ut3cjryrjd2hss28vGk/edit?usp=sharing"",""ลพบุรี!J676"")"),0)</f>
        <v>0</v>
      </c>
      <c r="AG68" s="276">
        <f ca="1">IFERROR(__xludf.DUMMYFUNCTION("IMPORTRANGE(""https://docs.google.com/spreadsheets/d/1xYFIxIM_CspAP5Q-5Zx_V0T_Ut3cjryrjd2hss28vGk/edit?usp=sharing"",""ลพบุรี!J677"")"),0)</f>
        <v>0</v>
      </c>
      <c r="AH68" s="81">
        <f ca="1">IFERROR(__xludf.DUMMYFUNCTION("IMPORTRANGE(""https://docs.google.com/spreadsheets/d/1xYFIxIM_CspAP5Q-5Zx_V0T_Ut3cjryrjd2hss28vGk/edit?usp=sharing"",""ลพบุรี!I678"")"),0)</f>
        <v>0</v>
      </c>
      <c r="AI68" s="81">
        <f ca="1">IFERROR(__xludf.DUMMYFUNCTION("IMPORTRANGE(""https://docs.google.com/spreadsheets/d/1xYFIxIM_CspAP5Q-5Zx_V0T_Ut3cjryrjd2hss28vGk/edit?usp=sharing"",""ลพบุรี!J678"")"),0)</f>
        <v>0</v>
      </c>
      <c r="AJ68" s="82">
        <f t="shared" ca="1" si="28"/>
        <v>0</v>
      </c>
      <c r="AK68" s="81">
        <f ca="1">IFERROR(__xludf.DUMMYFUNCTION("IMPORTRANGE(""https://docs.google.com/spreadsheets/d/1xYFIxIM_CspAP5Q-5Zx_V0T_Ut3cjryrjd2hss28vGk/edit?usp=sharing"",""ลพบุรี!J679"")"),0)</f>
        <v>0</v>
      </c>
      <c r="AL68" s="81">
        <f ca="1">IFERROR(__xludf.DUMMYFUNCTION("IMPORTRANGE(""https://docs.google.com/spreadsheets/d/1xYFIxIM_CspAP5Q-5Zx_V0T_Ut3cjryrjd2hss28vGk/edit?usp=sharing"",""ลพบุรี!J680"")"),0)</f>
        <v>0</v>
      </c>
      <c r="AM68" s="81">
        <f ca="1">IFERROR(__xludf.DUMMYFUNCTION("IMPORTRANGE(""https://docs.google.com/spreadsheets/d/1xYFIxIM_CspAP5Q-5Zx_V0T_Ut3cjryrjd2hss28vGk/edit?usp=sharing"",""ลพบุรี!J681"")"),0)</f>
        <v>0</v>
      </c>
      <c r="AN68" s="81">
        <f ca="1">IFERROR(__xludf.DUMMYFUNCTION("IMPORTRANGE(""https://docs.google.com/spreadsheets/d/1xYFIxIM_CspAP5Q-5Zx_V0T_Ut3cjryrjd2hss28vGk/edit?usp=sharing"",""ลพบุรี!J682"")"),0)</f>
        <v>0</v>
      </c>
      <c r="AO68" s="81">
        <f ca="1">IFERROR(__xludf.DUMMYFUNCTION("IMPORTRANGE(""https://docs.google.com/spreadsheets/d/1xYFIxIM_CspAP5Q-5Zx_V0T_Ut3cjryrjd2hss28vGk/edit?usp=sharing"",""ลพบุรี!J683"")"),0)</f>
        <v>0</v>
      </c>
    </row>
    <row r="69" spans="1:41" ht="21" customHeight="1" x14ac:dyDescent="0.2">
      <c r="A69" s="72">
        <v>17</v>
      </c>
      <c r="B69" s="73" t="s">
        <v>86</v>
      </c>
      <c r="C69" s="74">
        <f t="shared" ca="1" si="55"/>
        <v>12400</v>
      </c>
      <c r="D69" s="75">
        <f ca="1">IFERROR(__xludf.DUMMYFUNCTION("IMPORTRANGE(""https://docs.google.com/spreadsheets/d/11s9m3tKsCBdPWq6syhZm27eBGbKneDLZc75co106bio/edit?usp=sharing"",""สระแก้ว!L660"")"),12400)</f>
        <v>12400</v>
      </c>
      <c r="E69" s="76">
        <f ca="1">IFERROR(__xludf.DUMMYFUNCTION("IMPORTRANGE(""https://docs.google.com/spreadsheets/d/11s9m3tKsCBdPWq6syhZm27eBGbKneDLZc75co106bio/edit?usp=sharing"",""สระแก้ว!L667"")"),0)</f>
        <v>0</v>
      </c>
      <c r="F69" s="77">
        <f t="shared" ca="1" si="1"/>
        <v>3000</v>
      </c>
      <c r="G69" s="78">
        <f t="shared" ca="1" si="2"/>
        <v>24.193548387096776</v>
      </c>
      <c r="H69" s="79">
        <f t="shared" ca="1" si="56"/>
        <v>3000</v>
      </c>
      <c r="I69" s="76">
        <f ca="1">IFERROR(__xludf.DUMMYFUNCTION("IMPORTRANGE(""https://docs.google.com/spreadsheets/d/11s9m3tKsCBdPWq6syhZm27eBGbKneDLZc75co106bio/edit?usp=sharing"",""สระแก้ว!N661"")"),0)</f>
        <v>0</v>
      </c>
      <c r="J69" s="76">
        <f ca="1">IFERROR(__xludf.DUMMYFUNCTION("IMPORTRANGE(""https://docs.google.com/spreadsheets/d/11s9m3tKsCBdPWq6syhZm27eBGbKneDLZc75co106bio/edit?usp=sharing"",""สระแก้ว!N662"")"),0)</f>
        <v>0</v>
      </c>
      <c r="K69" s="76">
        <f ca="1">IFERROR(__xludf.DUMMYFUNCTION("IMPORTRANGE(""https://docs.google.com/spreadsheets/d/11s9m3tKsCBdPWq6syhZm27eBGbKneDLZc75co106bio/edit?usp=sharing"",""สระแก้ว!N663"")"),0)</f>
        <v>0</v>
      </c>
      <c r="L69" s="76">
        <f ca="1">IFERROR(__xludf.DUMMYFUNCTION("IMPORTRANGE(""https://docs.google.com/spreadsheets/d/11s9m3tKsCBdPWq6syhZm27eBGbKneDLZc75co106bio/edit?usp=sharing"",""สระแก้ว!N664"")"),3000)</f>
        <v>3000</v>
      </c>
      <c r="M69" s="80">
        <f ca="1">IFERROR(__xludf.DUMMYFUNCTION("IMPORTRANGE(""https://docs.google.com/spreadsheets/d/11s9m3tKsCBdPWq6syhZm27eBGbKneDLZc75co106bio/edit?usp=sharing"",""สระแก้ว!N667"")"),0)</f>
        <v>0</v>
      </c>
      <c r="N69" s="80">
        <f t="shared" ca="1" si="31"/>
        <v>0</v>
      </c>
      <c r="O69" s="81">
        <f ca="1">IFERROR(__xludf.DUMMYFUNCTION("IMPORTRANGE(""https://docs.google.com/spreadsheets/d/11s9m3tKsCBdPWq6syhZm27eBGbKneDLZc75co106bio/edit?usp=sharing"",""สระแก้ว!I669"")"),100)</f>
        <v>100</v>
      </c>
      <c r="P69" s="81">
        <f ca="1">IFERROR(__xludf.DUMMYFUNCTION("IMPORTRANGE(""https://docs.google.com/spreadsheets/d/11s9m3tKsCBdPWq6syhZm27eBGbKneDLZc75co106bio/edit?usp=sharing"",""สระแก้ว!J669"")"),0)</f>
        <v>0</v>
      </c>
      <c r="Q69" s="82">
        <f t="shared" ca="1" si="25"/>
        <v>0</v>
      </c>
      <c r="R69" s="81">
        <f ca="1">IFERROR(__xludf.DUMMYFUNCTION("IMPORTRANGE(""https://docs.google.com/spreadsheets/d/11s9m3tKsCBdPWq6syhZm27eBGbKneDLZc75co106bio/edit?usp=sharing"",""สระแก้ว!I670"")"),4)</f>
        <v>4</v>
      </c>
      <c r="S69" s="81">
        <f ca="1">IFERROR(__xludf.DUMMYFUNCTION("IMPORTRANGE(""https://docs.google.com/spreadsheets/d/11s9m3tKsCBdPWq6syhZm27eBGbKneDLZc75co106bio/edit?usp=sharing"",""สระแก้ว!J670"")"),4)</f>
        <v>4</v>
      </c>
      <c r="T69" s="82">
        <f t="shared" ca="1" si="26"/>
        <v>100</v>
      </c>
      <c r="U69" s="81">
        <f ca="1">IFERROR(__xludf.DUMMYFUNCTION("IMPORTRANGE(""https://docs.google.com/spreadsheets/d/11s9m3tKsCBdPWq6syhZm27eBGbKneDLZc75co106bio/edit?usp=sharing"",""สระแก้ว!I671"")"),4)</f>
        <v>4</v>
      </c>
      <c r="V69" s="81">
        <f ca="1">IFERROR(__xludf.DUMMYFUNCTION("IMPORTRANGE(""https://docs.google.com/spreadsheets/d/11s9m3tKsCBdPWq6syhZm27eBGbKneDLZc75co106bio/edit?usp=sharing"",""สระแก้ว!J671"")"),4)</f>
        <v>4</v>
      </c>
      <c r="W69" s="82">
        <f t="shared" ca="1" si="27"/>
        <v>100</v>
      </c>
      <c r="X69" s="81">
        <f ca="1">IFERROR(__xludf.DUMMYFUNCTION("IMPORTRANGE(""https://docs.google.com/spreadsheets/d/11s9m3tKsCBdPWq6syhZm27eBGbKneDLZc75co106bio/edit?usp=sharing"",""สระแก้ว!J672"")"),0)</f>
        <v>0</v>
      </c>
      <c r="Y69" s="276">
        <f t="shared" ca="1" si="11"/>
        <v>0</v>
      </c>
      <c r="Z69" s="81">
        <f ca="1">IFERROR(__xludf.DUMMYFUNCTION("IMPORTRANGE(""https://docs.google.com/spreadsheets/d/11s9m3tKsCBdPWq6syhZm27eBGbKneDLZc75co106bio/edit?usp=sharing"",""สระแก้ว!J673"")"),0)</f>
        <v>0</v>
      </c>
      <c r="AA69" s="276">
        <f t="shared" ca="1" si="12"/>
        <v>0</v>
      </c>
      <c r="AB69" s="276">
        <f ca="1">IFERROR(__xludf.DUMMYFUNCTION("IMPORTRANGE(""https://docs.google.com/spreadsheets/d/11s9m3tKsCBdPWq6syhZm27eBGbKneDLZc75co106bio/edit?usp=sharing"",""สระแก้ว!J674"")"),0)</f>
        <v>0</v>
      </c>
      <c r="AC69" s="82">
        <f t="shared" ca="1" si="13"/>
        <v>0</v>
      </c>
      <c r="AD69" s="276">
        <f ca="1">IFERROR(__xludf.DUMMYFUNCTION("IMPORTRANGE(""https://docs.google.com/spreadsheets/d/11s9m3tKsCBdPWq6syhZm27eBGbKneDLZc75co106bio/edit?usp=sharing"",""สระแก้ว!J675"")"),0)</f>
        <v>0</v>
      </c>
      <c r="AE69" s="82">
        <f t="shared" ca="1" si="22"/>
        <v>0</v>
      </c>
      <c r="AF69" s="276">
        <f ca="1">IFERROR(__xludf.DUMMYFUNCTION("IMPORTRANGE(""https://docs.google.com/spreadsheets/d/11s9m3tKsCBdPWq6syhZm27eBGbKneDLZc75co106bio/edit?usp=sharing"",""สระแก้ว!J676"")"),0)</f>
        <v>0</v>
      </c>
      <c r="AG69" s="276">
        <f ca="1">IFERROR(__xludf.DUMMYFUNCTION("IMPORTRANGE(""https://docs.google.com/spreadsheets/d/11s9m3tKsCBdPWq6syhZm27eBGbKneDLZc75co106bio/edit?usp=sharing"",""สระแก้ว!J677"")"),0)</f>
        <v>0</v>
      </c>
      <c r="AH69" s="81">
        <f ca="1">IFERROR(__xludf.DUMMYFUNCTION("IMPORTRANGE(""https://docs.google.com/spreadsheets/d/11s9m3tKsCBdPWq6syhZm27eBGbKneDLZc75co106bio/edit?usp=sharing"",""สระแก้ว!I678"")"),0)</f>
        <v>0</v>
      </c>
      <c r="AI69" s="81">
        <f ca="1">IFERROR(__xludf.DUMMYFUNCTION("IMPORTRANGE(""https://docs.google.com/spreadsheets/d/11s9m3tKsCBdPWq6syhZm27eBGbKneDLZc75co106bio/edit?usp=sharing"",""สระแก้ว!J678"")"),0)</f>
        <v>0</v>
      </c>
      <c r="AJ69" s="82">
        <f t="shared" ca="1" si="28"/>
        <v>0</v>
      </c>
      <c r="AK69" s="81">
        <f ca="1">IFERROR(__xludf.DUMMYFUNCTION("IMPORTRANGE(""https://docs.google.com/spreadsheets/d/11s9m3tKsCBdPWq6syhZm27eBGbKneDLZc75co106bio/edit?usp=sharing"",""สระแก้ว!J679"")"),0)</f>
        <v>0</v>
      </c>
      <c r="AL69" s="81">
        <f ca="1">IFERROR(__xludf.DUMMYFUNCTION("IMPORTRANGE(""https://docs.google.com/spreadsheets/d/11s9m3tKsCBdPWq6syhZm27eBGbKneDLZc75co106bio/edit?usp=sharing"",""สระแก้ว!J680"")"),0)</f>
        <v>0</v>
      </c>
      <c r="AM69" s="81">
        <f ca="1">IFERROR(__xludf.DUMMYFUNCTION("IMPORTRANGE(""https://docs.google.com/spreadsheets/d/11s9m3tKsCBdPWq6syhZm27eBGbKneDLZc75co106bio/edit?usp=sharing"",""สระแก้ว!J681"")"),0)</f>
        <v>0</v>
      </c>
      <c r="AN69" s="81">
        <f ca="1">IFERROR(__xludf.DUMMYFUNCTION("IMPORTRANGE(""https://docs.google.com/spreadsheets/d/11s9m3tKsCBdPWq6syhZm27eBGbKneDLZc75co106bio/edit?usp=sharing"",""สระแก้ว!J682"")"),0)</f>
        <v>0</v>
      </c>
      <c r="AO69" s="81">
        <f ca="1">IFERROR(__xludf.DUMMYFUNCTION("IMPORTRANGE(""https://docs.google.com/spreadsheets/d/11s9m3tKsCBdPWq6syhZm27eBGbKneDLZc75co106bio/edit?usp=sharing"",""สระแก้ว!J683"")"),0)</f>
        <v>0</v>
      </c>
    </row>
    <row r="70" spans="1:41" ht="21" customHeight="1" x14ac:dyDescent="0.2">
      <c r="A70" s="72">
        <v>18</v>
      </c>
      <c r="B70" s="73" t="s">
        <v>87</v>
      </c>
      <c r="C70" s="74">
        <f t="shared" ca="1" si="55"/>
        <v>11000</v>
      </c>
      <c r="D70" s="75">
        <f ca="1">IFERROR(__xludf.DUMMYFUNCTION("IMPORTRANGE(""https://docs.google.com/spreadsheets/d/1Nn1EvsFPtXldgpgVb3Rcng2K2cls68LFQsBh2FyW0Bg/edit?usp=sharing"",""สระบุรี!L660"")"),11000)</f>
        <v>11000</v>
      </c>
      <c r="E70" s="76">
        <f ca="1">IFERROR(__xludf.DUMMYFUNCTION("IMPORTRANGE(""https://docs.google.com/spreadsheets/d/1Nn1EvsFPtXldgpgVb3Rcng2K2cls68LFQsBh2FyW0Bg/edit?usp=sharing"",""สระบุรี!L667"")"),0)</f>
        <v>0</v>
      </c>
      <c r="F70" s="77">
        <f t="shared" ca="1" si="1"/>
        <v>5700</v>
      </c>
      <c r="G70" s="78">
        <f t="shared" ca="1" si="2"/>
        <v>51.81818181818182</v>
      </c>
      <c r="H70" s="79">
        <f t="shared" ca="1" si="56"/>
        <v>5700</v>
      </c>
      <c r="I70" s="76">
        <f ca="1">IFERROR(__xludf.DUMMYFUNCTION("IMPORTRANGE(""https://docs.google.com/spreadsheets/d/1Nn1EvsFPtXldgpgVb3Rcng2K2cls68LFQsBh2FyW0Bg/edit?usp=sharing"",""สระบุรี!N661"")"),0)</f>
        <v>0</v>
      </c>
      <c r="J70" s="76">
        <f ca="1">IFERROR(__xludf.DUMMYFUNCTION("IMPORTRANGE(""https://docs.google.com/spreadsheets/d/1Nn1EvsFPtXldgpgVb3Rcng2K2cls68LFQsBh2FyW0Bg/edit?usp=sharing"",""สระบุรี!N662"")"),0)</f>
        <v>0</v>
      </c>
      <c r="K70" s="76">
        <f ca="1">IFERROR(__xludf.DUMMYFUNCTION("IMPORTRANGE(""https://docs.google.com/spreadsheets/d/1Nn1EvsFPtXldgpgVb3Rcng2K2cls68LFQsBh2FyW0Bg/edit?usp=sharing"",""สระบุรี!N663"")"),0)</f>
        <v>0</v>
      </c>
      <c r="L70" s="76">
        <f ca="1">IFERROR(__xludf.DUMMYFUNCTION("IMPORTRANGE(""https://docs.google.com/spreadsheets/d/1Nn1EvsFPtXldgpgVb3Rcng2K2cls68LFQsBh2FyW0Bg/edit?usp=sharing"",""สระบุรี!N664"")"),5700)</f>
        <v>5700</v>
      </c>
      <c r="M70" s="80">
        <f ca="1">IFERROR(__xludf.DUMMYFUNCTION("IMPORTRANGE(""https://docs.google.com/spreadsheets/d/1Nn1EvsFPtXldgpgVb3Rcng2K2cls68LFQsBh2FyW0Bg/edit?usp=sharing"",""สระบุรี!N667"")"),0)</f>
        <v>0</v>
      </c>
      <c r="N70" s="80">
        <f t="shared" ca="1" si="31"/>
        <v>0</v>
      </c>
      <c r="O70" s="81">
        <f ca="1">IFERROR(__xludf.DUMMYFUNCTION("IMPORTRANGE(""https://docs.google.com/spreadsheets/d/1Nn1EvsFPtXldgpgVb3Rcng2K2cls68LFQsBh2FyW0Bg/edit?usp=sharing"",""สระบุรี!I669"")"),50)</f>
        <v>50</v>
      </c>
      <c r="P70" s="81">
        <f ca="1">IFERROR(__xludf.DUMMYFUNCTION("IMPORTRANGE(""https://docs.google.com/spreadsheets/d/1Nn1EvsFPtXldgpgVb3Rcng2K2cls68LFQsBh2FyW0Bg/edit?usp=sharing"",""สระบุรี!J669"")"),0)</f>
        <v>0</v>
      </c>
      <c r="Q70" s="82">
        <f t="shared" ca="1" si="25"/>
        <v>0</v>
      </c>
      <c r="R70" s="81">
        <f ca="1">IFERROR(__xludf.DUMMYFUNCTION("IMPORTRANGE(""https://docs.google.com/spreadsheets/d/1Nn1EvsFPtXldgpgVb3Rcng2K2cls68LFQsBh2FyW0Bg/edit?usp=sharing"",""สระบุรี!I670"")"),5)</f>
        <v>5</v>
      </c>
      <c r="S70" s="81">
        <f ca="1">IFERROR(__xludf.DUMMYFUNCTION("IMPORTRANGE(""https://docs.google.com/spreadsheets/d/1Nn1EvsFPtXldgpgVb3Rcng2K2cls68LFQsBh2FyW0Bg/edit?usp=sharing"",""สระบุรี!J670"")"),0)</f>
        <v>0</v>
      </c>
      <c r="T70" s="82">
        <f t="shared" ca="1" si="26"/>
        <v>0</v>
      </c>
      <c r="U70" s="81">
        <f ca="1">IFERROR(__xludf.DUMMYFUNCTION("IMPORTRANGE(""https://docs.google.com/spreadsheets/d/1Nn1EvsFPtXldgpgVb3Rcng2K2cls68LFQsBh2FyW0Bg/edit?usp=sharing"",""สระบุรี!I671"")"),5)</f>
        <v>5</v>
      </c>
      <c r="V70" s="81">
        <f ca="1">IFERROR(__xludf.DUMMYFUNCTION("IMPORTRANGE(""https://docs.google.com/spreadsheets/d/1Nn1EvsFPtXldgpgVb3Rcng2K2cls68LFQsBh2FyW0Bg/edit?usp=sharing"",""สระบุรี!J671"")"),0)</f>
        <v>0</v>
      </c>
      <c r="W70" s="82">
        <f t="shared" ca="1" si="27"/>
        <v>0</v>
      </c>
      <c r="X70" s="81">
        <f ca="1">IFERROR(__xludf.DUMMYFUNCTION("IMPORTRANGE(""https://docs.google.com/spreadsheets/d/1Nn1EvsFPtXldgpgVb3Rcng2K2cls68LFQsBh2FyW0Bg/edit?usp=sharing"",""สระบุรี!J672"")"),0)</f>
        <v>0</v>
      </c>
      <c r="Y70" s="276">
        <f t="shared" ca="1" si="11"/>
        <v>0</v>
      </c>
      <c r="Z70" s="81">
        <f ca="1">IFERROR(__xludf.DUMMYFUNCTION("IMPORTRANGE(""https://docs.google.com/spreadsheets/d/1Nn1EvsFPtXldgpgVb3Rcng2K2cls68LFQsBh2FyW0Bg/edit?usp=sharing"",""สระบุรี!J673"")"),0)</f>
        <v>0</v>
      </c>
      <c r="AA70" s="276">
        <f t="shared" ca="1" si="12"/>
        <v>0</v>
      </c>
      <c r="AB70" s="276">
        <f ca="1">IFERROR(__xludf.DUMMYFUNCTION("IMPORTRANGE(""https://docs.google.com/spreadsheets/d/1Nn1EvsFPtXldgpgVb3Rcng2K2cls68LFQsBh2FyW0Bg/edit?usp=sharing"",""สระบุรี!J674"")"),0)</f>
        <v>0</v>
      </c>
      <c r="AC70" s="82">
        <f t="shared" ca="1" si="13"/>
        <v>0</v>
      </c>
      <c r="AD70" s="276">
        <f ca="1">IFERROR(__xludf.DUMMYFUNCTION("IMPORTRANGE(""https://docs.google.com/spreadsheets/d/1Nn1EvsFPtXldgpgVb3Rcng2K2cls68LFQsBh2FyW0Bg/edit?usp=sharing"",""สระบุรี!J675"")"),0)</f>
        <v>0</v>
      </c>
      <c r="AE70" s="82">
        <f t="shared" ca="1" si="22"/>
        <v>0</v>
      </c>
      <c r="AF70" s="276">
        <f ca="1">IFERROR(__xludf.DUMMYFUNCTION("IMPORTRANGE(""https://docs.google.com/spreadsheets/d/1Nn1EvsFPtXldgpgVb3Rcng2K2cls68LFQsBh2FyW0Bg/edit?usp=sharing"",""สระบุรี!J676"")"),0)</f>
        <v>0</v>
      </c>
      <c r="AG70" s="276">
        <f ca="1">IFERROR(__xludf.DUMMYFUNCTION("IMPORTRANGE(""https://docs.google.com/spreadsheets/d/1Nn1EvsFPtXldgpgVb3Rcng2K2cls68LFQsBh2FyW0Bg/edit?usp=sharing"",""สระบุรี!J677"")"),0)</f>
        <v>0</v>
      </c>
      <c r="AH70" s="81">
        <f ca="1">IFERROR(__xludf.DUMMYFUNCTION("IMPORTRANGE(""https://docs.google.com/spreadsheets/d/1Nn1EvsFPtXldgpgVb3Rcng2K2cls68LFQsBh2FyW0Bg/edit?usp=sharing"",""สระบุรี!I678"")"),0)</f>
        <v>0</v>
      </c>
      <c r="AI70" s="81">
        <f ca="1">IFERROR(__xludf.DUMMYFUNCTION("IMPORTRANGE(""https://docs.google.com/spreadsheets/d/1Nn1EvsFPtXldgpgVb3Rcng2K2cls68LFQsBh2FyW0Bg/edit?usp=sharing"",""สระบุรี!J678"")"),0)</f>
        <v>0</v>
      </c>
      <c r="AJ70" s="82">
        <f t="shared" ca="1" si="28"/>
        <v>0</v>
      </c>
      <c r="AK70" s="81">
        <f ca="1">IFERROR(__xludf.DUMMYFUNCTION("IMPORTRANGE(""https://docs.google.com/spreadsheets/d/1Nn1EvsFPtXldgpgVb3Rcng2K2cls68LFQsBh2FyW0Bg/edit?usp=sharing"",""สระบุรี!J679"")"),0)</f>
        <v>0</v>
      </c>
      <c r="AL70" s="81">
        <f ca="1">IFERROR(__xludf.DUMMYFUNCTION("IMPORTRANGE(""https://docs.google.com/spreadsheets/d/1Nn1EvsFPtXldgpgVb3Rcng2K2cls68LFQsBh2FyW0Bg/edit?usp=sharing"",""สระบุรี!J680"")"),0)</f>
        <v>0</v>
      </c>
      <c r="AM70" s="81">
        <f ca="1">IFERROR(__xludf.DUMMYFUNCTION("IMPORTRANGE(""https://docs.google.com/spreadsheets/d/1Nn1EvsFPtXldgpgVb3Rcng2K2cls68LFQsBh2FyW0Bg/edit?usp=sharing"",""สระบุรี!J681"")"),0)</f>
        <v>0</v>
      </c>
      <c r="AN70" s="81">
        <f ca="1">IFERROR(__xludf.DUMMYFUNCTION("IMPORTRANGE(""https://docs.google.com/spreadsheets/d/1Nn1EvsFPtXldgpgVb3Rcng2K2cls68LFQsBh2FyW0Bg/edit?usp=sharing"",""สระบุรี!J682"")"),0)</f>
        <v>0</v>
      </c>
      <c r="AO70" s="81">
        <f ca="1">IFERROR(__xludf.DUMMYFUNCTION("IMPORTRANGE(""https://docs.google.com/spreadsheets/d/1Nn1EvsFPtXldgpgVb3Rcng2K2cls68LFQsBh2FyW0Bg/edit?usp=sharing"",""สระบุรี!J683"")"),0)</f>
        <v>0</v>
      </c>
    </row>
    <row r="71" spans="1:41" ht="21" customHeight="1" x14ac:dyDescent="0.2">
      <c r="A71" s="72">
        <v>19</v>
      </c>
      <c r="B71" s="73" t="s">
        <v>88</v>
      </c>
      <c r="C71" s="74">
        <f t="shared" ca="1" si="55"/>
        <v>12400</v>
      </c>
      <c r="D71" s="75">
        <f ca="1">IFERROR(__xludf.DUMMYFUNCTION("IMPORTRANGE(""https://docs.google.com/spreadsheets/d/149xufxukrnEciK3WPbNpHwUK8BKEJxp3UcBG3Al6dA4/edit?usp=sharing"",""สิงห์บุรี!L660"")"),12400)</f>
        <v>12400</v>
      </c>
      <c r="E71" s="76">
        <f ca="1">IFERROR(__xludf.DUMMYFUNCTION("IMPORTRANGE(""https://docs.google.com/spreadsheets/d/149xufxukrnEciK3WPbNpHwUK8BKEJxp3UcBG3Al6dA4/edit?usp=sharing"",""สิงห์บุรี!L667"")"),0)</f>
        <v>0</v>
      </c>
      <c r="F71" s="77">
        <f t="shared" ca="1" si="1"/>
        <v>6900</v>
      </c>
      <c r="G71" s="78">
        <f t="shared" ca="1" si="2"/>
        <v>55.645161290322584</v>
      </c>
      <c r="H71" s="79">
        <f t="shared" ca="1" si="56"/>
        <v>6900</v>
      </c>
      <c r="I71" s="76">
        <f ca="1">IFERROR(__xludf.DUMMYFUNCTION("IMPORTRANGE(""https://docs.google.com/spreadsheets/d/149xufxukrnEciK3WPbNpHwUK8BKEJxp3UcBG3Al6dA4/edit?usp=sharing"",""สิงห์บุรี!N661"")"),0)</f>
        <v>0</v>
      </c>
      <c r="J71" s="76">
        <f ca="1">IFERROR(__xludf.DUMMYFUNCTION("IMPORTRANGE(""https://docs.google.com/spreadsheets/d/149xufxukrnEciK3WPbNpHwUK8BKEJxp3UcBG3Al6dA4/edit?usp=sharing"",""สิงห์บุรี!N662"")"),0)</f>
        <v>0</v>
      </c>
      <c r="K71" s="76">
        <f ca="1">IFERROR(__xludf.DUMMYFUNCTION("IMPORTRANGE(""https://docs.google.com/spreadsheets/d/149xufxukrnEciK3WPbNpHwUK8BKEJxp3UcBG3Al6dA4/edit?usp=sharing"",""สิงห์บุรี!N663"")"),0)</f>
        <v>0</v>
      </c>
      <c r="L71" s="76">
        <f ca="1">IFERROR(__xludf.DUMMYFUNCTION("IMPORTRANGE(""https://docs.google.com/spreadsheets/d/149xufxukrnEciK3WPbNpHwUK8BKEJxp3UcBG3Al6dA4/edit?usp=sharing"",""สิงห์บุรี!N664"")"),6900)</f>
        <v>6900</v>
      </c>
      <c r="M71" s="80">
        <f ca="1">IFERROR(__xludf.DUMMYFUNCTION("IMPORTRANGE(""https://docs.google.com/spreadsheets/d/149xufxukrnEciK3WPbNpHwUK8BKEJxp3UcBG3Al6dA4/edit?usp=sharing"",""สิงห์บุรี!N667"")"),0)</f>
        <v>0</v>
      </c>
      <c r="N71" s="80">
        <f t="shared" ca="1" si="31"/>
        <v>0</v>
      </c>
      <c r="O71" s="81">
        <f ca="1">IFERROR(__xludf.DUMMYFUNCTION("IMPORTRANGE(""https://docs.google.com/spreadsheets/d/149xufxukrnEciK3WPbNpHwUK8BKEJxp3UcBG3Al6dA4/edit?usp=sharing"",""สิงห์บุรี!I669"")"),100)</f>
        <v>100</v>
      </c>
      <c r="P71" s="81">
        <f ca="1">IFERROR(__xludf.DUMMYFUNCTION("IMPORTRANGE(""https://docs.google.com/spreadsheets/d/149xufxukrnEciK3WPbNpHwUK8BKEJxp3UcBG3Al6dA4/edit?usp=sharing"",""สิงห์บุรี!J669"")"),0)</f>
        <v>0</v>
      </c>
      <c r="Q71" s="82">
        <f t="shared" ca="1" si="25"/>
        <v>0</v>
      </c>
      <c r="R71" s="81">
        <f ca="1">IFERROR(__xludf.DUMMYFUNCTION("IMPORTRANGE(""https://docs.google.com/spreadsheets/d/149xufxukrnEciK3WPbNpHwUK8BKEJxp3UcBG3Al6dA4/edit?usp=sharing"",""สิงห์บุรี!I670"")"),4)</f>
        <v>4</v>
      </c>
      <c r="S71" s="81">
        <f ca="1">IFERROR(__xludf.DUMMYFUNCTION("IMPORTRANGE(""https://docs.google.com/spreadsheets/d/149xufxukrnEciK3WPbNpHwUK8BKEJxp3UcBG3Al6dA4/edit?usp=sharing"",""สิงห์บุรี!J670"")"),4)</f>
        <v>4</v>
      </c>
      <c r="T71" s="82">
        <f t="shared" ca="1" si="26"/>
        <v>100</v>
      </c>
      <c r="U71" s="81">
        <f ca="1">IFERROR(__xludf.DUMMYFUNCTION("IMPORTRANGE(""https://docs.google.com/spreadsheets/d/149xufxukrnEciK3WPbNpHwUK8BKEJxp3UcBG3Al6dA4/edit?usp=sharing"",""สิงห์บุรี!I671"")"),4)</f>
        <v>4</v>
      </c>
      <c r="V71" s="81">
        <f ca="1">IFERROR(__xludf.DUMMYFUNCTION("IMPORTRANGE(""https://docs.google.com/spreadsheets/d/149xufxukrnEciK3WPbNpHwUK8BKEJxp3UcBG3Al6dA4/edit?usp=sharing"",""สิงห์บุรี!J671"")"),4)</f>
        <v>4</v>
      </c>
      <c r="W71" s="82">
        <f t="shared" ca="1" si="27"/>
        <v>100</v>
      </c>
      <c r="X71" s="81">
        <f ca="1">IFERROR(__xludf.DUMMYFUNCTION("IMPORTRANGE(""https://docs.google.com/spreadsheets/d/149xufxukrnEciK3WPbNpHwUK8BKEJxp3UcBG3Al6dA4/edit?usp=sharing"",""สิงห์บุรี!J672"")"),170)</f>
        <v>170</v>
      </c>
      <c r="Y71" s="276">
        <f t="shared" ca="1" si="11"/>
        <v>170</v>
      </c>
      <c r="Z71" s="81">
        <f ca="1">IFERROR(__xludf.DUMMYFUNCTION("IMPORTRANGE(""https://docs.google.com/spreadsheets/d/149xufxukrnEciK3WPbNpHwUK8BKEJxp3UcBG3Al6dA4/edit?usp=sharing"",""สิงห์บุรี!J673"")"),55)</f>
        <v>55</v>
      </c>
      <c r="AA71" s="276">
        <f t="shared" ca="1" si="12"/>
        <v>55</v>
      </c>
      <c r="AB71" s="276">
        <f ca="1">IFERROR(__xludf.DUMMYFUNCTION("IMPORTRANGE(""https://docs.google.com/spreadsheets/d/149xufxukrnEciK3WPbNpHwUK8BKEJxp3UcBG3Al6dA4/edit?usp=sharing"",""สิงห์บุรี!J674"")"),0)</f>
        <v>0</v>
      </c>
      <c r="AC71" s="82">
        <f t="shared" ca="1" si="13"/>
        <v>0</v>
      </c>
      <c r="AD71" s="276">
        <f ca="1">IFERROR(__xludf.DUMMYFUNCTION("IMPORTRANGE(""https://docs.google.com/spreadsheets/d/149xufxukrnEciK3WPbNpHwUK8BKEJxp3UcBG3Al6dA4/edit?usp=sharing"",""สิงห์บุรี!J675"")"),0)</f>
        <v>0</v>
      </c>
      <c r="AE71" s="82">
        <f t="shared" ca="1" si="22"/>
        <v>0</v>
      </c>
      <c r="AF71" s="276">
        <f ca="1">IFERROR(__xludf.DUMMYFUNCTION("IMPORTRANGE(""https://docs.google.com/spreadsheets/d/149xufxukrnEciK3WPbNpHwUK8BKEJxp3UcBG3Al6dA4/edit?usp=sharing"",""สิงห์บุรี!J676"")"),0)</f>
        <v>0</v>
      </c>
      <c r="AG71" s="276">
        <f ca="1">IFERROR(__xludf.DUMMYFUNCTION("IMPORTRANGE(""https://docs.google.com/spreadsheets/d/149xufxukrnEciK3WPbNpHwUK8BKEJxp3UcBG3Al6dA4/edit?usp=sharing"",""สิงห์บุรี!J677"")"),0)</f>
        <v>0</v>
      </c>
      <c r="AH71" s="81">
        <f ca="1">IFERROR(__xludf.DUMMYFUNCTION("IMPORTRANGE(""https://docs.google.com/spreadsheets/d/149xufxukrnEciK3WPbNpHwUK8BKEJxp3UcBG3Al6dA4/edit?usp=sharing"",""สิงห์บุรี!I678"")"),0)</f>
        <v>0</v>
      </c>
      <c r="AI71" s="81">
        <f ca="1">IFERROR(__xludf.DUMMYFUNCTION("IMPORTRANGE(""https://docs.google.com/spreadsheets/d/149xufxukrnEciK3WPbNpHwUK8BKEJxp3UcBG3Al6dA4/edit?usp=sharing"",""สิงห์บุรี!J678"")"),0)</f>
        <v>0</v>
      </c>
      <c r="AJ71" s="82">
        <f t="shared" ca="1" si="28"/>
        <v>0</v>
      </c>
      <c r="AK71" s="81">
        <f ca="1">IFERROR(__xludf.DUMMYFUNCTION("IMPORTRANGE(""https://docs.google.com/spreadsheets/d/149xufxukrnEciK3WPbNpHwUK8BKEJxp3UcBG3Al6dA4/edit?usp=sharing"",""สิงห์บุรี!J679"")"),0)</f>
        <v>0</v>
      </c>
      <c r="AL71" s="81">
        <f ca="1">IFERROR(__xludf.DUMMYFUNCTION("IMPORTRANGE(""https://docs.google.com/spreadsheets/d/149xufxukrnEciK3WPbNpHwUK8BKEJxp3UcBG3Al6dA4/edit?usp=sharing"",""สิงห์บุรี!J680"")"),0)</f>
        <v>0</v>
      </c>
      <c r="AM71" s="81">
        <f ca="1">IFERROR(__xludf.DUMMYFUNCTION("IMPORTRANGE(""https://docs.google.com/spreadsheets/d/149xufxukrnEciK3WPbNpHwUK8BKEJxp3UcBG3Al6dA4/edit?usp=sharing"",""สิงห์บุรี!J681"")"),0)</f>
        <v>0</v>
      </c>
      <c r="AN71" s="81">
        <f ca="1">IFERROR(__xludf.DUMMYFUNCTION("IMPORTRANGE(""https://docs.google.com/spreadsheets/d/149xufxukrnEciK3WPbNpHwUK8BKEJxp3UcBG3Al6dA4/edit?usp=sharing"",""สิงห์บุรี!J682"")"),0)</f>
        <v>0</v>
      </c>
      <c r="AO71" s="81">
        <f ca="1">IFERROR(__xludf.DUMMYFUNCTION("IMPORTRANGE(""https://docs.google.com/spreadsheets/d/149xufxukrnEciK3WPbNpHwUK8BKEJxp3UcBG3Al6dA4/edit?usp=sharing"",""สิงห์บุรี!J683"")"),0)</f>
        <v>0</v>
      </c>
    </row>
    <row r="72" spans="1:41" ht="21" customHeight="1" x14ac:dyDescent="0.2">
      <c r="A72" s="72">
        <v>20</v>
      </c>
      <c r="B72" s="73" t="s">
        <v>89</v>
      </c>
      <c r="C72" s="74">
        <f t="shared" ca="1" si="55"/>
        <v>12400</v>
      </c>
      <c r="D72" s="75">
        <f ca="1">IFERROR(__xludf.DUMMYFUNCTION("IMPORTRANGE(""https://docs.google.com/spreadsheets/d/132g-zJpz2uMKimp17uOIx8A7o3w1Z25zwJyXnwsB56c/edit?usp=sharing"",""สุพรรณบุรี!L660"")"),12400)</f>
        <v>12400</v>
      </c>
      <c r="E72" s="76">
        <f ca="1">IFERROR(__xludf.DUMMYFUNCTION("IMPORTRANGE(""https://docs.google.com/spreadsheets/d/132g-zJpz2uMKimp17uOIx8A7o3w1Z25zwJyXnwsB56c/edit?usp=sharing"",""สุพรรณบุรี!L667"")"),0)</f>
        <v>0</v>
      </c>
      <c r="F72" s="77">
        <f t="shared" ca="1" si="1"/>
        <v>0</v>
      </c>
      <c r="G72" s="78">
        <f t="shared" ca="1" si="2"/>
        <v>0</v>
      </c>
      <c r="H72" s="79">
        <f t="shared" ca="1" si="56"/>
        <v>0</v>
      </c>
      <c r="I72" s="76">
        <f ca="1">IFERROR(__xludf.DUMMYFUNCTION("IMPORTRANGE(""https://docs.google.com/spreadsheets/d/132g-zJpz2uMKimp17uOIx8A7o3w1Z25zwJyXnwsB56c/edit?usp=sharing"",""สุพรรณบุรี!N661"")"),0)</f>
        <v>0</v>
      </c>
      <c r="J72" s="76">
        <f ca="1">IFERROR(__xludf.DUMMYFUNCTION("IMPORTRANGE(""https://docs.google.com/spreadsheets/d/132g-zJpz2uMKimp17uOIx8A7o3w1Z25zwJyXnwsB56c/edit?usp=sharing"",""สุพรรณบุรี!N662"")"),0)</f>
        <v>0</v>
      </c>
      <c r="K72" s="76">
        <f ca="1">IFERROR(__xludf.DUMMYFUNCTION("IMPORTRANGE(""https://docs.google.com/spreadsheets/d/132g-zJpz2uMKimp17uOIx8A7o3w1Z25zwJyXnwsB56c/edit?usp=sharing"",""สุพรรณบุรี!N663"")"),0)</f>
        <v>0</v>
      </c>
      <c r="L72" s="76">
        <f ca="1">IFERROR(__xludf.DUMMYFUNCTION("IMPORTRANGE(""https://docs.google.com/spreadsheets/d/132g-zJpz2uMKimp17uOIx8A7o3w1Z25zwJyXnwsB56c/edit?usp=sharing"",""สุพรรณบุรี!N664"")"),0)</f>
        <v>0</v>
      </c>
      <c r="M72" s="80">
        <f ca="1">IFERROR(__xludf.DUMMYFUNCTION("IMPORTRANGE(""https://docs.google.com/spreadsheets/d/132g-zJpz2uMKimp17uOIx8A7o3w1Z25zwJyXnwsB56c/edit?usp=sharing"",""สุพรรณบุรี!N667"")"),0)</f>
        <v>0</v>
      </c>
      <c r="N72" s="80">
        <f t="shared" ca="1" si="31"/>
        <v>0</v>
      </c>
      <c r="O72" s="81">
        <f ca="1">IFERROR(__xludf.DUMMYFUNCTION("IMPORTRANGE(""https://docs.google.com/spreadsheets/d/132g-zJpz2uMKimp17uOIx8A7o3w1Z25zwJyXnwsB56c/edit?usp=sharing"",""สุพรรณบุรี!I669"")"),100)</f>
        <v>100</v>
      </c>
      <c r="P72" s="81">
        <f ca="1">IFERROR(__xludf.DUMMYFUNCTION("IMPORTRANGE(""https://docs.google.com/spreadsheets/d/132g-zJpz2uMKimp17uOIx8A7o3w1Z25zwJyXnwsB56c/edit?usp=sharing"",""สุพรรณบุรี!J669"")"),0)</f>
        <v>0</v>
      </c>
      <c r="Q72" s="82">
        <f t="shared" ca="1" si="25"/>
        <v>0</v>
      </c>
      <c r="R72" s="81">
        <f ca="1">IFERROR(__xludf.DUMMYFUNCTION("IMPORTRANGE(""https://docs.google.com/spreadsheets/d/132g-zJpz2uMKimp17uOIx8A7o3w1Z25zwJyXnwsB56c/edit?usp=sharing"",""สุพรรณบุรี!I670"")"),4)</f>
        <v>4</v>
      </c>
      <c r="S72" s="81">
        <f ca="1">IFERROR(__xludf.DUMMYFUNCTION("IMPORTRANGE(""https://docs.google.com/spreadsheets/d/132g-zJpz2uMKimp17uOIx8A7o3w1Z25zwJyXnwsB56c/edit?usp=sharing"",""สุพรรณบุรี!J670"")"),4)</f>
        <v>4</v>
      </c>
      <c r="T72" s="82">
        <f t="shared" ca="1" si="26"/>
        <v>100</v>
      </c>
      <c r="U72" s="81">
        <f ca="1">IFERROR(__xludf.DUMMYFUNCTION("IMPORTRANGE(""https://docs.google.com/spreadsheets/d/132g-zJpz2uMKimp17uOIx8A7o3w1Z25zwJyXnwsB56c/edit?usp=sharing"",""สุพรรณบุรี!I671"")"),4)</f>
        <v>4</v>
      </c>
      <c r="V72" s="81">
        <f ca="1">IFERROR(__xludf.DUMMYFUNCTION("IMPORTRANGE(""https://docs.google.com/spreadsheets/d/132g-zJpz2uMKimp17uOIx8A7o3w1Z25zwJyXnwsB56c/edit?usp=sharing"",""สุพรรณบุรี!J671"")"),4)</f>
        <v>4</v>
      </c>
      <c r="W72" s="82">
        <f t="shared" ca="1" si="27"/>
        <v>100</v>
      </c>
      <c r="X72" s="81">
        <f ca="1">IFERROR(__xludf.DUMMYFUNCTION("IMPORTRANGE(""https://docs.google.com/spreadsheets/d/132g-zJpz2uMKimp17uOIx8A7o3w1Z25zwJyXnwsB56c/edit?usp=sharing"",""สุพรรณบุรี!J672"")"),0)</f>
        <v>0</v>
      </c>
      <c r="Y72" s="276">
        <f t="shared" ca="1" si="11"/>
        <v>0</v>
      </c>
      <c r="Z72" s="81">
        <f ca="1">IFERROR(__xludf.DUMMYFUNCTION("IMPORTRANGE(""https://docs.google.com/spreadsheets/d/132g-zJpz2uMKimp17uOIx8A7o3w1Z25zwJyXnwsB56c/edit?usp=sharing"",""สุพรรณบุรี!J673"")"),0)</f>
        <v>0</v>
      </c>
      <c r="AA72" s="276">
        <f t="shared" ca="1" si="12"/>
        <v>0</v>
      </c>
      <c r="AB72" s="276">
        <f ca="1">IFERROR(__xludf.DUMMYFUNCTION("IMPORTRANGE(""https://docs.google.com/spreadsheets/d/132g-zJpz2uMKimp17uOIx8A7o3w1Z25zwJyXnwsB56c/edit?usp=sharing"",""สุพรรณบุรี!J674"")"),0)</f>
        <v>0</v>
      </c>
      <c r="AC72" s="82">
        <f t="shared" ca="1" si="13"/>
        <v>0</v>
      </c>
      <c r="AD72" s="276">
        <f ca="1">IFERROR(__xludf.DUMMYFUNCTION("IMPORTRANGE(""https://docs.google.com/spreadsheets/d/132g-zJpz2uMKimp17uOIx8A7o3w1Z25zwJyXnwsB56c/edit?usp=sharing"",""สุพรรณบุรี!J675"")"),0)</f>
        <v>0</v>
      </c>
      <c r="AE72" s="82">
        <f t="shared" ca="1" si="22"/>
        <v>0</v>
      </c>
      <c r="AF72" s="276">
        <f ca="1">IFERROR(__xludf.DUMMYFUNCTION("IMPORTRANGE(""https://docs.google.com/spreadsheets/d/132g-zJpz2uMKimp17uOIx8A7o3w1Z25zwJyXnwsB56c/edit?usp=sharing"",""สุพรรณบุรี!J676"")"),0)</f>
        <v>0</v>
      </c>
      <c r="AG72" s="276">
        <f ca="1">IFERROR(__xludf.DUMMYFUNCTION("IMPORTRANGE(""https://docs.google.com/spreadsheets/d/132g-zJpz2uMKimp17uOIx8A7o3w1Z25zwJyXnwsB56c/edit?usp=sharing"",""สุพรรณบุรี!J677"")"),0)</f>
        <v>0</v>
      </c>
      <c r="AH72" s="81">
        <f ca="1">IFERROR(__xludf.DUMMYFUNCTION("IMPORTRANGE(""https://docs.google.com/spreadsheets/d/132g-zJpz2uMKimp17uOIx8A7o3w1Z25zwJyXnwsB56c/edit?usp=sharing"",""สุพรรณบุรี!I678"")"),0)</f>
        <v>0</v>
      </c>
      <c r="AI72" s="81">
        <f ca="1">IFERROR(__xludf.DUMMYFUNCTION("IMPORTRANGE(""https://docs.google.com/spreadsheets/d/132g-zJpz2uMKimp17uOIx8A7o3w1Z25zwJyXnwsB56c/edit?usp=sharing"",""สุพรรณบุรี!J678"")"),0)</f>
        <v>0</v>
      </c>
      <c r="AJ72" s="82">
        <f t="shared" ca="1" si="28"/>
        <v>0</v>
      </c>
      <c r="AK72" s="81">
        <f ca="1">IFERROR(__xludf.DUMMYFUNCTION("IMPORTRANGE(""https://docs.google.com/spreadsheets/d/132g-zJpz2uMKimp17uOIx8A7o3w1Z25zwJyXnwsB56c/edit?usp=sharing"",""สุพรรณบุรี!J679"")"),0)</f>
        <v>0</v>
      </c>
      <c r="AL72" s="81">
        <f ca="1">IFERROR(__xludf.DUMMYFUNCTION("IMPORTRANGE(""https://docs.google.com/spreadsheets/d/132g-zJpz2uMKimp17uOIx8A7o3w1Z25zwJyXnwsB56c/edit?usp=sharing"",""สุพรรณบุรี!J680"")"),0)</f>
        <v>0</v>
      </c>
      <c r="AM72" s="81">
        <f ca="1">IFERROR(__xludf.DUMMYFUNCTION("IMPORTRANGE(""https://docs.google.com/spreadsheets/d/132g-zJpz2uMKimp17uOIx8A7o3w1Z25zwJyXnwsB56c/edit?usp=sharing"",""สุพรรณบุรี!J681"")"),0)</f>
        <v>0</v>
      </c>
      <c r="AN72" s="81">
        <f ca="1">IFERROR(__xludf.DUMMYFUNCTION("IMPORTRANGE(""https://docs.google.com/spreadsheets/d/132g-zJpz2uMKimp17uOIx8A7o3w1Z25zwJyXnwsB56c/edit?usp=sharing"",""สุพรรณบุรี!J682"")"),0)</f>
        <v>0</v>
      </c>
      <c r="AO72" s="81">
        <f ca="1">IFERROR(__xludf.DUMMYFUNCTION("IMPORTRANGE(""https://docs.google.com/spreadsheets/d/132g-zJpz2uMKimp17uOIx8A7o3w1Z25zwJyXnwsB56c/edit?usp=sharing"",""สุพรรณบุรี!J683"")"),0)</f>
        <v>0</v>
      </c>
    </row>
    <row r="73" spans="1:41" ht="21" customHeight="1" x14ac:dyDescent="0.2">
      <c r="A73" s="83">
        <v>21</v>
      </c>
      <c r="B73" s="84" t="s">
        <v>90</v>
      </c>
      <c r="C73" s="85">
        <f t="shared" ca="1" si="55"/>
        <v>12400</v>
      </c>
      <c r="D73" s="86">
        <f ca="1">IFERROR(__xludf.DUMMYFUNCTION("IMPORTRANGE(""https://docs.google.com/spreadsheets/d/12Q_U0nVnFdxDFwa0pej9xvx8ZvLC9Dpi_vRro_aiG5g/edit?usp=sharing"",""อ่างทอง!L660"")"),12400)</f>
        <v>12400</v>
      </c>
      <c r="E73" s="87">
        <f ca="1">IFERROR(__xludf.DUMMYFUNCTION("IMPORTRANGE(""https://docs.google.com/spreadsheets/d/12Q_U0nVnFdxDFwa0pej9xvx8ZvLC9Dpi_vRro_aiG5g/edit?usp=sharing"",""อ่างทอง!L667"")"),0)</f>
        <v>0</v>
      </c>
      <c r="F73" s="88">
        <f t="shared" ca="1" si="1"/>
        <v>0</v>
      </c>
      <c r="G73" s="89">
        <f t="shared" ca="1" si="2"/>
        <v>0</v>
      </c>
      <c r="H73" s="90">
        <f t="shared" ca="1" si="56"/>
        <v>0</v>
      </c>
      <c r="I73" s="87">
        <f ca="1">IFERROR(__xludf.DUMMYFUNCTION("IMPORTRANGE(""https://docs.google.com/spreadsheets/d/12Q_U0nVnFdxDFwa0pej9xvx8ZvLC9Dpi_vRro_aiG5g/edit?usp=sharing"",""อ่างทอง!N661"")"),0)</f>
        <v>0</v>
      </c>
      <c r="J73" s="87">
        <f ca="1">IFERROR(__xludf.DUMMYFUNCTION("IMPORTRANGE(""https://docs.google.com/spreadsheets/d/12Q_U0nVnFdxDFwa0pej9xvx8ZvLC9Dpi_vRro_aiG5g/edit?usp=sharing"",""อ่างทอง!N662"")"),0)</f>
        <v>0</v>
      </c>
      <c r="K73" s="87">
        <f ca="1">IFERROR(__xludf.DUMMYFUNCTION("IMPORTRANGE(""https://docs.google.com/spreadsheets/d/12Q_U0nVnFdxDFwa0pej9xvx8ZvLC9Dpi_vRro_aiG5g/edit?usp=sharing"",""อ่างทอง!N663"")"),0)</f>
        <v>0</v>
      </c>
      <c r="L73" s="87">
        <f ca="1">IFERROR(__xludf.DUMMYFUNCTION("IMPORTRANGE(""https://docs.google.com/spreadsheets/d/12Q_U0nVnFdxDFwa0pej9xvx8ZvLC9Dpi_vRro_aiG5g/edit?usp=sharing"",""อ่างทอง!N664"")"),0)</f>
        <v>0</v>
      </c>
      <c r="M73" s="91">
        <f ca="1">IFERROR(__xludf.DUMMYFUNCTION("IMPORTRANGE(""https://docs.google.com/spreadsheets/d/12Q_U0nVnFdxDFwa0pej9xvx8ZvLC9Dpi_vRro_aiG5g/edit?usp=sharing"",""อ่างทอง!N667"")"),0)</f>
        <v>0</v>
      </c>
      <c r="N73" s="91">
        <f t="shared" ca="1" si="31"/>
        <v>0</v>
      </c>
      <c r="O73" s="92">
        <f ca="1">IFERROR(__xludf.DUMMYFUNCTION("IMPORTRANGE(""https://docs.google.com/spreadsheets/d/12Q_U0nVnFdxDFwa0pej9xvx8ZvLC9Dpi_vRro_aiG5g/edit?usp=sharing"",""อ่างทอง!I669"")"),100)</f>
        <v>100</v>
      </c>
      <c r="P73" s="92">
        <f ca="1">IFERROR(__xludf.DUMMYFUNCTION("IMPORTRANGE(""https://docs.google.com/spreadsheets/d/12Q_U0nVnFdxDFwa0pej9xvx8ZvLC9Dpi_vRro_aiG5g/edit?usp=sharing"",""อ่างทอง!J669"")"),0)</f>
        <v>0</v>
      </c>
      <c r="Q73" s="93">
        <f t="shared" ca="1" si="25"/>
        <v>0</v>
      </c>
      <c r="R73" s="92">
        <f ca="1">IFERROR(__xludf.DUMMYFUNCTION("IMPORTRANGE(""https://docs.google.com/spreadsheets/d/12Q_U0nVnFdxDFwa0pej9xvx8ZvLC9Dpi_vRro_aiG5g/edit?usp=sharing"",""อ่างทอง!I670"")"),4)</f>
        <v>4</v>
      </c>
      <c r="S73" s="92">
        <f ca="1">IFERROR(__xludf.DUMMYFUNCTION("IMPORTRANGE(""https://docs.google.com/spreadsheets/d/12Q_U0nVnFdxDFwa0pej9xvx8ZvLC9Dpi_vRro_aiG5g/edit?usp=sharing"",""อ่างทอง!J670"")"),0)</f>
        <v>0</v>
      </c>
      <c r="T73" s="93">
        <f t="shared" ca="1" si="26"/>
        <v>0</v>
      </c>
      <c r="U73" s="92">
        <f ca="1">IFERROR(__xludf.DUMMYFUNCTION("IMPORTRANGE(""https://docs.google.com/spreadsheets/d/12Q_U0nVnFdxDFwa0pej9xvx8ZvLC9Dpi_vRro_aiG5g/edit?usp=sharing"",""อ่างทอง!I671"")"),4)</f>
        <v>4</v>
      </c>
      <c r="V73" s="92">
        <f ca="1">IFERROR(__xludf.DUMMYFUNCTION("IMPORTRANGE(""https://docs.google.com/spreadsheets/d/12Q_U0nVnFdxDFwa0pej9xvx8ZvLC9Dpi_vRro_aiG5g/edit?usp=sharing"",""อ่างทอง!J671"")"),0)</f>
        <v>0</v>
      </c>
      <c r="W73" s="93">
        <f t="shared" ca="1" si="27"/>
        <v>0</v>
      </c>
      <c r="X73" s="92">
        <f ca="1">IFERROR(__xludf.DUMMYFUNCTION("IMPORTRANGE(""https://docs.google.com/spreadsheets/d/12Q_U0nVnFdxDFwa0pej9xvx8ZvLC9Dpi_vRro_aiG5g/edit?usp=sharing"",""อ่างทอง!J672"")"),0)</f>
        <v>0</v>
      </c>
      <c r="Y73" s="277">
        <f t="shared" ca="1" si="11"/>
        <v>0</v>
      </c>
      <c r="Z73" s="92">
        <f ca="1">IFERROR(__xludf.DUMMYFUNCTION("IMPORTRANGE(""https://docs.google.com/spreadsheets/d/12Q_U0nVnFdxDFwa0pej9xvx8ZvLC9Dpi_vRro_aiG5g/edit?usp=sharing"",""อ่างทอง!J673"")"),0)</f>
        <v>0</v>
      </c>
      <c r="AA73" s="277">
        <f t="shared" ca="1" si="12"/>
        <v>0</v>
      </c>
      <c r="AB73" s="277">
        <f ca="1">IFERROR(__xludf.DUMMYFUNCTION("IMPORTRANGE(""https://docs.google.com/spreadsheets/d/12Q_U0nVnFdxDFwa0pej9xvx8ZvLC9Dpi_vRro_aiG5g/edit?usp=sharing"",""อ่างทอง!J674"")"),0)</f>
        <v>0</v>
      </c>
      <c r="AC73" s="93">
        <f t="shared" ca="1" si="13"/>
        <v>0</v>
      </c>
      <c r="AD73" s="277">
        <f ca="1">IFERROR(__xludf.DUMMYFUNCTION("IMPORTRANGE(""https://docs.google.com/spreadsheets/d/12Q_U0nVnFdxDFwa0pej9xvx8ZvLC9Dpi_vRro_aiG5g/edit?usp=sharing"",""อ่างทอง!J675"")"),0)</f>
        <v>0</v>
      </c>
      <c r="AE73" s="93">
        <f t="shared" ca="1" si="22"/>
        <v>0</v>
      </c>
      <c r="AF73" s="277">
        <f ca="1">IFERROR(__xludf.DUMMYFUNCTION("IMPORTRANGE(""https://docs.google.com/spreadsheets/d/12Q_U0nVnFdxDFwa0pej9xvx8ZvLC9Dpi_vRro_aiG5g/edit?usp=sharing"",""อ่างทอง!J676"")"),0)</f>
        <v>0</v>
      </c>
      <c r="AG73" s="277">
        <f ca="1">IFERROR(__xludf.DUMMYFUNCTION("IMPORTRANGE(""https://docs.google.com/spreadsheets/d/12Q_U0nVnFdxDFwa0pej9xvx8ZvLC9Dpi_vRro_aiG5g/edit?usp=sharing"",""อ่างทอง!J677"")"),0)</f>
        <v>0</v>
      </c>
      <c r="AH73" s="92">
        <f ca="1">IFERROR(__xludf.DUMMYFUNCTION("IMPORTRANGE(""https://docs.google.com/spreadsheets/d/12Q_U0nVnFdxDFwa0pej9xvx8ZvLC9Dpi_vRro_aiG5g/edit?usp=sharing"",""อ่างทอง!I678"")"),0)</f>
        <v>0</v>
      </c>
      <c r="AI73" s="92">
        <f ca="1">IFERROR(__xludf.DUMMYFUNCTION("IMPORTRANGE(""https://docs.google.com/spreadsheets/d/12Q_U0nVnFdxDFwa0pej9xvx8ZvLC9Dpi_vRro_aiG5g/edit?usp=sharing"",""อ่างทอง!J678"")"),0)</f>
        <v>0</v>
      </c>
      <c r="AJ73" s="93">
        <f t="shared" ca="1" si="28"/>
        <v>0</v>
      </c>
      <c r="AK73" s="92">
        <f ca="1">IFERROR(__xludf.DUMMYFUNCTION("IMPORTRANGE(""https://docs.google.com/spreadsheets/d/12Q_U0nVnFdxDFwa0pej9xvx8ZvLC9Dpi_vRro_aiG5g/edit?usp=sharing"",""อ่างทอง!J679"")"),0)</f>
        <v>0</v>
      </c>
      <c r="AL73" s="92">
        <f ca="1">IFERROR(__xludf.DUMMYFUNCTION("IMPORTRANGE(""https://docs.google.com/spreadsheets/d/12Q_U0nVnFdxDFwa0pej9xvx8ZvLC9Dpi_vRro_aiG5g/edit?usp=sharing"",""อ่างทอง!J680"")"),0)</f>
        <v>0</v>
      </c>
      <c r="AM73" s="92">
        <f ca="1">IFERROR(__xludf.DUMMYFUNCTION("IMPORTRANGE(""https://docs.google.com/spreadsheets/d/12Q_U0nVnFdxDFwa0pej9xvx8ZvLC9Dpi_vRro_aiG5g/edit?usp=sharing"",""อ่างทอง!J681"")"),0)</f>
        <v>0</v>
      </c>
      <c r="AN73" s="92">
        <f ca="1">IFERROR(__xludf.DUMMYFUNCTION("IMPORTRANGE(""https://docs.google.com/spreadsheets/d/12Q_U0nVnFdxDFwa0pej9xvx8ZvLC9Dpi_vRro_aiG5g/edit?usp=sharing"",""อ่างทอง!J682"")"),0)</f>
        <v>0</v>
      </c>
      <c r="AO73" s="92">
        <f ca="1">IFERROR(__xludf.DUMMYFUNCTION("IMPORTRANGE(""https://docs.google.com/spreadsheets/d/12Q_U0nVnFdxDFwa0pej9xvx8ZvLC9Dpi_vRro_aiG5g/edit?usp=sharing"",""อ่างทอง!J683"")"),0)</f>
        <v>0</v>
      </c>
    </row>
    <row r="74" spans="1:41" ht="21" customHeight="1" x14ac:dyDescent="0.2">
      <c r="A74" s="303" t="s">
        <v>91</v>
      </c>
      <c r="B74" s="299"/>
      <c r="C74" s="99">
        <f t="shared" ref="C74:E74" ca="1" si="57">SUM(C75:C88)</f>
        <v>55000</v>
      </c>
      <c r="D74" s="99">
        <f t="shared" ca="1" si="57"/>
        <v>55000</v>
      </c>
      <c r="E74" s="57">
        <f t="shared" ca="1" si="57"/>
        <v>0</v>
      </c>
      <c r="F74" s="57">
        <f t="shared" ca="1" si="1"/>
        <v>30816.400000000001</v>
      </c>
      <c r="G74" s="94">
        <f t="shared" ca="1" si="2"/>
        <v>56.029818181818179</v>
      </c>
      <c r="H74" s="57">
        <f t="shared" ref="H74:M74" ca="1" si="58">SUM(H75:H88)</f>
        <v>30816.400000000001</v>
      </c>
      <c r="I74" s="57">
        <f t="shared" ca="1" si="58"/>
        <v>0</v>
      </c>
      <c r="J74" s="57">
        <f t="shared" ca="1" si="58"/>
        <v>0</v>
      </c>
      <c r="K74" s="57">
        <f t="shared" ca="1" si="58"/>
        <v>0</v>
      </c>
      <c r="L74" s="57">
        <f t="shared" ca="1" si="58"/>
        <v>30816.400000000001</v>
      </c>
      <c r="M74" s="95">
        <f t="shared" ca="1" si="58"/>
        <v>0</v>
      </c>
      <c r="N74" s="95">
        <f t="shared" ca="1" si="31"/>
        <v>0</v>
      </c>
      <c r="O74" s="57">
        <f t="shared" ref="O74:P74" ca="1" si="59">SUM(O75:O88)</f>
        <v>250</v>
      </c>
      <c r="P74" s="57">
        <f t="shared" ca="1" si="59"/>
        <v>0</v>
      </c>
      <c r="Q74" s="96">
        <f t="shared" ca="1" si="25"/>
        <v>0</v>
      </c>
      <c r="R74" s="57">
        <f t="shared" ref="R74:S74" ca="1" si="60">SUM(R75:R88)</f>
        <v>25</v>
      </c>
      <c r="S74" s="57">
        <f t="shared" ca="1" si="60"/>
        <v>25</v>
      </c>
      <c r="T74" s="96">
        <f t="shared" ca="1" si="26"/>
        <v>100</v>
      </c>
      <c r="U74" s="57">
        <f t="shared" ref="U74:V74" ca="1" si="61">SUM(U75:U88)</f>
        <v>25</v>
      </c>
      <c r="V74" s="57">
        <f t="shared" ca="1" si="61"/>
        <v>25</v>
      </c>
      <c r="W74" s="96">
        <f t="shared" ca="1" si="27"/>
        <v>100</v>
      </c>
      <c r="X74" s="57">
        <f ca="1">SUM(X75:X88)</f>
        <v>215</v>
      </c>
      <c r="Y74" s="278">
        <f t="shared" ca="1" si="11"/>
        <v>86</v>
      </c>
      <c r="Z74" s="57">
        <f ca="1">SUM(Z75:Z88)</f>
        <v>0</v>
      </c>
      <c r="AA74" s="278">
        <f t="shared" ca="1" si="12"/>
        <v>0</v>
      </c>
      <c r="AB74" s="278">
        <f ca="1">SUM(AB75:AB88)</f>
        <v>0</v>
      </c>
      <c r="AC74" s="96">
        <f t="shared" ca="1" si="13"/>
        <v>0</v>
      </c>
      <c r="AD74" s="278">
        <f ca="1">SUM(AD75:AD88)</f>
        <v>0</v>
      </c>
      <c r="AE74" s="96">
        <f t="shared" ca="1" si="22"/>
        <v>0</v>
      </c>
      <c r="AF74" s="278">
        <f t="shared" ref="AF74:AI74" ca="1" si="62">SUM(AF75:AF88)</f>
        <v>0</v>
      </c>
      <c r="AG74" s="278">
        <f t="shared" ca="1" si="62"/>
        <v>0</v>
      </c>
      <c r="AH74" s="57">
        <f t="shared" ca="1" si="62"/>
        <v>0</v>
      </c>
      <c r="AI74" s="57">
        <f t="shared" ca="1" si="62"/>
        <v>168.76</v>
      </c>
      <c r="AJ74" s="96">
        <f t="shared" ca="1" si="28"/>
        <v>0</v>
      </c>
      <c r="AK74" s="57">
        <f t="shared" ref="AK74:AO74" ca="1" si="63">SUM(AK75:AK88)</f>
        <v>168.76</v>
      </c>
      <c r="AL74" s="57">
        <f t="shared" ca="1" si="63"/>
        <v>31.56</v>
      </c>
      <c r="AM74" s="57">
        <f t="shared" ca="1" si="63"/>
        <v>137.19999999999999</v>
      </c>
      <c r="AN74" s="57">
        <f t="shared" ca="1" si="63"/>
        <v>0</v>
      </c>
      <c r="AO74" s="57">
        <f t="shared" ca="1" si="63"/>
        <v>0</v>
      </c>
    </row>
    <row r="75" spans="1:41" ht="21" customHeight="1" x14ac:dyDescent="0.2">
      <c r="A75" s="62">
        <v>1</v>
      </c>
      <c r="B75" s="63" t="s">
        <v>92</v>
      </c>
      <c r="C75" s="97">
        <f t="shared" ref="C75:C88" ca="1" si="64">D75+E75</f>
        <v>0</v>
      </c>
      <c r="D75" s="98">
        <f ca="1">IFERROR(__xludf.DUMMYFUNCTION("IMPORTRANGE(""https://docs.google.com/spreadsheets/d/1kC41EOXpGBFOW658Fs3oD8beYlym0-zO54WY-2Qnp9I/edit?usp=sharing"",""กระบี่!L660"")"),0)</f>
        <v>0</v>
      </c>
      <c r="E75" s="100">
        <f ca="1">IFERROR(__xludf.DUMMYFUNCTION("IMPORTRANGE(""https://docs.google.com/spreadsheets/d/1kC41EOXpGBFOW658Fs3oD8beYlym0-zO54WY-2Qnp9I/edit?usp=sharing"",""กระบี่!L667"")"),0)</f>
        <v>0</v>
      </c>
      <c r="F75" s="101">
        <f t="shared" ca="1" si="1"/>
        <v>0</v>
      </c>
      <c r="G75" s="102">
        <f t="shared" ca="1" si="2"/>
        <v>0</v>
      </c>
      <c r="H75" s="79">
        <f t="shared" ref="H75:H88" ca="1" si="65">I75+J75+K75+L75</f>
        <v>0</v>
      </c>
      <c r="I75" s="100">
        <f ca="1">IFERROR(__xludf.DUMMYFUNCTION("IMPORTRANGE(""https://docs.google.com/spreadsheets/d/1kC41EOXpGBFOW658Fs3oD8beYlym0-zO54WY-2Qnp9I/edit?usp=sharing"",""กระบี่!N661"")"),0)</f>
        <v>0</v>
      </c>
      <c r="J75" s="100">
        <f ca="1">IFERROR(__xludf.DUMMYFUNCTION("IMPORTRANGE(""https://docs.google.com/spreadsheets/d/1kC41EOXpGBFOW658Fs3oD8beYlym0-zO54WY-2Qnp9I/edit?usp=sharing"",""กระบี่!N662"")"),0)</f>
        <v>0</v>
      </c>
      <c r="K75" s="100">
        <f ca="1">IFERROR(__xludf.DUMMYFUNCTION("IMPORTRANGE(""https://docs.google.com/spreadsheets/d/1kC41EOXpGBFOW658Fs3oD8beYlym0-zO54WY-2Qnp9I/edit?usp=sharing"",""กระบี่!N663"")"),0)</f>
        <v>0</v>
      </c>
      <c r="L75" s="100">
        <f ca="1">IFERROR(__xludf.DUMMYFUNCTION("IMPORTRANGE(""https://docs.google.com/spreadsheets/d/1kC41EOXpGBFOW658Fs3oD8beYlym0-zO54WY-2Qnp9I/edit?usp=sharing"",""กระบี่!N664"")"),0)</f>
        <v>0</v>
      </c>
      <c r="M75" s="70">
        <f ca="1">IFERROR(__xludf.DUMMYFUNCTION("IMPORTRANGE(""https://docs.google.com/spreadsheets/d/1kC41EOXpGBFOW658Fs3oD8beYlym0-zO54WY-2Qnp9I/edit?usp=sharing"",""กระบี่!N667"")"),0)</f>
        <v>0</v>
      </c>
      <c r="N75" s="70">
        <f t="shared" ca="1" si="31"/>
        <v>0</v>
      </c>
      <c r="O75" s="66">
        <f ca="1">IFERROR(__xludf.DUMMYFUNCTION("IMPORTRANGE(""https://docs.google.com/spreadsheets/d/1kC41EOXpGBFOW658Fs3oD8beYlym0-zO54WY-2Qnp9I/edit?usp=sharing"",""กระบี่!I669"")"),0)</f>
        <v>0</v>
      </c>
      <c r="P75" s="66">
        <f ca="1">IFERROR(__xludf.DUMMYFUNCTION("IMPORTRANGE(""https://docs.google.com/spreadsheets/d/1kC41EOXpGBFOW658Fs3oD8beYlym0-zO54WY-2Qnp9I/edit?usp=sharing"",""กระบี่!J669"")"),0)</f>
        <v>0</v>
      </c>
      <c r="Q75" s="71">
        <f t="shared" ca="1" si="25"/>
        <v>0</v>
      </c>
      <c r="R75" s="66">
        <f ca="1">IFERROR(__xludf.DUMMYFUNCTION("IMPORTRANGE(""https://docs.google.com/spreadsheets/d/1kC41EOXpGBFOW658Fs3oD8beYlym0-zO54WY-2Qnp9I/edit?usp=sharing"",""กระบี่!I670"")"),0)</f>
        <v>0</v>
      </c>
      <c r="S75" s="66">
        <f ca="1">IFERROR(__xludf.DUMMYFUNCTION("IMPORTRANGE(""https://docs.google.com/spreadsheets/d/1kC41EOXpGBFOW658Fs3oD8beYlym0-zO54WY-2Qnp9I/edit?usp=sharing"",""กระบี่!J670"")"),0)</f>
        <v>0</v>
      </c>
      <c r="T75" s="71">
        <f t="shared" ca="1" si="26"/>
        <v>0</v>
      </c>
      <c r="U75" s="66">
        <f ca="1">IFERROR(__xludf.DUMMYFUNCTION("IMPORTRANGE(""https://docs.google.com/spreadsheets/d/1kC41EOXpGBFOW658Fs3oD8beYlym0-zO54WY-2Qnp9I/edit?usp=sharing"",""กระบี่!I671"")"),0)</f>
        <v>0</v>
      </c>
      <c r="V75" s="66">
        <f ca="1">IFERROR(__xludf.DUMMYFUNCTION("IMPORTRANGE(""https://docs.google.com/spreadsheets/d/1kC41EOXpGBFOW658Fs3oD8beYlym0-zO54WY-2Qnp9I/edit?usp=sharing"",""กระบี่!J671"")"),0)</f>
        <v>0</v>
      </c>
      <c r="W75" s="71">
        <f t="shared" ca="1" si="27"/>
        <v>0</v>
      </c>
      <c r="X75" s="66">
        <f ca="1">IFERROR(__xludf.DUMMYFUNCTION("IMPORTRANGE(""https://docs.google.com/spreadsheets/d/1kC41EOXpGBFOW658Fs3oD8beYlym0-zO54WY-2Qnp9I/edit?usp=sharing"",""กระบี่!J672"")"),0)</f>
        <v>0</v>
      </c>
      <c r="Y75" s="275">
        <f t="shared" ca="1" si="11"/>
        <v>0</v>
      </c>
      <c r="Z75" s="66">
        <f ca="1">IFERROR(__xludf.DUMMYFUNCTION("IMPORTRANGE(""https://docs.google.com/spreadsheets/d/1kC41EOXpGBFOW658Fs3oD8beYlym0-zO54WY-2Qnp9I/edit?usp=sharing"",""กระบี่!J673"")"),0)</f>
        <v>0</v>
      </c>
      <c r="AA75" s="275">
        <f t="shared" ca="1" si="12"/>
        <v>0</v>
      </c>
      <c r="AB75" s="275">
        <f ca="1">IFERROR(__xludf.DUMMYFUNCTION("IMPORTRANGE(""https://docs.google.com/spreadsheets/d/1kC41EOXpGBFOW658Fs3oD8beYlym0-zO54WY-2Qnp9I/edit?usp=sharing"",""กระบี่!J674"")"),0)</f>
        <v>0</v>
      </c>
      <c r="AC75" s="71">
        <f t="shared" ca="1" si="13"/>
        <v>0</v>
      </c>
      <c r="AD75" s="275">
        <f ca="1">IFERROR(__xludf.DUMMYFUNCTION("IMPORTRANGE(""https://docs.google.com/spreadsheets/d/1kC41EOXpGBFOW658Fs3oD8beYlym0-zO54WY-2Qnp9I/edit?usp=sharing"",""กระบี่!J675"")"),0)</f>
        <v>0</v>
      </c>
      <c r="AE75" s="71">
        <f t="shared" ca="1" si="22"/>
        <v>0</v>
      </c>
      <c r="AF75" s="275">
        <f ca="1">IFERROR(__xludf.DUMMYFUNCTION("IMPORTRANGE(""https://docs.google.com/spreadsheets/d/1kC41EOXpGBFOW658Fs3oD8beYlym0-zO54WY-2Qnp9I/edit?usp=sharing"",""กระบี่!J676"")"),0)</f>
        <v>0</v>
      </c>
      <c r="AG75" s="275">
        <f ca="1">IFERROR(__xludf.DUMMYFUNCTION("IMPORTRANGE(""https://docs.google.com/spreadsheets/d/1kC41EOXpGBFOW658Fs3oD8beYlym0-zO54WY-2Qnp9I/edit?usp=sharing"",""กระบี่!J677"")"),0)</f>
        <v>0</v>
      </c>
      <c r="AH75" s="66">
        <f ca="1">IFERROR(__xludf.DUMMYFUNCTION("IMPORTRANGE(""https://docs.google.com/spreadsheets/d/1kC41EOXpGBFOW658Fs3oD8beYlym0-zO54WY-2Qnp9I/edit?usp=sharing"",""กระบี่!I678"")"),0)</f>
        <v>0</v>
      </c>
      <c r="AI75" s="66">
        <f ca="1">IFERROR(__xludf.DUMMYFUNCTION("IMPORTRANGE(""https://docs.google.com/spreadsheets/d/1kC41EOXpGBFOW658Fs3oD8beYlym0-zO54WY-2Qnp9I/edit?usp=sharing"",""กระบี่!J678"")"),0)</f>
        <v>0</v>
      </c>
      <c r="AJ75" s="71">
        <f t="shared" ca="1" si="28"/>
        <v>0</v>
      </c>
      <c r="AK75" s="66">
        <f ca="1">IFERROR(__xludf.DUMMYFUNCTION("IMPORTRANGE(""https://docs.google.com/spreadsheets/d/1kC41EOXpGBFOW658Fs3oD8beYlym0-zO54WY-2Qnp9I/edit?usp=sharing"",""กระบี่!J679"")"),0)</f>
        <v>0</v>
      </c>
      <c r="AL75" s="66">
        <f ca="1">IFERROR(__xludf.DUMMYFUNCTION("IMPORTRANGE(""https://docs.google.com/spreadsheets/d/1kC41EOXpGBFOW658Fs3oD8beYlym0-zO54WY-2Qnp9I/edit?usp=sharing"",""กระบี่!J680"")"),0)</f>
        <v>0</v>
      </c>
      <c r="AM75" s="66">
        <f ca="1">IFERROR(__xludf.DUMMYFUNCTION("IMPORTRANGE(""https://docs.google.com/spreadsheets/d/1kC41EOXpGBFOW658Fs3oD8beYlym0-zO54WY-2Qnp9I/edit?usp=sharing"",""กระบี่!J681"")"),0)</f>
        <v>0</v>
      </c>
      <c r="AN75" s="66">
        <f ca="1">IFERROR(__xludf.DUMMYFUNCTION("IMPORTRANGE(""https://docs.google.com/spreadsheets/d/1kC41EOXpGBFOW658Fs3oD8beYlym0-zO54WY-2Qnp9I/edit?usp=sharing"",""กระบี่!J682"")"),0)</f>
        <v>0</v>
      </c>
      <c r="AO75" s="66">
        <f ca="1">IFERROR(__xludf.DUMMYFUNCTION("IMPORTRANGE(""https://docs.google.com/spreadsheets/d/1kC41EOXpGBFOW658Fs3oD8beYlym0-zO54WY-2Qnp9I/edit?usp=sharing"",""กระบี่!J683"")"),0)</f>
        <v>0</v>
      </c>
    </row>
    <row r="76" spans="1:41" ht="21" customHeight="1" x14ac:dyDescent="0.2">
      <c r="A76" s="72">
        <v>2</v>
      </c>
      <c r="B76" s="73" t="s">
        <v>93</v>
      </c>
      <c r="C76" s="74">
        <f t="shared" ca="1" si="64"/>
        <v>0</v>
      </c>
      <c r="D76" s="75">
        <f ca="1">IFERROR(__xludf.DUMMYFUNCTION("IMPORTRANGE(""https://docs.google.com/spreadsheets/d/1FbzMZY_f3MDiEuK7RpCQKrilJ_kpX0Wm7QBZ1L7EjIU/edit?usp=sharing"",""ชุมพร!L660"")"),0)</f>
        <v>0</v>
      </c>
      <c r="E76" s="76">
        <f ca="1">IFERROR(__xludf.DUMMYFUNCTION("IMPORTRANGE(""https://docs.google.com/spreadsheets/d/1FbzMZY_f3MDiEuK7RpCQKrilJ_kpX0Wm7QBZ1L7EjIU/edit?usp=sharing"",""ชุมพร!L667"")"),0)</f>
        <v>0</v>
      </c>
      <c r="F76" s="77">
        <f t="shared" ca="1" si="1"/>
        <v>0</v>
      </c>
      <c r="G76" s="78">
        <f t="shared" ca="1" si="2"/>
        <v>0</v>
      </c>
      <c r="H76" s="79">
        <f t="shared" ca="1" si="65"/>
        <v>0</v>
      </c>
      <c r="I76" s="76">
        <f ca="1">IFERROR(__xludf.DUMMYFUNCTION("IMPORTRANGE(""https://docs.google.com/spreadsheets/d/1FbzMZY_f3MDiEuK7RpCQKrilJ_kpX0Wm7QBZ1L7EjIU/edit?usp=sharing"",""ชุมพร!N661"")"),0)</f>
        <v>0</v>
      </c>
      <c r="J76" s="76">
        <f ca="1">IFERROR(__xludf.DUMMYFUNCTION("IMPORTRANGE(""https://docs.google.com/spreadsheets/d/1FbzMZY_f3MDiEuK7RpCQKrilJ_kpX0Wm7QBZ1L7EjIU/edit?usp=sharing"",""ชุมพร!N662"")"),0)</f>
        <v>0</v>
      </c>
      <c r="K76" s="76">
        <f ca="1">IFERROR(__xludf.DUMMYFUNCTION("IMPORTRANGE(""https://docs.google.com/spreadsheets/d/1FbzMZY_f3MDiEuK7RpCQKrilJ_kpX0Wm7QBZ1L7EjIU/edit?usp=sharing"",""ชุมพร!N663"")"),0)</f>
        <v>0</v>
      </c>
      <c r="L76" s="76">
        <f ca="1">IFERROR(__xludf.DUMMYFUNCTION("IMPORTRANGE(""https://docs.google.com/spreadsheets/d/1FbzMZY_f3MDiEuK7RpCQKrilJ_kpX0Wm7QBZ1L7EjIU/edit?usp=sharing"",""ชุมพร!N664"")"),0)</f>
        <v>0</v>
      </c>
      <c r="M76" s="80">
        <f ca="1">IFERROR(__xludf.DUMMYFUNCTION("IMPORTRANGE(""https://docs.google.com/spreadsheets/d/1FbzMZY_f3MDiEuK7RpCQKrilJ_kpX0Wm7QBZ1L7EjIU/edit?usp=sharing"",""ชุมพร!N667"")"),0)</f>
        <v>0</v>
      </c>
      <c r="N76" s="80">
        <f t="shared" ca="1" si="31"/>
        <v>0</v>
      </c>
      <c r="O76" s="81">
        <f ca="1">IFERROR(__xludf.DUMMYFUNCTION("IMPORTRANGE(""https://docs.google.com/spreadsheets/d/1FbzMZY_f3MDiEuK7RpCQKrilJ_kpX0Wm7QBZ1L7EjIU/edit?usp=sharing"",""ชุมพร!I669"")"),0)</f>
        <v>0</v>
      </c>
      <c r="P76" s="81">
        <f ca="1">IFERROR(__xludf.DUMMYFUNCTION("IMPORTRANGE(""https://docs.google.com/spreadsheets/d/1FbzMZY_f3MDiEuK7RpCQKrilJ_kpX0Wm7QBZ1L7EjIU/edit?usp=sharing"",""ชุมพร!J669"")"),0)</f>
        <v>0</v>
      </c>
      <c r="Q76" s="82">
        <f t="shared" ca="1" si="25"/>
        <v>0</v>
      </c>
      <c r="R76" s="81">
        <f ca="1">IFERROR(__xludf.DUMMYFUNCTION("IMPORTRANGE(""https://docs.google.com/spreadsheets/d/1FbzMZY_f3MDiEuK7RpCQKrilJ_kpX0Wm7QBZ1L7EjIU/edit?usp=sharing"",""ชุมพร!I670"")"),0)</f>
        <v>0</v>
      </c>
      <c r="S76" s="81">
        <f ca="1">IFERROR(__xludf.DUMMYFUNCTION("IMPORTRANGE(""https://docs.google.com/spreadsheets/d/1FbzMZY_f3MDiEuK7RpCQKrilJ_kpX0Wm7QBZ1L7EjIU/edit?usp=sharing"",""ชุมพร!J670"")"),0)</f>
        <v>0</v>
      </c>
      <c r="T76" s="82">
        <f t="shared" ca="1" si="26"/>
        <v>0</v>
      </c>
      <c r="U76" s="81">
        <f ca="1">IFERROR(__xludf.DUMMYFUNCTION("IMPORTRANGE(""https://docs.google.com/spreadsheets/d/1FbzMZY_f3MDiEuK7RpCQKrilJ_kpX0Wm7QBZ1L7EjIU/edit?usp=sharing"",""ชุมพร!I671"")"),0)</f>
        <v>0</v>
      </c>
      <c r="V76" s="81">
        <f ca="1">IFERROR(__xludf.DUMMYFUNCTION("IMPORTRANGE(""https://docs.google.com/spreadsheets/d/1FbzMZY_f3MDiEuK7RpCQKrilJ_kpX0Wm7QBZ1L7EjIU/edit?usp=sharing"",""ชุมพร!J671"")"),0)</f>
        <v>0</v>
      </c>
      <c r="W76" s="82">
        <f t="shared" ca="1" si="27"/>
        <v>0</v>
      </c>
      <c r="X76" s="81">
        <f ca="1">IFERROR(__xludf.DUMMYFUNCTION("IMPORTRANGE(""https://docs.google.com/spreadsheets/d/1FbzMZY_f3MDiEuK7RpCQKrilJ_kpX0Wm7QBZ1L7EjIU/edit?usp=sharing"",""ชุมพร!J672"")"),0)</f>
        <v>0</v>
      </c>
      <c r="Y76" s="276">
        <f t="shared" ca="1" si="11"/>
        <v>0</v>
      </c>
      <c r="Z76" s="81">
        <f ca="1">IFERROR(__xludf.DUMMYFUNCTION("IMPORTRANGE(""https://docs.google.com/spreadsheets/d/1FbzMZY_f3MDiEuK7RpCQKrilJ_kpX0Wm7QBZ1L7EjIU/edit?usp=sharing"",""ชุมพร!J673"")"),0)</f>
        <v>0</v>
      </c>
      <c r="AA76" s="276">
        <f t="shared" ca="1" si="12"/>
        <v>0</v>
      </c>
      <c r="AB76" s="276">
        <f ca="1">IFERROR(__xludf.DUMMYFUNCTION("IMPORTRANGE(""https://docs.google.com/spreadsheets/d/1FbzMZY_f3MDiEuK7RpCQKrilJ_kpX0Wm7QBZ1L7EjIU/edit?usp=sharing"",""ชุมพร!J674"")"),0)</f>
        <v>0</v>
      </c>
      <c r="AC76" s="82">
        <f t="shared" ca="1" si="13"/>
        <v>0</v>
      </c>
      <c r="AD76" s="276">
        <f ca="1">IFERROR(__xludf.DUMMYFUNCTION("IMPORTRANGE(""https://docs.google.com/spreadsheets/d/1FbzMZY_f3MDiEuK7RpCQKrilJ_kpX0Wm7QBZ1L7EjIU/edit?usp=sharing"",""ชุมพร!J675"")"),0)</f>
        <v>0</v>
      </c>
      <c r="AE76" s="82">
        <f t="shared" ca="1" si="22"/>
        <v>0</v>
      </c>
      <c r="AF76" s="276">
        <f ca="1">IFERROR(__xludf.DUMMYFUNCTION("IMPORTRANGE(""https://docs.google.com/spreadsheets/d/1FbzMZY_f3MDiEuK7RpCQKrilJ_kpX0Wm7QBZ1L7EjIU/edit?usp=sharing"",""ชุมพร!J676"")"),0)</f>
        <v>0</v>
      </c>
      <c r="AG76" s="276">
        <f ca="1">IFERROR(__xludf.DUMMYFUNCTION("IMPORTRANGE(""https://docs.google.com/spreadsheets/d/1FbzMZY_f3MDiEuK7RpCQKrilJ_kpX0Wm7QBZ1L7EjIU/edit?usp=sharing"",""ชุมพร!J677"")"),0)</f>
        <v>0</v>
      </c>
      <c r="AH76" s="81">
        <f ca="1">IFERROR(__xludf.DUMMYFUNCTION("IMPORTRANGE(""https://docs.google.com/spreadsheets/d/1FbzMZY_f3MDiEuK7RpCQKrilJ_kpX0Wm7QBZ1L7EjIU/edit?usp=sharing"",""ชุมพร!I678"")"),0)</f>
        <v>0</v>
      </c>
      <c r="AI76" s="81">
        <f ca="1">IFERROR(__xludf.DUMMYFUNCTION("IMPORTRANGE(""https://docs.google.com/spreadsheets/d/1FbzMZY_f3MDiEuK7RpCQKrilJ_kpX0Wm7QBZ1L7EjIU/edit?usp=sharing"",""ชุมพร!J678"")"),0)</f>
        <v>0</v>
      </c>
      <c r="AJ76" s="82">
        <f t="shared" ca="1" si="28"/>
        <v>0</v>
      </c>
      <c r="AK76" s="81">
        <f ca="1">IFERROR(__xludf.DUMMYFUNCTION("IMPORTRANGE(""https://docs.google.com/spreadsheets/d/1FbzMZY_f3MDiEuK7RpCQKrilJ_kpX0Wm7QBZ1L7EjIU/edit?usp=sharing"",""ชุมพร!J679"")"),0)</f>
        <v>0</v>
      </c>
      <c r="AL76" s="81">
        <f ca="1">IFERROR(__xludf.DUMMYFUNCTION("IMPORTRANGE(""https://docs.google.com/spreadsheets/d/1FbzMZY_f3MDiEuK7RpCQKrilJ_kpX0Wm7QBZ1L7EjIU/edit?usp=sharing"",""ชุมพร!J680"")"),0)</f>
        <v>0</v>
      </c>
      <c r="AM76" s="81">
        <f ca="1">IFERROR(__xludf.DUMMYFUNCTION("IMPORTRANGE(""https://docs.google.com/spreadsheets/d/1FbzMZY_f3MDiEuK7RpCQKrilJ_kpX0Wm7QBZ1L7EjIU/edit?usp=sharing"",""ชุมพร!J681"")"),0)</f>
        <v>0</v>
      </c>
      <c r="AN76" s="81">
        <f ca="1">IFERROR(__xludf.DUMMYFUNCTION("IMPORTRANGE(""https://docs.google.com/spreadsheets/d/1FbzMZY_f3MDiEuK7RpCQKrilJ_kpX0Wm7QBZ1L7EjIU/edit?usp=sharing"",""ชุมพร!J682"")"),0)</f>
        <v>0</v>
      </c>
      <c r="AO76" s="81">
        <f ca="1">IFERROR(__xludf.DUMMYFUNCTION("IMPORTRANGE(""https://docs.google.com/spreadsheets/d/1FbzMZY_f3MDiEuK7RpCQKrilJ_kpX0Wm7QBZ1L7EjIU/edit?usp=sharing"",""ชุมพร!J683"")"),0)</f>
        <v>0</v>
      </c>
    </row>
    <row r="77" spans="1:41" ht="21" customHeight="1" x14ac:dyDescent="0.2">
      <c r="A77" s="72">
        <v>3</v>
      </c>
      <c r="B77" s="73" t="s">
        <v>94</v>
      </c>
      <c r="C77" s="74">
        <f t="shared" ca="1" si="64"/>
        <v>0</v>
      </c>
      <c r="D77" s="75">
        <f ca="1">IFERROR(__xludf.DUMMYFUNCTION("IMPORTRANGE(""https://docs.google.com/spreadsheets/d/1v5sN-00LrXuhBxw4dkh2GrG_z4l5oAqOdJRBCsUyMaM/edit?usp=sharing"",""ตรัง!L660"")"),0)</f>
        <v>0</v>
      </c>
      <c r="E77" s="76">
        <f ca="1">IFERROR(__xludf.DUMMYFUNCTION("IMPORTRANGE(""https://docs.google.com/spreadsheets/d/1v5sN-00LrXuhBxw4dkh2GrG_z4l5oAqOdJRBCsUyMaM/edit?usp=sharing"",""ตรัง!L667"")"),0)</f>
        <v>0</v>
      </c>
      <c r="F77" s="77">
        <f t="shared" ca="1" si="1"/>
        <v>0</v>
      </c>
      <c r="G77" s="78">
        <f t="shared" ca="1" si="2"/>
        <v>0</v>
      </c>
      <c r="H77" s="79">
        <f t="shared" ca="1" si="65"/>
        <v>0</v>
      </c>
      <c r="I77" s="76">
        <f ca="1">IFERROR(__xludf.DUMMYFUNCTION("IMPORTRANGE(""https://docs.google.com/spreadsheets/d/1v5sN-00LrXuhBxw4dkh2GrG_z4l5oAqOdJRBCsUyMaM/edit?usp=sharing"",""ตรัง!N661"")"),0)</f>
        <v>0</v>
      </c>
      <c r="J77" s="76">
        <f ca="1">IFERROR(__xludf.DUMMYFUNCTION("IMPORTRANGE(""https://docs.google.com/spreadsheets/d/1v5sN-00LrXuhBxw4dkh2GrG_z4l5oAqOdJRBCsUyMaM/edit?usp=sharing"",""ตรัง!N662"")"),0)</f>
        <v>0</v>
      </c>
      <c r="K77" s="76">
        <f ca="1">IFERROR(__xludf.DUMMYFUNCTION("IMPORTRANGE(""https://docs.google.com/spreadsheets/d/1v5sN-00LrXuhBxw4dkh2GrG_z4l5oAqOdJRBCsUyMaM/edit?usp=sharing"",""ตรัง!N663"")"),0)</f>
        <v>0</v>
      </c>
      <c r="L77" s="76">
        <f ca="1">IFERROR(__xludf.DUMMYFUNCTION("IMPORTRANGE(""https://docs.google.com/spreadsheets/d/1v5sN-00LrXuhBxw4dkh2GrG_z4l5oAqOdJRBCsUyMaM/edit?usp=sharing"",""ตรัง!N664"")"),0)</f>
        <v>0</v>
      </c>
      <c r="M77" s="80">
        <f ca="1">IFERROR(__xludf.DUMMYFUNCTION("IMPORTRANGE(""https://docs.google.com/spreadsheets/d/1v5sN-00LrXuhBxw4dkh2GrG_z4l5oAqOdJRBCsUyMaM/edit?usp=sharing"",""ตรัง!N667"")"),0)</f>
        <v>0</v>
      </c>
      <c r="N77" s="80">
        <f t="shared" ca="1" si="31"/>
        <v>0</v>
      </c>
      <c r="O77" s="81">
        <f ca="1">IFERROR(__xludf.DUMMYFUNCTION("IMPORTRANGE(""https://docs.google.com/spreadsheets/d/1v5sN-00LrXuhBxw4dkh2GrG_z4l5oAqOdJRBCsUyMaM/edit?usp=sharing"",""ตรัง!I669"")"),0)</f>
        <v>0</v>
      </c>
      <c r="P77" s="81">
        <f ca="1">IFERROR(__xludf.DUMMYFUNCTION("IMPORTRANGE(""https://docs.google.com/spreadsheets/d/1v5sN-00LrXuhBxw4dkh2GrG_z4l5oAqOdJRBCsUyMaM/edit?usp=sharing"",""ตรัง!J669"")"),0)</f>
        <v>0</v>
      </c>
      <c r="Q77" s="82">
        <f t="shared" ca="1" si="25"/>
        <v>0</v>
      </c>
      <c r="R77" s="81">
        <f ca="1">IFERROR(__xludf.DUMMYFUNCTION("IMPORTRANGE(""https://docs.google.com/spreadsheets/d/1v5sN-00LrXuhBxw4dkh2GrG_z4l5oAqOdJRBCsUyMaM/edit?usp=sharing"",""ตรัง!I670"")"),0)</f>
        <v>0</v>
      </c>
      <c r="S77" s="81">
        <f ca="1">IFERROR(__xludf.DUMMYFUNCTION("IMPORTRANGE(""https://docs.google.com/spreadsheets/d/1v5sN-00LrXuhBxw4dkh2GrG_z4l5oAqOdJRBCsUyMaM/edit?usp=sharing"",""ตรัง!J670"")"),0)</f>
        <v>0</v>
      </c>
      <c r="T77" s="82">
        <f t="shared" ca="1" si="26"/>
        <v>0</v>
      </c>
      <c r="U77" s="81">
        <f ca="1">IFERROR(__xludf.DUMMYFUNCTION("IMPORTRANGE(""https://docs.google.com/spreadsheets/d/1v5sN-00LrXuhBxw4dkh2GrG_z4l5oAqOdJRBCsUyMaM/edit?usp=sharing"",""ตรัง!I671"")"),0)</f>
        <v>0</v>
      </c>
      <c r="V77" s="81">
        <f ca="1">IFERROR(__xludf.DUMMYFUNCTION("IMPORTRANGE(""https://docs.google.com/spreadsheets/d/1v5sN-00LrXuhBxw4dkh2GrG_z4l5oAqOdJRBCsUyMaM/edit?usp=sharing"",""ตรัง!J671"")"),0)</f>
        <v>0</v>
      </c>
      <c r="W77" s="82">
        <f t="shared" ca="1" si="27"/>
        <v>0</v>
      </c>
      <c r="X77" s="81">
        <f ca="1">IFERROR(__xludf.DUMMYFUNCTION("IMPORTRANGE(""https://docs.google.com/spreadsheets/d/1v5sN-00LrXuhBxw4dkh2GrG_z4l5oAqOdJRBCsUyMaM/edit?usp=sharing"",""ตรัง!J672"")"),0)</f>
        <v>0</v>
      </c>
      <c r="Y77" s="276">
        <f t="shared" ca="1" si="11"/>
        <v>0</v>
      </c>
      <c r="Z77" s="81">
        <f ca="1">IFERROR(__xludf.DUMMYFUNCTION("IMPORTRANGE(""https://docs.google.com/spreadsheets/d/1v5sN-00LrXuhBxw4dkh2GrG_z4l5oAqOdJRBCsUyMaM/edit?usp=sharing"",""ตรัง!J673"")"),0)</f>
        <v>0</v>
      </c>
      <c r="AA77" s="276">
        <f t="shared" ca="1" si="12"/>
        <v>0</v>
      </c>
      <c r="AB77" s="276">
        <f ca="1">IFERROR(__xludf.DUMMYFUNCTION("IMPORTRANGE(""https://docs.google.com/spreadsheets/d/1v5sN-00LrXuhBxw4dkh2GrG_z4l5oAqOdJRBCsUyMaM/edit?usp=sharing"",""ตรัง!J674"")"),0)</f>
        <v>0</v>
      </c>
      <c r="AC77" s="82">
        <f t="shared" ca="1" si="13"/>
        <v>0</v>
      </c>
      <c r="AD77" s="276">
        <f ca="1">IFERROR(__xludf.DUMMYFUNCTION("IMPORTRANGE(""https://docs.google.com/spreadsheets/d/1v5sN-00LrXuhBxw4dkh2GrG_z4l5oAqOdJRBCsUyMaM/edit?usp=sharing"",""ตรัง!J675"")"),0)</f>
        <v>0</v>
      </c>
      <c r="AE77" s="82">
        <f t="shared" ca="1" si="22"/>
        <v>0</v>
      </c>
      <c r="AF77" s="276">
        <f ca="1">IFERROR(__xludf.DUMMYFUNCTION("IMPORTRANGE(""https://docs.google.com/spreadsheets/d/1v5sN-00LrXuhBxw4dkh2GrG_z4l5oAqOdJRBCsUyMaM/edit?usp=sharing"",""ตรัง!J676"")"),0)</f>
        <v>0</v>
      </c>
      <c r="AG77" s="276">
        <f ca="1">IFERROR(__xludf.DUMMYFUNCTION("IMPORTRANGE(""https://docs.google.com/spreadsheets/d/1v5sN-00LrXuhBxw4dkh2GrG_z4l5oAqOdJRBCsUyMaM/edit?usp=sharing"",""ตรัง!J677"")"),0)</f>
        <v>0</v>
      </c>
      <c r="AH77" s="81">
        <f ca="1">IFERROR(__xludf.DUMMYFUNCTION("IMPORTRANGE(""https://docs.google.com/spreadsheets/d/1v5sN-00LrXuhBxw4dkh2GrG_z4l5oAqOdJRBCsUyMaM/edit?usp=sharing"",""ตรัง!I678"")"),0)</f>
        <v>0</v>
      </c>
      <c r="AI77" s="81">
        <f ca="1">IFERROR(__xludf.DUMMYFUNCTION("IMPORTRANGE(""https://docs.google.com/spreadsheets/d/1v5sN-00LrXuhBxw4dkh2GrG_z4l5oAqOdJRBCsUyMaM/edit?usp=sharing"",""ตรัง!J678"")"),0)</f>
        <v>0</v>
      </c>
      <c r="AJ77" s="82">
        <f t="shared" ca="1" si="28"/>
        <v>0</v>
      </c>
      <c r="AK77" s="81">
        <f ca="1">IFERROR(__xludf.DUMMYFUNCTION("IMPORTRANGE(""https://docs.google.com/spreadsheets/d/1v5sN-00LrXuhBxw4dkh2GrG_z4l5oAqOdJRBCsUyMaM/edit?usp=sharing"",""ตรัง!J679"")"),0)</f>
        <v>0</v>
      </c>
      <c r="AL77" s="81">
        <f ca="1">IFERROR(__xludf.DUMMYFUNCTION("IMPORTRANGE(""https://docs.google.com/spreadsheets/d/1v5sN-00LrXuhBxw4dkh2GrG_z4l5oAqOdJRBCsUyMaM/edit?usp=sharing"",""ตรัง!J680"")"),0)</f>
        <v>0</v>
      </c>
      <c r="AM77" s="81">
        <f ca="1">IFERROR(__xludf.DUMMYFUNCTION("IMPORTRANGE(""https://docs.google.com/spreadsheets/d/1v5sN-00LrXuhBxw4dkh2GrG_z4l5oAqOdJRBCsUyMaM/edit?usp=sharing"",""ตรัง!J681"")"),0)</f>
        <v>0</v>
      </c>
      <c r="AN77" s="81">
        <f ca="1">IFERROR(__xludf.DUMMYFUNCTION("IMPORTRANGE(""https://docs.google.com/spreadsheets/d/1v5sN-00LrXuhBxw4dkh2GrG_z4l5oAqOdJRBCsUyMaM/edit?usp=sharing"",""ตรัง!J682"")"),0)</f>
        <v>0</v>
      </c>
      <c r="AO77" s="81">
        <f ca="1">IFERROR(__xludf.DUMMYFUNCTION("IMPORTRANGE(""https://docs.google.com/spreadsheets/d/1v5sN-00LrXuhBxw4dkh2GrG_z4l5oAqOdJRBCsUyMaM/edit?usp=sharing"",""ตรัง!J683"")"),0)</f>
        <v>0</v>
      </c>
    </row>
    <row r="78" spans="1:41" ht="21" customHeight="1" x14ac:dyDescent="0.2">
      <c r="A78" s="72">
        <v>4</v>
      </c>
      <c r="B78" s="73" t="s">
        <v>95</v>
      </c>
      <c r="C78" s="74">
        <f t="shared" ca="1" si="64"/>
        <v>0</v>
      </c>
      <c r="D78" s="75">
        <f ca="1">IFERROR(__xludf.DUMMYFUNCTION("IMPORTRANGE(""https://docs.google.com/spreadsheets/d/1T5rRTzFc79aSIvqnzkZNvwPstq829QYz_xALlO1Z0s8/edit?usp=sharing"",""นครศรีธรรมราช!L660"")"),0)</f>
        <v>0</v>
      </c>
      <c r="E78" s="76">
        <f ca="1">IFERROR(__xludf.DUMMYFUNCTION("IMPORTRANGE(""https://docs.google.com/spreadsheets/d/1T5rRTzFc79aSIvqnzkZNvwPstq829QYz_xALlO1Z0s8/edit?usp=sharing"",""นครศรีธรรมราช!L667"")"),0)</f>
        <v>0</v>
      </c>
      <c r="F78" s="77">
        <f t="shared" ca="1" si="1"/>
        <v>0</v>
      </c>
      <c r="G78" s="78">
        <f t="shared" ca="1" si="2"/>
        <v>0</v>
      </c>
      <c r="H78" s="79">
        <f t="shared" ca="1" si="65"/>
        <v>0</v>
      </c>
      <c r="I78" s="76">
        <f ca="1">IFERROR(__xludf.DUMMYFUNCTION("IMPORTRANGE(""https://docs.google.com/spreadsheets/d/1T5rRTzFc79aSIvqnzkZNvwPstq829QYz_xALlO1Z0s8/edit?usp=sharing"",""นครศรีธรรมราช!N661"")"),0)</f>
        <v>0</v>
      </c>
      <c r="J78" s="76">
        <f ca="1">IFERROR(__xludf.DUMMYFUNCTION("IMPORTRANGE(""https://docs.google.com/spreadsheets/d/1T5rRTzFc79aSIvqnzkZNvwPstq829QYz_xALlO1Z0s8/edit?usp=sharing"",""นครศรีธรรมราช!N662"")"),0)</f>
        <v>0</v>
      </c>
      <c r="K78" s="76">
        <f ca="1">IFERROR(__xludf.DUMMYFUNCTION("IMPORTRANGE(""https://docs.google.com/spreadsheets/d/1T5rRTzFc79aSIvqnzkZNvwPstq829QYz_xALlO1Z0s8/edit?usp=sharing"",""นครศรีธรรมราช!N663"")"),0)</f>
        <v>0</v>
      </c>
      <c r="L78" s="76">
        <f ca="1">IFERROR(__xludf.DUMMYFUNCTION("IMPORTRANGE(""https://docs.google.com/spreadsheets/d/1T5rRTzFc79aSIvqnzkZNvwPstq829QYz_xALlO1Z0s8/edit?usp=sharing"",""นครศรีธรรมราช!N664"")"),0)</f>
        <v>0</v>
      </c>
      <c r="M78" s="80">
        <f ca="1">IFERROR(__xludf.DUMMYFUNCTION("IMPORTRANGE(""https://docs.google.com/spreadsheets/d/1T5rRTzFc79aSIvqnzkZNvwPstq829QYz_xALlO1Z0s8/edit?usp=sharing"",""นครศรีธรรมราช!N667"")"),0)</f>
        <v>0</v>
      </c>
      <c r="N78" s="80">
        <f t="shared" ca="1" si="31"/>
        <v>0</v>
      </c>
      <c r="O78" s="81">
        <f ca="1">IFERROR(__xludf.DUMMYFUNCTION("IMPORTRANGE(""https://docs.google.com/spreadsheets/d/1T5rRTzFc79aSIvqnzkZNvwPstq829QYz_xALlO1Z0s8/edit?usp=sharing"",""นครศรีธรรมราช!I669"")"),0)</f>
        <v>0</v>
      </c>
      <c r="P78" s="81">
        <f ca="1">IFERROR(__xludf.DUMMYFUNCTION("IMPORTRANGE(""https://docs.google.com/spreadsheets/d/1T5rRTzFc79aSIvqnzkZNvwPstq829QYz_xALlO1Z0s8/edit?usp=sharing"",""นครศรีธรรมราช!J669"")"),0)</f>
        <v>0</v>
      </c>
      <c r="Q78" s="82">
        <f t="shared" ca="1" si="25"/>
        <v>0</v>
      </c>
      <c r="R78" s="81">
        <f ca="1">IFERROR(__xludf.DUMMYFUNCTION("IMPORTRANGE(""https://docs.google.com/spreadsheets/d/1T5rRTzFc79aSIvqnzkZNvwPstq829QYz_xALlO1Z0s8/edit?usp=sharing"",""นครศรีธรรมราช!I670"")"),0)</f>
        <v>0</v>
      </c>
      <c r="S78" s="81">
        <f ca="1">IFERROR(__xludf.DUMMYFUNCTION("IMPORTRANGE(""https://docs.google.com/spreadsheets/d/1T5rRTzFc79aSIvqnzkZNvwPstq829QYz_xALlO1Z0s8/edit?usp=sharing"",""นครศรีธรรมราช!J670"")"),0)</f>
        <v>0</v>
      </c>
      <c r="T78" s="82">
        <f t="shared" ca="1" si="26"/>
        <v>0</v>
      </c>
      <c r="U78" s="81">
        <f ca="1">IFERROR(__xludf.DUMMYFUNCTION("IMPORTRANGE(""https://docs.google.com/spreadsheets/d/1T5rRTzFc79aSIvqnzkZNvwPstq829QYz_xALlO1Z0s8/edit?usp=sharing"",""นครศรีธรรมราช!I671"")"),0)</f>
        <v>0</v>
      </c>
      <c r="V78" s="81">
        <f ca="1">IFERROR(__xludf.DUMMYFUNCTION("IMPORTRANGE(""https://docs.google.com/spreadsheets/d/1T5rRTzFc79aSIvqnzkZNvwPstq829QYz_xALlO1Z0s8/edit?usp=sharing"",""นครศรีธรรมราช!J671"")"),0)</f>
        <v>0</v>
      </c>
      <c r="W78" s="82">
        <f t="shared" ca="1" si="27"/>
        <v>0</v>
      </c>
      <c r="X78" s="81">
        <f ca="1">IFERROR(__xludf.DUMMYFUNCTION("IMPORTRANGE(""https://docs.google.com/spreadsheets/d/1T5rRTzFc79aSIvqnzkZNvwPstq829QYz_xALlO1Z0s8/edit?usp=sharing"",""นครศรีธรรมราช!J672"")"),0)</f>
        <v>0</v>
      </c>
      <c r="Y78" s="276">
        <f t="shared" ca="1" si="11"/>
        <v>0</v>
      </c>
      <c r="Z78" s="81">
        <f ca="1">IFERROR(__xludf.DUMMYFUNCTION("IMPORTRANGE(""https://docs.google.com/spreadsheets/d/1T5rRTzFc79aSIvqnzkZNvwPstq829QYz_xALlO1Z0s8/edit?usp=sharing"",""นครศรีธรรมราช!J673"")"),0)</f>
        <v>0</v>
      </c>
      <c r="AA78" s="276">
        <f t="shared" ca="1" si="12"/>
        <v>0</v>
      </c>
      <c r="AB78" s="276">
        <f ca="1">IFERROR(__xludf.DUMMYFUNCTION("IMPORTRANGE(""https://docs.google.com/spreadsheets/d/1T5rRTzFc79aSIvqnzkZNvwPstq829QYz_xALlO1Z0s8/edit?usp=sharing"",""นครศรีธรรมราช!J674"")"),0)</f>
        <v>0</v>
      </c>
      <c r="AC78" s="82">
        <f t="shared" ca="1" si="13"/>
        <v>0</v>
      </c>
      <c r="AD78" s="276">
        <f ca="1">IFERROR(__xludf.DUMMYFUNCTION("IMPORTRANGE(""https://docs.google.com/spreadsheets/d/1T5rRTzFc79aSIvqnzkZNvwPstq829QYz_xALlO1Z0s8/edit?usp=sharing"",""นครศรีธรรมราช!J675"")"),0)</f>
        <v>0</v>
      </c>
      <c r="AE78" s="82">
        <f t="shared" ca="1" si="22"/>
        <v>0</v>
      </c>
      <c r="AF78" s="276">
        <f ca="1">IFERROR(__xludf.DUMMYFUNCTION("IMPORTRANGE(""https://docs.google.com/spreadsheets/d/1T5rRTzFc79aSIvqnzkZNvwPstq829QYz_xALlO1Z0s8/edit?usp=sharing"",""นครศรีธรรมราช!J676"")"),0)</f>
        <v>0</v>
      </c>
      <c r="AG78" s="276">
        <f ca="1">IFERROR(__xludf.DUMMYFUNCTION("IMPORTRANGE(""https://docs.google.com/spreadsheets/d/1T5rRTzFc79aSIvqnzkZNvwPstq829QYz_xALlO1Z0s8/edit?usp=sharing"",""นครศรีธรรมราช!J677"")"),0)</f>
        <v>0</v>
      </c>
      <c r="AH78" s="81">
        <f ca="1">IFERROR(__xludf.DUMMYFUNCTION("IMPORTRANGE(""https://docs.google.com/spreadsheets/d/1T5rRTzFc79aSIvqnzkZNvwPstq829QYz_xALlO1Z0s8/edit?usp=sharing"",""นครศรีธรรมราช!I678"")"),0)</f>
        <v>0</v>
      </c>
      <c r="AI78" s="81">
        <f ca="1">IFERROR(__xludf.DUMMYFUNCTION("IMPORTRANGE(""https://docs.google.com/spreadsheets/d/1T5rRTzFc79aSIvqnzkZNvwPstq829QYz_xALlO1Z0s8/edit?usp=sharing"",""นครศรีธรรมราช!J678"")"),0)</f>
        <v>0</v>
      </c>
      <c r="AJ78" s="82">
        <f t="shared" ca="1" si="28"/>
        <v>0</v>
      </c>
      <c r="AK78" s="81">
        <f ca="1">IFERROR(__xludf.DUMMYFUNCTION("IMPORTRANGE(""https://docs.google.com/spreadsheets/d/1T5rRTzFc79aSIvqnzkZNvwPstq829QYz_xALlO1Z0s8/edit?usp=sharing"",""นครศรีธรรมราช!J679"")"),0)</f>
        <v>0</v>
      </c>
      <c r="AL78" s="81">
        <f ca="1">IFERROR(__xludf.DUMMYFUNCTION("IMPORTRANGE(""https://docs.google.com/spreadsheets/d/1T5rRTzFc79aSIvqnzkZNvwPstq829QYz_xALlO1Z0s8/edit?usp=sharing"",""นครศรีธรรมราช!J680"")"),0)</f>
        <v>0</v>
      </c>
      <c r="AM78" s="81">
        <f ca="1">IFERROR(__xludf.DUMMYFUNCTION("IMPORTRANGE(""https://docs.google.com/spreadsheets/d/1T5rRTzFc79aSIvqnzkZNvwPstq829QYz_xALlO1Z0s8/edit?usp=sharing"",""นครศรีธรรมราช!J681"")"),0)</f>
        <v>0</v>
      </c>
      <c r="AN78" s="81">
        <f ca="1">IFERROR(__xludf.DUMMYFUNCTION("IMPORTRANGE(""https://docs.google.com/spreadsheets/d/1T5rRTzFc79aSIvqnzkZNvwPstq829QYz_xALlO1Z0s8/edit?usp=sharing"",""นครศรีธรรมราช!J682"")"),0)</f>
        <v>0</v>
      </c>
      <c r="AO78" s="81">
        <f ca="1">IFERROR(__xludf.DUMMYFUNCTION("IMPORTRANGE(""https://docs.google.com/spreadsheets/d/1T5rRTzFc79aSIvqnzkZNvwPstq829QYz_xALlO1Z0s8/edit?usp=sharing"",""นครศรีธรรมราช!J683"")"),0)</f>
        <v>0</v>
      </c>
    </row>
    <row r="79" spans="1:41" ht="21" customHeight="1" x14ac:dyDescent="0.2">
      <c r="A79" s="72">
        <v>5</v>
      </c>
      <c r="B79" s="73" t="s">
        <v>96</v>
      </c>
      <c r="C79" s="74">
        <f t="shared" ca="1" si="64"/>
        <v>11000</v>
      </c>
      <c r="D79" s="75">
        <f ca="1">IFERROR(__xludf.DUMMYFUNCTION("IMPORTRANGE(""https://docs.google.com/spreadsheets/d/1BeghqumK0IvCmRd2QOy6_afsZq7ZtAGrSnVJy2u7WmY/edit?usp=sharing"",""นราธิวาส!L660"")"),11000)</f>
        <v>11000</v>
      </c>
      <c r="E79" s="76">
        <f ca="1">IFERROR(__xludf.DUMMYFUNCTION("IMPORTRANGE(""https://docs.google.com/spreadsheets/d/1BeghqumK0IvCmRd2QOy6_afsZq7ZtAGrSnVJy2u7WmY/edit?usp=sharing"",""นราธิวาส!L667"")"),0)</f>
        <v>0</v>
      </c>
      <c r="F79" s="77">
        <f t="shared" ca="1" si="1"/>
        <v>9000</v>
      </c>
      <c r="G79" s="78">
        <f t="shared" ca="1" si="2"/>
        <v>81.818181818181813</v>
      </c>
      <c r="H79" s="79">
        <f t="shared" ca="1" si="65"/>
        <v>9000</v>
      </c>
      <c r="I79" s="76">
        <f ca="1">IFERROR(__xludf.DUMMYFUNCTION("IMPORTRANGE(""https://docs.google.com/spreadsheets/d/1BeghqumK0IvCmRd2QOy6_afsZq7ZtAGrSnVJy2u7WmY/edit?usp=sharing"",""นราธิวาส!N661"")"),0)</f>
        <v>0</v>
      </c>
      <c r="J79" s="76">
        <f ca="1">IFERROR(__xludf.DUMMYFUNCTION("IMPORTRANGE(""https://docs.google.com/spreadsheets/d/1BeghqumK0IvCmRd2QOy6_afsZq7ZtAGrSnVJy2u7WmY/edit?usp=sharing"",""นราธิวาส!N662"")"),0)</f>
        <v>0</v>
      </c>
      <c r="K79" s="76">
        <f ca="1">IFERROR(__xludf.DUMMYFUNCTION("IMPORTRANGE(""https://docs.google.com/spreadsheets/d/1BeghqumK0IvCmRd2QOy6_afsZq7ZtAGrSnVJy2u7WmY/edit?usp=sharing"",""นราธิวาส!N663"")"),0)</f>
        <v>0</v>
      </c>
      <c r="L79" s="76">
        <f ca="1">IFERROR(__xludf.DUMMYFUNCTION("IMPORTRANGE(""https://docs.google.com/spreadsheets/d/1BeghqumK0IvCmRd2QOy6_afsZq7ZtAGrSnVJy2u7WmY/edit?usp=sharing"",""นราธิวาส!N664"")"),9000)</f>
        <v>9000</v>
      </c>
      <c r="M79" s="80">
        <f ca="1">IFERROR(__xludf.DUMMYFUNCTION("IMPORTRANGE(""https://docs.google.com/spreadsheets/d/1BeghqumK0IvCmRd2QOy6_afsZq7ZtAGrSnVJy2u7WmY/edit?usp=sharing"",""นราธิวาส!N667"")"),0)</f>
        <v>0</v>
      </c>
      <c r="N79" s="80">
        <f t="shared" ca="1" si="31"/>
        <v>0</v>
      </c>
      <c r="O79" s="81">
        <f ca="1">IFERROR(__xludf.DUMMYFUNCTION("IMPORTRANGE(""https://docs.google.com/spreadsheets/d/1BeghqumK0IvCmRd2QOy6_afsZq7ZtAGrSnVJy2u7WmY/edit?usp=sharing"",""นราธิวาส!I669"")"),50)</f>
        <v>50</v>
      </c>
      <c r="P79" s="81">
        <f ca="1">IFERROR(__xludf.DUMMYFUNCTION("IMPORTRANGE(""https://docs.google.com/spreadsheets/d/1BeghqumK0IvCmRd2QOy6_afsZq7ZtAGrSnVJy2u7WmY/edit?usp=sharing"",""นราธิวาส!J669"")"),0)</f>
        <v>0</v>
      </c>
      <c r="Q79" s="82">
        <f t="shared" ca="1" si="25"/>
        <v>0</v>
      </c>
      <c r="R79" s="81">
        <f ca="1">IFERROR(__xludf.DUMMYFUNCTION("IMPORTRANGE(""https://docs.google.com/spreadsheets/d/1BeghqumK0IvCmRd2QOy6_afsZq7ZtAGrSnVJy2u7WmY/edit?usp=sharing"",""นราธิวาส!I670"")"),5)</f>
        <v>5</v>
      </c>
      <c r="S79" s="81">
        <f ca="1">IFERROR(__xludf.DUMMYFUNCTION("IMPORTRANGE(""https://docs.google.com/spreadsheets/d/1BeghqumK0IvCmRd2QOy6_afsZq7ZtAGrSnVJy2u7WmY/edit?usp=sharing"",""นราธิวาส!J670"")"),5)</f>
        <v>5</v>
      </c>
      <c r="T79" s="82">
        <f t="shared" ca="1" si="26"/>
        <v>100</v>
      </c>
      <c r="U79" s="81">
        <f ca="1">IFERROR(__xludf.DUMMYFUNCTION("IMPORTRANGE(""https://docs.google.com/spreadsheets/d/1BeghqumK0IvCmRd2QOy6_afsZq7ZtAGrSnVJy2u7WmY/edit?usp=sharing"",""นราธิวาส!I671"")"),5)</f>
        <v>5</v>
      </c>
      <c r="V79" s="81">
        <f ca="1">IFERROR(__xludf.DUMMYFUNCTION("IMPORTRANGE(""https://docs.google.com/spreadsheets/d/1BeghqumK0IvCmRd2QOy6_afsZq7ZtAGrSnVJy2u7WmY/edit?usp=sharing"",""นราธิวาส!J671"")"),5)</f>
        <v>5</v>
      </c>
      <c r="W79" s="82">
        <f t="shared" ca="1" si="27"/>
        <v>100</v>
      </c>
      <c r="X79" s="81">
        <f ca="1">IFERROR(__xludf.DUMMYFUNCTION("IMPORTRANGE(""https://docs.google.com/spreadsheets/d/1BeghqumK0IvCmRd2QOy6_afsZq7ZtAGrSnVJy2u7WmY/edit?usp=sharing"",""นราธิวาส!J672"")"),13)</f>
        <v>13</v>
      </c>
      <c r="Y79" s="276">
        <f t="shared" ca="1" si="11"/>
        <v>26</v>
      </c>
      <c r="Z79" s="81">
        <f ca="1">IFERROR(__xludf.DUMMYFUNCTION("IMPORTRANGE(""https://docs.google.com/spreadsheets/d/1BeghqumK0IvCmRd2QOy6_afsZq7ZtAGrSnVJy2u7WmY/edit?usp=sharing"",""นราธิวาส!J673"")"),0)</f>
        <v>0</v>
      </c>
      <c r="AA79" s="276">
        <f t="shared" ca="1" si="12"/>
        <v>0</v>
      </c>
      <c r="AB79" s="276">
        <f ca="1">IFERROR(__xludf.DUMMYFUNCTION("IMPORTRANGE(""https://docs.google.com/spreadsheets/d/1BeghqumK0IvCmRd2QOy6_afsZq7ZtAGrSnVJy2u7WmY/edit?usp=sharing"",""นราธิวาส!J674"")"),0)</f>
        <v>0</v>
      </c>
      <c r="AC79" s="82">
        <f t="shared" ca="1" si="13"/>
        <v>0</v>
      </c>
      <c r="AD79" s="276">
        <f ca="1">IFERROR(__xludf.DUMMYFUNCTION("IMPORTRANGE(""https://docs.google.com/spreadsheets/d/1BeghqumK0IvCmRd2QOy6_afsZq7ZtAGrSnVJy2u7WmY/edit?usp=sharing"",""นราธิวาส!J675"")"),0)</f>
        <v>0</v>
      </c>
      <c r="AE79" s="82">
        <f t="shared" ca="1" si="22"/>
        <v>0</v>
      </c>
      <c r="AF79" s="276">
        <f ca="1">IFERROR(__xludf.DUMMYFUNCTION("IMPORTRANGE(""https://docs.google.com/spreadsheets/d/1BeghqumK0IvCmRd2QOy6_afsZq7ZtAGrSnVJy2u7WmY/edit?usp=sharing"",""นราธิวาส!J676"")"),0)</f>
        <v>0</v>
      </c>
      <c r="AG79" s="276">
        <f ca="1">IFERROR(__xludf.DUMMYFUNCTION("IMPORTRANGE(""https://docs.google.com/spreadsheets/d/1BeghqumK0IvCmRd2QOy6_afsZq7ZtAGrSnVJy2u7WmY/edit?usp=sharing"",""นราธิวาส!J677"")"),0)</f>
        <v>0</v>
      </c>
      <c r="AH79" s="81">
        <f ca="1">IFERROR(__xludf.DUMMYFUNCTION("IMPORTRANGE(""https://docs.google.com/spreadsheets/d/1BeghqumK0IvCmRd2QOy6_afsZq7ZtAGrSnVJy2u7WmY/edit?usp=sharing"",""นราธิวาส!I678"")"),0)</f>
        <v>0</v>
      </c>
      <c r="AI79" s="81">
        <f ca="1">IFERROR(__xludf.DUMMYFUNCTION("IMPORTRANGE(""https://docs.google.com/spreadsheets/d/1BeghqumK0IvCmRd2QOy6_afsZq7ZtAGrSnVJy2u7WmY/edit?usp=sharing"",""นราธิวาส!J678"")"),0)</f>
        <v>0</v>
      </c>
      <c r="AJ79" s="82">
        <f t="shared" ca="1" si="28"/>
        <v>0</v>
      </c>
      <c r="AK79" s="81">
        <f ca="1">IFERROR(__xludf.DUMMYFUNCTION("IMPORTRANGE(""https://docs.google.com/spreadsheets/d/1BeghqumK0IvCmRd2QOy6_afsZq7ZtAGrSnVJy2u7WmY/edit?usp=sharing"",""นราธิวาส!J679"")"),0)</f>
        <v>0</v>
      </c>
      <c r="AL79" s="81">
        <f ca="1">IFERROR(__xludf.DUMMYFUNCTION("IMPORTRANGE(""https://docs.google.com/spreadsheets/d/1BeghqumK0IvCmRd2QOy6_afsZq7ZtAGrSnVJy2u7WmY/edit?usp=sharing"",""นราธิวาส!J680"")"),0)</f>
        <v>0</v>
      </c>
      <c r="AM79" s="81">
        <f ca="1">IFERROR(__xludf.DUMMYFUNCTION("IMPORTRANGE(""https://docs.google.com/spreadsheets/d/1BeghqumK0IvCmRd2QOy6_afsZq7ZtAGrSnVJy2u7WmY/edit?usp=sharing"",""นราธิวาส!J681"")"),0)</f>
        <v>0</v>
      </c>
      <c r="AN79" s="81">
        <f ca="1">IFERROR(__xludf.DUMMYFUNCTION("IMPORTRANGE(""https://docs.google.com/spreadsheets/d/1BeghqumK0IvCmRd2QOy6_afsZq7ZtAGrSnVJy2u7WmY/edit?usp=sharing"",""นราธิวาส!J682"")"),0)</f>
        <v>0</v>
      </c>
      <c r="AO79" s="81">
        <f ca="1">IFERROR(__xludf.DUMMYFUNCTION("IMPORTRANGE(""https://docs.google.com/spreadsheets/d/1BeghqumK0IvCmRd2QOy6_afsZq7ZtAGrSnVJy2u7WmY/edit?usp=sharing"",""นราธิวาส!J683"")"),0)</f>
        <v>0</v>
      </c>
    </row>
    <row r="80" spans="1:41" ht="21" customHeight="1" x14ac:dyDescent="0.2">
      <c r="A80" s="72">
        <v>6</v>
      </c>
      <c r="B80" s="73" t="s">
        <v>97</v>
      </c>
      <c r="C80" s="74">
        <f t="shared" ca="1" si="64"/>
        <v>11000</v>
      </c>
      <c r="D80" s="75">
        <f ca="1">IFERROR(__xludf.DUMMYFUNCTION("IMPORTRANGE(""https://docs.google.com/spreadsheets/d/1IwnW3-jjRf74MCLW-6PiFwMUffRQXZwZA7YM609NmRc/edit?usp=sharing"",""ปัตตานี!L660"")"),11000)</f>
        <v>11000</v>
      </c>
      <c r="E80" s="76">
        <f ca="1">IFERROR(__xludf.DUMMYFUNCTION("IMPORTRANGE(""https://docs.google.com/spreadsheets/d/1IwnW3-jjRf74MCLW-6PiFwMUffRQXZwZA7YM609NmRc/edit?usp=sharing"",""ปัตตานี!L667"")"),0)</f>
        <v>0</v>
      </c>
      <c r="F80" s="77">
        <f t="shared" ca="1" si="1"/>
        <v>6616</v>
      </c>
      <c r="G80" s="78">
        <f t="shared" ca="1" si="2"/>
        <v>60.145454545454548</v>
      </c>
      <c r="H80" s="79">
        <f t="shared" ca="1" si="65"/>
        <v>6616</v>
      </c>
      <c r="I80" s="76">
        <f ca="1">IFERROR(__xludf.DUMMYFUNCTION("IMPORTRANGE(""https://docs.google.com/spreadsheets/d/1IwnW3-jjRf74MCLW-6PiFwMUffRQXZwZA7YM609NmRc/edit?usp=sharing"",""ปัตตานี!N661"")"),0)</f>
        <v>0</v>
      </c>
      <c r="J80" s="76">
        <f ca="1">IFERROR(__xludf.DUMMYFUNCTION("IMPORTRANGE(""https://docs.google.com/spreadsheets/d/1IwnW3-jjRf74MCLW-6PiFwMUffRQXZwZA7YM609NmRc/edit?usp=sharing"",""ปัตตานี!N662"")"),0)</f>
        <v>0</v>
      </c>
      <c r="K80" s="76">
        <f ca="1">IFERROR(__xludf.DUMMYFUNCTION("IMPORTRANGE(""https://docs.google.com/spreadsheets/d/1IwnW3-jjRf74MCLW-6PiFwMUffRQXZwZA7YM609NmRc/edit?usp=sharing"",""ปัตตานี!N663"")"),0)</f>
        <v>0</v>
      </c>
      <c r="L80" s="76">
        <f ca="1">IFERROR(__xludf.DUMMYFUNCTION("IMPORTRANGE(""https://docs.google.com/spreadsheets/d/1IwnW3-jjRf74MCLW-6PiFwMUffRQXZwZA7YM609NmRc/edit?usp=sharing"",""ปัตตานี!N664"")"),6616)</f>
        <v>6616</v>
      </c>
      <c r="M80" s="80">
        <f ca="1">IFERROR(__xludf.DUMMYFUNCTION("IMPORTRANGE(""https://docs.google.com/spreadsheets/d/1IwnW3-jjRf74MCLW-6PiFwMUffRQXZwZA7YM609NmRc/edit?usp=sharing"",""ปัตตานี!N667"")"),0)</f>
        <v>0</v>
      </c>
      <c r="N80" s="80">
        <f t="shared" ca="1" si="31"/>
        <v>0</v>
      </c>
      <c r="O80" s="81">
        <f ca="1">IFERROR(__xludf.DUMMYFUNCTION("IMPORTRANGE(""https://docs.google.com/spreadsheets/d/1IwnW3-jjRf74MCLW-6PiFwMUffRQXZwZA7YM609NmRc/edit?usp=sharing"",""ปัตตานี!I669"")"),50)</f>
        <v>50</v>
      </c>
      <c r="P80" s="81">
        <f ca="1">IFERROR(__xludf.DUMMYFUNCTION("IMPORTRANGE(""https://docs.google.com/spreadsheets/d/1IwnW3-jjRf74MCLW-6PiFwMUffRQXZwZA7YM609NmRc/edit?usp=sharing"",""ปัตตานี!J669"")"),0)</f>
        <v>0</v>
      </c>
      <c r="Q80" s="82">
        <f t="shared" ca="1" si="25"/>
        <v>0</v>
      </c>
      <c r="R80" s="81">
        <f ca="1">IFERROR(__xludf.DUMMYFUNCTION("IMPORTRANGE(""https://docs.google.com/spreadsheets/d/1IwnW3-jjRf74MCLW-6PiFwMUffRQXZwZA7YM609NmRc/edit?usp=sharing"",""ปัตตานี!I670"")"),5)</f>
        <v>5</v>
      </c>
      <c r="S80" s="81">
        <f ca="1">IFERROR(__xludf.DUMMYFUNCTION("IMPORTRANGE(""https://docs.google.com/spreadsheets/d/1IwnW3-jjRf74MCLW-6PiFwMUffRQXZwZA7YM609NmRc/edit?usp=sharing"",""ปัตตานี!J670"")"),5)</f>
        <v>5</v>
      </c>
      <c r="T80" s="82">
        <f t="shared" ca="1" si="26"/>
        <v>100</v>
      </c>
      <c r="U80" s="81">
        <f ca="1">IFERROR(__xludf.DUMMYFUNCTION("IMPORTRANGE(""https://docs.google.com/spreadsheets/d/1IwnW3-jjRf74MCLW-6PiFwMUffRQXZwZA7YM609NmRc/edit?usp=sharing"",""ปัตตานี!I671"")"),5)</f>
        <v>5</v>
      </c>
      <c r="V80" s="81">
        <f ca="1">IFERROR(__xludf.DUMMYFUNCTION("IMPORTRANGE(""https://docs.google.com/spreadsheets/d/1IwnW3-jjRf74MCLW-6PiFwMUffRQXZwZA7YM609NmRc/edit?usp=sharing"",""ปัตตานี!J671"")"),5)</f>
        <v>5</v>
      </c>
      <c r="W80" s="82">
        <f t="shared" ca="1" si="27"/>
        <v>100</v>
      </c>
      <c r="X80" s="81">
        <f ca="1">IFERROR(__xludf.DUMMYFUNCTION("IMPORTRANGE(""https://docs.google.com/spreadsheets/d/1IwnW3-jjRf74MCLW-6PiFwMUffRQXZwZA7YM609NmRc/edit?usp=sharing"",""ปัตตานี!J672"")"),0)</f>
        <v>0</v>
      </c>
      <c r="Y80" s="276">
        <f t="shared" ca="1" si="11"/>
        <v>0</v>
      </c>
      <c r="Z80" s="81">
        <f ca="1">IFERROR(__xludf.DUMMYFUNCTION("IMPORTRANGE(""https://docs.google.com/spreadsheets/d/1IwnW3-jjRf74MCLW-6PiFwMUffRQXZwZA7YM609NmRc/edit?usp=sharing"",""ปัตตานี!J673"")"),0)</f>
        <v>0</v>
      </c>
      <c r="AA80" s="276">
        <f t="shared" ca="1" si="12"/>
        <v>0</v>
      </c>
      <c r="AB80" s="276">
        <f ca="1">IFERROR(__xludf.DUMMYFUNCTION("IMPORTRANGE(""https://docs.google.com/spreadsheets/d/1IwnW3-jjRf74MCLW-6PiFwMUffRQXZwZA7YM609NmRc/edit?usp=sharing"",""ปัตตานี!J674"")"),0)</f>
        <v>0</v>
      </c>
      <c r="AC80" s="82">
        <f t="shared" ca="1" si="13"/>
        <v>0</v>
      </c>
      <c r="AD80" s="276">
        <f ca="1">IFERROR(__xludf.DUMMYFUNCTION("IMPORTRANGE(""https://docs.google.com/spreadsheets/d/1IwnW3-jjRf74MCLW-6PiFwMUffRQXZwZA7YM609NmRc/edit?usp=sharing"",""ปัตตานี!J675"")"),0)</f>
        <v>0</v>
      </c>
      <c r="AE80" s="82">
        <f t="shared" ca="1" si="22"/>
        <v>0</v>
      </c>
      <c r="AF80" s="276">
        <f ca="1">IFERROR(__xludf.DUMMYFUNCTION("IMPORTRANGE(""https://docs.google.com/spreadsheets/d/1IwnW3-jjRf74MCLW-6PiFwMUffRQXZwZA7YM609NmRc/edit?usp=sharing"",""ปัตตานี!J676"")"),0)</f>
        <v>0</v>
      </c>
      <c r="AG80" s="276">
        <f ca="1">IFERROR(__xludf.DUMMYFUNCTION("IMPORTRANGE(""https://docs.google.com/spreadsheets/d/1IwnW3-jjRf74MCLW-6PiFwMUffRQXZwZA7YM609NmRc/edit?usp=sharing"",""ปัตตานี!J677"")"),0)</f>
        <v>0</v>
      </c>
      <c r="AH80" s="81">
        <f ca="1">IFERROR(__xludf.DUMMYFUNCTION("IMPORTRANGE(""https://docs.google.com/spreadsheets/d/1IwnW3-jjRf74MCLW-6PiFwMUffRQXZwZA7YM609NmRc/edit?usp=sharing"",""ปัตตานี!I678"")"),0)</f>
        <v>0</v>
      </c>
      <c r="AI80" s="81">
        <f ca="1">IFERROR(__xludf.DUMMYFUNCTION("IMPORTRANGE(""https://docs.google.com/spreadsheets/d/1IwnW3-jjRf74MCLW-6PiFwMUffRQXZwZA7YM609NmRc/edit?usp=sharing"",""ปัตตานี!J678"")"),0)</f>
        <v>0</v>
      </c>
      <c r="AJ80" s="82">
        <f t="shared" ca="1" si="28"/>
        <v>0</v>
      </c>
      <c r="AK80" s="81">
        <f ca="1">IFERROR(__xludf.DUMMYFUNCTION("IMPORTRANGE(""https://docs.google.com/spreadsheets/d/1IwnW3-jjRf74MCLW-6PiFwMUffRQXZwZA7YM609NmRc/edit?usp=sharing"",""ปัตตานี!J679"")"),0)</f>
        <v>0</v>
      </c>
      <c r="AL80" s="81">
        <f ca="1">IFERROR(__xludf.DUMMYFUNCTION("IMPORTRANGE(""https://docs.google.com/spreadsheets/d/1IwnW3-jjRf74MCLW-6PiFwMUffRQXZwZA7YM609NmRc/edit?usp=sharing"",""ปัตตานี!J680"")"),0)</f>
        <v>0</v>
      </c>
      <c r="AM80" s="81">
        <f ca="1">IFERROR(__xludf.DUMMYFUNCTION("IMPORTRANGE(""https://docs.google.com/spreadsheets/d/1IwnW3-jjRf74MCLW-6PiFwMUffRQXZwZA7YM609NmRc/edit?usp=sharing"",""ปัตตานี!J681"")"),0)</f>
        <v>0</v>
      </c>
      <c r="AN80" s="81">
        <f ca="1">IFERROR(__xludf.DUMMYFUNCTION("IMPORTRANGE(""https://docs.google.com/spreadsheets/d/1IwnW3-jjRf74MCLW-6PiFwMUffRQXZwZA7YM609NmRc/edit?usp=sharing"",""ปัตตานี!J682"")"),0)</f>
        <v>0</v>
      </c>
      <c r="AO80" s="81">
        <f ca="1">IFERROR(__xludf.DUMMYFUNCTION("IMPORTRANGE(""https://docs.google.com/spreadsheets/d/1IwnW3-jjRf74MCLW-6PiFwMUffRQXZwZA7YM609NmRc/edit?usp=sharing"",""ปัตตานี!J683"")"),0)</f>
        <v>0</v>
      </c>
    </row>
    <row r="81" spans="1:41" ht="21" customHeight="1" x14ac:dyDescent="0.2">
      <c r="A81" s="72">
        <v>7</v>
      </c>
      <c r="B81" s="73" t="s">
        <v>98</v>
      </c>
      <c r="C81" s="74">
        <f t="shared" ca="1" si="64"/>
        <v>0</v>
      </c>
      <c r="D81" s="75">
        <f ca="1">IFERROR(__xludf.DUMMYFUNCTION("IMPORTRANGE(""https://docs.google.com/spreadsheets/d/1vl4QWbWdFruual5o_wdo6ZSqXZ_it806oja4CctTLKs/edit?usp=sharing"",""พังงา!L660"")"),0)</f>
        <v>0</v>
      </c>
      <c r="E81" s="76">
        <f ca="1">IFERROR(__xludf.DUMMYFUNCTION("IMPORTRANGE(""https://docs.google.com/spreadsheets/d/1vl4QWbWdFruual5o_wdo6ZSqXZ_it806oja4CctTLKs/edit?usp=sharing"",""พังงา!L667"")"),0)</f>
        <v>0</v>
      </c>
      <c r="F81" s="77">
        <f t="shared" ca="1" si="1"/>
        <v>0</v>
      </c>
      <c r="G81" s="78">
        <f t="shared" ca="1" si="2"/>
        <v>0</v>
      </c>
      <c r="H81" s="79">
        <f t="shared" ca="1" si="65"/>
        <v>0</v>
      </c>
      <c r="I81" s="76">
        <f ca="1">IFERROR(__xludf.DUMMYFUNCTION("IMPORTRANGE(""https://docs.google.com/spreadsheets/d/1vl4QWbWdFruual5o_wdo6ZSqXZ_it806oja4CctTLKs/edit?usp=sharing"",""พังงา!N661"")"),0)</f>
        <v>0</v>
      </c>
      <c r="J81" s="76">
        <f ca="1">IFERROR(__xludf.DUMMYFUNCTION("IMPORTRANGE(""https://docs.google.com/spreadsheets/d/1vl4QWbWdFruual5o_wdo6ZSqXZ_it806oja4CctTLKs/edit?usp=sharing"",""พังงา!N662"")"),0)</f>
        <v>0</v>
      </c>
      <c r="K81" s="76">
        <f ca="1">IFERROR(__xludf.DUMMYFUNCTION("IMPORTRANGE(""https://docs.google.com/spreadsheets/d/1vl4QWbWdFruual5o_wdo6ZSqXZ_it806oja4CctTLKs/edit?usp=sharing"",""พังงา!N663"")"),0)</f>
        <v>0</v>
      </c>
      <c r="L81" s="76">
        <f ca="1">IFERROR(__xludf.DUMMYFUNCTION("IMPORTRANGE(""https://docs.google.com/spreadsheets/d/1vl4QWbWdFruual5o_wdo6ZSqXZ_it806oja4CctTLKs/edit?usp=sharing"",""พังงา!N664"")"),0)</f>
        <v>0</v>
      </c>
      <c r="M81" s="80">
        <f ca="1">IFERROR(__xludf.DUMMYFUNCTION("IMPORTRANGE(""https://docs.google.com/spreadsheets/d/1vl4QWbWdFruual5o_wdo6ZSqXZ_it806oja4CctTLKs/edit?usp=sharing"",""พังงา!N667"")"),0)</f>
        <v>0</v>
      </c>
      <c r="N81" s="80">
        <f t="shared" ca="1" si="31"/>
        <v>0</v>
      </c>
      <c r="O81" s="81">
        <f ca="1">IFERROR(__xludf.DUMMYFUNCTION("IMPORTRANGE(""https://docs.google.com/spreadsheets/d/1vl4QWbWdFruual5o_wdo6ZSqXZ_it806oja4CctTLKs/edit?usp=sharing"",""พังงา!I669"")"),0)</f>
        <v>0</v>
      </c>
      <c r="P81" s="81">
        <f ca="1">IFERROR(__xludf.DUMMYFUNCTION("IMPORTRANGE(""https://docs.google.com/spreadsheets/d/1vl4QWbWdFruual5o_wdo6ZSqXZ_it806oja4CctTLKs/edit?usp=sharing"",""พังงา!J669"")"),0)</f>
        <v>0</v>
      </c>
      <c r="Q81" s="82">
        <f t="shared" ca="1" si="25"/>
        <v>0</v>
      </c>
      <c r="R81" s="81">
        <f ca="1">IFERROR(__xludf.DUMMYFUNCTION("IMPORTRANGE(""https://docs.google.com/spreadsheets/d/1vl4QWbWdFruual5o_wdo6ZSqXZ_it806oja4CctTLKs/edit?usp=sharing"",""พังงา!I670"")"),0)</f>
        <v>0</v>
      </c>
      <c r="S81" s="81">
        <f ca="1">IFERROR(__xludf.DUMMYFUNCTION("IMPORTRANGE(""https://docs.google.com/spreadsheets/d/1vl4QWbWdFruual5o_wdo6ZSqXZ_it806oja4CctTLKs/edit?usp=sharing"",""พังงา!J670"")"),0)</f>
        <v>0</v>
      </c>
      <c r="T81" s="82">
        <f t="shared" ca="1" si="26"/>
        <v>0</v>
      </c>
      <c r="U81" s="81">
        <f ca="1">IFERROR(__xludf.DUMMYFUNCTION("IMPORTRANGE(""https://docs.google.com/spreadsheets/d/1vl4QWbWdFruual5o_wdo6ZSqXZ_it806oja4CctTLKs/edit?usp=sharing"",""พังงา!I671"")"),0)</f>
        <v>0</v>
      </c>
      <c r="V81" s="81">
        <f ca="1">IFERROR(__xludf.DUMMYFUNCTION("IMPORTRANGE(""https://docs.google.com/spreadsheets/d/1vl4QWbWdFruual5o_wdo6ZSqXZ_it806oja4CctTLKs/edit?usp=sharing"",""พังงา!J671"")"),0)</f>
        <v>0</v>
      </c>
      <c r="W81" s="82">
        <f t="shared" ca="1" si="27"/>
        <v>0</v>
      </c>
      <c r="X81" s="81">
        <f ca="1">IFERROR(__xludf.DUMMYFUNCTION("IMPORTRANGE(""https://docs.google.com/spreadsheets/d/1vl4QWbWdFruual5o_wdo6ZSqXZ_it806oja4CctTLKs/edit?usp=sharing"",""พังงา!J672"")"),0)</f>
        <v>0</v>
      </c>
      <c r="Y81" s="276">
        <f t="shared" ca="1" si="11"/>
        <v>0</v>
      </c>
      <c r="Z81" s="81">
        <f ca="1">IFERROR(__xludf.DUMMYFUNCTION("IMPORTRANGE(""https://docs.google.com/spreadsheets/d/1vl4QWbWdFruual5o_wdo6ZSqXZ_it806oja4CctTLKs/edit?usp=sharing"",""พังงา!J673"")"),0)</f>
        <v>0</v>
      </c>
      <c r="AA81" s="276">
        <f t="shared" ca="1" si="12"/>
        <v>0</v>
      </c>
      <c r="AB81" s="276">
        <f ca="1">IFERROR(__xludf.DUMMYFUNCTION("IMPORTRANGE(""https://docs.google.com/spreadsheets/d/1vl4QWbWdFruual5o_wdo6ZSqXZ_it806oja4CctTLKs/edit?usp=sharing"",""พังงา!J674"")"),0)</f>
        <v>0</v>
      </c>
      <c r="AC81" s="82">
        <f t="shared" ca="1" si="13"/>
        <v>0</v>
      </c>
      <c r="AD81" s="276">
        <f ca="1">IFERROR(__xludf.DUMMYFUNCTION("IMPORTRANGE(""https://docs.google.com/spreadsheets/d/1vl4QWbWdFruual5o_wdo6ZSqXZ_it806oja4CctTLKs/edit?usp=sharing"",""พังงา!J675"")"),0)</f>
        <v>0</v>
      </c>
      <c r="AE81" s="82">
        <f t="shared" ca="1" si="22"/>
        <v>0</v>
      </c>
      <c r="AF81" s="276">
        <f ca="1">IFERROR(__xludf.DUMMYFUNCTION("IMPORTRANGE(""https://docs.google.com/spreadsheets/d/1vl4QWbWdFruual5o_wdo6ZSqXZ_it806oja4CctTLKs/edit?usp=sharing"",""พังงา!J676"")"),0)</f>
        <v>0</v>
      </c>
      <c r="AG81" s="276">
        <f ca="1">IFERROR(__xludf.DUMMYFUNCTION("IMPORTRANGE(""https://docs.google.com/spreadsheets/d/1vl4QWbWdFruual5o_wdo6ZSqXZ_it806oja4CctTLKs/edit?usp=sharing"",""พังงา!J677"")"),0)</f>
        <v>0</v>
      </c>
      <c r="AH81" s="81">
        <f ca="1">IFERROR(__xludf.DUMMYFUNCTION("IMPORTRANGE(""https://docs.google.com/spreadsheets/d/1vl4QWbWdFruual5o_wdo6ZSqXZ_it806oja4CctTLKs/edit?usp=sharing"",""พังงา!I678"")"),0)</f>
        <v>0</v>
      </c>
      <c r="AI81" s="81">
        <f ca="1">IFERROR(__xludf.DUMMYFUNCTION("IMPORTRANGE(""https://docs.google.com/spreadsheets/d/1vl4QWbWdFruual5o_wdo6ZSqXZ_it806oja4CctTLKs/edit?usp=sharing"",""พังงา!J678"")"),0)</f>
        <v>0</v>
      </c>
      <c r="AJ81" s="82">
        <f t="shared" ca="1" si="28"/>
        <v>0</v>
      </c>
      <c r="AK81" s="81">
        <f ca="1">IFERROR(__xludf.DUMMYFUNCTION("IMPORTRANGE(""https://docs.google.com/spreadsheets/d/1vl4QWbWdFruual5o_wdo6ZSqXZ_it806oja4CctTLKs/edit?usp=sharing"",""พังงา!J679"")"),0)</f>
        <v>0</v>
      </c>
      <c r="AL81" s="81">
        <f ca="1">IFERROR(__xludf.DUMMYFUNCTION("IMPORTRANGE(""https://docs.google.com/spreadsheets/d/1vl4QWbWdFruual5o_wdo6ZSqXZ_it806oja4CctTLKs/edit?usp=sharing"",""พังงา!J680"")"),0)</f>
        <v>0</v>
      </c>
      <c r="AM81" s="81">
        <f ca="1">IFERROR(__xludf.DUMMYFUNCTION("IMPORTRANGE(""https://docs.google.com/spreadsheets/d/1vl4QWbWdFruual5o_wdo6ZSqXZ_it806oja4CctTLKs/edit?usp=sharing"",""พังงา!J681"")"),0)</f>
        <v>0</v>
      </c>
      <c r="AN81" s="81">
        <f ca="1">IFERROR(__xludf.DUMMYFUNCTION("IMPORTRANGE(""https://docs.google.com/spreadsheets/d/1vl4QWbWdFruual5o_wdo6ZSqXZ_it806oja4CctTLKs/edit?usp=sharing"",""พังงา!J682"")"),0)</f>
        <v>0</v>
      </c>
      <c r="AO81" s="81">
        <f ca="1">IFERROR(__xludf.DUMMYFUNCTION("IMPORTRANGE(""https://docs.google.com/spreadsheets/d/1vl4QWbWdFruual5o_wdo6ZSqXZ_it806oja4CctTLKs/edit?usp=sharing"",""พังงา!J683"")"),0)</f>
        <v>0</v>
      </c>
    </row>
    <row r="82" spans="1:41" ht="21" customHeight="1" x14ac:dyDescent="0.2">
      <c r="A82" s="72">
        <v>8</v>
      </c>
      <c r="B82" s="73" t="s">
        <v>99</v>
      </c>
      <c r="C82" s="74">
        <f t="shared" ca="1" si="64"/>
        <v>11000</v>
      </c>
      <c r="D82" s="75">
        <f ca="1">IFERROR(__xludf.DUMMYFUNCTION("IMPORTRANGE(""https://docs.google.com/spreadsheets/d/1b6QssHQp2FoAPSMKHOy273KNzAomaIKhtdlvuZ_zDNE/edit?usp=sharing"",""พัทลุง!L660"")"),11000)</f>
        <v>11000</v>
      </c>
      <c r="E82" s="76">
        <f ca="1">IFERROR(__xludf.DUMMYFUNCTION("IMPORTRANGE(""https://docs.google.com/spreadsheets/d/1b6QssHQp2FoAPSMKHOy273KNzAomaIKhtdlvuZ_zDNE/edit?usp=sharing"",""พัทลุง!L667"")"),0)</f>
        <v>0</v>
      </c>
      <c r="F82" s="77">
        <f t="shared" ca="1" si="1"/>
        <v>4240.3999999999996</v>
      </c>
      <c r="G82" s="78">
        <f t="shared" ca="1" si="2"/>
        <v>38.549090909090907</v>
      </c>
      <c r="H82" s="79">
        <f t="shared" ca="1" si="65"/>
        <v>4240.3999999999996</v>
      </c>
      <c r="I82" s="76">
        <f ca="1">IFERROR(__xludf.DUMMYFUNCTION("IMPORTRANGE(""https://docs.google.com/spreadsheets/d/1b6QssHQp2FoAPSMKHOy273KNzAomaIKhtdlvuZ_zDNE/edit?usp=sharing"",""พัทลุง!N661"")"),0)</f>
        <v>0</v>
      </c>
      <c r="J82" s="76">
        <f ca="1">IFERROR(__xludf.DUMMYFUNCTION("IMPORTRANGE(""https://docs.google.com/spreadsheets/d/1b6QssHQp2FoAPSMKHOy273KNzAomaIKhtdlvuZ_zDNE/edit?usp=sharing"",""พัทลุง!N662"")"),0)</f>
        <v>0</v>
      </c>
      <c r="K82" s="76">
        <f ca="1">IFERROR(__xludf.DUMMYFUNCTION("IMPORTRANGE(""https://docs.google.com/spreadsheets/d/1b6QssHQp2FoAPSMKHOy273KNzAomaIKhtdlvuZ_zDNE/edit?usp=sharing"",""พัทลุง!N663"")"),0)</f>
        <v>0</v>
      </c>
      <c r="L82" s="76">
        <f ca="1">IFERROR(__xludf.DUMMYFUNCTION("IMPORTRANGE(""https://docs.google.com/spreadsheets/d/1b6QssHQp2FoAPSMKHOy273KNzAomaIKhtdlvuZ_zDNE/edit?usp=sharing"",""พัทลุง!N664"")"),4240.4)</f>
        <v>4240.3999999999996</v>
      </c>
      <c r="M82" s="80">
        <f ca="1">IFERROR(__xludf.DUMMYFUNCTION("IMPORTRANGE(""https://docs.google.com/spreadsheets/d/1b6QssHQp2FoAPSMKHOy273KNzAomaIKhtdlvuZ_zDNE/edit?usp=sharing"",""พัทลุง!N667"")"),0)</f>
        <v>0</v>
      </c>
      <c r="N82" s="80">
        <f t="shared" ca="1" si="31"/>
        <v>0</v>
      </c>
      <c r="O82" s="81">
        <f ca="1">IFERROR(__xludf.DUMMYFUNCTION("IMPORTRANGE(""https://docs.google.com/spreadsheets/d/1b6QssHQp2FoAPSMKHOy273KNzAomaIKhtdlvuZ_zDNE/edit?usp=sharing"",""พัทลุง!I669"")"),50)</f>
        <v>50</v>
      </c>
      <c r="P82" s="81">
        <f ca="1">IFERROR(__xludf.DUMMYFUNCTION("IMPORTRANGE(""https://docs.google.com/spreadsheets/d/1b6QssHQp2FoAPSMKHOy273KNzAomaIKhtdlvuZ_zDNE/edit?usp=sharing"",""พัทลุง!J669"")"),0)</f>
        <v>0</v>
      </c>
      <c r="Q82" s="82">
        <f t="shared" ca="1" si="25"/>
        <v>0</v>
      </c>
      <c r="R82" s="81">
        <f ca="1">IFERROR(__xludf.DUMMYFUNCTION("IMPORTRANGE(""https://docs.google.com/spreadsheets/d/1b6QssHQp2FoAPSMKHOy273KNzAomaIKhtdlvuZ_zDNE/edit?usp=sharing"",""พัทลุง!I670"")"),5)</f>
        <v>5</v>
      </c>
      <c r="S82" s="81">
        <f ca="1">IFERROR(__xludf.DUMMYFUNCTION("IMPORTRANGE(""https://docs.google.com/spreadsheets/d/1b6QssHQp2FoAPSMKHOy273KNzAomaIKhtdlvuZ_zDNE/edit?usp=sharing"",""พัทลุง!J670"")"),5)</f>
        <v>5</v>
      </c>
      <c r="T82" s="82">
        <f t="shared" ca="1" si="26"/>
        <v>100</v>
      </c>
      <c r="U82" s="81">
        <f ca="1">IFERROR(__xludf.DUMMYFUNCTION("IMPORTRANGE(""https://docs.google.com/spreadsheets/d/1b6QssHQp2FoAPSMKHOy273KNzAomaIKhtdlvuZ_zDNE/edit?usp=sharing"",""พัทลุง!I671"")"),5)</f>
        <v>5</v>
      </c>
      <c r="V82" s="81">
        <f ca="1">IFERROR(__xludf.DUMMYFUNCTION("IMPORTRANGE(""https://docs.google.com/spreadsheets/d/1b6QssHQp2FoAPSMKHOy273KNzAomaIKhtdlvuZ_zDNE/edit?usp=sharing"",""พัทลุง!J671"")"),5)</f>
        <v>5</v>
      </c>
      <c r="W82" s="82">
        <f t="shared" ca="1" si="27"/>
        <v>100</v>
      </c>
      <c r="X82" s="81">
        <f ca="1">IFERROR(__xludf.DUMMYFUNCTION("IMPORTRANGE(""https://docs.google.com/spreadsheets/d/1b6QssHQp2FoAPSMKHOy273KNzAomaIKhtdlvuZ_zDNE/edit?usp=sharing"",""พัทลุง!J672"")"),0)</f>
        <v>0</v>
      </c>
      <c r="Y82" s="276">
        <f t="shared" ca="1" si="11"/>
        <v>0</v>
      </c>
      <c r="Z82" s="81">
        <f ca="1">IFERROR(__xludf.DUMMYFUNCTION("IMPORTRANGE(""https://docs.google.com/spreadsheets/d/1b6QssHQp2FoAPSMKHOy273KNzAomaIKhtdlvuZ_zDNE/edit?usp=sharing"",""พัทลุง!J673"")"),0)</f>
        <v>0</v>
      </c>
      <c r="AA82" s="276">
        <f t="shared" ca="1" si="12"/>
        <v>0</v>
      </c>
      <c r="AB82" s="276">
        <f ca="1">IFERROR(__xludf.DUMMYFUNCTION("IMPORTRANGE(""https://docs.google.com/spreadsheets/d/1b6QssHQp2FoAPSMKHOy273KNzAomaIKhtdlvuZ_zDNE/edit?usp=sharing"",""พัทลุง!J674"")"),0)</f>
        <v>0</v>
      </c>
      <c r="AC82" s="82">
        <f t="shared" ca="1" si="13"/>
        <v>0</v>
      </c>
      <c r="AD82" s="276">
        <f ca="1">IFERROR(__xludf.DUMMYFUNCTION("IMPORTRANGE(""https://docs.google.com/spreadsheets/d/1b6QssHQp2FoAPSMKHOy273KNzAomaIKhtdlvuZ_zDNE/edit?usp=sharing"",""พัทลุง!J675"")"),0)</f>
        <v>0</v>
      </c>
      <c r="AE82" s="82">
        <f t="shared" ca="1" si="22"/>
        <v>0</v>
      </c>
      <c r="AF82" s="276">
        <f ca="1">IFERROR(__xludf.DUMMYFUNCTION("IMPORTRANGE(""https://docs.google.com/spreadsheets/d/1b6QssHQp2FoAPSMKHOy273KNzAomaIKhtdlvuZ_zDNE/edit?usp=sharing"",""พัทลุง!J676"")"),0)</f>
        <v>0</v>
      </c>
      <c r="AG82" s="276">
        <f ca="1">IFERROR(__xludf.DUMMYFUNCTION("IMPORTRANGE(""https://docs.google.com/spreadsheets/d/1b6QssHQp2FoAPSMKHOy273KNzAomaIKhtdlvuZ_zDNE/edit?usp=sharing"",""พัทลุง!J677"")"),0)</f>
        <v>0</v>
      </c>
      <c r="AH82" s="81">
        <f ca="1">IFERROR(__xludf.DUMMYFUNCTION("IMPORTRANGE(""https://docs.google.com/spreadsheets/d/1b6QssHQp2FoAPSMKHOy273KNzAomaIKhtdlvuZ_zDNE/edit?usp=sharing"",""พัทลุง!I678"")"),0)</f>
        <v>0</v>
      </c>
      <c r="AI82" s="81">
        <f ca="1">IFERROR(__xludf.DUMMYFUNCTION("IMPORTRANGE(""https://docs.google.com/spreadsheets/d/1b6QssHQp2FoAPSMKHOy273KNzAomaIKhtdlvuZ_zDNE/edit?usp=sharing"",""พัทลุง!J678"")"),0)</f>
        <v>0</v>
      </c>
      <c r="AJ82" s="82">
        <f t="shared" ca="1" si="28"/>
        <v>0</v>
      </c>
      <c r="AK82" s="81">
        <f ca="1">IFERROR(__xludf.DUMMYFUNCTION("IMPORTRANGE(""https://docs.google.com/spreadsheets/d/1b6QssHQp2FoAPSMKHOy273KNzAomaIKhtdlvuZ_zDNE/edit?usp=sharing"",""พัทลุง!J679"")"),0)</f>
        <v>0</v>
      </c>
      <c r="AL82" s="81">
        <f ca="1">IFERROR(__xludf.DUMMYFUNCTION("IMPORTRANGE(""https://docs.google.com/spreadsheets/d/1b6QssHQp2FoAPSMKHOy273KNzAomaIKhtdlvuZ_zDNE/edit?usp=sharing"",""พัทลุง!J680"")"),0)</f>
        <v>0</v>
      </c>
      <c r="AM82" s="81">
        <f ca="1">IFERROR(__xludf.DUMMYFUNCTION("IMPORTRANGE(""https://docs.google.com/spreadsheets/d/1b6QssHQp2FoAPSMKHOy273KNzAomaIKhtdlvuZ_zDNE/edit?usp=sharing"",""พัทลุง!J681"")"),0)</f>
        <v>0</v>
      </c>
      <c r="AN82" s="81">
        <f ca="1">IFERROR(__xludf.DUMMYFUNCTION("IMPORTRANGE(""https://docs.google.com/spreadsheets/d/1b6QssHQp2FoAPSMKHOy273KNzAomaIKhtdlvuZ_zDNE/edit?usp=sharing"",""พัทลุง!J682"")"),0)</f>
        <v>0</v>
      </c>
      <c r="AO82" s="81">
        <f ca="1">IFERROR(__xludf.DUMMYFUNCTION("IMPORTRANGE(""https://docs.google.com/spreadsheets/d/1b6QssHQp2FoAPSMKHOy273KNzAomaIKhtdlvuZ_zDNE/edit?usp=sharing"",""พัทลุง!J683"")"),0)</f>
        <v>0</v>
      </c>
    </row>
    <row r="83" spans="1:41" ht="21" customHeight="1" x14ac:dyDescent="0.2">
      <c r="A83" s="72">
        <v>9</v>
      </c>
      <c r="B83" s="73" t="s">
        <v>100</v>
      </c>
      <c r="C83" s="74">
        <f t="shared" ca="1" si="64"/>
        <v>0</v>
      </c>
      <c r="D83" s="75">
        <f ca="1">IFERROR(__xludf.DUMMYFUNCTION("IMPORTRANGE(""https://docs.google.com/spreadsheets/d/1o7UZe4_OqlqtLDHrj01Z2YFRSZDf1DMy1n3XViHaxRc/edit?usp=sharing"",""ภูเก็ต!L660"")"),0)</f>
        <v>0</v>
      </c>
      <c r="E83" s="76">
        <f ca="1">IFERROR(__xludf.DUMMYFUNCTION("IMPORTRANGE(""https://docs.google.com/spreadsheets/d/1o7UZe4_OqlqtLDHrj01Z2YFRSZDf1DMy1n3XViHaxRc/edit?usp=sharing"",""ภูเก็ต!L667"")"),0)</f>
        <v>0</v>
      </c>
      <c r="F83" s="77">
        <f t="shared" ca="1" si="1"/>
        <v>0</v>
      </c>
      <c r="G83" s="78">
        <f t="shared" ca="1" si="2"/>
        <v>0</v>
      </c>
      <c r="H83" s="79">
        <f t="shared" ca="1" si="65"/>
        <v>0</v>
      </c>
      <c r="I83" s="76">
        <f ca="1">IFERROR(__xludf.DUMMYFUNCTION("IMPORTRANGE(""https://docs.google.com/spreadsheets/d/1o7UZe4_OqlqtLDHrj01Z2YFRSZDf1DMy1n3XViHaxRc/edit?usp=sharing"",""ภูเก็ต!N661"")"),0)</f>
        <v>0</v>
      </c>
      <c r="J83" s="76">
        <f ca="1">IFERROR(__xludf.DUMMYFUNCTION("IMPORTRANGE(""https://docs.google.com/spreadsheets/d/1o7UZe4_OqlqtLDHrj01Z2YFRSZDf1DMy1n3XViHaxRc/edit?usp=sharing"",""ภูเก็ต!N662"")"),0)</f>
        <v>0</v>
      </c>
      <c r="K83" s="76">
        <f ca="1">IFERROR(__xludf.DUMMYFUNCTION("IMPORTRANGE(""https://docs.google.com/spreadsheets/d/1o7UZe4_OqlqtLDHrj01Z2YFRSZDf1DMy1n3XViHaxRc/edit?usp=sharing"",""ภูเก็ต!N663"")"),0)</f>
        <v>0</v>
      </c>
      <c r="L83" s="76">
        <f ca="1">IFERROR(__xludf.DUMMYFUNCTION("IMPORTRANGE(""https://docs.google.com/spreadsheets/d/1o7UZe4_OqlqtLDHrj01Z2YFRSZDf1DMy1n3XViHaxRc/edit?usp=sharing"",""ภูเก็ต!N664"")"),0)</f>
        <v>0</v>
      </c>
      <c r="M83" s="80">
        <f ca="1">IFERROR(__xludf.DUMMYFUNCTION("IMPORTRANGE(""https://docs.google.com/spreadsheets/d/1o7UZe4_OqlqtLDHrj01Z2YFRSZDf1DMy1n3XViHaxRc/edit?usp=sharing"",""ภูเก็ต!N667"")"),0)</f>
        <v>0</v>
      </c>
      <c r="N83" s="80">
        <f t="shared" ca="1" si="31"/>
        <v>0</v>
      </c>
      <c r="O83" s="81">
        <f ca="1">IFERROR(__xludf.DUMMYFUNCTION("IMPORTRANGE(""https://docs.google.com/spreadsheets/d/1o7UZe4_OqlqtLDHrj01Z2YFRSZDf1DMy1n3XViHaxRc/edit?usp=sharing"",""ภูเก็ต!I669"")"),0)</f>
        <v>0</v>
      </c>
      <c r="P83" s="81">
        <f ca="1">IFERROR(__xludf.DUMMYFUNCTION("IMPORTRANGE(""https://docs.google.com/spreadsheets/d/1o7UZe4_OqlqtLDHrj01Z2YFRSZDf1DMy1n3XViHaxRc/edit?usp=sharing"",""ภูเก็ต!J669"")"),0)</f>
        <v>0</v>
      </c>
      <c r="Q83" s="82">
        <f t="shared" ca="1" si="25"/>
        <v>0</v>
      </c>
      <c r="R83" s="81">
        <f ca="1">IFERROR(__xludf.DUMMYFUNCTION("IMPORTRANGE(""https://docs.google.com/spreadsheets/d/1o7UZe4_OqlqtLDHrj01Z2YFRSZDf1DMy1n3XViHaxRc/edit?usp=sharing"",""ภูเก็ต!I670"")"),0)</f>
        <v>0</v>
      </c>
      <c r="S83" s="81">
        <f ca="1">IFERROR(__xludf.DUMMYFUNCTION("IMPORTRANGE(""https://docs.google.com/spreadsheets/d/1o7UZe4_OqlqtLDHrj01Z2YFRSZDf1DMy1n3XViHaxRc/edit?usp=sharing"",""ภูเก็ต!J670"")"),0)</f>
        <v>0</v>
      </c>
      <c r="T83" s="82">
        <f t="shared" ca="1" si="26"/>
        <v>0</v>
      </c>
      <c r="U83" s="81">
        <f ca="1">IFERROR(__xludf.DUMMYFUNCTION("IMPORTRANGE(""https://docs.google.com/spreadsheets/d/1o7UZe4_OqlqtLDHrj01Z2YFRSZDf1DMy1n3XViHaxRc/edit?usp=sharing"",""ภูเก็ต!I671"")"),0)</f>
        <v>0</v>
      </c>
      <c r="V83" s="81">
        <f ca="1">IFERROR(__xludf.DUMMYFUNCTION("IMPORTRANGE(""https://docs.google.com/spreadsheets/d/1o7UZe4_OqlqtLDHrj01Z2YFRSZDf1DMy1n3XViHaxRc/edit?usp=sharing"",""ภูเก็ต!J671"")"),0)</f>
        <v>0</v>
      </c>
      <c r="W83" s="82">
        <f t="shared" ca="1" si="27"/>
        <v>0</v>
      </c>
      <c r="X83" s="81">
        <f ca="1">IFERROR(__xludf.DUMMYFUNCTION("IMPORTRANGE(""https://docs.google.com/spreadsheets/d/1o7UZe4_OqlqtLDHrj01Z2YFRSZDf1DMy1n3XViHaxRc/edit?usp=sharing"",""ภูเก็ต!J672"")"),0)</f>
        <v>0</v>
      </c>
      <c r="Y83" s="276">
        <f t="shared" ca="1" si="11"/>
        <v>0</v>
      </c>
      <c r="Z83" s="81">
        <f ca="1">IFERROR(__xludf.DUMMYFUNCTION("IMPORTRANGE(""https://docs.google.com/spreadsheets/d/1o7UZe4_OqlqtLDHrj01Z2YFRSZDf1DMy1n3XViHaxRc/edit?usp=sharing"",""ภูเก็ต!J673"")"),0)</f>
        <v>0</v>
      </c>
      <c r="AA83" s="276">
        <f t="shared" ca="1" si="12"/>
        <v>0</v>
      </c>
      <c r="AB83" s="276">
        <f ca="1">IFERROR(__xludf.DUMMYFUNCTION("IMPORTRANGE(""https://docs.google.com/spreadsheets/d/1o7UZe4_OqlqtLDHrj01Z2YFRSZDf1DMy1n3XViHaxRc/edit?usp=sharing"",""ภูเก็ต!J674"")"),0)</f>
        <v>0</v>
      </c>
      <c r="AC83" s="82">
        <f t="shared" ca="1" si="13"/>
        <v>0</v>
      </c>
      <c r="AD83" s="276">
        <f ca="1">IFERROR(__xludf.DUMMYFUNCTION("IMPORTRANGE(""https://docs.google.com/spreadsheets/d/1o7UZe4_OqlqtLDHrj01Z2YFRSZDf1DMy1n3XViHaxRc/edit?usp=sharing"",""ภูเก็ต!J675"")"),0)</f>
        <v>0</v>
      </c>
      <c r="AE83" s="82">
        <f t="shared" ca="1" si="22"/>
        <v>0</v>
      </c>
      <c r="AF83" s="276">
        <f ca="1">IFERROR(__xludf.DUMMYFUNCTION("IMPORTRANGE(""https://docs.google.com/spreadsheets/d/1o7UZe4_OqlqtLDHrj01Z2YFRSZDf1DMy1n3XViHaxRc/edit?usp=sharing"",""ภูเก็ต!J676"")"),0)</f>
        <v>0</v>
      </c>
      <c r="AG83" s="276">
        <f ca="1">IFERROR(__xludf.DUMMYFUNCTION("IMPORTRANGE(""https://docs.google.com/spreadsheets/d/1o7UZe4_OqlqtLDHrj01Z2YFRSZDf1DMy1n3XViHaxRc/edit?usp=sharing"",""ภูเก็ต!J677"")"),0)</f>
        <v>0</v>
      </c>
      <c r="AH83" s="81">
        <f ca="1">IFERROR(__xludf.DUMMYFUNCTION("IMPORTRANGE(""https://docs.google.com/spreadsheets/d/1o7UZe4_OqlqtLDHrj01Z2YFRSZDf1DMy1n3XViHaxRc/edit?usp=sharing"",""ภูเก็ต!I678"")"),0)</f>
        <v>0</v>
      </c>
      <c r="AI83" s="81">
        <f ca="1">IFERROR(__xludf.DUMMYFUNCTION("IMPORTRANGE(""https://docs.google.com/spreadsheets/d/1o7UZe4_OqlqtLDHrj01Z2YFRSZDf1DMy1n3XViHaxRc/edit?usp=sharing"",""ภูเก็ต!J678"")"),0)</f>
        <v>0</v>
      </c>
      <c r="AJ83" s="82">
        <f t="shared" ca="1" si="28"/>
        <v>0</v>
      </c>
      <c r="AK83" s="81">
        <f ca="1">IFERROR(__xludf.DUMMYFUNCTION("IMPORTRANGE(""https://docs.google.com/spreadsheets/d/1o7UZe4_OqlqtLDHrj01Z2YFRSZDf1DMy1n3XViHaxRc/edit?usp=sharing"",""ภูเก็ต!J679"")"),0)</f>
        <v>0</v>
      </c>
      <c r="AL83" s="81">
        <f ca="1">IFERROR(__xludf.DUMMYFUNCTION("IMPORTRANGE(""https://docs.google.com/spreadsheets/d/1o7UZe4_OqlqtLDHrj01Z2YFRSZDf1DMy1n3XViHaxRc/edit?usp=sharing"",""ภูเก็ต!J680"")"),0)</f>
        <v>0</v>
      </c>
      <c r="AM83" s="81">
        <f ca="1">IFERROR(__xludf.DUMMYFUNCTION("IMPORTRANGE(""https://docs.google.com/spreadsheets/d/1o7UZe4_OqlqtLDHrj01Z2YFRSZDf1DMy1n3XViHaxRc/edit?usp=sharing"",""ภูเก็ต!J681"")"),0)</f>
        <v>0</v>
      </c>
      <c r="AN83" s="81">
        <f ca="1">IFERROR(__xludf.DUMMYFUNCTION("IMPORTRANGE(""https://docs.google.com/spreadsheets/d/1o7UZe4_OqlqtLDHrj01Z2YFRSZDf1DMy1n3XViHaxRc/edit?usp=sharing"",""ภูเก็ต!J682"")"),0)</f>
        <v>0</v>
      </c>
      <c r="AO83" s="81">
        <f ca="1">IFERROR(__xludf.DUMMYFUNCTION("IMPORTRANGE(""https://docs.google.com/spreadsheets/d/1o7UZe4_OqlqtLDHrj01Z2YFRSZDf1DMy1n3XViHaxRc/edit?usp=sharing"",""ภูเก็ต!J683"")"),0)</f>
        <v>0</v>
      </c>
    </row>
    <row r="84" spans="1:41" ht="21" customHeight="1" x14ac:dyDescent="0.2">
      <c r="A84" s="72">
        <v>10</v>
      </c>
      <c r="B84" s="73" t="s">
        <v>101</v>
      </c>
      <c r="C84" s="74">
        <f t="shared" ca="1" si="64"/>
        <v>9400</v>
      </c>
      <c r="D84" s="75">
        <f ca="1">IFERROR(__xludf.DUMMYFUNCTION("IMPORTRANGE(""https://docs.google.com/spreadsheets/d/1ctPm1vUzcUCPuOj9-eoHUD85PqINFqUB0TjdSWmR5-c/edit?usp=sharing"",""ยะลา!L660"")"),9400)</f>
        <v>9400</v>
      </c>
      <c r="E84" s="76">
        <f ca="1">IFERROR(__xludf.DUMMYFUNCTION("IMPORTRANGE(""https://docs.google.com/spreadsheets/d/1ctPm1vUzcUCPuOj9-eoHUD85PqINFqUB0TjdSWmR5-c/edit?usp=sharing"",""ยะลา!L667"")"),0)</f>
        <v>0</v>
      </c>
      <c r="F84" s="77">
        <f t="shared" ca="1" si="1"/>
        <v>4860</v>
      </c>
      <c r="G84" s="78">
        <f t="shared" ca="1" si="2"/>
        <v>51.702127659574465</v>
      </c>
      <c r="H84" s="79">
        <f t="shared" ca="1" si="65"/>
        <v>4860</v>
      </c>
      <c r="I84" s="76">
        <f ca="1">IFERROR(__xludf.DUMMYFUNCTION("IMPORTRANGE(""https://docs.google.com/spreadsheets/d/1ctPm1vUzcUCPuOj9-eoHUD85PqINFqUB0TjdSWmR5-c/edit?usp=sharing"",""ยะลา!N661"")"),0)</f>
        <v>0</v>
      </c>
      <c r="J84" s="76">
        <f ca="1">IFERROR(__xludf.DUMMYFUNCTION("IMPORTRANGE(""https://docs.google.com/spreadsheets/d/1ctPm1vUzcUCPuOj9-eoHUD85PqINFqUB0TjdSWmR5-c/edit?usp=sharing"",""ยะลา!N662"")"),0)</f>
        <v>0</v>
      </c>
      <c r="K84" s="76">
        <f ca="1">IFERROR(__xludf.DUMMYFUNCTION("IMPORTRANGE(""https://docs.google.com/spreadsheets/d/1ctPm1vUzcUCPuOj9-eoHUD85PqINFqUB0TjdSWmR5-c/edit?usp=sharing"",""ยะลา!N663"")"),0)</f>
        <v>0</v>
      </c>
      <c r="L84" s="76">
        <f ca="1">IFERROR(__xludf.DUMMYFUNCTION("IMPORTRANGE(""https://docs.google.com/spreadsheets/d/1ctPm1vUzcUCPuOj9-eoHUD85PqINFqUB0TjdSWmR5-c/edit?usp=sharing"",""ยะลา!N664"")"),4860)</f>
        <v>4860</v>
      </c>
      <c r="M84" s="80">
        <f ca="1">IFERROR(__xludf.DUMMYFUNCTION("IMPORTRANGE(""https://docs.google.com/spreadsheets/d/1ctPm1vUzcUCPuOj9-eoHUD85PqINFqUB0TjdSWmR5-c/edit?usp=sharing"",""ยะลา!N667"")"),0)</f>
        <v>0</v>
      </c>
      <c r="N84" s="80">
        <f t="shared" ca="1" si="31"/>
        <v>0</v>
      </c>
      <c r="O84" s="81">
        <f ca="1">IFERROR(__xludf.DUMMYFUNCTION("IMPORTRANGE(""https://docs.google.com/spreadsheets/d/1ctPm1vUzcUCPuOj9-eoHUD85PqINFqUB0TjdSWmR5-c/edit?usp=sharing"",""ยะลา!I669"")"),50)</f>
        <v>50</v>
      </c>
      <c r="P84" s="81">
        <f ca="1">IFERROR(__xludf.DUMMYFUNCTION("IMPORTRANGE(""https://docs.google.com/spreadsheets/d/1ctPm1vUzcUCPuOj9-eoHUD85PqINFqUB0TjdSWmR5-c/edit?usp=sharing"",""ยะลา!J669"")"),0)</f>
        <v>0</v>
      </c>
      <c r="Q84" s="82">
        <f t="shared" ca="1" si="25"/>
        <v>0</v>
      </c>
      <c r="R84" s="81">
        <f ca="1">IFERROR(__xludf.DUMMYFUNCTION("IMPORTRANGE(""https://docs.google.com/spreadsheets/d/1ctPm1vUzcUCPuOj9-eoHUD85PqINFqUB0TjdSWmR5-c/edit?usp=sharing"",""ยะลา!I670"")"),4)</f>
        <v>4</v>
      </c>
      <c r="S84" s="81">
        <f ca="1">IFERROR(__xludf.DUMMYFUNCTION("IMPORTRANGE(""https://docs.google.com/spreadsheets/d/1ctPm1vUzcUCPuOj9-eoHUD85PqINFqUB0TjdSWmR5-c/edit?usp=sharing"",""ยะลา!J670"")"),4)</f>
        <v>4</v>
      </c>
      <c r="T84" s="82">
        <f t="shared" ca="1" si="26"/>
        <v>100</v>
      </c>
      <c r="U84" s="81">
        <f ca="1">IFERROR(__xludf.DUMMYFUNCTION("IMPORTRANGE(""https://docs.google.com/spreadsheets/d/1ctPm1vUzcUCPuOj9-eoHUD85PqINFqUB0TjdSWmR5-c/edit?usp=sharing"",""ยะลา!I671"")"),4)</f>
        <v>4</v>
      </c>
      <c r="V84" s="81">
        <f ca="1">IFERROR(__xludf.DUMMYFUNCTION("IMPORTRANGE(""https://docs.google.com/spreadsheets/d/1ctPm1vUzcUCPuOj9-eoHUD85PqINFqUB0TjdSWmR5-c/edit?usp=sharing"",""ยะลา!J671"")"),4)</f>
        <v>4</v>
      </c>
      <c r="W84" s="82">
        <f t="shared" ca="1" si="27"/>
        <v>100</v>
      </c>
      <c r="X84" s="81">
        <f ca="1">IFERROR(__xludf.DUMMYFUNCTION("IMPORTRANGE(""https://docs.google.com/spreadsheets/d/1ctPm1vUzcUCPuOj9-eoHUD85PqINFqUB0TjdSWmR5-c/edit?usp=sharing"",""ยะลา!J672"")"),202)</f>
        <v>202</v>
      </c>
      <c r="Y84" s="276">
        <f t="shared" ca="1" si="11"/>
        <v>404</v>
      </c>
      <c r="Z84" s="81">
        <f ca="1">IFERROR(__xludf.DUMMYFUNCTION("IMPORTRANGE(""https://docs.google.com/spreadsheets/d/1ctPm1vUzcUCPuOj9-eoHUD85PqINFqUB0TjdSWmR5-c/edit?usp=sharing"",""ยะลา!J673"")"),0)</f>
        <v>0</v>
      </c>
      <c r="AA84" s="276">
        <f t="shared" ca="1" si="12"/>
        <v>0</v>
      </c>
      <c r="AB84" s="276">
        <f ca="1">IFERROR(__xludf.DUMMYFUNCTION("IMPORTRANGE(""https://docs.google.com/spreadsheets/d/1ctPm1vUzcUCPuOj9-eoHUD85PqINFqUB0TjdSWmR5-c/edit?usp=sharing"",""ยะลา!J674"")"),0)</f>
        <v>0</v>
      </c>
      <c r="AC84" s="82">
        <f t="shared" ca="1" si="13"/>
        <v>0</v>
      </c>
      <c r="AD84" s="276">
        <f ca="1">IFERROR(__xludf.DUMMYFUNCTION("IMPORTRANGE(""https://docs.google.com/spreadsheets/d/1ctPm1vUzcUCPuOj9-eoHUD85PqINFqUB0TjdSWmR5-c/edit?usp=sharing"",""ยะลา!J675"")"),0)</f>
        <v>0</v>
      </c>
      <c r="AE84" s="82">
        <f t="shared" ca="1" si="22"/>
        <v>0</v>
      </c>
      <c r="AF84" s="276">
        <f ca="1">IFERROR(__xludf.DUMMYFUNCTION("IMPORTRANGE(""https://docs.google.com/spreadsheets/d/1ctPm1vUzcUCPuOj9-eoHUD85PqINFqUB0TjdSWmR5-c/edit?usp=sharing"",""ยะลา!J676"")"),0)</f>
        <v>0</v>
      </c>
      <c r="AG84" s="276">
        <f ca="1">IFERROR(__xludf.DUMMYFUNCTION("IMPORTRANGE(""https://docs.google.com/spreadsheets/d/1ctPm1vUzcUCPuOj9-eoHUD85PqINFqUB0TjdSWmR5-c/edit?usp=sharing"",""ยะลา!J677"")"),0)</f>
        <v>0</v>
      </c>
      <c r="AH84" s="81">
        <f ca="1">IFERROR(__xludf.DUMMYFUNCTION("IMPORTRANGE(""https://docs.google.com/spreadsheets/d/1ctPm1vUzcUCPuOj9-eoHUD85PqINFqUB0TjdSWmR5-c/edit?usp=sharing"",""ยะลา!I678"")"),0)</f>
        <v>0</v>
      </c>
      <c r="AI84" s="81">
        <f ca="1">IFERROR(__xludf.DUMMYFUNCTION("IMPORTRANGE(""https://docs.google.com/spreadsheets/d/1ctPm1vUzcUCPuOj9-eoHUD85PqINFqUB0TjdSWmR5-c/edit?usp=sharing"",""ยะลา!J678"")"),0)</f>
        <v>0</v>
      </c>
      <c r="AJ84" s="82">
        <f t="shared" ca="1" si="28"/>
        <v>0</v>
      </c>
      <c r="AK84" s="81">
        <f ca="1">IFERROR(__xludf.DUMMYFUNCTION("IMPORTRANGE(""https://docs.google.com/spreadsheets/d/1ctPm1vUzcUCPuOj9-eoHUD85PqINFqUB0TjdSWmR5-c/edit?usp=sharing"",""ยะลา!J679"")"),0)</f>
        <v>0</v>
      </c>
      <c r="AL84" s="81">
        <f ca="1">IFERROR(__xludf.DUMMYFUNCTION("IMPORTRANGE(""https://docs.google.com/spreadsheets/d/1ctPm1vUzcUCPuOj9-eoHUD85PqINFqUB0TjdSWmR5-c/edit?usp=sharing"",""ยะลา!J680"")"),0)</f>
        <v>0</v>
      </c>
      <c r="AM84" s="81">
        <f ca="1">IFERROR(__xludf.DUMMYFUNCTION("IMPORTRANGE(""https://docs.google.com/spreadsheets/d/1ctPm1vUzcUCPuOj9-eoHUD85PqINFqUB0TjdSWmR5-c/edit?usp=sharing"",""ยะลา!J681"")"),0)</f>
        <v>0</v>
      </c>
      <c r="AN84" s="81">
        <f ca="1">IFERROR(__xludf.DUMMYFUNCTION("IMPORTRANGE(""https://docs.google.com/spreadsheets/d/1ctPm1vUzcUCPuOj9-eoHUD85PqINFqUB0TjdSWmR5-c/edit?usp=sharing"",""ยะลา!J682"")"),0)</f>
        <v>0</v>
      </c>
      <c r="AO84" s="81">
        <f ca="1">IFERROR(__xludf.DUMMYFUNCTION("IMPORTRANGE(""https://docs.google.com/spreadsheets/d/1ctPm1vUzcUCPuOj9-eoHUD85PqINFqUB0TjdSWmR5-c/edit?usp=sharing"",""ยะลา!J683"")"),0)</f>
        <v>0</v>
      </c>
    </row>
    <row r="85" spans="1:41" ht="21" customHeight="1" x14ac:dyDescent="0.2">
      <c r="A85" s="72">
        <v>11</v>
      </c>
      <c r="B85" s="73" t="s">
        <v>102</v>
      </c>
      <c r="C85" s="74">
        <f t="shared" ca="1" si="64"/>
        <v>0</v>
      </c>
      <c r="D85" s="75">
        <f ca="1">IFERROR(__xludf.DUMMYFUNCTION("IMPORTRANGE(""https://docs.google.com/spreadsheets/d/1YiDIE7Klmt8osgdapRqYWNr7iPGFSsiJqq46S7PYRE0/edit?usp=sharing"",""ระนอง!L660"")"),0)</f>
        <v>0</v>
      </c>
      <c r="E85" s="76">
        <f ca="1">IFERROR(__xludf.DUMMYFUNCTION("IMPORTRANGE(""https://docs.google.com/spreadsheets/d/1YiDIE7Klmt8osgdapRqYWNr7iPGFSsiJqq46S7PYRE0/edit?usp=sharing"",""ระนอง!L667"")"),0)</f>
        <v>0</v>
      </c>
      <c r="F85" s="77">
        <f t="shared" ca="1" si="1"/>
        <v>0</v>
      </c>
      <c r="G85" s="78">
        <f t="shared" ca="1" si="2"/>
        <v>0</v>
      </c>
      <c r="H85" s="79">
        <f t="shared" ca="1" si="65"/>
        <v>0</v>
      </c>
      <c r="I85" s="76">
        <f ca="1">IFERROR(__xludf.DUMMYFUNCTION("IMPORTRANGE(""https://docs.google.com/spreadsheets/d/1YiDIE7Klmt8osgdapRqYWNr7iPGFSsiJqq46S7PYRE0/edit?usp=sharing"",""ระนอง!N661"")"),0)</f>
        <v>0</v>
      </c>
      <c r="J85" s="76">
        <f ca="1">IFERROR(__xludf.DUMMYFUNCTION("IMPORTRANGE(""https://docs.google.com/spreadsheets/d/1YiDIE7Klmt8osgdapRqYWNr7iPGFSsiJqq46S7PYRE0/edit?usp=sharing"",""ระนอง!N662"")"),0)</f>
        <v>0</v>
      </c>
      <c r="K85" s="76">
        <f ca="1">IFERROR(__xludf.DUMMYFUNCTION("IMPORTRANGE(""https://docs.google.com/spreadsheets/d/1YiDIE7Klmt8osgdapRqYWNr7iPGFSsiJqq46S7PYRE0/edit?usp=sharing"",""ระนอง!N663"")"),0)</f>
        <v>0</v>
      </c>
      <c r="L85" s="76">
        <f ca="1">IFERROR(__xludf.DUMMYFUNCTION("IMPORTRANGE(""https://docs.google.com/spreadsheets/d/1YiDIE7Klmt8osgdapRqYWNr7iPGFSsiJqq46S7PYRE0/edit?usp=sharing"",""ระนอง!N664"")"),0)</f>
        <v>0</v>
      </c>
      <c r="M85" s="80">
        <f ca="1">IFERROR(__xludf.DUMMYFUNCTION("IMPORTRANGE(""https://docs.google.com/spreadsheets/d/1YiDIE7Klmt8osgdapRqYWNr7iPGFSsiJqq46S7PYRE0/edit?usp=sharing"",""ระนอง!N667"")"),0)</f>
        <v>0</v>
      </c>
      <c r="N85" s="80">
        <f t="shared" ca="1" si="31"/>
        <v>0</v>
      </c>
      <c r="O85" s="81">
        <f ca="1">IFERROR(__xludf.DUMMYFUNCTION("IMPORTRANGE(""https://docs.google.com/spreadsheets/d/1YiDIE7Klmt8osgdapRqYWNr7iPGFSsiJqq46S7PYRE0/edit?usp=sharing"",""ระนอง!I669"")"),0)</f>
        <v>0</v>
      </c>
      <c r="P85" s="81">
        <f ca="1">IFERROR(__xludf.DUMMYFUNCTION("IMPORTRANGE(""https://docs.google.com/spreadsheets/d/1YiDIE7Klmt8osgdapRqYWNr7iPGFSsiJqq46S7PYRE0/edit?usp=sharing"",""ระนอง!J669"")"),0)</f>
        <v>0</v>
      </c>
      <c r="Q85" s="82">
        <f t="shared" ca="1" si="25"/>
        <v>0</v>
      </c>
      <c r="R85" s="81">
        <f ca="1">IFERROR(__xludf.DUMMYFUNCTION("IMPORTRANGE(""https://docs.google.com/spreadsheets/d/1YiDIE7Klmt8osgdapRqYWNr7iPGFSsiJqq46S7PYRE0/edit?usp=sharing"",""ระนอง!I670"")"),0)</f>
        <v>0</v>
      </c>
      <c r="S85" s="81">
        <f ca="1">IFERROR(__xludf.DUMMYFUNCTION("IMPORTRANGE(""https://docs.google.com/spreadsheets/d/1YiDIE7Klmt8osgdapRqYWNr7iPGFSsiJqq46S7PYRE0/edit?usp=sharing"",""ระนอง!J670"")"),0)</f>
        <v>0</v>
      </c>
      <c r="T85" s="82">
        <f t="shared" ca="1" si="26"/>
        <v>0</v>
      </c>
      <c r="U85" s="81">
        <f ca="1">IFERROR(__xludf.DUMMYFUNCTION("IMPORTRANGE(""https://docs.google.com/spreadsheets/d/1YiDIE7Klmt8osgdapRqYWNr7iPGFSsiJqq46S7PYRE0/edit?usp=sharing"",""ระนอง!I671"")"),0)</f>
        <v>0</v>
      </c>
      <c r="V85" s="81">
        <f ca="1">IFERROR(__xludf.DUMMYFUNCTION("IMPORTRANGE(""https://docs.google.com/spreadsheets/d/1YiDIE7Klmt8osgdapRqYWNr7iPGFSsiJqq46S7PYRE0/edit?usp=sharing"",""ระนอง!J671"")"),0)</f>
        <v>0</v>
      </c>
      <c r="W85" s="82">
        <f t="shared" ca="1" si="27"/>
        <v>0</v>
      </c>
      <c r="X85" s="81">
        <f ca="1">IFERROR(__xludf.DUMMYFUNCTION("IMPORTRANGE(""https://docs.google.com/spreadsheets/d/1YiDIE7Klmt8osgdapRqYWNr7iPGFSsiJqq46S7PYRE0/edit?usp=sharing"",""ระนอง!J672"")"),0)</f>
        <v>0</v>
      </c>
      <c r="Y85" s="276">
        <f t="shared" ca="1" si="11"/>
        <v>0</v>
      </c>
      <c r="Z85" s="81">
        <f ca="1">IFERROR(__xludf.DUMMYFUNCTION("IMPORTRANGE(""https://docs.google.com/spreadsheets/d/1YiDIE7Klmt8osgdapRqYWNr7iPGFSsiJqq46S7PYRE0/edit?usp=sharing"",""ระนอง!J673"")"),0)</f>
        <v>0</v>
      </c>
      <c r="AA85" s="276">
        <f t="shared" ca="1" si="12"/>
        <v>0</v>
      </c>
      <c r="AB85" s="276">
        <f ca="1">IFERROR(__xludf.DUMMYFUNCTION("IMPORTRANGE(""https://docs.google.com/spreadsheets/d/1YiDIE7Klmt8osgdapRqYWNr7iPGFSsiJqq46S7PYRE0/edit?usp=sharing"",""ระนอง!J674"")"),0)</f>
        <v>0</v>
      </c>
      <c r="AC85" s="82">
        <f t="shared" ca="1" si="13"/>
        <v>0</v>
      </c>
      <c r="AD85" s="276">
        <f ca="1">IFERROR(__xludf.DUMMYFUNCTION("IMPORTRANGE(""https://docs.google.com/spreadsheets/d/1YiDIE7Klmt8osgdapRqYWNr7iPGFSsiJqq46S7PYRE0/edit?usp=sharing"",""ระนอง!J675"")"),0)</f>
        <v>0</v>
      </c>
      <c r="AE85" s="82">
        <f t="shared" ca="1" si="22"/>
        <v>0</v>
      </c>
      <c r="AF85" s="276">
        <f ca="1">IFERROR(__xludf.DUMMYFUNCTION("IMPORTRANGE(""https://docs.google.com/spreadsheets/d/1YiDIE7Klmt8osgdapRqYWNr7iPGFSsiJqq46S7PYRE0/edit?usp=sharing"",""ระนอง!J676"")"),0)</f>
        <v>0</v>
      </c>
      <c r="AG85" s="276">
        <f ca="1">IFERROR(__xludf.DUMMYFUNCTION("IMPORTRANGE(""https://docs.google.com/spreadsheets/d/1YiDIE7Klmt8osgdapRqYWNr7iPGFSsiJqq46S7PYRE0/edit?usp=sharing"",""ระนอง!J677"")"),0)</f>
        <v>0</v>
      </c>
      <c r="AH85" s="81">
        <f ca="1">IFERROR(__xludf.DUMMYFUNCTION("IMPORTRANGE(""https://docs.google.com/spreadsheets/d/1YiDIE7Klmt8osgdapRqYWNr7iPGFSsiJqq46S7PYRE0/edit?usp=sharing"",""ระนอง!I678"")"),0)</f>
        <v>0</v>
      </c>
      <c r="AI85" s="81">
        <f ca="1">IFERROR(__xludf.DUMMYFUNCTION("IMPORTRANGE(""https://docs.google.com/spreadsheets/d/1YiDIE7Klmt8osgdapRqYWNr7iPGFSsiJqq46S7PYRE0/edit?usp=sharing"",""ระนอง!J678"")"),0)</f>
        <v>0</v>
      </c>
      <c r="AJ85" s="82">
        <f t="shared" ca="1" si="28"/>
        <v>0</v>
      </c>
      <c r="AK85" s="81">
        <f ca="1">IFERROR(__xludf.DUMMYFUNCTION("IMPORTRANGE(""https://docs.google.com/spreadsheets/d/1YiDIE7Klmt8osgdapRqYWNr7iPGFSsiJqq46S7PYRE0/edit?usp=sharing"",""ระนอง!J679"")"),0)</f>
        <v>0</v>
      </c>
      <c r="AL85" s="81">
        <f ca="1">IFERROR(__xludf.DUMMYFUNCTION("IMPORTRANGE(""https://docs.google.com/spreadsheets/d/1YiDIE7Klmt8osgdapRqYWNr7iPGFSsiJqq46S7PYRE0/edit?usp=sharing"",""ระนอง!J680"")"),0)</f>
        <v>0</v>
      </c>
      <c r="AM85" s="81">
        <f ca="1">IFERROR(__xludf.DUMMYFUNCTION("IMPORTRANGE(""https://docs.google.com/spreadsheets/d/1YiDIE7Klmt8osgdapRqYWNr7iPGFSsiJqq46S7PYRE0/edit?usp=sharing"",""ระนอง!J681"")"),0)</f>
        <v>0</v>
      </c>
      <c r="AN85" s="81">
        <f ca="1">IFERROR(__xludf.DUMMYFUNCTION("IMPORTRANGE(""https://docs.google.com/spreadsheets/d/1YiDIE7Klmt8osgdapRqYWNr7iPGFSsiJqq46S7PYRE0/edit?usp=sharing"",""ระนอง!J682"")"),0)</f>
        <v>0</v>
      </c>
      <c r="AO85" s="81">
        <f ca="1">IFERROR(__xludf.DUMMYFUNCTION("IMPORTRANGE(""https://docs.google.com/spreadsheets/d/1YiDIE7Klmt8osgdapRqYWNr7iPGFSsiJqq46S7PYRE0/edit?usp=sharing"",""ระนอง!J683"")"),0)</f>
        <v>0</v>
      </c>
    </row>
    <row r="86" spans="1:41" ht="24" customHeight="1" x14ac:dyDescent="0.2">
      <c r="A86" s="72">
        <v>12</v>
      </c>
      <c r="B86" s="73" t="s">
        <v>103</v>
      </c>
      <c r="C86" s="74">
        <f t="shared" ca="1" si="64"/>
        <v>12600</v>
      </c>
      <c r="D86" s="75">
        <f ca="1">IFERROR(__xludf.DUMMYFUNCTION("IMPORTRANGE(""https://docs.google.com/spreadsheets/d/16o_4B-V7AWw_6E93bSpXj_XxVv1oVQctk-B6z1dNEWU/edit?usp=sharing"",""สงขลา!L660"")"),12600)</f>
        <v>12600</v>
      </c>
      <c r="E86" s="76">
        <f ca="1">IFERROR(__xludf.DUMMYFUNCTION("IMPORTRANGE(""https://docs.google.com/spreadsheets/d/16o_4B-V7AWw_6E93bSpXj_XxVv1oVQctk-B6z1dNEWU/edit?usp=sharing"",""สงขลา!L667"")"),0)</f>
        <v>0</v>
      </c>
      <c r="F86" s="77">
        <f t="shared" ca="1" si="1"/>
        <v>6100</v>
      </c>
      <c r="G86" s="78">
        <f t="shared" ca="1" si="2"/>
        <v>48.412698412698411</v>
      </c>
      <c r="H86" s="79">
        <f t="shared" ca="1" si="65"/>
        <v>6100</v>
      </c>
      <c r="I86" s="76">
        <f ca="1">IFERROR(__xludf.DUMMYFUNCTION("IMPORTRANGE(""https://docs.google.com/spreadsheets/d/16o_4B-V7AWw_6E93bSpXj_XxVv1oVQctk-B6z1dNEWU/edit?usp=sharing"",""สงขลา!N661"")"),0)</f>
        <v>0</v>
      </c>
      <c r="J86" s="76">
        <f ca="1">IFERROR(__xludf.DUMMYFUNCTION("IMPORTRANGE(""https://docs.google.com/spreadsheets/d/16o_4B-V7AWw_6E93bSpXj_XxVv1oVQctk-B6z1dNEWU/edit?usp=sharing"",""สงขลา!N662"")"),0)</f>
        <v>0</v>
      </c>
      <c r="K86" s="76">
        <f ca="1">IFERROR(__xludf.DUMMYFUNCTION("IMPORTRANGE(""https://docs.google.com/spreadsheets/d/16o_4B-V7AWw_6E93bSpXj_XxVv1oVQctk-B6z1dNEWU/edit?usp=sharing"",""สงขลา!N663"")"),0)</f>
        <v>0</v>
      </c>
      <c r="L86" s="76">
        <f ca="1">IFERROR(__xludf.DUMMYFUNCTION("IMPORTRANGE(""https://docs.google.com/spreadsheets/d/16o_4B-V7AWw_6E93bSpXj_XxVv1oVQctk-B6z1dNEWU/edit?usp=sharing"",""สงขลา!N664"")"),6100)</f>
        <v>6100</v>
      </c>
      <c r="M86" s="80">
        <f ca="1">IFERROR(__xludf.DUMMYFUNCTION("IMPORTRANGE(""https://docs.google.com/spreadsheets/d/16o_4B-V7AWw_6E93bSpXj_XxVv1oVQctk-B6z1dNEWU/edit?usp=sharing"",""สงขลา!N667"")"),0)</f>
        <v>0</v>
      </c>
      <c r="N86" s="80">
        <f t="shared" ca="1" si="31"/>
        <v>0</v>
      </c>
      <c r="O86" s="81">
        <f ca="1">IFERROR(__xludf.DUMMYFUNCTION("IMPORTRANGE(""https://docs.google.com/spreadsheets/d/16o_4B-V7AWw_6E93bSpXj_XxVv1oVQctk-B6z1dNEWU/edit?usp=sharing"",""สงขลา!I669"")"),50)</f>
        <v>50</v>
      </c>
      <c r="P86" s="81">
        <f ca="1">IFERROR(__xludf.DUMMYFUNCTION("IMPORTRANGE(""https://docs.google.com/spreadsheets/d/16o_4B-V7AWw_6E93bSpXj_XxVv1oVQctk-B6z1dNEWU/edit?usp=sharing"",""สงขลา!J669"")"),0)</f>
        <v>0</v>
      </c>
      <c r="Q86" s="82">
        <f t="shared" ca="1" si="25"/>
        <v>0</v>
      </c>
      <c r="R86" s="81">
        <f ca="1">IFERROR(__xludf.DUMMYFUNCTION("IMPORTRANGE(""https://docs.google.com/spreadsheets/d/16o_4B-V7AWw_6E93bSpXj_XxVv1oVQctk-B6z1dNEWU/edit?usp=sharing"",""สงขลา!I670"")"),6)</f>
        <v>6</v>
      </c>
      <c r="S86" s="81">
        <f ca="1">IFERROR(__xludf.DUMMYFUNCTION("IMPORTRANGE(""https://docs.google.com/spreadsheets/d/16o_4B-V7AWw_6E93bSpXj_XxVv1oVQctk-B6z1dNEWU/edit?usp=sharing"",""สงขลา!J670"")"),6)</f>
        <v>6</v>
      </c>
      <c r="T86" s="82">
        <f t="shared" ca="1" si="26"/>
        <v>100</v>
      </c>
      <c r="U86" s="81">
        <f ca="1">IFERROR(__xludf.DUMMYFUNCTION("IMPORTRANGE(""https://docs.google.com/spreadsheets/d/16o_4B-V7AWw_6E93bSpXj_XxVv1oVQctk-B6z1dNEWU/edit?usp=sharing"",""สงขลา!I671"")"),6)</f>
        <v>6</v>
      </c>
      <c r="V86" s="81">
        <f ca="1">IFERROR(__xludf.DUMMYFUNCTION("IMPORTRANGE(""https://docs.google.com/spreadsheets/d/16o_4B-V7AWw_6E93bSpXj_XxVv1oVQctk-B6z1dNEWU/edit?usp=sharing"",""สงขลา!J671"")"),6)</f>
        <v>6</v>
      </c>
      <c r="W86" s="82">
        <f t="shared" ca="1" si="27"/>
        <v>100</v>
      </c>
      <c r="X86" s="81">
        <f ca="1">IFERROR(__xludf.DUMMYFUNCTION("IMPORTRANGE(""https://docs.google.com/spreadsheets/d/16o_4B-V7AWw_6E93bSpXj_XxVv1oVQctk-B6z1dNEWU/edit?usp=sharing"",""สงขลา!J672"")"),0)</f>
        <v>0</v>
      </c>
      <c r="Y86" s="276">
        <f t="shared" ca="1" si="11"/>
        <v>0</v>
      </c>
      <c r="Z86" s="81">
        <f ca="1">IFERROR(__xludf.DUMMYFUNCTION("IMPORTRANGE(""https://docs.google.com/spreadsheets/d/16o_4B-V7AWw_6E93bSpXj_XxVv1oVQctk-B6z1dNEWU/edit?usp=sharing"",""สงขลา!J673"")"),0)</f>
        <v>0</v>
      </c>
      <c r="AA86" s="276">
        <f t="shared" ca="1" si="12"/>
        <v>0</v>
      </c>
      <c r="AB86" s="276">
        <f ca="1">IFERROR(__xludf.DUMMYFUNCTION("IMPORTRANGE(""https://docs.google.com/spreadsheets/d/16o_4B-V7AWw_6E93bSpXj_XxVv1oVQctk-B6z1dNEWU/edit?usp=sharing"",""สงขลา!J674"")"),0)</f>
        <v>0</v>
      </c>
      <c r="AC86" s="82">
        <f t="shared" ca="1" si="13"/>
        <v>0</v>
      </c>
      <c r="AD86" s="276">
        <f ca="1">IFERROR(__xludf.DUMMYFUNCTION("IMPORTRANGE(""https://docs.google.com/spreadsheets/d/16o_4B-V7AWw_6E93bSpXj_XxVv1oVQctk-B6z1dNEWU/edit?usp=sharing"",""สงขลา!J675"")"),0)</f>
        <v>0</v>
      </c>
      <c r="AE86" s="82">
        <f t="shared" ca="1" si="22"/>
        <v>0</v>
      </c>
      <c r="AF86" s="276">
        <f ca="1">IFERROR(__xludf.DUMMYFUNCTION("IMPORTRANGE(""https://docs.google.com/spreadsheets/d/16o_4B-V7AWw_6E93bSpXj_XxVv1oVQctk-B6z1dNEWU/edit?usp=sharing"",""สงขลา!J676"")"),0)</f>
        <v>0</v>
      </c>
      <c r="AG86" s="276">
        <f ca="1">IFERROR(__xludf.DUMMYFUNCTION("IMPORTRANGE(""https://docs.google.com/spreadsheets/d/16o_4B-V7AWw_6E93bSpXj_XxVv1oVQctk-B6z1dNEWU/edit?usp=sharing"",""สงขลา!J677"")"),0)</f>
        <v>0</v>
      </c>
      <c r="AH86" s="81">
        <f ca="1">IFERROR(__xludf.DUMMYFUNCTION("IMPORTRANGE(""https://docs.google.com/spreadsheets/d/16o_4B-V7AWw_6E93bSpXj_XxVv1oVQctk-B6z1dNEWU/edit?usp=sharing"",""สงขลา!I678"")"),0)</f>
        <v>0</v>
      </c>
      <c r="AI86" s="81">
        <f ca="1">IFERROR(__xludf.DUMMYFUNCTION("IMPORTRANGE(""https://docs.google.com/spreadsheets/d/16o_4B-V7AWw_6E93bSpXj_XxVv1oVQctk-B6z1dNEWU/edit?usp=sharing"",""สงขลา!J678"")"),168.76)</f>
        <v>168.76</v>
      </c>
      <c r="AJ86" s="82">
        <f t="shared" ca="1" si="28"/>
        <v>0</v>
      </c>
      <c r="AK86" s="81">
        <f ca="1">IFERROR(__xludf.DUMMYFUNCTION("IMPORTRANGE(""https://docs.google.com/spreadsheets/d/16o_4B-V7AWw_6E93bSpXj_XxVv1oVQctk-B6z1dNEWU/edit?usp=sharing"",""สงขลา!J679"")"),168.76)</f>
        <v>168.76</v>
      </c>
      <c r="AL86" s="81">
        <f ca="1">IFERROR(__xludf.DUMMYFUNCTION("IMPORTRANGE(""https://docs.google.com/spreadsheets/d/16o_4B-V7AWw_6E93bSpXj_XxVv1oVQctk-B6z1dNEWU/edit?usp=sharing"",""สงขลา!J680"")"),31.56)</f>
        <v>31.56</v>
      </c>
      <c r="AM86" s="81">
        <f ca="1">IFERROR(__xludf.DUMMYFUNCTION("IMPORTRANGE(""https://docs.google.com/spreadsheets/d/16o_4B-V7AWw_6E93bSpXj_XxVv1oVQctk-B6z1dNEWU/edit?usp=sharing"",""สงขลา!J681"")"),137.2)</f>
        <v>137.19999999999999</v>
      </c>
      <c r="AN86" s="81">
        <f ca="1">IFERROR(__xludf.DUMMYFUNCTION("IMPORTRANGE(""https://docs.google.com/spreadsheets/d/16o_4B-V7AWw_6E93bSpXj_XxVv1oVQctk-B6z1dNEWU/edit?usp=sharing"",""สงขลา!J682"")"),0)</f>
        <v>0</v>
      </c>
      <c r="AO86" s="81">
        <f ca="1">IFERROR(__xludf.DUMMYFUNCTION("IMPORTRANGE(""https://docs.google.com/spreadsheets/d/16o_4B-V7AWw_6E93bSpXj_XxVv1oVQctk-B6z1dNEWU/edit?usp=sharing"",""สงขลา!J683"")"),0)</f>
        <v>0</v>
      </c>
    </row>
    <row r="87" spans="1:41" ht="24" customHeight="1" x14ac:dyDescent="0.2">
      <c r="A87" s="72">
        <v>13</v>
      </c>
      <c r="B87" s="73" t="s">
        <v>104</v>
      </c>
      <c r="C87" s="74">
        <f t="shared" ca="1" si="64"/>
        <v>0</v>
      </c>
      <c r="D87" s="75">
        <f ca="1">IFERROR(__xludf.DUMMYFUNCTION("IMPORTRANGE(""https://docs.google.com/spreadsheets/d/16cywr71Fj4fA5OGRHsZh30ZG2gwJhMAQv69oVBzYHv0/edit?usp=sharing"",""สตูล!L660"")"),0)</f>
        <v>0</v>
      </c>
      <c r="E87" s="76">
        <f ca="1">IFERROR(__xludf.DUMMYFUNCTION("IMPORTRANGE(""https://docs.google.com/spreadsheets/d/16cywr71Fj4fA5OGRHsZh30ZG2gwJhMAQv69oVBzYHv0/edit?usp=sharing"",""สตูล!L667"")"),0)</f>
        <v>0</v>
      </c>
      <c r="F87" s="77">
        <f t="shared" ca="1" si="1"/>
        <v>0</v>
      </c>
      <c r="G87" s="78">
        <f t="shared" ca="1" si="2"/>
        <v>0</v>
      </c>
      <c r="H87" s="79">
        <f t="shared" ca="1" si="65"/>
        <v>0</v>
      </c>
      <c r="I87" s="76">
        <f ca="1">IFERROR(__xludf.DUMMYFUNCTION("IMPORTRANGE(""https://docs.google.com/spreadsheets/d/16cywr71Fj4fA5OGRHsZh30ZG2gwJhMAQv69oVBzYHv0/edit?usp=sharing"",""สตูล!N661"")"),0)</f>
        <v>0</v>
      </c>
      <c r="J87" s="76">
        <f ca="1">IFERROR(__xludf.DUMMYFUNCTION("IMPORTRANGE(""https://docs.google.com/spreadsheets/d/16cywr71Fj4fA5OGRHsZh30ZG2gwJhMAQv69oVBzYHv0/edit?usp=sharing"",""สตูล!N662"")"),0)</f>
        <v>0</v>
      </c>
      <c r="K87" s="76">
        <f ca="1">IFERROR(__xludf.DUMMYFUNCTION("IMPORTRANGE(""https://docs.google.com/spreadsheets/d/16cywr71Fj4fA5OGRHsZh30ZG2gwJhMAQv69oVBzYHv0/edit?usp=sharing"",""สตูล!N663"")"),0)</f>
        <v>0</v>
      </c>
      <c r="L87" s="76">
        <f ca="1">IFERROR(__xludf.DUMMYFUNCTION("IMPORTRANGE(""https://docs.google.com/spreadsheets/d/16cywr71Fj4fA5OGRHsZh30ZG2gwJhMAQv69oVBzYHv0/edit?usp=sharing"",""สตูล!N664"")"),0)</f>
        <v>0</v>
      </c>
      <c r="M87" s="80">
        <f ca="1">IFERROR(__xludf.DUMMYFUNCTION("IMPORTRANGE(""https://docs.google.com/spreadsheets/d/16cywr71Fj4fA5OGRHsZh30ZG2gwJhMAQv69oVBzYHv0/edit?usp=sharing"",""สตูล!N667"")"),0)</f>
        <v>0</v>
      </c>
      <c r="N87" s="80">
        <f t="shared" ca="1" si="31"/>
        <v>0</v>
      </c>
      <c r="O87" s="81">
        <f ca="1">IFERROR(__xludf.DUMMYFUNCTION("IMPORTRANGE(""https://docs.google.com/spreadsheets/d/16cywr71Fj4fA5OGRHsZh30ZG2gwJhMAQv69oVBzYHv0/edit?usp=sharing"",""สตูล!I669"")"),0)</f>
        <v>0</v>
      </c>
      <c r="P87" s="81">
        <f ca="1">IFERROR(__xludf.DUMMYFUNCTION("IMPORTRANGE(""https://docs.google.com/spreadsheets/d/16cywr71Fj4fA5OGRHsZh30ZG2gwJhMAQv69oVBzYHv0/edit?usp=sharing"",""สตูล!J669"")"),0)</f>
        <v>0</v>
      </c>
      <c r="Q87" s="82">
        <f t="shared" ca="1" si="25"/>
        <v>0</v>
      </c>
      <c r="R87" s="81">
        <f ca="1">IFERROR(__xludf.DUMMYFUNCTION("IMPORTRANGE(""https://docs.google.com/spreadsheets/d/16cywr71Fj4fA5OGRHsZh30ZG2gwJhMAQv69oVBzYHv0/edit?usp=sharing"",""สตูล!I670"")"),0)</f>
        <v>0</v>
      </c>
      <c r="S87" s="81">
        <f ca="1">IFERROR(__xludf.DUMMYFUNCTION("IMPORTRANGE(""https://docs.google.com/spreadsheets/d/16cywr71Fj4fA5OGRHsZh30ZG2gwJhMAQv69oVBzYHv0/edit?usp=sharing"",""สตูล!J670"")"),0)</f>
        <v>0</v>
      </c>
      <c r="T87" s="82">
        <f t="shared" ca="1" si="26"/>
        <v>0</v>
      </c>
      <c r="U87" s="81">
        <f ca="1">IFERROR(__xludf.DUMMYFUNCTION("IMPORTRANGE(""https://docs.google.com/spreadsheets/d/16cywr71Fj4fA5OGRHsZh30ZG2gwJhMAQv69oVBzYHv0/edit?usp=sharing"",""สตูล!I671"")"),0)</f>
        <v>0</v>
      </c>
      <c r="V87" s="81">
        <f ca="1">IFERROR(__xludf.DUMMYFUNCTION("IMPORTRANGE(""https://docs.google.com/spreadsheets/d/16cywr71Fj4fA5OGRHsZh30ZG2gwJhMAQv69oVBzYHv0/edit?usp=sharing"",""สตูล!J671"")"),0)</f>
        <v>0</v>
      </c>
      <c r="W87" s="82">
        <f t="shared" ca="1" si="27"/>
        <v>0</v>
      </c>
      <c r="X87" s="81">
        <f ca="1">IFERROR(__xludf.DUMMYFUNCTION("IMPORTRANGE(""https://docs.google.com/spreadsheets/d/16cywr71Fj4fA5OGRHsZh30ZG2gwJhMAQv69oVBzYHv0/edit?usp=sharing"",""สตูล!J672"")"),0)</f>
        <v>0</v>
      </c>
      <c r="Y87" s="276">
        <f t="shared" ca="1" si="11"/>
        <v>0</v>
      </c>
      <c r="Z87" s="81">
        <f ca="1">IFERROR(__xludf.DUMMYFUNCTION("IMPORTRANGE(""https://docs.google.com/spreadsheets/d/16cywr71Fj4fA5OGRHsZh30ZG2gwJhMAQv69oVBzYHv0/edit?usp=sharing"",""สตูล!J673"")"),0)</f>
        <v>0</v>
      </c>
      <c r="AA87" s="276">
        <f t="shared" ca="1" si="12"/>
        <v>0</v>
      </c>
      <c r="AB87" s="276">
        <f ca="1">IFERROR(__xludf.DUMMYFUNCTION("IMPORTRANGE(""https://docs.google.com/spreadsheets/d/16cywr71Fj4fA5OGRHsZh30ZG2gwJhMAQv69oVBzYHv0/edit?usp=sharing"",""สตูล!J674"")"),0)</f>
        <v>0</v>
      </c>
      <c r="AC87" s="82">
        <f t="shared" ca="1" si="13"/>
        <v>0</v>
      </c>
      <c r="AD87" s="276">
        <f ca="1">IFERROR(__xludf.DUMMYFUNCTION("IMPORTRANGE(""https://docs.google.com/spreadsheets/d/16cywr71Fj4fA5OGRHsZh30ZG2gwJhMAQv69oVBzYHv0/edit?usp=sharing"",""สตูล!J675"")"),0)</f>
        <v>0</v>
      </c>
      <c r="AE87" s="82">
        <f t="shared" ca="1" si="22"/>
        <v>0</v>
      </c>
      <c r="AF87" s="276">
        <f ca="1">IFERROR(__xludf.DUMMYFUNCTION("IMPORTRANGE(""https://docs.google.com/spreadsheets/d/16cywr71Fj4fA5OGRHsZh30ZG2gwJhMAQv69oVBzYHv0/edit?usp=sharing"",""สตูล!J676"")"),0)</f>
        <v>0</v>
      </c>
      <c r="AG87" s="276">
        <f ca="1">IFERROR(__xludf.DUMMYFUNCTION("IMPORTRANGE(""https://docs.google.com/spreadsheets/d/16cywr71Fj4fA5OGRHsZh30ZG2gwJhMAQv69oVBzYHv0/edit?usp=sharing"",""สตูล!J677"")"),0)</f>
        <v>0</v>
      </c>
      <c r="AH87" s="81">
        <f ca="1">IFERROR(__xludf.DUMMYFUNCTION("IMPORTRANGE(""https://docs.google.com/spreadsheets/d/16cywr71Fj4fA5OGRHsZh30ZG2gwJhMAQv69oVBzYHv0/edit?usp=sharing"",""สตูล!I678"")"),0)</f>
        <v>0</v>
      </c>
      <c r="AI87" s="81">
        <f ca="1">IFERROR(__xludf.DUMMYFUNCTION("IMPORTRANGE(""https://docs.google.com/spreadsheets/d/16cywr71Fj4fA5OGRHsZh30ZG2gwJhMAQv69oVBzYHv0/edit?usp=sharing"",""สตูล!J678"")"),0)</f>
        <v>0</v>
      </c>
      <c r="AJ87" s="82">
        <f t="shared" ca="1" si="28"/>
        <v>0</v>
      </c>
      <c r="AK87" s="81">
        <f ca="1">IFERROR(__xludf.DUMMYFUNCTION("IMPORTRANGE(""https://docs.google.com/spreadsheets/d/16cywr71Fj4fA5OGRHsZh30ZG2gwJhMAQv69oVBzYHv0/edit?usp=sharing"",""สตูล!J679"")"),0)</f>
        <v>0</v>
      </c>
      <c r="AL87" s="81">
        <f ca="1">IFERROR(__xludf.DUMMYFUNCTION("IMPORTRANGE(""https://docs.google.com/spreadsheets/d/16cywr71Fj4fA5OGRHsZh30ZG2gwJhMAQv69oVBzYHv0/edit?usp=sharing"",""สตูล!J680"")"),0)</f>
        <v>0</v>
      </c>
      <c r="AM87" s="81">
        <f ca="1">IFERROR(__xludf.DUMMYFUNCTION("IMPORTRANGE(""https://docs.google.com/spreadsheets/d/16cywr71Fj4fA5OGRHsZh30ZG2gwJhMAQv69oVBzYHv0/edit?usp=sharing"",""สตูล!J681"")"),0)</f>
        <v>0</v>
      </c>
      <c r="AN87" s="81">
        <f ca="1">IFERROR(__xludf.DUMMYFUNCTION("IMPORTRANGE(""https://docs.google.com/spreadsheets/d/16cywr71Fj4fA5OGRHsZh30ZG2gwJhMAQv69oVBzYHv0/edit?usp=sharing"",""สตูล!J682"")"),0)</f>
        <v>0</v>
      </c>
      <c r="AO87" s="81">
        <f ca="1">IFERROR(__xludf.DUMMYFUNCTION("IMPORTRANGE(""https://docs.google.com/spreadsheets/d/16cywr71Fj4fA5OGRHsZh30ZG2gwJhMAQv69oVBzYHv0/edit?usp=sharing"",""สตูล!J683"")"),0)</f>
        <v>0</v>
      </c>
    </row>
    <row r="88" spans="1:41" ht="24" customHeight="1" x14ac:dyDescent="0.2">
      <c r="A88" s="83">
        <v>14</v>
      </c>
      <c r="B88" s="84" t="s">
        <v>105</v>
      </c>
      <c r="C88" s="85">
        <f t="shared" ca="1" si="64"/>
        <v>0</v>
      </c>
      <c r="D88" s="86">
        <f ca="1">IFERROR(__xludf.DUMMYFUNCTION("IMPORTRANGE(""https://docs.google.com/spreadsheets/d/1vO9Sws6kMtrVtyvrAJptINXjK8TFBoX9xLYOVK_C8bQ/edit?usp=sharing"",""สุราษฎร์ธานี!L660"")"),0)</f>
        <v>0</v>
      </c>
      <c r="E88" s="87">
        <f ca="1">IFERROR(__xludf.DUMMYFUNCTION("IMPORTRANGE(""https://docs.google.com/spreadsheets/d/1vO9Sws6kMtrVtyvrAJptINXjK8TFBoX9xLYOVK_C8bQ/edit?usp=sharing"",""สุราษฎร์ธานี!L667"")"),0)</f>
        <v>0</v>
      </c>
      <c r="F88" s="88">
        <f t="shared" ca="1" si="1"/>
        <v>0</v>
      </c>
      <c r="G88" s="89">
        <f t="shared" ca="1" si="2"/>
        <v>0</v>
      </c>
      <c r="H88" s="90">
        <f t="shared" ca="1" si="65"/>
        <v>0</v>
      </c>
      <c r="I88" s="87">
        <f ca="1">IFERROR(__xludf.DUMMYFUNCTION("IMPORTRANGE(""https://docs.google.com/spreadsheets/d/1vO9Sws6kMtrVtyvrAJptINXjK8TFBoX9xLYOVK_C8bQ/edit?usp=sharing"",""สุราษฎร์ธานี!N661"")"),0)</f>
        <v>0</v>
      </c>
      <c r="J88" s="87">
        <f ca="1">IFERROR(__xludf.DUMMYFUNCTION("IMPORTRANGE(""https://docs.google.com/spreadsheets/d/1vO9Sws6kMtrVtyvrAJptINXjK8TFBoX9xLYOVK_C8bQ/edit?usp=sharing"",""สุราษฎร์ธานี!N662"")"),0)</f>
        <v>0</v>
      </c>
      <c r="K88" s="87">
        <f ca="1">IFERROR(__xludf.DUMMYFUNCTION("IMPORTRANGE(""https://docs.google.com/spreadsheets/d/1vO9Sws6kMtrVtyvrAJptINXjK8TFBoX9xLYOVK_C8bQ/edit?usp=sharing"",""สุราษฎร์ธานี!N663"")"),0)</f>
        <v>0</v>
      </c>
      <c r="L88" s="87">
        <f ca="1">IFERROR(__xludf.DUMMYFUNCTION("IMPORTRANGE(""https://docs.google.com/spreadsheets/d/1vO9Sws6kMtrVtyvrAJptINXjK8TFBoX9xLYOVK_C8bQ/edit?usp=sharing"",""สุราษฎร์ธานี!N664"")"),0)</f>
        <v>0</v>
      </c>
      <c r="M88" s="91">
        <f ca="1">IFERROR(__xludf.DUMMYFUNCTION("IMPORTRANGE(""https://docs.google.com/spreadsheets/d/1vO9Sws6kMtrVtyvrAJptINXjK8TFBoX9xLYOVK_C8bQ/edit?usp=sharing"",""สุราษฎร์ธานี!N667"")"),0)</f>
        <v>0</v>
      </c>
      <c r="N88" s="91">
        <f t="shared" ca="1" si="31"/>
        <v>0</v>
      </c>
      <c r="O88" s="92">
        <f ca="1">IFERROR(__xludf.DUMMYFUNCTION("IMPORTRANGE(""https://docs.google.com/spreadsheets/d/1vO9Sws6kMtrVtyvrAJptINXjK8TFBoX9xLYOVK_C8bQ/edit?usp=sharing"",""สุราษฎร์ธานี!I669"")"),0)</f>
        <v>0</v>
      </c>
      <c r="P88" s="92">
        <f ca="1">IFERROR(__xludf.DUMMYFUNCTION("IMPORTRANGE(""https://docs.google.com/spreadsheets/d/1vO9Sws6kMtrVtyvrAJptINXjK8TFBoX9xLYOVK_C8bQ/edit?usp=sharing"",""สุราษฎร์ธานี!J669"")"),0)</f>
        <v>0</v>
      </c>
      <c r="Q88" s="93">
        <f t="shared" ca="1" si="25"/>
        <v>0</v>
      </c>
      <c r="R88" s="92">
        <f ca="1">IFERROR(__xludf.DUMMYFUNCTION("IMPORTRANGE(""https://docs.google.com/spreadsheets/d/1vO9Sws6kMtrVtyvrAJptINXjK8TFBoX9xLYOVK_C8bQ/edit?usp=sharing"",""สุราษฎร์ธานี!I670"")"),0)</f>
        <v>0</v>
      </c>
      <c r="S88" s="92">
        <f ca="1">IFERROR(__xludf.DUMMYFUNCTION("IMPORTRANGE(""https://docs.google.com/spreadsheets/d/1vO9Sws6kMtrVtyvrAJptINXjK8TFBoX9xLYOVK_C8bQ/edit?usp=sharing"",""สุราษฎร์ธานี!J670"")"),0)</f>
        <v>0</v>
      </c>
      <c r="T88" s="93">
        <f t="shared" ca="1" si="26"/>
        <v>0</v>
      </c>
      <c r="U88" s="92">
        <f ca="1">IFERROR(__xludf.DUMMYFUNCTION("IMPORTRANGE(""https://docs.google.com/spreadsheets/d/1vO9Sws6kMtrVtyvrAJptINXjK8TFBoX9xLYOVK_C8bQ/edit?usp=sharing"",""สุราษฎร์ธานี!I671"")"),0)</f>
        <v>0</v>
      </c>
      <c r="V88" s="92">
        <f ca="1">IFERROR(__xludf.DUMMYFUNCTION("IMPORTRANGE(""https://docs.google.com/spreadsheets/d/1vO9Sws6kMtrVtyvrAJptINXjK8TFBoX9xLYOVK_C8bQ/edit?usp=sharing"",""สุราษฎร์ธานี!J671"")"),0)</f>
        <v>0</v>
      </c>
      <c r="W88" s="93">
        <f t="shared" ca="1" si="27"/>
        <v>0</v>
      </c>
      <c r="X88" s="92">
        <f ca="1">IFERROR(__xludf.DUMMYFUNCTION("IMPORTRANGE(""https://docs.google.com/spreadsheets/d/1vO9Sws6kMtrVtyvrAJptINXjK8TFBoX9xLYOVK_C8bQ/edit?usp=sharing"",""สุราษฎร์ธานี!J672"")"),0)</f>
        <v>0</v>
      </c>
      <c r="Y88" s="277">
        <f t="shared" ca="1" si="11"/>
        <v>0</v>
      </c>
      <c r="Z88" s="92">
        <f ca="1">IFERROR(__xludf.DUMMYFUNCTION("IMPORTRANGE(""https://docs.google.com/spreadsheets/d/1vO9Sws6kMtrVtyvrAJptINXjK8TFBoX9xLYOVK_C8bQ/edit?usp=sharing"",""สุราษฎร์ธานี!J673"")"),0)</f>
        <v>0</v>
      </c>
      <c r="AA88" s="277">
        <f t="shared" ca="1" si="12"/>
        <v>0</v>
      </c>
      <c r="AB88" s="277">
        <f ca="1">IFERROR(__xludf.DUMMYFUNCTION("IMPORTRANGE(""https://docs.google.com/spreadsheets/d/1vO9Sws6kMtrVtyvrAJptINXjK8TFBoX9xLYOVK_C8bQ/edit?usp=sharing"",""สุราษฎร์ธานี!J674"")"),0)</f>
        <v>0</v>
      </c>
      <c r="AC88" s="93">
        <f t="shared" ca="1" si="13"/>
        <v>0</v>
      </c>
      <c r="AD88" s="277">
        <f ca="1">IFERROR(__xludf.DUMMYFUNCTION("IMPORTRANGE(""https://docs.google.com/spreadsheets/d/1vO9Sws6kMtrVtyvrAJptINXjK8TFBoX9xLYOVK_C8bQ/edit?usp=sharing"",""สุราษฎร์ธานี!J675"")"),0)</f>
        <v>0</v>
      </c>
      <c r="AE88" s="93">
        <f t="shared" ca="1" si="22"/>
        <v>0</v>
      </c>
      <c r="AF88" s="277">
        <f ca="1">IFERROR(__xludf.DUMMYFUNCTION("IMPORTRANGE(""https://docs.google.com/spreadsheets/d/1vO9Sws6kMtrVtyvrAJptINXjK8TFBoX9xLYOVK_C8bQ/edit?usp=sharing"",""สุราษฎร์ธานี!J676"")"),0)</f>
        <v>0</v>
      </c>
      <c r="AG88" s="277">
        <f ca="1">IFERROR(__xludf.DUMMYFUNCTION("IMPORTRANGE(""https://docs.google.com/spreadsheets/d/1vO9Sws6kMtrVtyvrAJptINXjK8TFBoX9xLYOVK_C8bQ/edit?usp=sharing"",""สุราษฎร์ธานี!J677"")"),0)</f>
        <v>0</v>
      </c>
      <c r="AH88" s="92">
        <f ca="1">IFERROR(__xludf.DUMMYFUNCTION("IMPORTRANGE(""https://docs.google.com/spreadsheets/d/1vO9Sws6kMtrVtyvrAJptINXjK8TFBoX9xLYOVK_C8bQ/edit?usp=sharing"",""สุราษฎร์ธานี!I678"")"),0)</f>
        <v>0</v>
      </c>
      <c r="AI88" s="92">
        <f ca="1">IFERROR(__xludf.DUMMYFUNCTION("IMPORTRANGE(""https://docs.google.com/spreadsheets/d/1vO9Sws6kMtrVtyvrAJptINXjK8TFBoX9xLYOVK_C8bQ/edit?usp=sharing"",""สุราษฎร์ธานี!J678"")"),0)</f>
        <v>0</v>
      </c>
      <c r="AJ88" s="93">
        <f t="shared" ca="1" si="28"/>
        <v>0</v>
      </c>
      <c r="AK88" s="92">
        <f ca="1">IFERROR(__xludf.DUMMYFUNCTION("IMPORTRANGE(""https://docs.google.com/spreadsheets/d/1vO9Sws6kMtrVtyvrAJptINXjK8TFBoX9xLYOVK_C8bQ/edit?usp=sharing"",""สุราษฎร์ธานี!J679"")"),0)</f>
        <v>0</v>
      </c>
      <c r="AL88" s="92">
        <f ca="1">IFERROR(__xludf.DUMMYFUNCTION("IMPORTRANGE(""https://docs.google.com/spreadsheets/d/1vO9Sws6kMtrVtyvrAJptINXjK8TFBoX9xLYOVK_C8bQ/edit?usp=sharing"",""สุราษฎร์ธานี!J680"")"),0)</f>
        <v>0</v>
      </c>
      <c r="AM88" s="92">
        <f ca="1">IFERROR(__xludf.DUMMYFUNCTION("IMPORTRANGE(""https://docs.google.com/spreadsheets/d/1vO9Sws6kMtrVtyvrAJptINXjK8TFBoX9xLYOVK_C8bQ/edit?usp=sharing"",""สุราษฎร์ธานี!J681"")"),0)</f>
        <v>0</v>
      </c>
      <c r="AN88" s="92">
        <f ca="1">IFERROR(__xludf.DUMMYFUNCTION("IMPORTRANGE(""https://docs.google.com/spreadsheets/d/1vO9Sws6kMtrVtyvrAJptINXjK8TFBoX9xLYOVK_C8bQ/edit?usp=sharing"",""สุราษฎร์ธานี!J682"")"),0)</f>
        <v>0</v>
      </c>
      <c r="AO88" s="92">
        <f ca="1">IFERROR(__xludf.DUMMYFUNCTION("IMPORTRANGE(""https://docs.google.com/spreadsheets/d/1vO9Sws6kMtrVtyvrAJptINXjK8TFBoX9xLYOVK_C8bQ/edit?usp=sharing"",""สุราษฎร์ธานี!J683"")"),0)</f>
        <v>0</v>
      </c>
    </row>
    <row r="89" spans="1:41" ht="21" hidden="1" customHeight="1" x14ac:dyDescent="0.2">
      <c r="A89" s="298" t="s">
        <v>106</v>
      </c>
      <c r="B89" s="299"/>
      <c r="C89" s="42">
        <f>+C90+C91+C92+C93+C94+C95+C96+C97+C98+C99+C100+C101+C102+C103</f>
        <v>0</v>
      </c>
      <c r="D89" s="42"/>
      <c r="E89" s="43"/>
      <c r="F89" s="43">
        <f t="shared" si="1"/>
        <v>0</v>
      </c>
      <c r="G89" s="44">
        <f t="shared" si="2"/>
        <v>0</v>
      </c>
      <c r="H89" s="43">
        <f>+H90+H91+H92+H93+H94+H95+H96+H97+H98+H99+H100+H101+H102+H103</f>
        <v>0</v>
      </c>
      <c r="I89" s="43"/>
      <c r="J89" s="43"/>
      <c r="K89" s="43"/>
      <c r="L89" s="43"/>
      <c r="M89" s="45"/>
      <c r="N89" s="45">
        <f t="shared" si="31"/>
        <v>0</v>
      </c>
      <c r="O89" s="43"/>
      <c r="P89" s="43"/>
      <c r="Q89" s="46"/>
      <c r="R89" s="43"/>
      <c r="S89" s="43"/>
      <c r="T89" s="46"/>
      <c r="U89" s="43"/>
      <c r="V89" s="43"/>
      <c r="W89" s="46"/>
      <c r="X89" s="43"/>
      <c r="Y89" s="43"/>
      <c r="Z89" s="43"/>
      <c r="AA89" s="43"/>
      <c r="AB89" s="43"/>
      <c r="AC89" s="46"/>
      <c r="AD89" s="43"/>
      <c r="AE89" s="46"/>
      <c r="AF89" s="43"/>
      <c r="AG89" s="43"/>
      <c r="AH89" s="43"/>
      <c r="AI89" s="43"/>
      <c r="AJ89" s="46"/>
      <c r="AK89" s="43"/>
      <c r="AL89" s="43"/>
      <c r="AM89" s="43"/>
      <c r="AN89" s="43"/>
      <c r="AO89" s="43"/>
    </row>
    <row r="90" spans="1:41" ht="24" hidden="1" customHeight="1" x14ac:dyDescent="0.2">
      <c r="A90" s="103">
        <v>1</v>
      </c>
      <c r="B90" s="104" t="s">
        <v>107</v>
      </c>
      <c r="C90" s="97">
        <f t="shared" ref="C90:C103" si="66">D90+E90</f>
        <v>0</v>
      </c>
      <c r="D90" s="105">
        <v>0</v>
      </c>
      <c r="E90" s="106">
        <v>0</v>
      </c>
      <c r="F90" s="67">
        <f t="shared" si="1"/>
        <v>0</v>
      </c>
      <c r="G90" s="68">
        <f t="shared" si="2"/>
        <v>0</v>
      </c>
      <c r="H90" s="69">
        <f t="shared" ref="H90:H103" si="67">I90+J90+K90+L90</f>
        <v>0</v>
      </c>
      <c r="I90" s="107">
        <v>0</v>
      </c>
      <c r="J90" s="107">
        <v>0</v>
      </c>
      <c r="K90" s="107">
        <v>0</v>
      </c>
      <c r="L90" s="107">
        <v>0</v>
      </c>
      <c r="M90" s="70">
        <v>0</v>
      </c>
      <c r="N90" s="70">
        <f t="shared" si="31"/>
        <v>0</v>
      </c>
      <c r="O90" s="107"/>
      <c r="P90" s="107"/>
      <c r="Q90" s="108"/>
      <c r="R90" s="107"/>
      <c r="S90" s="107"/>
      <c r="T90" s="108"/>
      <c r="U90" s="107"/>
      <c r="V90" s="107"/>
      <c r="W90" s="108"/>
      <c r="X90" s="107"/>
      <c r="Y90" s="107"/>
      <c r="Z90" s="107"/>
      <c r="AA90" s="107"/>
      <c r="AB90" s="107"/>
      <c r="AC90" s="108"/>
      <c r="AD90" s="107"/>
      <c r="AE90" s="108"/>
      <c r="AF90" s="107"/>
      <c r="AG90" s="107"/>
      <c r="AH90" s="107"/>
      <c r="AI90" s="107"/>
      <c r="AJ90" s="108"/>
      <c r="AK90" s="107"/>
      <c r="AL90" s="107"/>
      <c r="AM90" s="107"/>
      <c r="AN90" s="107"/>
      <c r="AO90" s="107"/>
    </row>
    <row r="91" spans="1:41" ht="24" hidden="1" customHeight="1" x14ac:dyDescent="0.2">
      <c r="A91" s="109">
        <v>2</v>
      </c>
      <c r="B91" s="110" t="s">
        <v>108</v>
      </c>
      <c r="C91" s="74">
        <f t="shared" si="66"/>
        <v>0</v>
      </c>
      <c r="D91" s="111">
        <v>0</v>
      </c>
      <c r="E91" s="112">
        <v>0</v>
      </c>
      <c r="F91" s="77">
        <f t="shared" si="1"/>
        <v>0</v>
      </c>
      <c r="G91" s="78">
        <f t="shared" si="2"/>
        <v>0</v>
      </c>
      <c r="H91" s="79">
        <f t="shared" si="67"/>
        <v>0</v>
      </c>
      <c r="I91" s="76">
        <v>0</v>
      </c>
      <c r="J91" s="76">
        <v>0</v>
      </c>
      <c r="K91" s="76">
        <v>0</v>
      </c>
      <c r="L91" s="76">
        <v>0</v>
      </c>
      <c r="M91" s="80">
        <v>0</v>
      </c>
      <c r="N91" s="80">
        <f t="shared" si="31"/>
        <v>0</v>
      </c>
      <c r="O91" s="76"/>
      <c r="P91" s="76"/>
      <c r="Q91" s="113"/>
      <c r="R91" s="76"/>
      <c r="S91" s="76"/>
      <c r="T91" s="113"/>
      <c r="U91" s="76"/>
      <c r="V91" s="76"/>
      <c r="W91" s="113"/>
      <c r="X91" s="76"/>
      <c r="Y91" s="76"/>
      <c r="Z91" s="76"/>
      <c r="AA91" s="76"/>
      <c r="AB91" s="76"/>
      <c r="AC91" s="113"/>
      <c r="AD91" s="76"/>
      <c r="AE91" s="113"/>
      <c r="AF91" s="76"/>
      <c r="AG91" s="76"/>
      <c r="AH91" s="76"/>
      <c r="AI91" s="76"/>
      <c r="AJ91" s="113"/>
      <c r="AK91" s="76"/>
      <c r="AL91" s="76"/>
      <c r="AM91" s="76"/>
      <c r="AN91" s="76"/>
      <c r="AO91" s="76"/>
    </row>
    <row r="92" spans="1:41" ht="24" hidden="1" customHeight="1" x14ac:dyDescent="0.2">
      <c r="A92" s="109">
        <v>3</v>
      </c>
      <c r="B92" s="110" t="s">
        <v>109</v>
      </c>
      <c r="C92" s="74">
        <f t="shared" si="66"/>
        <v>0</v>
      </c>
      <c r="D92" s="111">
        <v>0</v>
      </c>
      <c r="E92" s="112">
        <v>0</v>
      </c>
      <c r="F92" s="77">
        <f t="shared" si="1"/>
        <v>0</v>
      </c>
      <c r="G92" s="78">
        <f t="shared" si="2"/>
        <v>0</v>
      </c>
      <c r="H92" s="79">
        <f t="shared" si="67"/>
        <v>0</v>
      </c>
      <c r="I92" s="76">
        <v>0</v>
      </c>
      <c r="J92" s="76">
        <v>0</v>
      </c>
      <c r="K92" s="76">
        <v>0</v>
      </c>
      <c r="L92" s="76">
        <v>0</v>
      </c>
      <c r="M92" s="80">
        <v>0</v>
      </c>
      <c r="N92" s="80">
        <f t="shared" si="31"/>
        <v>0</v>
      </c>
      <c r="O92" s="76"/>
      <c r="P92" s="76"/>
      <c r="Q92" s="113"/>
      <c r="R92" s="76"/>
      <c r="S92" s="76"/>
      <c r="T92" s="113"/>
      <c r="U92" s="76"/>
      <c r="V92" s="76"/>
      <c r="W92" s="113"/>
      <c r="X92" s="76"/>
      <c r="Y92" s="76"/>
      <c r="Z92" s="76"/>
      <c r="AA92" s="76"/>
      <c r="AB92" s="76"/>
      <c r="AC92" s="113"/>
      <c r="AD92" s="76"/>
      <c r="AE92" s="113"/>
      <c r="AF92" s="76"/>
      <c r="AG92" s="76"/>
      <c r="AH92" s="76"/>
      <c r="AI92" s="76"/>
      <c r="AJ92" s="113"/>
      <c r="AK92" s="76"/>
      <c r="AL92" s="76"/>
      <c r="AM92" s="76"/>
      <c r="AN92" s="76"/>
      <c r="AO92" s="76"/>
    </row>
    <row r="93" spans="1:41" ht="24" hidden="1" customHeight="1" x14ac:dyDescent="0.2">
      <c r="A93" s="109">
        <f t="shared" ref="A93:A103" si="68">+A92+1</f>
        <v>4</v>
      </c>
      <c r="B93" s="110" t="s">
        <v>110</v>
      </c>
      <c r="C93" s="74">
        <f t="shared" si="66"/>
        <v>0</v>
      </c>
      <c r="D93" s="111">
        <v>0</v>
      </c>
      <c r="E93" s="112">
        <v>0</v>
      </c>
      <c r="F93" s="77">
        <f t="shared" si="1"/>
        <v>0</v>
      </c>
      <c r="G93" s="78">
        <f t="shared" si="2"/>
        <v>0</v>
      </c>
      <c r="H93" s="79">
        <f t="shared" si="67"/>
        <v>0</v>
      </c>
      <c r="I93" s="76">
        <v>0</v>
      </c>
      <c r="J93" s="76">
        <v>0</v>
      </c>
      <c r="K93" s="76">
        <v>0</v>
      </c>
      <c r="L93" s="76">
        <v>0</v>
      </c>
      <c r="M93" s="80">
        <v>0</v>
      </c>
      <c r="N93" s="80">
        <f t="shared" si="31"/>
        <v>0</v>
      </c>
      <c r="O93" s="76"/>
      <c r="P93" s="76"/>
      <c r="Q93" s="113"/>
      <c r="R93" s="76"/>
      <c r="S93" s="76"/>
      <c r="T93" s="113"/>
      <c r="U93" s="76"/>
      <c r="V93" s="76"/>
      <c r="W93" s="113"/>
      <c r="X93" s="76"/>
      <c r="Y93" s="76"/>
      <c r="Z93" s="76"/>
      <c r="AA93" s="76"/>
      <c r="AB93" s="76"/>
      <c r="AC93" s="113"/>
      <c r="AD93" s="76"/>
      <c r="AE93" s="113"/>
      <c r="AF93" s="76"/>
      <c r="AG93" s="76"/>
      <c r="AH93" s="76"/>
      <c r="AI93" s="76"/>
      <c r="AJ93" s="113"/>
      <c r="AK93" s="76"/>
      <c r="AL93" s="76"/>
      <c r="AM93" s="76"/>
      <c r="AN93" s="76"/>
      <c r="AO93" s="76"/>
    </row>
    <row r="94" spans="1:41" ht="24" hidden="1" customHeight="1" x14ac:dyDescent="0.2">
      <c r="A94" s="109">
        <f t="shared" si="68"/>
        <v>5</v>
      </c>
      <c r="B94" s="110" t="s">
        <v>111</v>
      </c>
      <c r="C94" s="74">
        <f t="shared" si="66"/>
        <v>0</v>
      </c>
      <c r="D94" s="111">
        <v>0</v>
      </c>
      <c r="E94" s="112">
        <v>0</v>
      </c>
      <c r="F94" s="77">
        <f t="shared" si="1"/>
        <v>0</v>
      </c>
      <c r="G94" s="78">
        <f t="shared" si="2"/>
        <v>0</v>
      </c>
      <c r="H94" s="79">
        <f t="shared" si="67"/>
        <v>0</v>
      </c>
      <c r="I94" s="76">
        <v>0</v>
      </c>
      <c r="J94" s="76">
        <v>0</v>
      </c>
      <c r="K94" s="76">
        <v>0</v>
      </c>
      <c r="L94" s="76">
        <v>0</v>
      </c>
      <c r="M94" s="80">
        <v>0</v>
      </c>
      <c r="N94" s="80">
        <f t="shared" si="31"/>
        <v>0</v>
      </c>
      <c r="O94" s="76"/>
      <c r="P94" s="76"/>
      <c r="Q94" s="113"/>
      <c r="R94" s="76"/>
      <c r="S94" s="76"/>
      <c r="T94" s="113"/>
      <c r="U94" s="76"/>
      <c r="V94" s="76"/>
      <c r="W94" s="113"/>
      <c r="X94" s="76"/>
      <c r="Y94" s="76"/>
      <c r="Z94" s="76"/>
      <c r="AA94" s="76"/>
      <c r="AB94" s="76"/>
      <c r="AC94" s="113"/>
      <c r="AD94" s="76"/>
      <c r="AE94" s="113"/>
      <c r="AF94" s="76"/>
      <c r="AG94" s="76"/>
      <c r="AH94" s="76"/>
      <c r="AI94" s="76"/>
      <c r="AJ94" s="113"/>
      <c r="AK94" s="76"/>
      <c r="AL94" s="76"/>
      <c r="AM94" s="76"/>
      <c r="AN94" s="76"/>
      <c r="AO94" s="76"/>
    </row>
    <row r="95" spans="1:41" ht="24" hidden="1" customHeight="1" x14ac:dyDescent="0.2">
      <c r="A95" s="109">
        <f t="shared" si="68"/>
        <v>6</v>
      </c>
      <c r="B95" s="110" t="s">
        <v>112</v>
      </c>
      <c r="C95" s="74">
        <f t="shared" si="66"/>
        <v>0</v>
      </c>
      <c r="D95" s="111">
        <v>0</v>
      </c>
      <c r="E95" s="112">
        <v>0</v>
      </c>
      <c r="F95" s="77">
        <f t="shared" si="1"/>
        <v>0</v>
      </c>
      <c r="G95" s="78">
        <f t="shared" si="2"/>
        <v>0</v>
      </c>
      <c r="H95" s="79">
        <f t="shared" si="67"/>
        <v>0</v>
      </c>
      <c r="I95" s="76">
        <v>0</v>
      </c>
      <c r="J95" s="76">
        <v>0</v>
      </c>
      <c r="K95" s="76">
        <v>0</v>
      </c>
      <c r="L95" s="76">
        <v>0</v>
      </c>
      <c r="M95" s="80">
        <v>0</v>
      </c>
      <c r="N95" s="80">
        <f t="shared" si="31"/>
        <v>0</v>
      </c>
      <c r="O95" s="76"/>
      <c r="P95" s="76"/>
      <c r="Q95" s="113"/>
      <c r="R95" s="76"/>
      <c r="S95" s="76"/>
      <c r="T95" s="113"/>
      <c r="U95" s="76"/>
      <c r="V95" s="76"/>
      <c r="W95" s="113"/>
      <c r="X95" s="76"/>
      <c r="Y95" s="76"/>
      <c r="Z95" s="76"/>
      <c r="AA95" s="76"/>
      <c r="AB95" s="76"/>
      <c r="AC95" s="113"/>
      <c r="AD95" s="76"/>
      <c r="AE95" s="113"/>
      <c r="AF95" s="76"/>
      <c r="AG95" s="76"/>
      <c r="AH95" s="76"/>
      <c r="AI95" s="76"/>
      <c r="AJ95" s="113"/>
      <c r="AK95" s="76"/>
      <c r="AL95" s="76"/>
      <c r="AM95" s="76"/>
      <c r="AN95" s="76"/>
      <c r="AO95" s="76"/>
    </row>
    <row r="96" spans="1:41" ht="24" hidden="1" customHeight="1" x14ac:dyDescent="0.2">
      <c r="A96" s="109">
        <f t="shared" si="68"/>
        <v>7</v>
      </c>
      <c r="B96" s="110" t="s">
        <v>113</v>
      </c>
      <c r="C96" s="74">
        <f t="shared" si="66"/>
        <v>0</v>
      </c>
      <c r="D96" s="111">
        <v>0</v>
      </c>
      <c r="E96" s="112">
        <v>0</v>
      </c>
      <c r="F96" s="77">
        <f t="shared" si="1"/>
        <v>0</v>
      </c>
      <c r="G96" s="78">
        <f t="shared" si="2"/>
        <v>0</v>
      </c>
      <c r="H96" s="79">
        <f t="shared" si="67"/>
        <v>0</v>
      </c>
      <c r="I96" s="76">
        <v>0</v>
      </c>
      <c r="J96" s="76">
        <v>0</v>
      </c>
      <c r="K96" s="76">
        <v>0</v>
      </c>
      <c r="L96" s="76">
        <v>0</v>
      </c>
      <c r="M96" s="80">
        <v>0</v>
      </c>
      <c r="N96" s="80">
        <f t="shared" si="31"/>
        <v>0</v>
      </c>
      <c r="O96" s="76"/>
      <c r="P96" s="76"/>
      <c r="Q96" s="113"/>
      <c r="R96" s="76"/>
      <c r="S96" s="76"/>
      <c r="T96" s="113"/>
      <c r="U96" s="76"/>
      <c r="V96" s="76"/>
      <c r="W96" s="113"/>
      <c r="X96" s="76"/>
      <c r="Y96" s="76"/>
      <c r="Z96" s="76"/>
      <c r="AA96" s="76"/>
      <c r="AB96" s="76"/>
      <c r="AC96" s="113"/>
      <c r="AD96" s="76"/>
      <c r="AE96" s="113"/>
      <c r="AF96" s="76"/>
      <c r="AG96" s="76"/>
      <c r="AH96" s="76"/>
      <c r="AI96" s="76"/>
      <c r="AJ96" s="113"/>
      <c r="AK96" s="76"/>
      <c r="AL96" s="76"/>
      <c r="AM96" s="76"/>
      <c r="AN96" s="76"/>
      <c r="AO96" s="76"/>
    </row>
    <row r="97" spans="1:41" ht="24" hidden="1" customHeight="1" x14ac:dyDescent="0.2">
      <c r="A97" s="109">
        <f t="shared" si="68"/>
        <v>8</v>
      </c>
      <c r="B97" s="110" t="s">
        <v>114</v>
      </c>
      <c r="C97" s="74">
        <f t="shared" si="66"/>
        <v>0</v>
      </c>
      <c r="D97" s="111">
        <v>0</v>
      </c>
      <c r="E97" s="112">
        <v>0</v>
      </c>
      <c r="F97" s="77">
        <f t="shared" si="1"/>
        <v>0</v>
      </c>
      <c r="G97" s="78">
        <f t="shared" si="2"/>
        <v>0</v>
      </c>
      <c r="H97" s="79">
        <f t="shared" si="67"/>
        <v>0</v>
      </c>
      <c r="I97" s="76">
        <v>0</v>
      </c>
      <c r="J97" s="76">
        <v>0</v>
      </c>
      <c r="K97" s="76">
        <v>0</v>
      </c>
      <c r="L97" s="76">
        <v>0</v>
      </c>
      <c r="M97" s="80">
        <v>0</v>
      </c>
      <c r="N97" s="80">
        <f t="shared" si="31"/>
        <v>0</v>
      </c>
      <c r="O97" s="76"/>
      <c r="P97" s="76"/>
      <c r="Q97" s="113"/>
      <c r="R97" s="76"/>
      <c r="S97" s="76"/>
      <c r="T97" s="113"/>
      <c r="U97" s="76"/>
      <c r="V97" s="76"/>
      <c r="W97" s="113"/>
      <c r="X97" s="76"/>
      <c r="Y97" s="76"/>
      <c r="Z97" s="76"/>
      <c r="AA97" s="76"/>
      <c r="AB97" s="76"/>
      <c r="AC97" s="113"/>
      <c r="AD97" s="76"/>
      <c r="AE97" s="113"/>
      <c r="AF97" s="76"/>
      <c r="AG97" s="76"/>
      <c r="AH97" s="76"/>
      <c r="AI97" s="76"/>
      <c r="AJ97" s="113"/>
      <c r="AK97" s="76"/>
      <c r="AL97" s="76"/>
      <c r="AM97" s="76"/>
      <c r="AN97" s="76"/>
      <c r="AO97" s="76"/>
    </row>
    <row r="98" spans="1:41" ht="24" hidden="1" customHeight="1" x14ac:dyDescent="0.2">
      <c r="A98" s="109">
        <f t="shared" si="68"/>
        <v>9</v>
      </c>
      <c r="B98" s="110" t="s">
        <v>115</v>
      </c>
      <c r="C98" s="74">
        <f t="shared" si="66"/>
        <v>0</v>
      </c>
      <c r="D98" s="111">
        <v>0</v>
      </c>
      <c r="E98" s="112">
        <v>0</v>
      </c>
      <c r="F98" s="77">
        <f t="shared" si="1"/>
        <v>0</v>
      </c>
      <c r="G98" s="78">
        <f t="shared" si="2"/>
        <v>0</v>
      </c>
      <c r="H98" s="79">
        <f t="shared" si="67"/>
        <v>0</v>
      </c>
      <c r="I98" s="76">
        <v>0</v>
      </c>
      <c r="J98" s="76">
        <v>0</v>
      </c>
      <c r="K98" s="76">
        <v>0</v>
      </c>
      <c r="L98" s="76">
        <v>0</v>
      </c>
      <c r="M98" s="80">
        <v>0</v>
      </c>
      <c r="N98" s="80">
        <f t="shared" si="31"/>
        <v>0</v>
      </c>
      <c r="O98" s="76"/>
      <c r="P98" s="76"/>
      <c r="Q98" s="113"/>
      <c r="R98" s="76"/>
      <c r="S98" s="76"/>
      <c r="T98" s="113"/>
      <c r="U98" s="76"/>
      <c r="V98" s="76"/>
      <c r="W98" s="113"/>
      <c r="X98" s="76"/>
      <c r="Y98" s="76"/>
      <c r="Z98" s="76"/>
      <c r="AA98" s="76"/>
      <c r="AB98" s="76"/>
      <c r="AC98" s="113"/>
      <c r="AD98" s="76"/>
      <c r="AE98" s="113"/>
      <c r="AF98" s="76"/>
      <c r="AG98" s="76"/>
      <c r="AH98" s="76"/>
      <c r="AI98" s="76"/>
      <c r="AJ98" s="113"/>
      <c r="AK98" s="76"/>
      <c r="AL98" s="76"/>
      <c r="AM98" s="76"/>
      <c r="AN98" s="76"/>
      <c r="AO98" s="76"/>
    </row>
    <row r="99" spans="1:41" ht="24" hidden="1" customHeight="1" x14ac:dyDescent="0.2">
      <c r="A99" s="109">
        <f t="shared" si="68"/>
        <v>10</v>
      </c>
      <c r="B99" s="110" t="s">
        <v>116</v>
      </c>
      <c r="C99" s="74">
        <f t="shared" si="66"/>
        <v>0</v>
      </c>
      <c r="D99" s="111">
        <v>0</v>
      </c>
      <c r="E99" s="112">
        <v>0</v>
      </c>
      <c r="F99" s="77">
        <f t="shared" si="1"/>
        <v>0</v>
      </c>
      <c r="G99" s="78">
        <f t="shared" si="2"/>
        <v>0</v>
      </c>
      <c r="H99" s="79">
        <f t="shared" si="67"/>
        <v>0</v>
      </c>
      <c r="I99" s="76">
        <v>0</v>
      </c>
      <c r="J99" s="76">
        <v>0</v>
      </c>
      <c r="K99" s="76">
        <v>0</v>
      </c>
      <c r="L99" s="76">
        <v>0</v>
      </c>
      <c r="M99" s="80">
        <v>0</v>
      </c>
      <c r="N99" s="80">
        <f t="shared" si="31"/>
        <v>0</v>
      </c>
      <c r="O99" s="76"/>
      <c r="P99" s="76"/>
      <c r="Q99" s="113"/>
      <c r="R99" s="76"/>
      <c r="S99" s="76"/>
      <c r="T99" s="113"/>
      <c r="U99" s="76"/>
      <c r="V99" s="76"/>
      <c r="W99" s="113"/>
      <c r="X99" s="76"/>
      <c r="Y99" s="76"/>
      <c r="Z99" s="76"/>
      <c r="AA99" s="76"/>
      <c r="AB99" s="76"/>
      <c r="AC99" s="113"/>
      <c r="AD99" s="76"/>
      <c r="AE99" s="113"/>
      <c r="AF99" s="76"/>
      <c r="AG99" s="76"/>
      <c r="AH99" s="76"/>
      <c r="AI99" s="76"/>
      <c r="AJ99" s="113"/>
      <c r="AK99" s="76"/>
      <c r="AL99" s="76"/>
      <c r="AM99" s="76"/>
      <c r="AN99" s="76"/>
      <c r="AO99" s="76"/>
    </row>
    <row r="100" spans="1:41" ht="24" hidden="1" customHeight="1" x14ac:dyDescent="0.2">
      <c r="A100" s="109">
        <f t="shared" si="68"/>
        <v>11</v>
      </c>
      <c r="B100" s="110" t="s">
        <v>117</v>
      </c>
      <c r="C100" s="74">
        <f t="shared" si="66"/>
        <v>0</v>
      </c>
      <c r="D100" s="111">
        <v>0</v>
      </c>
      <c r="E100" s="112">
        <v>0</v>
      </c>
      <c r="F100" s="77">
        <f t="shared" si="1"/>
        <v>0</v>
      </c>
      <c r="G100" s="78">
        <f t="shared" si="2"/>
        <v>0</v>
      </c>
      <c r="H100" s="79">
        <f t="shared" si="67"/>
        <v>0</v>
      </c>
      <c r="I100" s="76">
        <v>0</v>
      </c>
      <c r="J100" s="76">
        <v>0</v>
      </c>
      <c r="K100" s="76">
        <v>0</v>
      </c>
      <c r="L100" s="76">
        <v>0</v>
      </c>
      <c r="M100" s="80">
        <v>0</v>
      </c>
      <c r="N100" s="80">
        <f t="shared" si="31"/>
        <v>0</v>
      </c>
      <c r="O100" s="76"/>
      <c r="P100" s="76"/>
      <c r="Q100" s="113"/>
      <c r="R100" s="76"/>
      <c r="S100" s="76"/>
      <c r="T100" s="113"/>
      <c r="U100" s="76"/>
      <c r="V100" s="76"/>
      <c r="W100" s="113"/>
      <c r="X100" s="76"/>
      <c r="Y100" s="76"/>
      <c r="Z100" s="76"/>
      <c r="AA100" s="76"/>
      <c r="AB100" s="76"/>
      <c r="AC100" s="113"/>
      <c r="AD100" s="76"/>
      <c r="AE100" s="113"/>
      <c r="AF100" s="76"/>
      <c r="AG100" s="76"/>
      <c r="AH100" s="76"/>
      <c r="AI100" s="76"/>
      <c r="AJ100" s="113"/>
      <c r="AK100" s="76"/>
      <c r="AL100" s="76"/>
      <c r="AM100" s="76"/>
      <c r="AN100" s="76"/>
      <c r="AO100" s="76"/>
    </row>
    <row r="101" spans="1:41" ht="24" hidden="1" customHeight="1" x14ac:dyDescent="0.2">
      <c r="A101" s="109">
        <f t="shared" si="68"/>
        <v>12</v>
      </c>
      <c r="B101" s="110" t="s">
        <v>118</v>
      </c>
      <c r="C101" s="74">
        <f t="shared" si="66"/>
        <v>0</v>
      </c>
      <c r="D101" s="111">
        <v>0</v>
      </c>
      <c r="E101" s="112">
        <v>0</v>
      </c>
      <c r="F101" s="77">
        <f t="shared" si="1"/>
        <v>0</v>
      </c>
      <c r="G101" s="78">
        <f t="shared" si="2"/>
        <v>0</v>
      </c>
      <c r="H101" s="79">
        <f t="shared" si="67"/>
        <v>0</v>
      </c>
      <c r="I101" s="76">
        <v>0</v>
      </c>
      <c r="J101" s="76">
        <v>0</v>
      </c>
      <c r="K101" s="76">
        <v>0</v>
      </c>
      <c r="L101" s="76">
        <v>0</v>
      </c>
      <c r="M101" s="80">
        <v>0</v>
      </c>
      <c r="N101" s="80">
        <f t="shared" si="31"/>
        <v>0</v>
      </c>
      <c r="O101" s="76"/>
      <c r="P101" s="76"/>
      <c r="Q101" s="113"/>
      <c r="R101" s="76"/>
      <c r="S101" s="76"/>
      <c r="T101" s="113"/>
      <c r="U101" s="76"/>
      <c r="V101" s="76"/>
      <c r="W101" s="113"/>
      <c r="X101" s="76"/>
      <c r="Y101" s="76"/>
      <c r="Z101" s="76"/>
      <c r="AA101" s="76"/>
      <c r="AB101" s="76"/>
      <c r="AC101" s="113"/>
      <c r="AD101" s="76"/>
      <c r="AE101" s="113"/>
      <c r="AF101" s="76"/>
      <c r="AG101" s="76"/>
      <c r="AH101" s="76"/>
      <c r="AI101" s="76"/>
      <c r="AJ101" s="113"/>
      <c r="AK101" s="76"/>
      <c r="AL101" s="76"/>
      <c r="AM101" s="76"/>
      <c r="AN101" s="76"/>
      <c r="AO101" s="76"/>
    </row>
    <row r="102" spans="1:41" ht="24" hidden="1" customHeight="1" x14ac:dyDescent="0.2">
      <c r="A102" s="109">
        <f t="shared" si="68"/>
        <v>13</v>
      </c>
      <c r="B102" s="110" t="s">
        <v>119</v>
      </c>
      <c r="C102" s="74">
        <f t="shared" si="66"/>
        <v>0</v>
      </c>
      <c r="D102" s="111">
        <v>0</v>
      </c>
      <c r="E102" s="112">
        <v>0</v>
      </c>
      <c r="F102" s="77">
        <f t="shared" si="1"/>
        <v>0</v>
      </c>
      <c r="G102" s="78">
        <f t="shared" si="2"/>
        <v>0</v>
      </c>
      <c r="H102" s="79">
        <f t="shared" si="67"/>
        <v>0</v>
      </c>
      <c r="I102" s="76">
        <v>0</v>
      </c>
      <c r="J102" s="76">
        <v>0</v>
      </c>
      <c r="K102" s="76">
        <v>0</v>
      </c>
      <c r="L102" s="76">
        <v>0</v>
      </c>
      <c r="M102" s="80">
        <v>0</v>
      </c>
      <c r="N102" s="80">
        <f t="shared" si="31"/>
        <v>0</v>
      </c>
      <c r="O102" s="76"/>
      <c r="P102" s="76"/>
      <c r="Q102" s="113"/>
      <c r="R102" s="76"/>
      <c r="S102" s="76"/>
      <c r="T102" s="113"/>
      <c r="U102" s="76"/>
      <c r="V102" s="76"/>
      <c r="W102" s="113"/>
      <c r="X102" s="76"/>
      <c r="Y102" s="76"/>
      <c r="Z102" s="76"/>
      <c r="AA102" s="76"/>
      <c r="AB102" s="76"/>
      <c r="AC102" s="113"/>
      <c r="AD102" s="76"/>
      <c r="AE102" s="113"/>
      <c r="AF102" s="76"/>
      <c r="AG102" s="76"/>
      <c r="AH102" s="76"/>
      <c r="AI102" s="76"/>
      <c r="AJ102" s="113"/>
      <c r="AK102" s="76"/>
      <c r="AL102" s="76"/>
      <c r="AM102" s="76"/>
      <c r="AN102" s="76"/>
      <c r="AO102" s="76"/>
    </row>
    <row r="103" spans="1:41" ht="24" hidden="1" customHeight="1" x14ac:dyDescent="0.2">
      <c r="A103" s="114">
        <f t="shared" si="68"/>
        <v>14</v>
      </c>
      <c r="B103" s="115" t="s">
        <v>120</v>
      </c>
      <c r="C103" s="85">
        <f t="shared" si="66"/>
        <v>0</v>
      </c>
      <c r="D103" s="116">
        <v>0</v>
      </c>
      <c r="E103" s="117">
        <v>0</v>
      </c>
      <c r="F103" s="88">
        <f t="shared" si="1"/>
        <v>0</v>
      </c>
      <c r="G103" s="89">
        <f t="shared" si="2"/>
        <v>0</v>
      </c>
      <c r="H103" s="90">
        <f t="shared" si="67"/>
        <v>0</v>
      </c>
      <c r="I103" s="87">
        <v>0</v>
      </c>
      <c r="J103" s="87">
        <v>0</v>
      </c>
      <c r="K103" s="87">
        <v>0</v>
      </c>
      <c r="L103" s="87">
        <v>0</v>
      </c>
      <c r="M103" s="91">
        <v>0</v>
      </c>
      <c r="N103" s="91">
        <f t="shared" si="31"/>
        <v>0</v>
      </c>
      <c r="O103" s="87"/>
      <c r="P103" s="87"/>
      <c r="Q103" s="118"/>
      <c r="R103" s="87"/>
      <c r="S103" s="87"/>
      <c r="T103" s="118"/>
      <c r="U103" s="87"/>
      <c r="V103" s="87"/>
      <c r="W103" s="118"/>
      <c r="X103" s="87"/>
      <c r="Y103" s="87"/>
      <c r="Z103" s="87"/>
      <c r="AA103" s="87"/>
      <c r="AB103" s="87"/>
      <c r="AC103" s="118"/>
      <c r="AD103" s="87"/>
      <c r="AE103" s="118"/>
      <c r="AF103" s="87"/>
      <c r="AG103" s="87"/>
      <c r="AH103" s="87"/>
      <c r="AI103" s="87"/>
      <c r="AJ103" s="118"/>
      <c r="AK103" s="87"/>
      <c r="AL103" s="87"/>
      <c r="AM103" s="87"/>
      <c r="AN103" s="87"/>
      <c r="AO103" s="87"/>
    </row>
    <row r="104" spans="1:41" ht="21" hidden="1" customHeight="1" x14ac:dyDescent="0.2">
      <c r="A104" s="298" t="s">
        <v>121</v>
      </c>
      <c r="B104" s="299"/>
      <c r="C104" s="42">
        <f>SUM(C105:C116)</f>
        <v>0</v>
      </c>
      <c r="D104" s="42"/>
      <c r="E104" s="43"/>
      <c r="F104" s="43">
        <f t="shared" si="1"/>
        <v>0</v>
      </c>
      <c r="G104" s="44">
        <f t="shared" si="2"/>
        <v>0</v>
      </c>
      <c r="H104" s="43">
        <f>SUM(H105:H116)</f>
        <v>0</v>
      </c>
      <c r="I104" s="43"/>
      <c r="J104" s="43"/>
      <c r="K104" s="43"/>
      <c r="L104" s="43"/>
      <c r="M104" s="43"/>
      <c r="N104" s="43">
        <f t="shared" si="31"/>
        <v>0</v>
      </c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</row>
    <row r="105" spans="1:41" ht="24" hidden="1" customHeight="1" x14ac:dyDescent="0.2">
      <c r="A105" s="103">
        <v>1</v>
      </c>
      <c r="B105" s="119" t="s">
        <v>122</v>
      </c>
      <c r="C105" s="120">
        <f t="shared" ref="C105:C116" si="69">D105+E105</f>
        <v>0</v>
      </c>
      <c r="D105" s="121">
        <v>0</v>
      </c>
      <c r="E105" s="106">
        <v>0</v>
      </c>
      <c r="F105" s="67">
        <f t="shared" si="1"/>
        <v>0</v>
      </c>
      <c r="G105" s="68">
        <f t="shared" si="2"/>
        <v>0</v>
      </c>
      <c r="H105" s="69">
        <f t="shared" ref="H105:H116" si="70">I105+J105+K105+L105</f>
        <v>0</v>
      </c>
      <c r="I105" s="107">
        <v>0</v>
      </c>
      <c r="J105" s="107">
        <v>0</v>
      </c>
      <c r="K105" s="107">
        <v>0</v>
      </c>
      <c r="L105" s="107">
        <v>0</v>
      </c>
      <c r="M105" s="70">
        <v>0</v>
      </c>
      <c r="N105" s="70">
        <f t="shared" si="31"/>
        <v>0</v>
      </c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  <c r="AK105" s="107"/>
      <c r="AL105" s="107"/>
      <c r="AM105" s="107"/>
      <c r="AN105" s="107"/>
      <c r="AO105" s="107"/>
    </row>
    <row r="106" spans="1:41" ht="24" hidden="1" customHeight="1" x14ac:dyDescent="0.2">
      <c r="A106" s="109">
        <v>2</v>
      </c>
      <c r="B106" s="122" t="s">
        <v>123</v>
      </c>
      <c r="C106" s="123">
        <f t="shared" si="69"/>
        <v>0</v>
      </c>
      <c r="D106" s="124">
        <v>0</v>
      </c>
      <c r="E106" s="112">
        <v>0</v>
      </c>
      <c r="F106" s="77">
        <f t="shared" si="1"/>
        <v>0</v>
      </c>
      <c r="G106" s="78">
        <f t="shared" si="2"/>
        <v>0</v>
      </c>
      <c r="H106" s="79">
        <f t="shared" si="70"/>
        <v>0</v>
      </c>
      <c r="I106" s="76">
        <v>0</v>
      </c>
      <c r="J106" s="76">
        <v>0</v>
      </c>
      <c r="K106" s="76">
        <v>0</v>
      </c>
      <c r="L106" s="76">
        <v>0</v>
      </c>
      <c r="M106" s="80">
        <v>0</v>
      </c>
      <c r="N106" s="80">
        <f t="shared" si="31"/>
        <v>0</v>
      </c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</row>
    <row r="107" spans="1:41" ht="24" hidden="1" customHeight="1" x14ac:dyDescent="0.2">
      <c r="A107" s="109">
        <v>3</v>
      </c>
      <c r="B107" s="122" t="s">
        <v>124</v>
      </c>
      <c r="C107" s="123">
        <f t="shared" si="69"/>
        <v>0</v>
      </c>
      <c r="D107" s="124">
        <v>0</v>
      </c>
      <c r="E107" s="112">
        <v>0</v>
      </c>
      <c r="F107" s="77">
        <f t="shared" si="1"/>
        <v>0</v>
      </c>
      <c r="G107" s="78">
        <f t="shared" si="2"/>
        <v>0</v>
      </c>
      <c r="H107" s="79">
        <f t="shared" si="70"/>
        <v>0</v>
      </c>
      <c r="I107" s="76">
        <v>0</v>
      </c>
      <c r="J107" s="76">
        <v>0</v>
      </c>
      <c r="K107" s="76">
        <v>0</v>
      </c>
      <c r="L107" s="76">
        <v>0</v>
      </c>
      <c r="M107" s="80">
        <v>0</v>
      </c>
      <c r="N107" s="80">
        <f t="shared" si="31"/>
        <v>0</v>
      </c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</row>
    <row r="108" spans="1:41" ht="24" hidden="1" customHeight="1" x14ac:dyDescent="0.2">
      <c r="A108" s="125">
        <v>4</v>
      </c>
      <c r="B108" s="122" t="s">
        <v>125</v>
      </c>
      <c r="C108" s="123">
        <f t="shared" si="69"/>
        <v>0</v>
      </c>
      <c r="D108" s="124">
        <v>0</v>
      </c>
      <c r="E108" s="112">
        <v>0</v>
      </c>
      <c r="F108" s="77">
        <f t="shared" si="1"/>
        <v>0</v>
      </c>
      <c r="G108" s="78">
        <f t="shared" si="2"/>
        <v>0</v>
      </c>
      <c r="H108" s="79">
        <f t="shared" si="70"/>
        <v>0</v>
      </c>
      <c r="I108" s="76">
        <v>0</v>
      </c>
      <c r="J108" s="76">
        <v>0</v>
      </c>
      <c r="K108" s="76">
        <v>0</v>
      </c>
      <c r="L108" s="76">
        <v>0</v>
      </c>
      <c r="M108" s="80">
        <v>0</v>
      </c>
      <c r="N108" s="80">
        <f t="shared" si="31"/>
        <v>0</v>
      </c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</row>
    <row r="109" spans="1:41" ht="24" hidden="1" customHeight="1" x14ac:dyDescent="0.2">
      <c r="A109" s="125">
        <v>5</v>
      </c>
      <c r="B109" s="122" t="s">
        <v>126</v>
      </c>
      <c r="C109" s="123">
        <f t="shared" si="69"/>
        <v>0</v>
      </c>
      <c r="D109" s="124">
        <v>0</v>
      </c>
      <c r="E109" s="112">
        <v>0</v>
      </c>
      <c r="F109" s="77">
        <f t="shared" si="1"/>
        <v>0</v>
      </c>
      <c r="G109" s="78">
        <f t="shared" si="2"/>
        <v>0</v>
      </c>
      <c r="H109" s="79">
        <f t="shared" si="70"/>
        <v>0</v>
      </c>
      <c r="I109" s="76">
        <v>0</v>
      </c>
      <c r="J109" s="76">
        <v>0</v>
      </c>
      <c r="K109" s="76">
        <v>0</v>
      </c>
      <c r="L109" s="76">
        <v>0</v>
      </c>
      <c r="M109" s="80">
        <v>0</v>
      </c>
      <c r="N109" s="80">
        <f t="shared" si="31"/>
        <v>0</v>
      </c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</row>
    <row r="110" spans="1:41" ht="24" hidden="1" customHeight="1" x14ac:dyDescent="0.2">
      <c r="A110" s="125">
        <v>6</v>
      </c>
      <c r="B110" s="122" t="s">
        <v>127</v>
      </c>
      <c r="C110" s="123">
        <f t="shared" si="69"/>
        <v>0</v>
      </c>
      <c r="D110" s="124">
        <v>0</v>
      </c>
      <c r="E110" s="112">
        <v>0</v>
      </c>
      <c r="F110" s="77">
        <f t="shared" si="1"/>
        <v>0</v>
      </c>
      <c r="G110" s="78">
        <f t="shared" si="2"/>
        <v>0</v>
      </c>
      <c r="H110" s="79">
        <f t="shared" si="70"/>
        <v>0</v>
      </c>
      <c r="I110" s="76">
        <v>0</v>
      </c>
      <c r="J110" s="76">
        <v>0</v>
      </c>
      <c r="K110" s="76">
        <v>0</v>
      </c>
      <c r="L110" s="76">
        <v>0</v>
      </c>
      <c r="M110" s="80">
        <v>0</v>
      </c>
      <c r="N110" s="80">
        <f t="shared" si="31"/>
        <v>0</v>
      </c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</row>
    <row r="111" spans="1:41" ht="24" hidden="1" customHeight="1" x14ac:dyDescent="0.2">
      <c r="A111" s="125">
        <v>7</v>
      </c>
      <c r="B111" s="122" t="s">
        <v>128</v>
      </c>
      <c r="C111" s="123">
        <f t="shared" si="69"/>
        <v>0</v>
      </c>
      <c r="D111" s="124">
        <v>0</v>
      </c>
      <c r="E111" s="112">
        <v>0</v>
      </c>
      <c r="F111" s="77">
        <f t="shared" si="1"/>
        <v>0</v>
      </c>
      <c r="G111" s="78">
        <f t="shared" si="2"/>
        <v>0</v>
      </c>
      <c r="H111" s="79">
        <f t="shared" si="70"/>
        <v>0</v>
      </c>
      <c r="I111" s="76">
        <v>0</v>
      </c>
      <c r="J111" s="76">
        <v>0</v>
      </c>
      <c r="K111" s="76">
        <v>0</v>
      </c>
      <c r="L111" s="76">
        <v>0</v>
      </c>
      <c r="M111" s="80">
        <v>0</v>
      </c>
      <c r="N111" s="80">
        <f t="shared" si="31"/>
        <v>0</v>
      </c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</row>
    <row r="112" spans="1:41" ht="24" hidden="1" customHeight="1" x14ac:dyDescent="0.2">
      <c r="A112" s="125">
        <v>8</v>
      </c>
      <c r="B112" s="122" t="s">
        <v>129</v>
      </c>
      <c r="C112" s="123">
        <f t="shared" si="69"/>
        <v>0</v>
      </c>
      <c r="D112" s="124">
        <v>0</v>
      </c>
      <c r="E112" s="112">
        <v>0</v>
      </c>
      <c r="F112" s="77">
        <f t="shared" si="1"/>
        <v>0</v>
      </c>
      <c r="G112" s="78">
        <f t="shared" si="2"/>
        <v>0</v>
      </c>
      <c r="H112" s="79">
        <f t="shared" si="70"/>
        <v>0</v>
      </c>
      <c r="I112" s="76">
        <v>0</v>
      </c>
      <c r="J112" s="76">
        <v>0</v>
      </c>
      <c r="K112" s="76">
        <v>0</v>
      </c>
      <c r="L112" s="76">
        <v>0</v>
      </c>
      <c r="M112" s="80">
        <v>0</v>
      </c>
      <c r="N112" s="80">
        <f t="shared" si="31"/>
        <v>0</v>
      </c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</row>
    <row r="113" spans="1:41" ht="24" hidden="1" customHeight="1" x14ac:dyDescent="0.2">
      <c r="A113" s="125">
        <v>9</v>
      </c>
      <c r="B113" s="122" t="s">
        <v>130</v>
      </c>
      <c r="C113" s="123">
        <f t="shared" si="69"/>
        <v>0</v>
      </c>
      <c r="D113" s="124">
        <v>0</v>
      </c>
      <c r="E113" s="112">
        <v>0</v>
      </c>
      <c r="F113" s="77">
        <f t="shared" si="1"/>
        <v>0</v>
      </c>
      <c r="G113" s="78">
        <f t="shared" si="2"/>
        <v>0</v>
      </c>
      <c r="H113" s="79">
        <f t="shared" si="70"/>
        <v>0</v>
      </c>
      <c r="I113" s="76">
        <v>0</v>
      </c>
      <c r="J113" s="76">
        <v>0</v>
      </c>
      <c r="K113" s="76">
        <v>0</v>
      </c>
      <c r="L113" s="76">
        <v>0</v>
      </c>
      <c r="M113" s="80">
        <v>0</v>
      </c>
      <c r="N113" s="80">
        <f t="shared" si="31"/>
        <v>0</v>
      </c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</row>
    <row r="114" spans="1:41" ht="24" hidden="1" customHeight="1" x14ac:dyDescent="0.2">
      <c r="A114" s="125">
        <v>10</v>
      </c>
      <c r="B114" s="122" t="s">
        <v>131</v>
      </c>
      <c r="C114" s="123">
        <f t="shared" si="69"/>
        <v>0</v>
      </c>
      <c r="D114" s="124">
        <v>0</v>
      </c>
      <c r="E114" s="112">
        <v>0</v>
      </c>
      <c r="F114" s="77">
        <f t="shared" si="1"/>
        <v>0</v>
      </c>
      <c r="G114" s="78">
        <f t="shared" si="2"/>
        <v>0</v>
      </c>
      <c r="H114" s="79">
        <f t="shared" si="70"/>
        <v>0</v>
      </c>
      <c r="I114" s="76">
        <v>0</v>
      </c>
      <c r="J114" s="76">
        <v>0</v>
      </c>
      <c r="K114" s="76">
        <v>0</v>
      </c>
      <c r="L114" s="76">
        <v>0</v>
      </c>
      <c r="M114" s="80">
        <v>0</v>
      </c>
      <c r="N114" s="80">
        <f t="shared" si="31"/>
        <v>0</v>
      </c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</row>
    <row r="115" spans="1:41" ht="24" hidden="1" customHeight="1" x14ac:dyDescent="0.2">
      <c r="A115" s="125">
        <v>11</v>
      </c>
      <c r="B115" s="122" t="s">
        <v>132</v>
      </c>
      <c r="C115" s="123">
        <f t="shared" si="69"/>
        <v>0</v>
      </c>
      <c r="D115" s="124">
        <v>0</v>
      </c>
      <c r="E115" s="112">
        <v>0</v>
      </c>
      <c r="F115" s="77">
        <f t="shared" si="1"/>
        <v>0</v>
      </c>
      <c r="G115" s="78">
        <f t="shared" si="2"/>
        <v>0</v>
      </c>
      <c r="H115" s="79">
        <f t="shared" si="70"/>
        <v>0</v>
      </c>
      <c r="I115" s="76">
        <v>0</v>
      </c>
      <c r="J115" s="76">
        <v>0</v>
      </c>
      <c r="K115" s="76">
        <v>0</v>
      </c>
      <c r="L115" s="76">
        <v>0</v>
      </c>
      <c r="M115" s="80">
        <v>0</v>
      </c>
      <c r="N115" s="80">
        <f t="shared" si="31"/>
        <v>0</v>
      </c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</row>
    <row r="116" spans="1:41" ht="24" hidden="1" customHeight="1" x14ac:dyDescent="0.2">
      <c r="A116" s="125">
        <v>12</v>
      </c>
      <c r="B116" s="122" t="s">
        <v>133</v>
      </c>
      <c r="C116" s="123">
        <f t="shared" si="69"/>
        <v>0</v>
      </c>
      <c r="D116" s="124">
        <v>0</v>
      </c>
      <c r="E116" s="112">
        <v>0</v>
      </c>
      <c r="F116" s="77">
        <f t="shared" si="1"/>
        <v>0</v>
      </c>
      <c r="G116" s="78">
        <f t="shared" si="2"/>
        <v>0</v>
      </c>
      <c r="H116" s="79">
        <f t="shared" si="70"/>
        <v>0</v>
      </c>
      <c r="I116" s="76">
        <v>0</v>
      </c>
      <c r="J116" s="76">
        <v>0</v>
      </c>
      <c r="K116" s="76">
        <v>0</v>
      </c>
      <c r="L116" s="76">
        <v>0</v>
      </c>
      <c r="M116" s="80">
        <v>0</v>
      </c>
      <c r="N116" s="80">
        <f t="shared" si="31"/>
        <v>0</v>
      </c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</row>
    <row r="117" spans="1:41" ht="24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4"/>
      <c r="N117" s="4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</row>
    <row r="118" spans="1:41" ht="24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4"/>
      <c r="N118" s="4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</row>
    <row r="119" spans="1:41" ht="24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4"/>
      <c r="N119" s="4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</row>
    <row r="120" spans="1:41" ht="24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4"/>
      <c r="N120" s="4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:41" ht="24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4"/>
      <c r="N121" s="4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:41" ht="24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4"/>
      <c r="N122" s="4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:41" ht="24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4"/>
      <c r="N123" s="4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:41" ht="24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4"/>
      <c r="N124" s="4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:41" ht="24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4"/>
      <c r="N125" s="4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:41" ht="24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4"/>
      <c r="N126" s="4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:41" ht="24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4"/>
      <c r="N127" s="4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:41" ht="24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4"/>
      <c r="N128" s="4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:41" ht="24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4"/>
      <c r="N129" s="4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:41" ht="24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4"/>
      <c r="N130" s="4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:41" ht="24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4"/>
      <c r="N131" s="4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:41" ht="24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4"/>
      <c r="N132" s="4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:41" ht="24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4"/>
      <c r="N133" s="4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:41" ht="24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4"/>
      <c r="N134" s="4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:41" ht="24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4"/>
      <c r="N135" s="4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  <row r="136" spans="1:41" ht="24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4"/>
      <c r="N136" s="4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</row>
    <row r="137" spans="1:41" ht="24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4"/>
      <c r="N137" s="4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</row>
    <row r="138" spans="1:41" ht="24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4"/>
      <c r="N138" s="4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</row>
    <row r="139" spans="1:41" ht="24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4"/>
      <c r="N139" s="4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</row>
    <row r="140" spans="1:41" ht="24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4"/>
      <c r="N140" s="4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</row>
    <row r="141" spans="1:41" ht="24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4"/>
      <c r="N141" s="4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</row>
    <row r="142" spans="1:41" ht="24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4"/>
      <c r="N142" s="4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</row>
    <row r="143" spans="1:41" ht="24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4"/>
      <c r="N143" s="4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</row>
    <row r="144" spans="1:41" ht="24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4"/>
      <c r="N144" s="4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</row>
    <row r="145" spans="1:41" ht="24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4"/>
      <c r="N145" s="4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</row>
    <row r="146" spans="1:41" ht="24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4"/>
      <c r="N146" s="4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</row>
    <row r="147" spans="1:41" ht="24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4"/>
      <c r="N147" s="4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</row>
    <row r="148" spans="1:41" ht="24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4"/>
      <c r="N148" s="4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</row>
    <row r="149" spans="1:41" ht="24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4"/>
      <c r="N149" s="4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</row>
    <row r="150" spans="1:41" ht="24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4"/>
      <c r="N150" s="4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</row>
    <row r="151" spans="1:41" ht="24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4"/>
      <c r="N151" s="4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</row>
    <row r="152" spans="1:41" ht="24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4"/>
      <c r="N152" s="4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</row>
    <row r="153" spans="1:41" ht="24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4"/>
      <c r="N153" s="4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</row>
    <row r="154" spans="1:41" ht="24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4"/>
      <c r="N154" s="4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</row>
    <row r="155" spans="1:41" ht="24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4"/>
      <c r="N155" s="4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</row>
    <row r="156" spans="1:41" ht="24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4"/>
      <c r="N156" s="4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</row>
    <row r="157" spans="1:41" ht="24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4"/>
      <c r="N157" s="4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</row>
    <row r="158" spans="1:41" ht="24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4"/>
      <c r="N158" s="4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</row>
    <row r="159" spans="1:41" ht="24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4"/>
      <c r="N159" s="4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</row>
    <row r="160" spans="1:41" ht="24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4"/>
      <c r="N160" s="4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</row>
    <row r="161" spans="1:41" ht="24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4"/>
      <c r="N161" s="4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</row>
    <row r="162" spans="1:41" ht="24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4"/>
      <c r="N162" s="4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</row>
    <row r="163" spans="1:41" ht="24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4"/>
      <c r="N163" s="4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</row>
    <row r="164" spans="1:41" ht="24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4"/>
      <c r="N164" s="4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</row>
    <row r="165" spans="1:41" ht="24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4"/>
      <c r="N165" s="4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</row>
    <row r="166" spans="1:41" ht="24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4"/>
      <c r="N166" s="4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</row>
    <row r="167" spans="1:41" ht="24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4"/>
      <c r="N167" s="4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</row>
    <row r="168" spans="1:41" ht="24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4"/>
      <c r="N168" s="4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</row>
    <row r="169" spans="1:41" ht="24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4"/>
      <c r="N169" s="4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</row>
    <row r="170" spans="1:41" ht="24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4"/>
      <c r="N170" s="4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</row>
    <row r="171" spans="1:41" ht="24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4"/>
      <c r="N171" s="4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</row>
    <row r="172" spans="1:41" ht="24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4"/>
      <c r="N172" s="4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</row>
    <row r="173" spans="1:41" ht="24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4"/>
      <c r="N173" s="4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</row>
    <row r="174" spans="1:41" ht="24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4"/>
      <c r="N174" s="4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</row>
    <row r="175" spans="1:41" ht="24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4"/>
      <c r="N175" s="4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</row>
    <row r="176" spans="1:41" ht="24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4"/>
      <c r="N176" s="4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</row>
    <row r="177" spans="1:41" ht="24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4"/>
      <c r="N177" s="4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</row>
    <row r="178" spans="1:41" ht="24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4"/>
      <c r="N178" s="4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</row>
    <row r="179" spans="1:41" ht="24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4"/>
      <c r="N179" s="4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</row>
    <row r="180" spans="1:41" ht="24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4"/>
      <c r="N180" s="4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</row>
    <row r="181" spans="1:41" ht="24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4"/>
      <c r="N181" s="4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</row>
    <row r="182" spans="1:41" ht="24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4"/>
      <c r="N182" s="4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</row>
    <row r="183" spans="1:41" ht="24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4"/>
      <c r="N183" s="4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</row>
    <row r="184" spans="1:41" ht="24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4"/>
      <c r="N184" s="4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</row>
    <row r="185" spans="1:41" ht="24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4"/>
      <c r="N185" s="4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</row>
    <row r="186" spans="1:41" ht="24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4"/>
      <c r="N186" s="4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</row>
    <row r="187" spans="1:41" ht="24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4"/>
      <c r="N187" s="4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</row>
    <row r="188" spans="1:41" ht="24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4"/>
      <c r="N188" s="4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</row>
    <row r="189" spans="1:41" ht="24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4"/>
      <c r="N189" s="4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</row>
    <row r="190" spans="1:41" ht="24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4"/>
      <c r="N190" s="4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</row>
    <row r="191" spans="1:41" ht="24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4"/>
      <c r="N191" s="4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</row>
    <row r="192" spans="1:41" ht="24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4"/>
      <c r="N192" s="4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</row>
    <row r="193" spans="1:41" ht="24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4"/>
      <c r="N193" s="4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</row>
    <row r="194" spans="1:41" ht="24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4"/>
      <c r="N194" s="4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</row>
    <row r="195" spans="1:41" ht="24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4"/>
      <c r="N195" s="4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</row>
    <row r="196" spans="1:41" ht="24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4"/>
      <c r="N196" s="4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</row>
    <row r="197" spans="1:41" ht="24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4"/>
      <c r="N197" s="4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</row>
    <row r="198" spans="1:41" ht="24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4"/>
      <c r="N198" s="4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</row>
    <row r="199" spans="1:41" ht="24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4"/>
      <c r="N199" s="4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</row>
    <row r="200" spans="1:41" ht="24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4"/>
      <c r="N200" s="4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</row>
    <row r="201" spans="1:41" ht="24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4"/>
      <c r="N201" s="4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</row>
    <row r="202" spans="1:41" ht="24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4"/>
      <c r="N202" s="4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</row>
    <row r="203" spans="1:41" ht="24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4"/>
      <c r="N203" s="4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</row>
    <row r="204" spans="1:41" ht="24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4"/>
      <c r="N204" s="4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</row>
    <row r="205" spans="1:41" ht="24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4"/>
      <c r="N205" s="4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</row>
    <row r="206" spans="1:41" ht="24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4"/>
      <c r="N206" s="4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</row>
    <row r="207" spans="1:41" ht="24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4"/>
      <c r="N207" s="4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</row>
    <row r="208" spans="1:41" ht="24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4"/>
      <c r="N208" s="4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</row>
    <row r="209" spans="1:41" ht="24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4"/>
      <c r="N209" s="4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</row>
    <row r="210" spans="1:41" ht="24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4"/>
      <c r="N210" s="4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</row>
    <row r="211" spans="1:41" ht="24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4"/>
      <c r="N211" s="4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</row>
    <row r="212" spans="1:41" ht="24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4"/>
      <c r="N212" s="4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</row>
    <row r="213" spans="1:41" ht="24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4"/>
      <c r="N213" s="4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</row>
    <row r="214" spans="1:41" ht="24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4"/>
      <c r="N214" s="4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</row>
    <row r="215" spans="1:41" ht="24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4"/>
      <c r="N215" s="4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</row>
    <row r="216" spans="1:41" ht="24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4"/>
      <c r="N216" s="4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</row>
    <row r="217" spans="1:41" ht="24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4"/>
      <c r="N217" s="4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</row>
    <row r="218" spans="1:41" ht="24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4"/>
      <c r="N218" s="4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</row>
    <row r="219" spans="1:41" ht="24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4"/>
      <c r="N219" s="4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</row>
    <row r="220" spans="1:41" ht="24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4"/>
      <c r="N220" s="4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</row>
    <row r="221" spans="1:41" ht="24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4"/>
      <c r="N221" s="4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</row>
    <row r="222" spans="1:41" ht="24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4"/>
      <c r="N222" s="4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</row>
    <row r="223" spans="1:41" ht="24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4"/>
      <c r="N223" s="4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</row>
    <row r="224" spans="1:41" ht="24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4"/>
      <c r="N224" s="4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</row>
    <row r="225" spans="1:41" ht="24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4"/>
      <c r="N225" s="4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</row>
    <row r="226" spans="1:41" ht="24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4"/>
      <c r="N226" s="4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</row>
    <row r="227" spans="1:41" ht="24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4"/>
      <c r="N227" s="4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</row>
    <row r="228" spans="1:41" ht="24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4"/>
      <c r="N228" s="4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</row>
    <row r="229" spans="1:41" ht="24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4"/>
      <c r="N229" s="4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</row>
    <row r="230" spans="1:41" ht="24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4"/>
      <c r="N230" s="4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</row>
    <row r="231" spans="1:41" ht="24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4"/>
      <c r="N231" s="4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</row>
    <row r="232" spans="1:41" ht="24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4"/>
      <c r="N232" s="4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</row>
    <row r="233" spans="1:41" ht="24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4"/>
      <c r="N233" s="4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</row>
    <row r="234" spans="1:41" ht="24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4"/>
      <c r="N234" s="4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</row>
    <row r="235" spans="1:41" ht="24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4"/>
      <c r="N235" s="4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</row>
    <row r="236" spans="1:41" ht="24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4"/>
      <c r="N236" s="4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</row>
    <row r="237" spans="1:41" ht="24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4"/>
      <c r="N237" s="4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</row>
    <row r="238" spans="1:41" ht="24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4"/>
      <c r="N238" s="4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</row>
    <row r="239" spans="1:41" ht="24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4"/>
      <c r="N239" s="4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</row>
    <row r="240" spans="1:41" ht="24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4"/>
      <c r="N240" s="4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</row>
    <row r="241" spans="1:41" ht="24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4"/>
      <c r="N241" s="4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</row>
    <row r="242" spans="1:41" ht="24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4"/>
      <c r="N242" s="4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</row>
    <row r="243" spans="1:41" ht="24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4"/>
      <c r="N243" s="4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</row>
    <row r="244" spans="1:41" ht="24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4"/>
      <c r="N244" s="4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</row>
    <row r="245" spans="1:41" ht="24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4"/>
      <c r="N245" s="4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</row>
    <row r="246" spans="1:41" ht="24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4"/>
      <c r="N246" s="4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</row>
    <row r="247" spans="1:41" ht="24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4"/>
      <c r="N247" s="4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</row>
    <row r="248" spans="1:41" ht="24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4"/>
      <c r="N248" s="4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</row>
    <row r="249" spans="1:41" ht="24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4"/>
      <c r="N249" s="4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</row>
    <row r="250" spans="1:41" ht="24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4"/>
      <c r="N250" s="4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</row>
    <row r="251" spans="1:41" ht="24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4"/>
      <c r="N251" s="4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</row>
    <row r="252" spans="1:41" ht="24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4"/>
      <c r="N252" s="4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</row>
    <row r="253" spans="1:41" ht="24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4"/>
      <c r="N253" s="4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</row>
    <row r="254" spans="1:41" ht="24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4"/>
      <c r="N254" s="4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</row>
    <row r="255" spans="1:41" ht="24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4"/>
      <c r="N255" s="4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</row>
    <row r="256" spans="1:41" ht="24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4"/>
      <c r="N256" s="4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</row>
    <row r="257" spans="1:41" ht="24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4"/>
      <c r="N257" s="4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</row>
    <row r="258" spans="1:41" ht="24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4"/>
      <c r="N258" s="4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</row>
    <row r="259" spans="1:41" ht="24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4"/>
      <c r="N259" s="4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</row>
    <row r="260" spans="1:41" ht="24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4"/>
      <c r="N260" s="4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</row>
    <row r="261" spans="1:41" ht="24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4"/>
      <c r="N261" s="4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</row>
    <row r="262" spans="1:41" ht="24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4"/>
      <c r="N262" s="4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</row>
    <row r="263" spans="1:41" ht="24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4"/>
      <c r="N263" s="4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</row>
    <row r="264" spans="1:41" ht="24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4"/>
      <c r="N264" s="4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</row>
    <row r="265" spans="1:41" ht="24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4"/>
      <c r="N265" s="4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</row>
    <row r="266" spans="1:41" ht="24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4"/>
      <c r="N266" s="4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</row>
    <row r="267" spans="1:41" ht="24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4"/>
      <c r="N267" s="4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</row>
    <row r="268" spans="1:41" ht="24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4"/>
      <c r="N268" s="4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</row>
    <row r="269" spans="1:41" ht="24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4"/>
      <c r="N269" s="4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</row>
    <row r="270" spans="1:41" ht="24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4"/>
      <c r="N270" s="4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</row>
    <row r="271" spans="1:41" ht="24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4"/>
      <c r="N271" s="4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</row>
    <row r="272" spans="1:41" ht="24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4"/>
      <c r="N272" s="4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</row>
    <row r="273" spans="1:41" ht="24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4"/>
      <c r="N273" s="4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</row>
    <row r="274" spans="1:41" ht="24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4"/>
      <c r="N274" s="4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</row>
    <row r="275" spans="1:41" ht="24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4"/>
      <c r="N275" s="4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</row>
    <row r="276" spans="1:41" ht="24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4"/>
      <c r="N276" s="4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</row>
    <row r="277" spans="1:41" ht="24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4"/>
      <c r="N277" s="4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</row>
    <row r="278" spans="1:41" ht="24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4"/>
      <c r="N278" s="4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</row>
    <row r="279" spans="1:41" ht="24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4"/>
      <c r="N279" s="4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</row>
    <row r="280" spans="1:41" ht="24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4"/>
      <c r="N280" s="4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</row>
    <row r="281" spans="1:41" ht="24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4"/>
      <c r="N281" s="4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</row>
    <row r="282" spans="1:41" ht="24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4"/>
      <c r="N282" s="4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</row>
    <row r="283" spans="1:41" ht="24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4"/>
      <c r="N283" s="4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</row>
    <row r="284" spans="1:41" ht="24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4"/>
      <c r="N284" s="4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</row>
    <row r="285" spans="1:41" ht="24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4"/>
      <c r="N285" s="4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</row>
    <row r="286" spans="1:41" ht="24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4"/>
      <c r="N286" s="4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</row>
    <row r="287" spans="1:41" ht="24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4"/>
      <c r="N287" s="4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</row>
    <row r="288" spans="1:41" ht="24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4"/>
      <c r="N288" s="4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</row>
    <row r="289" spans="1:41" ht="24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4"/>
      <c r="N289" s="4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</row>
    <row r="290" spans="1:41" ht="24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4"/>
      <c r="N290" s="4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</row>
    <row r="291" spans="1:41" ht="24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4"/>
      <c r="N291" s="4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</row>
    <row r="292" spans="1:41" ht="24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4"/>
      <c r="N292" s="4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</row>
    <row r="293" spans="1:41" ht="24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4"/>
      <c r="N293" s="4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</row>
    <row r="294" spans="1:41" ht="24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4"/>
      <c r="N294" s="4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</row>
    <row r="295" spans="1:41" ht="24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4"/>
      <c r="N295" s="4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</row>
    <row r="296" spans="1:41" ht="24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4"/>
      <c r="N296" s="4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</row>
    <row r="297" spans="1:41" ht="24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4"/>
      <c r="N297" s="4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</row>
    <row r="298" spans="1:41" ht="24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4"/>
      <c r="N298" s="4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</row>
    <row r="299" spans="1:41" ht="24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4"/>
      <c r="N299" s="4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</row>
    <row r="300" spans="1:41" ht="24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4"/>
      <c r="N300" s="4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</row>
    <row r="301" spans="1:41" ht="24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4"/>
      <c r="N301" s="4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</row>
    <row r="302" spans="1:41" ht="24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4"/>
      <c r="N302" s="4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</row>
    <row r="303" spans="1:41" ht="24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4"/>
      <c r="N303" s="4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</row>
    <row r="304" spans="1:41" ht="24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4"/>
      <c r="N304" s="4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</row>
    <row r="305" spans="1:41" ht="24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4"/>
      <c r="N305" s="4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</row>
    <row r="306" spans="1:41" ht="24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4"/>
      <c r="N306" s="4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</row>
    <row r="307" spans="1:41" ht="24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4"/>
      <c r="N307" s="4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</row>
    <row r="308" spans="1:41" ht="24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4"/>
      <c r="N308" s="4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</row>
    <row r="309" spans="1:41" ht="24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4"/>
      <c r="N309" s="4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</row>
    <row r="310" spans="1:41" ht="24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4"/>
      <c r="N310" s="4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</row>
    <row r="311" spans="1:41" ht="24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4"/>
      <c r="N311" s="4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</row>
    <row r="312" spans="1:41" ht="24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4"/>
      <c r="N312" s="4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</row>
    <row r="313" spans="1:41" ht="24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4"/>
      <c r="N313" s="4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</row>
    <row r="314" spans="1:41" ht="18.75" x14ac:dyDescent="0.25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7"/>
      <c r="N314" s="127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</row>
    <row r="315" spans="1:41" ht="18.75" x14ac:dyDescent="0.25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7"/>
      <c r="N315" s="127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</row>
    <row r="316" spans="1:41" ht="18.75" x14ac:dyDescent="0.25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7"/>
      <c r="N316" s="127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</row>
    <row r="317" spans="1:41" ht="18.75" x14ac:dyDescent="0.25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7"/>
      <c r="N317" s="127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</row>
    <row r="318" spans="1:41" ht="18.75" x14ac:dyDescent="0.25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7"/>
      <c r="N318" s="127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</row>
    <row r="319" spans="1:41" ht="18.75" x14ac:dyDescent="0.25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7"/>
      <c r="N319" s="127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</row>
    <row r="320" spans="1:41" ht="18.75" x14ac:dyDescent="0.25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7"/>
      <c r="N320" s="127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</row>
    <row r="321" spans="1:41" ht="18.75" x14ac:dyDescent="0.25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7"/>
      <c r="N321" s="127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</row>
    <row r="322" spans="1:41" ht="18.75" x14ac:dyDescent="0.25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7"/>
      <c r="N322" s="127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</row>
    <row r="323" spans="1:41" ht="18.75" x14ac:dyDescent="0.25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7"/>
      <c r="N323" s="127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</row>
    <row r="324" spans="1:41" ht="18.75" x14ac:dyDescent="0.25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7"/>
      <c r="N324" s="127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</row>
    <row r="325" spans="1:41" ht="18.75" x14ac:dyDescent="0.25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7"/>
      <c r="N325" s="127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</row>
    <row r="326" spans="1:41" ht="18.75" x14ac:dyDescent="0.25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7"/>
      <c r="N326" s="127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</row>
    <row r="327" spans="1:41" ht="18.75" x14ac:dyDescent="0.25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7"/>
      <c r="N327" s="127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</row>
    <row r="328" spans="1:41" ht="18.75" x14ac:dyDescent="0.25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7"/>
      <c r="N328" s="127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</row>
    <row r="329" spans="1:41" ht="18.75" x14ac:dyDescent="0.25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7"/>
      <c r="N329" s="127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</row>
    <row r="330" spans="1:41" ht="18.75" x14ac:dyDescent="0.25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7"/>
      <c r="N330" s="127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</row>
    <row r="331" spans="1:41" ht="18.75" x14ac:dyDescent="0.25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7"/>
      <c r="N331" s="127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</row>
    <row r="332" spans="1:41" ht="18.75" x14ac:dyDescent="0.25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7"/>
      <c r="N332" s="127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</row>
    <row r="333" spans="1:41" ht="18.75" x14ac:dyDescent="0.25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7"/>
      <c r="N333" s="127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</row>
    <row r="334" spans="1:41" ht="18.75" x14ac:dyDescent="0.25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7"/>
      <c r="N334" s="127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</row>
    <row r="335" spans="1:41" ht="18.75" x14ac:dyDescent="0.25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7"/>
      <c r="N335" s="127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</row>
    <row r="336" spans="1:41" ht="18.75" x14ac:dyDescent="0.25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7"/>
      <c r="N336" s="127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</row>
    <row r="337" spans="1:41" ht="18.75" x14ac:dyDescent="0.25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7"/>
      <c r="N337" s="127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</row>
    <row r="338" spans="1:41" ht="18.75" x14ac:dyDescent="0.25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7"/>
      <c r="N338" s="127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</row>
    <row r="339" spans="1:41" ht="18.75" x14ac:dyDescent="0.25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7"/>
      <c r="N339" s="127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</row>
    <row r="340" spans="1:41" ht="18.75" x14ac:dyDescent="0.25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7"/>
      <c r="N340" s="127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</row>
    <row r="341" spans="1:41" ht="18.75" x14ac:dyDescent="0.25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7"/>
      <c r="N341" s="127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</row>
    <row r="342" spans="1:41" ht="18.75" x14ac:dyDescent="0.25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7"/>
      <c r="N342" s="127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</row>
    <row r="343" spans="1:41" ht="18.75" x14ac:dyDescent="0.25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7"/>
      <c r="N343" s="127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</row>
    <row r="344" spans="1:41" ht="18.75" x14ac:dyDescent="0.25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7"/>
      <c r="N344" s="127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</row>
    <row r="345" spans="1:41" ht="18.75" x14ac:dyDescent="0.25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7"/>
      <c r="N345" s="127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</row>
    <row r="346" spans="1:41" ht="18.75" x14ac:dyDescent="0.25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7"/>
      <c r="N346" s="127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</row>
    <row r="347" spans="1:41" ht="18.75" x14ac:dyDescent="0.25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7"/>
      <c r="N347" s="127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</row>
    <row r="348" spans="1:41" ht="18.75" x14ac:dyDescent="0.25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7"/>
      <c r="N348" s="127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</row>
    <row r="349" spans="1:41" ht="18.75" x14ac:dyDescent="0.25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7"/>
      <c r="N349" s="127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</row>
    <row r="350" spans="1:41" ht="18.75" x14ac:dyDescent="0.25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7"/>
      <c r="N350" s="127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</row>
    <row r="351" spans="1:41" ht="18.75" x14ac:dyDescent="0.25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7"/>
      <c r="N351" s="127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</row>
    <row r="352" spans="1:41" ht="18.75" x14ac:dyDescent="0.25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7"/>
      <c r="N352" s="127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</row>
    <row r="353" spans="1:41" ht="18.75" x14ac:dyDescent="0.25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7"/>
      <c r="N353" s="127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</row>
    <row r="354" spans="1:41" ht="18.75" x14ac:dyDescent="0.25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7"/>
      <c r="N354" s="127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</row>
    <row r="355" spans="1:41" ht="18.75" x14ac:dyDescent="0.25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7"/>
      <c r="N355" s="127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</row>
    <row r="356" spans="1:41" ht="18.75" x14ac:dyDescent="0.25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7"/>
      <c r="N356" s="127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</row>
    <row r="357" spans="1:41" ht="18.75" x14ac:dyDescent="0.25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7"/>
      <c r="N357" s="127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</row>
    <row r="358" spans="1:41" ht="18.75" x14ac:dyDescent="0.25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7"/>
      <c r="N358" s="127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</row>
    <row r="359" spans="1:41" ht="18.75" x14ac:dyDescent="0.25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7"/>
      <c r="N359" s="127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</row>
    <row r="360" spans="1:41" ht="18.75" x14ac:dyDescent="0.25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7"/>
      <c r="N360" s="127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</row>
    <row r="361" spans="1:41" ht="18.75" x14ac:dyDescent="0.25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7"/>
      <c r="N361" s="127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</row>
    <row r="362" spans="1:41" ht="18.75" x14ac:dyDescent="0.25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7"/>
      <c r="N362" s="127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</row>
    <row r="363" spans="1:41" ht="18.75" x14ac:dyDescent="0.25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7"/>
      <c r="N363" s="127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</row>
    <row r="364" spans="1:41" ht="18.75" x14ac:dyDescent="0.25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7"/>
      <c r="N364" s="127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</row>
    <row r="365" spans="1:41" ht="18.75" x14ac:dyDescent="0.25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7"/>
      <c r="N365" s="127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</row>
    <row r="366" spans="1:41" ht="18.75" x14ac:dyDescent="0.25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7"/>
      <c r="N366" s="127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</row>
    <row r="367" spans="1:41" ht="18.75" x14ac:dyDescent="0.25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7"/>
      <c r="N367" s="127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</row>
    <row r="368" spans="1:41" ht="18.75" x14ac:dyDescent="0.25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7"/>
      <c r="N368" s="127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</row>
    <row r="369" spans="1:41" ht="18.75" x14ac:dyDescent="0.25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7"/>
      <c r="N369" s="127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</row>
    <row r="370" spans="1:41" ht="18.75" x14ac:dyDescent="0.25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7"/>
      <c r="N370" s="127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</row>
    <row r="371" spans="1:41" ht="18.75" x14ac:dyDescent="0.25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7"/>
      <c r="N371" s="127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</row>
    <row r="372" spans="1:41" ht="18.75" x14ac:dyDescent="0.25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7"/>
      <c r="N372" s="127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</row>
    <row r="373" spans="1:41" ht="18.75" x14ac:dyDescent="0.25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7"/>
      <c r="N373" s="127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</row>
    <row r="374" spans="1:41" ht="18.75" x14ac:dyDescent="0.25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7"/>
      <c r="N374" s="127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</row>
    <row r="375" spans="1:41" ht="18.75" x14ac:dyDescent="0.25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7"/>
      <c r="N375" s="127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</row>
    <row r="376" spans="1:41" ht="18.75" x14ac:dyDescent="0.25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7"/>
      <c r="N376" s="127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</row>
    <row r="377" spans="1:41" ht="18.75" x14ac:dyDescent="0.25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7"/>
      <c r="N377" s="127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</row>
    <row r="378" spans="1:41" ht="18.75" x14ac:dyDescent="0.25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7"/>
      <c r="N378" s="127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</row>
    <row r="379" spans="1:41" ht="18.75" x14ac:dyDescent="0.25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7"/>
      <c r="N379" s="127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</row>
    <row r="380" spans="1:41" ht="18.75" x14ac:dyDescent="0.25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7"/>
      <c r="N380" s="127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</row>
    <row r="381" spans="1:41" ht="18.75" x14ac:dyDescent="0.25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7"/>
      <c r="N381" s="127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</row>
    <row r="382" spans="1:41" ht="18.75" x14ac:dyDescent="0.25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7"/>
      <c r="N382" s="127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</row>
    <row r="383" spans="1:41" ht="18.75" x14ac:dyDescent="0.25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7"/>
      <c r="N383" s="127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</row>
    <row r="384" spans="1:41" ht="18.75" x14ac:dyDescent="0.25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7"/>
      <c r="N384" s="127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</row>
    <row r="385" spans="1:41" ht="18.75" x14ac:dyDescent="0.25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7"/>
      <c r="N385" s="127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</row>
    <row r="386" spans="1:41" ht="18.75" x14ac:dyDescent="0.25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7"/>
      <c r="N386" s="127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</row>
    <row r="387" spans="1:41" ht="18.75" x14ac:dyDescent="0.25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7"/>
      <c r="N387" s="127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</row>
    <row r="388" spans="1:41" ht="18.75" x14ac:dyDescent="0.25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7"/>
      <c r="N388" s="127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</row>
    <row r="389" spans="1:41" ht="18.75" x14ac:dyDescent="0.25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7"/>
      <c r="N389" s="127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</row>
    <row r="390" spans="1:41" ht="18.75" x14ac:dyDescent="0.25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7"/>
      <c r="N390" s="127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</row>
    <row r="391" spans="1:41" ht="18.75" x14ac:dyDescent="0.25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7"/>
      <c r="N391" s="127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</row>
    <row r="392" spans="1:41" ht="18.75" x14ac:dyDescent="0.25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7"/>
      <c r="N392" s="127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</row>
    <row r="393" spans="1:41" ht="18.75" x14ac:dyDescent="0.25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7"/>
      <c r="N393" s="127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</row>
    <row r="394" spans="1:41" ht="18.75" x14ac:dyDescent="0.25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7"/>
      <c r="N394" s="127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</row>
    <row r="395" spans="1:41" ht="18.75" x14ac:dyDescent="0.25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7"/>
      <c r="N395" s="127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</row>
    <row r="396" spans="1:41" ht="18.75" x14ac:dyDescent="0.25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7"/>
      <c r="N396" s="127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</row>
    <row r="397" spans="1:41" ht="18.75" x14ac:dyDescent="0.25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7"/>
      <c r="N397" s="127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</row>
    <row r="398" spans="1:41" ht="18.75" x14ac:dyDescent="0.25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7"/>
      <c r="N398" s="127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</row>
    <row r="399" spans="1:41" ht="18.75" x14ac:dyDescent="0.25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7"/>
      <c r="N399" s="127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</row>
    <row r="400" spans="1:41" ht="18.75" x14ac:dyDescent="0.25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7"/>
      <c r="N400" s="127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</row>
    <row r="401" spans="1:41" ht="18.75" x14ac:dyDescent="0.25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7"/>
      <c r="N401" s="127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</row>
    <row r="402" spans="1:41" ht="18.75" x14ac:dyDescent="0.25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7"/>
      <c r="N402" s="127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</row>
    <row r="403" spans="1:41" ht="18.75" x14ac:dyDescent="0.25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7"/>
      <c r="N403" s="127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</row>
    <row r="404" spans="1:41" ht="18.75" x14ac:dyDescent="0.25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7"/>
      <c r="N404" s="127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</row>
    <row r="405" spans="1:41" ht="18.75" x14ac:dyDescent="0.25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7"/>
      <c r="N405" s="127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</row>
    <row r="406" spans="1:41" ht="18.75" x14ac:dyDescent="0.25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7"/>
      <c r="N406" s="127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</row>
    <row r="407" spans="1:41" ht="18.75" x14ac:dyDescent="0.25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7"/>
      <c r="N407" s="127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</row>
    <row r="408" spans="1:41" ht="18.75" x14ac:dyDescent="0.25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7"/>
      <c r="N408" s="127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</row>
    <row r="409" spans="1:41" ht="18.75" x14ac:dyDescent="0.25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7"/>
      <c r="N409" s="127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</row>
    <row r="410" spans="1:41" ht="18.75" x14ac:dyDescent="0.25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7"/>
      <c r="N410" s="127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</row>
    <row r="411" spans="1:41" ht="18.75" x14ac:dyDescent="0.25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7"/>
      <c r="N411" s="127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</row>
    <row r="412" spans="1:41" ht="18.75" x14ac:dyDescent="0.25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7"/>
      <c r="N412" s="127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</row>
    <row r="413" spans="1:41" ht="18.75" x14ac:dyDescent="0.25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7"/>
      <c r="N413" s="127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</row>
    <row r="414" spans="1:41" ht="18.75" x14ac:dyDescent="0.25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7"/>
      <c r="N414" s="127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</row>
    <row r="415" spans="1:41" ht="18.75" x14ac:dyDescent="0.25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7"/>
      <c r="N415" s="127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</row>
    <row r="416" spans="1:41" ht="18.75" x14ac:dyDescent="0.25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7"/>
      <c r="N416" s="127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</row>
    <row r="417" spans="1:41" ht="18.75" x14ac:dyDescent="0.25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7"/>
      <c r="N417" s="127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</row>
    <row r="418" spans="1:41" ht="18.75" x14ac:dyDescent="0.25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7"/>
      <c r="N418" s="127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</row>
    <row r="419" spans="1:41" ht="18.75" x14ac:dyDescent="0.25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7"/>
      <c r="N419" s="127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</row>
    <row r="420" spans="1:41" ht="18.75" x14ac:dyDescent="0.25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7"/>
      <c r="N420" s="127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</row>
    <row r="421" spans="1:41" ht="18.75" x14ac:dyDescent="0.25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7"/>
      <c r="N421" s="127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</row>
    <row r="422" spans="1:41" ht="18.75" x14ac:dyDescent="0.25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7"/>
      <c r="N422" s="127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</row>
    <row r="423" spans="1:41" ht="18.75" x14ac:dyDescent="0.25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7"/>
      <c r="N423" s="127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</row>
    <row r="424" spans="1:41" ht="18.75" x14ac:dyDescent="0.25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7"/>
      <c r="N424" s="127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</row>
    <row r="425" spans="1:41" ht="18.75" x14ac:dyDescent="0.25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7"/>
      <c r="N425" s="127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</row>
    <row r="426" spans="1:41" ht="18.75" x14ac:dyDescent="0.25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7"/>
      <c r="N426" s="127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</row>
    <row r="427" spans="1:41" ht="18.75" x14ac:dyDescent="0.25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7"/>
      <c r="N427" s="127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</row>
    <row r="428" spans="1:41" ht="18.75" x14ac:dyDescent="0.25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7"/>
      <c r="N428" s="127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</row>
    <row r="429" spans="1:41" ht="18.75" x14ac:dyDescent="0.25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7"/>
      <c r="N429" s="127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</row>
    <row r="430" spans="1:41" ht="18.75" x14ac:dyDescent="0.25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7"/>
      <c r="N430" s="127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</row>
    <row r="431" spans="1:41" ht="18.75" x14ac:dyDescent="0.25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7"/>
      <c r="N431" s="127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</row>
    <row r="432" spans="1:41" ht="18.75" x14ac:dyDescent="0.25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7"/>
      <c r="N432" s="127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</row>
    <row r="433" spans="1:41" ht="18.75" x14ac:dyDescent="0.25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127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</row>
    <row r="434" spans="1:41" ht="18.75" x14ac:dyDescent="0.25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7"/>
      <c r="N434" s="127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</row>
    <row r="435" spans="1:41" ht="18.75" x14ac:dyDescent="0.25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7"/>
      <c r="N435" s="127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</row>
    <row r="436" spans="1:41" ht="18.75" x14ac:dyDescent="0.25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7"/>
      <c r="N436" s="127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</row>
    <row r="437" spans="1:41" ht="18.75" x14ac:dyDescent="0.25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7"/>
      <c r="N437" s="127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</row>
    <row r="438" spans="1:41" ht="18.75" x14ac:dyDescent="0.25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7"/>
      <c r="N438" s="127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</row>
    <row r="439" spans="1:41" ht="18.75" x14ac:dyDescent="0.25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7"/>
      <c r="N439" s="127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</row>
    <row r="440" spans="1:41" ht="18.75" x14ac:dyDescent="0.25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7"/>
      <c r="N440" s="127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</row>
    <row r="441" spans="1:41" ht="18.75" x14ac:dyDescent="0.25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7"/>
      <c r="N441" s="127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</row>
    <row r="442" spans="1:41" ht="18.75" x14ac:dyDescent="0.25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7"/>
      <c r="N442" s="127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</row>
    <row r="443" spans="1:41" ht="18.75" x14ac:dyDescent="0.25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7"/>
      <c r="N443" s="127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</row>
    <row r="444" spans="1:41" ht="18.75" x14ac:dyDescent="0.25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7"/>
      <c r="N444" s="127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</row>
    <row r="445" spans="1:41" ht="18.75" x14ac:dyDescent="0.25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7"/>
      <c r="N445" s="127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</row>
    <row r="446" spans="1:41" ht="18.75" x14ac:dyDescent="0.25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7"/>
      <c r="N446" s="127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</row>
    <row r="447" spans="1:41" ht="18.75" x14ac:dyDescent="0.25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7"/>
      <c r="N447" s="127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</row>
    <row r="448" spans="1:41" ht="18.75" x14ac:dyDescent="0.25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7"/>
      <c r="N448" s="127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</row>
    <row r="449" spans="1:41" ht="18.75" x14ac:dyDescent="0.25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7"/>
      <c r="N449" s="127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</row>
    <row r="450" spans="1:41" ht="18.75" x14ac:dyDescent="0.25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7"/>
      <c r="N450" s="127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</row>
    <row r="451" spans="1:41" ht="18.75" x14ac:dyDescent="0.25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7"/>
      <c r="N451" s="127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</row>
    <row r="452" spans="1:41" ht="18.75" x14ac:dyDescent="0.25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7"/>
      <c r="N452" s="127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</row>
    <row r="453" spans="1:41" ht="18.75" x14ac:dyDescent="0.25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7"/>
      <c r="N453" s="127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</row>
    <row r="454" spans="1:41" ht="18.75" x14ac:dyDescent="0.25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7"/>
      <c r="N454" s="127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</row>
    <row r="455" spans="1:41" ht="18.75" x14ac:dyDescent="0.25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7"/>
      <c r="N455" s="127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</row>
    <row r="456" spans="1:41" ht="18.75" x14ac:dyDescent="0.25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7"/>
      <c r="N456" s="127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</row>
    <row r="457" spans="1:41" ht="18.75" x14ac:dyDescent="0.25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7"/>
      <c r="N457" s="127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</row>
    <row r="458" spans="1:41" ht="18.75" x14ac:dyDescent="0.25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7"/>
      <c r="N458" s="127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</row>
    <row r="459" spans="1:41" ht="18.75" x14ac:dyDescent="0.25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7"/>
      <c r="N459" s="127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</row>
    <row r="460" spans="1:41" ht="18.75" x14ac:dyDescent="0.25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7"/>
      <c r="N460" s="127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</row>
    <row r="461" spans="1:41" ht="18.75" x14ac:dyDescent="0.25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7"/>
      <c r="N461" s="127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</row>
    <row r="462" spans="1:41" ht="18.75" x14ac:dyDescent="0.25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7"/>
      <c r="N462" s="127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</row>
    <row r="463" spans="1:41" ht="18.75" x14ac:dyDescent="0.25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7"/>
      <c r="N463" s="127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</row>
    <row r="464" spans="1:41" ht="18.75" x14ac:dyDescent="0.25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7"/>
      <c r="N464" s="127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</row>
    <row r="465" spans="1:41" ht="18.75" x14ac:dyDescent="0.25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7"/>
      <c r="N465" s="127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</row>
    <row r="466" spans="1:41" ht="18.75" x14ac:dyDescent="0.25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7"/>
      <c r="N466" s="127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</row>
    <row r="467" spans="1:41" ht="18.75" x14ac:dyDescent="0.25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7"/>
      <c r="N467" s="127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</row>
    <row r="468" spans="1:41" ht="18.75" x14ac:dyDescent="0.25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7"/>
      <c r="N468" s="127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</row>
    <row r="469" spans="1:41" ht="18.75" x14ac:dyDescent="0.25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7"/>
      <c r="N469" s="127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</row>
    <row r="470" spans="1:41" ht="18.75" x14ac:dyDescent="0.25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7"/>
      <c r="N470" s="127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</row>
    <row r="471" spans="1:41" ht="18.75" x14ac:dyDescent="0.25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7"/>
      <c r="N471" s="127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</row>
    <row r="472" spans="1:41" ht="18.75" x14ac:dyDescent="0.25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7"/>
      <c r="N472" s="127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</row>
    <row r="473" spans="1:41" ht="18.75" x14ac:dyDescent="0.25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7"/>
      <c r="N473" s="127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</row>
    <row r="474" spans="1:41" ht="18.75" x14ac:dyDescent="0.25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7"/>
      <c r="N474" s="127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</row>
    <row r="475" spans="1:41" ht="18.75" x14ac:dyDescent="0.25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7"/>
      <c r="N475" s="127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</row>
    <row r="476" spans="1:41" ht="18.75" x14ac:dyDescent="0.25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7"/>
      <c r="N476" s="127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</row>
    <row r="477" spans="1:41" ht="18.75" x14ac:dyDescent="0.25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7"/>
      <c r="N477" s="127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</row>
    <row r="478" spans="1:41" ht="18.75" x14ac:dyDescent="0.25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7"/>
      <c r="N478" s="127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</row>
    <row r="479" spans="1:41" ht="18.75" x14ac:dyDescent="0.25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7"/>
      <c r="N479" s="127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</row>
    <row r="480" spans="1:41" ht="18.75" x14ac:dyDescent="0.25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7"/>
      <c r="N480" s="127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</row>
    <row r="481" spans="1:41" ht="18.75" x14ac:dyDescent="0.25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7"/>
      <c r="N481" s="127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</row>
    <row r="482" spans="1:41" ht="18.75" x14ac:dyDescent="0.25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7"/>
      <c r="N482" s="127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</row>
    <row r="483" spans="1:41" ht="18.75" x14ac:dyDescent="0.25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7"/>
      <c r="N483" s="127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</row>
    <row r="484" spans="1:41" ht="18.75" x14ac:dyDescent="0.25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7"/>
      <c r="N484" s="127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</row>
    <row r="485" spans="1:41" ht="18.75" x14ac:dyDescent="0.25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7"/>
      <c r="N485" s="127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</row>
    <row r="486" spans="1:41" ht="18.75" x14ac:dyDescent="0.25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7"/>
      <c r="N486" s="127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</row>
    <row r="487" spans="1:41" ht="18.75" x14ac:dyDescent="0.25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7"/>
      <c r="N487" s="127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</row>
    <row r="488" spans="1:41" ht="18.75" x14ac:dyDescent="0.25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7"/>
      <c r="N488" s="127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</row>
    <row r="489" spans="1:41" ht="18.75" x14ac:dyDescent="0.25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7"/>
      <c r="N489" s="127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</row>
    <row r="490" spans="1:41" ht="18.75" x14ac:dyDescent="0.25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7"/>
      <c r="N490" s="127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</row>
    <row r="491" spans="1:41" ht="18.75" x14ac:dyDescent="0.25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7"/>
      <c r="N491" s="127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</row>
    <row r="492" spans="1:41" ht="18.75" x14ac:dyDescent="0.25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7"/>
      <c r="N492" s="127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</row>
    <row r="493" spans="1:41" ht="18.75" x14ac:dyDescent="0.25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7"/>
      <c r="N493" s="127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</row>
    <row r="494" spans="1:41" ht="18.75" x14ac:dyDescent="0.25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7"/>
      <c r="N494" s="127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</row>
    <row r="495" spans="1:41" ht="18.75" x14ac:dyDescent="0.25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7"/>
      <c r="N495" s="127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</row>
    <row r="496" spans="1:41" ht="18.75" x14ac:dyDescent="0.25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7"/>
      <c r="N496" s="127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</row>
    <row r="497" spans="1:41" ht="18.75" x14ac:dyDescent="0.25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7"/>
      <c r="N497" s="127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</row>
    <row r="498" spans="1:41" ht="18.75" x14ac:dyDescent="0.25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7"/>
      <c r="N498" s="127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</row>
    <row r="499" spans="1:41" ht="18.75" x14ac:dyDescent="0.25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7"/>
      <c r="N499" s="127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</row>
    <row r="500" spans="1:41" ht="18.75" x14ac:dyDescent="0.25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7"/>
      <c r="N500" s="127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</row>
    <row r="501" spans="1:41" ht="18.75" x14ac:dyDescent="0.25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7"/>
      <c r="N501" s="127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</row>
    <row r="502" spans="1:41" ht="18.75" x14ac:dyDescent="0.25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7"/>
      <c r="N502" s="127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</row>
    <row r="503" spans="1:41" ht="18.75" x14ac:dyDescent="0.25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7"/>
      <c r="N503" s="127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</row>
    <row r="504" spans="1:41" ht="18.75" x14ac:dyDescent="0.25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7"/>
      <c r="N504" s="127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</row>
    <row r="505" spans="1:41" ht="18.75" x14ac:dyDescent="0.25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7"/>
      <c r="N505" s="127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</row>
    <row r="506" spans="1:41" ht="18.75" x14ac:dyDescent="0.25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7"/>
      <c r="N506" s="127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</row>
    <row r="507" spans="1:41" ht="18.75" x14ac:dyDescent="0.25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7"/>
      <c r="N507" s="127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</row>
    <row r="508" spans="1:41" ht="18.75" x14ac:dyDescent="0.25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7"/>
      <c r="N508" s="127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</row>
    <row r="509" spans="1:41" ht="18.75" x14ac:dyDescent="0.25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7"/>
      <c r="N509" s="127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</row>
    <row r="510" spans="1:41" ht="18.75" x14ac:dyDescent="0.25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7"/>
      <c r="N510" s="127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</row>
    <row r="511" spans="1:41" ht="18.75" x14ac:dyDescent="0.25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7"/>
      <c r="N511" s="127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</row>
    <row r="512" spans="1:41" ht="18.75" x14ac:dyDescent="0.25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7"/>
      <c r="N512" s="127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</row>
    <row r="513" spans="1:41" ht="18.75" x14ac:dyDescent="0.25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7"/>
      <c r="N513" s="127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</row>
    <row r="514" spans="1:41" ht="18.75" x14ac:dyDescent="0.25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7"/>
      <c r="N514" s="127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</row>
    <row r="515" spans="1:41" ht="18.75" x14ac:dyDescent="0.25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7"/>
      <c r="N515" s="127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</row>
    <row r="516" spans="1:41" ht="18.75" x14ac:dyDescent="0.25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7"/>
      <c r="N516" s="127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</row>
    <row r="517" spans="1:41" ht="18.75" x14ac:dyDescent="0.25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7"/>
      <c r="N517" s="127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</row>
    <row r="518" spans="1:41" ht="18.75" x14ac:dyDescent="0.25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7"/>
      <c r="N518" s="127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</row>
    <row r="519" spans="1:41" ht="18.75" x14ac:dyDescent="0.25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7"/>
      <c r="N519" s="127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</row>
    <row r="520" spans="1:41" ht="18.75" x14ac:dyDescent="0.25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7"/>
      <c r="N520" s="127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</row>
    <row r="521" spans="1:41" ht="18.75" x14ac:dyDescent="0.25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7"/>
      <c r="N521" s="127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</row>
    <row r="522" spans="1:41" ht="18.75" x14ac:dyDescent="0.25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7"/>
      <c r="N522" s="127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</row>
    <row r="523" spans="1:41" ht="18.75" x14ac:dyDescent="0.25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7"/>
      <c r="N523" s="127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</row>
    <row r="524" spans="1:41" ht="18.75" x14ac:dyDescent="0.25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7"/>
      <c r="N524" s="127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</row>
    <row r="525" spans="1:41" ht="18.75" x14ac:dyDescent="0.25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7"/>
      <c r="N525" s="127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</row>
    <row r="526" spans="1:41" ht="18.75" x14ac:dyDescent="0.25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7"/>
      <c r="N526" s="127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</row>
    <row r="527" spans="1:41" ht="18.75" x14ac:dyDescent="0.25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7"/>
      <c r="N527" s="127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</row>
    <row r="528" spans="1:41" ht="18.75" x14ac:dyDescent="0.25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7"/>
      <c r="N528" s="127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</row>
    <row r="529" spans="1:41" ht="18.75" x14ac:dyDescent="0.25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7"/>
      <c r="N529" s="127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</row>
    <row r="530" spans="1:41" ht="18.75" x14ac:dyDescent="0.25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7"/>
      <c r="N530" s="127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</row>
    <row r="531" spans="1:41" ht="18.75" x14ac:dyDescent="0.25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7"/>
      <c r="N531" s="127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</row>
    <row r="532" spans="1:41" ht="18.75" x14ac:dyDescent="0.25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7"/>
      <c r="N532" s="127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</row>
    <row r="533" spans="1:41" ht="18.75" x14ac:dyDescent="0.25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7"/>
      <c r="N533" s="127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</row>
    <row r="534" spans="1:41" ht="18.75" x14ac:dyDescent="0.25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7"/>
      <c r="N534" s="127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</row>
    <row r="535" spans="1:41" ht="18.75" x14ac:dyDescent="0.25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7"/>
      <c r="N535" s="127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</row>
    <row r="536" spans="1:41" ht="18.75" x14ac:dyDescent="0.25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7"/>
      <c r="N536" s="127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</row>
    <row r="537" spans="1:41" ht="18.75" x14ac:dyDescent="0.25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7"/>
      <c r="N537" s="127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</row>
    <row r="538" spans="1:41" ht="18.75" x14ac:dyDescent="0.25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7"/>
      <c r="N538" s="127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</row>
    <row r="539" spans="1:41" ht="18.75" x14ac:dyDescent="0.25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7"/>
      <c r="N539" s="127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</row>
    <row r="540" spans="1:41" ht="18.75" x14ac:dyDescent="0.25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7"/>
      <c r="N540" s="127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</row>
    <row r="541" spans="1:41" ht="18.75" x14ac:dyDescent="0.25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7"/>
      <c r="N541" s="127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</row>
    <row r="542" spans="1:41" ht="18.75" x14ac:dyDescent="0.25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7"/>
      <c r="N542" s="127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</row>
    <row r="543" spans="1:41" ht="18.75" x14ac:dyDescent="0.25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7"/>
      <c r="N543" s="127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</row>
    <row r="544" spans="1:41" ht="18.75" x14ac:dyDescent="0.25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7"/>
      <c r="N544" s="127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</row>
    <row r="545" spans="1:41" ht="18.75" x14ac:dyDescent="0.25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7"/>
      <c r="N545" s="127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</row>
    <row r="546" spans="1:41" ht="18.75" x14ac:dyDescent="0.25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7"/>
      <c r="N546" s="127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</row>
    <row r="547" spans="1:41" ht="18.75" x14ac:dyDescent="0.25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7"/>
      <c r="N547" s="127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</row>
    <row r="548" spans="1:41" ht="18.75" x14ac:dyDescent="0.25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7"/>
      <c r="N548" s="127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</row>
    <row r="549" spans="1:41" ht="18.75" x14ac:dyDescent="0.25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7"/>
      <c r="N549" s="127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</row>
    <row r="550" spans="1:41" ht="18.75" x14ac:dyDescent="0.25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7"/>
      <c r="N550" s="127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</row>
    <row r="551" spans="1:41" ht="18.75" x14ac:dyDescent="0.25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7"/>
      <c r="N551" s="127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</row>
    <row r="552" spans="1:41" ht="18.75" x14ac:dyDescent="0.25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7"/>
      <c r="N552" s="127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</row>
    <row r="553" spans="1:41" ht="18.75" x14ac:dyDescent="0.25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7"/>
      <c r="N553" s="127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</row>
    <row r="554" spans="1:41" ht="18.75" x14ac:dyDescent="0.25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7"/>
      <c r="N554" s="127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</row>
    <row r="555" spans="1:41" ht="18.75" x14ac:dyDescent="0.25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7"/>
      <c r="N555" s="127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</row>
    <row r="556" spans="1:41" ht="18.75" x14ac:dyDescent="0.25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7"/>
      <c r="N556" s="127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</row>
    <row r="557" spans="1:41" ht="18.75" x14ac:dyDescent="0.25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7"/>
      <c r="N557" s="127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</row>
    <row r="558" spans="1:41" ht="18.75" x14ac:dyDescent="0.25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7"/>
      <c r="N558" s="127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</row>
    <row r="559" spans="1:41" ht="18.75" x14ac:dyDescent="0.25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7"/>
      <c r="N559" s="127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</row>
    <row r="560" spans="1:41" ht="18.75" x14ac:dyDescent="0.25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7"/>
      <c r="N560" s="127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</row>
    <row r="561" spans="1:41" ht="18.75" x14ac:dyDescent="0.25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7"/>
      <c r="N561" s="127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</row>
    <row r="562" spans="1:41" ht="18.75" x14ac:dyDescent="0.25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7"/>
      <c r="N562" s="127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</row>
    <row r="563" spans="1:41" ht="18.75" x14ac:dyDescent="0.25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7"/>
      <c r="N563" s="127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</row>
    <row r="564" spans="1:41" ht="18.75" x14ac:dyDescent="0.25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7"/>
      <c r="N564" s="127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</row>
    <row r="565" spans="1:41" ht="18.75" x14ac:dyDescent="0.25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7"/>
      <c r="N565" s="127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</row>
    <row r="566" spans="1:41" ht="18.75" x14ac:dyDescent="0.25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7"/>
      <c r="N566" s="127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</row>
    <row r="567" spans="1:41" ht="18.75" x14ac:dyDescent="0.25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7"/>
      <c r="N567" s="127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</row>
    <row r="568" spans="1:41" ht="18.75" x14ac:dyDescent="0.25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7"/>
      <c r="N568" s="127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</row>
    <row r="569" spans="1:41" ht="18.75" x14ac:dyDescent="0.25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7"/>
      <c r="N569" s="127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</row>
    <row r="570" spans="1:41" ht="18.75" x14ac:dyDescent="0.25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7"/>
      <c r="N570" s="127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</row>
    <row r="571" spans="1:41" ht="18.75" x14ac:dyDescent="0.25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7"/>
      <c r="N571" s="127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</row>
    <row r="572" spans="1:41" ht="18.75" x14ac:dyDescent="0.25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7"/>
      <c r="N572" s="127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</row>
    <row r="573" spans="1:41" ht="18.75" x14ac:dyDescent="0.25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7"/>
      <c r="N573" s="127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</row>
    <row r="574" spans="1:41" ht="18.75" x14ac:dyDescent="0.25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7"/>
      <c r="N574" s="127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</row>
    <row r="575" spans="1:41" ht="18.75" x14ac:dyDescent="0.25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7"/>
      <c r="N575" s="127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</row>
    <row r="576" spans="1:41" ht="18.75" x14ac:dyDescent="0.25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7"/>
      <c r="N576" s="127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</row>
    <row r="577" spans="1:41" ht="18.75" x14ac:dyDescent="0.25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7"/>
      <c r="N577" s="127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</row>
    <row r="578" spans="1:41" ht="18.75" x14ac:dyDescent="0.25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7"/>
      <c r="N578" s="127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</row>
    <row r="579" spans="1:41" ht="18.75" x14ac:dyDescent="0.25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7"/>
      <c r="N579" s="127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</row>
    <row r="580" spans="1:41" ht="18.75" x14ac:dyDescent="0.25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7"/>
      <c r="N580" s="127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</row>
    <row r="581" spans="1:41" ht="18.75" x14ac:dyDescent="0.25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7"/>
      <c r="N581" s="127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</row>
    <row r="582" spans="1:41" ht="18.75" x14ac:dyDescent="0.25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7"/>
      <c r="N582" s="127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</row>
    <row r="583" spans="1:41" ht="18.75" x14ac:dyDescent="0.25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7"/>
      <c r="N583" s="127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</row>
    <row r="584" spans="1:41" ht="18.75" x14ac:dyDescent="0.25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7"/>
      <c r="N584" s="127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</row>
    <row r="585" spans="1:41" ht="18.75" x14ac:dyDescent="0.25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7"/>
      <c r="N585" s="127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</row>
    <row r="586" spans="1:41" ht="18.75" x14ac:dyDescent="0.25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7"/>
      <c r="N586" s="127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</row>
    <row r="587" spans="1:41" ht="18.75" x14ac:dyDescent="0.25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7"/>
      <c r="N587" s="127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</row>
    <row r="588" spans="1:41" ht="18.75" x14ac:dyDescent="0.25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7"/>
      <c r="N588" s="127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</row>
    <row r="589" spans="1:41" ht="18.75" x14ac:dyDescent="0.25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7"/>
      <c r="N589" s="127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</row>
    <row r="590" spans="1:41" ht="18.75" x14ac:dyDescent="0.25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7"/>
      <c r="N590" s="127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</row>
    <row r="591" spans="1:41" ht="18.75" x14ac:dyDescent="0.25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7"/>
      <c r="N591" s="127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</row>
    <row r="592" spans="1:41" ht="18.75" x14ac:dyDescent="0.25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7"/>
      <c r="N592" s="127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</row>
    <row r="593" spans="1:41" ht="18.75" x14ac:dyDescent="0.25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7"/>
      <c r="N593" s="127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</row>
    <row r="594" spans="1:41" ht="18.75" x14ac:dyDescent="0.25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7"/>
      <c r="N594" s="127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</row>
    <row r="595" spans="1:41" ht="18.75" x14ac:dyDescent="0.25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7"/>
      <c r="N595" s="127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</row>
    <row r="596" spans="1:41" ht="18.75" x14ac:dyDescent="0.25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7"/>
      <c r="N596" s="127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</row>
    <row r="597" spans="1:41" ht="18.75" x14ac:dyDescent="0.25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7"/>
      <c r="N597" s="127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</row>
    <row r="598" spans="1:41" ht="18.75" x14ac:dyDescent="0.25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7"/>
      <c r="N598" s="127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</row>
    <row r="599" spans="1:41" ht="18.75" x14ac:dyDescent="0.25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7"/>
      <c r="N599" s="127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</row>
    <row r="600" spans="1:41" ht="18.75" x14ac:dyDescent="0.25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7"/>
      <c r="N600" s="127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</row>
    <row r="601" spans="1:41" ht="18.75" x14ac:dyDescent="0.25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7"/>
      <c r="N601" s="127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</row>
    <row r="602" spans="1:41" ht="18.75" x14ac:dyDescent="0.25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7"/>
      <c r="N602" s="127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</row>
    <row r="603" spans="1:41" ht="18.75" x14ac:dyDescent="0.25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7"/>
      <c r="N603" s="127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</row>
    <row r="604" spans="1:41" ht="18.75" x14ac:dyDescent="0.25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7"/>
      <c r="N604" s="127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</row>
    <row r="605" spans="1:41" ht="18.75" x14ac:dyDescent="0.25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7"/>
      <c r="N605" s="127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</row>
    <row r="606" spans="1:41" ht="18.75" x14ac:dyDescent="0.25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7"/>
      <c r="N606" s="127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</row>
    <row r="607" spans="1:41" ht="18.75" x14ac:dyDescent="0.25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7"/>
      <c r="N607" s="127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</row>
    <row r="608" spans="1:41" ht="18.75" x14ac:dyDescent="0.25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7"/>
      <c r="N608" s="127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</row>
    <row r="609" spans="1:41" ht="18.75" x14ac:dyDescent="0.25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7"/>
      <c r="N609" s="127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</row>
    <row r="610" spans="1:41" ht="18.75" x14ac:dyDescent="0.25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7"/>
      <c r="N610" s="127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</row>
    <row r="611" spans="1:41" ht="18.75" x14ac:dyDescent="0.25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7"/>
      <c r="N611" s="127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</row>
    <row r="612" spans="1:41" ht="18.75" x14ac:dyDescent="0.25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7"/>
      <c r="N612" s="127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</row>
    <row r="613" spans="1:41" ht="18.75" x14ac:dyDescent="0.25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7"/>
      <c r="N613" s="127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</row>
    <row r="614" spans="1:41" ht="18.75" x14ac:dyDescent="0.25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7"/>
      <c r="N614" s="127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</row>
    <row r="615" spans="1:41" ht="18.75" x14ac:dyDescent="0.25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7"/>
      <c r="N615" s="127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</row>
    <row r="616" spans="1:41" ht="18.75" x14ac:dyDescent="0.25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7"/>
      <c r="N616" s="127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</row>
    <row r="617" spans="1:41" ht="18.75" x14ac:dyDescent="0.25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7"/>
      <c r="N617" s="127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</row>
    <row r="618" spans="1:41" ht="18.75" x14ac:dyDescent="0.25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7"/>
      <c r="N618" s="127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</row>
    <row r="619" spans="1:41" ht="18.75" x14ac:dyDescent="0.25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7"/>
      <c r="N619" s="127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</row>
    <row r="620" spans="1:41" ht="18.75" x14ac:dyDescent="0.25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7"/>
      <c r="N620" s="127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</row>
    <row r="621" spans="1:41" ht="18.75" x14ac:dyDescent="0.25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7"/>
      <c r="N621" s="127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</row>
    <row r="622" spans="1:41" ht="18.75" x14ac:dyDescent="0.25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7"/>
      <c r="N622" s="127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</row>
    <row r="623" spans="1:41" ht="18.75" x14ac:dyDescent="0.25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7"/>
      <c r="N623" s="127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</row>
    <row r="624" spans="1:41" ht="18.75" x14ac:dyDescent="0.25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7"/>
      <c r="N624" s="127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</row>
    <row r="625" spans="1:41" ht="18.75" x14ac:dyDescent="0.25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7"/>
      <c r="N625" s="127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</row>
    <row r="626" spans="1:41" ht="18.75" x14ac:dyDescent="0.25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7"/>
      <c r="N626" s="127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</row>
    <row r="627" spans="1:41" ht="18.75" x14ac:dyDescent="0.25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7"/>
      <c r="N627" s="127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</row>
    <row r="628" spans="1:41" ht="18.75" x14ac:dyDescent="0.25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7"/>
      <c r="N628" s="127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</row>
    <row r="629" spans="1:41" ht="18.75" x14ac:dyDescent="0.25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7"/>
      <c r="N629" s="127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</row>
    <row r="630" spans="1:41" ht="18.75" x14ac:dyDescent="0.25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7"/>
      <c r="N630" s="127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</row>
    <row r="631" spans="1:41" ht="18.75" x14ac:dyDescent="0.25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7"/>
      <c r="N631" s="127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</row>
    <row r="632" spans="1:41" ht="18.75" x14ac:dyDescent="0.25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7"/>
      <c r="N632" s="127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</row>
    <row r="633" spans="1:41" ht="18.75" x14ac:dyDescent="0.25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7"/>
      <c r="N633" s="127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</row>
    <row r="634" spans="1:41" ht="18.75" x14ac:dyDescent="0.25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7"/>
      <c r="N634" s="127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</row>
    <row r="635" spans="1:41" ht="18.75" x14ac:dyDescent="0.25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7"/>
      <c r="N635" s="127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</row>
    <row r="636" spans="1:41" ht="18.75" x14ac:dyDescent="0.25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7"/>
      <c r="N636" s="127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</row>
    <row r="637" spans="1:41" ht="18.75" x14ac:dyDescent="0.25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7"/>
      <c r="N637" s="127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</row>
    <row r="638" spans="1:41" ht="18.75" x14ac:dyDescent="0.25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7"/>
      <c r="N638" s="127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</row>
    <row r="639" spans="1:41" ht="18.75" x14ac:dyDescent="0.25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7"/>
      <c r="N639" s="127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</row>
    <row r="640" spans="1:41" ht="18.75" x14ac:dyDescent="0.25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7"/>
      <c r="N640" s="127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</row>
    <row r="641" spans="1:41" ht="18.75" x14ac:dyDescent="0.25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7"/>
      <c r="N641" s="127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</row>
    <row r="642" spans="1:41" ht="18.75" x14ac:dyDescent="0.25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7"/>
      <c r="N642" s="127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</row>
    <row r="643" spans="1:41" ht="18.75" x14ac:dyDescent="0.25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7"/>
      <c r="N643" s="127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</row>
    <row r="644" spans="1:41" ht="18.75" x14ac:dyDescent="0.25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7"/>
      <c r="N644" s="127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</row>
    <row r="645" spans="1:41" ht="18.75" x14ac:dyDescent="0.25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7"/>
      <c r="N645" s="127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</row>
    <row r="646" spans="1:41" ht="18.75" x14ac:dyDescent="0.25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7"/>
      <c r="N646" s="127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</row>
    <row r="647" spans="1:41" ht="18.75" x14ac:dyDescent="0.25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7"/>
      <c r="N647" s="127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</row>
    <row r="648" spans="1:41" ht="18.75" x14ac:dyDescent="0.25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7"/>
      <c r="N648" s="127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</row>
    <row r="649" spans="1:41" ht="18.75" x14ac:dyDescent="0.25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7"/>
      <c r="N649" s="127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</row>
    <row r="650" spans="1:41" ht="18.75" x14ac:dyDescent="0.25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7"/>
      <c r="N650" s="127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</row>
    <row r="651" spans="1:41" ht="18.75" x14ac:dyDescent="0.25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7"/>
      <c r="N651" s="127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</row>
    <row r="652" spans="1:41" ht="18.75" x14ac:dyDescent="0.25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7"/>
      <c r="N652" s="127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</row>
    <row r="653" spans="1:41" ht="18.75" x14ac:dyDescent="0.25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7"/>
      <c r="N653" s="127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</row>
    <row r="654" spans="1:41" ht="18.75" x14ac:dyDescent="0.25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7"/>
      <c r="N654" s="127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</row>
    <row r="655" spans="1:41" ht="18.75" x14ac:dyDescent="0.25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7"/>
      <c r="N655" s="127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</row>
    <row r="656" spans="1:41" ht="18.75" x14ac:dyDescent="0.25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7"/>
      <c r="N656" s="127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</row>
    <row r="657" spans="1:41" ht="18.75" x14ac:dyDescent="0.25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7"/>
      <c r="N657" s="127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</row>
    <row r="658" spans="1:41" ht="18.75" x14ac:dyDescent="0.25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7"/>
      <c r="N658" s="127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</row>
    <row r="659" spans="1:41" ht="18.75" x14ac:dyDescent="0.25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7"/>
      <c r="N659" s="127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</row>
    <row r="660" spans="1:41" ht="18.75" x14ac:dyDescent="0.25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7"/>
      <c r="N660" s="127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</row>
    <row r="661" spans="1:41" ht="18.75" x14ac:dyDescent="0.25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7"/>
      <c r="N661" s="127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</row>
    <row r="662" spans="1:41" ht="18.75" x14ac:dyDescent="0.25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7"/>
      <c r="N662" s="127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</row>
    <row r="663" spans="1:41" ht="18.75" x14ac:dyDescent="0.25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7"/>
      <c r="N663" s="127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</row>
    <row r="664" spans="1:41" ht="18.75" x14ac:dyDescent="0.25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7"/>
      <c r="N664" s="127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</row>
    <row r="665" spans="1:41" ht="18.75" x14ac:dyDescent="0.25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7"/>
      <c r="N665" s="127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</row>
    <row r="666" spans="1:41" ht="18.75" x14ac:dyDescent="0.25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7"/>
      <c r="N666" s="127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</row>
    <row r="667" spans="1:41" ht="18.75" x14ac:dyDescent="0.25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7"/>
      <c r="N667" s="127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</row>
    <row r="668" spans="1:41" ht="18.75" x14ac:dyDescent="0.25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7"/>
      <c r="N668" s="127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</row>
    <row r="669" spans="1:41" ht="18.75" x14ac:dyDescent="0.25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7"/>
      <c r="N669" s="127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</row>
    <row r="670" spans="1:41" ht="18.75" x14ac:dyDescent="0.25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7"/>
      <c r="N670" s="127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</row>
    <row r="671" spans="1:41" ht="18.75" x14ac:dyDescent="0.25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7"/>
      <c r="N671" s="127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</row>
    <row r="672" spans="1:41" ht="18.75" x14ac:dyDescent="0.25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7"/>
      <c r="N672" s="127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</row>
    <row r="673" spans="1:41" ht="18.75" x14ac:dyDescent="0.25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7"/>
      <c r="N673" s="127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</row>
    <row r="674" spans="1:41" ht="18.75" x14ac:dyDescent="0.25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7"/>
      <c r="N674" s="127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</row>
    <row r="675" spans="1:41" ht="18.75" x14ac:dyDescent="0.25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7"/>
      <c r="N675" s="127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</row>
    <row r="676" spans="1:41" ht="18.75" x14ac:dyDescent="0.25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7"/>
      <c r="N676" s="127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</row>
    <row r="677" spans="1:41" ht="18.75" x14ac:dyDescent="0.25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7"/>
      <c r="N677" s="127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</row>
    <row r="678" spans="1:41" ht="18.75" x14ac:dyDescent="0.25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7"/>
      <c r="N678" s="127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</row>
    <row r="679" spans="1:41" ht="18.75" x14ac:dyDescent="0.25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7"/>
      <c r="N679" s="127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</row>
    <row r="680" spans="1:41" ht="18.75" x14ac:dyDescent="0.25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7"/>
      <c r="N680" s="127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</row>
    <row r="681" spans="1:41" ht="18.75" x14ac:dyDescent="0.25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7"/>
      <c r="N681" s="127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</row>
    <row r="682" spans="1:41" ht="18.75" x14ac:dyDescent="0.25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7"/>
      <c r="N682" s="127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</row>
    <row r="683" spans="1:41" ht="18.75" x14ac:dyDescent="0.25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7"/>
      <c r="N683" s="127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</row>
    <row r="684" spans="1:41" ht="18.75" x14ac:dyDescent="0.25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7"/>
      <c r="N684" s="127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</row>
    <row r="685" spans="1:41" ht="18.75" x14ac:dyDescent="0.25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7"/>
      <c r="N685" s="127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</row>
    <row r="686" spans="1:41" ht="18.75" x14ac:dyDescent="0.25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7"/>
      <c r="N686" s="127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</row>
    <row r="687" spans="1:41" ht="18.75" x14ac:dyDescent="0.25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7"/>
      <c r="N687" s="127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</row>
    <row r="688" spans="1:41" ht="18.75" x14ac:dyDescent="0.25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7"/>
      <c r="N688" s="127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</row>
    <row r="689" spans="1:41" ht="18.75" x14ac:dyDescent="0.25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7"/>
      <c r="N689" s="127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</row>
    <row r="690" spans="1:41" ht="18.75" x14ac:dyDescent="0.25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7"/>
      <c r="N690" s="127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</row>
    <row r="691" spans="1:41" ht="18.75" x14ac:dyDescent="0.25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7"/>
      <c r="N691" s="127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</row>
    <row r="692" spans="1:41" ht="18.75" x14ac:dyDescent="0.25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7"/>
      <c r="N692" s="127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</row>
    <row r="693" spans="1:41" ht="18.75" x14ac:dyDescent="0.25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7"/>
      <c r="N693" s="127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</row>
    <row r="694" spans="1:41" ht="18.75" x14ac:dyDescent="0.25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7"/>
      <c r="N694" s="127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</row>
    <row r="695" spans="1:41" ht="18.75" x14ac:dyDescent="0.25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7"/>
      <c r="N695" s="127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</row>
    <row r="696" spans="1:41" ht="18.75" x14ac:dyDescent="0.25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7"/>
      <c r="N696" s="127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</row>
    <row r="697" spans="1:41" ht="18.75" x14ac:dyDescent="0.25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7"/>
      <c r="N697" s="127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</row>
    <row r="698" spans="1:41" ht="18.75" x14ac:dyDescent="0.25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7"/>
      <c r="N698" s="127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</row>
    <row r="699" spans="1:41" ht="18.75" x14ac:dyDescent="0.25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7"/>
      <c r="N699" s="127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</row>
    <row r="700" spans="1:41" ht="18.75" x14ac:dyDescent="0.25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7"/>
      <c r="N700" s="127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</row>
    <row r="701" spans="1:41" ht="18.75" x14ac:dyDescent="0.25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7"/>
      <c r="N701" s="127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</row>
    <row r="702" spans="1:41" ht="18.75" x14ac:dyDescent="0.25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7"/>
      <c r="N702" s="127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</row>
    <row r="703" spans="1:41" ht="18.75" x14ac:dyDescent="0.25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7"/>
      <c r="N703" s="127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</row>
    <row r="704" spans="1:41" ht="18.75" x14ac:dyDescent="0.25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7"/>
      <c r="N704" s="127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</row>
    <row r="705" spans="1:41" ht="18.75" x14ac:dyDescent="0.25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7"/>
      <c r="N705" s="127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</row>
    <row r="706" spans="1:41" ht="18.75" x14ac:dyDescent="0.25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7"/>
      <c r="N706" s="127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</row>
    <row r="707" spans="1:41" ht="18.75" x14ac:dyDescent="0.25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7"/>
      <c r="N707" s="127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</row>
    <row r="708" spans="1:41" ht="18.75" x14ac:dyDescent="0.25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7"/>
      <c r="N708" s="127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</row>
    <row r="709" spans="1:41" ht="18.75" x14ac:dyDescent="0.25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7"/>
      <c r="N709" s="127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</row>
    <row r="710" spans="1:41" ht="18.75" x14ac:dyDescent="0.25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7"/>
      <c r="N710" s="127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</row>
    <row r="711" spans="1:41" ht="18.75" x14ac:dyDescent="0.25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7"/>
      <c r="N711" s="127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</row>
    <row r="712" spans="1:41" ht="18.75" x14ac:dyDescent="0.25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7"/>
      <c r="N712" s="127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</row>
    <row r="713" spans="1:41" ht="18.75" x14ac:dyDescent="0.25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7"/>
      <c r="N713" s="127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</row>
    <row r="714" spans="1:41" ht="18.75" x14ac:dyDescent="0.25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7"/>
      <c r="N714" s="127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</row>
    <row r="715" spans="1:41" ht="18.75" x14ac:dyDescent="0.25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7"/>
      <c r="N715" s="127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</row>
    <row r="716" spans="1:41" ht="18.75" x14ac:dyDescent="0.25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7"/>
      <c r="N716" s="127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</row>
    <row r="717" spans="1:41" ht="18.75" x14ac:dyDescent="0.25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7"/>
      <c r="N717" s="127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</row>
    <row r="718" spans="1:41" ht="18.75" x14ac:dyDescent="0.25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7"/>
      <c r="N718" s="127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</row>
    <row r="719" spans="1:41" ht="18.75" x14ac:dyDescent="0.25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7"/>
      <c r="N719" s="127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</row>
    <row r="720" spans="1:41" ht="18.75" x14ac:dyDescent="0.25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7"/>
      <c r="N720" s="127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</row>
    <row r="721" spans="1:41" ht="18.75" x14ac:dyDescent="0.25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7"/>
      <c r="N721" s="127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</row>
    <row r="722" spans="1:41" ht="18.75" x14ac:dyDescent="0.25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7"/>
      <c r="N722" s="127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</row>
    <row r="723" spans="1:41" ht="18.75" x14ac:dyDescent="0.25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7"/>
      <c r="N723" s="127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</row>
    <row r="724" spans="1:41" ht="18.75" x14ac:dyDescent="0.25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7"/>
      <c r="N724" s="127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</row>
    <row r="725" spans="1:41" ht="18.75" x14ac:dyDescent="0.25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7"/>
      <c r="N725" s="127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</row>
    <row r="726" spans="1:41" ht="18.75" x14ac:dyDescent="0.25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7"/>
      <c r="N726" s="127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</row>
    <row r="727" spans="1:41" ht="18.75" x14ac:dyDescent="0.25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7"/>
      <c r="N727" s="127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</row>
    <row r="728" spans="1:41" ht="18.75" x14ac:dyDescent="0.25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7"/>
      <c r="N728" s="127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</row>
    <row r="729" spans="1:41" ht="18.75" x14ac:dyDescent="0.25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7"/>
      <c r="N729" s="127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</row>
    <row r="730" spans="1:41" ht="18.75" x14ac:dyDescent="0.25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7"/>
      <c r="N730" s="127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</row>
    <row r="731" spans="1:41" ht="18.75" x14ac:dyDescent="0.25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7"/>
      <c r="N731" s="127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</row>
    <row r="732" spans="1:41" ht="18.75" x14ac:dyDescent="0.25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7"/>
      <c r="N732" s="127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</row>
    <row r="733" spans="1:41" ht="18.75" x14ac:dyDescent="0.25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7"/>
      <c r="N733" s="127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</row>
    <row r="734" spans="1:41" ht="18.75" x14ac:dyDescent="0.25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7"/>
      <c r="N734" s="127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</row>
    <row r="735" spans="1:41" ht="18.75" x14ac:dyDescent="0.25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7"/>
      <c r="N735" s="127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</row>
    <row r="736" spans="1:41" ht="18.75" x14ac:dyDescent="0.25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7"/>
      <c r="N736" s="127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</row>
    <row r="737" spans="1:41" ht="18.75" x14ac:dyDescent="0.25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7"/>
      <c r="N737" s="127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</row>
    <row r="738" spans="1:41" ht="18.75" x14ac:dyDescent="0.25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7"/>
      <c r="N738" s="127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</row>
    <row r="739" spans="1:41" ht="18.75" x14ac:dyDescent="0.25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7"/>
      <c r="N739" s="127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</row>
    <row r="740" spans="1:41" ht="18.75" x14ac:dyDescent="0.25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7"/>
      <c r="N740" s="127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</row>
    <row r="741" spans="1:41" ht="18.75" x14ac:dyDescent="0.25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7"/>
      <c r="N741" s="127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</row>
    <row r="742" spans="1:41" ht="18.75" x14ac:dyDescent="0.25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7"/>
      <c r="N742" s="127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</row>
    <row r="743" spans="1:41" ht="18.75" x14ac:dyDescent="0.25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7"/>
      <c r="N743" s="127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</row>
    <row r="744" spans="1:41" ht="18.75" x14ac:dyDescent="0.25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7"/>
      <c r="N744" s="127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</row>
    <row r="745" spans="1:41" ht="18.75" x14ac:dyDescent="0.25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7"/>
      <c r="N745" s="127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</row>
    <row r="746" spans="1:41" ht="18.75" x14ac:dyDescent="0.25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7"/>
      <c r="N746" s="127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</row>
    <row r="747" spans="1:41" ht="18.75" x14ac:dyDescent="0.25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7"/>
      <c r="N747" s="127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</row>
    <row r="748" spans="1:41" ht="18.75" x14ac:dyDescent="0.25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7"/>
      <c r="N748" s="127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</row>
    <row r="749" spans="1:41" ht="18.75" x14ac:dyDescent="0.25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7"/>
      <c r="N749" s="127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</row>
    <row r="750" spans="1:41" ht="18.75" x14ac:dyDescent="0.25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7"/>
      <c r="N750" s="127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</row>
    <row r="751" spans="1:41" ht="18.75" x14ac:dyDescent="0.25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7"/>
      <c r="N751" s="127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</row>
    <row r="752" spans="1:41" ht="18.75" x14ac:dyDescent="0.25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7"/>
      <c r="N752" s="127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</row>
    <row r="753" spans="1:41" ht="18.75" x14ac:dyDescent="0.25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7"/>
      <c r="N753" s="127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</row>
    <row r="754" spans="1:41" ht="18.75" x14ac:dyDescent="0.25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7"/>
      <c r="N754" s="127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</row>
    <row r="755" spans="1:41" ht="18.75" x14ac:dyDescent="0.25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7"/>
      <c r="N755" s="127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</row>
    <row r="756" spans="1:41" ht="18.75" x14ac:dyDescent="0.25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7"/>
      <c r="N756" s="127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</row>
    <row r="757" spans="1:41" ht="18.75" x14ac:dyDescent="0.25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7"/>
      <c r="N757" s="127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</row>
    <row r="758" spans="1:41" ht="18.75" x14ac:dyDescent="0.25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7"/>
      <c r="N758" s="127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</row>
    <row r="759" spans="1:41" ht="18.75" x14ac:dyDescent="0.25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7"/>
      <c r="N759" s="127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</row>
    <row r="760" spans="1:41" ht="18.75" x14ac:dyDescent="0.25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7"/>
      <c r="N760" s="127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</row>
    <row r="761" spans="1:41" ht="18.75" x14ac:dyDescent="0.25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7"/>
      <c r="N761" s="127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</row>
    <row r="762" spans="1:41" ht="18.75" x14ac:dyDescent="0.25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7"/>
      <c r="N762" s="127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</row>
    <row r="763" spans="1:41" ht="18.75" x14ac:dyDescent="0.25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7"/>
      <c r="N763" s="127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</row>
    <row r="764" spans="1:41" ht="18.75" x14ac:dyDescent="0.25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7"/>
      <c r="N764" s="127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</row>
    <row r="765" spans="1:41" ht="18.75" x14ac:dyDescent="0.25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7"/>
      <c r="N765" s="127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</row>
    <row r="766" spans="1:41" ht="18.75" x14ac:dyDescent="0.25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7"/>
      <c r="N766" s="127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</row>
    <row r="767" spans="1:41" ht="18.75" x14ac:dyDescent="0.25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7"/>
      <c r="N767" s="127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</row>
    <row r="768" spans="1:41" ht="18.75" x14ac:dyDescent="0.25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7"/>
      <c r="N768" s="127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</row>
    <row r="769" spans="1:41" ht="18.75" x14ac:dyDescent="0.25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7"/>
      <c r="N769" s="127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</row>
    <row r="770" spans="1:41" ht="18.75" x14ac:dyDescent="0.25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7"/>
      <c r="N770" s="127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</row>
    <row r="771" spans="1:41" ht="18.75" x14ac:dyDescent="0.25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7"/>
      <c r="N771" s="127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</row>
    <row r="772" spans="1:41" ht="18.75" x14ac:dyDescent="0.25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7"/>
      <c r="N772" s="127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</row>
    <row r="773" spans="1:41" ht="18.75" x14ac:dyDescent="0.25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7"/>
      <c r="N773" s="127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</row>
    <row r="774" spans="1:41" ht="18.75" x14ac:dyDescent="0.25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7"/>
      <c r="N774" s="127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</row>
    <row r="775" spans="1:41" ht="18.75" x14ac:dyDescent="0.25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7"/>
      <c r="N775" s="127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</row>
    <row r="776" spans="1:41" ht="18.75" x14ac:dyDescent="0.25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7"/>
      <c r="N776" s="127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</row>
    <row r="777" spans="1:41" ht="18.75" x14ac:dyDescent="0.25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7"/>
      <c r="N777" s="127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</row>
    <row r="778" spans="1:41" ht="18.75" x14ac:dyDescent="0.25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7"/>
      <c r="N778" s="127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</row>
    <row r="779" spans="1:41" ht="18.75" x14ac:dyDescent="0.25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7"/>
      <c r="N779" s="127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</row>
    <row r="780" spans="1:41" ht="18.75" x14ac:dyDescent="0.25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7"/>
      <c r="N780" s="127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</row>
    <row r="781" spans="1:41" ht="18.75" x14ac:dyDescent="0.25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7"/>
      <c r="N781" s="127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</row>
    <row r="782" spans="1:41" ht="18.75" x14ac:dyDescent="0.25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7"/>
      <c r="N782" s="127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</row>
    <row r="783" spans="1:41" ht="18.75" x14ac:dyDescent="0.25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7"/>
      <c r="N783" s="127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</row>
    <row r="784" spans="1:41" ht="18.75" x14ac:dyDescent="0.25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7"/>
      <c r="N784" s="127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</row>
    <row r="785" spans="1:41" ht="18.75" x14ac:dyDescent="0.25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7"/>
      <c r="N785" s="127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</row>
    <row r="786" spans="1:41" ht="18.75" x14ac:dyDescent="0.25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7"/>
      <c r="N786" s="127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</row>
    <row r="787" spans="1:41" ht="18.75" x14ac:dyDescent="0.25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7"/>
      <c r="N787" s="127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</row>
    <row r="788" spans="1:41" ht="18.75" x14ac:dyDescent="0.25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7"/>
      <c r="N788" s="127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</row>
    <row r="789" spans="1:41" ht="18.75" x14ac:dyDescent="0.25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7"/>
      <c r="N789" s="127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</row>
    <row r="790" spans="1:41" ht="18.75" x14ac:dyDescent="0.25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7"/>
      <c r="N790" s="127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</row>
    <row r="791" spans="1:41" ht="18.75" x14ac:dyDescent="0.25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7"/>
      <c r="N791" s="127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</row>
    <row r="792" spans="1:41" ht="18.75" x14ac:dyDescent="0.25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7"/>
      <c r="N792" s="127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</row>
    <row r="793" spans="1:41" ht="18.75" x14ac:dyDescent="0.25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7"/>
      <c r="N793" s="127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</row>
    <row r="794" spans="1:41" ht="18.75" x14ac:dyDescent="0.25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7"/>
      <c r="N794" s="127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</row>
    <row r="795" spans="1:41" ht="18.75" x14ac:dyDescent="0.25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7"/>
      <c r="N795" s="127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</row>
    <row r="796" spans="1:41" ht="18.75" x14ac:dyDescent="0.25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7"/>
      <c r="N796" s="127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</row>
    <row r="797" spans="1:41" ht="18.75" x14ac:dyDescent="0.25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7"/>
      <c r="N797" s="127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</row>
    <row r="798" spans="1:41" ht="18.75" x14ac:dyDescent="0.25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7"/>
      <c r="N798" s="127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</row>
    <row r="799" spans="1:41" ht="18.75" x14ac:dyDescent="0.25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7"/>
      <c r="N799" s="127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</row>
    <row r="800" spans="1:41" ht="18.75" x14ac:dyDescent="0.25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7"/>
      <c r="N800" s="127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</row>
    <row r="801" spans="1:41" ht="18.75" x14ac:dyDescent="0.25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7"/>
      <c r="N801" s="127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</row>
    <row r="802" spans="1:41" ht="18.75" x14ac:dyDescent="0.25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7"/>
      <c r="N802" s="127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</row>
    <row r="803" spans="1:41" ht="18.75" x14ac:dyDescent="0.25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7"/>
      <c r="N803" s="127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</row>
    <row r="804" spans="1:41" ht="18.75" x14ac:dyDescent="0.25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7"/>
      <c r="N804" s="127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</row>
    <row r="805" spans="1:41" ht="18.75" x14ac:dyDescent="0.25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7"/>
      <c r="N805" s="127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</row>
    <row r="806" spans="1:41" ht="18.75" x14ac:dyDescent="0.25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7"/>
      <c r="N806" s="127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</row>
    <row r="807" spans="1:41" ht="18.75" x14ac:dyDescent="0.25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7"/>
      <c r="N807" s="127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</row>
    <row r="808" spans="1:41" ht="18.75" x14ac:dyDescent="0.25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7"/>
      <c r="N808" s="127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</row>
    <row r="809" spans="1:41" ht="18.75" x14ac:dyDescent="0.25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7"/>
      <c r="N809" s="127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</row>
    <row r="810" spans="1:41" ht="18.75" x14ac:dyDescent="0.25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7"/>
      <c r="N810" s="127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</row>
    <row r="811" spans="1:41" ht="18.75" x14ac:dyDescent="0.25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7"/>
      <c r="N811" s="127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</row>
    <row r="812" spans="1:41" ht="18.75" x14ac:dyDescent="0.25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7"/>
      <c r="N812" s="127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</row>
    <row r="813" spans="1:41" ht="18.75" x14ac:dyDescent="0.25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7"/>
      <c r="N813" s="127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</row>
    <row r="814" spans="1:41" ht="18.75" x14ac:dyDescent="0.25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7"/>
      <c r="N814" s="127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</row>
    <row r="815" spans="1:41" ht="18.75" x14ac:dyDescent="0.25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7"/>
      <c r="N815" s="127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</row>
    <row r="816" spans="1:41" ht="18.75" x14ac:dyDescent="0.25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7"/>
      <c r="N816" s="127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</row>
    <row r="817" spans="1:41" ht="18.75" x14ac:dyDescent="0.25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7"/>
      <c r="N817" s="127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</row>
    <row r="818" spans="1:41" ht="18.75" x14ac:dyDescent="0.25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7"/>
      <c r="N818" s="127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</row>
    <row r="819" spans="1:41" ht="18.75" x14ac:dyDescent="0.25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7"/>
      <c r="N819" s="127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</row>
    <row r="820" spans="1:41" ht="18.75" x14ac:dyDescent="0.25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7"/>
      <c r="N820" s="127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</row>
    <row r="821" spans="1:41" ht="18.75" x14ac:dyDescent="0.25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7"/>
      <c r="N821" s="127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</row>
    <row r="822" spans="1:41" ht="18.75" x14ac:dyDescent="0.25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7"/>
      <c r="N822" s="127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</row>
    <row r="823" spans="1:41" ht="18.75" x14ac:dyDescent="0.25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7"/>
      <c r="N823" s="127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</row>
    <row r="824" spans="1:41" ht="18.75" x14ac:dyDescent="0.25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7"/>
      <c r="N824" s="127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</row>
    <row r="825" spans="1:41" ht="18.75" x14ac:dyDescent="0.25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7"/>
      <c r="N825" s="127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</row>
    <row r="826" spans="1:41" ht="18.75" x14ac:dyDescent="0.25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7"/>
      <c r="N826" s="127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</row>
    <row r="827" spans="1:41" ht="18.75" x14ac:dyDescent="0.25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7"/>
      <c r="N827" s="127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</row>
    <row r="828" spans="1:41" ht="18.75" x14ac:dyDescent="0.25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7"/>
      <c r="N828" s="127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</row>
    <row r="829" spans="1:41" ht="18.75" x14ac:dyDescent="0.25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7"/>
      <c r="N829" s="127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</row>
    <row r="830" spans="1:41" ht="18.75" x14ac:dyDescent="0.25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7"/>
      <c r="N830" s="127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</row>
    <row r="831" spans="1:41" ht="18.75" x14ac:dyDescent="0.25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7"/>
      <c r="N831" s="127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</row>
    <row r="832" spans="1:41" ht="18.75" x14ac:dyDescent="0.25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7"/>
      <c r="N832" s="127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</row>
    <row r="833" spans="1:41" ht="18.75" x14ac:dyDescent="0.25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7"/>
      <c r="N833" s="127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</row>
    <row r="834" spans="1:41" ht="18.75" x14ac:dyDescent="0.25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7"/>
      <c r="N834" s="127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</row>
    <row r="835" spans="1:41" ht="18.75" x14ac:dyDescent="0.25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7"/>
      <c r="N835" s="127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</row>
    <row r="836" spans="1:41" ht="18.75" x14ac:dyDescent="0.25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7"/>
      <c r="N836" s="127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</row>
    <row r="837" spans="1:41" ht="18.75" x14ac:dyDescent="0.25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7"/>
      <c r="N837" s="127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</row>
    <row r="838" spans="1:41" ht="18.75" x14ac:dyDescent="0.25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7"/>
      <c r="N838" s="127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</row>
    <row r="839" spans="1:41" ht="18.75" x14ac:dyDescent="0.25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7"/>
      <c r="N839" s="127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</row>
    <row r="840" spans="1:41" ht="18.75" x14ac:dyDescent="0.25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7"/>
      <c r="N840" s="127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</row>
    <row r="841" spans="1:41" ht="18.75" x14ac:dyDescent="0.25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7"/>
      <c r="N841" s="127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</row>
    <row r="842" spans="1:41" ht="18.75" x14ac:dyDescent="0.25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7"/>
      <c r="N842" s="127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</row>
    <row r="843" spans="1:41" ht="18.75" x14ac:dyDescent="0.25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7"/>
      <c r="N843" s="127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</row>
    <row r="844" spans="1:41" ht="18.75" x14ac:dyDescent="0.25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7"/>
      <c r="N844" s="127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</row>
    <row r="845" spans="1:41" ht="18.75" x14ac:dyDescent="0.25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7"/>
      <c r="N845" s="127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</row>
    <row r="846" spans="1:41" ht="18.75" x14ac:dyDescent="0.25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7"/>
      <c r="N846" s="127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</row>
    <row r="847" spans="1:41" ht="18.75" x14ac:dyDescent="0.25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7"/>
      <c r="N847" s="127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</row>
    <row r="848" spans="1:41" ht="18.75" x14ac:dyDescent="0.25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7"/>
      <c r="N848" s="127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</row>
    <row r="849" spans="1:41" ht="18.75" x14ac:dyDescent="0.25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7"/>
      <c r="N849" s="127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</row>
    <row r="850" spans="1:41" ht="18.75" x14ac:dyDescent="0.25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7"/>
      <c r="N850" s="127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</row>
    <row r="851" spans="1:41" ht="18.75" x14ac:dyDescent="0.25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7"/>
      <c r="N851" s="127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</row>
    <row r="852" spans="1:41" ht="18.75" x14ac:dyDescent="0.25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7"/>
      <c r="N852" s="127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</row>
    <row r="853" spans="1:41" ht="18.75" x14ac:dyDescent="0.25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7"/>
      <c r="N853" s="127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</row>
    <row r="854" spans="1:41" ht="18.75" x14ac:dyDescent="0.25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7"/>
      <c r="N854" s="127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</row>
    <row r="855" spans="1:41" ht="18.75" x14ac:dyDescent="0.25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7"/>
      <c r="N855" s="127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</row>
    <row r="856" spans="1:41" ht="18.75" x14ac:dyDescent="0.25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7"/>
      <c r="N856" s="127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</row>
    <row r="857" spans="1:41" ht="18.75" x14ac:dyDescent="0.25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7"/>
      <c r="N857" s="127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</row>
    <row r="858" spans="1:41" ht="18.75" x14ac:dyDescent="0.25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7"/>
      <c r="N858" s="127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</row>
    <row r="859" spans="1:41" ht="18.75" x14ac:dyDescent="0.25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7"/>
      <c r="N859" s="127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</row>
    <row r="860" spans="1:41" ht="18.75" x14ac:dyDescent="0.25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7"/>
      <c r="N860" s="127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</row>
    <row r="861" spans="1:41" ht="18.75" x14ac:dyDescent="0.25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7"/>
      <c r="N861" s="127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</row>
    <row r="862" spans="1:41" ht="18.75" x14ac:dyDescent="0.25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7"/>
      <c r="N862" s="127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</row>
    <row r="863" spans="1:41" ht="18.75" x14ac:dyDescent="0.25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7"/>
      <c r="N863" s="127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</row>
    <row r="864" spans="1:41" ht="18.75" x14ac:dyDescent="0.25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7"/>
      <c r="N864" s="127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</row>
    <row r="865" spans="1:41" ht="18.75" x14ac:dyDescent="0.25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7"/>
      <c r="N865" s="127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</row>
    <row r="866" spans="1:41" ht="18.75" x14ac:dyDescent="0.25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7"/>
      <c r="N866" s="127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</row>
    <row r="867" spans="1:41" ht="18.75" x14ac:dyDescent="0.25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7"/>
      <c r="N867" s="127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</row>
    <row r="868" spans="1:41" ht="18.75" x14ac:dyDescent="0.25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7"/>
      <c r="N868" s="127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</row>
    <row r="869" spans="1:41" ht="18.75" x14ac:dyDescent="0.25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7"/>
      <c r="N869" s="127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</row>
    <row r="870" spans="1:41" ht="18.75" x14ac:dyDescent="0.25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7"/>
      <c r="N870" s="127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</row>
    <row r="871" spans="1:41" ht="18.75" x14ac:dyDescent="0.25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7"/>
      <c r="N871" s="127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</row>
    <row r="872" spans="1:41" ht="18.75" x14ac:dyDescent="0.25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7"/>
      <c r="N872" s="127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</row>
    <row r="873" spans="1:41" ht="18.75" x14ac:dyDescent="0.25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7"/>
      <c r="N873" s="127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</row>
    <row r="874" spans="1:41" ht="18.75" x14ac:dyDescent="0.25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7"/>
      <c r="N874" s="127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</row>
    <row r="875" spans="1:41" ht="18.75" x14ac:dyDescent="0.25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7"/>
      <c r="N875" s="127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</row>
    <row r="876" spans="1:41" ht="18.75" x14ac:dyDescent="0.25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7"/>
      <c r="N876" s="127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</row>
    <row r="877" spans="1:41" ht="18.75" x14ac:dyDescent="0.25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7"/>
      <c r="N877" s="127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</row>
    <row r="878" spans="1:41" ht="18.75" x14ac:dyDescent="0.25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7"/>
      <c r="N878" s="127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</row>
    <row r="879" spans="1:41" ht="18.75" x14ac:dyDescent="0.25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7"/>
      <c r="N879" s="127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</row>
    <row r="880" spans="1:41" ht="18.75" x14ac:dyDescent="0.25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7"/>
      <c r="N880" s="127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</row>
    <row r="881" spans="1:41" ht="18.75" x14ac:dyDescent="0.25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7"/>
      <c r="N881" s="127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</row>
    <row r="882" spans="1:41" ht="18.75" x14ac:dyDescent="0.25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7"/>
      <c r="N882" s="127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</row>
    <row r="883" spans="1:41" ht="18.75" x14ac:dyDescent="0.25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7"/>
      <c r="N883" s="127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</row>
    <row r="884" spans="1:41" ht="18.75" x14ac:dyDescent="0.25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7"/>
      <c r="N884" s="127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</row>
    <row r="885" spans="1:41" ht="18.75" x14ac:dyDescent="0.25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7"/>
      <c r="N885" s="127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</row>
    <row r="886" spans="1:41" ht="18.75" x14ac:dyDescent="0.25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7"/>
      <c r="N886" s="127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</row>
    <row r="887" spans="1:41" ht="18.75" x14ac:dyDescent="0.25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7"/>
      <c r="N887" s="127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</row>
    <row r="888" spans="1:41" ht="18.75" x14ac:dyDescent="0.25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7"/>
      <c r="N888" s="127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</row>
    <row r="889" spans="1:41" ht="18.75" x14ac:dyDescent="0.25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7"/>
      <c r="N889" s="127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</row>
    <row r="890" spans="1:41" ht="18.75" x14ac:dyDescent="0.25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7"/>
      <c r="N890" s="127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</row>
    <row r="891" spans="1:41" ht="18.75" x14ac:dyDescent="0.25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7"/>
      <c r="N891" s="127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</row>
    <row r="892" spans="1:41" ht="18.75" x14ac:dyDescent="0.25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7"/>
      <c r="N892" s="127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</row>
    <row r="893" spans="1:41" ht="18.75" x14ac:dyDescent="0.25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7"/>
      <c r="N893" s="127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</row>
    <row r="894" spans="1:41" ht="18.75" x14ac:dyDescent="0.25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7"/>
      <c r="N894" s="127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</row>
    <row r="895" spans="1:41" ht="18.75" x14ac:dyDescent="0.25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7"/>
      <c r="N895" s="127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</row>
    <row r="896" spans="1:41" ht="18.75" x14ac:dyDescent="0.25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7"/>
      <c r="N896" s="127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</row>
    <row r="897" spans="1:41" ht="18.75" x14ac:dyDescent="0.25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7"/>
      <c r="N897" s="127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</row>
    <row r="898" spans="1:41" ht="18.75" x14ac:dyDescent="0.25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7"/>
      <c r="N898" s="127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</row>
    <row r="899" spans="1:41" ht="18.75" x14ac:dyDescent="0.25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7"/>
      <c r="N899" s="127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</row>
    <row r="900" spans="1:41" ht="18.75" x14ac:dyDescent="0.25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7"/>
      <c r="N900" s="127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</row>
    <row r="901" spans="1:41" ht="18.75" x14ac:dyDescent="0.25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7"/>
      <c r="N901" s="127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</row>
    <row r="902" spans="1:41" ht="18.75" x14ac:dyDescent="0.25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7"/>
      <c r="N902" s="127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</row>
    <row r="903" spans="1:41" ht="18.75" x14ac:dyDescent="0.25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7"/>
      <c r="N903" s="127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</row>
    <row r="904" spans="1:41" ht="18.75" x14ac:dyDescent="0.25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7"/>
      <c r="N904" s="127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</row>
    <row r="905" spans="1:41" ht="18.75" x14ac:dyDescent="0.25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7"/>
      <c r="N905" s="127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</row>
    <row r="906" spans="1:41" ht="18.75" x14ac:dyDescent="0.25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7"/>
      <c r="N906" s="127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</row>
    <row r="907" spans="1:41" ht="18.75" x14ac:dyDescent="0.25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7"/>
      <c r="N907" s="127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</row>
    <row r="908" spans="1:41" ht="18.75" x14ac:dyDescent="0.25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7"/>
      <c r="N908" s="127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</row>
    <row r="909" spans="1:41" ht="18.75" x14ac:dyDescent="0.25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7"/>
      <c r="N909" s="127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</row>
    <row r="910" spans="1:41" ht="18.75" x14ac:dyDescent="0.25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7"/>
      <c r="N910" s="127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</row>
    <row r="911" spans="1:41" ht="18.75" x14ac:dyDescent="0.25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7"/>
      <c r="N911" s="127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</row>
    <row r="912" spans="1:41" ht="18.75" x14ac:dyDescent="0.25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7"/>
      <c r="N912" s="127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</row>
    <row r="913" spans="1:41" ht="18.75" x14ac:dyDescent="0.25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7"/>
      <c r="N913" s="127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</row>
    <row r="914" spans="1:41" ht="18.75" x14ac:dyDescent="0.25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7"/>
      <c r="N914" s="127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</row>
    <row r="915" spans="1:41" ht="18.75" x14ac:dyDescent="0.25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7"/>
      <c r="N915" s="127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</row>
    <row r="916" spans="1:41" ht="18.75" x14ac:dyDescent="0.25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7"/>
      <c r="N916" s="127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</row>
    <row r="917" spans="1:41" ht="18.75" x14ac:dyDescent="0.25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7"/>
      <c r="N917" s="127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</row>
    <row r="918" spans="1:41" ht="18.75" x14ac:dyDescent="0.25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7"/>
      <c r="N918" s="127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</row>
    <row r="919" spans="1:41" ht="18.75" x14ac:dyDescent="0.25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7"/>
      <c r="N919" s="127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</row>
    <row r="920" spans="1:41" ht="18.75" x14ac:dyDescent="0.25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7"/>
      <c r="N920" s="127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</row>
    <row r="921" spans="1:41" ht="18.75" x14ac:dyDescent="0.25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7"/>
      <c r="N921" s="127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</row>
    <row r="922" spans="1:41" ht="18.75" x14ac:dyDescent="0.25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7"/>
      <c r="N922" s="127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</row>
    <row r="923" spans="1:41" ht="18.75" x14ac:dyDescent="0.25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7"/>
      <c r="N923" s="127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</row>
    <row r="924" spans="1:41" ht="18.75" x14ac:dyDescent="0.25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7"/>
      <c r="N924" s="127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</row>
    <row r="925" spans="1:41" ht="18.75" x14ac:dyDescent="0.25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7"/>
      <c r="N925" s="127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</row>
    <row r="926" spans="1:41" ht="18.75" x14ac:dyDescent="0.25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7"/>
      <c r="N926" s="127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</row>
    <row r="927" spans="1:41" ht="18.75" x14ac:dyDescent="0.25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7"/>
      <c r="N927" s="127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</row>
    <row r="928" spans="1:41" ht="18.75" x14ac:dyDescent="0.25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7"/>
      <c r="N928" s="127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</row>
    <row r="929" spans="1:41" ht="18.75" x14ac:dyDescent="0.25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7"/>
      <c r="N929" s="127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</row>
    <row r="930" spans="1:41" ht="18.75" x14ac:dyDescent="0.25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7"/>
      <c r="N930" s="127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</row>
    <row r="931" spans="1:41" ht="18.75" x14ac:dyDescent="0.25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7"/>
      <c r="N931" s="127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</row>
    <row r="932" spans="1:41" ht="18.75" x14ac:dyDescent="0.25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7"/>
      <c r="N932" s="127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</row>
    <row r="933" spans="1:41" ht="18.75" x14ac:dyDescent="0.25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7"/>
      <c r="N933" s="127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</row>
    <row r="934" spans="1:41" ht="18.75" x14ac:dyDescent="0.25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7"/>
      <c r="N934" s="127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</row>
    <row r="935" spans="1:41" ht="18.75" x14ac:dyDescent="0.25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7"/>
      <c r="N935" s="127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</row>
    <row r="936" spans="1:41" ht="18.75" x14ac:dyDescent="0.25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7"/>
      <c r="N936" s="127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</row>
    <row r="937" spans="1:41" ht="18.75" x14ac:dyDescent="0.25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7"/>
      <c r="N937" s="127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</row>
    <row r="938" spans="1:41" ht="18.75" x14ac:dyDescent="0.25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7"/>
      <c r="N938" s="127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</row>
    <row r="939" spans="1:41" ht="18.75" x14ac:dyDescent="0.25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7"/>
      <c r="N939" s="127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</row>
    <row r="940" spans="1:41" ht="18.75" x14ac:dyDescent="0.25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7"/>
      <c r="N940" s="127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</row>
    <row r="941" spans="1:41" ht="18.75" x14ac:dyDescent="0.25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7"/>
      <c r="N941" s="127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</row>
    <row r="942" spans="1:41" ht="18.75" x14ac:dyDescent="0.25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7"/>
      <c r="N942" s="127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</row>
    <row r="943" spans="1:41" ht="18.75" x14ac:dyDescent="0.25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7"/>
      <c r="N943" s="127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</row>
    <row r="944" spans="1:41" ht="18.75" x14ac:dyDescent="0.25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7"/>
      <c r="N944" s="127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</row>
    <row r="945" spans="1:41" ht="18.75" x14ac:dyDescent="0.25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7"/>
      <c r="N945" s="127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</row>
    <row r="946" spans="1:41" ht="18.75" x14ac:dyDescent="0.25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7"/>
      <c r="N946" s="127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</row>
    <row r="947" spans="1:41" ht="18.75" x14ac:dyDescent="0.25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7"/>
      <c r="N947" s="127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</row>
    <row r="948" spans="1:41" ht="18.75" x14ac:dyDescent="0.25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7"/>
      <c r="N948" s="127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</row>
    <row r="949" spans="1:41" ht="18.75" x14ac:dyDescent="0.25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7"/>
      <c r="N949" s="127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</row>
    <row r="950" spans="1:41" ht="18.75" x14ac:dyDescent="0.25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7"/>
      <c r="N950" s="127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</row>
    <row r="951" spans="1:41" ht="18.75" x14ac:dyDescent="0.25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7"/>
      <c r="N951" s="127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</row>
    <row r="952" spans="1:41" ht="18.75" x14ac:dyDescent="0.25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7"/>
      <c r="N952" s="127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</row>
    <row r="953" spans="1:41" ht="18.75" x14ac:dyDescent="0.25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7"/>
      <c r="N953" s="127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</row>
    <row r="954" spans="1:41" ht="18.75" x14ac:dyDescent="0.25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7"/>
      <c r="N954" s="127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</row>
    <row r="955" spans="1:41" ht="18.75" x14ac:dyDescent="0.25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7"/>
      <c r="N955" s="127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</row>
    <row r="956" spans="1:41" ht="18.75" x14ac:dyDescent="0.25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7"/>
      <c r="N956" s="127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</row>
    <row r="957" spans="1:41" ht="18.75" x14ac:dyDescent="0.25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7"/>
      <c r="N957" s="127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</row>
    <row r="958" spans="1:41" ht="18.75" x14ac:dyDescent="0.25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7"/>
      <c r="N958" s="127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</row>
    <row r="959" spans="1:41" ht="18.75" x14ac:dyDescent="0.25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7"/>
      <c r="N959" s="127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</row>
    <row r="960" spans="1:41" ht="18.75" x14ac:dyDescent="0.25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7"/>
      <c r="N960" s="127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</row>
    <row r="961" spans="1:41" ht="18.75" x14ac:dyDescent="0.25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7"/>
      <c r="N961" s="127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</row>
    <row r="962" spans="1:41" ht="18.75" x14ac:dyDescent="0.25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7"/>
      <c r="N962" s="127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</row>
    <row r="963" spans="1:41" ht="18.75" x14ac:dyDescent="0.25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7"/>
      <c r="N963" s="127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</row>
    <row r="964" spans="1:41" ht="18.75" x14ac:dyDescent="0.25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7"/>
      <c r="N964" s="127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</row>
    <row r="965" spans="1:41" ht="18.75" x14ac:dyDescent="0.25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7"/>
      <c r="N965" s="127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</row>
    <row r="966" spans="1:41" ht="18.75" x14ac:dyDescent="0.25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7"/>
      <c r="N966" s="127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</row>
    <row r="967" spans="1:41" ht="18.75" x14ac:dyDescent="0.25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7"/>
      <c r="N967" s="127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</row>
    <row r="968" spans="1:41" ht="18.75" x14ac:dyDescent="0.25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7"/>
      <c r="N968" s="127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</row>
    <row r="969" spans="1:41" ht="18.75" x14ac:dyDescent="0.25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7"/>
      <c r="N969" s="127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</row>
    <row r="970" spans="1:41" ht="18.75" x14ac:dyDescent="0.25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7"/>
      <c r="N970" s="127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</row>
    <row r="971" spans="1:41" ht="18.75" x14ac:dyDescent="0.25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7"/>
      <c r="N971" s="127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</row>
    <row r="972" spans="1:41" ht="18.75" x14ac:dyDescent="0.25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7"/>
      <c r="N972" s="127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</row>
    <row r="973" spans="1:41" ht="18.75" x14ac:dyDescent="0.25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7"/>
      <c r="N973" s="127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</row>
    <row r="974" spans="1:41" ht="18.75" x14ac:dyDescent="0.25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7"/>
      <c r="N974" s="127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</row>
    <row r="975" spans="1:41" ht="18.75" x14ac:dyDescent="0.25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7"/>
      <c r="N975" s="127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</row>
    <row r="976" spans="1:41" ht="18.75" x14ac:dyDescent="0.25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7"/>
      <c r="N976" s="127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</row>
    <row r="977" spans="1:41" ht="18.75" x14ac:dyDescent="0.25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7"/>
      <c r="N977" s="127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</row>
    <row r="978" spans="1:41" ht="18.75" x14ac:dyDescent="0.25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7"/>
      <c r="N978" s="127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</row>
    <row r="979" spans="1:41" ht="18.75" x14ac:dyDescent="0.25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7"/>
      <c r="N979" s="127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</row>
    <row r="980" spans="1:41" ht="18.75" x14ac:dyDescent="0.25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7"/>
      <c r="N980" s="127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</row>
    <row r="981" spans="1:41" ht="18.75" x14ac:dyDescent="0.25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7"/>
      <c r="N981" s="127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</row>
    <row r="982" spans="1:41" ht="18.75" x14ac:dyDescent="0.25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7"/>
      <c r="N982" s="127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</row>
    <row r="983" spans="1:41" ht="18.75" x14ac:dyDescent="0.25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7"/>
      <c r="N983" s="127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</row>
    <row r="984" spans="1:41" ht="18.75" x14ac:dyDescent="0.25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7"/>
      <c r="N984" s="127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</row>
    <row r="985" spans="1:41" ht="18.75" x14ac:dyDescent="0.25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7"/>
      <c r="N985" s="127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</row>
    <row r="986" spans="1:41" ht="18.75" x14ac:dyDescent="0.25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7"/>
      <c r="N986" s="127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</row>
    <row r="987" spans="1:41" ht="18.75" x14ac:dyDescent="0.25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7"/>
      <c r="N987" s="127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</row>
    <row r="988" spans="1:41" ht="18.75" x14ac:dyDescent="0.25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7"/>
      <c r="N988" s="127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</row>
    <row r="989" spans="1:41" ht="18.75" x14ac:dyDescent="0.25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7"/>
      <c r="N989" s="127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</row>
    <row r="990" spans="1:41" ht="18.75" x14ac:dyDescent="0.25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7"/>
      <c r="N990" s="127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</row>
    <row r="991" spans="1:41" ht="18.75" x14ac:dyDescent="0.25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7"/>
      <c r="N991" s="127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</row>
    <row r="992" spans="1:41" ht="18.75" x14ac:dyDescent="0.25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7"/>
      <c r="N992" s="127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</row>
    <row r="993" spans="1:41" ht="18.75" x14ac:dyDescent="0.25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7"/>
      <c r="N993" s="127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</row>
    <row r="994" spans="1:41" ht="18.75" x14ac:dyDescent="0.25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7"/>
      <c r="N994" s="127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</row>
    <row r="995" spans="1:41" ht="18.75" x14ac:dyDescent="0.25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7"/>
      <c r="N995" s="127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</row>
    <row r="996" spans="1:41" ht="18.75" x14ac:dyDescent="0.25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7"/>
      <c r="N996" s="127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</row>
    <row r="997" spans="1:41" ht="18.75" x14ac:dyDescent="0.25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7"/>
      <c r="N997" s="127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</row>
    <row r="998" spans="1:41" ht="18.75" x14ac:dyDescent="0.25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7"/>
      <c r="N998" s="127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</row>
    <row r="999" spans="1:41" ht="18.75" x14ac:dyDescent="0.25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7"/>
      <c r="N999" s="127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</row>
    <row r="1000" spans="1:41" ht="12.75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</row>
  </sheetData>
  <mergeCells count="40">
    <mergeCell ref="AH3:AJ4"/>
    <mergeCell ref="AK3:AK4"/>
    <mergeCell ref="AL3:AL4"/>
    <mergeCell ref="AM3:AM4"/>
    <mergeCell ref="AN3:AN4"/>
    <mergeCell ref="A52:B52"/>
    <mergeCell ref="A74:B74"/>
    <mergeCell ref="A89:B89"/>
    <mergeCell ref="A104:B104"/>
    <mergeCell ref="C2:AO2"/>
    <mergeCell ref="O3:Q4"/>
    <mergeCell ref="R3:T4"/>
    <mergeCell ref="U3:W4"/>
    <mergeCell ref="X3:Y4"/>
    <mergeCell ref="AO3:AO4"/>
    <mergeCell ref="AI5:AJ5"/>
    <mergeCell ref="Z3:AA4"/>
    <mergeCell ref="AB3:AC4"/>
    <mergeCell ref="AD3:AE4"/>
    <mergeCell ref="AF3:AF4"/>
    <mergeCell ref="AG3:AG4"/>
    <mergeCell ref="AD5:AE5"/>
    <mergeCell ref="A2:B6"/>
    <mergeCell ref="A7:B7"/>
    <mergeCell ref="A13:B13"/>
    <mergeCell ref="A31:B31"/>
    <mergeCell ref="C5:C6"/>
    <mergeCell ref="D5:D6"/>
    <mergeCell ref="E5:E6"/>
    <mergeCell ref="F5:G5"/>
    <mergeCell ref="S5:T5"/>
    <mergeCell ref="V5:W5"/>
    <mergeCell ref="X5:Y5"/>
    <mergeCell ref="Z5:AA5"/>
    <mergeCell ref="AB5:AC5"/>
    <mergeCell ref="C3:N3"/>
    <mergeCell ref="C4:E4"/>
    <mergeCell ref="F4:N4"/>
    <mergeCell ref="M5:N5"/>
    <mergeCell ref="P5:Q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0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2" manualBreakCount="2">
    <brk id="14" max="1048575" man="1"/>
    <brk id="3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R1000"/>
  <sheetViews>
    <sheetView view="pageBreakPreview" zoomScale="60" zoomScaleNormal="100" workbookViewId="0">
      <pane xSplit="2" ySplit="7" topLeftCell="AU8" activePane="bottomRight" state="frozen"/>
      <selection activeCell="P71" sqref="P71"/>
      <selection pane="topRight" activeCell="P71" sqref="P71"/>
      <selection pane="bottomLeft" activeCell="P71" sqref="P71"/>
      <selection pane="bottomRight" activeCell="BG21" sqref="BG21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5.14062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28" width="13.85546875" customWidth="1"/>
    <col min="29" max="30" width="16.42578125" customWidth="1"/>
    <col min="31" max="41" width="13.85546875" customWidth="1"/>
    <col min="42" max="42" width="12.85546875" customWidth="1"/>
    <col min="43" max="43" width="12.140625" customWidth="1"/>
    <col min="44" max="44" width="11.42578125" customWidth="1"/>
    <col min="45" max="45" width="16.140625" customWidth="1"/>
    <col min="46" max="47" width="15.140625" customWidth="1"/>
    <col min="48" max="48" width="13" customWidth="1"/>
    <col min="49" max="49" width="14.140625" customWidth="1"/>
    <col min="50" max="50" width="13.7109375" customWidth="1"/>
    <col min="51" max="51" width="14.42578125" customWidth="1"/>
    <col min="52" max="52" width="13.7109375" customWidth="1"/>
    <col min="53" max="53" width="14.140625" customWidth="1"/>
    <col min="54" max="54" width="13" customWidth="1"/>
    <col min="55" max="55" width="12.28515625" customWidth="1"/>
    <col min="56" max="56" width="13.7109375" customWidth="1"/>
    <col min="57" max="58" width="14.140625" customWidth="1"/>
    <col min="59" max="60" width="13.28515625" customWidth="1"/>
    <col min="61" max="61" width="14" customWidth="1"/>
    <col min="62" max="70" width="15.140625" customWidth="1"/>
  </cols>
  <sheetData>
    <row r="1" spans="1:70" ht="24" customHeight="1" x14ac:dyDescent="0.3">
      <c r="A1" s="1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131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216"/>
      <c r="BK1" s="216"/>
      <c r="BL1" s="216"/>
      <c r="BM1" s="216"/>
      <c r="BN1" s="216"/>
      <c r="BO1" s="216"/>
      <c r="BP1" s="216"/>
      <c r="BQ1" s="216"/>
      <c r="BR1" s="216"/>
    </row>
    <row r="2" spans="1:70" ht="24" customHeight="1" x14ac:dyDescent="0.2">
      <c r="A2" s="342" t="s">
        <v>1</v>
      </c>
      <c r="B2" s="343"/>
      <c r="C2" s="334" t="s">
        <v>226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13"/>
      <c r="BJ2" s="285"/>
      <c r="BK2" s="285"/>
      <c r="BL2" s="285"/>
      <c r="BM2" s="285"/>
      <c r="BN2" s="285"/>
      <c r="BO2" s="285"/>
      <c r="BP2" s="285"/>
      <c r="BQ2" s="285"/>
      <c r="BR2" s="285"/>
    </row>
    <row r="3" spans="1:70" ht="30" customHeight="1" x14ac:dyDescent="0.2">
      <c r="A3" s="344"/>
      <c r="B3" s="343"/>
      <c r="C3" s="335" t="s">
        <v>3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13"/>
      <c r="O3" s="400" t="s">
        <v>227</v>
      </c>
      <c r="P3" s="337"/>
      <c r="Q3" s="312"/>
      <c r="R3" s="401" t="s">
        <v>228</v>
      </c>
      <c r="S3" s="337"/>
      <c r="T3" s="312"/>
      <c r="U3" s="362" t="s">
        <v>229</v>
      </c>
      <c r="V3" s="325"/>
      <c r="W3" s="325"/>
      <c r="X3" s="325"/>
      <c r="Y3" s="325"/>
      <c r="Z3" s="325"/>
      <c r="AA3" s="325"/>
      <c r="AB3" s="325"/>
      <c r="AC3" s="313"/>
      <c r="AD3" s="402" t="s">
        <v>230</v>
      </c>
      <c r="AE3" s="337"/>
      <c r="AF3" s="337"/>
      <c r="AG3" s="337"/>
      <c r="AH3" s="337"/>
      <c r="AI3" s="337"/>
      <c r="AJ3" s="337"/>
      <c r="AK3" s="337"/>
      <c r="AL3" s="337"/>
      <c r="AM3" s="337"/>
      <c r="AN3" s="312"/>
      <c r="AO3" s="402" t="s">
        <v>231</v>
      </c>
      <c r="AP3" s="337"/>
      <c r="AQ3" s="337"/>
      <c r="AR3" s="337"/>
      <c r="AS3" s="312"/>
      <c r="AT3" s="361" t="s">
        <v>232</v>
      </c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13"/>
      <c r="BJ3" s="361" t="s">
        <v>233</v>
      </c>
      <c r="BK3" s="325"/>
      <c r="BL3" s="325"/>
      <c r="BM3" s="325"/>
      <c r="BN3" s="325"/>
      <c r="BO3" s="325"/>
      <c r="BP3" s="325"/>
      <c r="BQ3" s="325"/>
      <c r="BR3" s="313"/>
    </row>
    <row r="4" spans="1:70" ht="60" customHeight="1" x14ac:dyDescent="0.3">
      <c r="A4" s="344"/>
      <c r="B4" s="343"/>
      <c r="C4" s="327" t="s">
        <v>8</v>
      </c>
      <c r="D4" s="325"/>
      <c r="E4" s="313"/>
      <c r="F4" s="328" t="s">
        <v>9</v>
      </c>
      <c r="G4" s="325"/>
      <c r="H4" s="325"/>
      <c r="I4" s="325"/>
      <c r="J4" s="325"/>
      <c r="K4" s="325"/>
      <c r="L4" s="325"/>
      <c r="M4" s="325"/>
      <c r="N4" s="313"/>
      <c r="O4" s="325"/>
      <c r="P4" s="325"/>
      <c r="Q4" s="313"/>
      <c r="R4" s="325"/>
      <c r="S4" s="325"/>
      <c r="T4" s="313"/>
      <c r="U4" s="362" t="s">
        <v>160</v>
      </c>
      <c r="V4" s="325"/>
      <c r="W4" s="313"/>
      <c r="X4" s="332" t="s">
        <v>234</v>
      </c>
      <c r="Y4" s="325"/>
      <c r="Z4" s="313"/>
      <c r="AA4" s="332" t="s">
        <v>235</v>
      </c>
      <c r="AB4" s="325"/>
      <c r="AC4" s="313"/>
      <c r="AD4" s="361" t="s">
        <v>160</v>
      </c>
      <c r="AE4" s="325"/>
      <c r="AF4" s="313"/>
      <c r="AG4" s="362" t="s">
        <v>236</v>
      </c>
      <c r="AH4" s="313"/>
      <c r="AI4" s="362" t="s">
        <v>237</v>
      </c>
      <c r="AJ4" s="325"/>
      <c r="AK4" s="313"/>
      <c r="AL4" s="362" t="s">
        <v>238</v>
      </c>
      <c r="AM4" s="325"/>
      <c r="AN4" s="313"/>
      <c r="AO4" s="325"/>
      <c r="AP4" s="325"/>
      <c r="AQ4" s="325"/>
      <c r="AR4" s="325"/>
      <c r="AS4" s="313"/>
      <c r="AT4" s="399" t="s">
        <v>160</v>
      </c>
      <c r="AU4" s="325"/>
      <c r="AV4" s="325"/>
      <c r="AW4" s="325"/>
      <c r="AX4" s="325"/>
      <c r="AY4" s="313"/>
      <c r="AZ4" s="362" t="s">
        <v>239</v>
      </c>
      <c r="BA4" s="325"/>
      <c r="BB4" s="325"/>
      <c r="BC4" s="325"/>
      <c r="BD4" s="313"/>
      <c r="BE4" s="362" t="s">
        <v>240</v>
      </c>
      <c r="BF4" s="325"/>
      <c r="BG4" s="325"/>
      <c r="BH4" s="325"/>
      <c r="BI4" s="313"/>
      <c r="BJ4" s="361" t="s">
        <v>160</v>
      </c>
      <c r="BK4" s="325"/>
      <c r="BL4" s="313"/>
      <c r="BM4" s="362" t="s">
        <v>241</v>
      </c>
      <c r="BN4" s="325"/>
      <c r="BO4" s="313"/>
      <c r="BP4" s="362" t="s">
        <v>242</v>
      </c>
      <c r="BQ4" s="325"/>
      <c r="BR4" s="313"/>
    </row>
    <row r="5" spans="1:70" ht="56.25" customHeight="1" x14ac:dyDescent="0.3">
      <c r="A5" s="344"/>
      <c r="B5" s="343"/>
      <c r="C5" s="409" t="s">
        <v>10</v>
      </c>
      <c r="D5" s="410" t="s">
        <v>11</v>
      </c>
      <c r="E5" s="411" t="s">
        <v>12</v>
      </c>
      <c r="F5" s="418" t="s">
        <v>13</v>
      </c>
      <c r="G5" s="412"/>
      <c r="H5" s="419" t="s">
        <v>14</v>
      </c>
      <c r="I5" s="420" t="s">
        <v>15</v>
      </c>
      <c r="J5" s="420" t="s">
        <v>16</v>
      </c>
      <c r="K5" s="420" t="s">
        <v>17</v>
      </c>
      <c r="L5" s="420" t="s">
        <v>18</v>
      </c>
      <c r="M5" s="421" t="s">
        <v>19</v>
      </c>
      <c r="N5" s="412"/>
      <c r="O5" s="286" t="s">
        <v>20</v>
      </c>
      <c r="P5" s="331" t="s">
        <v>21</v>
      </c>
      <c r="Q5" s="313"/>
      <c r="R5" s="136" t="s">
        <v>20</v>
      </c>
      <c r="S5" s="331" t="s">
        <v>21</v>
      </c>
      <c r="T5" s="313"/>
      <c r="U5" s="286" t="s">
        <v>20</v>
      </c>
      <c r="V5" s="331" t="s">
        <v>21</v>
      </c>
      <c r="W5" s="313"/>
      <c r="X5" s="331" t="s">
        <v>21</v>
      </c>
      <c r="Y5" s="325"/>
      <c r="Z5" s="313"/>
      <c r="AA5" s="331" t="s">
        <v>21</v>
      </c>
      <c r="AB5" s="325"/>
      <c r="AC5" s="313"/>
      <c r="AD5" s="287" t="s">
        <v>20</v>
      </c>
      <c r="AE5" s="331" t="s">
        <v>21</v>
      </c>
      <c r="AF5" s="313"/>
      <c r="AG5" s="331" t="s">
        <v>21</v>
      </c>
      <c r="AH5" s="313"/>
      <c r="AI5" s="331" t="s">
        <v>21</v>
      </c>
      <c r="AJ5" s="325"/>
      <c r="AK5" s="313"/>
      <c r="AL5" s="331" t="s">
        <v>21</v>
      </c>
      <c r="AM5" s="325"/>
      <c r="AN5" s="313"/>
      <c r="AO5" s="288" t="s">
        <v>20</v>
      </c>
      <c r="AP5" s="331" t="s">
        <v>21</v>
      </c>
      <c r="AQ5" s="325"/>
      <c r="AR5" s="325"/>
      <c r="AS5" s="313"/>
      <c r="AT5" s="399" t="s">
        <v>20</v>
      </c>
      <c r="AU5" s="313"/>
      <c r="AV5" s="331" t="s">
        <v>21</v>
      </c>
      <c r="AW5" s="325"/>
      <c r="AX5" s="325"/>
      <c r="AY5" s="313"/>
      <c r="AZ5" s="399" t="s">
        <v>20</v>
      </c>
      <c r="BA5" s="313"/>
      <c r="BB5" s="331" t="s">
        <v>21</v>
      </c>
      <c r="BC5" s="325"/>
      <c r="BD5" s="313"/>
      <c r="BE5" s="399" t="s">
        <v>20</v>
      </c>
      <c r="BF5" s="313"/>
      <c r="BG5" s="331" t="s">
        <v>21</v>
      </c>
      <c r="BH5" s="325"/>
      <c r="BI5" s="313"/>
      <c r="BJ5" s="288" t="s">
        <v>20</v>
      </c>
      <c r="BK5" s="331" t="s">
        <v>21</v>
      </c>
      <c r="BL5" s="313"/>
      <c r="BM5" s="331" t="s">
        <v>21</v>
      </c>
      <c r="BN5" s="325"/>
      <c r="BO5" s="313"/>
      <c r="BP5" s="331" t="s">
        <v>21</v>
      </c>
      <c r="BQ5" s="325"/>
      <c r="BR5" s="313"/>
    </row>
    <row r="6" spans="1:70" ht="30" customHeight="1" x14ac:dyDescent="0.3">
      <c r="A6" s="345"/>
      <c r="B6" s="346"/>
      <c r="C6" s="412"/>
      <c r="D6" s="412"/>
      <c r="E6" s="412"/>
      <c r="F6" s="138" t="s">
        <v>22</v>
      </c>
      <c r="G6" s="139" t="s">
        <v>23</v>
      </c>
      <c r="H6" s="140" t="s">
        <v>22</v>
      </c>
      <c r="I6" s="141" t="s">
        <v>22</v>
      </c>
      <c r="J6" s="141" t="s">
        <v>22</v>
      </c>
      <c r="K6" s="141" t="s">
        <v>22</v>
      </c>
      <c r="L6" s="141" t="s">
        <v>22</v>
      </c>
      <c r="M6" s="142" t="s">
        <v>22</v>
      </c>
      <c r="N6" s="143" t="s">
        <v>23</v>
      </c>
      <c r="O6" s="289" t="s">
        <v>139</v>
      </c>
      <c r="P6" s="145" t="s">
        <v>139</v>
      </c>
      <c r="Q6" s="146" t="s">
        <v>23</v>
      </c>
      <c r="R6" s="290" t="s">
        <v>24</v>
      </c>
      <c r="S6" s="224" t="s">
        <v>24</v>
      </c>
      <c r="T6" s="146" t="s">
        <v>23</v>
      </c>
      <c r="U6" s="289" t="s">
        <v>139</v>
      </c>
      <c r="V6" s="145" t="s">
        <v>139</v>
      </c>
      <c r="W6" s="146" t="s">
        <v>23</v>
      </c>
      <c r="X6" s="145" t="s">
        <v>24</v>
      </c>
      <c r="Y6" s="145" t="s">
        <v>201</v>
      </c>
      <c r="Z6" s="146" t="s">
        <v>139</v>
      </c>
      <c r="AA6" s="145" t="s">
        <v>24</v>
      </c>
      <c r="AB6" s="145" t="s">
        <v>201</v>
      </c>
      <c r="AC6" s="146" t="s">
        <v>139</v>
      </c>
      <c r="AD6" s="238" t="s">
        <v>139</v>
      </c>
      <c r="AE6" s="145" t="s">
        <v>139</v>
      </c>
      <c r="AF6" s="146" t="s">
        <v>23</v>
      </c>
      <c r="AG6" s="145" t="s">
        <v>201</v>
      </c>
      <c r="AH6" s="145" t="s">
        <v>139</v>
      </c>
      <c r="AI6" s="145" t="s">
        <v>24</v>
      </c>
      <c r="AJ6" s="145" t="s">
        <v>201</v>
      </c>
      <c r="AK6" s="145" t="s">
        <v>139</v>
      </c>
      <c r="AL6" s="145" t="s">
        <v>24</v>
      </c>
      <c r="AM6" s="145" t="s">
        <v>201</v>
      </c>
      <c r="AN6" s="145" t="s">
        <v>139</v>
      </c>
      <c r="AO6" s="238" t="s">
        <v>139</v>
      </c>
      <c r="AP6" s="145" t="s">
        <v>24</v>
      </c>
      <c r="AQ6" s="145" t="s">
        <v>201</v>
      </c>
      <c r="AR6" s="145" t="s">
        <v>139</v>
      </c>
      <c r="AS6" s="145" t="s">
        <v>243</v>
      </c>
      <c r="AT6" s="287" t="s">
        <v>24</v>
      </c>
      <c r="AU6" s="287" t="s">
        <v>139</v>
      </c>
      <c r="AV6" s="291" t="s">
        <v>24</v>
      </c>
      <c r="AW6" s="291" t="s">
        <v>23</v>
      </c>
      <c r="AX6" s="291" t="s">
        <v>139</v>
      </c>
      <c r="AY6" s="291" t="s">
        <v>23</v>
      </c>
      <c r="AZ6" s="287" t="s">
        <v>24</v>
      </c>
      <c r="BA6" s="287" t="s">
        <v>139</v>
      </c>
      <c r="BB6" s="291" t="s">
        <v>24</v>
      </c>
      <c r="BC6" s="291" t="s">
        <v>201</v>
      </c>
      <c r="BD6" s="291" t="s">
        <v>139</v>
      </c>
      <c r="BE6" s="287" t="s">
        <v>24</v>
      </c>
      <c r="BF6" s="287" t="s">
        <v>139</v>
      </c>
      <c r="BG6" s="291" t="s">
        <v>24</v>
      </c>
      <c r="BH6" s="291" t="s">
        <v>201</v>
      </c>
      <c r="BI6" s="291" t="s">
        <v>139</v>
      </c>
      <c r="BJ6" s="287" t="s">
        <v>139</v>
      </c>
      <c r="BK6" s="291" t="s">
        <v>139</v>
      </c>
      <c r="BL6" s="291" t="s">
        <v>23</v>
      </c>
      <c r="BM6" s="291" t="s">
        <v>24</v>
      </c>
      <c r="BN6" s="291" t="s">
        <v>201</v>
      </c>
      <c r="BO6" s="291" t="s">
        <v>139</v>
      </c>
      <c r="BP6" s="291" t="s">
        <v>24</v>
      </c>
      <c r="BQ6" s="291" t="s">
        <v>201</v>
      </c>
      <c r="BR6" s="291" t="s">
        <v>139</v>
      </c>
    </row>
    <row r="7" spans="1:70" ht="24" customHeight="1" x14ac:dyDescent="0.3">
      <c r="A7" s="347" t="s">
        <v>248</v>
      </c>
      <c r="B7" s="348"/>
      <c r="C7" s="147">
        <f ca="1">C8+C9+C12</f>
        <v>1060450</v>
      </c>
      <c r="D7" s="148">
        <f t="shared" ref="D7:E7" ca="1" si="0">D8</f>
        <v>1060450</v>
      </c>
      <c r="E7" s="149">
        <f t="shared" ca="1" si="0"/>
        <v>0</v>
      </c>
      <c r="F7" s="150">
        <f t="shared" ref="F7:F116" ca="1" si="1">H7+M7</f>
        <v>65186.119999999995</v>
      </c>
      <c r="G7" s="151">
        <f t="shared" ref="G7:G116" ca="1" si="2">IF(D7&gt;0,F7*100/D7,0)</f>
        <v>6.1470243764439623</v>
      </c>
      <c r="H7" s="150">
        <f t="shared" ref="H7:M7" ca="1" si="3">H8</f>
        <v>65186.119999999995</v>
      </c>
      <c r="I7" s="150">
        <f t="shared" ca="1" si="3"/>
        <v>0</v>
      </c>
      <c r="J7" s="150">
        <f t="shared" ca="1" si="3"/>
        <v>0</v>
      </c>
      <c r="K7" s="150">
        <f t="shared" ca="1" si="3"/>
        <v>0</v>
      </c>
      <c r="L7" s="150">
        <f t="shared" ca="1" si="3"/>
        <v>65186.119999999995</v>
      </c>
      <c r="M7" s="152">
        <f t="shared" ca="1" si="3"/>
        <v>0</v>
      </c>
      <c r="N7" s="152">
        <f t="shared" ref="N7:N11" ca="1" si="4">IF(E7&gt;0,M7*100/E7,0)</f>
        <v>0</v>
      </c>
      <c r="O7" s="292">
        <f t="shared" ref="O7:P7" ca="1" si="5">O8</f>
        <v>1380</v>
      </c>
      <c r="P7" s="154">
        <f t="shared" ca="1" si="5"/>
        <v>362.21</v>
      </c>
      <c r="Q7" s="155">
        <f t="shared" ref="Q7:Q8" ca="1" si="6">IF(O7&gt;0,P7*100/O7,0)</f>
        <v>26.247101449275362</v>
      </c>
      <c r="R7" s="153">
        <f t="shared" ref="R7:S7" ca="1" si="7">R8</f>
        <v>593</v>
      </c>
      <c r="S7" s="154">
        <f t="shared" ca="1" si="7"/>
        <v>30</v>
      </c>
      <c r="T7" s="155">
        <f t="shared" ref="T7:T8" ca="1" si="8">IF(R7&gt;0,S7*100/R7,0)</f>
        <v>5.0590219224283306</v>
      </c>
      <c r="U7" s="292">
        <f t="shared" ref="U7:V7" ca="1" si="9">U8</f>
        <v>5794</v>
      </c>
      <c r="V7" s="154">
        <f t="shared" ca="1" si="9"/>
        <v>214.99</v>
      </c>
      <c r="W7" s="155">
        <f t="shared" ref="W7:W8" ca="1" si="10">IF(U7&gt;0,V7*100/U7,0)</f>
        <v>3.7105626510182947</v>
      </c>
      <c r="X7" s="155">
        <f t="shared" ref="X7:AE7" ca="1" si="11">X8</f>
        <v>13</v>
      </c>
      <c r="Y7" s="155">
        <f t="shared" ca="1" si="11"/>
        <v>18</v>
      </c>
      <c r="Z7" s="155">
        <f t="shared" ca="1" si="11"/>
        <v>144.94999999999999</v>
      </c>
      <c r="AA7" s="155">
        <f t="shared" ca="1" si="11"/>
        <v>4</v>
      </c>
      <c r="AB7" s="155">
        <f t="shared" ca="1" si="11"/>
        <v>4</v>
      </c>
      <c r="AC7" s="155">
        <f t="shared" ca="1" si="11"/>
        <v>70.039999999999992</v>
      </c>
      <c r="AD7" s="246">
        <f t="shared" ca="1" si="11"/>
        <v>5091</v>
      </c>
      <c r="AE7" s="154">
        <f t="shared" ca="1" si="11"/>
        <v>319.99900000000002</v>
      </c>
      <c r="AF7" s="155">
        <f t="shared" ref="AF7:AF8" ca="1" si="12">IF(AD7&gt;0,AE7*100/AD7,0)</f>
        <v>6.2855824003142802</v>
      </c>
      <c r="AG7" s="154">
        <f t="shared" ref="AG7:AR7" ca="1" si="13">AG8</f>
        <v>12</v>
      </c>
      <c r="AH7" s="154">
        <f t="shared" ca="1" si="13"/>
        <v>285.185</v>
      </c>
      <c r="AI7" s="154">
        <f t="shared" ca="1" si="13"/>
        <v>13</v>
      </c>
      <c r="AJ7" s="154">
        <f t="shared" ca="1" si="13"/>
        <v>13</v>
      </c>
      <c r="AK7" s="154">
        <f t="shared" ca="1" si="13"/>
        <v>268.24700000000001</v>
      </c>
      <c r="AL7" s="154">
        <f t="shared" ca="1" si="13"/>
        <v>4</v>
      </c>
      <c r="AM7" s="154">
        <f t="shared" ca="1" si="13"/>
        <v>4</v>
      </c>
      <c r="AN7" s="154">
        <f t="shared" ca="1" si="13"/>
        <v>51.752000000000002</v>
      </c>
      <c r="AO7" s="246">
        <f t="shared" ca="1" si="13"/>
        <v>6123</v>
      </c>
      <c r="AP7" s="154">
        <f t="shared" ca="1" si="13"/>
        <v>1</v>
      </c>
      <c r="AQ7" s="154">
        <f t="shared" ca="1" si="13"/>
        <v>1</v>
      </c>
      <c r="AR7" s="154">
        <f t="shared" ca="1" si="13"/>
        <v>10.050000000000001</v>
      </c>
      <c r="AS7" s="155">
        <f t="shared" ref="AS7:AS88" ca="1" si="14">IF(AO7&gt;0,AR7*100/AO7,0)</f>
        <v>0.16413522782949536</v>
      </c>
      <c r="AT7" s="246">
        <f t="shared" ref="AT7:AV7" ca="1" si="15">AT8</f>
        <v>567</v>
      </c>
      <c r="AU7" s="246">
        <f t="shared" ca="1" si="15"/>
        <v>5938</v>
      </c>
      <c r="AV7" s="154">
        <f t="shared" ca="1" si="15"/>
        <v>27</v>
      </c>
      <c r="AW7" s="155">
        <f t="shared" ref="AW7:AW88" ca="1" si="16">IF(AT7&gt;0,AV7*100/AT7,0)</f>
        <v>4.7619047619047619</v>
      </c>
      <c r="AX7" s="154">
        <f ca="1">AX8</f>
        <v>309.68</v>
      </c>
      <c r="AY7" s="293">
        <f t="shared" ref="AY7:AY88" ca="1" si="17">IF(AU7&gt;0,AX7*100/AU7,0)</f>
        <v>5.2152239811384309</v>
      </c>
      <c r="AZ7" s="294">
        <f t="shared" ref="AZ7:BK7" ca="1" si="18">AZ8</f>
        <v>428</v>
      </c>
      <c r="BA7" s="294">
        <f t="shared" ca="1" si="18"/>
        <v>4878</v>
      </c>
      <c r="BB7" s="154">
        <f t="shared" ca="1" si="18"/>
        <v>22</v>
      </c>
      <c r="BC7" s="154">
        <f t="shared" ca="1" si="18"/>
        <v>22</v>
      </c>
      <c r="BD7" s="295">
        <f t="shared" ca="1" si="18"/>
        <v>299.98</v>
      </c>
      <c r="BE7" s="294">
        <f t="shared" ca="1" si="18"/>
        <v>139</v>
      </c>
      <c r="BF7" s="294">
        <f t="shared" ca="1" si="18"/>
        <v>1060</v>
      </c>
      <c r="BG7" s="154">
        <f t="shared" ca="1" si="18"/>
        <v>5</v>
      </c>
      <c r="BH7" s="154">
        <f t="shared" ca="1" si="18"/>
        <v>5</v>
      </c>
      <c r="BI7" s="154">
        <f t="shared" ca="1" si="18"/>
        <v>9.6999999999999993</v>
      </c>
      <c r="BJ7" s="246">
        <f t="shared" ca="1" si="18"/>
        <v>2279</v>
      </c>
      <c r="BK7" s="154">
        <f t="shared" ca="1" si="18"/>
        <v>246.72</v>
      </c>
      <c r="BL7" s="155">
        <f t="shared" ref="BL7:BL88" ca="1" si="19">IF(BJ7&gt;0,BK7*100/BJ7,0)</f>
        <v>10.825800789820097</v>
      </c>
      <c r="BM7" s="154">
        <f t="shared" ref="BM7:BR7" ca="1" si="20">BM8</f>
        <v>8</v>
      </c>
      <c r="BN7" s="154">
        <f t="shared" ca="1" si="20"/>
        <v>7</v>
      </c>
      <c r="BO7" s="154">
        <f t="shared" ca="1" si="20"/>
        <v>108.48</v>
      </c>
      <c r="BP7" s="154">
        <f t="shared" ca="1" si="20"/>
        <v>12</v>
      </c>
      <c r="BQ7" s="154">
        <f t="shared" ca="1" si="20"/>
        <v>12</v>
      </c>
      <c r="BR7" s="154">
        <f t="shared" ca="1" si="20"/>
        <v>138.24</v>
      </c>
    </row>
    <row r="8" spans="1:70" ht="28.5" customHeight="1" x14ac:dyDescent="0.3">
      <c r="A8" s="156" t="s">
        <v>26</v>
      </c>
      <c r="B8" s="157"/>
      <c r="C8" s="159">
        <f t="shared" ref="C8:E8" ca="1" si="21">+C13+C31+C52+C74</f>
        <v>1060450</v>
      </c>
      <c r="D8" s="159">
        <f t="shared" ca="1" si="21"/>
        <v>1060450</v>
      </c>
      <c r="E8" s="159">
        <f t="shared" ca="1" si="21"/>
        <v>0</v>
      </c>
      <c r="F8" s="159">
        <f t="shared" ca="1" si="1"/>
        <v>65186.119999999995</v>
      </c>
      <c r="G8" s="253">
        <f t="shared" ca="1" si="2"/>
        <v>6.1470243764439623</v>
      </c>
      <c r="H8" s="159">
        <f t="shared" ref="H8:M8" ca="1" si="22">+H13+H31+H52+H74</f>
        <v>65186.119999999995</v>
      </c>
      <c r="I8" s="159">
        <f t="shared" ca="1" si="22"/>
        <v>0</v>
      </c>
      <c r="J8" s="159">
        <f t="shared" ca="1" si="22"/>
        <v>0</v>
      </c>
      <c r="K8" s="159">
        <f t="shared" ca="1" si="22"/>
        <v>0</v>
      </c>
      <c r="L8" s="159">
        <f t="shared" ca="1" si="22"/>
        <v>65186.119999999995</v>
      </c>
      <c r="M8" s="161">
        <f t="shared" ca="1" si="22"/>
        <v>0</v>
      </c>
      <c r="N8" s="161">
        <f t="shared" ca="1" si="4"/>
        <v>0</v>
      </c>
      <c r="O8" s="159">
        <f t="shared" ref="O8:P8" ca="1" si="23">+O13+O31+O52+O74</f>
        <v>1380</v>
      </c>
      <c r="P8" s="159">
        <f t="shared" ca="1" si="23"/>
        <v>362.21</v>
      </c>
      <c r="Q8" s="162">
        <f t="shared" ca="1" si="6"/>
        <v>26.247101449275362</v>
      </c>
      <c r="R8" s="159">
        <f t="shared" ref="R8:S8" ca="1" si="24">+R13+R31+R52+R74</f>
        <v>593</v>
      </c>
      <c r="S8" s="159">
        <f t="shared" ca="1" si="24"/>
        <v>30</v>
      </c>
      <c r="T8" s="162">
        <f t="shared" ca="1" si="8"/>
        <v>5.0590219224283306</v>
      </c>
      <c r="U8" s="159">
        <f t="shared" ref="U8:V8" ca="1" si="25">+U13+U31+U52+U74</f>
        <v>5794</v>
      </c>
      <c r="V8" s="159">
        <f t="shared" ca="1" si="25"/>
        <v>214.99</v>
      </c>
      <c r="W8" s="162">
        <f t="shared" ca="1" si="10"/>
        <v>3.7105626510182947</v>
      </c>
      <c r="X8" s="162">
        <f t="shared" ref="X8:AE8" ca="1" si="26">+X13+X31+X52+X74</f>
        <v>13</v>
      </c>
      <c r="Y8" s="162">
        <f t="shared" ca="1" si="26"/>
        <v>18</v>
      </c>
      <c r="Z8" s="162">
        <f t="shared" ca="1" si="26"/>
        <v>144.94999999999999</v>
      </c>
      <c r="AA8" s="162">
        <f t="shared" ca="1" si="26"/>
        <v>4</v>
      </c>
      <c r="AB8" s="162">
        <f t="shared" ca="1" si="26"/>
        <v>4</v>
      </c>
      <c r="AC8" s="162">
        <f t="shared" ca="1" si="26"/>
        <v>70.039999999999992</v>
      </c>
      <c r="AD8" s="159">
        <f t="shared" ca="1" si="26"/>
        <v>5091</v>
      </c>
      <c r="AE8" s="159">
        <f t="shared" ca="1" si="26"/>
        <v>319.99900000000002</v>
      </c>
      <c r="AF8" s="162">
        <f t="shared" ca="1" si="12"/>
        <v>6.2855824003142802</v>
      </c>
      <c r="AG8" s="159">
        <f t="shared" ref="AG8:AR8" ca="1" si="27">+AG13+AG31+AG52+AG74</f>
        <v>12</v>
      </c>
      <c r="AH8" s="159">
        <f t="shared" ca="1" si="27"/>
        <v>285.185</v>
      </c>
      <c r="AI8" s="159">
        <f t="shared" ca="1" si="27"/>
        <v>13</v>
      </c>
      <c r="AJ8" s="159">
        <f t="shared" ca="1" si="27"/>
        <v>13</v>
      </c>
      <c r="AK8" s="159">
        <f t="shared" ca="1" si="27"/>
        <v>268.24700000000001</v>
      </c>
      <c r="AL8" s="159">
        <f t="shared" ca="1" si="27"/>
        <v>4</v>
      </c>
      <c r="AM8" s="159">
        <f t="shared" ca="1" si="27"/>
        <v>4</v>
      </c>
      <c r="AN8" s="159">
        <f t="shared" ca="1" si="27"/>
        <v>51.752000000000002</v>
      </c>
      <c r="AO8" s="159">
        <f t="shared" ca="1" si="27"/>
        <v>6123</v>
      </c>
      <c r="AP8" s="159">
        <f t="shared" ca="1" si="27"/>
        <v>1</v>
      </c>
      <c r="AQ8" s="159">
        <f t="shared" ca="1" si="27"/>
        <v>1</v>
      </c>
      <c r="AR8" s="159">
        <f t="shared" ca="1" si="27"/>
        <v>10.050000000000001</v>
      </c>
      <c r="AS8" s="162">
        <f t="shared" ca="1" si="14"/>
        <v>0.16413522782949536</v>
      </c>
      <c r="AT8" s="159">
        <f t="shared" ref="AT8:AV8" ca="1" si="28">+AT13+AT31+AT52+AT74</f>
        <v>567</v>
      </c>
      <c r="AU8" s="159">
        <f t="shared" ca="1" si="28"/>
        <v>5938</v>
      </c>
      <c r="AV8" s="159">
        <f t="shared" ca="1" si="28"/>
        <v>27</v>
      </c>
      <c r="AW8" s="162">
        <f t="shared" ca="1" si="16"/>
        <v>4.7619047619047619</v>
      </c>
      <c r="AX8" s="159">
        <f ca="1">+AX13+AX31+AX52+AX74</f>
        <v>309.68</v>
      </c>
      <c r="AY8" s="162">
        <f t="shared" ca="1" si="17"/>
        <v>5.2152239811384309</v>
      </c>
      <c r="AZ8" s="159">
        <f t="shared" ref="AZ8:BK8" ca="1" si="29">+AZ13+AZ31+AZ52+AZ74</f>
        <v>428</v>
      </c>
      <c r="BA8" s="159">
        <f t="shared" ca="1" si="29"/>
        <v>4878</v>
      </c>
      <c r="BB8" s="159">
        <f t="shared" ca="1" si="29"/>
        <v>22</v>
      </c>
      <c r="BC8" s="159">
        <f t="shared" ca="1" si="29"/>
        <v>22</v>
      </c>
      <c r="BD8" s="159">
        <f t="shared" ca="1" si="29"/>
        <v>299.98</v>
      </c>
      <c r="BE8" s="159">
        <f t="shared" ca="1" si="29"/>
        <v>139</v>
      </c>
      <c r="BF8" s="159">
        <f t="shared" ca="1" si="29"/>
        <v>1060</v>
      </c>
      <c r="BG8" s="159">
        <f t="shared" ca="1" si="29"/>
        <v>5</v>
      </c>
      <c r="BH8" s="159">
        <f t="shared" ca="1" si="29"/>
        <v>5</v>
      </c>
      <c r="BI8" s="159">
        <f t="shared" ca="1" si="29"/>
        <v>9.6999999999999993</v>
      </c>
      <c r="BJ8" s="159">
        <f t="shared" ca="1" si="29"/>
        <v>2279</v>
      </c>
      <c r="BK8" s="159">
        <f t="shared" ca="1" si="29"/>
        <v>246.72</v>
      </c>
      <c r="BL8" s="162">
        <f t="shared" ca="1" si="19"/>
        <v>10.825800789820097</v>
      </c>
      <c r="BM8" s="159">
        <f t="shared" ref="BM8:BR8" ca="1" si="30">+BM13+BM31+BM52+BM74</f>
        <v>8</v>
      </c>
      <c r="BN8" s="159">
        <f t="shared" ca="1" si="30"/>
        <v>7</v>
      </c>
      <c r="BO8" s="159">
        <f t="shared" ca="1" si="30"/>
        <v>108.48</v>
      </c>
      <c r="BP8" s="159">
        <f t="shared" ca="1" si="30"/>
        <v>12</v>
      </c>
      <c r="BQ8" s="159">
        <f t="shared" ca="1" si="30"/>
        <v>12</v>
      </c>
      <c r="BR8" s="159">
        <f t="shared" ca="1" si="30"/>
        <v>138.24</v>
      </c>
    </row>
    <row r="9" spans="1:70" ht="28.5" customHeight="1" x14ac:dyDescent="0.3">
      <c r="A9" s="163" t="s">
        <v>249</v>
      </c>
      <c r="B9" s="164"/>
      <c r="C9" s="165">
        <f>+C10+C11</f>
        <v>0</v>
      </c>
      <c r="D9" s="166"/>
      <c r="E9" s="166"/>
      <c r="F9" s="165">
        <f t="shared" si="1"/>
        <v>0</v>
      </c>
      <c r="G9" s="167">
        <f t="shared" si="2"/>
        <v>0</v>
      </c>
      <c r="H9" s="166"/>
      <c r="I9" s="166"/>
      <c r="J9" s="166"/>
      <c r="K9" s="166"/>
      <c r="L9" s="166"/>
      <c r="M9" s="168"/>
      <c r="N9" s="168">
        <f t="shared" si="4"/>
        <v>0</v>
      </c>
      <c r="O9" s="166"/>
      <c r="P9" s="166"/>
      <c r="Q9" s="170"/>
      <c r="R9" s="166"/>
      <c r="S9" s="166"/>
      <c r="T9" s="170"/>
      <c r="U9" s="166"/>
      <c r="V9" s="166"/>
      <c r="W9" s="170"/>
      <c r="X9" s="170"/>
      <c r="Y9" s="170"/>
      <c r="Z9" s="170"/>
      <c r="AA9" s="170"/>
      <c r="AB9" s="170"/>
      <c r="AC9" s="170"/>
      <c r="AD9" s="166"/>
      <c r="AE9" s="166"/>
      <c r="AF9" s="170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70">
        <f t="shared" si="14"/>
        <v>0</v>
      </c>
      <c r="AT9" s="166"/>
      <c r="AU9" s="166"/>
      <c r="AV9" s="166"/>
      <c r="AW9" s="170">
        <f t="shared" si="16"/>
        <v>0</v>
      </c>
      <c r="AX9" s="166"/>
      <c r="AY9" s="170">
        <f t="shared" si="17"/>
        <v>0</v>
      </c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70">
        <f t="shared" si="19"/>
        <v>0</v>
      </c>
      <c r="BM9" s="166"/>
      <c r="BN9" s="166"/>
      <c r="BO9" s="166"/>
      <c r="BP9" s="166"/>
      <c r="BQ9" s="166"/>
      <c r="BR9" s="166"/>
    </row>
    <row r="10" spans="1:70" ht="28.5" hidden="1" customHeight="1" x14ac:dyDescent="0.3">
      <c r="A10" s="163" t="s">
        <v>27</v>
      </c>
      <c r="B10" s="164"/>
      <c r="C10" s="165">
        <f>+C89</f>
        <v>0</v>
      </c>
      <c r="D10" s="166"/>
      <c r="E10" s="166"/>
      <c r="F10" s="165">
        <f t="shared" si="1"/>
        <v>0</v>
      </c>
      <c r="G10" s="167">
        <f t="shared" si="2"/>
        <v>0</v>
      </c>
      <c r="H10" s="166"/>
      <c r="I10" s="166"/>
      <c r="J10" s="166"/>
      <c r="K10" s="166"/>
      <c r="L10" s="166"/>
      <c r="M10" s="168"/>
      <c r="N10" s="168">
        <f t="shared" si="4"/>
        <v>0</v>
      </c>
      <c r="O10" s="166"/>
      <c r="P10" s="166"/>
      <c r="Q10" s="170"/>
      <c r="R10" s="166"/>
      <c r="S10" s="166"/>
      <c r="T10" s="170"/>
      <c r="U10" s="166"/>
      <c r="V10" s="166"/>
      <c r="W10" s="170"/>
      <c r="X10" s="170"/>
      <c r="Y10" s="170"/>
      <c r="Z10" s="170"/>
      <c r="AA10" s="170"/>
      <c r="AB10" s="170"/>
      <c r="AC10" s="170"/>
      <c r="AD10" s="166"/>
      <c r="AE10" s="166"/>
      <c r="AF10" s="170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70">
        <f t="shared" si="14"/>
        <v>0</v>
      </c>
      <c r="AT10" s="166"/>
      <c r="AU10" s="166"/>
      <c r="AV10" s="166"/>
      <c r="AW10" s="170">
        <f t="shared" si="16"/>
        <v>0</v>
      </c>
      <c r="AX10" s="166"/>
      <c r="AY10" s="170">
        <f t="shared" si="17"/>
        <v>0</v>
      </c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70">
        <f t="shared" si="19"/>
        <v>0</v>
      </c>
      <c r="BM10" s="166"/>
      <c r="BN10" s="166"/>
      <c r="BO10" s="166"/>
      <c r="BP10" s="166"/>
      <c r="BQ10" s="166"/>
      <c r="BR10" s="166"/>
    </row>
    <row r="11" spans="1:70" ht="28.5" hidden="1" customHeight="1" x14ac:dyDescent="0.3">
      <c r="A11" s="171" t="s">
        <v>28</v>
      </c>
      <c r="B11" s="164"/>
      <c r="C11" s="165">
        <f>+C104</f>
        <v>0</v>
      </c>
      <c r="D11" s="166"/>
      <c r="E11" s="166"/>
      <c r="F11" s="165">
        <f t="shared" si="1"/>
        <v>0</v>
      </c>
      <c r="G11" s="167">
        <f t="shared" si="2"/>
        <v>0</v>
      </c>
      <c r="H11" s="166"/>
      <c r="I11" s="166"/>
      <c r="J11" s="166"/>
      <c r="K11" s="166"/>
      <c r="L11" s="166"/>
      <c r="M11" s="168"/>
      <c r="N11" s="168">
        <f t="shared" si="4"/>
        <v>0</v>
      </c>
      <c r="O11" s="166"/>
      <c r="P11" s="166"/>
      <c r="Q11" s="170"/>
      <c r="R11" s="166"/>
      <c r="S11" s="166"/>
      <c r="T11" s="170"/>
      <c r="U11" s="166"/>
      <c r="V11" s="166"/>
      <c r="W11" s="170"/>
      <c r="X11" s="170"/>
      <c r="Y11" s="170"/>
      <c r="Z11" s="170"/>
      <c r="AA11" s="170"/>
      <c r="AB11" s="170"/>
      <c r="AC11" s="170"/>
      <c r="AD11" s="166"/>
      <c r="AE11" s="166"/>
      <c r="AF11" s="170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70">
        <f t="shared" si="14"/>
        <v>0</v>
      </c>
      <c r="AT11" s="166"/>
      <c r="AU11" s="166"/>
      <c r="AV11" s="166"/>
      <c r="AW11" s="170">
        <f t="shared" si="16"/>
        <v>0</v>
      </c>
      <c r="AX11" s="166"/>
      <c r="AY11" s="170">
        <f t="shared" si="17"/>
        <v>0</v>
      </c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70">
        <f t="shared" si="19"/>
        <v>0</v>
      </c>
      <c r="BM11" s="166"/>
      <c r="BN11" s="166"/>
      <c r="BO11" s="166"/>
      <c r="BP11" s="166"/>
      <c r="BQ11" s="166"/>
      <c r="BR11" s="166"/>
    </row>
    <row r="12" spans="1:70" ht="28.5" hidden="1" customHeight="1" x14ac:dyDescent="0.3">
      <c r="A12" s="172" t="s">
        <v>29</v>
      </c>
      <c r="B12" s="173"/>
      <c r="C12" s="174">
        <v>0</v>
      </c>
      <c r="D12" s="174">
        <v>0</v>
      </c>
      <c r="E12" s="174">
        <v>0</v>
      </c>
      <c r="F12" s="174">
        <f t="shared" si="1"/>
        <v>0</v>
      </c>
      <c r="G12" s="175">
        <f t="shared" si="2"/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6">
        <v>0</v>
      </c>
      <c r="N12" s="176"/>
      <c r="O12" s="174">
        <v>0</v>
      </c>
      <c r="P12" s="174">
        <v>0</v>
      </c>
      <c r="Q12" s="177">
        <f t="shared" ref="Q12:Q88" si="31">IF(O12&gt;0,P12*100/O12,0)</f>
        <v>0</v>
      </c>
      <c r="R12" s="174">
        <v>0</v>
      </c>
      <c r="S12" s="174">
        <v>0</v>
      </c>
      <c r="T12" s="177">
        <f t="shared" ref="T12:T88" si="32">IF(R12&gt;0,S12*100/R12,0)</f>
        <v>0</v>
      </c>
      <c r="U12" s="174">
        <v>0</v>
      </c>
      <c r="V12" s="174">
        <v>0</v>
      </c>
      <c r="W12" s="177">
        <f t="shared" ref="W12:W88" si="33">IF(U12&gt;0,V12*100/U12,0)</f>
        <v>0</v>
      </c>
      <c r="X12" s="177">
        <v>0</v>
      </c>
      <c r="Y12" s="177">
        <v>0</v>
      </c>
      <c r="Z12" s="177">
        <v>0</v>
      </c>
      <c r="AA12" s="177">
        <v>0</v>
      </c>
      <c r="AB12" s="177">
        <v>0</v>
      </c>
      <c r="AC12" s="177">
        <v>0</v>
      </c>
      <c r="AD12" s="174">
        <v>0</v>
      </c>
      <c r="AE12" s="174">
        <v>0</v>
      </c>
      <c r="AF12" s="177">
        <f t="shared" ref="AF12:AF88" si="34">IF(AD12&gt;0,AE12*100/AD12,0)</f>
        <v>0</v>
      </c>
      <c r="AG12" s="174">
        <v>0</v>
      </c>
      <c r="AH12" s="174">
        <v>0</v>
      </c>
      <c r="AI12" s="174">
        <v>0</v>
      </c>
      <c r="AJ12" s="174">
        <v>0</v>
      </c>
      <c r="AK12" s="174">
        <v>0</v>
      </c>
      <c r="AL12" s="174">
        <v>0</v>
      </c>
      <c r="AM12" s="174">
        <v>0</v>
      </c>
      <c r="AN12" s="174">
        <v>0</v>
      </c>
      <c r="AO12" s="174">
        <v>0</v>
      </c>
      <c r="AP12" s="174">
        <v>0</v>
      </c>
      <c r="AQ12" s="174">
        <v>0</v>
      </c>
      <c r="AR12" s="174">
        <v>0</v>
      </c>
      <c r="AS12" s="177">
        <f t="shared" si="14"/>
        <v>0</v>
      </c>
      <c r="AT12" s="174">
        <v>0</v>
      </c>
      <c r="AU12" s="174">
        <v>0</v>
      </c>
      <c r="AV12" s="174">
        <v>0</v>
      </c>
      <c r="AW12" s="177">
        <f t="shared" si="16"/>
        <v>0</v>
      </c>
      <c r="AX12" s="174">
        <v>0</v>
      </c>
      <c r="AY12" s="177">
        <f t="shared" si="17"/>
        <v>0</v>
      </c>
      <c r="AZ12" s="174">
        <v>0</v>
      </c>
      <c r="BA12" s="174">
        <v>0</v>
      </c>
      <c r="BB12" s="174">
        <v>0</v>
      </c>
      <c r="BC12" s="174">
        <v>0</v>
      </c>
      <c r="BD12" s="174">
        <v>0</v>
      </c>
      <c r="BE12" s="174">
        <v>0</v>
      </c>
      <c r="BF12" s="174">
        <v>0</v>
      </c>
      <c r="BG12" s="174">
        <v>0</v>
      </c>
      <c r="BH12" s="174">
        <v>0</v>
      </c>
      <c r="BI12" s="174">
        <v>0</v>
      </c>
      <c r="BJ12" s="174">
        <v>0</v>
      </c>
      <c r="BK12" s="174">
        <v>0</v>
      </c>
      <c r="BL12" s="177">
        <f t="shared" si="19"/>
        <v>0</v>
      </c>
      <c r="BM12" s="174">
        <v>0</v>
      </c>
      <c r="BN12" s="174">
        <v>0</v>
      </c>
      <c r="BO12" s="174">
        <v>0</v>
      </c>
      <c r="BP12" s="174">
        <v>0</v>
      </c>
      <c r="BQ12" s="174">
        <v>0</v>
      </c>
      <c r="BR12" s="174">
        <v>0</v>
      </c>
    </row>
    <row r="13" spans="1:70" ht="28.5" customHeight="1" x14ac:dyDescent="0.3">
      <c r="A13" s="338" t="s">
        <v>30</v>
      </c>
      <c r="B13" s="339"/>
      <c r="C13" s="159">
        <f t="shared" ref="C13:E13" ca="1" si="35">SUM(C14:C30)</f>
        <v>298560</v>
      </c>
      <c r="D13" s="159">
        <f t="shared" ca="1" si="35"/>
        <v>298560</v>
      </c>
      <c r="E13" s="159">
        <f t="shared" ca="1" si="35"/>
        <v>0</v>
      </c>
      <c r="F13" s="159">
        <f t="shared" ca="1" si="1"/>
        <v>2000</v>
      </c>
      <c r="G13" s="253">
        <f t="shared" ca="1" si="2"/>
        <v>0.66988210075026799</v>
      </c>
      <c r="H13" s="159">
        <f t="shared" ref="H13:M13" ca="1" si="36">SUM(H14:H30)</f>
        <v>2000</v>
      </c>
      <c r="I13" s="159">
        <f t="shared" ca="1" si="36"/>
        <v>0</v>
      </c>
      <c r="J13" s="159">
        <f t="shared" ca="1" si="36"/>
        <v>0</v>
      </c>
      <c r="K13" s="159">
        <f t="shared" ca="1" si="36"/>
        <v>0</v>
      </c>
      <c r="L13" s="159">
        <f t="shared" ca="1" si="36"/>
        <v>2000</v>
      </c>
      <c r="M13" s="161">
        <f t="shared" ca="1" si="36"/>
        <v>0</v>
      </c>
      <c r="N13" s="161">
        <f t="shared" ref="N13:N116" ca="1" si="37">IF(E13&gt;0,M13*100/E13,0)</f>
        <v>0</v>
      </c>
      <c r="O13" s="159">
        <f t="shared" ref="O13:P13" ca="1" si="38">SUM(O14:O30)</f>
        <v>118</v>
      </c>
      <c r="P13" s="159">
        <f t="shared" ca="1" si="38"/>
        <v>0</v>
      </c>
      <c r="Q13" s="162">
        <f t="shared" ca="1" si="31"/>
        <v>0</v>
      </c>
      <c r="R13" s="159">
        <f t="shared" ref="R13:S13" ca="1" si="39">SUM(R14:R30)</f>
        <v>187</v>
      </c>
      <c r="S13" s="159">
        <f t="shared" ca="1" si="39"/>
        <v>3</v>
      </c>
      <c r="T13" s="162">
        <f t="shared" ca="1" si="32"/>
        <v>1.6042780748663101</v>
      </c>
      <c r="U13" s="159">
        <f t="shared" ref="U13:V13" ca="1" si="40">SUM(U14:U30)</f>
        <v>2088</v>
      </c>
      <c r="V13" s="159">
        <f t="shared" ca="1" si="40"/>
        <v>70.039999999999992</v>
      </c>
      <c r="W13" s="162">
        <f t="shared" ca="1" si="33"/>
        <v>3.3544061302681989</v>
      </c>
      <c r="X13" s="162">
        <f t="shared" ref="X13:AE13" ca="1" si="41">SUM(X14:X30)</f>
        <v>0</v>
      </c>
      <c r="Y13" s="162">
        <f t="shared" ca="1" si="41"/>
        <v>0</v>
      </c>
      <c r="Z13" s="162">
        <f t="shared" ca="1" si="41"/>
        <v>0</v>
      </c>
      <c r="AA13" s="162">
        <f t="shared" ca="1" si="41"/>
        <v>4</v>
      </c>
      <c r="AB13" s="162">
        <f t="shared" ca="1" si="41"/>
        <v>4</v>
      </c>
      <c r="AC13" s="162">
        <f t="shared" ca="1" si="41"/>
        <v>70.039999999999992</v>
      </c>
      <c r="AD13" s="159">
        <f t="shared" ca="1" si="41"/>
        <v>2246</v>
      </c>
      <c r="AE13" s="159">
        <f t="shared" ca="1" si="41"/>
        <v>0</v>
      </c>
      <c r="AF13" s="162">
        <f t="shared" ca="1" si="34"/>
        <v>0</v>
      </c>
      <c r="AG13" s="159">
        <f t="shared" ref="AG13:AR13" ca="1" si="42">SUM(AG14:AG30)</f>
        <v>0</v>
      </c>
      <c r="AH13" s="159">
        <f t="shared" ca="1" si="42"/>
        <v>0</v>
      </c>
      <c r="AI13" s="159">
        <f t="shared" ca="1" si="42"/>
        <v>0</v>
      </c>
      <c r="AJ13" s="159">
        <f t="shared" ca="1" si="42"/>
        <v>0</v>
      </c>
      <c r="AK13" s="159">
        <f t="shared" ca="1" si="42"/>
        <v>0</v>
      </c>
      <c r="AL13" s="159">
        <f t="shared" ca="1" si="42"/>
        <v>0</v>
      </c>
      <c r="AM13" s="159">
        <f t="shared" ca="1" si="42"/>
        <v>0</v>
      </c>
      <c r="AN13" s="159">
        <f t="shared" ca="1" si="42"/>
        <v>0</v>
      </c>
      <c r="AO13" s="159">
        <f t="shared" ca="1" si="42"/>
        <v>3778</v>
      </c>
      <c r="AP13" s="159">
        <f t="shared" ca="1" si="42"/>
        <v>1</v>
      </c>
      <c r="AQ13" s="159">
        <f t="shared" ca="1" si="42"/>
        <v>1</v>
      </c>
      <c r="AR13" s="159">
        <f t="shared" ca="1" si="42"/>
        <v>10.050000000000001</v>
      </c>
      <c r="AS13" s="162">
        <f t="shared" ca="1" si="14"/>
        <v>0.26601376389624143</v>
      </c>
      <c r="AT13" s="159">
        <f t="shared" ref="AT13:AV13" ca="1" si="43">SUM(AT14:AT30)</f>
        <v>105</v>
      </c>
      <c r="AU13" s="159">
        <f t="shared" ca="1" si="43"/>
        <v>1659</v>
      </c>
      <c r="AV13" s="159">
        <f t="shared" ca="1" si="43"/>
        <v>7</v>
      </c>
      <c r="AW13" s="162">
        <f t="shared" ca="1" si="16"/>
        <v>6.666666666666667</v>
      </c>
      <c r="AX13" s="159">
        <f ca="1">SUM(AX14:AX30)</f>
        <v>147.59</v>
      </c>
      <c r="AY13" s="162">
        <f t="shared" ca="1" si="17"/>
        <v>8.8963230861965048</v>
      </c>
      <c r="AZ13" s="159">
        <f t="shared" ref="AZ13:BK13" ca="1" si="44">SUM(AZ14:AZ30)</f>
        <v>77</v>
      </c>
      <c r="BA13" s="159">
        <f t="shared" ca="1" si="44"/>
        <v>1442</v>
      </c>
      <c r="BB13" s="159">
        <f t="shared" ca="1" si="44"/>
        <v>7</v>
      </c>
      <c r="BC13" s="159">
        <f t="shared" ca="1" si="44"/>
        <v>7</v>
      </c>
      <c r="BD13" s="159">
        <f t="shared" ca="1" si="44"/>
        <v>147.59</v>
      </c>
      <c r="BE13" s="159">
        <f t="shared" ca="1" si="44"/>
        <v>28</v>
      </c>
      <c r="BF13" s="159">
        <f t="shared" ca="1" si="44"/>
        <v>217</v>
      </c>
      <c r="BG13" s="159">
        <f t="shared" ca="1" si="44"/>
        <v>0</v>
      </c>
      <c r="BH13" s="159">
        <f t="shared" ca="1" si="44"/>
        <v>0</v>
      </c>
      <c r="BI13" s="159">
        <f t="shared" ca="1" si="44"/>
        <v>0</v>
      </c>
      <c r="BJ13" s="159">
        <f t="shared" ca="1" si="44"/>
        <v>210</v>
      </c>
      <c r="BK13" s="159">
        <f t="shared" ca="1" si="44"/>
        <v>151.72</v>
      </c>
      <c r="BL13" s="162">
        <f t="shared" ca="1" si="19"/>
        <v>72.247619047619054</v>
      </c>
      <c r="BM13" s="159">
        <f t="shared" ref="BM13:BR13" ca="1" si="45">SUM(BM14:BM30)</f>
        <v>5</v>
      </c>
      <c r="BN13" s="159">
        <f t="shared" ca="1" si="45"/>
        <v>5</v>
      </c>
      <c r="BO13" s="159">
        <f t="shared" ca="1" si="45"/>
        <v>94.48</v>
      </c>
      <c r="BP13" s="159">
        <f t="shared" ca="1" si="45"/>
        <v>3</v>
      </c>
      <c r="BQ13" s="159">
        <f t="shared" ca="1" si="45"/>
        <v>3</v>
      </c>
      <c r="BR13" s="159">
        <f t="shared" ca="1" si="45"/>
        <v>57.24</v>
      </c>
    </row>
    <row r="14" spans="1:70" ht="24" customHeight="1" x14ac:dyDescent="0.3">
      <c r="A14" s="178">
        <v>1</v>
      </c>
      <c r="B14" s="179" t="s">
        <v>31</v>
      </c>
      <c r="C14" s="180">
        <f t="shared" ref="C14:C30" ca="1" si="46">D14+E14</f>
        <v>4580</v>
      </c>
      <c r="D14" s="181">
        <f ca="1">IFERROR(__xludf.DUMMYFUNCTION("IMPORTRANGE(""https://docs.google.com/spreadsheets/d/1KxicF4apzSqm0-jIpmueT4kyZtE-Cwn5zskl7GD4loQ/edit?usp=sharing"",""กำแพงเพชร!L690"")"),4580)</f>
        <v>4580</v>
      </c>
      <c r="E14" s="181">
        <f ca="1">IFERROR(__xludf.DUMMYFUNCTION("IMPORTRANGE(""https://docs.google.com/spreadsheets/d/1KxicF4apzSqm0-jIpmueT4kyZtE-Cwn5zskl7GD4loQ/edit?usp=sharing"",""กำแพงเพชร!L697"")"),0)</f>
        <v>0</v>
      </c>
      <c r="F14" s="182">
        <f t="shared" ca="1" si="1"/>
        <v>0</v>
      </c>
      <c r="G14" s="183">
        <f t="shared" ca="1" si="2"/>
        <v>0</v>
      </c>
      <c r="H14" s="184">
        <f t="shared" ref="H14:H30" ca="1" si="47">I14+J14+K14+L14</f>
        <v>0</v>
      </c>
      <c r="I14" s="181">
        <f ca="1">IFERROR(__xludf.DUMMYFUNCTION("IMPORTRANGE(""https://docs.google.com/spreadsheets/d/1KxicF4apzSqm0-jIpmueT4kyZtE-Cwn5zskl7GD4loQ/edit?usp=sharing"",""กำแพงเพชร!N691"")"),0)</f>
        <v>0</v>
      </c>
      <c r="J14" s="181">
        <f ca="1">IFERROR(__xludf.DUMMYFUNCTION("IMPORTRANGE(""https://docs.google.com/spreadsheets/d/1KxicF4apzSqm0-jIpmueT4kyZtE-Cwn5zskl7GD4loQ/edit?usp=sharing"",""กำแพงเพชร!N692"")"),0)</f>
        <v>0</v>
      </c>
      <c r="K14" s="181">
        <f ca="1">IFERROR(__xludf.DUMMYFUNCTION("IMPORTRANGE(""https://docs.google.com/spreadsheets/d/1KxicF4apzSqm0-jIpmueT4kyZtE-Cwn5zskl7GD4loQ/edit?usp=sharing"",""กำแพงเพชร!N693"")"),0)</f>
        <v>0</v>
      </c>
      <c r="L14" s="181">
        <f ca="1">IFERROR(__xludf.DUMMYFUNCTION("IMPORTRANGE(""https://docs.google.com/spreadsheets/d/1KxicF4apzSqm0-jIpmueT4kyZtE-Cwn5zskl7GD4loQ/edit?usp=sharing"",""กำแพงเพชร!N694"")"),0)</f>
        <v>0</v>
      </c>
      <c r="M14" s="185">
        <f ca="1">IFERROR(__xludf.DUMMYFUNCTION("IMPORTRANGE(""https://docs.google.com/spreadsheets/d/1KxicF4apzSqm0-jIpmueT4kyZtE-Cwn5zskl7GD4loQ/edit?usp=sharing"",""กำแพงเพชร!N697"")"),0)</f>
        <v>0</v>
      </c>
      <c r="N14" s="185">
        <f t="shared" ca="1" si="37"/>
        <v>0</v>
      </c>
      <c r="O14" s="181">
        <f ca="1">IFERROR(__xludf.DUMMYFUNCTION("IMPORTRANGE(""https://docs.google.com/spreadsheets/d/1KxicF4apzSqm0-jIpmueT4kyZtE-Cwn5zskl7GD4loQ/edit?usp=sharing"",""กำแพงเพชร!I699"")"),0)</f>
        <v>0</v>
      </c>
      <c r="P14" s="181">
        <f ca="1">IFERROR(__xludf.DUMMYFUNCTION("IMPORTRANGE(""https://docs.google.com/spreadsheets/d/1KxicF4apzSqm0-jIpmueT4kyZtE-Cwn5zskl7GD4loQ/edit?usp=sharing"",""กำแพงเพชร!J699"")"),0)</f>
        <v>0</v>
      </c>
      <c r="Q14" s="186">
        <f t="shared" ca="1" si="31"/>
        <v>0</v>
      </c>
      <c r="R14" s="181">
        <f ca="1">IFERROR(__xludf.DUMMYFUNCTION("IMPORTRANGE(""https://docs.google.com/spreadsheets/d/1KxicF4apzSqm0-jIpmueT4kyZtE-Cwn5zskl7GD4loQ/edit?usp=sharing"",""กำแพงเพชร!I700"")"),0)</f>
        <v>0</v>
      </c>
      <c r="S14" s="181">
        <f ca="1">IFERROR(__xludf.DUMMYFUNCTION("IMPORTRANGE(""https://docs.google.com/spreadsheets/d/1KxicF4apzSqm0-jIpmueT4kyZtE-Cwn5zskl7GD4loQ/edit?usp=sharing"",""กำแพงเพชร!J700"")"),0)</f>
        <v>0</v>
      </c>
      <c r="T14" s="186">
        <f t="shared" ca="1" si="32"/>
        <v>0</v>
      </c>
      <c r="U14" s="181">
        <f ca="1">IFERROR(__xludf.DUMMYFUNCTION("IMPORTRANGE(""https://docs.google.com/spreadsheets/d/1KxicF4apzSqm0-jIpmueT4kyZtE-Cwn5zskl7GD4loQ/edit?usp=sharing"",""กำแพงเพชร!I701"")"),40)</f>
        <v>40</v>
      </c>
      <c r="V14" s="181">
        <f ca="1">IFERROR(__xludf.DUMMYFUNCTION("IMPORTRANGE(""https://docs.google.com/spreadsheets/d/1KxicF4apzSqm0-jIpmueT4kyZtE-Cwn5zskl7GD4loQ/edit?usp=sharing"",""กำแพงเพชร!J701"")"),0)</f>
        <v>0</v>
      </c>
      <c r="W14" s="186">
        <f t="shared" ca="1" si="33"/>
        <v>0</v>
      </c>
      <c r="X14" s="186">
        <f ca="1">IFERROR(__xludf.DUMMYFUNCTION("IMPORTRANGE(""https://docs.google.com/spreadsheets/d/1KxicF4apzSqm0-jIpmueT4kyZtE-Cwn5zskl7GD4loQ/edit?usp=sharing"",""กำแพงเพชร!J702"")"),0)</f>
        <v>0</v>
      </c>
      <c r="Y14" s="186">
        <f ca="1">IFERROR(__xludf.DUMMYFUNCTION("IMPORTRANGE(""https://docs.google.com/spreadsheets/d/1KxicF4apzSqm0-jIpmueT4kyZtE-Cwn5zskl7GD4loQ/edit?usp=sharing"",""กำแพงเพชร!J703"")"),0)</f>
        <v>0</v>
      </c>
      <c r="Z14" s="186">
        <f ca="1">IFERROR(__xludf.DUMMYFUNCTION("IMPORTRANGE(""https://docs.google.com/spreadsheets/d/1KxicF4apzSqm0-jIpmueT4kyZtE-Cwn5zskl7GD4loQ/edit?usp=sharing"",""กำแพงเพชร!J704"")"),0)</f>
        <v>0</v>
      </c>
      <c r="AA14" s="186">
        <f ca="1">IFERROR(__xludf.DUMMYFUNCTION("IMPORTRANGE(""https://docs.google.com/spreadsheets/d/1KxicF4apzSqm0-jIpmueT4kyZtE-Cwn5zskl7GD4loQ/edit?usp=sharing"",""กำแพงเพชร!J705"")"),0)</f>
        <v>0</v>
      </c>
      <c r="AB14" s="186">
        <f ca="1">IFERROR(__xludf.DUMMYFUNCTION("IMPORTRANGE(""https://docs.google.com/spreadsheets/d/1KxicF4apzSqm0-jIpmueT4kyZtE-Cwn5zskl7GD4loQ/edit?usp=sharing"",""กำแพงเพชร!J706"")"),0)</f>
        <v>0</v>
      </c>
      <c r="AC14" s="186">
        <f ca="1">IFERROR(__xludf.DUMMYFUNCTION("IMPORTRANGE(""https://docs.google.com/spreadsheets/d/1KxicF4apzSqm0-jIpmueT4kyZtE-Cwn5zskl7GD4loQ/edit?usp=sharing"",""กำแพงเพชร!J707"")"),0)</f>
        <v>0</v>
      </c>
      <c r="AD14" s="181">
        <f ca="1">IFERROR(__xludf.DUMMYFUNCTION("IMPORTRANGE(""https://docs.google.com/spreadsheets/d/1KxicF4apzSqm0-jIpmueT4kyZtE-Cwn5zskl7GD4loQ/edit?usp=sharing"",""กำแพงเพชร!I708"")"),40)</f>
        <v>40</v>
      </c>
      <c r="AE14" s="181">
        <f ca="1">IFERROR(__xludf.DUMMYFUNCTION("IMPORTRANGE(""https://docs.google.com/spreadsheets/d/1KxicF4apzSqm0-jIpmueT4kyZtE-Cwn5zskl7GD4loQ/edit?usp=sharing"",""กำแพงเพชร!J708"")"),0)</f>
        <v>0</v>
      </c>
      <c r="AF14" s="186">
        <f t="shared" ca="1" si="34"/>
        <v>0</v>
      </c>
      <c r="AG14" s="181">
        <f ca="1">IFERROR(__xludf.DUMMYFUNCTION("IMPORTRANGE(""https://docs.google.com/spreadsheets/d/1KxicF4apzSqm0-jIpmueT4kyZtE-Cwn5zskl7GD4loQ/edit?usp=sharing"",""กำแพงเพชร!J709"")"),0)</f>
        <v>0</v>
      </c>
      <c r="AH14" s="181">
        <f ca="1">IFERROR(__xludf.DUMMYFUNCTION("IMPORTRANGE(""https://docs.google.com/spreadsheets/d/1KxicF4apzSqm0-jIpmueT4kyZtE-Cwn5zskl7GD4loQ/edit?usp=sharing"",""กำแพงเพชร!J710"")"),0)</f>
        <v>0</v>
      </c>
      <c r="AI14" s="181">
        <f ca="1">IFERROR(__xludf.DUMMYFUNCTION("IMPORTRANGE(""https://docs.google.com/spreadsheets/d/1KxicF4apzSqm0-jIpmueT4kyZtE-Cwn5zskl7GD4loQ/edit?usp=sharing"",""กำแพงเพชร!J712"")"),0)</f>
        <v>0</v>
      </c>
      <c r="AJ14" s="181">
        <f ca="1">IFERROR(__xludf.DUMMYFUNCTION("IMPORTRANGE(""https://docs.google.com/spreadsheets/d/1KxicF4apzSqm0-jIpmueT4kyZtE-Cwn5zskl7GD4loQ/edit?usp=sharing"",""กำแพงเพชร!J713"")"),0)</f>
        <v>0</v>
      </c>
      <c r="AK14" s="181">
        <f ca="1">IFERROR(__xludf.DUMMYFUNCTION("IMPORTRANGE(""https://docs.google.com/spreadsheets/d/1KxicF4apzSqm0-jIpmueT4kyZtE-Cwn5zskl7GD4loQ/edit?usp=sharing"",""กำแพงเพชร!J714"")"),0)</f>
        <v>0</v>
      </c>
      <c r="AL14" s="181">
        <f ca="1">IFERROR(__xludf.DUMMYFUNCTION("IMPORTRANGE(""https://docs.google.com/spreadsheets/d/1KxicF4apzSqm0-jIpmueT4kyZtE-Cwn5zskl7GD4loQ/edit?usp=sharing"",""กำแพงเพชร!J715"")"),0)</f>
        <v>0</v>
      </c>
      <c r="AM14" s="181">
        <f ca="1">IFERROR(__xludf.DUMMYFUNCTION("IMPORTRANGE(""https://docs.google.com/spreadsheets/d/1KxicF4apzSqm0-jIpmueT4kyZtE-Cwn5zskl7GD4loQ/edit?usp=sharing"",""กำแพงเพชร!J716"")"),0)</f>
        <v>0</v>
      </c>
      <c r="AN14" s="181">
        <f ca="1">IFERROR(__xludf.DUMMYFUNCTION("IMPORTRANGE(""https://docs.google.com/spreadsheets/d/1KxicF4apzSqm0-jIpmueT4kyZtE-Cwn5zskl7GD4loQ/edit?usp=sharing"",""กำแพงเพชร!J717"")"),0)</f>
        <v>0</v>
      </c>
      <c r="AO14" s="181">
        <f ca="1">IFERROR(__xludf.DUMMYFUNCTION("IMPORTRANGE(""https://docs.google.com/spreadsheets/d/1KxicF4apzSqm0-jIpmueT4kyZtE-Cwn5zskl7GD4loQ/edit?usp=sharing"",""กำแพงเพชร!I720"")"),50)</f>
        <v>50</v>
      </c>
      <c r="AP14" s="181">
        <f ca="1">IFERROR(__xludf.DUMMYFUNCTION("IMPORTRANGE(""https://docs.google.com/spreadsheets/d/1KxicF4apzSqm0-jIpmueT4kyZtE-Cwn5zskl7GD4loQ/edit?usp=sharing"",""กำแพงเพชร!J718"")"),0)</f>
        <v>0</v>
      </c>
      <c r="AQ14" s="181">
        <f ca="1">IFERROR(__xludf.DUMMYFUNCTION("IMPORTRANGE(""https://docs.google.com/spreadsheets/d/1KxicF4apzSqm0-jIpmueT4kyZtE-Cwn5zskl7GD4loQ/edit?usp=sharing"",""กำแพงเพชร!J719"")"),0)</f>
        <v>0</v>
      </c>
      <c r="AR14" s="181">
        <f ca="1">IFERROR(__xludf.DUMMYFUNCTION("IMPORTRANGE(""https://docs.google.com/spreadsheets/d/1KxicF4apzSqm0-jIpmueT4kyZtE-Cwn5zskl7GD4loQ/edit?usp=sharing"",""กำแพงเพชร!J720"")"),0)</f>
        <v>0</v>
      </c>
      <c r="AS14" s="186">
        <f t="shared" ca="1" si="14"/>
        <v>0</v>
      </c>
      <c r="AT14" s="181">
        <f ca="1">IFERROR(__xludf.DUMMYFUNCTION("IMPORTRANGE(""https://docs.google.com/spreadsheets/d/1KxicF4apzSqm0-jIpmueT4kyZtE-Cwn5zskl7GD4loQ/edit?usp=sharing"",""กำแพงเพชร!I721"")"),4)</f>
        <v>4</v>
      </c>
      <c r="AU14" s="181">
        <f ca="1">IFERROR(__xludf.DUMMYFUNCTION("IMPORTRANGE(""https://docs.google.com/spreadsheets/d/1KxicF4apzSqm0-jIpmueT4kyZtE-Cwn5zskl7GD4loQ/edit?usp=sharing"",""กำแพงเพชร!I722"")"),50)</f>
        <v>50</v>
      </c>
      <c r="AV14" s="181">
        <f ca="1">IFERROR(__xludf.DUMMYFUNCTION("IMPORTRANGE(""https://docs.google.com/spreadsheets/d/1KxicF4apzSqm0-jIpmueT4kyZtE-Cwn5zskl7GD4loQ/edit?usp=sharing"",""กำแพงเพชร!J721"")"),0)</f>
        <v>0</v>
      </c>
      <c r="AW14" s="186">
        <f t="shared" ca="1" si="16"/>
        <v>0</v>
      </c>
      <c r="AX14" s="181">
        <f ca="1">IFERROR(__xludf.DUMMYFUNCTION("IMPORTRANGE(""https://docs.google.com/spreadsheets/d/1KxicF4apzSqm0-jIpmueT4kyZtE-Cwn5zskl7GD4loQ/edit?usp=sharing"",""กำแพงเพชร!J722"")"),0)</f>
        <v>0</v>
      </c>
      <c r="AY14" s="186">
        <f t="shared" ca="1" si="17"/>
        <v>0</v>
      </c>
      <c r="AZ14" s="181">
        <f ca="1">IFERROR(__xludf.DUMMYFUNCTION("IMPORTRANGE(""https://docs.google.com/spreadsheets/d/1KxicF4apzSqm0-jIpmueT4kyZtE-Cwn5zskl7GD4loQ/edit?usp=sharing"",""กำแพงเพชร!I723"")"),4)</f>
        <v>4</v>
      </c>
      <c r="BA14" s="181">
        <f ca="1">IFERROR(__xludf.DUMMYFUNCTION("IMPORTRANGE(""https://docs.google.com/spreadsheets/d/1KxicF4apzSqm0-jIpmueT4kyZtE-Cwn5zskl7GD4loQ/edit?usp=sharing"",""กำแพงเพชร!I725"")"),50)</f>
        <v>50</v>
      </c>
      <c r="BB14" s="181">
        <f ca="1">IFERROR(__xludf.DUMMYFUNCTION("IMPORTRANGE(""https://docs.google.com/spreadsheets/d/1KxicF4apzSqm0-jIpmueT4kyZtE-Cwn5zskl7GD4loQ/edit?usp=sharing"",""กำแพงเพชร!J723"")"),0)</f>
        <v>0</v>
      </c>
      <c r="BC14" s="181">
        <f ca="1">IFERROR(__xludf.DUMMYFUNCTION("IMPORTRANGE(""https://docs.google.com/spreadsheets/d/1KxicF4apzSqm0-jIpmueT4kyZtE-Cwn5zskl7GD4loQ/edit?usp=sharing"",""กำแพงเพชร!J724"")"),0)</f>
        <v>0</v>
      </c>
      <c r="BD14" s="181">
        <f ca="1">IFERROR(__xludf.DUMMYFUNCTION("IMPORTRANGE(""https://docs.google.com/spreadsheets/d/1KxicF4apzSqm0-jIpmueT4kyZtE-Cwn5zskl7GD4loQ/edit?usp=sharing"",""กำแพงเพชร!J725"")"),0)</f>
        <v>0</v>
      </c>
      <c r="BE14" s="181">
        <f ca="1">IFERROR(__xludf.DUMMYFUNCTION("IMPORTRANGE(""https://docs.google.com/spreadsheets/d/1KxicF4apzSqm0-jIpmueT4kyZtE-Cwn5zskl7GD4loQ/edit?usp=sharing"",""กำแพงเพชร!I726"")"),0)</f>
        <v>0</v>
      </c>
      <c r="BF14" s="181">
        <f ca="1">IFERROR(__xludf.DUMMYFUNCTION("IMPORTRANGE(""https://docs.google.com/spreadsheets/d/1KxicF4apzSqm0-jIpmueT4kyZtE-Cwn5zskl7GD4loQ/edit?usp=sharing"",""กำแพงเพชร!I728"")"),0)</f>
        <v>0</v>
      </c>
      <c r="BG14" s="181">
        <f ca="1">IFERROR(__xludf.DUMMYFUNCTION("IMPORTRANGE(""https://docs.google.com/spreadsheets/d/1KxicF4apzSqm0-jIpmueT4kyZtE-Cwn5zskl7GD4loQ/edit?usp=sharing"",""กำแพงเพชร!J726"")"),0)</f>
        <v>0</v>
      </c>
      <c r="BH14" s="181">
        <f ca="1">IFERROR(__xludf.DUMMYFUNCTION("IMPORTRANGE(""https://docs.google.com/spreadsheets/d/1KxicF4apzSqm0-jIpmueT4kyZtE-Cwn5zskl7GD4loQ/edit?usp=sharing"",""กำแพงเพชร!J727"")"),0)</f>
        <v>0</v>
      </c>
      <c r="BI14" s="181">
        <f ca="1">IFERROR(__xludf.DUMMYFUNCTION("IMPORTRANGE(""https://docs.google.com/spreadsheets/d/1KxicF4apzSqm0-jIpmueT4kyZtE-Cwn5zskl7GD4loQ/edit?usp=sharing"",""กำแพงเพชร!J728"")"),0)</f>
        <v>0</v>
      </c>
      <c r="BJ14" s="181">
        <f ca="1">IFERROR(__xludf.DUMMYFUNCTION("IMPORTRANGE(""https://docs.google.com/spreadsheets/d/1KxicF4apzSqm0-jIpmueT4kyZtE-Cwn5zskl7GD4loQ/edit?usp=sharing"",""กำแพงเพชร!I729"")"),0)</f>
        <v>0</v>
      </c>
      <c r="BK14" s="181">
        <f ca="1">IFERROR(__xludf.DUMMYFUNCTION("IMPORTRANGE(""https://docs.google.com/spreadsheets/d/1KxicF4apzSqm0-jIpmueT4kyZtE-Cwn5zskl7GD4loQ/edit?usp=sharing"",""กำแพงเพชร!J729"")"),0)</f>
        <v>0</v>
      </c>
      <c r="BL14" s="186">
        <f t="shared" ca="1" si="19"/>
        <v>0</v>
      </c>
      <c r="BM14" s="181">
        <f ca="1">IFERROR(__xludf.DUMMYFUNCTION("IMPORTRANGE(""https://docs.google.com/spreadsheets/d/1KxicF4apzSqm0-jIpmueT4kyZtE-Cwn5zskl7GD4loQ/edit?usp=sharing"",""กำแพงเพชร!J730"")"),0)</f>
        <v>0</v>
      </c>
      <c r="BN14" s="181">
        <f ca="1">IFERROR(__xludf.DUMMYFUNCTION("IMPORTRANGE(""https://docs.google.com/spreadsheets/d/1KxicF4apzSqm0-jIpmueT4kyZtE-Cwn5zskl7GD4loQ/edit?usp=sharing"",""กำแพงเพชร!J731"")"),0)</f>
        <v>0</v>
      </c>
      <c r="BO14" s="181">
        <f ca="1">IFERROR(__xludf.DUMMYFUNCTION("IMPORTRANGE(""https://docs.google.com/spreadsheets/d/1KxicF4apzSqm0-jIpmueT4kyZtE-Cwn5zskl7GD4loQ/edit?usp=sharing"",""กำแพงเพชร!J732"")"),0)</f>
        <v>0</v>
      </c>
      <c r="BP14" s="181">
        <f ca="1">IFERROR(__xludf.DUMMYFUNCTION("IMPORTRANGE(""https://docs.google.com/spreadsheets/d/1KxicF4apzSqm0-jIpmueT4kyZtE-Cwn5zskl7GD4loQ/edit?usp=sharing"",""กำแพงเพชร!J733"")"),0)</f>
        <v>0</v>
      </c>
      <c r="BQ14" s="181">
        <f ca="1">IFERROR(__xludf.DUMMYFUNCTION("IMPORTRANGE(""https://docs.google.com/spreadsheets/d/1KxicF4apzSqm0-jIpmueT4kyZtE-Cwn5zskl7GD4loQ/edit?usp=sharing"",""กำแพงเพชร!J734"")"),0)</f>
        <v>0</v>
      </c>
      <c r="BR14" s="181">
        <f ca="1">IFERROR(__xludf.DUMMYFUNCTION("IMPORTRANGE(""https://docs.google.com/spreadsheets/d/1KxicF4apzSqm0-jIpmueT4kyZtE-Cwn5zskl7GD4loQ/edit?usp=sharing"",""กำแพงเพชร!J735"")"),0)</f>
        <v>0</v>
      </c>
    </row>
    <row r="15" spans="1:70" ht="24" customHeight="1" x14ac:dyDescent="0.3">
      <c r="A15" s="178">
        <v>2</v>
      </c>
      <c r="B15" s="179" t="s">
        <v>32</v>
      </c>
      <c r="C15" s="180">
        <f t="shared" ca="1" si="46"/>
        <v>0</v>
      </c>
      <c r="D15" s="181">
        <f ca="1">IFERROR(__xludf.DUMMYFUNCTION("IMPORTRANGE(""https://docs.google.com/spreadsheets/d/1ZNYWeiFoFA1K1U4xKWqRX29MBvEyRHXORjo734Gnq_c/edit?usp=sharing"",""เชียงราย!L690"")"),0)</f>
        <v>0</v>
      </c>
      <c r="E15" s="187">
        <f ca="1">IFERROR(__xludf.DUMMYFUNCTION("IMPORTRANGE(""https://docs.google.com/spreadsheets/d/1ZNYWeiFoFA1K1U4xKWqRX29MBvEyRHXORjo734Gnq_c/edit?usp=sharing"",""เชียงราย!L697"")"),0)</f>
        <v>0</v>
      </c>
      <c r="F15" s="182">
        <f t="shared" ca="1" si="1"/>
        <v>0</v>
      </c>
      <c r="G15" s="183">
        <f t="shared" ca="1" si="2"/>
        <v>0</v>
      </c>
      <c r="H15" s="184">
        <f t="shared" ca="1" si="47"/>
        <v>0</v>
      </c>
      <c r="I15" s="187">
        <f ca="1">IFERROR(__xludf.DUMMYFUNCTION("IMPORTRANGE(""https://docs.google.com/spreadsheets/d/1ZNYWeiFoFA1K1U4xKWqRX29MBvEyRHXORjo734Gnq_c/edit?usp=sharing"",""เชียงราย!N691"")"),0)</f>
        <v>0</v>
      </c>
      <c r="J15" s="187">
        <f ca="1">IFERROR(__xludf.DUMMYFUNCTION("IMPORTRANGE(""https://docs.google.com/spreadsheets/d/1ZNYWeiFoFA1K1U4xKWqRX29MBvEyRHXORjo734Gnq_c/edit?usp=sharing"",""เชียงราย!N692"")"),0)</f>
        <v>0</v>
      </c>
      <c r="K15" s="187">
        <f ca="1">IFERROR(__xludf.DUMMYFUNCTION("IMPORTRANGE(""https://docs.google.com/spreadsheets/d/1ZNYWeiFoFA1K1U4xKWqRX29MBvEyRHXORjo734Gnq_c/edit?usp=sharing"",""เชียงราย!N693"")"),0)</f>
        <v>0</v>
      </c>
      <c r="L15" s="187">
        <f ca="1">IFERROR(__xludf.DUMMYFUNCTION("IMPORTRANGE(""https://docs.google.com/spreadsheets/d/1ZNYWeiFoFA1K1U4xKWqRX29MBvEyRHXORjo734Gnq_c/edit?usp=sharing"",""เชียงราย!N694"")"),0)</f>
        <v>0</v>
      </c>
      <c r="M15" s="185">
        <f ca="1">IFERROR(__xludf.DUMMYFUNCTION("IMPORTRANGE(""https://docs.google.com/spreadsheets/d/1ZNYWeiFoFA1K1U4xKWqRX29MBvEyRHXORjo734Gnq_c/edit?usp=sharing"",""เชียงราย!N697"")"),0)</f>
        <v>0</v>
      </c>
      <c r="N15" s="185">
        <f t="shared" ca="1" si="37"/>
        <v>0</v>
      </c>
      <c r="O15" s="181">
        <f ca="1">IFERROR(__xludf.DUMMYFUNCTION("IMPORTRANGE(""https://docs.google.com/spreadsheets/d/1ZNYWeiFoFA1K1U4xKWqRX29MBvEyRHXORjo734Gnq_c/edit?usp=sharing"",""เชียงราย!I699"")"),0)</f>
        <v>0</v>
      </c>
      <c r="P15" s="181">
        <f ca="1">IFERROR(__xludf.DUMMYFUNCTION("IMPORTRANGE(""https://docs.google.com/spreadsheets/d/1ZNYWeiFoFA1K1U4xKWqRX29MBvEyRHXORjo734Gnq_c/edit?usp=sharing"",""เชียงราย!J699"")"),0)</f>
        <v>0</v>
      </c>
      <c r="Q15" s="186">
        <f t="shared" ca="1" si="31"/>
        <v>0</v>
      </c>
      <c r="R15" s="181">
        <f ca="1">IFERROR(__xludf.DUMMYFUNCTION("IMPORTRANGE(""https://docs.google.com/spreadsheets/d/1ZNYWeiFoFA1K1U4xKWqRX29MBvEyRHXORjo734Gnq_c/edit?usp=sharing"",""เชียงราย!I700"")"),0)</f>
        <v>0</v>
      </c>
      <c r="S15" s="181">
        <f ca="1">IFERROR(__xludf.DUMMYFUNCTION("IMPORTRANGE(""https://docs.google.com/spreadsheets/d/1ZNYWeiFoFA1K1U4xKWqRX29MBvEyRHXORjo734Gnq_c/edit?usp=sharing"",""เชียงราย!J700"")"),0)</f>
        <v>0</v>
      </c>
      <c r="T15" s="186">
        <f t="shared" ca="1" si="32"/>
        <v>0</v>
      </c>
      <c r="U15" s="181">
        <f ca="1">IFERROR(__xludf.DUMMYFUNCTION("IMPORTRANGE(""https://docs.google.com/spreadsheets/d/1ZNYWeiFoFA1K1U4xKWqRX29MBvEyRHXORjo734Gnq_c/edit?usp=sharing"",""เชียงราย!I701"")"),0)</f>
        <v>0</v>
      </c>
      <c r="V15" s="181">
        <f ca="1">IFERROR(__xludf.DUMMYFUNCTION("IMPORTRANGE(""https://docs.google.com/spreadsheets/d/1ZNYWeiFoFA1K1U4xKWqRX29MBvEyRHXORjo734Gnq_c/edit?usp=sharing"",""เชียงราย!J701"")"),0)</f>
        <v>0</v>
      </c>
      <c r="W15" s="186">
        <f t="shared" ca="1" si="33"/>
        <v>0</v>
      </c>
      <c r="X15" s="186">
        <f ca="1">IFERROR(__xludf.DUMMYFUNCTION("IMPORTRANGE(""https://docs.google.com/spreadsheets/d/1ZNYWeiFoFA1K1U4xKWqRX29MBvEyRHXORjo734Gnq_c/edit?usp=sharing"",""เชียงราย!J702"")"),0)</f>
        <v>0</v>
      </c>
      <c r="Y15" s="186">
        <f ca="1">IFERROR(__xludf.DUMMYFUNCTION("IMPORTRANGE(""https://docs.google.com/spreadsheets/d/1ZNYWeiFoFA1K1U4xKWqRX29MBvEyRHXORjo734Gnq_c/edit?usp=sharing"",""เชียงราย!J703"")"),0)</f>
        <v>0</v>
      </c>
      <c r="Z15" s="186">
        <f ca="1">IFERROR(__xludf.DUMMYFUNCTION("IMPORTRANGE(""https://docs.google.com/spreadsheets/d/1ZNYWeiFoFA1K1U4xKWqRX29MBvEyRHXORjo734Gnq_c/edit?usp=sharing"",""เชียงราย!J704"")"),0)</f>
        <v>0</v>
      </c>
      <c r="AA15" s="186">
        <f ca="1">IFERROR(__xludf.DUMMYFUNCTION("IMPORTRANGE(""https://docs.google.com/spreadsheets/d/1ZNYWeiFoFA1K1U4xKWqRX29MBvEyRHXORjo734Gnq_c/edit?usp=sharing"",""เชียงราย!J705"")"),0)</f>
        <v>0</v>
      </c>
      <c r="AB15" s="186">
        <f ca="1">IFERROR(__xludf.DUMMYFUNCTION("IMPORTRANGE(""https://docs.google.com/spreadsheets/d/1ZNYWeiFoFA1K1U4xKWqRX29MBvEyRHXORjo734Gnq_c/edit?usp=sharing"",""เชียงราย!J706"")"),0)</f>
        <v>0</v>
      </c>
      <c r="AC15" s="186">
        <f ca="1">IFERROR(__xludf.DUMMYFUNCTION("IMPORTRANGE(""https://docs.google.com/spreadsheets/d/1ZNYWeiFoFA1K1U4xKWqRX29MBvEyRHXORjo734Gnq_c/edit?usp=sharing"",""เชียงราย!J707"")"),0)</f>
        <v>0</v>
      </c>
      <c r="AD15" s="181">
        <f ca="1">IFERROR(__xludf.DUMMYFUNCTION("IMPORTRANGE(""https://docs.google.com/spreadsheets/d/1ZNYWeiFoFA1K1U4xKWqRX29MBvEyRHXORjo734Gnq_c/edit?usp=sharing"",""เชียงราย!I708"")"),0)</f>
        <v>0</v>
      </c>
      <c r="AE15" s="181">
        <f ca="1">IFERROR(__xludf.DUMMYFUNCTION("IMPORTRANGE(""https://docs.google.com/spreadsheets/d/1ZNYWeiFoFA1K1U4xKWqRX29MBvEyRHXORjo734Gnq_c/edit?usp=sharing"",""เชียงราย!J708"")"),0)</f>
        <v>0</v>
      </c>
      <c r="AF15" s="186">
        <f t="shared" ca="1" si="34"/>
        <v>0</v>
      </c>
      <c r="AG15" s="181">
        <f ca="1">IFERROR(__xludf.DUMMYFUNCTION("IMPORTRANGE(""https://docs.google.com/spreadsheets/d/1ZNYWeiFoFA1K1U4xKWqRX29MBvEyRHXORjo734Gnq_c/edit?usp=sharing"",""เชียงราย!J709"")"),0)</f>
        <v>0</v>
      </c>
      <c r="AH15" s="181">
        <f ca="1">IFERROR(__xludf.DUMMYFUNCTION("IMPORTRANGE(""https://docs.google.com/spreadsheets/d/1ZNYWeiFoFA1K1U4xKWqRX29MBvEyRHXORjo734Gnq_c/edit?usp=sharing"",""เชียงราย!J710"")"),0)</f>
        <v>0</v>
      </c>
      <c r="AI15" s="181">
        <f ca="1">IFERROR(__xludf.DUMMYFUNCTION("IMPORTRANGE(""https://docs.google.com/spreadsheets/d/1ZNYWeiFoFA1K1U4xKWqRX29MBvEyRHXORjo734Gnq_c/edit?usp=sharing"",""เชียงราย!J712"")"),0)</f>
        <v>0</v>
      </c>
      <c r="AJ15" s="181">
        <f ca="1">IFERROR(__xludf.DUMMYFUNCTION("IMPORTRANGE(""https://docs.google.com/spreadsheets/d/1ZNYWeiFoFA1K1U4xKWqRX29MBvEyRHXORjo734Gnq_c/edit?usp=sharing"",""เชียงราย!J713"")"),0)</f>
        <v>0</v>
      </c>
      <c r="AK15" s="181">
        <f ca="1">IFERROR(__xludf.DUMMYFUNCTION("IMPORTRANGE(""https://docs.google.com/spreadsheets/d/1ZNYWeiFoFA1K1U4xKWqRX29MBvEyRHXORjo734Gnq_c/edit?usp=sharing"",""เชียงราย!J714"")"),0)</f>
        <v>0</v>
      </c>
      <c r="AL15" s="181">
        <f ca="1">IFERROR(__xludf.DUMMYFUNCTION("IMPORTRANGE(""https://docs.google.com/spreadsheets/d/1ZNYWeiFoFA1K1U4xKWqRX29MBvEyRHXORjo734Gnq_c/edit?usp=sharing"",""เชียงราย!J715"")"),0)</f>
        <v>0</v>
      </c>
      <c r="AM15" s="181">
        <f ca="1">IFERROR(__xludf.DUMMYFUNCTION("IMPORTRANGE(""https://docs.google.com/spreadsheets/d/1ZNYWeiFoFA1K1U4xKWqRX29MBvEyRHXORjo734Gnq_c/edit?usp=sharing"",""เชียงราย!J716"")"),0)</f>
        <v>0</v>
      </c>
      <c r="AN15" s="181">
        <f ca="1">IFERROR(__xludf.DUMMYFUNCTION("IMPORTRANGE(""https://docs.google.com/spreadsheets/d/1ZNYWeiFoFA1K1U4xKWqRX29MBvEyRHXORjo734Gnq_c/edit?usp=sharing"",""เชียงราย!J717"")"),0)</f>
        <v>0</v>
      </c>
      <c r="AO15" s="181">
        <f ca="1">IFERROR(__xludf.DUMMYFUNCTION("IMPORTRANGE(""https://docs.google.com/spreadsheets/d/1ZNYWeiFoFA1K1U4xKWqRX29MBvEyRHXORjo734Gnq_c/edit?usp=sharing"",""เชียงราย!I720"")"),0)</f>
        <v>0</v>
      </c>
      <c r="AP15" s="181">
        <f ca="1">IFERROR(__xludf.DUMMYFUNCTION("IMPORTRANGE(""https://docs.google.com/spreadsheets/d/1ZNYWeiFoFA1K1U4xKWqRX29MBvEyRHXORjo734Gnq_c/edit?usp=sharing"",""เชียงราย!J718"")"),0)</f>
        <v>0</v>
      </c>
      <c r="AQ15" s="181">
        <f ca="1">IFERROR(__xludf.DUMMYFUNCTION("IMPORTRANGE(""https://docs.google.com/spreadsheets/d/1ZNYWeiFoFA1K1U4xKWqRX29MBvEyRHXORjo734Gnq_c/edit?usp=sharing"",""เชียงราย!J719"")"),0)</f>
        <v>0</v>
      </c>
      <c r="AR15" s="181">
        <f ca="1">IFERROR(__xludf.DUMMYFUNCTION("IMPORTRANGE(""https://docs.google.com/spreadsheets/d/1ZNYWeiFoFA1K1U4xKWqRX29MBvEyRHXORjo734Gnq_c/edit?usp=sharing"",""เชียงราย!J720"")"),0)</f>
        <v>0</v>
      </c>
      <c r="AS15" s="186">
        <f t="shared" ca="1" si="14"/>
        <v>0</v>
      </c>
      <c r="AT15" s="181">
        <f ca="1">IFERROR(__xludf.DUMMYFUNCTION("IMPORTRANGE(""https://docs.google.com/spreadsheets/d/1ZNYWeiFoFA1K1U4xKWqRX29MBvEyRHXORjo734Gnq_c/edit?usp=sharing"",""เชียงราย!I721"")"),0)</f>
        <v>0</v>
      </c>
      <c r="AU15" s="181">
        <f ca="1">IFERROR(__xludf.DUMMYFUNCTION("IMPORTRANGE(""https://docs.google.com/spreadsheets/d/1ZNYWeiFoFA1K1U4xKWqRX29MBvEyRHXORjo734Gnq_c/edit?usp=sharing"",""เชียงราย!I722"")"),0)</f>
        <v>0</v>
      </c>
      <c r="AV15" s="181">
        <f ca="1">IFERROR(__xludf.DUMMYFUNCTION("IMPORTRANGE(""https://docs.google.com/spreadsheets/d/1ZNYWeiFoFA1K1U4xKWqRX29MBvEyRHXORjo734Gnq_c/edit?usp=sharing"",""เชียงราย!J721"")"),0)</f>
        <v>0</v>
      </c>
      <c r="AW15" s="186">
        <f t="shared" ca="1" si="16"/>
        <v>0</v>
      </c>
      <c r="AX15" s="181">
        <f ca="1">IFERROR(__xludf.DUMMYFUNCTION("IMPORTRANGE(""https://docs.google.com/spreadsheets/d/1ZNYWeiFoFA1K1U4xKWqRX29MBvEyRHXORjo734Gnq_c/edit?usp=sharing"",""เชียงราย!J722"")"),0)</f>
        <v>0</v>
      </c>
      <c r="AY15" s="186">
        <f t="shared" ca="1" si="17"/>
        <v>0</v>
      </c>
      <c r="AZ15" s="181">
        <f ca="1">IFERROR(__xludf.DUMMYFUNCTION("IMPORTRANGE(""https://docs.google.com/spreadsheets/d/1ZNYWeiFoFA1K1U4xKWqRX29MBvEyRHXORjo734Gnq_c/edit?usp=sharing"",""เชียงราย!I723"")"),0)</f>
        <v>0</v>
      </c>
      <c r="BA15" s="181">
        <f ca="1">IFERROR(__xludf.DUMMYFUNCTION("IMPORTRANGE(""https://docs.google.com/spreadsheets/d/1ZNYWeiFoFA1K1U4xKWqRX29MBvEyRHXORjo734Gnq_c/edit?usp=sharing"",""เชียงราย!I725"")"),0)</f>
        <v>0</v>
      </c>
      <c r="BB15" s="181">
        <f ca="1">IFERROR(__xludf.DUMMYFUNCTION("IMPORTRANGE(""https://docs.google.com/spreadsheets/d/1ZNYWeiFoFA1K1U4xKWqRX29MBvEyRHXORjo734Gnq_c/edit?usp=sharing"",""เชียงราย!J723"")"),0)</f>
        <v>0</v>
      </c>
      <c r="BC15" s="181">
        <f ca="1">IFERROR(__xludf.DUMMYFUNCTION("IMPORTRANGE(""https://docs.google.com/spreadsheets/d/1ZNYWeiFoFA1K1U4xKWqRX29MBvEyRHXORjo734Gnq_c/edit?usp=sharing"",""เชียงราย!J724"")"),0)</f>
        <v>0</v>
      </c>
      <c r="BD15" s="181">
        <f ca="1">IFERROR(__xludf.DUMMYFUNCTION("IMPORTRANGE(""https://docs.google.com/spreadsheets/d/1ZNYWeiFoFA1K1U4xKWqRX29MBvEyRHXORjo734Gnq_c/edit?usp=sharing"",""เชียงราย!J725"")"),0)</f>
        <v>0</v>
      </c>
      <c r="BE15" s="181">
        <f ca="1">IFERROR(__xludf.DUMMYFUNCTION("IMPORTRANGE(""https://docs.google.com/spreadsheets/d/1ZNYWeiFoFA1K1U4xKWqRX29MBvEyRHXORjo734Gnq_c/edit?usp=sharing"",""เชียงราย!I726"")"),0)</f>
        <v>0</v>
      </c>
      <c r="BF15" s="181">
        <f ca="1">IFERROR(__xludf.DUMMYFUNCTION("IMPORTRANGE(""https://docs.google.com/spreadsheets/d/1ZNYWeiFoFA1K1U4xKWqRX29MBvEyRHXORjo734Gnq_c/edit?usp=sharing"",""เชียงราย!I728"")"),0)</f>
        <v>0</v>
      </c>
      <c r="BG15" s="181">
        <f ca="1">IFERROR(__xludf.DUMMYFUNCTION("IMPORTRANGE(""https://docs.google.com/spreadsheets/d/1ZNYWeiFoFA1K1U4xKWqRX29MBvEyRHXORjo734Gnq_c/edit?usp=sharing"",""เชียงราย!J726"")"),0)</f>
        <v>0</v>
      </c>
      <c r="BH15" s="181">
        <f ca="1">IFERROR(__xludf.DUMMYFUNCTION("IMPORTRANGE(""https://docs.google.com/spreadsheets/d/1ZNYWeiFoFA1K1U4xKWqRX29MBvEyRHXORjo734Gnq_c/edit?usp=sharing"",""เชียงราย!J727"")"),0)</f>
        <v>0</v>
      </c>
      <c r="BI15" s="181">
        <f ca="1">IFERROR(__xludf.DUMMYFUNCTION("IMPORTRANGE(""https://docs.google.com/spreadsheets/d/1ZNYWeiFoFA1K1U4xKWqRX29MBvEyRHXORjo734Gnq_c/edit?usp=sharing"",""เชียงราย!J728"")"),0)</f>
        <v>0</v>
      </c>
      <c r="BJ15" s="181">
        <f ca="1">IFERROR(__xludf.DUMMYFUNCTION("IMPORTRANGE(""https://docs.google.com/spreadsheets/d/1ZNYWeiFoFA1K1U4xKWqRX29MBvEyRHXORjo734Gnq_c/edit?usp=sharing"",""เชียงราย!I729"")"),0)</f>
        <v>0</v>
      </c>
      <c r="BK15" s="181">
        <f ca="1">IFERROR(__xludf.DUMMYFUNCTION("IMPORTRANGE(""https://docs.google.com/spreadsheets/d/1ZNYWeiFoFA1K1U4xKWqRX29MBvEyRHXORjo734Gnq_c/edit?usp=sharing"",""เชียงราย!J729"")"),0)</f>
        <v>0</v>
      </c>
      <c r="BL15" s="186">
        <f t="shared" ca="1" si="19"/>
        <v>0</v>
      </c>
      <c r="BM15" s="181">
        <f ca="1">IFERROR(__xludf.DUMMYFUNCTION("IMPORTRANGE(""https://docs.google.com/spreadsheets/d/1ZNYWeiFoFA1K1U4xKWqRX29MBvEyRHXORjo734Gnq_c/edit?usp=sharing"",""เชียงราย!J730"")"),0)</f>
        <v>0</v>
      </c>
      <c r="BN15" s="181">
        <f ca="1">IFERROR(__xludf.DUMMYFUNCTION("IMPORTRANGE(""https://docs.google.com/spreadsheets/d/1ZNYWeiFoFA1K1U4xKWqRX29MBvEyRHXORjo734Gnq_c/edit?usp=sharing"",""เชียงราย!J731"")"),0)</f>
        <v>0</v>
      </c>
      <c r="BO15" s="181">
        <f ca="1">IFERROR(__xludf.DUMMYFUNCTION("IMPORTRANGE(""https://docs.google.com/spreadsheets/d/1ZNYWeiFoFA1K1U4xKWqRX29MBvEyRHXORjo734Gnq_c/edit?usp=sharing"",""เชียงราย!J732"")"),0)</f>
        <v>0</v>
      </c>
      <c r="BP15" s="181">
        <f ca="1">IFERROR(__xludf.DUMMYFUNCTION("IMPORTRANGE(""https://docs.google.com/spreadsheets/d/1ZNYWeiFoFA1K1U4xKWqRX29MBvEyRHXORjo734Gnq_c/edit?usp=sharing"",""เชียงราย!J733"")"),0)</f>
        <v>0</v>
      </c>
      <c r="BQ15" s="181">
        <f ca="1">IFERROR(__xludf.DUMMYFUNCTION("IMPORTRANGE(""https://docs.google.com/spreadsheets/d/1ZNYWeiFoFA1K1U4xKWqRX29MBvEyRHXORjo734Gnq_c/edit?usp=sharing"",""เชียงราย!J734"")"),0)</f>
        <v>0</v>
      </c>
      <c r="BR15" s="181">
        <f ca="1">IFERROR(__xludf.DUMMYFUNCTION("IMPORTRANGE(""https://docs.google.com/spreadsheets/d/1ZNYWeiFoFA1K1U4xKWqRX29MBvEyRHXORjo734Gnq_c/edit?usp=sharing"",""เชียงราย!J735"")"),0)</f>
        <v>0</v>
      </c>
    </row>
    <row r="16" spans="1:70" ht="24" customHeight="1" x14ac:dyDescent="0.3">
      <c r="A16" s="178">
        <v>3</v>
      </c>
      <c r="B16" s="179" t="s">
        <v>33</v>
      </c>
      <c r="C16" s="180">
        <f t="shared" ca="1" si="46"/>
        <v>1750</v>
      </c>
      <c r="D16" s="181">
        <f ca="1">IFERROR(__xludf.DUMMYFUNCTION("IMPORTRANGE(""https://docs.google.com/spreadsheets/d/1Jgv0Y7YlHDtsiDawwp-uvifEJ8HVaSn0k2aGHG8-hwM/edit?usp=sharing"",""เชียงใหม่!L690"")"),1750)</f>
        <v>1750</v>
      </c>
      <c r="E16" s="187">
        <f ca="1">IFERROR(__xludf.DUMMYFUNCTION("IMPORTRANGE(""https://docs.google.com/spreadsheets/d/1Jgv0Y7YlHDtsiDawwp-uvifEJ8HVaSn0k2aGHG8-hwM/edit?usp=sharing"",""เชียงใหม่!L697"")"),0)</f>
        <v>0</v>
      </c>
      <c r="F16" s="182">
        <f t="shared" ca="1" si="1"/>
        <v>0</v>
      </c>
      <c r="G16" s="183">
        <f t="shared" ca="1" si="2"/>
        <v>0</v>
      </c>
      <c r="H16" s="184">
        <f t="shared" ca="1" si="47"/>
        <v>0</v>
      </c>
      <c r="I16" s="187">
        <f ca="1">IFERROR(__xludf.DUMMYFUNCTION("IMPORTRANGE(""https://docs.google.com/spreadsheets/d/1Jgv0Y7YlHDtsiDawwp-uvifEJ8HVaSn0k2aGHG8-hwM/edit?usp=sharing"",""เชียงใหม่!N691"")"),0)</f>
        <v>0</v>
      </c>
      <c r="J16" s="187">
        <f ca="1">IFERROR(__xludf.DUMMYFUNCTION("IMPORTRANGE(""https://docs.google.com/spreadsheets/d/1Jgv0Y7YlHDtsiDawwp-uvifEJ8HVaSn0k2aGHG8-hwM/edit?usp=sharing"",""เชียงใหม่!N692"")"),0)</f>
        <v>0</v>
      </c>
      <c r="K16" s="187">
        <f ca="1">IFERROR(__xludf.DUMMYFUNCTION("IMPORTRANGE(""https://docs.google.com/spreadsheets/d/1Jgv0Y7YlHDtsiDawwp-uvifEJ8HVaSn0k2aGHG8-hwM/edit?usp=sharing"",""เชียงใหม่!N693"")"),0)</f>
        <v>0</v>
      </c>
      <c r="L16" s="187">
        <f ca="1">IFERROR(__xludf.DUMMYFUNCTION("IMPORTRANGE(""https://docs.google.com/spreadsheets/d/1Jgv0Y7YlHDtsiDawwp-uvifEJ8HVaSn0k2aGHG8-hwM/edit?usp=sharing"",""เชียงใหม่!N694"")"),0)</f>
        <v>0</v>
      </c>
      <c r="M16" s="185">
        <f ca="1">IFERROR(__xludf.DUMMYFUNCTION("IMPORTRANGE(""https://docs.google.com/spreadsheets/d/1Jgv0Y7YlHDtsiDawwp-uvifEJ8HVaSn0k2aGHG8-hwM/edit?usp=sharing"",""เชียงใหม่!N697"")"),0)</f>
        <v>0</v>
      </c>
      <c r="N16" s="185">
        <f t="shared" ca="1" si="37"/>
        <v>0</v>
      </c>
      <c r="O16" s="181">
        <f ca="1">IFERROR(__xludf.DUMMYFUNCTION("IMPORTRANGE(""https://docs.google.com/spreadsheets/d/1Jgv0Y7YlHDtsiDawwp-uvifEJ8HVaSn0k2aGHG8-hwM/edit?usp=sharing"",""เชียงใหม่!I699"")"),0)</f>
        <v>0</v>
      </c>
      <c r="P16" s="181">
        <f ca="1">IFERROR(__xludf.DUMMYFUNCTION("IMPORTRANGE(""https://docs.google.com/spreadsheets/d/1Jgv0Y7YlHDtsiDawwp-uvifEJ8HVaSn0k2aGHG8-hwM/edit?usp=sharing"",""เชียงใหม่!J699"")"),0)</f>
        <v>0</v>
      </c>
      <c r="Q16" s="186">
        <f t="shared" ca="1" si="31"/>
        <v>0</v>
      </c>
      <c r="R16" s="181">
        <f ca="1">IFERROR(__xludf.DUMMYFUNCTION("IMPORTRANGE(""https://docs.google.com/spreadsheets/d/1Jgv0Y7YlHDtsiDawwp-uvifEJ8HVaSn0k2aGHG8-hwM/edit?usp=sharing"",""เชียงใหม่!I700"")"),4)</f>
        <v>4</v>
      </c>
      <c r="S16" s="181">
        <f ca="1">IFERROR(__xludf.DUMMYFUNCTION("IMPORTRANGE(""https://docs.google.com/spreadsheets/d/1Jgv0Y7YlHDtsiDawwp-uvifEJ8HVaSn0k2aGHG8-hwM/edit?usp=sharing"",""เชียงใหม่!J700"")"),0)</f>
        <v>0</v>
      </c>
      <c r="T16" s="186">
        <f t="shared" ca="1" si="32"/>
        <v>0</v>
      </c>
      <c r="U16" s="181">
        <f ca="1">IFERROR(__xludf.DUMMYFUNCTION("IMPORTRANGE(""https://docs.google.com/spreadsheets/d/1Jgv0Y7YlHDtsiDawwp-uvifEJ8HVaSn0k2aGHG8-hwM/edit?usp=sharing"",""เชียงใหม่!I701"")"),0)</f>
        <v>0</v>
      </c>
      <c r="V16" s="181">
        <f ca="1">IFERROR(__xludf.DUMMYFUNCTION("IMPORTRANGE(""https://docs.google.com/spreadsheets/d/1Jgv0Y7YlHDtsiDawwp-uvifEJ8HVaSn0k2aGHG8-hwM/edit?usp=sharing"",""เชียงใหม่!J701"")"),0)</f>
        <v>0</v>
      </c>
      <c r="W16" s="186">
        <f t="shared" ca="1" si="33"/>
        <v>0</v>
      </c>
      <c r="X16" s="186">
        <f ca="1">IFERROR(__xludf.DUMMYFUNCTION("IMPORTRANGE(""https://docs.google.com/spreadsheets/d/1Jgv0Y7YlHDtsiDawwp-uvifEJ8HVaSn0k2aGHG8-hwM/edit?usp=sharing"",""เชียงใหม่!J702"")"),0)</f>
        <v>0</v>
      </c>
      <c r="Y16" s="186">
        <f ca="1">IFERROR(__xludf.DUMMYFUNCTION("IMPORTRANGE(""https://docs.google.com/spreadsheets/d/1Jgv0Y7YlHDtsiDawwp-uvifEJ8HVaSn0k2aGHG8-hwM/edit?usp=sharing"",""เชียงใหม่!J703"")"),0)</f>
        <v>0</v>
      </c>
      <c r="Z16" s="186">
        <f ca="1">IFERROR(__xludf.DUMMYFUNCTION("IMPORTRANGE(""https://docs.google.com/spreadsheets/d/1Jgv0Y7YlHDtsiDawwp-uvifEJ8HVaSn0k2aGHG8-hwM/edit?usp=sharing"",""เชียงใหม่!J704"")"),0)</f>
        <v>0</v>
      </c>
      <c r="AA16" s="186">
        <f ca="1">IFERROR(__xludf.DUMMYFUNCTION("IMPORTRANGE(""https://docs.google.com/spreadsheets/d/1Jgv0Y7YlHDtsiDawwp-uvifEJ8HVaSn0k2aGHG8-hwM/edit?usp=sharing"",""เชียงใหม่!J705"")"),0)</f>
        <v>0</v>
      </c>
      <c r="AB16" s="186">
        <f ca="1">IFERROR(__xludf.DUMMYFUNCTION("IMPORTRANGE(""https://docs.google.com/spreadsheets/d/1Jgv0Y7YlHDtsiDawwp-uvifEJ8HVaSn0k2aGHG8-hwM/edit?usp=sharing"",""เชียงใหม่!J706"")"),0)</f>
        <v>0</v>
      </c>
      <c r="AC16" s="186">
        <f ca="1">IFERROR(__xludf.DUMMYFUNCTION("IMPORTRANGE(""https://docs.google.com/spreadsheets/d/1Jgv0Y7YlHDtsiDawwp-uvifEJ8HVaSn0k2aGHG8-hwM/edit?usp=sharing"",""เชียงใหม่!J707"")"),0)</f>
        <v>0</v>
      </c>
      <c r="AD16" s="181">
        <f ca="1">IFERROR(__xludf.DUMMYFUNCTION("IMPORTRANGE(""https://docs.google.com/spreadsheets/d/1Jgv0Y7YlHDtsiDawwp-uvifEJ8HVaSn0k2aGHG8-hwM/edit?usp=sharing"",""เชียงใหม่!I708"")"),0)</f>
        <v>0</v>
      </c>
      <c r="AE16" s="181">
        <f ca="1">IFERROR(__xludf.DUMMYFUNCTION("IMPORTRANGE(""https://docs.google.com/spreadsheets/d/1Jgv0Y7YlHDtsiDawwp-uvifEJ8HVaSn0k2aGHG8-hwM/edit?usp=sharing"",""เชียงใหม่!J708"")"),0)</f>
        <v>0</v>
      </c>
      <c r="AF16" s="186">
        <f t="shared" ca="1" si="34"/>
        <v>0</v>
      </c>
      <c r="AG16" s="181">
        <f ca="1">IFERROR(__xludf.DUMMYFUNCTION("IMPORTRANGE(""https://docs.google.com/spreadsheets/d/1Jgv0Y7YlHDtsiDawwp-uvifEJ8HVaSn0k2aGHG8-hwM/edit?usp=sharing"",""เชียงใหม่!J709"")"),0)</f>
        <v>0</v>
      </c>
      <c r="AH16" s="181">
        <f ca="1">IFERROR(__xludf.DUMMYFUNCTION("IMPORTRANGE(""https://docs.google.com/spreadsheets/d/1Jgv0Y7YlHDtsiDawwp-uvifEJ8HVaSn0k2aGHG8-hwM/edit?usp=sharing"",""เชียงใหม่!J710"")"),0)</f>
        <v>0</v>
      </c>
      <c r="AI16" s="181">
        <f ca="1">IFERROR(__xludf.DUMMYFUNCTION("IMPORTRANGE(""https://docs.google.com/spreadsheets/d/1Jgv0Y7YlHDtsiDawwp-uvifEJ8HVaSn0k2aGHG8-hwM/edit?usp=sharing"",""เชียงใหม่!J712"")"),0)</f>
        <v>0</v>
      </c>
      <c r="AJ16" s="181">
        <f ca="1">IFERROR(__xludf.DUMMYFUNCTION("IMPORTRANGE(""https://docs.google.com/spreadsheets/d/1Jgv0Y7YlHDtsiDawwp-uvifEJ8HVaSn0k2aGHG8-hwM/edit?usp=sharing"",""เชียงใหม่!J713"")"),0)</f>
        <v>0</v>
      </c>
      <c r="AK16" s="181">
        <f ca="1">IFERROR(__xludf.DUMMYFUNCTION("IMPORTRANGE(""https://docs.google.com/spreadsheets/d/1Jgv0Y7YlHDtsiDawwp-uvifEJ8HVaSn0k2aGHG8-hwM/edit?usp=sharing"",""เชียงใหม่!J714"")"),0)</f>
        <v>0</v>
      </c>
      <c r="AL16" s="181">
        <f ca="1">IFERROR(__xludf.DUMMYFUNCTION("IMPORTRANGE(""https://docs.google.com/spreadsheets/d/1Jgv0Y7YlHDtsiDawwp-uvifEJ8HVaSn0k2aGHG8-hwM/edit?usp=sharing"",""เชียงใหม่!J715"")"),0)</f>
        <v>0</v>
      </c>
      <c r="AM16" s="181">
        <f ca="1">IFERROR(__xludf.DUMMYFUNCTION("IMPORTRANGE(""https://docs.google.com/spreadsheets/d/1Jgv0Y7YlHDtsiDawwp-uvifEJ8HVaSn0k2aGHG8-hwM/edit?usp=sharing"",""เชียงใหม่!J716"")"),0)</f>
        <v>0</v>
      </c>
      <c r="AN16" s="181">
        <f ca="1">IFERROR(__xludf.DUMMYFUNCTION("IMPORTRANGE(""https://docs.google.com/spreadsheets/d/1Jgv0Y7YlHDtsiDawwp-uvifEJ8HVaSn0k2aGHG8-hwM/edit?usp=sharing"",""เชียงใหม่!J717"")"),0)</f>
        <v>0</v>
      </c>
      <c r="AO16" s="181">
        <f ca="1">IFERROR(__xludf.DUMMYFUNCTION("IMPORTRANGE(""https://docs.google.com/spreadsheets/d/1Jgv0Y7YlHDtsiDawwp-uvifEJ8HVaSn0k2aGHG8-hwM/edit?usp=sharing"",""เชียงใหม่!I720"")"),9)</f>
        <v>9</v>
      </c>
      <c r="AP16" s="181">
        <f ca="1">IFERROR(__xludf.DUMMYFUNCTION("IMPORTRANGE(""https://docs.google.com/spreadsheets/d/1Jgv0Y7YlHDtsiDawwp-uvifEJ8HVaSn0k2aGHG8-hwM/edit?usp=sharing"",""เชียงใหม่!J718"")"),0)</f>
        <v>0</v>
      </c>
      <c r="AQ16" s="181">
        <f ca="1">IFERROR(__xludf.DUMMYFUNCTION("IMPORTRANGE(""https://docs.google.com/spreadsheets/d/1Jgv0Y7YlHDtsiDawwp-uvifEJ8HVaSn0k2aGHG8-hwM/edit?usp=sharing"",""เชียงใหม่!J719"")"),0)</f>
        <v>0</v>
      </c>
      <c r="AR16" s="181">
        <f ca="1">IFERROR(__xludf.DUMMYFUNCTION("IMPORTRANGE(""https://docs.google.com/spreadsheets/d/1Jgv0Y7YlHDtsiDawwp-uvifEJ8HVaSn0k2aGHG8-hwM/edit?usp=sharing"",""เชียงใหม่!J720"")"),0)</f>
        <v>0</v>
      </c>
      <c r="AS16" s="186">
        <f t="shared" ca="1" si="14"/>
        <v>0</v>
      </c>
      <c r="AT16" s="181">
        <f ca="1">IFERROR(__xludf.DUMMYFUNCTION("IMPORTRANGE(""https://docs.google.com/spreadsheets/d/1Jgv0Y7YlHDtsiDawwp-uvifEJ8HVaSn0k2aGHG8-hwM/edit?usp=sharing"",""เชียงใหม่!I721"")"),0)</f>
        <v>0</v>
      </c>
      <c r="AU16" s="181">
        <f ca="1">IFERROR(__xludf.DUMMYFUNCTION("IMPORTRANGE(""https://docs.google.com/spreadsheets/d/1Jgv0Y7YlHDtsiDawwp-uvifEJ8HVaSn0k2aGHG8-hwM/edit?usp=sharing"",""เชียงใหม่!I722"")"),0)</f>
        <v>0</v>
      </c>
      <c r="AV16" s="181">
        <f ca="1">IFERROR(__xludf.DUMMYFUNCTION("IMPORTRANGE(""https://docs.google.com/spreadsheets/d/1Jgv0Y7YlHDtsiDawwp-uvifEJ8HVaSn0k2aGHG8-hwM/edit?usp=sharing"",""เชียงใหม่!J721"")"),0)</f>
        <v>0</v>
      </c>
      <c r="AW16" s="186">
        <f t="shared" ca="1" si="16"/>
        <v>0</v>
      </c>
      <c r="AX16" s="181">
        <f ca="1">IFERROR(__xludf.DUMMYFUNCTION("IMPORTRANGE(""https://docs.google.com/spreadsheets/d/1Jgv0Y7YlHDtsiDawwp-uvifEJ8HVaSn0k2aGHG8-hwM/edit?usp=sharing"",""เชียงใหม่!J722"")"),0)</f>
        <v>0</v>
      </c>
      <c r="AY16" s="186">
        <f t="shared" ca="1" si="17"/>
        <v>0</v>
      </c>
      <c r="AZ16" s="181">
        <f ca="1">IFERROR(__xludf.DUMMYFUNCTION("IMPORTRANGE(""https://docs.google.com/spreadsheets/d/1Jgv0Y7YlHDtsiDawwp-uvifEJ8HVaSn0k2aGHG8-hwM/edit?usp=sharing"",""เชียงใหม่!I723"")"),0)</f>
        <v>0</v>
      </c>
      <c r="BA16" s="181">
        <f ca="1">IFERROR(__xludf.DUMMYFUNCTION("IMPORTRANGE(""https://docs.google.com/spreadsheets/d/1Jgv0Y7YlHDtsiDawwp-uvifEJ8HVaSn0k2aGHG8-hwM/edit?usp=sharing"",""เชียงใหม่!I725"")"),0)</f>
        <v>0</v>
      </c>
      <c r="BB16" s="181">
        <f ca="1">IFERROR(__xludf.DUMMYFUNCTION("IMPORTRANGE(""https://docs.google.com/spreadsheets/d/1Jgv0Y7YlHDtsiDawwp-uvifEJ8HVaSn0k2aGHG8-hwM/edit?usp=sharing"",""เชียงใหม่!J723"")"),0)</f>
        <v>0</v>
      </c>
      <c r="BC16" s="181">
        <f ca="1">IFERROR(__xludf.DUMMYFUNCTION("IMPORTRANGE(""https://docs.google.com/spreadsheets/d/1Jgv0Y7YlHDtsiDawwp-uvifEJ8HVaSn0k2aGHG8-hwM/edit?usp=sharing"",""เชียงใหม่!J724"")"),0)</f>
        <v>0</v>
      </c>
      <c r="BD16" s="181">
        <f ca="1">IFERROR(__xludf.DUMMYFUNCTION("IMPORTRANGE(""https://docs.google.com/spreadsheets/d/1Jgv0Y7YlHDtsiDawwp-uvifEJ8HVaSn0k2aGHG8-hwM/edit?usp=sharing"",""เชียงใหม่!J725"")"),0)</f>
        <v>0</v>
      </c>
      <c r="BE16" s="181">
        <f ca="1">IFERROR(__xludf.DUMMYFUNCTION("IMPORTRANGE(""https://docs.google.com/spreadsheets/d/1Jgv0Y7YlHDtsiDawwp-uvifEJ8HVaSn0k2aGHG8-hwM/edit?usp=sharing"",""เชียงใหม่!I726"")"),0)</f>
        <v>0</v>
      </c>
      <c r="BF16" s="181">
        <f ca="1">IFERROR(__xludf.DUMMYFUNCTION("IMPORTRANGE(""https://docs.google.com/spreadsheets/d/1Jgv0Y7YlHDtsiDawwp-uvifEJ8HVaSn0k2aGHG8-hwM/edit?usp=sharing"",""เชียงใหม่!I728"")"),0)</f>
        <v>0</v>
      </c>
      <c r="BG16" s="181">
        <f ca="1">IFERROR(__xludf.DUMMYFUNCTION("IMPORTRANGE(""https://docs.google.com/spreadsheets/d/1Jgv0Y7YlHDtsiDawwp-uvifEJ8HVaSn0k2aGHG8-hwM/edit?usp=sharing"",""เชียงใหม่!J726"")"),0)</f>
        <v>0</v>
      </c>
      <c r="BH16" s="181">
        <f ca="1">IFERROR(__xludf.DUMMYFUNCTION("IMPORTRANGE(""https://docs.google.com/spreadsheets/d/1Jgv0Y7YlHDtsiDawwp-uvifEJ8HVaSn0k2aGHG8-hwM/edit?usp=sharing"",""เชียงใหม่!J727"")"),0)</f>
        <v>0</v>
      </c>
      <c r="BI16" s="181">
        <f ca="1">IFERROR(__xludf.DUMMYFUNCTION("IMPORTRANGE(""https://docs.google.com/spreadsheets/d/1Jgv0Y7YlHDtsiDawwp-uvifEJ8HVaSn0k2aGHG8-hwM/edit?usp=sharing"",""เชียงใหม่!J728"")"),0)</f>
        <v>0</v>
      </c>
      <c r="BJ16" s="181">
        <f ca="1">IFERROR(__xludf.DUMMYFUNCTION("IMPORTRANGE(""https://docs.google.com/spreadsheets/d/1Jgv0Y7YlHDtsiDawwp-uvifEJ8HVaSn0k2aGHG8-hwM/edit?usp=sharing"",""เชียงใหม่!I729"")"),0)</f>
        <v>0</v>
      </c>
      <c r="BK16" s="181">
        <f ca="1">IFERROR(__xludf.DUMMYFUNCTION("IMPORTRANGE(""https://docs.google.com/spreadsheets/d/1Jgv0Y7YlHDtsiDawwp-uvifEJ8HVaSn0k2aGHG8-hwM/edit?usp=sharing"",""เชียงใหม่!J729"")"),0)</f>
        <v>0</v>
      </c>
      <c r="BL16" s="186">
        <f t="shared" ca="1" si="19"/>
        <v>0</v>
      </c>
      <c r="BM16" s="181">
        <f ca="1">IFERROR(__xludf.DUMMYFUNCTION("IMPORTRANGE(""https://docs.google.com/spreadsheets/d/1Jgv0Y7YlHDtsiDawwp-uvifEJ8HVaSn0k2aGHG8-hwM/edit?usp=sharing"",""เชียงใหม่!J730"")"),0)</f>
        <v>0</v>
      </c>
      <c r="BN16" s="181">
        <f ca="1">IFERROR(__xludf.DUMMYFUNCTION("IMPORTRANGE(""https://docs.google.com/spreadsheets/d/1Jgv0Y7YlHDtsiDawwp-uvifEJ8HVaSn0k2aGHG8-hwM/edit?usp=sharing"",""เชียงใหม่!J731"")"),0)</f>
        <v>0</v>
      </c>
      <c r="BO16" s="181">
        <f ca="1">IFERROR(__xludf.DUMMYFUNCTION("IMPORTRANGE(""https://docs.google.com/spreadsheets/d/1Jgv0Y7YlHDtsiDawwp-uvifEJ8HVaSn0k2aGHG8-hwM/edit?usp=sharing"",""เชียงใหม่!J732"")"),0)</f>
        <v>0</v>
      </c>
      <c r="BP16" s="181">
        <f ca="1">IFERROR(__xludf.DUMMYFUNCTION("IMPORTRANGE(""https://docs.google.com/spreadsheets/d/1Jgv0Y7YlHDtsiDawwp-uvifEJ8HVaSn0k2aGHG8-hwM/edit?usp=sharing"",""เชียงใหม่!J733"")"),0)</f>
        <v>0</v>
      </c>
      <c r="BQ16" s="181">
        <f ca="1">IFERROR(__xludf.DUMMYFUNCTION("IMPORTRANGE(""https://docs.google.com/spreadsheets/d/1Jgv0Y7YlHDtsiDawwp-uvifEJ8HVaSn0k2aGHG8-hwM/edit?usp=sharing"",""เชียงใหม่!J734"")"),0)</f>
        <v>0</v>
      </c>
      <c r="BR16" s="181">
        <f ca="1">IFERROR(__xludf.DUMMYFUNCTION("IMPORTRANGE(""https://docs.google.com/spreadsheets/d/1Jgv0Y7YlHDtsiDawwp-uvifEJ8HVaSn0k2aGHG8-hwM/edit?usp=sharing"",""เชียงใหม่!J735"")"),0)</f>
        <v>0</v>
      </c>
    </row>
    <row r="17" spans="1:70" ht="24" customHeight="1" x14ac:dyDescent="0.3">
      <c r="A17" s="178">
        <v>4</v>
      </c>
      <c r="B17" s="179" t="s">
        <v>34</v>
      </c>
      <c r="C17" s="180">
        <f t="shared" ca="1" si="46"/>
        <v>0</v>
      </c>
      <c r="D17" s="181">
        <f ca="1">IFERROR(__xludf.DUMMYFUNCTION("IMPORTRANGE(""https://docs.google.com/spreadsheets/d/1JWG2rZePOz9pe-f-ObA-yDr0VoOX2kSb0qIix2mTUo8/edit?usp=sharing"",""ตาก!L690"")"),0)</f>
        <v>0</v>
      </c>
      <c r="E17" s="187">
        <f ca="1">IFERROR(__xludf.DUMMYFUNCTION("IMPORTRANGE(""https://docs.google.com/spreadsheets/d/1JWG2rZePOz9pe-f-ObA-yDr0VoOX2kSb0qIix2mTUo8/edit?usp=sharing"",""ตาก!L697"")"),0)</f>
        <v>0</v>
      </c>
      <c r="F17" s="182">
        <f t="shared" ca="1" si="1"/>
        <v>0</v>
      </c>
      <c r="G17" s="183">
        <f t="shared" ca="1" si="2"/>
        <v>0</v>
      </c>
      <c r="H17" s="184">
        <f t="shared" ca="1" si="47"/>
        <v>0</v>
      </c>
      <c r="I17" s="187">
        <f ca="1">IFERROR(__xludf.DUMMYFUNCTION("IMPORTRANGE(""https://docs.google.com/spreadsheets/d/1JWG2rZePOz9pe-f-ObA-yDr0VoOX2kSb0qIix2mTUo8/edit?usp=sharing"",""ตาก!N691"")"),0)</f>
        <v>0</v>
      </c>
      <c r="J17" s="187">
        <f ca="1">IFERROR(__xludf.DUMMYFUNCTION("IMPORTRANGE(""https://docs.google.com/spreadsheets/d/1JWG2rZePOz9pe-f-ObA-yDr0VoOX2kSb0qIix2mTUo8/edit?usp=sharing"",""ตาก!N692"")"),0)</f>
        <v>0</v>
      </c>
      <c r="K17" s="187">
        <f ca="1">IFERROR(__xludf.DUMMYFUNCTION("IMPORTRANGE(""https://docs.google.com/spreadsheets/d/1JWG2rZePOz9pe-f-ObA-yDr0VoOX2kSb0qIix2mTUo8/edit?usp=sharing"",""ตาก!N693"")"),0)</f>
        <v>0</v>
      </c>
      <c r="L17" s="187">
        <f ca="1">IFERROR(__xludf.DUMMYFUNCTION("IMPORTRANGE(""https://docs.google.com/spreadsheets/d/1JWG2rZePOz9pe-f-ObA-yDr0VoOX2kSb0qIix2mTUo8/edit?usp=sharing"",""ตาก!N694"")"),0)</f>
        <v>0</v>
      </c>
      <c r="M17" s="185">
        <f ca="1">IFERROR(__xludf.DUMMYFUNCTION("IMPORTRANGE(""https://docs.google.com/spreadsheets/d/1JWG2rZePOz9pe-f-ObA-yDr0VoOX2kSb0qIix2mTUo8/edit?usp=sharing"",""ตาก!N697"")"),0)</f>
        <v>0</v>
      </c>
      <c r="N17" s="185">
        <f t="shared" ca="1" si="37"/>
        <v>0</v>
      </c>
      <c r="O17" s="181">
        <f ca="1">IFERROR(__xludf.DUMMYFUNCTION("IMPORTRANGE(""https://docs.google.com/spreadsheets/d/1JWG2rZePOz9pe-f-ObA-yDr0VoOX2kSb0qIix2mTUo8/edit?usp=sharing"",""ตาก!I699"")"),0)</f>
        <v>0</v>
      </c>
      <c r="P17" s="181">
        <f ca="1">IFERROR(__xludf.DUMMYFUNCTION("IMPORTRANGE(""https://docs.google.com/spreadsheets/d/1JWG2rZePOz9pe-f-ObA-yDr0VoOX2kSb0qIix2mTUo8/edit?usp=sharing"",""ตาก!J699"")"),0)</f>
        <v>0</v>
      </c>
      <c r="Q17" s="186">
        <f t="shared" ca="1" si="31"/>
        <v>0</v>
      </c>
      <c r="R17" s="181">
        <f ca="1">IFERROR(__xludf.DUMMYFUNCTION("IMPORTRANGE(""https://docs.google.com/spreadsheets/d/1JWG2rZePOz9pe-f-ObA-yDr0VoOX2kSb0qIix2mTUo8/edit?usp=sharing"",""ตาก!I700"")"),0)</f>
        <v>0</v>
      </c>
      <c r="S17" s="181">
        <f ca="1">IFERROR(__xludf.DUMMYFUNCTION("IMPORTRANGE(""https://docs.google.com/spreadsheets/d/1JWG2rZePOz9pe-f-ObA-yDr0VoOX2kSb0qIix2mTUo8/edit?usp=sharing"",""ตาก!J700"")"),0)</f>
        <v>0</v>
      </c>
      <c r="T17" s="186">
        <f t="shared" ca="1" si="32"/>
        <v>0</v>
      </c>
      <c r="U17" s="181">
        <f ca="1">IFERROR(__xludf.DUMMYFUNCTION("IMPORTRANGE(""https://docs.google.com/spreadsheets/d/1JWG2rZePOz9pe-f-ObA-yDr0VoOX2kSb0qIix2mTUo8/edit?usp=sharing"",""ตาก!I701"")"),0)</f>
        <v>0</v>
      </c>
      <c r="V17" s="181">
        <f ca="1">IFERROR(__xludf.DUMMYFUNCTION("IMPORTRANGE(""https://docs.google.com/spreadsheets/d/1JWG2rZePOz9pe-f-ObA-yDr0VoOX2kSb0qIix2mTUo8/edit?usp=sharing"",""ตาก!J701"")"),0)</f>
        <v>0</v>
      </c>
      <c r="W17" s="186">
        <f t="shared" ca="1" si="33"/>
        <v>0</v>
      </c>
      <c r="X17" s="186">
        <f ca="1">IFERROR(__xludf.DUMMYFUNCTION("IMPORTRANGE(""https://docs.google.com/spreadsheets/d/1JWG2rZePOz9pe-f-ObA-yDr0VoOX2kSb0qIix2mTUo8/edit?usp=sharing"",""ตาก!J702"")"),0)</f>
        <v>0</v>
      </c>
      <c r="Y17" s="186">
        <f ca="1">IFERROR(__xludf.DUMMYFUNCTION("IMPORTRANGE(""https://docs.google.com/spreadsheets/d/1JWG2rZePOz9pe-f-ObA-yDr0VoOX2kSb0qIix2mTUo8/edit?usp=sharing"",""ตาก!J703"")"),0)</f>
        <v>0</v>
      </c>
      <c r="Z17" s="186">
        <f ca="1">IFERROR(__xludf.DUMMYFUNCTION("IMPORTRANGE(""https://docs.google.com/spreadsheets/d/1JWG2rZePOz9pe-f-ObA-yDr0VoOX2kSb0qIix2mTUo8/edit?usp=sharing"",""ตาก!J704"")"),0)</f>
        <v>0</v>
      </c>
      <c r="AA17" s="186">
        <f ca="1">IFERROR(__xludf.DUMMYFUNCTION("IMPORTRANGE(""https://docs.google.com/spreadsheets/d/1JWG2rZePOz9pe-f-ObA-yDr0VoOX2kSb0qIix2mTUo8/edit?usp=sharing"",""ตาก!J705"")"),0)</f>
        <v>0</v>
      </c>
      <c r="AB17" s="186">
        <f ca="1">IFERROR(__xludf.DUMMYFUNCTION("IMPORTRANGE(""https://docs.google.com/spreadsheets/d/1JWG2rZePOz9pe-f-ObA-yDr0VoOX2kSb0qIix2mTUo8/edit?usp=sharing"",""ตาก!J706"")"),0)</f>
        <v>0</v>
      </c>
      <c r="AC17" s="186">
        <f ca="1">IFERROR(__xludf.DUMMYFUNCTION("IMPORTRANGE(""https://docs.google.com/spreadsheets/d/1JWG2rZePOz9pe-f-ObA-yDr0VoOX2kSb0qIix2mTUo8/edit?usp=sharing"",""ตาก!J707"")"),0)</f>
        <v>0</v>
      </c>
      <c r="AD17" s="181">
        <f ca="1">IFERROR(__xludf.DUMMYFUNCTION("IMPORTRANGE(""https://docs.google.com/spreadsheets/d/1JWG2rZePOz9pe-f-ObA-yDr0VoOX2kSb0qIix2mTUo8/edit?usp=sharing"",""ตาก!I708"")"),0)</f>
        <v>0</v>
      </c>
      <c r="AE17" s="181">
        <f ca="1">IFERROR(__xludf.DUMMYFUNCTION("IMPORTRANGE(""https://docs.google.com/spreadsheets/d/1JWG2rZePOz9pe-f-ObA-yDr0VoOX2kSb0qIix2mTUo8/edit?usp=sharing"",""ตาก!J708"")"),0)</f>
        <v>0</v>
      </c>
      <c r="AF17" s="186">
        <f t="shared" ca="1" si="34"/>
        <v>0</v>
      </c>
      <c r="AG17" s="181">
        <f ca="1">IFERROR(__xludf.DUMMYFUNCTION("IMPORTRANGE(""https://docs.google.com/spreadsheets/d/1JWG2rZePOz9pe-f-ObA-yDr0VoOX2kSb0qIix2mTUo8/edit?usp=sharing"",""ตาก!J709"")"),0)</f>
        <v>0</v>
      </c>
      <c r="AH17" s="181">
        <f ca="1">IFERROR(__xludf.DUMMYFUNCTION("IMPORTRANGE(""https://docs.google.com/spreadsheets/d/1JWG2rZePOz9pe-f-ObA-yDr0VoOX2kSb0qIix2mTUo8/edit?usp=sharing"",""ตาก!J710"")"),0)</f>
        <v>0</v>
      </c>
      <c r="AI17" s="181">
        <f ca="1">IFERROR(__xludf.DUMMYFUNCTION("IMPORTRANGE(""https://docs.google.com/spreadsheets/d/1JWG2rZePOz9pe-f-ObA-yDr0VoOX2kSb0qIix2mTUo8/edit?usp=sharing"",""ตาก!J712"")"),0)</f>
        <v>0</v>
      </c>
      <c r="AJ17" s="181">
        <f ca="1">IFERROR(__xludf.DUMMYFUNCTION("IMPORTRANGE(""https://docs.google.com/spreadsheets/d/1JWG2rZePOz9pe-f-ObA-yDr0VoOX2kSb0qIix2mTUo8/edit?usp=sharing"",""ตาก!J713"")"),0)</f>
        <v>0</v>
      </c>
      <c r="AK17" s="181">
        <f ca="1">IFERROR(__xludf.DUMMYFUNCTION("IMPORTRANGE(""https://docs.google.com/spreadsheets/d/1JWG2rZePOz9pe-f-ObA-yDr0VoOX2kSb0qIix2mTUo8/edit?usp=sharing"",""ตาก!J714"")"),0)</f>
        <v>0</v>
      </c>
      <c r="AL17" s="181">
        <f ca="1">IFERROR(__xludf.DUMMYFUNCTION("IMPORTRANGE(""https://docs.google.com/spreadsheets/d/1JWG2rZePOz9pe-f-ObA-yDr0VoOX2kSb0qIix2mTUo8/edit?usp=sharing"",""ตาก!J715"")"),0)</f>
        <v>0</v>
      </c>
      <c r="AM17" s="181">
        <f ca="1">IFERROR(__xludf.DUMMYFUNCTION("IMPORTRANGE(""https://docs.google.com/spreadsheets/d/1JWG2rZePOz9pe-f-ObA-yDr0VoOX2kSb0qIix2mTUo8/edit?usp=sharing"",""ตาก!J716"")"),0)</f>
        <v>0</v>
      </c>
      <c r="AN17" s="181">
        <f ca="1">IFERROR(__xludf.DUMMYFUNCTION("IMPORTRANGE(""https://docs.google.com/spreadsheets/d/1JWG2rZePOz9pe-f-ObA-yDr0VoOX2kSb0qIix2mTUo8/edit?usp=sharing"",""ตาก!J717"")"),0)</f>
        <v>0</v>
      </c>
      <c r="AO17" s="181">
        <f ca="1">IFERROR(__xludf.DUMMYFUNCTION("IMPORTRANGE(""https://docs.google.com/spreadsheets/d/1JWG2rZePOz9pe-f-ObA-yDr0VoOX2kSb0qIix2mTUo8/edit?usp=sharing"",""ตาก!I720"")"),0)</f>
        <v>0</v>
      </c>
      <c r="AP17" s="181">
        <f ca="1">IFERROR(__xludf.DUMMYFUNCTION("IMPORTRANGE(""https://docs.google.com/spreadsheets/d/1JWG2rZePOz9pe-f-ObA-yDr0VoOX2kSb0qIix2mTUo8/edit?usp=sharing"",""ตาก!J718"")"),0)</f>
        <v>0</v>
      </c>
      <c r="AQ17" s="181">
        <f ca="1">IFERROR(__xludf.DUMMYFUNCTION("IMPORTRANGE(""https://docs.google.com/spreadsheets/d/1JWG2rZePOz9pe-f-ObA-yDr0VoOX2kSb0qIix2mTUo8/edit?usp=sharing"",""ตาก!J719"")"),0)</f>
        <v>0</v>
      </c>
      <c r="AR17" s="181">
        <f ca="1">IFERROR(__xludf.DUMMYFUNCTION("IMPORTRANGE(""https://docs.google.com/spreadsheets/d/1JWG2rZePOz9pe-f-ObA-yDr0VoOX2kSb0qIix2mTUo8/edit?usp=sharing"",""ตาก!J720"")"),0)</f>
        <v>0</v>
      </c>
      <c r="AS17" s="186">
        <f t="shared" ca="1" si="14"/>
        <v>0</v>
      </c>
      <c r="AT17" s="181">
        <f ca="1">IFERROR(__xludf.DUMMYFUNCTION("IMPORTRANGE(""https://docs.google.com/spreadsheets/d/1JWG2rZePOz9pe-f-ObA-yDr0VoOX2kSb0qIix2mTUo8/edit?usp=sharing"",""ตาก!I721"")"),0)</f>
        <v>0</v>
      </c>
      <c r="AU17" s="181">
        <f ca="1">IFERROR(__xludf.DUMMYFUNCTION("IMPORTRANGE(""https://docs.google.com/spreadsheets/d/1JWG2rZePOz9pe-f-ObA-yDr0VoOX2kSb0qIix2mTUo8/edit?usp=sharing"",""ตาก!I722"")"),0)</f>
        <v>0</v>
      </c>
      <c r="AV17" s="181">
        <f ca="1">IFERROR(__xludf.DUMMYFUNCTION("IMPORTRANGE(""https://docs.google.com/spreadsheets/d/1JWG2rZePOz9pe-f-ObA-yDr0VoOX2kSb0qIix2mTUo8/edit?usp=sharing"",""ตาก!J721"")"),0)</f>
        <v>0</v>
      </c>
      <c r="AW17" s="186">
        <f t="shared" ca="1" si="16"/>
        <v>0</v>
      </c>
      <c r="AX17" s="181">
        <f ca="1">IFERROR(__xludf.DUMMYFUNCTION("IMPORTRANGE(""https://docs.google.com/spreadsheets/d/1JWG2rZePOz9pe-f-ObA-yDr0VoOX2kSb0qIix2mTUo8/edit?usp=sharing"",""ตาก!J722"")"),0)</f>
        <v>0</v>
      </c>
      <c r="AY17" s="186">
        <f t="shared" ca="1" si="17"/>
        <v>0</v>
      </c>
      <c r="AZ17" s="181">
        <f ca="1">IFERROR(__xludf.DUMMYFUNCTION("IMPORTRANGE(""https://docs.google.com/spreadsheets/d/1JWG2rZePOz9pe-f-ObA-yDr0VoOX2kSb0qIix2mTUo8/edit?usp=sharing"",""ตาก!I723"")"),0)</f>
        <v>0</v>
      </c>
      <c r="BA17" s="181">
        <f ca="1">IFERROR(__xludf.DUMMYFUNCTION("IMPORTRANGE(""https://docs.google.com/spreadsheets/d/1JWG2rZePOz9pe-f-ObA-yDr0VoOX2kSb0qIix2mTUo8/edit?usp=sharing"",""ตาก!I725"")"),0)</f>
        <v>0</v>
      </c>
      <c r="BB17" s="181">
        <f ca="1">IFERROR(__xludf.DUMMYFUNCTION("IMPORTRANGE(""https://docs.google.com/spreadsheets/d/1JWG2rZePOz9pe-f-ObA-yDr0VoOX2kSb0qIix2mTUo8/edit?usp=sharing"",""ตาก!J723"")"),0)</f>
        <v>0</v>
      </c>
      <c r="BC17" s="181">
        <f ca="1">IFERROR(__xludf.DUMMYFUNCTION("IMPORTRANGE(""https://docs.google.com/spreadsheets/d/1JWG2rZePOz9pe-f-ObA-yDr0VoOX2kSb0qIix2mTUo8/edit?usp=sharing"",""ตาก!J724"")"),0)</f>
        <v>0</v>
      </c>
      <c r="BD17" s="181">
        <f ca="1">IFERROR(__xludf.DUMMYFUNCTION("IMPORTRANGE(""https://docs.google.com/spreadsheets/d/1JWG2rZePOz9pe-f-ObA-yDr0VoOX2kSb0qIix2mTUo8/edit?usp=sharing"",""ตาก!J725"")"),0)</f>
        <v>0</v>
      </c>
      <c r="BE17" s="181">
        <f ca="1">IFERROR(__xludf.DUMMYFUNCTION("IMPORTRANGE(""https://docs.google.com/spreadsheets/d/1JWG2rZePOz9pe-f-ObA-yDr0VoOX2kSb0qIix2mTUo8/edit?usp=sharing"",""ตาก!I726"")"),0)</f>
        <v>0</v>
      </c>
      <c r="BF17" s="181">
        <f ca="1">IFERROR(__xludf.DUMMYFUNCTION("IMPORTRANGE(""https://docs.google.com/spreadsheets/d/1JWG2rZePOz9pe-f-ObA-yDr0VoOX2kSb0qIix2mTUo8/edit?usp=sharing"",""ตาก!I728"")"),0)</f>
        <v>0</v>
      </c>
      <c r="BG17" s="181">
        <f ca="1">IFERROR(__xludf.DUMMYFUNCTION("IMPORTRANGE(""https://docs.google.com/spreadsheets/d/1JWG2rZePOz9pe-f-ObA-yDr0VoOX2kSb0qIix2mTUo8/edit?usp=sharing"",""ตาก!J726"")"),0)</f>
        <v>0</v>
      </c>
      <c r="BH17" s="181">
        <f ca="1">IFERROR(__xludf.DUMMYFUNCTION("IMPORTRANGE(""https://docs.google.com/spreadsheets/d/1JWG2rZePOz9pe-f-ObA-yDr0VoOX2kSb0qIix2mTUo8/edit?usp=sharing"",""ตาก!J727"")"),0)</f>
        <v>0</v>
      </c>
      <c r="BI17" s="181">
        <f ca="1">IFERROR(__xludf.DUMMYFUNCTION("IMPORTRANGE(""https://docs.google.com/spreadsheets/d/1JWG2rZePOz9pe-f-ObA-yDr0VoOX2kSb0qIix2mTUo8/edit?usp=sharing"",""ตาก!J728"")"),0)</f>
        <v>0</v>
      </c>
      <c r="BJ17" s="181">
        <f ca="1">IFERROR(__xludf.DUMMYFUNCTION("IMPORTRANGE(""https://docs.google.com/spreadsheets/d/1JWG2rZePOz9pe-f-ObA-yDr0VoOX2kSb0qIix2mTUo8/edit?usp=sharing"",""ตาก!I729"")"),0)</f>
        <v>0</v>
      </c>
      <c r="BK17" s="181">
        <f ca="1">IFERROR(__xludf.DUMMYFUNCTION("IMPORTRANGE(""https://docs.google.com/spreadsheets/d/1JWG2rZePOz9pe-f-ObA-yDr0VoOX2kSb0qIix2mTUo8/edit?usp=sharing"",""ตาก!J729"")"),0)</f>
        <v>0</v>
      </c>
      <c r="BL17" s="186">
        <f t="shared" ca="1" si="19"/>
        <v>0</v>
      </c>
      <c r="BM17" s="181">
        <f ca="1">IFERROR(__xludf.DUMMYFUNCTION("IMPORTRANGE(""https://docs.google.com/spreadsheets/d/1JWG2rZePOz9pe-f-ObA-yDr0VoOX2kSb0qIix2mTUo8/edit?usp=sharing"",""ตาก!J730"")"),0)</f>
        <v>0</v>
      </c>
      <c r="BN17" s="181">
        <f ca="1">IFERROR(__xludf.DUMMYFUNCTION("IMPORTRANGE(""https://docs.google.com/spreadsheets/d/1JWG2rZePOz9pe-f-ObA-yDr0VoOX2kSb0qIix2mTUo8/edit?usp=sharing"",""ตาก!J731"")"),0)</f>
        <v>0</v>
      </c>
      <c r="BO17" s="181">
        <f ca="1">IFERROR(__xludf.DUMMYFUNCTION("IMPORTRANGE(""https://docs.google.com/spreadsheets/d/1JWG2rZePOz9pe-f-ObA-yDr0VoOX2kSb0qIix2mTUo8/edit?usp=sharing"",""ตาก!J732"")"),0)</f>
        <v>0</v>
      </c>
      <c r="BP17" s="181">
        <f ca="1">IFERROR(__xludf.DUMMYFUNCTION("IMPORTRANGE(""https://docs.google.com/spreadsheets/d/1JWG2rZePOz9pe-f-ObA-yDr0VoOX2kSb0qIix2mTUo8/edit?usp=sharing"",""ตาก!J733"")"),0)</f>
        <v>0</v>
      </c>
      <c r="BQ17" s="181">
        <f ca="1">IFERROR(__xludf.DUMMYFUNCTION("IMPORTRANGE(""https://docs.google.com/spreadsheets/d/1JWG2rZePOz9pe-f-ObA-yDr0VoOX2kSb0qIix2mTUo8/edit?usp=sharing"",""ตาก!J734"")"),0)</f>
        <v>0</v>
      </c>
      <c r="BR17" s="181">
        <f ca="1">IFERROR(__xludf.DUMMYFUNCTION("IMPORTRANGE(""https://docs.google.com/spreadsheets/d/1JWG2rZePOz9pe-f-ObA-yDr0VoOX2kSb0qIix2mTUo8/edit?usp=sharing"",""ตาก!J735"")"),0)</f>
        <v>0</v>
      </c>
    </row>
    <row r="18" spans="1:70" ht="24" customHeight="1" x14ac:dyDescent="0.3">
      <c r="A18" s="178">
        <v>5</v>
      </c>
      <c r="B18" s="179" t="s">
        <v>35</v>
      </c>
      <c r="C18" s="180">
        <f t="shared" ca="1" si="46"/>
        <v>164670</v>
      </c>
      <c r="D18" s="181">
        <f ca="1">IFERROR(__xludf.DUMMYFUNCTION("IMPORTRANGE(""https://docs.google.com/spreadsheets/d/10nSRjK08hx8Y6HgSOQKNw81lyY46Zc7U_Cj72hBMp9U/edit?usp=sharing"",""นครสวรรค์!L690"")"),164670)</f>
        <v>164670</v>
      </c>
      <c r="E18" s="187">
        <f ca="1">IFERROR(__xludf.DUMMYFUNCTION("IMPORTRANGE(""https://docs.google.com/spreadsheets/d/10nSRjK08hx8Y6HgSOQKNw81lyY46Zc7U_Cj72hBMp9U/edit?usp=sharing"",""นครสวรรค์!L697"")"),0)</f>
        <v>0</v>
      </c>
      <c r="F18" s="182">
        <f t="shared" ca="1" si="1"/>
        <v>0</v>
      </c>
      <c r="G18" s="183">
        <f t="shared" ca="1" si="2"/>
        <v>0</v>
      </c>
      <c r="H18" s="184">
        <f t="shared" ca="1" si="47"/>
        <v>0</v>
      </c>
      <c r="I18" s="187">
        <f ca="1">IFERROR(__xludf.DUMMYFUNCTION("IMPORTRANGE(""https://docs.google.com/spreadsheets/d/10nSRjK08hx8Y6HgSOQKNw81lyY46Zc7U_Cj72hBMp9U/edit?usp=sharing"",""นครสวรรค์!N691"")"),0)</f>
        <v>0</v>
      </c>
      <c r="J18" s="187">
        <f ca="1">IFERROR(__xludf.DUMMYFUNCTION("IMPORTRANGE(""https://docs.google.com/spreadsheets/d/10nSRjK08hx8Y6HgSOQKNw81lyY46Zc7U_Cj72hBMp9U/edit?usp=sharing"",""นครสวรรค์!N692"")"),0)</f>
        <v>0</v>
      </c>
      <c r="K18" s="187">
        <f ca="1">IFERROR(__xludf.DUMMYFUNCTION("IMPORTRANGE(""https://docs.google.com/spreadsheets/d/10nSRjK08hx8Y6HgSOQKNw81lyY46Zc7U_Cj72hBMp9U/edit?usp=sharing"",""นครสวรรค์!N693"")"),0)</f>
        <v>0</v>
      </c>
      <c r="L18" s="187">
        <f ca="1">IFERROR(__xludf.DUMMYFUNCTION("IMPORTRANGE(""https://docs.google.com/spreadsheets/d/10nSRjK08hx8Y6HgSOQKNw81lyY46Zc7U_Cj72hBMp9U/edit?usp=sharing"",""นครสวรรค์!N694"")"),0)</f>
        <v>0</v>
      </c>
      <c r="M18" s="185">
        <f ca="1">IFERROR(__xludf.DUMMYFUNCTION("IMPORTRANGE(""https://docs.google.com/spreadsheets/d/10nSRjK08hx8Y6HgSOQKNw81lyY46Zc7U_Cj72hBMp9U/edit?usp=sharing"",""นครสวรรค์!N697"")"),0)</f>
        <v>0</v>
      </c>
      <c r="N18" s="185">
        <f t="shared" ca="1" si="37"/>
        <v>0</v>
      </c>
      <c r="O18" s="181">
        <f ca="1">IFERROR(__xludf.DUMMYFUNCTION("IMPORTRANGE(""https://docs.google.com/spreadsheets/d/10nSRjK08hx8Y6HgSOQKNw81lyY46Zc7U_Cj72hBMp9U/edit?usp=sharing"",""นครสวรรค์!I699"")"),0)</f>
        <v>0</v>
      </c>
      <c r="P18" s="181">
        <f ca="1">IFERROR(__xludf.DUMMYFUNCTION("IMPORTRANGE(""https://docs.google.com/spreadsheets/d/10nSRjK08hx8Y6HgSOQKNw81lyY46Zc7U_Cj72hBMp9U/edit?usp=sharing"",""นครสวรรค์!J699"")"),0)</f>
        <v>0</v>
      </c>
      <c r="Q18" s="186">
        <f t="shared" ca="1" si="31"/>
        <v>0</v>
      </c>
      <c r="R18" s="181">
        <f ca="1">IFERROR(__xludf.DUMMYFUNCTION("IMPORTRANGE(""https://docs.google.com/spreadsheets/d/10nSRjK08hx8Y6HgSOQKNw81lyY46Zc7U_Cj72hBMp9U/edit?usp=sharing"",""นครสวรรค์!I700"")"),40)</f>
        <v>40</v>
      </c>
      <c r="S18" s="181">
        <f ca="1">IFERROR(__xludf.DUMMYFUNCTION("IMPORTRANGE(""https://docs.google.com/spreadsheets/d/10nSRjK08hx8Y6HgSOQKNw81lyY46Zc7U_Cj72hBMp9U/edit?usp=sharing"",""นครสวรรค์!J700"")"),0)</f>
        <v>0</v>
      </c>
      <c r="T18" s="186">
        <f t="shared" ca="1" si="32"/>
        <v>0</v>
      </c>
      <c r="U18" s="181">
        <f ca="1">IFERROR(__xludf.DUMMYFUNCTION("IMPORTRANGE(""https://docs.google.com/spreadsheets/d/10nSRjK08hx8Y6HgSOQKNw81lyY46Zc7U_Cj72hBMp9U/edit?usp=sharing"",""นครสวรรค์!I701"")"),1455)</f>
        <v>1455</v>
      </c>
      <c r="V18" s="181">
        <f ca="1">IFERROR(__xludf.DUMMYFUNCTION("IMPORTRANGE(""https://docs.google.com/spreadsheets/d/10nSRjK08hx8Y6HgSOQKNw81lyY46Zc7U_Cj72hBMp9U/edit?usp=sharing"",""นครสวรรค์!J701"")"),0)</f>
        <v>0</v>
      </c>
      <c r="W18" s="186">
        <f t="shared" ca="1" si="33"/>
        <v>0</v>
      </c>
      <c r="X18" s="186">
        <f ca="1">IFERROR(__xludf.DUMMYFUNCTION("IMPORTRANGE(""https://docs.google.com/spreadsheets/d/10nSRjK08hx8Y6HgSOQKNw81lyY46Zc7U_Cj72hBMp9U/edit?usp=sharing"",""นครสวรรค์!J702"")"),0)</f>
        <v>0</v>
      </c>
      <c r="Y18" s="186">
        <f ca="1">IFERROR(__xludf.DUMMYFUNCTION("IMPORTRANGE(""https://docs.google.com/spreadsheets/d/10nSRjK08hx8Y6HgSOQKNw81lyY46Zc7U_Cj72hBMp9U/edit?usp=sharing"",""นครสวรรค์!J703"")"),0)</f>
        <v>0</v>
      </c>
      <c r="Z18" s="186">
        <f ca="1">IFERROR(__xludf.DUMMYFUNCTION("IMPORTRANGE(""https://docs.google.com/spreadsheets/d/10nSRjK08hx8Y6HgSOQKNw81lyY46Zc7U_Cj72hBMp9U/edit?usp=sharing"",""นครสวรรค์!J704"")"),0)</f>
        <v>0</v>
      </c>
      <c r="AA18" s="186">
        <f ca="1">IFERROR(__xludf.DUMMYFUNCTION("IMPORTRANGE(""https://docs.google.com/spreadsheets/d/10nSRjK08hx8Y6HgSOQKNw81lyY46Zc7U_Cj72hBMp9U/edit?usp=sharing"",""นครสวรรค์!J705"")"),0)</f>
        <v>0</v>
      </c>
      <c r="AB18" s="186">
        <f ca="1">IFERROR(__xludf.DUMMYFUNCTION("IMPORTRANGE(""https://docs.google.com/spreadsheets/d/10nSRjK08hx8Y6HgSOQKNw81lyY46Zc7U_Cj72hBMp9U/edit?usp=sharing"",""นครสวรรค์!J706"")"),0)</f>
        <v>0</v>
      </c>
      <c r="AC18" s="186">
        <f ca="1">IFERROR(__xludf.DUMMYFUNCTION("IMPORTRANGE(""https://docs.google.com/spreadsheets/d/10nSRjK08hx8Y6HgSOQKNw81lyY46Zc7U_Cj72hBMp9U/edit?usp=sharing"",""นครสวรรค์!J707"")"),0)</f>
        <v>0</v>
      </c>
      <c r="AD18" s="181">
        <f ca="1">IFERROR(__xludf.DUMMYFUNCTION("IMPORTRANGE(""https://docs.google.com/spreadsheets/d/10nSRjK08hx8Y6HgSOQKNw81lyY46Zc7U_Cj72hBMp9U/edit?usp=sharing"",""นครสวรรค์!I708"")"),1846)</f>
        <v>1846</v>
      </c>
      <c r="AE18" s="181">
        <f ca="1">IFERROR(__xludf.DUMMYFUNCTION("IMPORTRANGE(""https://docs.google.com/spreadsheets/d/10nSRjK08hx8Y6HgSOQKNw81lyY46Zc7U_Cj72hBMp9U/edit?usp=sharing"",""นครสวรรค์!J708"")"),0)</f>
        <v>0</v>
      </c>
      <c r="AF18" s="186">
        <f t="shared" ca="1" si="34"/>
        <v>0</v>
      </c>
      <c r="AG18" s="181">
        <f ca="1">IFERROR(__xludf.DUMMYFUNCTION("IMPORTRANGE(""https://docs.google.com/spreadsheets/d/10nSRjK08hx8Y6HgSOQKNw81lyY46Zc7U_Cj72hBMp9U/edit?usp=sharing"",""นครสวรรค์!J709"")"),0)</f>
        <v>0</v>
      </c>
      <c r="AH18" s="181">
        <f ca="1">IFERROR(__xludf.DUMMYFUNCTION("IMPORTRANGE(""https://docs.google.com/spreadsheets/d/10nSRjK08hx8Y6HgSOQKNw81lyY46Zc7U_Cj72hBMp9U/edit?usp=sharing"",""นครสวรรค์!J710"")"),0)</f>
        <v>0</v>
      </c>
      <c r="AI18" s="181">
        <f ca="1">IFERROR(__xludf.DUMMYFUNCTION("IMPORTRANGE(""https://docs.google.com/spreadsheets/d/10nSRjK08hx8Y6HgSOQKNw81lyY46Zc7U_Cj72hBMp9U/edit?usp=sharing"",""นครสวรรค์!J712"")"),0)</f>
        <v>0</v>
      </c>
      <c r="AJ18" s="181">
        <f ca="1">IFERROR(__xludf.DUMMYFUNCTION("IMPORTRANGE(""https://docs.google.com/spreadsheets/d/10nSRjK08hx8Y6HgSOQKNw81lyY46Zc7U_Cj72hBMp9U/edit?usp=sharing"",""นครสวรรค์!J713"")"),0)</f>
        <v>0</v>
      </c>
      <c r="AK18" s="181">
        <f ca="1">IFERROR(__xludf.DUMMYFUNCTION("IMPORTRANGE(""https://docs.google.com/spreadsheets/d/10nSRjK08hx8Y6HgSOQKNw81lyY46Zc7U_Cj72hBMp9U/edit?usp=sharing"",""นครสวรรค์!J714"")"),0)</f>
        <v>0</v>
      </c>
      <c r="AL18" s="181">
        <f ca="1">IFERROR(__xludf.DUMMYFUNCTION("IMPORTRANGE(""https://docs.google.com/spreadsheets/d/10nSRjK08hx8Y6HgSOQKNw81lyY46Zc7U_Cj72hBMp9U/edit?usp=sharing"",""นครสวรรค์!J715"")"),0)</f>
        <v>0</v>
      </c>
      <c r="AM18" s="181">
        <f ca="1">IFERROR(__xludf.DUMMYFUNCTION("IMPORTRANGE(""https://docs.google.com/spreadsheets/d/10nSRjK08hx8Y6HgSOQKNw81lyY46Zc7U_Cj72hBMp9U/edit?usp=sharing"",""นครสวรรค์!J716"")"),0)</f>
        <v>0</v>
      </c>
      <c r="AN18" s="181">
        <f ca="1">IFERROR(__xludf.DUMMYFUNCTION("IMPORTRANGE(""https://docs.google.com/spreadsheets/d/10nSRjK08hx8Y6HgSOQKNw81lyY46Zc7U_Cj72hBMp9U/edit?usp=sharing"",""นครสวรรค์!J717"")"),0)</f>
        <v>0</v>
      </c>
      <c r="AO18" s="181">
        <f ca="1">IFERROR(__xludf.DUMMYFUNCTION("IMPORTRANGE(""https://docs.google.com/spreadsheets/d/10nSRjK08hx8Y6HgSOQKNw81lyY46Zc7U_Cj72hBMp9U/edit?usp=sharing"",""นครสวรรค์!I720"")"),2585)</f>
        <v>2585</v>
      </c>
      <c r="AP18" s="181">
        <f ca="1">IFERROR(__xludf.DUMMYFUNCTION("IMPORTRANGE(""https://docs.google.com/spreadsheets/d/10nSRjK08hx8Y6HgSOQKNw81lyY46Zc7U_Cj72hBMp9U/edit?usp=sharing"",""นครสวรรค์!J718"")"),0)</f>
        <v>0</v>
      </c>
      <c r="AQ18" s="181">
        <f ca="1">IFERROR(__xludf.DUMMYFUNCTION("IMPORTRANGE(""https://docs.google.com/spreadsheets/d/10nSRjK08hx8Y6HgSOQKNw81lyY46Zc7U_Cj72hBMp9U/edit?usp=sharing"",""นครสวรรค์!J719"")"),0)</f>
        <v>0</v>
      </c>
      <c r="AR18" s="181">
        <f ca="1">IFERROR(__xludf.DUMMYFUNCTION("IMPORTRANGE(""https://docs.google.com/spreadsheets/d/10nSRjK08hx8Y6HgSOQKNw81lyY46Zc7U_Cj72hBMp9U/edit?usp=sharing"",""นครสวรรค์!J720"")"),0)</f>
        <v>0</v>
      </c>
      <c r="AS18" s="186">
        <f t="shared" ca="1" si="14"/>
        <v>0</v>
      </c>
      <c r="AT18" s="181">
        <f ca="1">IFERROR(__xludf.DUMMYFUNCTION("IMPORTRANGE(""https://docs.google.com/spreadsheets/d/10nSRjK08hx8Y6HgSOQKNw81lyY46Zc7U_Cj72hBMp9U/edit?usp=sharing"",""นครสวรรค์!I721"")"),40)</f>
        <v>40</v>
      </c>
      <c r="AU18" s="181">
        <f ca="1">IFERROR(__xludf.DUMMYFUNCTION("IMPORTRANGE(""https://docs.google.com/spreadsheets/d/10nSRjK08hx8Y6HgSOQKNw81lyY46Zc7U_Cj72hBMp9U/edit?usp=sharing"",""นครสวรรค์!I722"")"),1009)</f>
        <v>1009</v>
      </c>
      <c r="AV18" s="181">
        <f ca="1">IFERROR(__xludf.DUMMYFUNCTION("IMPORTRANGE(""https://docs.google.com/spreadsheets/d/10nSRjK08hx8Y6HgSOQKNw81lyY46Zc7U_Cj72hBMp9U/edit?usp=sharing"",""นครสวรรค์!J721"")"),0)</f>
        <v>0</v>
      </c>
      <c r="AW18" s="186">
        <f t="shared" ca="1" si="16"/>
        <v>0</v>
      </c>
      <c r="AX18" s="181">
        <f ca="1">IFERROR(__xludf.DUMMYFUNCTION("IMPORTRANGE(""https://docs.google.com/spreadsheets/d/10nSRjK08hx8Y6HgSOQKNw81lyY46Zc7U_Cj72hBMp9U/edit?usp=sharing"",""นครสวรรค์!J722"")"),0)</f>
        <v>0</v>
      </c>
      <c r="AY18" s="186">
        <f t="shared" ca="1" si="17"/>
        <v>0</v>
      </c>
      <c r="AZ18" s="181">
        <f ca="1">IFERROR(__xludf.DUMMYFUNCTION("IMPORTRANGE(""https://docs.google.com/spreadsheets/d/10nSRjK08hx8Y6HgSOQKNw81lyY46Zc7U_Cj72hBMp9U/edit?usp=sharing"",""นครสวรรค์!I723"")"),40)</f>
        <v>40</v>
      </c>
      <c r="BA18" s="181">
        <f ca="1">IFERROR(__xludf.DUMMYFUNCTION("IMPORTRANGE(""https://docs.google.com/spreadsheets/d/10nSRjK08hx8Y6HgSOQKNw81lyY46Zc7U_Cj72hBMp9U/edit?usp=sharing"",""นครสวรรค์!I725"")"),1009)</f>
        <v>1009</v>
      </c>
      <c r="BB18" s="181">
        <f ca="1">IFERROR(__xludf.DUMMYFUNCTION("IMPORTRANGE(""https://docs.google.com/spreadsheets/d/10nSRjK08hx8Y6HgSOQKNw81lyY46Zc7U_Cj72hBMp9U/edit?usp=sharing"",""นครสวรรค์!J723"")"),0)</f>
        <v>0</v>
      </c>
      <c r="BC18" s="181">
        <f ca="1">IFERROR(__xludf.DUMMYFUNCTION("IMPORTRANGE(""https://docs.google.com/spreadsheets/d/10nSRjK08hx8Y6HgSOQKNw81lyY46Zc7U_Cj72hBMp9U/edit?usp=sharing"",""นครสวรรค์!J724"")"),0)</f>
        <v>0</v>
      </c>
      <c r="BD18" s="181">
        <f ca="1">IFERROR(__xludf.DUMMYFUNCTION("IMPORTRANGE(""https://docs.google.com/spreadsheets/d/10nSRjK08hx8Y6HgSOQKNw81lyY46Zc7U_Cj72hBMp9U/edit?usp=sharing"",""นครสวรรค์!J725"")"),0)</f>
        <v>0</v>
      </c>
      <c r="BE18" s="181">
        <f ca="1">IFERROR(__xludf.DUMMYFUNCTION("IMPORTRANGE(""https://docs.google.com/spreadsheets/d/10nSRjK08hx8Y6HgSOQKNw81lyY46Zc7U_Cj72hBMp9U/edit?usp=sharing"",""นครสวรรค์!I726"")"),0)</f>
        <v>0</v>
      </c>
      <c r="BF18" s="181">
        <f ca="1">IFERROR(__xludf.DUMMYFUNCTION("IMPORTRANGE(""https://docs.google.com/spreadsheets/d/10nSRjK08hx8Y6HgSOQKNw81lyY46Zc7U_Cj72hBMp9U/edit?usp=sharing"",""นครสวรรค์!I728"")"),0)</f>
        <v>0</v>
      </c>
      <c r="BG18" s="181">
        <f ca="1">IFERROR(__xludf.DUMMYFUNCTION("IMPORTRANGE(""https://docs.google.com/spreadsheets/d/10nSRjK08hx8Y6HgSOQKNw81lyY46Zc7U_Cj72hBMp9U/edit?usp=sharing"",""นครสวรรค์!J726"")"),0)</f>
        <v>0</v>
      </c>
      <c r="BH18" s="181">
        <f ca="1">IFERROR(__xludf.DUMMYFUNCTION("IMPORTRANGE(""https://docs.google.com/spreadsheets/d/10nSRjK08hx8Y6HgSOQKNw81lyY46Zc7U_Cj72hBMp9U/edit?usp=sharing"",""นครสวรรค์!J727"")"),0)</f>
        <v>0</v>
      </c>
      <c r="BI18" s="181">
        <f ca="1">IFERROR(__xludf.DUMMYFUNCTION("IMPORTRANGE(""https://docs.google.com/spreadsheets/d/10nSRjK08hx8Y6HgSOQKNw81lyY46Zc7U_Cj72hBMp9U/edit?usp=sharing"",""นครสวรรค์!J728"")"),0)</f>
        <v>0</v>
      </c>
      <c r="BJ18" s="181">
        <f ca="1">IFERROR(__xludf.DUMMYFUNCTION("IMPORTRANGE(""https://docs.google.com/spreadsheets/d/10nSRjK08hx8Y6HgSOQKNw81lyY46Zc7U_Cj72hBMp9U/edit?usp=sharing"",""นครสวรรค์!I729"")"),105)</f>
        <v>105</v>
      </c>
      <c r="BK18" s="181">
        <f ca="1">IFERROR(__xludf.DUMMYFUNCTION("IMPORTRANGE(""https://docs.google.com/spreadsheets/d/10nSRjK08hx8Y6HgSOQKNw81lyY46Zc7U_Cj72hBMp9U/edit?usp=sharing"",""นครสวรรค์!J729"")"),0)</f>
        <v>0</v>
      </c>
      <c r="BL18" s="186">
        <f t="shared" ca="1" si="19"/>
        <v>0</v>
      </c>
      <c r="BM18" s="181">
        <f ca="1">IFERROR(__xludf.DUMMYFUNCTION("IMPORTRANGE(""https://docs.google.com/spreadsheets/d/10nSRjK08hx8Y6HgSOQKNw81lyY46Zc7U_Cj72hBMp9U/edit?usp=sharing"",""นครสวรรค์!J730"")"),0)</f>
        <v>0</v>
      </c>
      <c r="BN18" s="181">
        <f ca="1">IFERROR(__xludf.DUMMYFUNCTION("IMPORTRANGE(""https://docs.google.com/spreadsheets/d/10nSRjK08hx8Y6HgSOQKNw81lyY46Zc7U_Cj72hBMp9U/edit?usp=sharing"",""นครสวรรค์!J731"")"),0)</f>
        <v>0</v>
      </c>
      <c r="BO18" s="181">
        <f ca="1">IFERROR(__xludf.DUMMYFUNCTION("IMPORTRANGE(""https://docs.google.com/spreadsheets/d/10nSRjK08hx8Y6HgSOQKNw81lyY46Zc7U_Cj72hBMp9U/edit?usp=sharing"",""นครสวรรค์!J732"")"),0)</f>
        <v>0</v>
      </c>
      <c r="BP18" s="181">
        <f ca="1">IFERROR(__xludf.DUMMYFUNCTION("IMPORTRANGE(""https://docs.google.com/spreadsheets/d/10nSRjK08hx8Y6HgSOQKNw81lyY46Zc7U_Cj72hBMp9U/edit?usp=sharing"",""นครสวรรค์!J733"")"),0)</f>
        <v>0</v>
      </c>
      <c r="BQ18" s="181">
        <f ca="1">IFERROR(__xludf.DUMMYFUNCTION("IMPORTRANGE(""https://docs.google.com/spreadsheets/d/10nSRjK08hx8Y6HgSOQKNw81lyY46Zc7U_Cj72hBMp9U/edit?usp=sharing"",""นครสวรรค์!J734"")"),0)</f>
        <v>0</v>
      </c>
      <c r="BR18" s="181">
        <f ca="1">IFERROR(__xludf.DUMMYFUNCTION("IMPORTRANGE(""https://docs.google.com/spreadsheets/d/10nSRjK08hx8Y6HgSOQKNw81lyY46Zc7U_Cj72hBMp9U/edit?usp=sharing"",""นครสวรรค์!J735"")"),0)</f>
        <v>0</v>
      </c>
    </row>
    <row r="19" spans="1:70" ht="24" customHeight="1" x14ac:dyDescent="0.3">
      <c r="A19" s="178">
        <v>6</v>
      </c>
      <c r="B19" s="179" t="s">
        <v>36</v>
      </c>
      <c r="C19" s="180">
        <f t="shared" ca="1" si="46"/>
        <v>0</v>
      </c>
      <c r="D19" s="181">
        <f ca="1">IFERROR(__xludf.DUMMYFUNCTION("IMPORTRANGE(""https://docs.google.com/spreadsheets/d/1gFVb7qd7amutrIxAAoM7lcy35hllxznovot8lyOfvDo/edit?usp=sharing"",""น่าน!L690"")"),0)</f>
        <v>0</v>
      </c>
      <c r="E19" s="187">
        <f ca="1">IFERROR(__xludf.DUMMYFUNCTION("IMPORTRANGE(""https://docs.google.com/spreadsheets/d/1gFVb7qd7amutrIxAAoM7lcy35hllxznovot8lyOfvDo/edit?usp=sharing"",""น่าน!L697"")"),0)</f>
        <v>0</v>
      </c>
      <c r="F19" s="182">
        <f t="shared" ca="1" si="1"/>
        <v>0</v>
      </c>
      <c r="G19" s="183">
        <f t="shared" ca="1" si="2"/>
        <v>0</v>
      </c>
      <c r="H19" s="184">
        <f t="shared" ca="1" si="47"/>
        <v>0</v>
      </c>
      <c r="I19" s="187">
        <f ca="1">IFERROR(__xludf.DUMMYFUNCTION("IMPORTRANGE(""https://docs.google.com/spreadsheets/d/1gFVb7qd7amutrIxAAoM7lcy35hllxznovot8lyOfvDo/edit?usp=sharing"",""น่าน!N691"")"),0)</f>
        <v>0</v>
      </c>
      <c r="J19" s="187">
        <f ca="1">IFERROR(__xludf.DUMMYFUNCTION("IMPORTRANGE(""https://docs.google.com/spreadsheets/d/1gFVb7qd7amutrIxAAoM7lcy35hllxznovot8lyOfvDo/edit?usp=sharing"",""น่าน!N692"")"),0)</f>
        <v>0</v>
      </c>
      <c r="K19" s="187">
        <f ca="1">IFERROR(__xludf.DUMMYFUNCTION("IMPORTRANGE(""https://docs.google.com/spreadsheets/d/1gFVb7qd7amutrIxAAoM7lcy35hllxznovot8lyOfvDo/edit?usp=sharing"",""น่าน!N693"")"),0)</f>
        <v>0</v>
      </c>
      <c r="L19" s="187">
        <f ca="1">IFERROR(__xludf.DUMMYFUNCTION("IMPORTRANGE(""https://docs.google.com/spreadsheets/d/1gFVb7qd7amutrIxAAoM7lcy35hllxznovot8lyOfvDo/edit?usp=sharing"",""น่าน!N694"")"),0)</f>
        <v>0</v>
      </c>
      <c r="M19" s="185">
        <f ca="1">IFERROR(__xludf.DUMMYFUNCTION("IMPORTRANGE(""https://docs.google.com/spreadsheets/d/1gFVb7qd7amutrIxAAoM7lcy35hllxznovot8lyOfvDo/edit?usp=sharing"",""น่าน!N697"")"),0)</f>
        <v>0</v>
      </c>
      <c r="N19" s="185">
        <f t="shared" ca="1" si="37"/>
        <v>0</v>
      </c>
      <c r="O19" s="181">
        <f ca="1">IFERROR(__xludf.DUMMYFUNCTION("IMPORTRANGE(""https://docs.google.com/spreadsheets/d/1gFVb7qd7amutrIxAAoM7lcy35hllxznovot8lyOfvDo/edit?usp=sharing"",""น่าน!I699"")"),0)</f>
        <v>0</v>
      </c>
      <c r="P19" s="181">
        <f ca="1">IFERROR(__xludf.DUMMYFUNCTION("IMPORTRANGE(""https://docs.google.com/spreadsheets/d/1gFVb7qd7amutrIxAAoM7lcy35hllxznovot8lyOfvDo/edit?usp=sharing"",""น่าน!J699"")"),0)</f>
        <v>0</v>
      </c>
      <c r="Q19" s="186">
        <f t="shared" ca="1" si="31"/>
        <v>0</v>
      </c>
      <c r="R19" s="181">
        <f ca="1">IFERROR(__xludf.DUMMYFUNCTION("IMPORTRANGE(""https://docs.google.com/spreadsheets/d/1gFVb7qd7amutrIxAAoM7lcy35hllxznovot8lyOfvDo/edit?usp=sharing"",""น่าน!I700"")"),0)</f>
        <v>0</v>
      </c>
      <c r="S19" s="181">
        <f ca="1">IFERROR(__xludf.DUMMYFUNCTION("IMPORTRANGE(""https://docs.google.com/spreadsheets/d/1gFVb7qd7amutrIxAAoM7lcy35hllxznovot8lyOfvDo/edit?usp=sharing"",""น่าน!J700"")"),0)</f>
        <v>0</v>
      </c>
      <c r="T19" s="186">
        <f t="shared" ca="1" si="32"/>
        <v>0</v>
      </c>
      <c r="U19" s="181">
        <f ca="1">IFERROR(__xludf.DUMMYFUNCTION("IMPORTRANGE(""https://docs.google.com/spreadsheets/d/1gFVb7qd7amutrIxAAoM7lcy35hllxznovot8lyOfvDo/edit?usp=sharing"",""น่าน!I701"")"),0)</f>
        <v>0</v>
      </c>
      <c r="V19" s="181">
        <f ca="1">IFERROR(__xludf.DUMMYFUNCTION("IMPORTRANGE(""https://docs.google.com/spreadsheets/d/1gFVb7qd7amutrIxAAoM7lcy35hllxznovot8lyOfvDo/edit?usp=sharing"",""น่าน!J701"")"),0)</f>
        <v>0</v>
      </c>
      <c r="W19" s="186">
        <f t="shared" ca="1" si="33"/>
        <v>0</v>
      </c>
      <c r="X19" s="186">
        <f ca="1">IFERROR(__xludf.DUMMYFUNCTION("IMPORTRANGE(""https://docs.google.com/spreadsheets/d/1gFVb7qd7amutrIxAAoM7lcy35hllxznovot8lyOfvDo/edit?usp=sharing"",""น่าน!J702"")"),0)</f>
        <v>0</v>
      </c>
      <c r="Y19" s="186">
        <f ca="1">IFERROR(__xludf.DUMMYFUNCTION("IMPORTRANGE(""https://docs.google.com/spreadsheets/d/1gFVb7qd7amutrIxAAoM7lcy35hllxznovot8lyOfvDo/edit?usp=sharing"",""น่าน!J703"")"),0)</f>
        <v>0</v>
      </c>
      <c r="Z19" s="186">
        <f ca="1">IFERROR(__xludf.DUMMYFUNCTION("IMPORTRANGE(""https://docs.google.com/spreadsheets/d/1gFVb7qd7amutrIxAAoM7lcy35hllxznovot8lyOfvDo/edit?usp=sharing"",""น่าน!J704"")"),0)</f>
        <v>0</v>
      </c>
      <c r="AA19" s="186">
        <f ca="1">IFERROR(__xludf.DUMMYFUNCTION("IMPORTRANGE(""https://docs.google.com/spreadsheets/d/1gFVb7qd7amutrIxAAoM7lcy35hllxznovot8lyOfvDo/edit?usp=sharing"",""น่าน!J705"")"),0)</f>
        <v>0</v>
      </c>
      <c r="AB19" s="186">
        <f ca="1">IFERROR(__xludf.DUMMYFUNCTION("IMPORTRANGE(""https://docs.google.com/spreadsheets/d/1gFVb7qd7amutrIxAAoM7lcy35hllxznovot8lyOfvDo/edit?usp=sharing"",""น่าน!J706"")"),0)</f>
        <v>0</v>
      </c>
      <c r="AC19" s="186">
        <f ca="1">IFERROR(__xludf.DUMMYFUNCTION("IMPORTRANGE(""https://docs.google.com/spreadsheets/d/1gFVb7qd7amutrIxAAoM7lcy35hllxznovot8lyOfvDo/edit?usp=sharing"",""น่าน!J707"")"),0)</f>
        <v>0</v>
      </c>
      <c r="AD19" s="181">
        <f ca="1">IFERROR(__xludf.DUMMYFUNCTION("IMPORTRANGE(""https://docs.google.com/spreadsheets/d/1gFVb7qd7amutrIxAAoM7lcy35hllxznovot8lyOfvDo/edit?usp=sharing"",""น่าน!I708"")"),0)</f>
        <v>0</v>
      </c>
      <c r="AE19" s="181">
        <f ca="1">IFERROR(__xludf.DUMMYFUNCTION("IMPORTRANGE(""https://docs.google.com/spreadsheets/d/1gFVb7qd7amutrIxAAoM7lcy35hllxznovot8lyOfvDo/edit?usp=sharing"",""น่าน!J708"")"),0)</f>
        <v>0</v>
      </c>
      <c r="AF19" s="186">
        <f t="shared" ca="1" si="34"/>
        <v>0</v>
      </c>
      <c r="AG19" s="181">
        <f ca="1">IFERROR(__xludf.DUMMYFUNCTION("IMPORTRANGE(""https://docs.google.com/spreadsheets/d/1gFVb7qd7amutrIxAAoM7lcy35hllxznovot8lyOfvDo/edit?usp=sharing"",""น่าน!J709"")"),0)</f>
        <v>0</v>
      </c>
      <c r="AH19" s="181">
        <f ca="1">IFERROR(__xludf.DUMMYFUNCTION("IMPORTRANGE(""https://docs.google.com/spreadsheets/d/1gFVb7qd7amutrIxAAoM7lcy35hllxznovot8lyOfvDo/edit?usp=sharing"",""น่าน!J710"")"),0)</f>
        <v>0</v>
      </c>
      <c r="AI19" s="181">
        <f ca="1">IFERROR(__xludf.DUMMYFUNCTION("IMPORTRANGE(""https://docs.google.com/spreadsheets/d/1gFVb7qd7amutrIxAAoM7lcy35hllxznovot8lyOfvDo/edit?usp=sharing"",""น่าน!J712"")"),0)</f>
        <v>0</v>
      </c>
      <c r="AJ19" s="181">
        <f ca="1">IFERROR(__xludf.DUMMYFUNCTION("IMPORTRANGE(""https://docs.google.com/spreadsheets/d/1gFVb7qd7amutrIxAAoM7lcy35hllxznovot8lyOfvDo/edit?usp=sharing"",""น่าน!J713"")"),0)</f>
        <v>0</v>
      </c>
      <c r="AK19" s="181">
        <f ca="1">IFERROR(__xludf.DUMMYFUNCTION("IMPORTRANGE(""https://docs.google.com/spreadsheets/d/1gFVb7qd7amutrIxAAoM7lcy35hllxznovot8lyOfvDo/edit?usp=sharing"",""น่าน!J714"")"),0)</f>
        <v>0</v>
      </c>
      <c r="AL19" s="181">
        <f ca="1">IFERROR(__xludf.DUMMYFUNCTION("IMPORTRANGE(""https://docs.google.com/spreadsheets/d/1gFVb7qd7amutrIxAAoM7lcy35hllxznovot8lyOfvDo/edit?usp=sharing"",""น่าน!J715"")"),0)</f>
        <v>0</v>
      </c>
      <c r="AM19" s="181">
        <f ca="1">IFERROR(__xludf.DUMMYFUNCTION("IMPORTRANGE(""https://docs.google.com/spreadsheets/d/1gFVb7qd7amutrIxAAoM7lcy35hllxznovot8lyOfvDo/edit?usp=sharing"",""น่าน!J716"")"),0)</f>
        <v>0</v>
      </c>
      <c r="AN19" s="181">
        <f ca="1">IFERROR(__xludf.DUMMYFUNCTION("IMPORTRANGE(""https://docs.google.com/spreadsheets/d/1gFVb7qd7amutrIxAAoM7lcy35hllxznovot8lyOfvDo/edit?usp=sharing"",""น่าน!J717"")"),0)</f>
        <v>0</v>
      </c>
      <c r="AO19" s="181">
        <f ca="1">IFERROR(__xludf.DUMMYFUNCTION("IMPORTRANGE(""https://docs.google.com/spreadsheets/d/1gFVb7qd7amutrIxAAoM7lcy35hllxznovot8lyOfvDo/edit?usp=sharing"",""น่าน!I720"")"),0)</f>
        <v>0</v>
      </c>
      <c r="AP19" s="181">
        <f ca="1">IFERROR(__xludf.DUMMYFUNCTION("IMPORTRANGE(""https://docs.google.com/spreadsheets/d/1gFVb7qd7amutrIxAAoM7lcy35hllxznovot8lyOfvDo/edit?usp=sharing"",""น่าน!J718"")"),0)</f>
        <v>0</v>
      </c>
      <c r="AQ19" s="181">
        <f ca="1">IFERROR(__xludf.DUMMYFUNCTION("IMPORTRANGE(""https://docs.google.com/spreadsheets/d/1gFVb7qd7amutrIxAAoM7lcy35hllxznovot8lyOfvDo/edit?usp=sharing"",""น่าน!J719"")"),0)</f>
        <v>0</v>
      </c>
      <c r="AR19" s="181">
        <f ca="1">IFERROR(__xludf.DUMMYFUNCTION("IMPORTRANGE(""https://docs.google.com/spreadsheets/d/1gFVb7qd7amutrIxAAoM7lcy35hllxznovot8lyOfvDo/edit?usp=sharing"",""น่าน!J720"")"),0)</f>
        <v>0</v>
      </c>
      <c r="AS19" s="186">
        <f t="shared" ca="1" si="14"/>
        <v>0</v>
      </c>
      <c r="AT19" s="181">
        <f ca="1">IFERROR(__xludf.DUMMYFUNCTION("IMPORTRANGE(""https://docs.google.com/spreadsheets/d/1gFVb7qd7amutrIxAAoM7lcy35hllxznovot8lyOfvDo/edit?usp=sharing"",""น่าน!I721"")"),0)</f>
        <v>0</v>
      </c>
      <c r="AU19" s="181">
        <f ca="1">IFERROR(__xludf.DUMMYFUNCTION("IMPORTRANGE(""https://docs.google.com/spreadsheets/d/1gFVb7qd7amutrIxAAoM7lcy35hllxznovot8lyOfvDo/edit?usp=sharing"",""น่าน!I722"")"),0)</f>
        <v>0</v>
      </c>
      <c r="AV19" s="181">
        <f ca="1">IFERROR(__xludf.DUMMYFUNCTION("IMPORTRANGE(""https://docs.google.com/spreadsheets/d/1gFVb7qd7amutrIxAAoM7lcy35hllxznovot8lyOfvDo/edit?usp=sharing"",""น่าน!J721"")"),0)</f>
        <v>0</v>
      </c>
      <c r="AW19" s="186">
        <f t="shared" ca="1" si="16"/>
        <v>0</v>
      </c>
      <c r="AX19" s="181">
        <f ca="1">IFERROR(__xludf.DUMMYFUNCTION("IMPORTRANGE(""https://docs.google.com/spreadsheets/d/1gFVb7qd7amutrIxAAoM7lcy35hllxznovot8lyOfvDo/edit?usp=sharing"",""น่าน!J722"")"),0)</f>
        <v>0</v>
      </c>
      <c r="AY19" s="186">
        <f t="shared" ca="1" si="17"/>
        <v>0</v>
      </c>
      <c r="AZ19" s="181">
        <f ca="1">IFERROR(__xludf.DUMMYFUNCTION("IMPORTRANGE(""https://docs.google.com/spreadsheets/d/1gFVb7qd7amutrIxAAoM7lcy35hllxznovot8lyOfvDo/edit?usp=sharing"",""น่าน!I723"")"),0)</f>
        <v>0</v>
      </c>
      <c r="BA19" s="181">
        <f ca="1">IFERROR(__xludf.DUMMYFUNCTION("IMPORTRANGE(""https://docs.google.com/spreadsheets/d/1gFVb7qd7amutrIxAAoM7lcy35hllxznovot8lyOfvDo/edit?usp=sharing"",""น่าน!I725"")"),0)</f>
        <v>0</v>
      </c>
      <c r="BB19" s="181">
        <f ca="1">IFERROR(__xludf.DUMMYFUNCTION("IMPORTRANGE(""https://docs.google.com/spreadsheets/d/1gFVb7qd7amutrIxAAoM7lcy35hllxznovot8lyOfvDo/edit?usp=sharing"",""น่าน!J723"")"),0)</f>
        <v>0</v>
      </c>
      <c r="BC19" s="181">
        <f ca="1">IFERROR(__xludf.DUMMYFUNCTION("IMPORTRANGE(""https://docs.google.com/spreadsheets/d/1gFVb7qd7amutrIxAAoM7lcy35hllxznovot8lyOfvDo/edit?usp=sharing"",""น่าน!J724"")"),0)</f>
        <v>0</v>
      </c>
      <c r="BD19" s="181">
        <f ca="1">IFERROR(__xludf.DUMMYFUNCTION("IMPORTRANGE(""https://docs.google.com/spreadsheets/d/1gFVb7qd7amutrIxAAoM7lcy35hllxznovot8lyOfvDo/edit?usp=sharing"",""น่าน!J725"")"),0)</f>
        <v>0</v>
      </c>
      <c r="BE19" s="181">
        <f ca="1">IFERROR(__xludf.DUMMYFUNCTION("IMPORTRANGE(""https://docs.google.com/spreadsheets/d/1gFVb7qd7amutrIxAAoM7lcy35hllxznovot8lyOfvDo/edit?usp=sharing"",""น่าน!I726"")"),0)</f>
        <v>0</v>
      </c>
      <c r="BF19" s="181">
        <f ca="1">IFERROR(__xludf.DUMMYFUNCTION("IMPORTRANGE(""https://docs.google.com/spreadsheets/d/1gFVb7qd7amutrIxAAoM7lcy35hllxznovot8lyOfvDo/edit?usp=sharing"",""น่าน!I728"")"),0)</f>
        <v>0</v>
      </c>
      <c r="BG19" s="181">
        <f ca="1">IFERROR(__xludf.DUMMYFUNCTION("IMPORTRANGE(""https://docs.google.com/spreadsheets/d/1gFVb7qd7amutrIxAAoM7lcy35hllxznovot8lyOfvDo/edit?usp=sharing"",""น่าน!J726"")"),0)</f>
        <v>0</v>
      </c>
      <c r="BH19" s="181">
        <f ca="1">IFERROR(__xludf.DUMMYFUNCTION("IMPORTRANGE(""https://docs.google.com/spreadsheets/d/1gFVb7qd7amutrIxAAoM7lcy35hllxznovot8lyOfvDo/edit?usp=sharing"",""น่าน!J727"")"),0)</f>
        <v>0</v>
      </c>
      <c r="BI19" s="181">
        <f ca="1">IFERROR(__xludf.DUMMYFUNCTION("IMPORTRANGE(""https://docs.google.com/spreadsheets/d/1gFVb7qd7amutrIxAAoM7lcy35hllxznovot8lyOfvDo/edit?usp=sharing"",""น่าน!J728"")"),0)</f>
        <v>0</v>
      </c>
      <c r="BJ19" s="181">
        <f ca="1">IFERROR(__xludf.DUMMYFUNCTION("IMPORTRANGE(""https://docs.google.com/spreadsheets/d/1gFVb7qd7amutrIxAAoM7lcy35hllxznovot8lyOfvDo/edit?usp=sharing"",""น่าน!I729"")"),0)</f>
        <v>0</v>
      </c>
      <c r="BK19" s="181">
        <f ca="1">IFERROR(__xludf.DUMMYFUNCTION("IMPORTRANGE(""https://docs.google.com/spreadsheets/d/1gFVb7qd7amutrIxAAoM7lcy35hllxznovot8lyOfvDo/edit?usp=sharing"",""น่าน!J729"")"),0)</f>
        <v>0</v>
      </c>
      <c r="BL19" s="186">
        <f t="shared" ca="1" si="19"/>
        <v>0</v>
      </c>
      <c r="BM19" s="181">
        <f ca="1">IFERROR(__xludf.DUMMYFUNCTION("IMPORTRANGE(""https://docs.google.com/spreadsheets/d/1gFVb7qd7amutrIxAAoM7lcy35hllxznovot8lyOfvDo/edit?usp=sharing"",""น่าน!J730"")"),0)</f>
        <v>0</v>
      </c>
      <c r="BN19" s="181">
        <f ca="1">IFERROR(__xludf.DUMMYFUNCTION("IMPORTRANGE(""https://docs.google.com/spreadsheets/d/1gFVb7qd7amutrIxAAoM7lcy35hllxznovot8lyOfvDo/edit?usp=sharing"",""น่าน!J731"")"),0)</f>
        <v>0</v>
      </c>
      <c r="BO19" s="181">
        <f ca="1">IFERROR(__xludf.DUMMYFUNCTION("IMPORTRANGE(""https://docs.google.com/spreadsheets/d/1gFVb7qd7amutrIxAAoM7lcy35hllxznovot8lyOfvDo/edit?usp=sharing"",""น่าน!J732"")"),0)</f>
        <v>0</v>
      </c>
      <c r="BP19" s="181">
        <f ca="1">IFERROR(__xludf.DUMMYFUNCTION("IMPORTRANGE(""https://docs.google.com/spreadsheets/d/1gFVb7qd7amutrIxAAoM7lcy35hllxznovot8lyOfvDo/edit?usp=sharing"",""น่าน!J733"")"),0)</f>
        <v>0</v>
      </c>
      <c r="BQ19" s="181">
        <f ca="1">IFERROR(__xludf.DUMMYFUNCTION("IMPORTRANGE(""https://docs.google.com/spreadsheets/d/1gFVb7qd7amutrIxAAoM7lcy35hllxznovot8lyOfvDo/edit?usp=sharing"",""น่าน!J734"")"),0)</f>
        <v>0</v>
      </c>
      <c r="BR19" s="181">
        <f ca="1">IFERROR(__xludf.DUMMYFUNCTION("IMPORTRANGE(""https://docs.google.com/spreadsheets/d/1gFVb7qd7amutrIxAAoM7lcy35hllxznovot8lyOfvDo/edit?usp=sharing"",""น่าน!J735"")"),0)</f>
        <v>0</v>
      </c>
    </row>
    <row r="20" spans="1:70" ht="24" customHeight="1" x14ac:dyDescent="0.3">
      <c r="A20" s="178">
        <v>7</v>
      </c>
      <c r="B20" s="179" t="s">
        <v>37</v>
      </c>
      <c r="C20" s="180">
        <f t="shared" ca="1" si="46"/>
        <v>13000</v>
      </c>
      <c r="D20" s="181">
        <f ca="1">IFERROR(__xludf.DUMMYFUNCTION("IMPORTRANGE(""https://docs.google.com/spreadsheets/d/1K0Aa9s-6EuHE5M0FG1F9aHLXRCOV917xvycTdLdct0w/edit?usp=sharing"",""พะเยา!L690"")"),13000)</f>
        <v>13000</v>
      </c>
      <c r="E20" s="187">
        <f ca="1">IFERROR(__xludf.DUMMYFUNCTION("IMPORTRANGE(""https://docs.google.com/spreadsheets/d/1K0Aa9s-6EuHE5M0FG1F9aHLXRCOV917xvycTdLdct0w/edit?usp=sharing"",""พะเยา!L697"")"),0)</f>
        <v>0</v>
      </c>
      <c r="F20" s="182">
        <f t="shared" ca="1" si="1"/>
        <v>0</v>
      </c>
      <c r="G20" s="183">
        <f t="shared" ca="1" si="2"/>
        <v>0</v>
      </c>
      <c r="H20" s="184">
        <f t="shared" ca="1" si="47"/>
        <v>0</v>
      </c>
      <c r="I20" s="187">
        <f ca="1">IFERROR(__xludf.DUMMYFUNCTION("IMPORTRANGE(""https://docs.google.com/spreadsheets/d/1K0Aa9s-6EuHE5M0FG1F9aHLXRCOV917xvycTdLdct0w/edit?usp=sharing"",""พะเยา!N691"")"),0)</f>
        <v>0</v>
      </c>
      <c r="J20" s="187">
        <f ca="1">IFERROR(__xludf.DUMMYFUNCTION("IMPORTRANGE(""https://docs.google.com/spreadsheets/d/1K0Aa9s-6EuHE5M0FG1F9aHLXRCOV917xvycTdLdct0w/edit?usp=sharing"",""พะเยา!N692"")"),0)</f>
        <v>0</v>
      </c>
      <c r="K20" s="187">
        <f ca="1">IFERROR(__xludf.DUMMYFUNCTION("IMPORTRANGE(""https://docs.google.com/spreadsheets/d/1K0Aa9s-6EuHE5M0FG1F9aHLXRCOV917xvycTdLdct0w/edit?usp=sharing"",""พะเยา!N693"")"),0)</f>
        <v>0</v>
      </c>
      <c r="L20" s="187">
        <f ca="1">IFERROR(__xludf.DUMMYFUNCTION("IMPORTRANGE(""https://docs.google.com/spreadsheets/d/1K0Aa9s-6EuHE5M0FG1F9aHLXRCOV917xvycTdLdct0w/edit?usp=sharing"",""พะเยา!N694"")"),0)</f>
        <v>0</v>
      </c>
      <c r="M20" s="185">
        <f ca="1">IFERROR(__xludf.DUMMYFUNCTION("IMPORTRANGE(""https://docs.google.com/spreadsheets/d/1K0Aa9s-6EuHE5M0FG1F9aHLXRCOV917xvycTdLdct0w/edit?usp=sharing"",""พะเยา!N697"")"),0)</f>
        <v>0</v>
      </c>
      <c r="N20" s="185">
        <f t="shared" ca="1" si="37"/>
        <v>0</v>
      </c>
      <c r="O20" s="181">
        <f ca="1">IFERROR(__xludf.DUMMYFUNCTION("IMPORTRANGE(""https://docs.google.com/spreadsheets/d/1K0Aa9s-6EuHE5M0FG1F9aHLXRCOV917xvycTdLdct0w/edit?usp=sharing"",""พะเยา!I699"")"),0)</f>
        <v>0</v>
      </c>
      <c r="P20" s="181">
        <f ca="1">IFERROR(__xludf.DUMMYFUNCTION("IMPORTRANGE(""https://docs.google.com/spreadsheets/d/1K0Aa9s-6EuHE5M0FG1F9aHLXRCOV917xvycTdLdct0w/edit?usp=sharing"",""พะเยา!J699"")"),0)</f>
        <v>0</v>
      </c>
      <c r="Q20" s="186">
        <f t="shared" ca="1" si="31"/>
        <v>0</v>
      </c>
      <c r="R20" s="181">
        <f ca="1">IFERROR(__xludf.DUMMYFUNCTION("IMPORTRANGE(""https://docs.google.com/spreadsheets/d/1K0Aa9s-6EuHE5M0FG1F9aHLXRCOV917xvycTdLdct0w/edit?usp=sharing"",""พะเยา!I700"")"),100)</f>
        <v>100</v>
      </c>
      <c r="S20" s="181">
        <f ca="1">IFERROR(__xludf.DUMMYFUNCTION("IMPORTRANGE(""https://docs.google.com/spreadsheets/d/1K0Aa9s-6EuHE5M0FG1F9aHLXRCOV917xvycTdLdct0w/edit?usp=sharing"",""พะเยา!J700"")"),0)</f>
        <v>0</v>
      </c>
      <c r="T20" s="186">
        <f t="shared" ca="1" si="32"/>
        <v>0</v>
      </c>
      <c r="U20" s="181">
        <f ca="1">IFERROR(__xludf.DUMMYFUNCTION("IMPORTRANGE(""https://docs.google.com/spreadsheets/d/1K0Aa9s-6EuHE5M0FG1F9aHLXRCOV917xvycTdLdct0w/edit?usp=sharing"",""พะเยา!I701"")"),0)</f>
        <v>0</v>
      </c>
      <c r="V20" s="181">
        <f ca="1">IFERROR(__xludf.DUMMYFUNCTION("IMPORTRANGE(""https://docs.google.com/spreadsheets/d/1K0Aa9s-6EuHE5M0FG1F9aHLXRCOV917xvycTdLdct0w/edit?usp=sharing"",""พะเยา!J701"")"),0)</f>
        <v>0</v>
      </c>
      <c r="W20" s="186">
        <f t="shared" ca="1" si="33"/>
        <v>0</v>
      </c>
      <c r="X20" s="186">
        <f ca="1">IFERROR(__xludf.DUMMYFUNCTION("IMPORTRANGE(""https://docs.google.com/spreadsheets/d/1K0Aa9s-6EuHE5M0FG1F9aHLXRCOV917xvycTdLdct0w/edit?usp=sharing"",""พะเยา!J702"")"),0)</f>
        <v>0</v>
      </c>
      <c r="Y20" s="186">
        <f ca="1">IFERROR(__xludf.DUMMYFUNCTION("IMPORTRANGE(""https://docs.google.com/spreadsheets/d/1K0Aa9s-6EuHE5M0FG1F9aHLXRCOV917xvycTdLdct0w/edit?usp=sharing"",""พะเยา!J703"")"),0)</f>
        <v>0</v>
      </c>
      <c r="Z20" s="186">
        <f ca="1">IFERROR(__xludf.DUMMYFUNCTION("IMPORTRANGE(""https://docs.google.com/spreadsheets/d/1K0Aa9s-6EuHE5M0FG1F9aHLXRCOV917xvycTdLdct0w/edit?usp=sharing"",""พะเยา!J704"")"),0)</f>
        <v>0</v>
      </c>
      <c r="AA20" s="186">
        <f ca="1">IFERROR(__xludf.DUMMYFUNCTION("IMPORTRANGE(""https://docs.google.com/spreadsheets/d/1K0Aa9s-6EuHE5M0FG1F9aHLXRCOV917xvycTdLdct0w/edit?usp=sharing"",""พะเยา!J705"")"),0)</f>
        <v>0</v>
      </c>
      <c r="AB20" s="186">
        <f ca="1">IFERROR(__xludf.DUMMYFUNCTION("IMPORTRANGE(""https://docs.google.com/spreadsheets/d/1K0Aa9s-6EuHE5M0FG1F9aHLXRCOV917xvycTdLdct0w/edit?usp=sharing"",""พะเยา!J706"")"),0)</f>
        <v>0</v>
      </c>
      <c r="AC20" s="186">
        <f ca="1">IFERROR(__xludf.DUMMYFUNCTION("IMPORTRANGE(""https://docs.google.com/spreadsheets/d/1K0Aa9s-6EuHE5M0FG1F9aHLXRCOV917xvycTdLdct0w/edit?usp=sharing"",""พะเยา!J707"")"),0)</f>
        <v>0</v>
      </c>
      <c r="AD20" s="181">
        <f ca="1">IFERROR(__xludf.DUMMYFUNCTION("IMPORTRANGE(""https://docs.google.com/spreadsheets/d/1K0Aa9s-6EuHE5M0FG1F9aHLXRCOV917xvycTdLdct0w/edit?usp=sharing"",""พะเยา!I708"")"),0)</f>
        <v>0</v>
      </c>
      <c r="AE20" s="181">
        <f ca="1">IFERROR(__xludf.DUMMYFUNCTION("IMPORTRANGE(""https://docs.google.com/spreadsheets/d/1K0Aa9s-6EuHE5M0FG1F9aHLXRCOV917xvycTdLdct0w/edit?usp=sharing"",""พะเยา!J708"")"),0)</f>
        <v>0</v>
      </c>
      <c r="AF20" s="186">
        <f t="shared" ca="1" si="34"/>
        <v>0</v>
      </c>
      <c r="AG20" s="181">
        <f ca="1">IFERROR(__xludf.DUMMYFUNCTION("IMPORTRANGE(""https://docs.google.com/spreadsheets/d/1K0Aa9s-6EuHE5M0FG1F9aHLXRCOV917xvycTdLdct0w/edit?usp=sharing"",""พะเยา!J709"")"),0)</f>
        <v>0</v>
      </c>
      <c r="AH20" s="181">
        <f ca="1">IFERROR(__xludf.DUMMYFUNCTION("IMPORTRANGE(""https://docs.google.com/spreadsheets/d/1K0Aa9s-6EuHE5M0FG1F9aHLXRCOV917xvycTdLdct0w/edit?usp=sharing"",""พะเยา!J710"")"),0)</f>
        <v>0</v>
      </c>
      <c r="AI20" s="181">
        <f ca="1">IFERROR(__xludf.DUMMYFUNCTION("IMPORTRANGE(""https://docs.google.com/spreadsheets/d/1K0Aa9s-6EuHE5M0FG1F9aHLXRCOV917xvycTdLdct0w/edit?usp=sharing"",""พะเยา!J712"")"),0)</f>
        <v>0</v>
      </c>
      <c r="AJ20" s="181">
        <f ca="1">IFERROR(__xludf.DUMMYFUNCTION("IMPORTRANGE(""https://docs.google.com/spreadsheets/d/1K0Aa9s-6EuHE5M0FG1F9aHLXRCOV917xvycTdLdct0w/edit?usp=sharing"",""พะเยา!J713"")"),0)</f>
        <v>0</v>
      </c>
      <c r="AK20" s="181">
        <f ca="1">IFERROR(__xludf.DUMMYFUNCTION("IMPORTRANGE(""https://docs.google.com/spreadsheets/d/1K0Aa9s-6EuHE5M0FG1F9aHLXRCOV917xvycTdLdct0w/edit?usp=sharing"",""พะเยา!J714"")"),0)</f>
        <v>0</v>
      </c>
      <c r="AL20" s="181">
        <f ca="1">IFERROR(__xludf.DUMMYFUNCTION("IMPORTRANGE(""https://docs.google.com/spreadsheets/d/1K0Aa9s-6EuHE5M0FG1F9aHLXRCOV917xvycTdLdct0w/edit?usp=sharing"",""พะเยา!J715"")"),0)</f>
        <v>0</v>
      </c>
      <c r="AM20" s="181">
        <f ca="1">IFERROR(__xludf.DUMMYFUNCTION("IMPORTRANGE(""https://docs.google.com/spreadsheets/d/1K0Aa9s-6EuHE5M0FG1F9aHLXRCOV917xvycTdLdct0w/edit?usp=sharing"",""พะเยา!J716"")"),0)</f>
        <v>0</v>
      </c>
      <c r="AN20" s="181">
        <f ca="1">IFERROR(__xludf.DUMMYFUNCTION("IMPORTRANGE(""https://docs.google.com/spreadsheets/d/1K0Aa9s-6EuHE5M0FG1F9aHLXRCOV917xvycTdLdct0w/edit?usp=sharing"",""พะเยา!J717"")"),0)</f>
        <v>0</v>
      </c>
      <c r="AO20" s="181">
        <f ca="1">IFERROR(__xludf.DUMMYFUNCTION("IMPORTRANGE(""https://docs.google.com/spreadsheets/d/1K0Aa9s-6EuHE5M0FG1F9aHLXRCOV917xvycTdLdct0w/edit?usp=sharing"",""พะเยา!I720"")"),0)</f>
        <v>0</v>
      </c>
      <c r="AP20" s="181">
        <f ca="1">IFERROR(__xludf.DUMMYFUNCTION("IMPORTRANGE(""https://docs.google.com/spreadsheets/d/1K0Aa9s-6EuHE5M0FG1F9aHLXRCOV917xvycTdLdct0w/edit?usp=sharing"",""พะเยา!J718"")"),0)</f>
        <v>0</v>
      </c>
      <c r="AQ20" s="181">
        <f ca="1">IFERROR(__xludf.DUMMYFUNCTION("IMPORTRANGE(""https://docs.google.com/spreadsheets/d/1K0Aa9s-6EuHE5M0FG1F9aHLXRCOV917xvycTdLdct0w/edit?usp=sharing"",""พะเยา!J719"")"),0)</f>
        <v>0</v>
      </c>
      <c r="AR20" s="181">
        <f ca="1">IFERROR(__xludf.DUMMYFUNCTION("IMPORTRANGE(""https://docs.google.com/spreadsheets/d/1K0Aa9s-6EuHE5M0FG1F9aHLXRCOV917xvycTdLdct0w/edit?usp=sharing"",""พะเยา!J720"")"),0)</f>
        <v>0</v>
      </c>
      <c r="AS20" s="186">
        <f t="shared" ca="1" si="14"/>
        <v>0</v>
      </c>
      <c r="AT20" s="181">
        <f ca="1">IFERROR(__xludf.DUMMYFUNCTION("IMPORTRANGE(""https://docs.google.com/spreadsheets/d/1K0Aa9s-6EuHE5M0FG1F9aHLXRCOV917xvycTdLdct0w/edit?usp=sharing"",""พะเยา!I721"")"),0)</f>
        <v>0</v>
      </c>
      <c r="AU20" s="181">
        <f ca="1">IFERROR(__xludf.DUMMYFUNCTION("IMPORTRANGE(""https://docs.google.com/spreadsheets/d/1K0Aa9s-6EuHE5M0FG1F9aHLXRCOV917xvycTdLdct0w/edit?usp=sharing"",""พะเยา!I722"")"),0)</f>
        <v>0</v>
      </c>
      <c r="AV20" s="181">
        <f ca="1">IFERROR(__xludf.DUMMYFUNCTION("IMPORTRANGE(""https://docs.google.com/spreadsheets/d/1K0Aa9s-6EuHE5M0FG1F9aHLXRCOV917xvycTdLdct0w/edit?usp=sharing"",""พะเยา!J721"")"),0)</f>
        <v>0</v>
      </c>
      <c r="AW20" s="186">
        <f t="shared" ca="1" si="16"/>
        <v>0</v>
      </c>
      <c r="AX20" s="181">
        <f ca="1">IFERROR(__xludf.DUMMYFUNCTION("IMPORTRANGE(""https://docs.google.com/spreadsheets/d/1K0Aa9s-6EuHE5M0FG1F9aHLXRCOV917xvycTdLdct0w/edit?usp=sharing"",""พะเยา!J722"")"),0)</f>
        <v>0</v>
      </c>
      <c r="AY20" s="186">
        <f t="shared" ca="1" si="17"/>
        <v>0</v>
      </c>
      <c r="AZ20" s="181">
        <f ca="1">IFERROR(__xludf.DUMMYFUNCTION("IMPORTRANGE(""https://docs.google.com/spreadsheets/d/1K0Aa9s-6EuHE5M0FG1F9aHLXRCOV917xvycTdLdct0w/edit?usp=sharing"",""พะเยา!I723"")"),0)</f>
        <v>0</v>
      </c>
      <c r="BA20" s="181">
        <f ca="1">IFERROR(__xludf.DUMMYFUNCTION("IMPORTRANGE(""https://docs.google.com/spreadsheets/d/1K0Aa9s-6EuHE5M0FG1F9aHLXRCOV917xvycTdLdct0w/edit?usp=sharing"",""พะเยา!I725"")"),0)</f>
        <v>0</v>
      </c>
      <c r="BB20" s="181">
        <f ca="1">IFERROR(__xludf.DUMMYFUNCTION("IMPORTRANGE(""https://docs.google.com/spreadsheets/d/1K0Aa9s-6EuHE5M0FG1F9aHLXRCOV917xvycTdLdct0w/edit?usp=sharing"",""พะเยา!J723"")"),0)</f>
        <v>0</v>
      </c>
      <c r="BC20" s="181">
        <f ca="1">IFERROR(__xludf.DUMMYFUNCTION("IMPORTRANGE(""https://docs.google.com/spreadsheets/d/1K0Aa9s-6EuHE5M0FG1F9aHLXRCOV917xvycTdLdct0w/edit?usp=sharing"",""พะเยา!J724"")"),0)</f>
        <v>0</v>
      </c>
      <c r="BD20" s="181">
        <f ca="1">IFERROR(__xludf.DUMMYFUNCTION("IMPORTRANGE(""https://docs.google.com/spreadsheets/d/1K0Aa9s-6EuHE5M0FG1F9aHLXRCOV917xvycTdLdct0w/edit?usp=sharing"",""พะเยา!J725"")"),0)</f>
        <v>0</v>
      </c>
      <c r="BE20" s="181">
        <f ca="1">IFERROR(__xludf.DUMMYFUNCTION("IMPORTRANGE(""https://docs.google.com/spreadsheets/d/1K0Aa9s-6EuHE5M0FG1F9aHLXRCOV917xvycTdLdct0w/edit?usp=sharing"",""พะเยา!I726"")"),0)</f>
        <v>0</v>
      </c>
      <c r="BF20" s="181">
        <f ca="1">IFERROR(__xludf.DUMMYFUNCTION("IMPORTRANGE(""https://docs.google.com/spreadsheets/d/1K0Aa9s-6EuHE5M0FG1F9aHLXRCOV917xvycTdLdct0w/edit?usp=sharing"",""พะเยา!I728"")"),0)</f>
        <v>0</v>
      </c>
      <c r="BG20" s="181">
        <f ca="1">IFERROR(__xludf.DUMMYFUNCTION("IMPORTRANGE(""https://docs.google.com/spreadsheets/d/1K0Aa9s-6EuHE5M0FG1F9aHLXRCOV917xvycTdLdct0w/edit?usp=sharing"",""พะเยา!J726"")"),0)</f>
        <v>0</v>
      </c>
      <c r="BH20" s="181">
        <f ca="1">IFERROR(__xludf.DUMMYFUNCTION("IMPORTRANGE(""https://docs.google.com/spreadsheets/d/1K0Aa9s-6EuHE5M0FG1F9aHLXRCOV917xvycTdLdct0w/edit?usp=sharing"",""พะเยา!J727"")"),0)</f>
        <v>0</v>
      </c>
      <c r="BI20" s="181">
        <f ca="1">IFERROR(__xludf.DUMMYFUNCTION("IMPORTRANGE(""https://docs.google.com/spreadsheets/d/1K0Aa9s-6EuHE5M0FG1F9aHLXRCOV917xvycTdLdct0w/edit?usp=sharing"",""พะเยา!J728"")"),0)</f>
        <v>0</v>
      </c>
      <c r="BJ20" s="181">
        <f ca="1">IFERROR(__xludf.DUMMYFUNCTION("IMPORTRANGE(""https://docs.google.com/spreadsheets/d/1K0Aa9s-6EuHE5M0FG1F9aHLXRCOV917xvycTdLdct0w/edit?usp=sharing"",""พะเยา!I729"")"),0)</f>
        <v>0</v>
      </c>
      <c r="BK20" s="181">
        <f ca="1">IFERROR(__xludf.DUMMYFUNCTION("IMPORTRANGE(""https://docs.google.com/spreadsheets/d/1K0Aa9s-6EuHE5M0FG1F9aHLXRCOV917xvycTdLdct0w/edit?usp=sharing"",""พะเยา!J729"")"),0)</f>
        <v>0</v>
      </c>
      <c r="BL20" s="186">
        <f t="shared" ca="1" si="19"/>
        <v>0</v>
      </c>
      <c r="BM20" s="181">
        <f ca="1">IFERROR(__xludf.DUMMYFUNCTION("IMPORTRANGE(""https://docs.google.com/spreadsheets/d/1K0Aa9s-6EuHE5M0FG1F9aHLXRCOV917xvycTdLdct0w/edit?usp=sharing"",""พะเยา!J730"")"),0)</f>
        <v>0</v>
      </c>
      <c r="BN20" s="181">
        <f ca="1">IFERROR(__xludf.DUMMYFUNCTION("IMPORTRANGE(""https://docs.google.com/spreadsheets/d/1K0Aa9s-6EuHE5M0FG1F9aHLXRCOV917xvycTdLdct0w/edit?usp=sharing"",""พะเยา!J731"")"),0)</f>
        <v>0</v>
      </c>
      <c r="BO20" s="181">
        <f ca="1">IFERROR(__xludf.DUMMYFUNCTION("IMPORTRANGE(""https://docs.google.com/spreadsheets/d/1K0Aa9s-6EuHE5M0FG1F9aHLXRCOV917xvycTdLdct0w/edit?usp=sharing"",""พะเยา!J732"")"),0)</f>
        <v>0</v>
      </c>
      <c r="BP20" s="181">
        <f ca="1">IFERROR(__xludf.DUMMYFUNCTION("IMPORTRANGE(""https://docs.google.com/spreadsheets/d/1K0Aa9s-6EuHE5M0FG1F9aHLXRCOV917xvycTdLdct0w/edit?usp=sharing"",""พะเยา!J733"")"),0)</f>
        <v>0</v>
      </c>
      <c r="BQ20" s="181">
        <f ca="1">IFERROR(__xludf.DUMMYFUNCTION("IMPORTRANGE(""https://docs.google.com/spreadsheets/d/1K0Aa9s-6EuHE5M0FG1F9aHLXRCOV917xvycTdLdct0w/edit?usp=sharing"",""พะเยา!J734"")"),0)</f>
        <v>0</v>
      </c>
      <c r="BR20" s="181">
        <f ca="1">IFERROR(__xludf.DUMMYFUNCTION("IMPORTRANGE(""https://docs.google.com/spreadsheets/d/1K0Aa9s-6EuHE5M0FG1F9aHLXRCOV917xvycTdLdct0w/edit?usp=sharing"",""พะเยา!J735"")"),0)</f>
        <v>0</v>
      </c>
    </row>
    <row r="21" spans="1:70" ht="24" customHeight="1" x14ac:dyDescent="0.3">
      <c r="A21" s="178">
        <v>8</v>
      </c>
      <c r="B21" s="179" t="s">
        <v>38</v>
      </c>
      <c r="C21" s="180">
        <f t="shared" ca="1" si="46"/>
        <v>15760</v>
      </c>
      <c r="D21" s="181">
        <f ca="1">IFERROR(__xludf.DUMMYFUNCTION("IMPORTRANGE(""https://docs.google.com/spreadsheets/d/1Y9LPKx95PyL5OKy09d-KbKJSuuEZCFdkhYjwC0XQjBA/edit?usp=sharing"",""พิจิตร!L690"")"),15760)</f>
        <v>15760</v>
      </c>
      <c r="E21" s="187">
        <f ca="1">IFERROR(__xludf.DUMMYFUNCTION("IMPORTRANGE(""https://docs.google.com/spreadsheets/d/1Y9LPKx95PyL5OKy09d-KbKJSuuEZCFdkhYjwC0XQjBA/edit?usp=sharing"",""พิจิตร!L697"")"),0)</f>
        <v>0</v>
      </c>
      <c r="F21" s="182">
        <f t="shared" ca="1" si="1"/>
        <v>0</v>
      </c>
      <c r="G21" s="183">
        <f t="shared" ca="1" si="2"/>
        <v>0</v>
      </c>
      <c r="H21" s="184">
        <f t="shared" ca="1" si="47"/>
        <v>0</v>
      </c>
      <c r="I21" s="187">
        <f ca="1">IFERROR(__xludf.DUMMYFUNCTION("IMPORTRANGE(""https://docs.google.com/spreadsheets/d/1Y9LPKx95PyL5OKy09d-KbKJSuuEZCFdkhYjwC0XQjBA/edit?usp=sharing"",""พิจิตร!N691"")"),0)</f>
        <v>0</v>
      </c>
      <c r="J21" s="187">
        <f ca="1">IFERROR(__xludf.DUMMYFUNCTION("IMPORTRANGE(""https://docs.google.com/spreadsheets/d/1Y9LPKx95PyL5OKy09d-KbKJSuuEZCFdkhYjwC0XQjBA/edit?usp=sharing"",""พิจิตร!N692"")"),0)</f>
        <v>0</v>
      </c>
      <c r="K21" s="187">
        <f ca="1">IFERROR(__xludf.DUMMYFUNCTION("IMPORTRANGE(""https://docs.google.com/spreadsheets/d/1Y9LPKx95PyL5OKy09d-KbKJSuuEZCFdkhYjwC0XQjBA/edit?usp=sharing"",""พิจิตร!N693"")"),0)</f>
        <v>0</v>
      </c>
      <c r="L21" s="187">
        <f ca="1">IFERROR(__xludf.DUMMYFUNCTION("IMPORTRANGE(""https://docs.google.com/spreadsheets/d/1Y9LPKx95PyL5OKy09d-KbKJSuuEZCFdkhYjwC0XQjBA/edit?usp=sharing"",""พิจิตร!N694"")"),0)</f>
        <v>0</v>
      </c>
      <c r="M21" s="185">
        <f ca="1">IFERROR(__xludf.DUMMYFUNCTION("IMPORTRANGE(""https://docs.google.com/spreadsheets/d/1Y9LPKx95PyL5OKy09d-KbKJSuuEZCFdkhYjwC0XQjBA/edit?usp=sharing"",""พิจิตร!N697"")"),0)</f>
        <v>0</v>
      </c>
      <c r="N21" s="185">
        <f t="shared" ca="1" si="37"/>
        <v>0</v>
      </c>
      <c r="O21" s="181">
        <f ca="1">IFERROR(__xludf.DUMMYFUNCTION("IMPORTRANGE(""https://docs.google.com/spreadsheets/d/1Y9LPKx95PyL5OKy09d-KbKJSuuEZCFdkhYjwC0XQjBA/edit?usp=sharing"",""พิจิตร!I699"")"),50)</f>
        <v>50</v>
      </c>
      <c r="P21" s="181">
        <f ca="1">IFERROR(__xludf.DUMMYFUNCTION("IMPORTRANGE(""https://docs.google.com/spreadsheets/d/1Y9LPKx95PyL5OKy09d-KbKJSuuEZCFdkhYjwC0XQjBA/edit?usp=sharing"",""พิจิตร!J699"")"),0)</f>
        <v>0</v>
      </c>
      <c r="Q21" s="186">
        <f t="shared" ca="1" si="31"/>
        <v>0</v>
      </c>
      <c r="R21" s="181">
        <f ca="1">IFERROR(__xludf.DUMMYFUNCTION("IMPORTRANGE(""https://docs.google.com/spreadsheets/d/1Y9LPKx95PyL5OKy09d-KbKJSuuEZCFdkhYjwC0XQjBA/edit?usp=sharing"",""พิจิตร!I700"")"),0)</f>
        <v>0</v>
      </c>
      <c r="S21" s="181">
        <f ca="1">IFERROR(__xludf.DUMMYFUNCTION("IMPORTRANGE(""https://docs.google.com/spreadsheets/d/1Y9LPKx95PyL5OKy09d-KbKJSuuEZCFdkhYjwC0XQjBA/edit?usp=sharing"",""พิจิตร!J700"")"),0)</f>
        <v>0</v>
      </c>
      <c r="T21" s="186">
        <f t="shared" ca="1" si="32"/>
        <v>0</v>
      </c>
      <c r="U21" s="181">
        <f ca="1">IFERROR(__xludf.DUMMYFUNCTION("IMPORTRANGE(""https://docs.google.com/spreadsheets/d/1Y9LPKx95PyL5OKy09d-KbKJSuuEZCFdkhYjwC0XQjBA/edit?usp=sharing"",""พิจิตร!I701"")"),120)</f>
        <v>120</v>
      </c>
      <c r="V21" s="181">
        <f ca="1">IFERROR(__xludf.DUMMYFUNCTION("IMPORTRANGE(""https://docs.google.com/spreadsheets/d/1Y9LPKx95PyL5OKy09d-KbKJSuuEZCFdkhYjwC0XQjBA/edit?usp=sharing"",""พิจิตร!J701"")"),15)</f>
        <v>15</v>
      </c>
      <c r="W21" s="186">
        <f t="shared" ca="1" si="33"/>
        <v>12.5</v>
      </c>
      <c r="X21" s="186">
        <f ca="1">IFERROR(__xludf.DUMMYFUNCTION("IMPORTRANGE(""https://docs.google.com/spreadsheets/d/1Y9LPKx95PyL5OKy09d-KbKJSuuEZCFdkhYjwC0XQjBA/edit?usp=sharing"",""พิจิตร!J702"")"),0)</f>
        <v>0</v>
      </c>
      <c r="Y21" s="186">
        <f ca="1">IFERROR(__xludf.DUMMYFUNCTION("IMPORTRANGE(""https://docs.google.com/spreadsheets/d/1Y9LPKx95PyL5OKy09d-KbKJSuuEZCFdkhYjwC0XQjBA/edit?usp=sharing"",""พิจิตร!J703"")"),0)</f>
        <v>0</v>
      </c>
      <c r="Z21" s="186">
        <f ca="1">IFERROR(__xludf.DUMMYFUNCTION("IMPORTRANGE(""https://docs.google.com/spreadsheets/d/1Y9LPKx95PyL5OKy09d-KbKJSuuEZCFdkhYjwC0XQjBA/edit?usp=sharing"",""พิจิตร!J704"")"),0)</f>
        <v>0</v>
      </c>
      <c r="AA21" s="186">
        <f ca="1">IFERROR(__xludf.DUMMYFUNCTION("IMPORTRANGE(""https://docs.google.com/spreadsheets/d/1Y9LPKx95PyL5OKy09d-KbKJSuuEZCFdkhYjwC0XQjBA/edit?usp=sharing"",""พิจิตร!J705"")"),1)</f>
        <v>1</v>
      </c>
      <c r="AB21" s="186">
        <f ca="1">IFERROR(__xludf.DUMMYFUNCTION("IMPORTRANGE(""https://docs.google.com/spreadsheets/d/1Y9LPKx95PyL5OKy09d-KbKJSuuEZCFdkhYjwC0XQjBA/edit?usp=sharing"",""พิจิตร!J706"")"),1)</f>
        <v>1</v>
      </c>
      <c r="AC21" s="186">
        <f ca="1">IFERROR(__xludf.DUMMYFUNCTION("IMPORTRANGE(""https://docs.google.com/spreadsheets/d/1Y9LPKx95PyL5OKy09d-KbKJSuuEZCFdkhYjwC0XQjBA/edit?usp=sharing"",""พิจิตร!J707"")"),15)</f>
        <v>15</v>
      </c>
      <c r="AD21" s="181">
        <f ca="1">IFERROR(__xludf.DUMMYFUNCTION("IMPORTRANGE(""https://docs.google.com/spreadsheets/d/1Y9LPKx95PyL5OKy09d-KbKJSuuEZCFdkhYjwC0XQjBA/edit?usp=sharing"",""พิจิตร!I708"")"),0)</f>
        <v>0</v>
      </c>
      <c r="AE21" s="181">
        <f ca="1">IFERROR(__xludf.DUMMYFUNCTION("IMPORTRANGE(""https://docs.google.com/spreadsheets/d/1Y9LPKx95PyL5OKy09d-KbKJSuuEZCFdkhYjwC0XQjBA/edit?usp=sharing"",""พิจิตร!J708"")"),0)</f>
        <v>0</v>
      </c>
      <c r="AF21" s="186">
        <f t="shared" ca="1" si="34"/>
        <v>0</v>
      </c>
      <c r="AG21" s="181">
        <f ca="1">IFERROR(__xludf.DUMMYFUNCTION("IMPORTRANGE(""https://docs.google.com/spreadsheets/d/1Y9LPKx95PyL5OKy09d-KbKJSuuEZCFdkhYjwC0XQjBA/edit?usp=sharing"",""พิจิตร!J709"")"),0)</f>
        <v>0</v>
      </c>
      <c r="AH21" s="181">
        <f ca="1">IFERROR(__xludf.DUMMYFUNCTION("IMPORTRANGE(""https://docs.google.com/spreadsheets/d/1Y9LPKx95PyL5OKy09d-KbKJSuuEZCFdkhYjwC0XQjBA/edit?usp=sharing"",""พิจิตร!J710"")"),0)</f>
        <v>0</v>
      </c>
      <c r="AI21" s="181">
        <f ca="1">IFERROR(__xludf.DUMMYFUNCTION("IMPORTRANGE(""https://docs.google.com/spreadsheets/d/1Y9LPKx95PyL5OKy09d-KbKJSuuEZCFdkhYjwC0XQjBA/edit?usp=sharing"",""พิจิตร!J712"")"),0)</f>
        <v>0</v>
      </c>
      <c r="AJ21" s="181">
        <f ca="1">IFERROR(__xludf.DUMMYFUNCTION("IMPORTRANGE(""https://docs.google.com/spreadsheets/d/1Y9LPKx95PyL5OKy09d-KbKJSuuEZCFdkhYjwC0XQjBA/edit?usp=sharing"",""พิจิตร!J713"")"),0)</f>
        <v>0</v>
      </c>
      <c r="AK21" s="181">
        <f ca="1">IFERROR(__xludf.DUMMYFUNCTION("IMPORTRANGE(""https://docs.google.com/spreadsheets/d/1Y9LPKx95PyL5OKy09d-KbKJSuuEZCFdkhYjwC0XQjBA/edit?usp=sharing"",""พิจิตร!J714"")"),0)</f>
        <v>0</v>
      </c>
      <c r="AL21" s="181">
        <f ca="1">IFERROR(__xludf.DUMMYFUNCTION("IMPORTRANGE(""https://docs.google.com/spreadsheets/d/1Y9LPKx95PyL5OKy09d-KbKJSuuEZCFdkhYjwC0XQjBA/edit?usp=sharing"",""พิจิตร!J715"")"),0)</f>
        <v>0</v>
      </c>
      <c r="AM21" s="181">
        <f ca="1">IFERROR(__xludf.DUMMYFUNCTION("IMPORTRANGE(""https://docs.google.com/spreadsheets/d/1Y9LPKx95PyL5OKy09d-KbKJSuuEZCFdkhYjwC0XQjBA/edit?usp=sharing"",""พิจิตร!J716"")"),0)</f>
        <v>0</v>
      </c>
      <c r="AN21" s="181">
        <f ca="1">IFERROR(__xludf.DUMMYFUNCTION("IMPORTRANGE(""https://docs.google.com/spreadsheets/d/1Y9LPKx95PyL5OKy09d-KbKJSuuEZCFdkhYjwC0XQjBA/edit?usp=sharing"",""พิจิตร!J717"")"),0)</f>
        <v>0</v>
      </c>
      <c r="AO21" s="181">
        <f ca="1">IFERROR(__xludf.DUMMYFUNCTION("IMPORTRANGE(""https://docs.google.com/spreadsheets/d/1Y9LPKx95PyL5OKy09d-KbKJSuuEZCFdkhYjwC0XQjBA/edit?usp=sharing"",""พิจิตร!I720"")"),80)</f>
        <v>80</v>
      </c>
      <c r="AP21" s="181">
        <f ca="1">IFERROR(__xludf.DUMMYFUNCTION("IMPORTRANGE(""https://docs.google.com/spreadsheets/d/1Y9LPKx95PyL5OKy09d-KbKJSuuEZCFdkhYjwC0XQjBA/edit?usp=sharing"",""พิจิตร!J718"")"),0)</f>
        <v>0</v>
      </c>
      <c r="AQ21" s="181">
        <f ca="1">IFERROR(__xludf.DUMMYFUNCTION("IMPORTRANGE(""https://docs.google.com/spreadsheets/d/1Y9LPKx95PyL5OKy09d-KbKJSuuEZCFdkhYjwC0XQjBA/edit?usp=sharing"",""พิจิตร!J719"")"),0)</f>
        <v>0</v>
      </c>
      <c r="AR21" s="181">
        <f ca="1">IFERROR(__xludf.DUMMYFUNCTION("IMPORTRANGE(""https://docs.google.com/spreadsheets/d/1Y9LPKx95PyL5OKy09d-KbKJSuuEZCFdkhYjwC0XQjBA/edit?usp=sharing"",""พิจิตร!J720"")"),0)</f>
        <v>0</v>
      </c>
      <c r="AS21" s="186">
        <f t="shared" ca="1" si="14"/>
        <v>0</v>
      </c>
      <c r="AT21" s="181">
        <f ca="1">IFERROR(__xludf.DUMMYFUNCTION("IMPORTRANGE(""https://docs.google.com/spreadsheets/d/1Y9LPKx95PyL5OKy09d-KbKJSuuEZCFdkhYjwC0XQjBA/edit?usp=sharing"",""พิจิตร!I721"")"),8)</f>
        <v>8</v>
      </c>
      <c r="AU21" s="181">
        <f ca="1">IFERROR(__xludf.DUMMYFUNCTION("IMPORTRANGE(""https://docs.google.com/spreadsheets/d/1Y9LPKx95PyL5OKy09d-KbKJSuuEZCFdkhYjwC0XQjBA/edit?usp=sharing"",""พิจิตร!I722"")"),80)</f>
        <v>80</v>
      </c>
      <c r="AV21" s="181">
        <f ca="1">IFERROR(__xludf.DUMMYFUNCTION("IMPORTRANGE(""https://docs.google.com/spreadsheets/d/1Y9LPKx95PyL5OKy09d-KbKJSuuEZCFdkhYjwC0XQjBA/edit?usp=sharing"",""พิจิตร!J721"")"),0)</f>
        <v>0</v>
      </c>
      <c r="AW21" s="186">
        <f t="shared" ca="1" si="16"/>
        <v>0</v>
      </c>
      <c r="AX21" s="181">
        <f ca="1">IFERROR(__xludf.DUMMYFUNCTION("IMPORTRANGE(""https://docs.google.com/spreadsheets/d/1Y9LPKx95PyL5OKy09d-KbKJSuuEZCFdkhYjwC0XQjBA/edit?usp=sharing"",""พิจิตร!J722"")"),0)</f>
        <v>0</v>
      </c>
      <c r="AY21" s="186">
        <f t="shared" ca="1" si="17"/>
        <v>0</v>
      </c>
      <c r="AZ21" s="181">
        <f ca="1">IFERROR(__xludf.DUMMYFUNCTION("IMPORTRANGE(""https://docs.google.com/spreadsheets/d/1Y9LPKx95PyL5OKy09d-KbKJSuuEZCFdkhYjwC0XQjBA/edit?usp=sharing"",""พิจิตร!I723"")"),4)</f>
        <v>4</v>
      </c>
      <c r="BA21" s="181">
        <f ca="1">IFERROR(__xludf.DUMMYFUNCTION("IMPORTRANGE(""https://docs.google.com/spreadsheets/d/1Y9LPKx95PyL5OKy09d-KbKJSuuEZCFdkhYjwC0XQjBA/edit?usp=sharing"",""พิจิตร!I725"")"),40)</f>
        <v>40</v>
      </c>
      <c r="BB21" s="181">
        <f ca="1">IFERROR(__xludf.DUMMYFUNCTION("IMPORTRANGE(""https://docs.google.com/spreadsheets/d/1Y9LPKx95PyL5OKy09d-KbKJSuuEZCFdkhYjwC0XQjBA/edit?usp=sharing"",""พิจิตร!J723"")"),0)</f>
        <v>0</v>
      </c>
      <c r="BC21" s="181">
        <f ca="1">IFERROR(__xludf.DUMMYFUNCTION("IMPORTRANGE(""https://docs.google.com/spreadsheets/d/1Y9LPKx95PyL5OKy09d-KbKJSuuEZCFdkhYjwC0XQjBA/edit?usp=sharing"",""พิจิตร!J724"")"),0)</f>
        <v>0</v>
      </c>
      <c r="BD21" s="181">
        <f ca="1">IFERROR(__xludf.DUMMYFUNCTION("IMPORTRANGE(""https://docs.google.com/spreadsheets/d/1Y9LPKx95PyL5OKy09d-KbKJSuuEZCFdkhYjwC0XQjBA/edit?usp=sharing"",""พิจิตร!J725"")"),0)</f>
        <v>0</v>
      </c>
      <c r="BE21" s="181">
        <f ca="1">IFERROR(__xludf.DUMMYFUNCTION("IMPORTRANGE(""https://docs.google.com/spreadsheets/d/1Y9LPKx95PyL5OKy09d-KbKJSuuEZCFdkhYjwC0XQjBA/edit?usp=sharing"",""พิจิตร!I726"")"),4)</f>
        <v>4</v>
      </c>
      <c r="BF21" s="181">
        <f ca="1">IFERROR(__xludf.DUMMYFUNCTION("IMPORTRANGE(""https://docs.google.com/spreadsheets/d/1Y9LPKx95PyL5OKy09d-KbKJSuuEZCFdkhYjwC0XQjBA/edit?usp=sharing"",""พิจิตร!I728"")"),40)</f>
        <v>40</v>
      </c>
      <c r="BG21" s="181">
        <f ca="1">IFERROR(__xludf.DUMMYFUNCTION("IMPORTRANGE(""https://docs.google.com/spreadsheets/d/1Y9LPKx95PyL5OKy09d-KbKJSuuEZCFdkhYjwC0XQjBA/edit?usp=sharing"",""พิจิตร!J726"")"),0)</f>
        <v>0</v>
      </c>
      <c r="BH21" s="181">
        <f ca="1">IFERROR(__xludf.DUMMYFUNCTION("IMPORTRANGE(""https://docs.google.com/spreadsheets/d/1Y9LPKx95PyL5OKy09d-KbKJSuuEZCFdkhYjwC0XQjBA/edit?usp=sharing"",""พิจิตร!J727"")"),0)</f>
        <v>0</v>
      </c>
      <c r="BI21" s="181">
        <f ca="1">IFERROR(__xludf.DUMMYFUNCTION("IMPORTRANGE(""https://docs.google.com/spreadsheets/d/1Y9LPKx95PyL5OKy09d-KbKJSuuEZCFdkhYjwC0XQjBA/edit?usp=sharing"",""พิจิตร!J728"")"),0)</f>
        <v>0</v>
      </c>
      <c r="BJ21" s="181">
        <f ca="1">IFERROR(__xludf.DUMMYFUNCTION("IMPORTRANGE(""https://docs.google.com/spreadsheets/d/1Y9LPKx95PyL5OKy09d-KbKJSuuEZCFdkhYjwC0XQjBA/edit?usp=sharing"",""พิจิตร!I729"")"),0)</f>
        <v>0</v>
      </c>
      <c r="BK21" s="181">
        <f ca="1">IFERROR(__xludf.DUMMYFUNCTION("IMPORTRANGE(""https://docs.google.com/spreadsheets/d/1Y9LPKx95PyL5OKy09d-KbKJSuuEZCFdkhYjwC0XQjBA/edit?usp=sharing"",""พิจิตร!J729"")"),0)</f>
        <v>0</v>
      </c>
      <c r="BL21" s="186">
        <f t="shared" ca="1" si="19"/>
        <v>0</v>
      </c>
      <c r="BM21" s="181">
        <f ca="1">IFERROR(__xludf.DUMMYFUNCTION("IMPORTRANGE(""https://docs.google.com/spreadsheets/d/1Y9LPKx95PyL5OKy09d-KbKJSuuEZCFdkhYjwC0XQjBA/edit?usp=sharing"",""พิจิตร!J730"")"),0)</f>
        <v>0</v>
      </c>
      <c r="BN21" s="181">
        <f ca="1">IFERROR(__xludf.DUMMYFUNCTION("IMPORTRANGE(""https://docs.google.com/spreadsheets/d/1Y9LPKx95PyL5OKy09d-KbKJSuuEZCFdkhYjwC0XQjBA/edit?usp=sharing"",""พิจิตร!J731"")"),0)</f>
        <v>0</v>
      </c>
      <c r="BO21" s="181">
        <f ca="1">IFERROR(__xludf.DUMMYFUNCTION("IMPORTRANGE(""https://docs.google.com/spreadsheets/d/1Y9LPKx95PyL5OKy09d-KbKJSuuEZCFdkhYjwC0XQjBA/edit?usp=sharing"",""พิจิตร!J732"")"),0)</f>
        <v>0</v>
      </c>
      <c r="BP21" s="181">
        <f ca="1">IFERROR(__xludf.DUMMYFUNCTION("IMPORTRANGE(""https://docs.google.com/spreadsheets/d/1Y9LPKx95PyL5OKy09d-KbKJSuuEZCFdkhYjwC0XQjBA/edit?usp=sharing"",""พิจิตร!J733"")"),0)</f>
        <v>0</v>
      </c>
      <c r="BQ21" s="181">
        <f ca="1">IFERROR(__xludf.DUMMYFUNCTION("IMPORTRANGE(""https://docs.google.com/spreadsheets/d/1Y9LPKx95PyL5OKy09d-KbKJSuuEZCFdkhYjwC0XQjBA/edit?usp=sharing"",""พิจิตร!J734"")"),0)</f>
        <v>0</v>
      </c>
      <c r="BR21" s="181">
        <f ca="1">IFERROR(__xludf.DUMMYFUNCTION("IMPORTRANGE(""https://docs.google.com/spreadsheets/d/1Y9LPKx95PyL5OKy09d-KbKJSuuEZCFdkhYjwC0XQjBA/edit?usp=sharing"",""พิจิตร!J735"")"),0)</f>
        <v>0</v>
      </c>
    </row>
    <row r="22" spans="1:70" ht="24" customHeight="1" x14ac:dyDescent="0.3">
      <c r="A22" s="178">
        <v>9</v>
      </c>
      <c r="B22" s="179" t="s">
        <v>39</v>
      </c>
      <c r="C22" s="180">
        <f t="shared" ca="1" si="46"/>
        <v>0</v>
      </c>
      <c r="D22" s="181">
        <f ca="1">IFERROR(__xludf.DUMMYFUNCTION("IMPORTRANGE(""https://docs.google.com/spreadsheets/d/16OMuOwy2eVqZcYWOouQtTpa8X1L23h4660uVHc0C8os/edit?usp=sharing"",""พิษณุโลก!L690"")"),0)</f>
        <v>0</v>
      </c>
      <c r="E22" s="187">
        <f ca="1">IFERROR(__xludf.DUMMYFUNCTION("IMPORTRANGE(""https://docs.google.com/spreadsheets/d/16OMuOwy2eVqZcYWOouQtTpa8X1L23h4660uVHc0C8os/edit?usp=sharing"",""พิษณุโลก!L697"")"),0)</f>
        <v>0</v>
      </c>
      <c r="F22" s="182">
        <f t="shared" ca="1" si="1"/>
        <v>0</v>
      </c>
      <c r="G22" s="183">
        <f t="shared" ca="1" si="2"/>
        <v>0</v>
      </c>
      <c r="H22" s="184">
        <f t="shared" ca="1" si="47"/>
        <v>0</v>
      </c>
      <c r="I22" s="187">
        <f ca="1">IFERROR(__xludf.DUMMYFUNCTION("IMPORTRANGE(""https://docs.google.com/spreadsheets/d/16OMuOwy2eVqZcYWOouQtTpa8X1L23h4660uVHc0C8os/edit?usp=sharing"",""พิษณุโลก!N691"")"),0)</f>
        <v>0</v>
      </c>
      <c r="J22" s="187">
        <f ca="1">IFERROR(__xludf.DUMMYFUNCTION("IMPORTRANGE(""https://docs.google.com/spreadsheets/d/16OMuOwy2eVqZcYWOouQtTpa8X1L23h4660uVHc0C8os/edit?usp=sharing"",""พิษณุโลก!N692"")"),0)</f>
        <v>0</v>
      </c>
      <c r="K22" s="187">
        <f ca="1">IFERROR(__xludf.DUMMYFUNCTION("IMPORTRANGE(""https://docs.google.com/spreadsheets/d/16OMuOwy2eVqZcYWOouQtTpa8X1L23h4660uVHc0C8os/edit?usp=sharing"",""พิษณุโลก!N693"")"),0)</f>
        <v>0</v>
      </c>
      <c r="L22" s="187">
        <f ca="1">IFERROR(__xludf.DUMMYFUNCTION("IMPORTRANGE(""https://docs.google.com/spreadsheets/d/16OMuOwy2eVqZcYWOouQtTpa8X1L23h4660uVHc0C8os/edit?usp=sharing"",""พิษณุโลก!N694"")"),0)</f>
        <v>0</v>
      </c>
      <c r="M22" s="185">
        <f ca="1">IFERROR(__xludf.DUMMYFUNCTION("IMPORTRANGE(""https://docs.google.com/spreadsheets/d/16OMuOwy2eVqZcYWOouQtTpa8X1L23h4660uVHc0C8os/edit?usp=sharing"",""พิษณุโลก!N697"")"),0)</f>
        <v>0</v>
      </c>
      <c r="N22" s="185">
        <f t="shared" ca="1" si="37"/>
        <v>0</v>
      </c>
      <c r="O22" s="181">
        <f ca="1">IFERROR(__xludf.DUMMYFUNCTION("IMPORTRANGE(""https://docs.google.com/spreadsheets/d/16OMuOwy2eVqZcYWOouQtTpa8X1L23h4660uVHc0C8os/edit?usp=sharing"",""พิษณุโลก!I699"")"),0)</f>
        <v>0</v>
      </c>
      <c r="P22" s="181">
        <f ca="1">IFERROR(__xludf.DUMMYFUNCTION("IMPORTRANGE(""https://docs.google.com/spreadsheets/d/16OMuOwy2eVqZcYWOouQtTpa8X1L23h4660uVHc0C8os/edit?usp=sharing"",""พิษณุโลก!J699"")"),0)</f>
        <v>0</v>
      </c>
      <c r="Q22" s="186">
        <f t="shared" ca="1" si="31"/>
        <v>0</v>
      </c>
      <c r="R22" s="181">
        <f ca="1">IFERROR(__xludf.DUMMYFUNCTION("IMPORTRANGE(""https://docs.google.com/spreadsheets/d/16OMuOwy2eVqZcYWOouQtTpa8X1L23h4660uVHc0C8os/edit?usp=sharing"",""พิษณุโลก!I700"")"),0)</f>
        <v>0</v>
      </c>
      <c r="S22" s="181">
        <f ca="1">IFERROR(__xludf.DUMMYFUNCTION("IMPORTRANGE(""https://docs.google.com/spreadsheets/d/16OMuOwy2eVqZcYWOouQtTpa8X1L23h4660uVHc0C8os/edit?usp=sharing"",""พิษณุโลก!J700"")"),0)</f>
        <v>0</v>
      </c>
      <c r="T22" s="186">
        <f t="shared" ca="1" si="32"/>
        <v>0</v>
      </c>
      <c r="U22" s="181">
        <f ca="1">IFERROR(__xludf.DUMMYFUNCTION("IMPORTRANGE(""https://docs.google.com/spreadsheets/d/16OMuOwy2eVqZcYWOouQtTpa8X1L23h4660uVHc0C8os/edit?usp=sharing"",""พิษณุโลก!I701"")"),0)</f>
        <v>0</v>
      </c>
      <c r="V22" s="181">
        <f ca="1">IFERROR(__xludf.DUMMYFUNCTION("IMPORTRANGE(""https://docs.google.com/spreadsheets/d/16OMuOwy2eVqZcYWOouQtTpa8X1L23h4660uVHc0C8os/edit?usp=sharing"",""พิษณุโลก!J701"")"),0)</f>
        <v>0</v>
      </c>
      <c r="W22" s="186">
        <f t="shared" ca="1" si="33"/>
        <v>0</v>
      </c>
      <c r="X22" s="186">
        <f ca="1">IFERROR(__xludf.DUMMYFUNCTION("IMPORTRANGE(""https://docs.google.com/spreadsheets/d/16OMuOwy2eVqZcYWOouQtTpa8X1L23h4660uVHc0C8os/edit?usp=sharing"",""พิษณุโลก!J702"")"),0)</f>
        <v>0</v>
      </c>
      <c r="Y22" s="186">
        <f ca="1">IFERROR(__xludf.DUMMYFUNCTION("IMPORTRANGE(""https://docs.google.com/spreadsheets/d/16OMuOwy2eVqZcYWOouQtTpa8X1L23h4660uVHc0C8os/edit?usp=sharing"",""พิษณุโลก!J703"")"),0)</f>
        <v>0</v>
      </c>
      <c r="Z22" s="186">
        <f ca="1">IFERROR(__xludf.DUMMYFUNCTION("IMPORTRANGE(""https://docs.google.com/spreadsheets/d/16OMuOwy2eVqZcYWOouQtTpa8X1L23h4660uVHc0C8os/edit?usp=sharing"",""พิษณุโลก!J704"")"),0)</f>
        <v>0</v>
      </c>
      <c r="AA22" s="186">
        <f ca="1">IFERROR(__xludf.DUMMYFUNCTION("IMPORTRANGE(""https://docs.google.com/spreadsheets/d/16OMuOwy2eVqZcYWOouQtTpa8X1L23h4660uVHc0C8os/edit?usp=sharing"",""พิษณุโลก!J705"")"),0)</f>
        <v>0</v>
      </c>
      <c r="AB22" s="186">
        <f ca="1">IFERROR(__xludf.DUMMYFUNCTION("IMPORTRANGE(""https://docs.google.com/spreadsheets/d/16OMuOwy2eVqZcYWOouQtTpa8X1L23h4660uVHc0C8os/edit?usp=sharing"",""พิษณุโลก!J706"")"),0)</f>
        <v>0</v>
      </c>
      <c r="AC22" s="186">
        <f ca="1">IFERROR(__xludf.DUMMYFUNCTION("IMPORTRANGE(""https://docs.google.com/spreadsheets/d/16OMuOwy2eVqZcYWOouQtTpa8X1L23h4660uVHc0C8os/edit?usp=sharing"",""พิษณุโลก!J707"")"),0)</f>
        <v>0</v>
      </c>
      <c r="AD22" s="181">
        <f ca="1">IFERROR(__xludf.DUMMYFUNCTION("IMPORTRANGE(""https://docs.google.com/spreadsheets/d/16OMuOwy2eVqZcYWOouQtTpa8X1L23h4660uVHc0C8os/edit?usp=sharing"",""พิษณุโลก!I708"")"),0)</f>
        <v>0</v>
      </c>
      <c r="AE22" s="181">
        <f ca="1">IFERROR(__xludf.DUMMYFUNCTION("IMPORTRANGE(""https://docs.google.com/spreadsheets/d/16OMuOwy2eVqZcYWOouQtTpa8X1L23h4660uVHc0C8os/edit?usp=sharing"",""พิษณุโลก!J708"")"),0)</f>
        <v>0</v>
      </c>
      <c r="AF22" s="186">
        <f t="shared" ca="1" si="34"/>
        <v>0</v>
      </c>
      <c r="AG22" s="181">
        <f ca="1">IFERROR(__xludf.DUMMYFUNCTION("IMPORTRANGE(""https://docs.google.com/spreadsheets/d/16OMuOwy2eVqZcYWOouQtTpa8X1L23h4660uVHc0C8os/edit?usp=sharing"",""พิษณุโลก!J709"")"),0)</f>
        <v>0</v>
      </c>
      <c r="AH22" s="181">
        <f ca="1">IFERROR(__xludf.DUMMYFUNCTION("IMPORTRANGE(""https://docs.google.com/spreadsheets/d/16OMuOwy2eVqZcYWOouQtTpa8X1L23h4660uVHc0C8os/edit?usp=sharing"",""พิษณุโลก!J710"")"),0)</f>
        <v>0</v>
      </c>
      <c r="AI22" s="181">
        <f ca="1">IFERROR(__xludf.DUMMYFUNCTION("IMPORTRANGE(""https://docs.google.com/spreadsheets/d/16OMuOwy2eVqZcYWOouQtTpa8X1L23h4660uVHc0C8os/edit?usp=sharing"",""พิษณุโลก!J712"")"),0)</f>
        <v>0</v>
      </c>
      <c r="AJ22" s="181">
        <f ca="1">IFERROR(__xludf.DUMMYFUNCTION("IMPORTRANGE(""https://docs.google.com/spreadsheets/d/16OMuOwy2eVqZcYWOouQtTpa8X1L23h4660uVHc0C8os/edit?usp=sharing"",""พิษณุโลก!J713"")"),0)</f>
        <v>0</v>
      </c>
      <c r="AK22" s="181">
        <f ca="1">IFERROR(__xludf.DUMMYFUNCTION("IMPORTRANGE(""https://docs.google.com/spreadsheets/d/16OMuOwy2eVqZcYWOouQtTpa8X1L23h4660uVHc0C8os/edit?usp=sharing"",""พิษณุโลก!J714"")"),0)</f>
        <v>0</v>
      </c>
      <c r="AL22" s="181">
        <f ca="1">IFERROR(__xludf.DUMMYFUNCTION("IMPORTRANGE(""https://docs.google.com/spreadsheets/d/16OMuOwy2eVqZcYWOouQtTpa8X1L23h4660uVHc0C8os/edit?usp=sharing"",""พิษณุโลก!J715"")"),0)</f>
        <v>0</v>
      </c>
      <c r="AM22" s="181">
        <f ca="1">IFERROR(__xludf.DUMMYFUNCTION("IMPORTRANGE(""https://docs.google.com/spreadsheets/d/16OMuOwy2eVqZcYWOouQtTpa8X1L23h4660uVHc0C8os/edit?usp=sharing"",""พิษณุโลก!J716"")"),0)</f>
        <v>0</v>
      </c>
      <c r="AN22" s="181">
        <f ca="1">IFERROR(__xludf.DUMMYFUNCTION("IMPORTRANGE(""https://docs.google.com/spreadsheets/d/16OMuOwy2eVqZcYWOouQtTpa8X1L23h4660uVHc0C8os/edit?usp=sharing"",""พิษณุโลก!J717"")"),0)</f>
        <v>0</v>
      </c>
      <c r="AO22" s="181">
        <f ca="1">IFERROR(__xludf.DUMMYFUNCTION("IMPORTRANGE(""https://docs.google.com/spreadsheets/d/16OMuOwy2eVqZcYWOouQtTpa8X1L23h4660uVHc0C8os/edit?usp=sharing"",""พิษณุโลก!I720"")"),0)</f>
        <v>0</v>
      </c>
      <c r="AP22" s="181">
        <f ca="1">IFERROR(__xludf.DUMMYFUNCTION("IMPORTRANGE(""https://docs.google.com/spreadsheets/d/16OMuOwy2eVqZcYWOouQtTpa8X1L23h4660uVHc0C8os/edit?usp=sharing"",""พิษณุโลก!J718"")"),0)</f>
        <v>0</v>
      </c>
      <c r="AQ22" s="181">
        <f ca="1">IFERROR(__xludf.DUMMYFUNCTION("IMPORTRANGE(""https://docs.google.com/spreadsheets/d/16OMuOwy2eVqZcYWOouQtTpa8X1L23h4660uVHc0C8os/edit?usp=sharing"",""พิษณุโลก!J719"")"),0)</f>
        <v>0</v>
      </c>
      <c r="AR22" s="181">
        <f ca="1">IFERROR(__xludf.DUMMYFUNCTION("IMPORTRANGE(""https://docs.google.com/spreadsheets/d/16OMuOwy2eVqZcYWOouQtTpa8X1L23h4660uVHc0C8os/edit?usp=sharing"",""พิษณุโลก!J720"")"),0)</f>
        <v>0</v>
      </c>
      <c r="AS22" s="186">
        <f t="shared" ca="1" si="14"/>
        <v>0</v>
      </c>
      <c r="AT22" s="181">
        <f ca="1">IFERROR(__xludf.DUMMYFUNCTION("IMPORTRANGE(""https://docs.google.com/spreadsheets/d/16OMuOwy2eVqZcYWOouQtTpa8X1L23h4660uVHc0C8os/edit?usp=sharing"",""พิษณุโลก!I721"")"),0)</f>
        <v>0</v>
      </c>
      <c r="AU22" s="181">
        <f ca="1">IFERROR(__xludf.DUMMYFUNCTION("IMPORTRANGE(""https://docs.google.com/spreadsheets/d/16OMuOwy2eVqZcYWOouQtTpa8X1L23h4660uVHc0C8os/edit?usp=sharing"",""พิษณุโลก!I722"")"),0)</f>
        <v>0</v>
      </c>
      <c r="AV22" s="181">
        <f ca="1">IFERROR(__xludf.DUMMYFUNCTION("IMPORTRANGE(""https://docs.google.com/spreadsheets/d/16OMuOwy2eVqZcYWOouQtTpa8X1L23h4660uVHc0C8os/edit?usp=sharing"",""พิษณุโลก!J721"")"),0)</f>
        <v>0</v>
      </c>
      <c r="AW22" s="186">
        <f t="shared" ca="1" si="16"/>
        <v>0</v>
      </c>
      <c r="AX22" s="181">
        <f ca="1">IFERROR(__xludf.DUMMYFUNCTION("IMPORTRANGE(""https://docs.google.com/spreadsheets/d/16OMuOwy2eVqZcYWOouQtTpa8X1L23h4660uVHc0C8os/edit?usp=sharing"",""พิษณุโลก!J722"")"),0)</f>
        <v>0</v>
      </c>
      <c r="AY22" s="186">
        <f t="shared" ca="1" si="17"/>
        <v>0</v>
      </c>
      <c r="AZ22" s="181">
        <f ca="1">IFERROR(__xludf.DUMMYFUNCTION("IMPORTRANGE(""https://docs.google.com/spreadsheets/d/16OMuOwy2eVqZcYWOouQtTpa8X1L23h4660uVHc0C8os/edit?usp=sharing"",""พิษณุโลก!I723"")"),0)</f>
        <v>0</v>
      </c>
      <c r="BA22" s="181">
        <f ca="1">IFERROR(__xludf.DUMMYFUNCTION("IMPORTRANGE(""https://docs.google.com/spreadsheets/d/16OMuOwy2eVqZcYWOouQtTpa8X1L23h4660uVHc0C8os/edit?usp=sharing"",""พิษณุโลก!I725"")"),0)</f>
        <v>0</v>
      </c>
      <c r="BB22" s="181">
        <f ca="1">IFERROR(__xludf.DUMMYFUNCTION("IMPORTRANGE(""https://docs.google.com/spreadsheets/d/16OMuOwy2eVqZcYWOouQtTpa8X1L23h4660uVHc0C8os/edit?usp=sharing"",""พิษณุโลก!J723"")"),0)</f>
        <v>0</v>
      </c>
      <c r="BC22" s="181">
        <f ca="1">IFERROR(__xludf.DUMMYFUNCTION("IMPORTRANGE(""https://docs.google.com/spreadsheets/d/16OMuOwy2eVqZcYWOouQtTpa8X1L23h4660uVHc0C8os/edit?usp=sharing"",""พิษณุโลก!J724"")"),0)</f>
        <v>0</v>
      </c>
      <c r="BD22" s="181">
        <f ca="1">IFERROR(__xludf.DUMMYFUNCTION("IMPORTRANGE(""https://docs.google.com/spreadsheets/d/16OMuOwy2eVqZcYWOouQtTpa8X1L23h4660uVHc0C8os/edit?usp=sharing"",""พิษณุโลก!J725"")"),0)</f>
        <v>0</v>
      </c>
      <c r="BE22" s="181">
        <f ca="1">IFERROR(__xludf.DUMMYFUNCTION("IMPORTRANGE(""https://docs.google.com/spreadsheets/d/16OMuOwy2eVqZcYWOouQtTpa8X1L23h4660uVHc0C8os/edit?usp=sharing"",""พิษณุโลก!I726"")"),0)</f>
        <v>0</v>
      </c>
      <c r="BF22" s="181">
        <f ca="1">IFERROR(__xludf.DUMMYFUNCTION("IMPORTRANGE(""https://docs.google.com/spreadsheets/d/16OMuOwy2eVqZcYWOouQtTpa8X1L23h4660uVHc0C8os/edit?usp=sharing"",""พิษณุโลก!I728"")"),0)</f>
        <v>0</v>
      </c>
      <c r="BG22" s="181">
        <f ca="1">IFERROR(__xludf.DUMMYFUNCTION("IMPORTRANGE(""https://docs.google.com/spreadsheets/d/16OMuOwy2eVqZcYWOouQtTpa8X1L23h4660uVHc0C8os/edit?usp=sharing"",""พิษณุโลก!J726"")"),0)</f>
        <v>0</v>
      </c>
      <c r="BH22" s="181">
        <f ca="1">IFERROR(__xludf.DUMMYFUNCTION("IMPORTRANGE(""https://docs.google.com/spreadsheets/d/16OMuOwy2eVqZcYWOouQtTpa8X1L23h4660uVHc0C8os/edit?usp=sharing"",""พิษณุโลก!J727"")"),0)</f>
        <v>0</v>
      </c>
      <c r="BI22" s="181">
        <f ca="1">IFERROR(__xludf.DUMMYFUNCTION("IMPORTRANGE(""https://docs.google.com/spreadsheets/d/16OMuOwy2eVqZcYWOouQtTpa8X1L23h4660uVHc0C8os/edit?usp=sharing"",""พิษณุโลก!J728"")"),0)</f>
        <v>0</v>
      </c>
      <c r="BJ22" s="181">
        <f ca="1">IFERROR(__xludf.DUMMYFUNCTION("IMPORTRANGE(""https://docs.google.com/spreadsheets/d/16OMuOwy2eVqZcYWOouQtTpa8X1L23h4660uVHc0C8os/edit?usp=sharing"",""พิษณุโลก!I729"")"),0)</f>
        <v>0</v>
      </c>
      <c r="BK22" s="181">
        <f ca="1">IFERROR(__xludf.DUMMYFUNCTION("IMPORTRANGE(""https://docs.google.com/spreadsheets/d/16OMuOwy2eVqZcYWOouQtTpa8X1L23h4660uVHc0C8os/edit?usp=sharing"",""พิษณุโลก!J729"")"),0)</f>
        <v>0</v>
      </c>
      <c r="BL22" s="186">
        <f t="shared" ca="1" si="19"/>
        <v>0</v>
      </c>
      <c r="BM22" s="181">
        <f ca="1">IFERROR(__xludf.DUMMYFUNCTION("IMPORTRANGE(""https://docs.google.com/spreadsheets/d/16OMuOwy2eVqZcYWOouQtTpa8X1L23h4660uVHc0C8os/edit?usp=sharing"",""พิษณุโลก!J730"")"),0)</f>
        <v>0</v>
      </c>
      <c r="BN22" s="181">
        <f ca="1">IFERROR(__xludf.DUMMYFUNCTION("IMPORTRANGE(""https://docs.google.com/spreadsheets/d/16OMuOwy2eVqZcYWOouQtTpa8X1L23h4660uVHc0C8os/edit?usp=sharing"",""พิษณุโลก!J731"")"),0)</f>
        <v>0</v>
      </c>
      <c r="BO22" s="181">
        <f ca="1">IFERROR(__xludf.DUMMYFUNCTION("IMPORTRANGE(""https://docs.google.com/spreadsheets/d/16OMuOwy2eVqZcYWOouQtTpa8X1L23h4660uVHc0C8os/edit?usp=sharing"",""พิษณุโลก!J732"")"),0)</f>
        <v>0</v>
      </c>
      <c r="BP22" s="181">
        <f ca="1">IFERROR(__xludf.DUMMYFUNCTION("IMPORTRANGE(""https://docs.google.com/spreadsheets/d/16OMuOwy2eVqZcYWOouQtTpa8X1L23h4660uVHc0C8os/edit?usp=sharing"",""พิษณุโลก!J733"")"),0)</f>
        <v>0</v>
      </c>
      <c r="BQ22" s="181">
        <f ca="1">IFERROR(__xludf.DUMMYFUNCTION("IMPORTRANGE(""https://docs.google.com/spreadsheets/d/16OMuOwy2eVqZcYWOouQtTpa8X1L23h4660uVHc0C8os/edit?usp=sharing"",""พิษณุโลก!J734"")"),0)</f>
        <v>0</v>
      </c>
      <c r="BR22" s="181">
        <f ca="1">IFERROR(__xludf.DUMMYFUNCTION("IMPORTRANGE(""https://docs.google.com/spreadsheets/d/16OMuOwy2eVqZcYWOouQtTpa8X1L23h4660uVHc0C8os/edit?usp=sharing"",""พิษณุโลก!J735"")"),0)</f>
        <v>0</v>
      </c>
    </row>
    <row r="23" spans="1:70" ht="24" customHeight="1" x14ac:dyDescent="0.3">
      <c r="A23" s="178">
        <v>10</v>
      </c>
      <c r="B23" s="179" t="s">
        <v>40</v>
      </c>
      <c r="C23" s="180">
        <f t="shared" ca="1" si="46"/>
        <v>14880</v>
      </c>
      <c r="D23" s="181">
        <f ca="1">IFERROR(__xludf.DUMMYFUNCTION("IMPORTRANGE(""https://docs.google.com/spreadsheets/d/1GfgTldLG6k77HXaMQzaafODklYuucJZQNs_GAPEfZyY/edit?usp=sharing"",""เพชรบูรณ์!L690"")"),14880)</f>
        <v>14880</v>
      </c>
      <c r="E23" s="187">
        <f ca="1">IFERROR(__xludf.DUMMYFUNCTION("IMPORTRANGE(""https://docs.google.com/spreadsheets/d/1GfgTldLG6k77HXaMQzaafODklYuucJZQNs_GAPEfZyY/edit?usp=sharing"",""เพชรบูรณ์!L697"")"),0)</f>
        <v>0</v>
      </c>
      <c r="F23" s="182">
        <f t="shared" ca="1" si="1"/>
        <v>0</v>
      </c>
      <c r="G23" s="183">
        <f t="shared" ca="1" si="2"/>
        <v>0</v>
      </c>
      <c r="H23" s="184">
        <f t="shared" ca="1" si="47"/>
        <v>0</v>
      </c>
      <c r="I23" s="187">
        <f ca="1">IFERROR(__xludf.DUMMYFUNCTION("IMPORTRANGE(""https://docs.google.com/spreadsheets/d/1GfgTldLG6k77HXaMQzaafODklYuucJZQNs_GAPEfZyY/edit?usp=sharing"",""เพชรบูรณ์!N691"")"),0)</f>
        <v>0</v>
      </c>
      <c r="J23" s="187">
        <f ca="1">IFERROR(__xludf.DUMMYFUNCTION("IMPORTRANGE(""https://docs.google.com/spreadsheets/d/1GfgTldLG6k77HXaMQzaafODklYuucJZQNs_GAPEfZyY/edit?usp=sharing"",""เพชรบูรณ์!N692"")"),0)</f>
        <v>0</v>
      </c>
      <c r="K23" s="187">
        <f ca="1">IFERROR(__xludf.DUMMYFUNCTION("IMPORTRANGE(""https://docs.google.com/spreadsheets/d/1GfgTldLG6k77HXaMQzaafODklYuucJZQNs_GAPEfZyY/edit?usp=sharing"",""เพชรบูรณ์!N693"")"),0)</f>
        <v>0</v>
      </c>
      <c r="L23" s="187">
        <f ca="1">IFERROR(__xludf.DUMMYFUNCTION("IMPORTRANGE(""https://docs.google.com/spreadsheets/d/1GfgTldLG6k77HXaMQzaafODklYuucJZQNs_GAPEfZyY/edit?usp=sharing"",""เพชรบูรณ์!N694"")"),0)</f>
        <v>0</v>
      </c>
      <c r="M23" s="185">
        <f ca="1">IFERROR(__xludf.DUMMYFUNCTION("IMPORTRANGE(""https://docs.google.com/spreadsheets/d/1GfgTldLG6k77HXaMQzaafODklYuucJZQNs_GAPEfZyY/edit?usp=sharing"",""เพชรบูรณ์!N697"")"),0)</f>
        <v>0</v>
      </c>
      <c r="N23" s="185">
        <f t="shared" ca="1" si="37"/>
        <v>0</v>
      </c>
      <c r="O23" s="181">
        <f ca="1">IFERROR(__xludf.DUMMYFUNCTION("IMPORTRANGE(""https://docs.google.com/spreadsheets/d/1GfgTldLG6k77HXaMQzaafODklYuucJZQNs_GAPEfZyY/edit?usp=sharing"",""เพชรบูรณ์!I699"")"),50)</f>
        <v>50</v>
      </c>
      <c r="P23" s="181">
        <f ca="1">IFERROR(__xludf.DUMMYFUNCTION("IMPORTRANGE(""https://docs.google.com/spreadsheets/d/1GfgTldLG6k77HXaMQzaafODklYuucJZQNs_GAPEfZyY/edit?usp=sharing"",""เพชรบูรณ์!J699"")"),0)</f>
        <v>0</v>
      </c>
      <c r="Q23" s="186">
        <f t="shared" ca="1" si="31"/>
        <v>0</v>
      </c>
      <c r="R23" s="181">
        <f ca="1">IFERROR(__xludf.DUMMYFUNCTION("IMPORTRANGE(""https://docs.google.com/spreadsheets/d/1GfgTldLG6k77HXaMQzaafODklYuucJZQNs_GAPEfZyY/edit?usp=sharing"",""เพชรบูรณ์!I700"")"),10)</f>
        <v>10</v>
      </c>
      <c r="S23" s="181">
        <f ca="1">IFERROR(__xludf.DUMMYFUNCTION("IMPORTRANGE(""https://docs.google.com/spreadsheets/d/1GfgTldLG6k77HXaMQzaafODklYuucJZQNs_GAPEfZyY/edit?usp=sharing"",""เพชรบูรณ์!J700"")"),0)</f>
        <v>0</v>
      </c>
      <c r="T23" s="186">
        <f t="shared" ca="1" si="32"/>
        <v>0</v>
      </c>
      <c r="U23" s="181">
        <f ca="1">IFERROR(__xludf.DUMMYFUNCTION("IMPORTRANGE(""https://docs.google.com/spreadsheets/d/1GfgTldLG6k77HXaMQzaafODklYuucJZQNs_GAPEfZyY/edit?usp=sharing"",""เพชรบูรณ์!I701"")"),52)</f>
        <v>52</v>
      </c>
      <c r="V23" s="181">
        <f ca="1">IFERROR(__xludf.DUMMYFUNCTION("IMPORTRANGE(""https://docs.google.com/spreadsheets/d/1GfgTldLG6k77HXaMQzaafODklYuucJZQNs_GAPEfZyY/edit?usp=sharing"",""เพชรบูรณ์!J701"")"),0)</f>
        <v>0</v>
      </c>
      <c r="W23" s="186">
        <f t="shared" ca="1" si="33"/>
        <v>0</v>
      </c>
      <c r="X23" s="186">
        <f ca="1">IFERROR(__xludf.DUMMYFUNCTION("IMPORTRANGE(""https://docs.google.com/spreadsheets/d/1GfgTldLG6k77HXaMQzaafODklYuucJZQNs_GAPEfZyY/edit?usp=sharing"",""เพชรบูรณ์!J702"")"),0)</f>
        <v>0</v>
      </c>
      <c r="Y23" s="186">
        <f ca="1">IFERROR(__xludf.DUMMYFUNCTION("IMPORTRANGE(""https://docs.google.com/spreadsheets/d/1GfgTldLG6k77HXaMQzaafODklYuucJZQNs_GAPEfZyY/edit?usp=sharing"",""เพชรบูรณ์!J703"")"),0)</f>
        <v>0</v>
      </c>
      <c r="Z23" s="186">
        <f ca="1">IFERROR(__xludf.DUMMYFUNCTION("IMPORTRANGE(""https://docs.google.com/spreadsheets/d/1GfgTldLG6k77HXaMQzaafODklYuucJZQNs_GAPEfZyY/edit?usp=sharing"",""เพชรบูรณ์!J704"")"),0)</f>
        <v>0</v>
      </c>
      <c r="AA23" s="186">
        <f ca="1">IFERROR(__xludf.DUMMYFUNCTION("IMPORTRANGE(""https://docs.google.com/spreadsheets/d/1GfgTldLG6k77HXaMQzaafODklYuucJZQNs_GAPEfZyY/edit?usp=sharing"",""เพชรบูรณ์!J705"")"),0)</f>
        <v>0</v>
      </c>
      <c r="AB23" s="186">
        <f ca="1">IFERROR(__xludf.DUMMYFUNCTION("IMPORTRANGE(""https://docs.google.com/spreadsheets/d/1GfgTldLG6k77HXaMQzaafODklYuucJZQNs_GAPEfZyY/edit?usp=sharing"",""เพชรบูรณ์!J706"")"),0)</f>
        <v>0</v>
      </c>
      <c r="AC23" s="186">
        <f ca="1">IFERROR(__xludf.DUMMYFUNCTION("IMPORTRANGE(""https://docs.google.com/spreadsheets/d/1GfgTldLG6k77HXaMQzaafODklYuucJZQNs_GAPEfZyY/edit?usp=sharing"",""เพชรบูรณ์!J707"")"),0)</f>
        <v>0</v>
      </c>
      <c r="AD23" s="181">
        <f ca="1">IFERROR(__xludf.DUMMYFUNCTION("IMPORTRANGE(""https://docs.google.com/spreadsheets/d/1GfgTldLG6k77HXaMQzaafODklYuucJZQNs_GAPEfZyY/edit?usp=sharing"",""เพชรบูรณ์!I708"")"),0)</f>
        <v>0</v>
      </c>
      <c r="AE23" s="181">
        <f ca="1">IFERROR(__xludf.DUMMYFUNCTION("IMPORTRANGE(""https://docs.google.com/spreadsheets/d/1GfgTldLG6k77HXaMQzaafODklYuucJZQNs_GAPEfZyY/edit?usp=sharing"",""เพชรบูรณ์!J708"")"),0)</f>
        <v>0</v>
      </c>
      <c r="AF23" s="186">
        <f t="shared" ca="1" si="34"/>
        <v>0</v>
      </c>
      <c r="AG23" s="181">
        <f ca="1">IFERROR(__xludf.DUMMYFUNCTION("IMPORTRANGE(""https://docs.google.com/spreadsheets/d/1GfgTldLG6k77HXaMQzaafODklYuucJZQNs_GAPEfZyY/edit?usp=sharing"",""เพชรบูรณ์!J709"")"),0)</f>
        <v>0</v>
      </c>
      <c r="AH23" s="181">
        <f ca="1">IFERROR(__xludf.DUMMYFUNCTION("IMPORTRANGE(""https://docs.google.com/spreadsheets/d/1GfgTldLG6k77HXaMQzaafODklYuucJZQNs_GAPEfZyY/edit?usp=sharing"",""เพชรบูรณ์!J710"")"),0)</f>
        <v>0</v>
      </c>
      <c r="AI23" s="181">
        <f ca="1">IFERROR(__xludf.DUMMYFUNCTION("IMPORTRANGE(""https://docs.google.com/spreadsheets/d/1GfgTldLG6k77HXaMQzaafODklYuucJZQNs_GAPEfZyY/edit?usp=sharing"",""เพชรบูรณ์!J712"")"),0)</f>
        <v>0</v>
      </c>
      <c r="AJ23" s="181">
        <f ca="1">IFERROR(__xludf.DUMMYFUNCTION("IMPORTRANGE(""https://docs.google.com/spreadsheets/d/1GfgTldLG6k77HXaMQzaafODklYuucJZQNs_GAPEfZyY/edit?usp=sharing"",""เพชรบูรณ์!J713"")"),0)</f>
        <v>0</v>
      </c>
      <c r="AK23" s="181">
        <f ca="1">IFERROR(__xludf.DUMMYFUNCTION("IMPORTRANGE(""https://docs.google.com/spreadsheets/d/1GfgTldLG6k77HXaMQzaafODklYuucJZQNs_GAPEfZyY/edit?usp=sharing"",""เพชรบูรณ์!J714"")"),0)</f>
        <v>0</v>
      </c>
      <c r="AL23" s="181">
        <f ca="1">IFERROR(__xludf.DUMMYFUNCTION("IMPORTRANGE(""https://docs.google.com/spreadsheets/d/1GfgTldLG6k77HXaMQzaafODklYuucJZQNs_GAPEfZyY/edit?usp=sharing"",""เพชรบูรณ์!J715"")"),0)</f>
        <v>0</v>
      </c>
      <c r="AM23" s="181">
        <f ca="1">IFERROR(__xludf.DUMMYFUNCTION("IMPORTRANGE(""https://docs.google.com/spreadsheets/d/1GfgTldLG6k77HXaMQzaafODklYuucJZQNs_GAPEfZyY/edit?usp=sharing"",""เพชรบูรณ์!J716"")"),0)</f>
        <v>0</v>
      </c>
      <c r="AN23" s="181">
        <f ca="1">IFERROR(__xludf.DUMMYFUNCTION("IMPORTRANGE(""https://docs.google.com/spreadsheets/d/1GfgTldLG6k77HXaMQzaafODklYuucJZQNs_GAPEfZyY/edit?usp=sharing"",""เพชรบูรณ์!J717"")"),0)</f>
        <v>0</v>
      </c>
      <c r="AO23" s="181">
        <f ca="1">IFERROR(__xludf.DUMMYFUNCTION("IMPORTRANGE(""https://docs.google.com/spreadsheets/d/1GfgTldLG6k77HXaMQzaafODklYuucJZQNs_GAPEfZyY/edit?usp=sharing"",""เพชรบูรณ์!I720"")"),0)</f>
        <v>0</v>
      </c>
      <c r="AP23" s="181">
        <f ca="1">IFERROR(__xludf.DUMMYFUNCTION("IMPORTRANGE(""https://docs.google.com/spreadsheets/d/1GfgTldLG6k77HXaMQzaafODklYuucJZQNs_GAPEfZyY/edit?usp=sharing"",""เพชรบูรณ์!J718"")"),0)</f>
        <v>0</v>
      </c>
      <c r="AQ23" s="181">
        <f ca="1">IFERROR(__xludf.DUMMYFUNCTION("IMPORTRANGE(""https://docs.google.com/spreadsheets/d/1GfgTldLG6k77HXaMQzaafODklYuucJZQNs_GAPEfZyY/edit?usp=sharing"",""เพชรบูรณ์!J719"")"),0)</f>
        <v>0</v>
      </c>
      <c r="AR23" s="181">
        <f ca="1">IFERROR(__xludf.DUMMYFUNCTION("IMPORTRANGE(""https://docs.google.com/spreadsheets/d/1GfgTldLG6k77HXaMQzaafODklYuucJZQNs_GAPEfZyY/edit?usp=sharing"",""เพชรบูรณ์!J720"")"),0)</f>
        <v>0</v>
      </c>
      <c r="AS23" s="186">
        <f t="shared" ca="1" si="14"/>
        <v>0</v>
      </c>
      <c r="AT23" s="181">
        <f ca="1">IFERROR(__xludf.DUMMYFUNCTION("IMPORTRANGE(""https://docs.google.com/spreadsheets/d/1GfgTldLG6k77HXaMQzaafODklYuucJZQNs_GAPEfZyY/edit?usp=sharing"",""เพชรบูรณ์!I721"")"),12)</f>
        <v>12</v>
      </c>
      <c r="AU23" s="181">
        <f ca="1">IFERROR(__xludf.DUMMYFUNCTION("IMPORTRANGE(""https://docs.google.com/spreadsheets/d/1GfgTldLG6k77HXaMQzaafODklYuucJZQNs_GAPEfZyY/edit?usp=sharing"",""เพชรบูรณ์!I722"")"),52)</f>
        <v>52</v>
      </c>
      <c r="AV23" s="181">
        <f ca="1">IFERROR(__xludf.DUMMYFUNCTION("IMPORTRANGE(""https://docs.google.com/spreadsheets/d/1GfgTldLG6k77HXaMQzaafODklYuucJZQNs_GAPEfZyY/edit?usp=sharing"",""เพชรบูรณ์!J721"")"),0)</f>
        <v>0</v>
      </c>
      <c r="AW23" s="186">
        <f t="shared" ca="1" si="16"/>
        <v>0</v>
      </c>
      <c r="AX23" s="181">
        <f ca="1">IFERROR(__xludf.DUMMYFUNCTION("IMPORTRANGE(""https://docs.google.com/spreadsheets/d/1GfgTldLG6k77HXaMQzaafODklYuucJZQNs_GAPEfZyY/edit?usp=sharing"",""เพชรบูรณ์!J722"")"),0)</f>
        <v>0</v>
      </c>
      <c r="AY23" s="186">
        <f t="shared" ca="1" si="17"/>
        <v>0</v>
      </c>
      <c r="AZ23" s="181">
        <f ca="1">IFERROR(__xludf.DUMMYFUNCTION("IMPORTRANGE(""https://docs.google.com/spreadsheets/d/1GfgTldLG6k77HXaMQzaafODklYuucJZQNs_GAPEfZyY/edit?usp=sharing"",""เพชรบูรณ์!I723"")"),0)</f>
        <v>0</v>
      </c>
      <c r="BA23" s="181">
        <f ca="1">IFERROR(__xludf.DUMMYFUNCTION("IMPORTRANGE(""https://docs.google.com/spreadsheets/d/1GfgTldLG6k77HXaMQzaafODklYuucJZQNs_GAPEfZyY/edit?usp=sharing"",""เพชรบูรณ์!I725"")"),0)</f>
        <v>0</v>
      </c>
      <c r="BB23" s="181">
        <f ca="1">IFERROR(__xludf.DUMMYFUNCTION("IMPORTRANGE(""https://docs.google.com/spreadsheets/d/1GfgTldLG6k77HXaMQzaafODklYuucJZQNs_GAPEfZyY/edit?usp=sharing"",""เพชรบูรณ์!J723"")"),0)</f>
        <v>0</v>
      </c>
      <c r="BC23" s="181">
        <f ca="1">IFERROR(__xludf.DUMMYFUNCTION("IMPORTRANGE(""https://docs.google.com/spreadsheets/d/1GfgTldLG6k77HXaMQzaafODklYuucJZQNs_GAPEfZyY/edit?usp=sharing"",""เพชรบูรณ์!J724"")"),0)</f>
        <v>0</v>
      </c>
      <c r="BD23" s="181">
        <f ca="1">IFERROR(__xludf.DUMMYFUNCTION("IMPORTRANGE(""https://docs.google.com/spreadsheets/d/1GfgTldLG6k77HXaMQzaafODklYuucJZQNs_GAPEfZyY/edit?usp=sharing"",""เพชรบูรณ์!J725"")"),0)</f>
        <v>0</v>
      </c>
      <c r="BE23" s="181">
        <f ca="1">IFERROR(__xludf.DUMMYFUNCTION("IMPORTRANGE(""https://docs.google.com/spreadsheets/d/1GfgTldLG6k77HXaMQzaafODklYuucJZQNs_GAPEfZyY/edit?usp=sharing"",""เพชรบูรณ์!I726"")"),12)</f>
        <v>12</v>
      </c>
      <c r="BF23" s="181">
        <f ca="1">IFERROR(__xludf.DUMMYFUNCTION("IMPORTRANGE(""https://docs.google.com/spreadsheets/d/1GfgTldLG6k77HXaMQzaafODklYuucJZQNs_GAPEfZyY/edit?usp=sharing"",""เพชรบูรณ์!I728"")"),52)</f>
        <v>52</v>
      </c>
      <c r="BG23" s="181">
        <f ca="1">IFERROR(__xludf.DUMMYFUNCTION("IMPORTRANGE(""https://docs.google.com/spreadsheets/d/1GfgTldLG6k77HXaMQzaafODklYuucJZQNs_GAPEfZyY/edit?usp=sharing"",""เพชรบูรณ์!J726"")"),0)</f>
        <v>0</v>
      </c>
      <c r="BH23" s="181">
        <f ca="1">IFERROR(__xludf.DUMMYFUNCTION("IMPORTRANGE(""https://docs.google.com/spreadsheets/d/1GfgTldLG6k77HXaMQzaafODklYuucJZQNs_GAPEfZyY/edit?usp=sharing"",""เพชรบูรณ์!J727"")"),0)</f>
        <v>0</v>
      </c>
      <c r="BI23" s="181">
        <f ca="1">IFERROR(__xludf.DUMMYFUNCTION("IMPORTRANGE(""https://docs.google.com/spreadsheets/d/1GfgTldLG6k77HXaMQzaafODklYuucJZQNs_GAPEfZyY/edit?usp=sharing"",""เพชรบูรณ์!J728"")"),0)</f>
        <v>0</v>
      </c>
      <c r="BJ23" s="181">
        <f ca="1">IFERROR(__xludf.DUMMYFUNCTION("IMPORTRANGE(""https://docs.google.com/spreadsheets/d/1GfgTldLG6k77HXaMQzaafODklYuucJZQNs_GAPEfZyY/edit?usp=sharing"",""เพชรบูรณ์!I729"")"),0)</f>
        <v>0</v>
      </c>
      <c r="BK23" s="181">
        <f ca="1">IFERROR(__xludf.DUMMYFUNCTION("IMPORTRANGE(""https://docs.google.com/spreadsheets/d/1GfgTldLG6k77HXaMQzaafODklYuucJZQNs_GAPEfZyY/edit?usp=sharing"",""เพชรบูรณ์!J729"")"),0)</f>
        <v>0</v>
      </c>
      <c r="BL23" s="186">
        <f t="shared" ca="1" si="19"/>
        <v>0</v>
      </c>
      <c r="BM23" s="181">
        <f ca="1">IFERROR(__xludf.DUMMYFUNCTION("IMPORTRANGE(""https://docs.google.com/spreadsheets/d/1GfgTldLG6k77HXaMQzaafODklYuucJZQNs_GAPEfZyY/edit?usp=sharing"",""เพชรบูรณ์!J730"")"),0)</f>
        <v>0</v>
      </c>
      <c r="BN23" s="181">
        <f ca="1">IFERROR(__xludf.DUMMYFUNCTION("IMPORTRANGE(""https://docs.google.com/spreadsheets/d/1GfgTldLG6k77HXaMQzaafODklYuucJZQNs_GAPEfZyY/edit?usp=sharing"",""เพชรบูรณ์!J731"")"),0)</f>
        <v>0</v>
      </c>
      <c r="BO23" s="181">
        <f ca="1">IFERROR(__xludf.DUMMYFUNCTION("IMPORTRANGE(""https://docs.google.com/spreadsheets/d/1GfgTldLG6k77HXaMQzaafODklYuucJZQNs_GAPEfZyY/edit?usp=sharing"",""เพชรบูรณ์!J732"")"),0)</f>
        <v>0</v>
      </c>
      <c r="BP23" s="181">
        <f ca="1">IFERROR(__xludf.DUMMYFUNCTION("IMPORTRANGE(""https://docs.google.com/spreadsheets/d/1GfgTldLG6k77HXaMQzaafODklYuucJZQNs_GAPEfZyY/edit?usp=sharing"",""เพชรบูรณ์!J733"")"),0)</f>
        <v>0</v>
      </c>
      <c r="BQ23" s="181">
        <f ca="1">IFERROR(__xludf.DUMMYFUNCTION("IMPORTRANGE(""https://docs.google.com/spreadsheets/d/1GfgTldLG6k77HXaMQzaafODklYuucJZQNs_GAPEfZyY/edit?usp=sharing"",""เพชรบูรณ์!J734"")"),0)</f>
        <v>0</v>
      </c>
      <c r="BR23" s="181">
        <f ca="1">IFERROR(__xludf.DUMMYFUNCTION("IMPORTRANGE(""https://docs.google.com/spreadsheets/d/1GfgTldLG6k77HXaMQzaafODklYuucJZQNs_GAPEfZyY/edit?usp=sharing"",""เพชรบูรณ์!J735"")"),0)</f>
        <v>0</v>
      </c>
    </row>
    <row r="24" spans="1:70" ht="24" customHeight="1" x14ac:dyDescent="0.3">
      <c r="A24" s="178">
        <v>11</v>
      </c>
      <c r="B24" s="179" t="s">
        <v>41</v>
      </c>
      <c r="C24" s="180">
        <f t="shared" ca="1" si="46"/>
        <v>0</v>
      </c>
      <c r="D24" s="181">
        <f ca="1">IFERROR(__xludf.DUMMYFUNCTION("IMPORTRANGE(""https://docs.google.com/spreadsheets/d/1gvTMYAnm7v1yG1BKWFtr0DnaTsq59oW9dwWvFgq6hs0/edit?usp=sharing"",""แพร่!L690"")"),0)</f>
        <v>0</v>
      </c>
      <c r="E24" s="187">
        <f ca="1">IFERROR(__xludf.DUMMYFUNCTION("IMPORTRANGE(""https://docs.google.com/spreadsheets/d/1gvTMYAnm7v1yG1BKWFtr0DnaTsq59oW9dwWvFgq6hs0/edit?usp=sharing"",""แพร่!L697"")"),0)</f>
        <v>0</v>
      </c>
      <c r="F24" s="182">
        <f t="shared" ca="1" si="1"/>
        <v>0</v>
      </c>
      <c r="G24" s="183">
        <f t="shared" ca="1" si="2"/>
        <v>0</v>
      </c>
      <c r="H24" s="184">
        <f t="shared" ca="1" si="47"/>
        <v>0</v>
      </c>
      <c r="I24" s="187">
        <f ca="1">IFERROR(__xludf.DUMMYFUNCTION("IMPORTRANGE(""https://docs.google.com/spreadsheets/d/1gvTMYAnm7v1yG1BKWFtr0DnaTsq59oW9dwWvFgq6hs0/edit?usp=sharing"",""แพร่!N691"")"),0)</f>
        <v>0</v>
      </c>
      <c r="J24" s="187">
        <f ca="1">IFERROR(__xludf.DUMMYFUNCTION("IMPORTRANGE(""https://docs.google.com/spreadsheets/d/1gvTMYAnm7v1yG1BKWFtr0DnaTsq59oW9dwWvFgq6hs0/edit?usp=sharing"",""แพร่!N692"")"),0)</f>
        <v>0</v>
      </c>
      <c r="K24" s="187">
        <f ca="1">IFERROR(__xludf.DUMMYFUNCTION("IMPORTRANGE(""https://docs.google.com/spreadsheets/d/1gvTMYAnm7v1yG1BKWFtr0DnaTsq59oW9dwWvFgq6hs0/edit?usp=sharing"",""แพร่!N693"")"),0)</f>
        <v>0</v>
      </c>
      <c r="L24" s="187">
        <f ca="1">IFERROR(__xludf.DUMMYFUNCTION("IMPORTRANGE(""https://docs.google.com/spreadsheets/d/1gvTMYAnm7v1yG1BKWFtr0DnaTsq59oW9dwWvFgq6hs0/edit?usp=sharing"",""แพร่!N694"")"),0)</f>
        <v>0</v>
      </c>
      <c r="M24" s="185">
        <f ca="1">IFERROR(__xludf.DUMMYFUNCTION("IMPORTRANGE(""https://docs.google.com/spreadsheets/d/1gvTMYAnm7v1yG1BKWFtr0DnaTsq59oW9dwWvFgq6hs0/edit?usp=sharing"",""แพร่!N697"")"),0)</f>
        <v>0</v>
      </c>
      <c r="N24" s="185">
        <f t="shared" ca="1" si="37"/>
        <v>0</v>
      </c>
      <c r="O24" s="181">
        <f ca="1">IFERROR(__xludf.DUMMYFUNCTION("IMPORTRANGE(""https://docs.google.com/spreadsheets/d/1gvTMYAnm7v1yG1BKWFtr0DnaTsq59oW9dwWvFgq6hs0/edit?usp=sharing"",""แพร่!I699"")"),0)</f>
        <v>0</v>
      </c>
      <c r="P24" s="181">
        <f ca="1">IFERROR(__xludf.DUMMYFUNCTION("IMPORTRANGE(""https://docs.google.com/spreadsheets/d/1gvTMYAnm7v1yG1BKWFtr0DnaTsq59oW9dwWvFgq6hs0/edit?usp=sharing"",""แพร่!J699"")"),0)</f>
        <v>0</v>
      </c>
      <c r="Q24" s="186">
        <f t="shared" ca="1" si="31"/>
        <v>0</v>
      </c>
      <c r="R24" s="181">
        <f ca="1">IFERROR(__xludf.DUMMYFUNCTION("IMPORTRANGE(""https://docs.google.com/spreadsheets/d/1gvTMYAnm7v1yG1BKWFtr0DnaTsq59oW9dwWvFgq6hs0/edit?usp=sharing"",""แพร่!I700"")"),0)</f>
        <v>0</v>
      </c>
      <c r="S24" s="181">
        <f ca="1">IFERROR(__xludf.DUMMYFUNCTION("IMPORTRANGE(""https://docs.google.com/spreadsheets/d/1gvTMYAnm7v1yG1BKWFtr0DnaTsq59oW9dwWvFgq6hs0/edit?usp=sharing"",""แพร่!J700"")"),0)</f>
        <v>0</v>
      </c>
      <c r="T24" s="186">
        <f t="shared" ca="1" si="32"/>
        <v>0</v>
      </c>
      <c r="U24" s="181">
        <f ca="1">IFERROR(__xludf.DUMMYFUNCTION("IMPORTRANGE(""https://docs.google.com/spreadsheets/d/1gvTMYAnm7v1yG1BKWFtr0DnaTsq59oW9dwWvFgq6hs0/edit?usp=sharing"",""แพร่!I701"")"),0)</f>
        <v>0</v>
      </c>
      <c r="V24" s="181">
        <f ca="1">IFERROR(__xludf.DUMMYFUNCTION("IMPORTRANGE(""https://docs.google.com/spreadsheets/d/1gvTMYAnm7v1yG1BKWFtr0DnaTsq59oW9dwWvFgq6hs0/edit?usp=sharing"",""แพร่!J701"")"),0)</f>
        <v>0</v>
      </c>
      <c r="W24" s="186">
        <f t="shared" ca="1" si="33"/>
        <v>0</v>
      </c>
      <c r="X24" s="186">
        <f ca="1">IFERROR(__xludf.DUMMYFUNCTION("IMPORTRANGE(""https://docs.google.com/spreadsheets/d/1gvTMYAnm7v1yG1BKWFtr0DnaTsq59oW9dwWvFgq6hs0/edit?usp=sharing"",""แพร่!J702"")"),0)</f>
        <v>0</v>
      </c>
      <c r="Y24" s="186">
        <f ca="1">IFERROR(__xludf.DUMMYFUNCTION("IMPORTRANGE(""https://docs.google.com/spreadsheets/d/1gvTMYAnm7v1yG1BKWFtr0DnaTsq59oW9dwWvFgq6hs0/edit?usp=sharing"",""แพร่!J703"")"),0)</f>
        <v>0</v>
      </c>
      <c r="Z24" s="186">
        <f ca="1">IFERROR(__xludf.DUMMYFUNCTION("IMPORTRANGE(""https://docs.google.com/spreadsheets/d/1gvTMYAnm7v1yG1BKWFtr0DnaTsq59oW9dwWvFgq6hs0/edit?usp=sharing"",""แพร่!J704"")"),0)</f>
        <v>0</v>
      </c>
      <c r="AA24" s="186">
        <f ca="1">IFERROR(__xludf.DUMMYFUNCTION("IMPORTRANGE(""https://docs.google.com/spreadsheets/d/1gvTMYAnm7v1yG1BKWFtr0DnaTsq59oW9dwWvFgq6hs0/edit?usp=sharing"",""แพร่!J705"")"),0)</f>
        <v>0</v>
      </c>
      <c r="AB24" s="186">
        <f ca="1">IFERROR(__xludf.DUMMYFUNCTION("IMPORTRANGE(""https://docs.google.com/spreadsheets/d/1gvTMYAnm7v1yG1BKWFtr0DnaTsq59oW9dwWvFgq6hs0/edit?usp=sharing"",""แพร่!J706"")"),0)</f>
        <v>0</v>
      </c>
      <c r="AC24" s="186">
        <f ca="1">IFERROR(__xludf.DUMMYFUNCTION("IMPORTRANGE(""https://docs.google.com/spreadsheets/d/1gvTMYAnm7v1yG1BKWFtr0DnaTsq59oW9dwWvFgq6hs0/edit?usp=sharing"",""แพร่!J707"")"),0)</f>
        <v>0</v>
      </c>
      <c r="AD24" s="181">
        <f ca="1">IFERROR(__xludf.DUMMYFUNCTION("IMPORTRANGE(""https://docs.google.com/spreadsheets/d/1gvTMYAnm7v1yG1BKWFtr0DnaTsq59oW9dwWvFgq6hs0/edit?usp=sharing"",""แพร่!I708"")"),0)</f>
        <v>0</v>
      </c>
      <c r="AE24" s="181">
        <f ca="1">IFERROR(__xludf.DUMMYFUNCTION("IMPORTRANGE(""https://docs.google.com/spreadsheets/d/1gvTMYAnm7v1yG1BKWFtr0DnaTsq59oW9dwWvFgq6hs0/edit?usp=sharing"",""แพร่!J708"")"),0)</f>
        <v>0</v>
      </c>
      <c r="AF24" s="186">
        <f t="shared" ca="1" si="34"/>
        <v>0</v>
      </c>
      <c r="AG24" s="181">
        <f ca="1">IFERROR(__xludf.DUMMYFUNCTION("IMPORTRANGE(""https://docs.google.com/spreadsheets/d/1gvTMYAnm7v1yG1BKWFtr0DnaTsq59oW9dwWvFgq6hs0/edit?usp=sharing"",""แพร่!J709"")"),0)</f>
        <v>0</v>
      </c>
      <c r="AH24" s="181">
        <f ca="1">IFERROR(__xludf.DUMMYFUNCTION("IMPORTRANGE(""https://docs.google.com/spreadsheets/d/1gvTMYAnm7v1yG1BKWFtr0DnaTsq59oW9dwWvFgq6hs0/edit?usp=sharing"",""แพร่!J710"")"),0)</f>
        <v>0</v>
      </c>
      <c r="AI24" s="181">
        <f ca="1">IFERROR(__xludf.DUMMYFUNCTION("IMPORTRANGE(""https://docs.google.com/spreadsheets/d/1gvTMYAnm7v1yG1BKWFtr0DnaTsq59oW9dwWvFgq6hs0/edit?usp=sharing"",""แพร่!J712"")"),0)</f>
        <v>0</v>
      </c>
      <c r="AJ24" s="181">
        <f ca="1">IFERROR(__xludf.DUMMYFUNCTION("IMPORTRANGE(""https://docs.google.com/spreadsheets/d/1gvTMYAnm7v1yG1BKWFtr0DnaTsq59oW9dwWvFgq6hs0/edit?usp=sharing"",""แพร่!J713"")"),0)</f>
        <v>0</v>
      </c>
      <c r="AK24" s="181">
        <f ca="1">IFERROR(__xludf.DUMMYFUNCTION("IMPORTRANGE(""https://docs.google.com/spreadsheets/d/1gvTMYAnm7v1yG1BKWFtr0DnaTsq59oW9dwWvFgq6hs0/edit?usp=sharing"",""แพร่!J714"")"),0)</f>
        <v>0</v>
      </c>
      <c r="AL24" s="181">
        <f ca="1">IFERROR(__xludf.DUMMYFUNCTION("IMPORTRANGE(""https://docs.google.com/spreadsheets/d/1gvTMYAnm7v1yG1BKWFtr0DnaTsq59oW9dwWvFgq6hs0/edit?usp=sharing"",""แพร่!J715"")"),0)</f>
        <v>0</v>
      </c>
      <c r="AM24" s="181">
        <f ca="1">IFERROR(__xludf.DUMMYFUNCTION("IMPORTRANGE(""https://docs.google.com/spreadsheets/d/1gvTMYAnm7v1yG1BKWFtr0DnaTsq59oW9dwWvFgq6hs0/edit?usp=sharing"",""แพร่!J716"")"),0)</f>
        <v>0</v>
      </c>
      <c r="AN24" s="181">
        <f ca="1">IFERROR(__xludf.DUMMYFUNCTION("IMPORTRANGE(""https://docs.google.com/spreadsheets/d/1gvTMYAnm7v1yG1BKWFtr0DnaTsq59oW9dwWvFgq6hs0/edit?usp=sharing"",""แพร่!J717"")"),0)</f>
        <v>0</v>
      </c>
      <c r="AO24" s="181">
        <f ca="1">IFERROR(__xludf.DUMMYFUNCTION("IMPORTRANGE(""https://docs.google.com/spreadsheets/d/1gvTMYAnm7v1yG1BKWFtr0DnaTsq59oW9dwWvFgq6hs0/edit?usp=sharing"",""แพร่!I720"")"),0)</f>
        <v>0</v>
      </c>
      <c r="AP24" s="181">
        <f ca="1">IFERROR(__xludf.DUMMYFUNCTION("IMPORTRANGE(""https://docs.google.com/spreadsheets/d/1gvTMYAnm7v1yG1BKWFtr0DnaTsq59oW9dwWvFgq6hs0/edit?usp=sharing"",""แพร่!J718"")"),0)</f>
        <v>0</v>
      </c>
      <c r="AQ24" s="181">
        <f ca="1">IFERROR(__xludf.DUMMYFUNCTION("IMPORTRANGE(""https://docs.google.com/spreadsheets/d/1gvTMYAnm7v1yG1BKWFtr0DnaTsq59oW9dwWvFgq6hs0/edit?usp=sharing"",""แพร่!J719"")"),0)</f>
        <v>0</v>
      </c>
      <c r="AR24" s="181">
        <f ca="1">IFERROR(__xludf.DUMMYFUNCTION("IMPORTRANGE(""https://docs.google.com/spreadsheets/d/1gvTMYAnm7v1yG1BKWFtr0DnaTsq59oW9dwWvFgq6hs0/edit?usp=sharing"",""แพร่!J720"")"),0)</f>
        <v>0</v>
      </c>
      <c r="AS24" s="186">
        <f t="shared" ca="1" si="14"/>
        <v>0</v>
      </c>
      <c r="AT24" s="181">
        <f ca="1">IFERROR(__xludf.DUMMYFUNCTION("IMPORTRANGE(""https://docs.google.com/spreadsheets/d/1gvTMYAnm7v1yG1BKWFtr0DnaTsq59oW9dwWvFgq6hs0/edit?usp=sharing"",""แพร่!I721"")"),0)</f>
        <v>0</v>
      </c>
      <c r="AU24" s="181">
        <f ca="1">IFERROR(__xludf.DUMMYFUNCTION("IMPORTRANGE(""https://docs.google.com/spreadsheets/d/1gvTMYAnm7v1yG1BKWFtr0DnaTsq59oW9dwWvFgq6hs0/edit?usp=sharing"",""แพร่!I722"")"),0)</f>
        <v>0</v>
      </c>
      <c r="AV24" s="181">
        <f ca="1">IFERROR(__xludf.DUMMYFUNCTION("IMPORTRANGE(""https://docs.google.com/spreadsheets/d/1gvTMYAnm7v1yG1BKWFtr0DnaTsq59oW9dwWvFgq6hs0/edit?usp=sharing"",""แพร่!J721"")"),0)</f>
        <v>0</v>
      </c>
      <c r="AW24" s="186">
        <f t="shared" ca="1" si="16"/>
        <v>0</v>
      </c>
      <c r="AX24" s="181">
        <f ca="1">IFERROR(__xludf.DUMMYFUNCTION("IMPORTRANGE(""https://docs.google.com/spreadsheets/d/1gvTMYAnm7v1yG1BKWFtr0DnaTsq59oW9dwWvFgq6hs0/edit?usp=sharing"",""แพร่!J722"")"),0)</f>
        <v>0</v>
      </c>
      <c r="AY24" s="186">
        <f t="shared" ca="1" si="17"/>
        <v>0</v>
      </c>
      <c r="AZ24" s="181">
        <f ca="1">IFERROR(__xludf.DUMMYFUNCTION("IMPORTRANGE(""https://docs.google.com/spreadsheets/d/1gvTMYAnm7v1yG1BKWFtr0DnaTsq59oW9dwWvFgq6hs0/edit?usp=sharing"",""แพร่!I723"")"),0)</f>
        <v>0</v>
      </c>
      <c r="BA24" s="181">
        <f ca="1">IFERROR(__xludf.DUMMYFUNCTION("IMPORTRANGE(""https://docs.google.com/spreadsheets/d/1gvTMYAnm7v1yG1BKWFtr0DnaTsq59oW9dwWvFgq6hs0/edit?usp=sharing"",""แพร่!I725"")"),0)</f>
        <v>0</v>
      </c>
      <c r="BB24" s="181">
        <f ca="1">IFERROR(__xludf.DUMMYFUNCTION("IMPORTRANGE(""https://docs.google.com/spreadsheets/d/1gvTMYAnm7v1yG1BKWFtr0DnaTsq59oW9dwWvFgq6hs0/edit?usp=sharing"",""แพร่!J723"")"),0)</f>
        <v>0</v>
      </c>
      <c r="BC24" s="181">
        <f ca="1">IFERROR(__xludf.DUMMYFUNCTION("IMPORTRANGE(""https://docs.google.com/spreadsheets/d/1gvTMYAnm7v1yG1BKWFtr0DnaTsq59oW9dwWvFgq6hs0/edit?usp=sharing"",""แพร่!J724"")"),0)</f>
        <v>0</v>
      </c>
      <c r="BD24" s="181">
        <f ca="1">IFERROR(__xludf.DUMMYFUNCTION("IMPORTRANGE(""https://docs.google.com/spreadsheets/d/1gvTMYAnm7v1yG1BKWFtr0DnaTsq59oW9dwWvFgq6hs0/edit?usp=sharing"",""แพร่!J725"")"),0)</f>
        <v>0</v>
      </c>
      <c r="BE24" s="181">
        <f ca="1">IFERROR(__xludf.DUMMYFUNCTION("IMPORTRANGE(""https://docs.google.com/spreadsheets/d/1gvTMYAnm7v1yG1BKWFtr0DnaTsq59oW9dwWvFgq6hs0/edit?usp=sharing"",""แพร่!I726"")"),0)</f>
        <v>0</v>
      </c>
      <c r="BF24" s="181">
        <f ca="1">IFERROR(__xludf.DUMMYFUNCTION("IMPORTRANGE(""https://docs.google.com/spreadsheets/d/1gvTMYAnm7v1yG1BKWFtr0DnaTsq59oW9dwWvFgq6hs0/edit?usp=sharing"",""แพร่!I728"")"),0)</f>
        <v>0</v>
      </c>
      <c r="BG24" s="181">
        <f ca="1">IFERROR(__xludf.DUMMYFUNCTION("IMPORTRANGE(""https://docs.google.com/spreadsheets/d/1gvTMYAnm7v1yG1BKWFtr0DnaTsq59oW9dwWvFgq6hs0/edit?usp=sharing"",""แพร่!J726"")"),0)</f>
        <v>0</v>
      </c>
      <c r="BH24" s="181">
        <f ca="1">IFERROR(__xludf.DUMMYFUNCTION("IMPORTRANGE(""https://docs.google.com/spreadsheets/d/1gvTMYAnm7v1yG1BKWFtr0DnaTsq59oW9dwWvFgq6hs0/edit?usp=sharing"",""แพร่!J727"")"),0)</f>
        <v>0</v>
      </c>
      <c r="BI24" s="181">
        <f ca="1">IFERROR(__xludf.DUMMYFUNCTION("IMPORTRANGE(""https://docs.google.com/spreadsheets/d/1gvTMYAnm7v1yG1BKWFtr0DnaTsq59oW9dwWvFgq6hs0/edit?usp=sharing"",""แพร่!J728"")"),0)</f>
        <v>0</v>
      </c>
      <c r="BJ24" s="181">
        <f ca="1">IFERROR(__xludf.DUMMYFUNCTION("IMPORTRANGE(""https://docs.google.com/spreadsheets/d/1gvTMYAnm7v1yG1BKWFtr0DnaTsq59oW9dwWvFgq6hs0/edit?usp=sharing"",""แพร่!I729"")"),0)</f>
        <v>0</v>
      </c>
      <c r="BK24" s="181">
        <f ca="1">IFERROR(__xludf.DUMMYFUNCTION("IMPORTRANGE(""https://docs.google.com/spreadsheets/d/1gvTMYAnm7v1yG1BKWFtr0DnaTsq59oW9dwWvFgq6hs0/edit?usp=sharing"",""แพร่!J729"")"),0)</f>
        <v>0</v>
      </c>
      <c r="BL24" s="186">
        <f t="shared" ca="1" si="19"/>
        <v>0</v>
      </c>
      <c r="BM24" s="181">
        <f ca="1">IFERROR(__xludf.DUMMYFUNCTION("IMPORTRANGE(""https://docs.google.com/spreadsheets/d/1gvTMYAnm7v1yG1BKWFtr0DnaTsq59oW9dwWvFgq6hs0/edit?usp=sharing"",""แพร่!J730"")"),0)</f>
        <v>0</v>
      </c>
      <c r="BN24" s="181">
        <f ca="1">IFERROR(__xludf.DUMMYFUNCTION("IMPORTRANGE(""https://docs.google.com/spreadsheets/d/1gvTMYAnm7v1yG1BKWFtr0DnaTsq59oW9dwWvFgq6hs0/edit?usp=sharing"",""แพร่!J731"")"),0)</f>
        <v>0</v>
      </c>
      <c r="BO24" s="181">
        <f ca="1">IFERROR(__xludf.DUMMYFUNCTION("IMPORTRANGE(""https://docs.google.com/spreadsheets/d/1gvTMYAnm7v1yG1BKWFtr0DnaTsq59oW9dwWvFgq6hs0/edit?usp=sharing"",""แพร่!J732"")"),0)</f>
        <v>0</v>
      </c>
      <c r="BP24" s="181">
        <f ca="1">IFERROR(__xludf.DUMMYFUNCTION("IMPORTRANGE(""https://docs.google.com/spreadsheets/d/1gvTMYAnm7v1yG1BKWFtr0DnaTsq59oW9dwWvFgq6hs0/edit?usp=sharing"",""แพร่!J733"")"),0)</f>
        <v>0</v>
      </c>
      <c r="BQ24" s="181">
        <f ca="1">IFERROR(__xludf.DUMMYFUNCTION("IMPORTRANGE(""https://docs.google.com/spreadsheets/d/1gvTMYAnm7v1yG1BKWFtr0DnaTsq59oW9dwWvFgq6hs0/edit?usp=sharing"",""แพร่!J734"")"),0)</f>
        <v>0</v>
      </c>
      <c r="BR24" s="181">
        <f ca="1">IFERROR(__xludf.DUMMYFUNCTION("IMPORTRANGE(""https://docs.google.com/spreadsheets/d/1gvTMYAnm7v1yG1BKWFtr0DnaTsq59oW9dwWvFgq6hs0/edit?usp=sharing"",""แพร่!J735"")"),0)</f>
        <v>0</v>
      </c>
    </row>
    <row r="25" spans="1:70" ht="24" customHeight="1" x14ac:dyDescent="0.3">
      <c r="A25" s="178">
        <v>12</v>
      </c>
      <c r="B25" s="179" t="s">
        <v>42</v>
      </c>
      <c r="C25" s="180">
        <f t="shared" ca="1" si="46"/>
        <v>0</v>
      </c>
      <c r="D25" s="181">
        <f ca="1">IFERROR(__xludf.DUMMYFUNCTION("IMPORTRANGE(""https://docs.google.com/spreadsheets/d/1Wbcosgy-Xa1xXUArJSOenub6EfZHUSzc_bpJFWwQUf0/edit?usp=sharing"",""แม่ฮ่องสอน!L690"")"),0)</f>
        <v>0</v>
      </c>
      <c r="E25" s="187">
        <f ca="1">IFERROR(__xludf.DUMMYFUNCTION("IMPORTRANGE(""https://docs.google.com/spreadsheets/d/1Wbcosgy-Xa1xXUArJSOenub6EfZHUSzc_bpJFWwQUf0/edit?usp=sharing"",""แม่ฮ่องสอน!L697"")"),0)</f>
        <v>0</v>
      </c>
      <c r="F25" s="182">
        <f t="shared" ca="1" si="1"/>
        <v>0</v>
      </c>
      <c r="G25" s="183">
        <f t="shared" ca="1" si="2"/>
        <v>0</v>
      </c>
      <c r="H25" s="184">
        <f t="shared" ca="1" si="47"/>
        <v>0</v>
      </c>
      <c r="I25" s="187">
        <f ca="1">IFERROR(__xludf.DUMMYFUNCTION("IMPORTRANGE(""https://docs.google.com/spreadsheets/d/1Wbcosgy-Xa1xXUArJSOenub6EfZHUSzc_bpJFWwQUf0/edit?usp=sharing"",""แม่ฮ่องสอน!N691"")"),0)</f>
        <v>0</v>
      </c>
      <c r="J25" s="187">
        <f ca="1">IFERROR(__xludf.DUMMYFUNCTION("IMPORTRANGE(""https://docs.google.com/spreadsheets/d/1Wbcosgy-Xa1xXUArJSOenub6EfZHUSzc_bpJFWwQUf0/edit?usp=sharing"",""แม่ฮ่องสอน!N692"")"),0)</f>
        <v>0</v>
      </c>
      <c r="K25" s="187">
        <f ca="1">IFERROR(__xludf.DUMMYFUNCTION("IMPORTRANGE(""https://docs.google.com/spreadsheets/d/1Wbcosgy-Xa1xXUArJSOenub6EfZHUSzc_bpJFWwQUf0/edit?usp=sharing"",""แม่ฮ่องสอน!N693"")"),0)</f>
        <v>0</v>
      </c>
      <c r="L25" s="187">
        <f ca="1">IFERROR(__xludf.DUMMYFUNCTION("IMPORTRANGE(""https://docs.google.com/spreadsheets/d/1Wbcosgy-Xa1xXUArJSOenub6EfZHUSzc_bpJFWwQUf0/edit?usp=sharing"",""แม่ฮ่องสอน!N694"")"),0)</f>
        <v>0</v>
      </c>
      <c r="M25" s="185">
        <f ca="1">IFERROR(__xludf.DUMMYFUNCTION("IMPORTRANGE(""https://docs.google.com/spreadsheets/d/1Wbcosgy-Xa1xXUArJSOenub6EfZHUSzc_bpJFWwQUf0/edit?usp=sharing"",""แม่ฮ่องสอน!N697"")"),0)</f>
        <v>0</v>
      </c>
      <c r="N25" s="185">
        <f t="shared" ca="1" si="37"/>
        <v>0</v>
      </c>
      <c r="O25" s="181">
        <f ca="1">IFERROR(__xludf.DUMMYFUNCTION("IMPORTRANGE(""https://docs.google.com/spreadsheets/d/1Wbcosgy-Xa1xXUArJSOenub6EfZHUSzc_bpJFWwQUf0/edit?usp=sharing"",""แม่ฮ่องสอน!I699"")"),0)</f>
        <v>0</v>
      </c>
      <c r="P25" s="181">
        <f ca="1">IFERROR(__xludf.DUMMYFUNCTION("IMPORTRANGE(""https://docs.google.com/spreadsheets/d/1Wbcosgy-Xa1xXUArJSOenub6EfZHUSzc_bpJFWwQUf0/edit?usp=sharing"",""แม่ฮ่องสอน!J699"")"),0)</f>
        <v>0</v>
      </c>
      <c r="Q25" s="186">
        <f t="shared" ca="1" si="31"/>
        <v>0</v>
      </c>
      <c r="R25" s="181">
        <f ca="1">IFERROR(__xludf.DUMMYFUNCTION("IMPORTRANGE(""https://docs.google.com/spreadsheets/d/1Wbcosgy-Xa1xXUArJSOenub6EfZHUSzc_bpJFWwQUf0/edit?usp=sharing"",""แม่ฮ่องสอน!I700"")"),0)</f>
        <v>0</v>
      </c>
      <c r="S25" s="181">
        <f ca="1">IFERROR(__xludf.DUMMYFUNCTION("IMPORTRANGE(""https://docs.google.com/spreadsheets/d/1Wbcosgy-Xa1xXUArJSOenub6EfZHUSzc_bpJFWwQUf0/edit?usp=sharing"",""แม่ฮ่องสอน!J700"")"),0)</f>
        <v>0</v>
      </c>
      <c r="T25" s="186">
        <f t="shared" ca="1" si="32"/>
        <v>0</v>
      </c>
      <c r="U25" s="181">
        <f ca="1">IFERROR(__xludf.DUMMYFUNCTION("IMPORTRANGE(""https://docs.google.com/spreadsheets/d/1Wbcosgy-Xa1xXUArJSOenub6EfZHUSzc_bpJFWwQUf0/edit?usp=sharing"",""แม่ฮ่องสอน!I701"")"),0)</f>
        <v>0</v>
      </c>
      <c r="V25" s="181">
        <f ca="1">IFERROR(__xludf.DUMMYFUNCTION("IMPORTRANGE(""https://docs.google.com/spreadsheets/d/1Wbcosgy-Xa1xXUArJSOenub6EfZHUSzc_bpJFWwQUf0/edit?usp=sharing"",""แม่ฮ่องสอน!J701"")"),0)</f>
        <v>0</v>
      </c>
      <c r="W25" s="186">
        <f t="shared" ca="1" si="33"/>
        <v>0</v>
      </c>
      <c r="X25" s="186">
        <f ca="1">IFERROR(__xludf.DUMMYFUNCTION("IMPORTRANGE(""https://docs.google.com/spreadsheets/d/1Wbcosgy-Xa1xXUArJSOenub6EfZHUSzc_bpJFWwQUf0/edit?usp=sharing"",""แม่ฮ่องสอน!J702"")"),0)</f>
        <v>0</v>
      </c>
      <c r="Y25" s="186">
        <f ca="1">IFERROR(__xludf.DUMMYFUNCTION("IMPORTRANGE(""https://docs.google.com/spreadsheets/d/1Wbcosgy-Xa1xXUArJSOenub6EfZHUSzc_bpJFWwQUf0/edit?usp=sharing"",""แม่ฮ่องสอน!J703"")"),0)</f>
        <v>0</v>
      </c>
      <c r="Z25" s="186">
        <f ca="1">IFERROR(__xludf.DUMMYFUNCTION("IMPORTRANGE(""https://docs.google.com/spreadsheets/d/1Wbcosgy-Xa1xXUArJSOenub6EfZHUSzc_bpJFWwQUf0/edit?usp=sharing"",""แม่ฮ่องสอน!J704"")"),0)</f>
        <v>0</v>
      </c>
      <c r="AA25" s="186">
        <f ca="1">IFERROR(__xludf.DUMMYFUNCTION("IMPORTRANGE(""https://docs.google.com/spreadsheets/d/1Wbcosgy-Xa1xXUArJSOenub6EfZHUSzc_bpJFWwQUf0/edit?usp=sharing"",""แม่ฮ่องสอน!J705"")"),0)</f>
        <v>0</v>
      </c>
      <c r="AB25" s="186">
        <f ca="1">IFERROR(__xludf.DUMMYFUNCTION("IMPORTRANGE(""https://docs.google.com/spreadsheets/d/1Wbcosgy-Xa1xXUArJSOenub6EfZHUSzc_bpJFWwQUf0/edit?usp=sharing"",""แม่ฮ่องสอน!J706"")"),0)</f>
        <v>0</v>
      </c>
      <c r="AC25" s="186">
        <f ca="1">IFERROR(__xludf.DUMMYFUNCTION("IMPORTRANGE(""https://docs.google.com/spreadsheets/d/1Wbcosgy-Xa1xXUArJSOenub6EfZHUSzc_bpJFWwQUf0/edit?usp=sharing"",""แม่ฮ่องสอน!J707"")"),0)</f>
        <v>0</v>
      </c>
      <c r="AD25" s="181">
        <f ca="1">IFERROR(__xludf.DUMMYFUNCTION("IMPORTRANGE(""https://docs.google.com/spreadsheets/d/1Wbcosgy-Xa1xXUArJSOenub6EfZHUSzc_bpJFWwQUf0/edit?usp=sharing"",""แม่ฮ่องสอน!I708"")"),0)</f>
        <v>0</v>
      </c>
      <c r="AE25" s="181">
        <f ca="1">IFERROR(__xludf.DUMMYFUNCTION("IMPORTRANGE(""https://docs.google.com/spreadsheets/d/1Wbcosgy-Xa1xXUArJSOenub6EfZHUSzc_bpJFWwQUf0/edit?usp=sharing"",""แม่ฮ่องสอน!J708"")"),0)</f>
        <v>0</v>
      </c>
      <c r="AF25" s="186">
        <f t="shared" ca="1" si="34"/>
        <v>0</v>
      </c>
      <c r="AG25" s="181">
        <f ca="1">IFERROR(__xludf.DUMMYFUNCTION("IMPORTRANGE(""https://docs.google.com/spreadsheets/d/1Wbcosgy-Xa1xXUArJSOenub6EfZHUSzc_bpJFWwQUf0/edit?usp=sharing"",""แม่ฮ่องสอน!J709"")"),0)</f>
        <v>0</v>
      </c>
      <c r="AH25" s="181">
        <f ca="1">IFERROR(__xludf.DUMMYFUNCTION("IMPORTRANGE(""https://docs.google.com/spreadsheets/d/1Wbcosgy-Xa1xXUArJSOenub6EfZHUSzc_bpJFWwQUf0/edit?usp=sharing"",""แม่ฮ่องสอน!J710"")"),0)</f>
        <v>0</v>
      </c>
      <c r="AI25" s="181">
        <f ca="1">IFERROR(__xludf.DUMMYFUNCTION("IMPORTRANGE(""https://docs.google.com/spreadsheets/d/1Wbcosgy-Xa1xXUArJSOenub6EfZHUSzc_bpJFWwQUf0/edit?usp=sharing"",""แม่ฮ่องสอน!J712"")"),0)</f>
        <v>0</v>
      </c>
      <c r="AJ25" s="181">
        <f ca="1">IFERROR(__xludf.DUMMYFUNCTION("IMPORTRANGE(""https://docs.google.com/spreadsheets/d/1Wbcosgy-Xa1xXUArJSOenub6EfZHUSzc_bpJFWwQUf0/edit?usp=sharing"",""แม่ฮ่องสอน!J713"")"),0)</f>
        <v>0</v>
      </c>
      <c r="AK25" s="181">
        <f ca="1">IFERROR(__xludf.DUMMYFUNCTION("IMPORTRANGE(""https://docs.google.com/spreadsheets/d/1Wbcosgy-Xa1xXUArJSOenub6EfZHUSzc_bpJFWwQUf0/edit?usp=sharing"",""แม่ฮ่องสอน!J714"")"),0)</f>
        <v>0</v>
      </c>
      <c r="AL25" s="181">
        <f ca="1">IFERROR(__xludf.DUMMYFUNCTION("IMPORTRANGE(""https://docs.google.com/spreadsheets/d/1Wbcosgy-Xa1xXUArJSOenub6EfZHUSzc_bpJFWwQUf0/edit?usp=sharing"",""แม่ฮ่องสอน!J715"")"),0)</f>
        <v>0</v>
      </c>
      <c r="AM25" s="181">
        <f ca="1">IFERROR(__xludf.DUMMYFUNCTION("IMPORTRANGE(""https://docs.google.com/spreadsheets/d/1Wbcosgy-Xa1xXUArJSOenub6EfZHUSzc_bpJFWwQUf0/edit?usp=sharing"",""แม่ฮ่องสอน!J716"")"),0)</f>
        <v>0</v>
      </c>
      <c r="AN25" s="181">
        <f ca="1">IFERROR(__xludf.DUMMYFUNCTION("IMPORTRANGE(""https://docs.google.com/spreadsheets/d/1Wbcosgy-Xa1xXUArJSOenub6EfZHUSzc_bpJFWwQUf0/edit?usp=sharing"",""แม่ฮ่องสอน!J717"")"),0)</f>
        <v>0</v>
      </c>
      <c r="AO25" s="181">
        <f ca="1">IFERROR(__xludf.DUMMYFUNCTION("IMPORTRANGE(""https://docs.google.com/spreadsheets/d/1Wbcosgy-Xa1xXUArJSOenub6EfZHUSzc_bpJFWwQUf0/edit?usp=sharing"",""แม่ฮ่องสอน!I720"")"),0)</f>
        <v>0</v>
      </c>
      <c r="AP25" s="181">
        <f ca="1">IFERROR(__xludf.DUMMYFUNCTION("IMPORTRANGE(""https://docs.google.com/spreadsheets/d/1Wbcosgy-Xa1xXUArJSOenub6EfZHUSzc_bpJFWwQUf0/edit?usp=sharing"",""แม่ฮ่องสอน!J718"")"),0)</f>
        <v>0</v>
      </c>
      <c r="AQ25" s="181">
        <f ca="1">IFERROR(__xludf.DUMMYFUNCTION("IMPORTRANGE(""https://docs.google.com/spreadsheets/d/1Wbcosgy-Xa1xXUArJSOenub6EfZHUSzc_bpJFWwQUf0/edit?usp=sharing"",""แม่ฮ่องสอน!J719"")"),0)</f>
        <v>0</v>
      </c>
      <c r="AR25" s="181">
        <f ca="1">IFERROR(__xludf.DUMMYFUNCTION("IMPORTRANGE(""https://docs.google.com/spreadsheets/d/1Wbcosgy-Xa1xXUArJSOenub6EfZHUSzc_bpJFWwQUf0/edit?usp=sharing"",""แม่ฮ่องสอน!J720"")"),0)</f>
        <v>0</v>
      </c>
      <c r="AS25" s="186">
        <f t="shared" ca="1" si="14"/>
        <v>0</v>
      </c>
      <c r="AT25" s="181">
        <f ca="1">IFERROR(__xludf.DUMMYFUNCTION("IMPORTRANGE(""https://docs.google.com/spreadsheets/d/1Wbcosgy-Xa1xXUArJSOenub6EfZHUSzc_bpJFWwQUf0/edit?usp=sharing"",""แม่ฮ่องสอน!I721"")"),0)</f>
        <v>0</v>
      </c>
      <c r="AU25" s="181">
        <f ca="1">IFERROR(__xludf.DUMMYFUNCTION("IMPORTRANGE(""https://docs.google.com/spreadsheets/d/1Wbcosgy-Xa1xXUArJSOenub6EfZHUSzc_bpJFWwQUf0/edit?usp=sharing"",""แม่ฮ่องสอน!I722"")"),0)</f>
        <v>0</v>
      </c>
      <c r="AV25" s="181">
        <f ca="1">IFERROR(__xludf.DUMMYFUNCTION("IMPORTRANGE(""https://docs.google.com/spreadsheets/d/1Wbcosgy-Xa1xXUArJSOenub6EfZHUSzc_bpJFWwQUf0/edit?usp=sharing"",""แม่ฮ่องสอน!J721"")"),0)</f>
        <v>0</v>
      </c>
      <c r="AW25" s="186">
        <f t="shared" ca="1" si="16"/>
        <v>0</v>
      </c>
      <c r="AX25" s="181">
        <f ca="1">IFERROR(__xludf.DUMMYFUNCTION("IMPORTRANGE(""https://docs.google.com/spreadsheets/d/1Wbcosgy-Xa1xXUArJSOenub6EfZHUSzc_bpJFWwQUf0/edit?usp=sharing"",""แม่ฮ่องสอน!J722"")"),0)</f>
        <v>0</v>
      </c>
      <c r="AY25" s="186">
        <f t="shared" ca="1" si="17"/>
        <v>0</v>
      </c>
      <c r="AZ25" s="181">
        <f ca="1">IFERROR(__xludf.DUMMYFUNCTION("IMPORTRANGE(""https://docs.google.com/spreadsheets/d/1Wbcosgy-Xa1xXUArJSOenub6EfZHUSzc_bpJFWwQUf0/edit?usp=sharing"",""แม่ฮ่องสอน!I723"")"),0)</f>
        <v>0</v>
      </c>
      <c r="BA25" s="181">
        <f ca="1">IFERROR(__xludf.DUMMYFUNCTION("IMPORTRANGE(""https://docs.google.com/spreadsheets/d/1Wbcosgy-Xa1xXUArJSOenub6EfZHUSzc_bpJFWwQUf0/edit?usp=sharing"",""แม่ฮ่องสอน!I725"")"),0)</f>
        <v>0</v>
      </c>
      <c r="BB25" s="181">
        <f ca="1">IFERROR(__xludf.DUMMYFUNCTION("IMPORTRANGE(""https://docs.google.com/spreadsheets/d/1Wbcosgy-Xa1xXUArJSOenub6EfZHUSzc_bpJFWwQUf0/edit?usp=sharing"",""แม่ฮ่องสอน!J723"")"),0)</f>
        <v>0</v>
      </c>
      <c r="BC25" s="181">
        <f ca="1">IFERROR(__xludf.DUMMYFUNCTION("IMPORTRANGE(""https://docs.google.com/spreadsheets/d/1Wbcosgy-Xa1xXUArJSOenub6EfZHUSzc_bpJFWwQUf0/edit?usp=sharing"",""แม่ฮ่องสอน!J724"")"),0)</f>
        <v>0</v>
      </c>
      <c r="BD25" s="181">
        <f ca="1">IFERROR(__xludf.DUMMYFUNCTION("IMPORTRANGE(""https://docs.google.com/spreadsheets/d/1Wbcosgy-Xa1xXUArJSOenub6EfZHUSzc_bpJFWwQUf0/edit?usp=sharing"",""แม่ฮ่องสอน!J725"")"),0)</f>
        <v>0</v>
      </c>
      <c r="BE25" s="181">
        <f ca="1">IFERROR(__xludf.DUMMYFUNCTION("IMPORTRANGE(""https://docs.google.com/spreadsheets/d/1Wbcosgy-Xa1xXUArJSOenub6EfZHUSzc_bpJFWwQUf0/edit?usp=sharing"",""แม่ฮ่องสอน!I726"")"),0)</f>
        <v>0</v>
      </c>
      <c r="BF25" s="181">
        <f ca="1">IFERROR(__xludf.DUMMYFUNCTION("IMPORTRANGE(""https://docs.google.com/spreadsheets/d/1Wbcosgy-Xa1xXUArJSOenub6EfZHUSzc_bpJFWwQUf0/edit?usp=sharing"",""แม่ฮ่องสอน!I728"")"),0)</f>
        <v>0</v>
      </c>
      <c r="BG25" s="181">
        <f ca="1">IFERROR(__xludf.DUMMYFUNCTION("IMPORTRANGE(""https://docs.google.com/spreadsheets/d/1Wbcosgy-Xa1xXUArJSOenub6EfZHUSzc_bpJFWwQUf0/edit?usp=sharing"",""แม่ฮ่องสอน!J726"")"),0)</f>
        <v>0</v>
      </c>
      <c r="BH25" s="181">
        <f ca="1">IFERROR(__xludf.DUMMYFUNCTION("IMPORTRANGE(""https://docs.google.com/spreadsheets/d/1Wbcosgy-Xa1xXUArJSOenub6EfZHUSzc_bpJFWwQUf0/edit?usp=sharing"",""แม่ฮ่องสอน!J727"")"),0)</f>
        <v>0</v>
      </c>
      <c r="BI25" s="181">
        <f ca="1">IFERROR(__xludf.DUMMYFUNCTION("IMPORTRANGE(""https://docs.google.com/spreadsheets/d/1Wbcosgy-Xa1xXUArJSOenub6EfZHUSzc_bpJFWwQUf0/edit?usp=sharing"",""แม่ฮ่องสอน!J728"")"),0)</f>
        <v>0</v>
      </c>
      <c r="BJ25" s="181">
        <f ca="1">IFERROR(__xludf.DUMMYFUNCTION("IMPORTRANGE(""https://docs.google.com/spreadsheets/d/1Wbcosgy-Xa1xXUArJSOenub6EfZHUSzc_bpJFWwQUf0/edit?usp=sharing"",""แม่ฮ่องสอน!I729"")"),0)</f>
        <v>0</v>
      </c>
      <c r="BK25" s="181">
        <f ca="1">IFERROR(__xludf.DUMMYFUNCTION("IMPORTRANGE(""https://docs.google.com/spreadsheets/d/1Wbcosgy-Xa1xXUArJSOenub6EfZHUSzc_bpJFWwQUf0/edit?usp=sharing"",""แม่ฮ่องสอน!J729"")"),0)</f>
        <v>0</v>
      </c>
      <c r="BL25" s="186">
        <f t="shared" ca="1" si="19"/>
        <v>0</v>
      </c>
      <c r="BM25" s="181">
        <f ca="1">IFERROR(__xludf.DUMMYFUNCTION("IMPORTRANGE(""https://docs.google.com/spreadsheets/d/1Wbcosgy-Xa1xXUArJSOenub6EfZHUSzc_bpJFWwQUf0/edit?usp=sharing"",""แม่ฮ่องสอน!J730"")"),0)</f>
        <v>0</v>
      </c>
      <c r="BN25" s="181">
        <f ca="1">IFERROR(__xludf.DUMMYFUNCTION("IMPORTRANGE(""https://docs.google.com/spreadsheets/d/1Wbcosgy-Xa1xXUArJSOenub6EfZHUSzc_bpJFWwQUf0/edit?usp=sharing"",""แม่ฮ่องสอน!J731"")"),0)</f>
        <v>0</v>
      </c>
      <c r="BO25" s="181">
        <f ca="1">IFERROR(__xludf.DUMMYFUNCTION("IMPORTRANGE(""https://docs.google.com/spreadsheets/d/1Wbcosgy-Xa1xXUArJSOenub6EfZHUSzc_bpJFWwQUf0/edit?usp=sharing"",""แม่ฮ่องสอน!J732"")"),0)</f>
        <v>0</v>
      </c>
      <c r="BP25" s="181">
        <f ca="1">IFERROR(__xludf.DUMMYFUNCTION("IMPORTRANGE(""https://docs.google.com/spreadsheets/d/1Wbcosgy-Xa1xXUArJSOenub6EfZHUSzc_bpJFWwQUf0/edit?usp=sharing"",""แม่ฮ่องสอน!J733"")"),0)</f>
        <v>0</v>
      </c>
      <c r="BQ25" s="181">
        <f ca="1">IFERROR(__xludf.DUMMYFUNCTION("IMPORTRANGE(""https://docs.google.com/spreadsheets/d/1Wbcosgy-Xa1xXUArJSOenub6EfZHUSzc_bpJFWwQUf0/edit?usp=sharing"",""แม่ฮ่องสอน!J734"")"),0)</f>
        <v>0</v>
      </c>
      <c r="BR25" s="181">
        <f ca="1">IFERROR(__xludf.DUMMYFUNCTION("IMPORTRANGE(""https://docs.google.com/spreadsheets/d/1Wbcosgy-Xa1xXUArJSOenub6EfZHUSzc_bpJFWwQUf0/edit?usp=sharing"",""แม่ฮ่องสอน!J735"")"),0)</f>
        <v>0</v>
      </c>
    </row>
    <row r="26" spans="1:70" ht="24" customHeight="1" x14ac:dyDescent="0.3">
      <c r="A26" s="178">
        <v>13</v>
      </c>
      <c r="B26" s="179" t="s">
        <v>43</v>
      </c>
      <c r="C26" s="180">
        <f t="shared" ca="1" si="46"/>
        <v>0</v>
      </c>
      <c r="D26" s="181">
        <f ca="1">IFERROR(__xludf.DUMMYFUNCTION("IMPORTRANGE(""https://docs.google.com/spreadsheets/d/1p7ERhsr0qZeSn-KSOdeHS9r0heI-lHtkcn2OH7hP0jQ/edit?usp=sharing"",""ลำปาง!L690"")"),0)</f>
        <v>0</v>
      </c>
      <c r="E26" s="187">
        <f ca="1">IFERROR(__xludf.DUMMYFUNCTION("IMPORTRANGE(""https://docs.google.com/spreadsheets/d/1p7ERhsr0qZeSn-KSOdeHS9r0heI-lHtkcn2OH7hP0jQ/edit?usp=sharing"",""ลำปาง!L697"")"),0)</f>
        <v>0</v>
      </c>
      <c r="F26" s="182">
        <f t="shared" ca="1" si="1"/>
        <v>0</v>
      </c>
      <c r="G26" s="183">
        <f t="shared" ca="1" si="2"/>
        <v>0</v>
      </c>
      <c r="H26" s="184">
        <f t="shared" ca="1" si="47"/>
        <v>0</v>
      </c>
      <c r="I26" s="187">
        <f ca="1">IFERROR(__xludf.DUMMYFUNCTION("IMPORTRANGE(""https://docs.google.com/spreadsheets/d/1p7ERhsr0qZeSn-KSOdeHS9r0heI-lHtkcn2OH7hP0jQ/edit?usp=sharing"",""ลำปาง!N691"")"),0)</f>
        <v>0</v>
      </c>
      <c r="J26" s="187">
        <f ca="1">IFERROR(__xludf.DUMMYFUNCTION("IMPORTRANGE(""https://docs.google.com/spreadsheets/d/1p7ERhsr0qZeSn-KSOdeHS9r0heI-lHtkcn2OH7hP0jQ/edit?usp=sharing"",""ลำปาง!N692"")"),0)</f>
        <v>0</v>
      </c>
      <c r="K26" s="187">
        <f ca="1">IFERROR(__xludf.DUMMYFUNCTION("IMPORTRANGE(""https://docs.google.com/spreadsheets/d/1p7ERhsr0qZeSn-KSOdeHS9r0heI-lHtkcn2OH7hP0jQ/edit?usp=sharing"",""ลำปาง!N693"")"),0)</f>
        <v>0</v>
      </c>
      <c r="L26" s="187">
        <f ca="1">IFERROR(__xludf.DUMMYFUNCTION("IMPORTRANGE(""https://docs.google.com/spreadsheets/d/1p7ERhsr0qZeSn-KSOdeHS9r0heI-lHtkcn2OH7hP0jQ/edit?usp=sharing"",""ลำปาง!N694"")"),0)</f>
        <v>0</v>
      </c>
      <c r="M26" s="185">
        <f ca="1">IFERROR(__xludf.DUMMYFUNCTION("IMPORTRANGE(""https://docs.google.com/spreadsheets/d/1p7ERhsr0qZeSn-KSOdeHS9r0heI-lHtkcn2OH7hP0jQ/edit?usp=sharing"",""ลำปาง!N697"")"),0)</f>
        <v>0</v>
      </c>
      <c r="N26" s="185">
        <f t="shared" ca="1" si="37"/>
        <v>0</v>
      </c>
      <c r="O26" s="181">
        <f ca="1">IFERROR(__xludf.DUMMYFUNCTION("IMPORTRANGE(""https://docs.google.com/spreadsheets/d/1p7ERhsr0qZeSn-KSOdeHS9r0heI-lHtkcn2OH7hP0jQ/edit?usp=sharing"",""ลำปาง!I699"")"),0)</f>
        <v>0</v>
      </c>
      <c r="P26" s="181">
        <f ca="1">IFERROR(__xludf.DUMMYFUNCTION("IMPORTRANGE(""https://docs.google.com/spreadsheets/d/1p7ERhsr0qZeSn-KSOdeHS9r0heI-lHtkcn2OH7hP0jQ/edit?usp=sharing"",""ลำปาง!J699"")"),0)</f>
        <v>0</v>
      </c>
      <c r="Q26" s="186">
        <f t="shared" ca="1" si="31"/>
        <v>0</v>
      </c>
      <c r="R26" s="181">
        <f ca="1">IFERROR(__xludf.DUMMYFUNCTION("IMPORTRANGE(""https://docs.google.com/spreadsheets/d/1p7ERhsr0qZeSn-KSOdeHS9r0heI-lHtkcn2OH7hP0jQ/edit?usp=sharing"",""ลำปาง!I700"")"),0)</f>
        <v>0</v>
      </c>
      <c r="S26" s="181">
        <f ca="1">IFERROR(__xludf.DUMMYFUNCTION("IMPORTRANGE(""https://docs.google.com/spreadsheets/d/1p7ERhsr0qZeSn-KSOdeHS9r0heI-lHtkcn2OH7hP0jQ/edit?usp=sharing"",""ลำปาง!J700"")"),0)</f>
        <v>0</v>
      </c>
      <c r="T26" s="186">
        <f t="shared" ca="1" si="32"/>
        <v>0</v>
      </c>
      <c r="U26" s="181">
        <f ca="1">IFERROR(__xludf.DUMMYFUNCTION("IMPORTRANGE(""https://docs.google.com/spreadsheets/d/1p7ERhsr0qZeSn-KSOdeHS9r0heI-lHtkcn2OH7hP0jQ/edit?usp=sharing"",""ลำปาง!I701"")"),0)</f>
        <v>0</v>
      </c>
      <c r="V26" s="181">
        <f ca="1">IFERROR(__xludf.DUMMYFUNCTION("IMPORTRANGE(""https://docs.google.com/spreadsheets/d/1p7ERhsr0qZeSn-KSOdeHS9r0heI-lHtkcn2OH7hP0jQ/edit?usp=sharing"",""ลำปาง!J701"")"),0)</f>
        <v>0</v>
      </c>
      <c r="W26" s="186">
        <f t="shared" ca="1" si="33"/>
        <v>0</v>
      </c>
      <c r="X26" s="186">
        <f ca="1">IFERROR(__xludf.DUMMYFUNCTION("IMPORTRANGE(""https://docs.google.com/spreadsheets/d/1p7ERhsr0qZeSn-KSOdeHS9r0heI-lHtkcn2OH7hP0jQ/edit?usp=sharing"",""ลำปาง!J702"")"),0)</f>
        <v>0</v>
      </c>
      <c r="Y26" s="186">
        <f ca="1">IFERROR(__xludf.DUMMYFUNCTION("IMPORTRANGE(""https://docs.google.com/spreadsheets/d/1p7ERhsr0qZeSn-KSOdeHS9r0heI-lHtkcn2OH7hP0jQ/edit?usp=sharing"",""ลำปาง!J703"")"),0)</f>
        <v>0</v>
      </c>
      <c r="Z26" s="186">
        <f ca="1">IFERROR(__xludf.DUMMYFUNCTION("IMPORTRANGE(""https://docs.google.com/spreadsheets/d/1p7ERhsr0qZeSn-KSOdeHS9r0heI-lHtkcn2OH7hP0jQ/edit?usp=sharing"",""ลำปาง!J704"")"),0)</f>
        <v>0</v>
      </c>
      <c r="AA26" s="186">
        <f ca="1">IFERROR(__xludf.DUMMYFUNCTION("IMPORTRANGE(""https://docs.google.com/spreadsheets/d/1p7ERhsr0qZeSn-KSOdeHS9r0heI-lHtkcn2OH7hP0jQ/edit?usp=sharing"",""ลำปาง!J705"")"),0)</f>
        <v>0</v>
      </c>
      <c r="AB26" s="186">
        <f ca="1">IFERROR(__xludf.DUMMYFUNCTION("IMPORTRANGE(""https://docs.google.com/spreadsheets/d/1p7ERhsr0qZeSn-KSOdeHS9r0heI-lHtkcn2OH7hP0jQ/edit?usp=sharing"",""ลำปาง!J706"")"),0)</f>
        <v>0</v>
      </c>
      <c r="AC26" s="186">
        <f ca="1">IFERROR(__xludf.DUMMYFUNCTION("IMPORTRANGE(""https://docs.google.com/spreadsheets/d/1p7ERhsr0qZeSn-KSOdeHS9r0heI-lHtkcn2OH7hP0jQ/edit?usp=sharing"",""ลำปาง!J707"")"),0)</f>
        <v>0</v>
      </c>
      <c r="AD26" s="181">
        <f ca="1">IFERROR(__xludf.DUMMYFUNCTION("IMPORTRANGE(""https://docs.google.com/spreadsheets/d/1p7ERhsr0qZeSn-KSOdeHS9r0heI-lHtkcn2OH7hP0jQ/edit?usp=sharing"",""ลำปาง!I708"")"),0)</f>
        <v>0</v>
      </c>
      <c r="AE26" s="181">
        <f ca="1">IFERROR(__xludf.DUMMYFUNCTION("IMPORTRANGE(""https://docs.google.com/spreadsheets/d/1p7ERhsr0qZeSn-KSOdeHS9r0heI-lHtkcn2OH7hP0jQ/edit?usp=sharing"",""ลำปาง!J708"")"),0)</f>
        <v>0</v>
      </c>
      <c r="AF26" s="186">
        <f t="shared" ca="1" si="34"/>
        <v>0</v>
      </c>
      <c r="AG26" s="181">
        <f ca="1">IFERROR(__xludf.DUMMYFUNCTION("IMPORTRANGE(""https://docs.google.com/spreadsheets/d/1p7ERhsr0qZeSn-KSOdeHS9r0heI-lHtkcn2OH7hP0jQ/edit?usp=sharing"",""ลำปาง!J709"")"),0)</f>
        <v>0</v>
      </c>
      <c r="AH26" s="181">
        <f ca="1">IFERROR(__xludf.DUMMYFUNCTION("IMPORTRANGE(""https://docs.google.com/spreadsheets/d/1p7ERhsr0qZeSn-KSOdeHS9r0heI-lHtkcn2OH7hP0jQ/edit?usp=sharing"",""ลำปาง!J710"")"),0)</f>
        <v>0</v>
      </c>
      <c r="AI26" s="181">
        <f ca="1">IFERROR(__xludf.DUMMYFUNCTION("IMPORTRANGE(""https://docs.google.com/spreadsheets/d/1p7ERhsr0qZeSn-KSOdeHS9r0heI-lHtkcn2OH7hP0jQ/edit?usp=sharing"",""ลำปาง!J712"")"),0)</f>
        <v>0</v>
      </c>
      <c r="AJ26" s="181">
        <f ca="1">IFERROR(__xludf.DUMMYFUNCTION("IMPORTRANGE(""https://docs.google.com/spreadsheets/d/1p7ERhsr0qZeSn-KSOdeHS9r0heI-lHtkcn2OH7hP0jQ/edit?usp=sharing"",""ลำปาง!J713"")"),0)</f>
        <v>0</v>
      </c>
      <c r="AK26" s="181">
        <f ca="1">IFERROR(__xludf.DUMMYFUNCTION("IMPORTRANGE(""https://docs.google.com/spreadsheets/d/1p7ERhsr0qZeSn-KSOdeHS9r0heI-lHtkcn2OH7hP0jQ/edit?usp=sharing"",""ลำปาง!J714"")"),0)</f>
        <v>0</v>
      </c>
      <c r="AL26" s="181">
        <f ca="1">IFERROR(__xludf.DUMMYFUNCTION("IMPORTRANGE(""https://docs.google.com/spreadsheets/d/1p7ERhsr0qZeSn-KSOdeHS9r0heI-lHtkcn2OH7hP0jQ/edit?usp=sharing"",""ลำปาง!J715"")"),0)</f>
        <v>0</v>
      </c>
      <c r="AM26" s="181">
        <f ca="1">IFERROR(__xludf.DUMMYFUNCTION("IMPORTRANGE(""https://docs.google.com/spreadsheets/d/1p7ERhsr0qZeSn-KSOdeHS9r0heI-lHtkcn2OH7hP0jQ/edit?usp=sharing"",""ลำปาง!J716"")"),0)</f>
        <v>0</v>
      </c>
      <c r="AN26" s="181">
        <f ca="1">IFERROR(__xludf.DUMMYFUNCTION("IMPORTRANGE(""https://docs.google.com/spreadsheets/d/1p7ERhsr0qZeSn-KSOdeHS9r0heI-lHtkcn2OH7hP0jQ/edit?usp=sharing"",""ลำปาง!J717"")"),0)</f>
        <v>0</v>
      </c>
      <c r="AO26" s="181">
        <f ca="1">IFERROR(__xludf.DUMMYFUNCTION("IMPORTRANGE(""https://docs.google.com/spreadsheets/d/1p7ERhsr0qZeSn-KSOdeHS9r0heI-lHtkcn2OH7hP0jQ/edit?usp=sharing"",""ลำปาง!I720"")"),0)</f>
        <v>0</v>
      </c>
      <c r="AP26" s="181">
        <f ca="1">IFERROR(__xludf.DUMMYFUNCTION("IMPORTRANGE(""https://docs.google.com/spreadsheets/d/1p7ERhsr0qZeSn-KSOdeHS9r0heI-lHtkcn2OH7hP0jQ/edit?usp=sharing"",""ลำปาง!J718"")"),0)</f>
        <v>0</v>
      </c>
      <c r="AQ26" s="181">
        <f ca="1">IFERROR(__xludf.DUMMYFUNCTION("IMPORTRANGE(""https://docs.google.com/spreadsheets/d/1p7ERhsr0qZeSn-KSOdeHS9r0heI-lHtkcn2OH7hP0jQ/edit?usp=sharing"",""ลำปาง!J719"")"),0)</f>
        <v>0</v>
      </c>
      <c r="AR26" s="181">
        <f ca="1">IFERROR(__xludf.DUMMYFUNCTION("IMPORTRANGE(""https://docs.google.com/spreadsheets/d/1p7ERhsr0qZeSn-KSOdeHS9r0heI-lHtkcn2OH7hP0jQ/edit?usp=sharing"",""ลำปาง!J720"")"),0)</f>
        <v>0</v>
      </c>
      <c r="AS26" s="186">
        <f t="shared" ca="1" si="14"/>
        <v>0</v>
      </c>
      <c r="AT26" s="181">
        <f ca="1">IFERROR(__xludf.DUMMYFUNCTION("IMPORTRANGE(""https://docs.google.com/spreadsheets/d/1p7ERhsr0qZeSn-KSOdeHS9r0heI-lHtkcn2OH7hP0jQ/edit?usp=sharing"",""ลำปาง!I721"")"),0)</f>
        <v>0</v>
      </c>
      <c r="AU26" s="181">
        <f ca="1">IFERROR(__xludf.DUMMYFUNCTION("IMPORTRANGE(""https://docs.google.com/spreadsheets/d/1p7ERhsr0qZeSn-KSOdeHS9r0heI-lHtkcn2OH7hP0jQ/edit?usp=sharing"",""ลำปาง!I722"")"),0)</f>
        <v>0</v>
      </c>
      <c r="AV26" s="181">
        <f ca="1">IFERROR(__xludf.DUMMYFUNCTION("IMPORTRANGE(""https://docs.google.com/spreadsheets/d/1p7ERhsr0qZeSn-KSOdeHS9r0heI-lHtkcn2OH7hP0jQ/edit?usp=sharing"",""ลำปาง!J721"")"),0)</f>
        <v>0</v>
      </c>
      <c r="AW26" s="186">
        <f t="shared" ca="1" si="16"/>
        <v>0</v>
      </c>
      <c r="AX26" s="181">
        <f ca="1">IFERROR(__xludf.DUMMYFUNCTION("IMPORTRANGE(""https://docs.google.com/spreadsheets/d/1p7ERhsr0qZeSn-KSOdeHS9r0heI-lHtkcn2OH7hP0jQ/edit?usp=sharing"",""ลำปาง!J722"")"),0)</f>
        <v>0</v>
      </c>
      <c r="AY26" s="186">
        <f t="shared" ca="1" si="17"/>
        <v>0</v>
      </c>
      <c r="AZ26" s="181">
        <f ca="1">IFERROR(__xludf.DUMMYFUNCTION("IMPORTRANGE(""https://docs.google.com/spreadsheets/d/1p7ERhsr0qZeSn-KSOdeHS9r0heI-lHtkcn2OH7hP0jQ/edit?usp=sharing"",""ลำปาง!I723"")"),0)</f>
        <v>0</v>
      </c>
      <c r="BA26" s="181">
        <f ca="1">IFERROR(__xludf.DUMMYFUNCTION("IMPORTRANGE(""https://docs.google.com/spreadsheets/d/1p7ERhsr0qZeSn-KSOdeHS9r0heI-lHtkcn2OH7hP0jQ/edit?usp=sharing"",""ลำปาง!I725"")"),0)</f>
        <v>0</v>
      </c>
      <c r="BB26" s="181">
        <f ca="1">IFERROR(__xludf.DUMMYFUNCTION("IMPORTRANGE(""https://docs.google.com/spreadsheets/d/1p7ERhsr0qZeSn-KSOdeHS9r0heI-lHtkcn2OH7hP0jQ/edit?usp=sharing"",""ลำปาง!J723"")"),0)</f>
        <v>0</v>
      </c>
      <c r="BC26" s="181">
        <f ca="1">IFERROR(__xludf.DUMMYFUNCTION("IMPORTRANGE(""https://docs.google.com/spreadsheets/d/1p7ERhsr0qZeSn-KSOdeHS9r0heI-lHtkcn2OH7hP0jQ/edit?usp=sharing"",""ลำปาง!J724"")"),0)</f>
        <v>0</v>
      </c>
      <c r="BD26" s="181">
        <f ca="1">IFERROR(__xludf.DUMMYFUNCTION("IMPORTRANGE(""https://docs.google.com/spreadsheets/d/1p7ERhsr0qZeSn-KSOdeHS9r0heI-lHtkcn2OH7hP0jQ/edit?usp=sharing"",""ลำปาง!J725"")"),0)</f>
        <v>0</v>
      </c>
      <c r="BE26" s="181">
        <f ca="1">IFERROR(__xludf.DUMMYFUNCTION("IMPORTRANGE(""https://docs.google.com/spreadsheets/d/1p7ERhsr0qZeSn-KSOdeHS9r0heI-lHtkcn2OH7hP0jQ/edit?usp=sharing"",""ลำปาง!I726"")"),0)</f>
        <v>0</v>
      </c>
      <c r="BF26" s="181">
        <f ca="1">IFERROR(__xludf.DUMMYFUNCTION("IMPORTRANGE(""https://docs.google.com/spreadsheets/d/1p7ERhsr0qZeSn-KSOdeHS9r0heI-lHtkcn2OH7hP0jQ/edit?usp=sharing"",""ลำปาง!I728"")"),0)</f>
        <v>0</v>
      </c>
      <c r="BG26" s="181">
        <f ca="1">IFERROR(__xludf.DUMMYFUNCTION("IMPORTRANGE(""https://docs.google.com/spreadsheets/d/1p7ERhsr0qZeSn-KSOdeHS9r0heI-lHtkcn2OH7hP0jQ/edit?usp=sharing"",""ลำปาง!J726"")"),0)</f>
        <v>0</v>
      </c>
      <c r="BH26" s="181">
        <f ca="1">IFERROR(__xludf.DUMMYFUNCTION("IMPORTRANGE(""https://docs.google.com/spreadsheets/d/1p7ERhsr0qZeSn-KSOdeHS9r0heI-lHtkcn2OH7hP0jQ/edit?usp=sharing"",""ลำปาง!J727"")"),0)</f>
        <v>0</v>
      </c>
      <c r="BI26" s="181">
        <f ca="1">IFERROR(__xludf.DUMMYFUNCTION("IMPORTRANGE(""https://docs.google.com/spreadsheets/d/1p7ERhsr0qZeSn-KSOdeHS9r0heI-lHtkcn2OH7hP0jQ/edit?usp=sharing"",""ลำปาง!J728"")"),0)</f>
        <v>0</v>
      </c>
      <c r="BJ26" s="181">
        <f ca="1">IFERROR(__xludf.DUMMYFUNCTION("IMPORTRANGE(""https://docs.google.com/spreadsheets/d/1p7ERhsr0qZeSn-KSOdeHS9r0heI-lHtkcn2OH7hP0jQ/edit?usp=sharing"",""ลำปาง!I729"")"),0)</f>
        <v>0</v>
      </c>
      <c r="BK26" s="181">
        <f ca="1">IFERROR(__xludf.DUMMYFUNCTION("IMPORTRANGE(""https://docs.google.com/spreadsheets/d/1p7ERhsr0qZeSn-KSOdeHS9r0heI-lHtkcn2OH7hP0jQ/edit?usp=sharing"",""ลำปาง!J729"")"),0)</f>
        <v>0</v>
      </c>
      <c r="BL26" s="186">
        <f t="shared" ca="1" si="19"/>
        <v>0</v>
      </c>
      <c r="BM26" s="181">
        <f ca="1">IFERROR(__xludf.DUMMYFUNCTION("IMPORTRANGE(""https://docs.google.com/spreadsheets/d/1p7ERhsr0qZeSn-KSOdeHS9r0heI-lHtkcn2OH7hP0jQ/edit?usp=sharing"",""ลำปาง!J730"")"),0)</f>
        <v>0</v>
      </c>
      <c r="BN26" s="181">
        <f ca="1">IFERROR(__xludf.DUMMYFUNCTION("IMPORTRANGE(""https://docs.google.com/spreadsheets/d/1p7ERhsr0qZeSn-KSOdeHS9r0heI-lHtkcn2OH7hP0jQ/edit?usp=sharing"",""ลำปาง!J731"")"),0)</f>
        <v>0</v>
      </c>
      <c r="BO26" s="181">
        <f ca="1">IFERROR(__xludf.DUMMYFUNCTION("IMPORTRANGE(""https://docs.google.com/spreadsheets/d/1p7ERhsr0qZeSn-KSOdeHS9r0heI-lHtkcn2OH7hP0jQ/edit?usp=sharing"",""ลำปาง!J732"")"),0)</f>
        <v>0</v>
      </c>
      <c r="BP26" s="181">
        <f ca="1">IFERROR(__xludf.DUMMYFUNCTION("IMPORTRANGE(""https://docs.google.com/spreadsheets/d/1p7ERhsr0qZeSn-KSOdeHS9r0heI-lHtkcn2OH7hP0jQ/edit?usp=sharing"",""ลำปาง!J733"")"),0)</f>
        <v>0</v>
      </c>
      <c r="BQ26" s="181">
        <f ca="1">IFERROR(__xludf.DUMMYFUNCTION("IMPORTRANGE(""https://docs.google.com/spreadsheets/d/1p7ERhsr0qZeSn-KSOdeHS9r0heI-lHtkcn2OH7hP0jQ/edit?usp=sharing"",""ลำปาง!J734"")"),0)</f>
        <v>0</v>
      </c>
      <c r="BR26" s="181">
        <f ca="1">IFERROR(__xludf.DUMMYFUNCTION("IMPORTRANGE(""https://docs.google.com/spreadsheets/d/1p7ERhsr0qZeSn-KSOdeHS9r0heI-lHtkcn2OH7hP0jQ/edit?usp=sharing"",""ลำปาง!J735"")"),0)</f>
        <v>0</v>
      </c>
    </row>
    <row r="27" spans="1:70" ht="24" customHeight="1" x14ac:dyDescent="0.3">
      <c r="A27" s="178">
        <v>14</v>
      </c>
      <c r="B27" s="179" t="s">
        <v>44</v>
      </c>
      <c r="C27" s="180">
        <f t="shared" ca="1" si="46"/>
        <v>40200</v>
      </c>
      <c r="D27" s="181">
        <f ca="1">IFERROR(__xludf.DUMMYFUNCTION("IMPORTRANGE(""https://docs.google.com/spreadsheets/d/1-uUXvimVhiU2U0bMN-xi2te0tS4X7DI2GLPnMjzl8cA/edit?usp=sharing"",""ลำพูน!L690"")"),40200)</f>
        <v>40200</v>
      </c>
      <c r="E27" s="187">
        <f ca="1">IFERROR(__xludf.DUMMYFUNCTION("IMPORTRANGE(""https://docs.google.com/spreadsheets/d/1-uUXvimVhiU2U0bMN-xi2te0tS4X7DI2GLPnMjzl8cA/edit?usp=sharing"",""ลำพูน!L697"")"),0)</f>
        <v>0</v>
      </c>
      <c r="F27" s="182">
        <f t="shared" ca="1" si="1"/>
        <v>1000</v>
      </c>
      <c r="G27" s="183">
        <f t="shared" ca="1" si="2"/>
        <v>2.4875621890547261</v>
      </c>
      <c r="H27" s="184">
        <f t="shared" ca="1" si="47"/>
        <v>1000</v>
      </c>
      <c r="I27" s="187">
        <f ca="1">IFERROR(__xludf.DUMMYFUNCTION("IMPORTRANGE(""https://docs.google.com/spreadsheets/d/1-uUXvimVhiU2U0bMN-xi2te0tS4X7DI2GLPnMjzl8cA/edit?usp=sharing"",""ลำพูน!N691"")"),0)</f>
        <v>0</v>
      </c>
      <c r="J27" s="187">
        <f ca="1">IFERROR(__xludf.DUMMYFUNCTION("IMPORTRANGE(""https://docs.google.com/spreadsheets/d/1-uUXvimVhiU2U0bMN-xi2te0tS4X7DI2GLPnMjzl8cA/edit?usp=sharing"",""ลำพูน!N692"")"),0)</f>
        <v>0</v>
      </c>
      <c r="K27" s="187">
        <f ca="1">IFERROR(__xludf.DUMMYFUNCTION("IMPORTRANGE(""https://docs.google.com/spreadsheets/d/1-uUXvimVhiU2U0bMN-xi2te0tS4X7DI2GLPnMjzl8cA/edit?usp=sharing"",""ลำพูน!N693"")"),0)</f>
        <v>0</v>
      </c>
      <c r="L27" s="187">
        <f ca="1">IFERROR(__xludf.DUMMYFUNCTION("IMPORTRANGE(""https://docs.google.com/spreadsheets/d/1-uUXvimVhiU2U0bMN-xi2te0tS4X7DI2GLPnMjzl8cA/edit?usp=sharing"",""ลำพูน!N694"")"),1000)</f>
        <v>1000</v>
      </c>
      <c r="M27" s="185">
        <f ca="1">IFERROR(__xludf.DUMMYFUNCTION("IMPORTRANGE(""https://docs.google.com/spreadsheets/d/1-uUXvimVhiU2U0bMN-xi2te0tS4X7DI2GLPnMjzl8cA/edit?usp=sharing"",""ลำพูน!N697"")"),0)</f>
        <v>0</v>
      </c>
      <c r="N27" s="185">
        <f t="shared" ca="1" si="37"/>
        <v>0</v>
      </c>
      <c r="O27" s="181">
        <f ca="1">IFERROR(__xludf.DUMMYFUNCTION("IMPORTRANGE(""https://docs.google.com/spreadsheets/d/1-uUXvimVhiU2U0bMN-xi2te0tS4X7DI2GLPnMjzl8cA/edit?usp=sharing"",""ลำพูน!I699"")"),0)</f>
        <v>0</v>
      </c>
      <c r="P27" s="181">
        <f ca="1">IFERROR(__xludf.DUMMYFUNCTION("IMPORTRANGE(""https://docs.google.com/spreadsheets/d/1-uUXvimVhiU2U0bMN-xi2te0tS4X7DI2GLPnMjzl8cA/edit?usp=sharing"",""ลำพูน!J699"")"),0)</f>
        <v>0</v>
      </c>
      <c r="Q27" s="186">
        <f t="shared" ca="1" si="31"/>
        <v>0</v>
      </c>
      <c r="R27" s="181">
        <f ca="1">IFERROR(__xludf.DUMMYFUNCTION("IMPORTRANGE(""https://docs.google.com/spreadsheets/d/1-uUXvimVhiU2U0bMN-xi2te0tS4X7DI2GLPnMjzl8cA/edit?usp=sharing"",""ลำพูน!I700"")"),30)</f>
        <v>30</v>
      </c>
      <c r="S27" s="181">
        <f ca="1">IFERROR(__xludf.DUMMYFUNCTION("IMPORTRANGE(""https://docs.google.com/spreadsheets/d/1-uUXvimVhiU2U0bMN-xi2te0tS4X7DI2GLPnMjzl8cA/edit?usp=sharing"",""ลำพูน!J700"")"),3)</f>
        <v>3</v>
      </c>
      <c r="T27" s="186">
        <f t="shared" ca="1" si="32"/>
        <v>10</v>
      </c>
      <c r="U27" s="181">
        <f ca="1">IFERROR(__xludf.DUMMYFUNCTION("IMPORTRANGE(""https://docs.google.com/spreadsheets/d/1-uUXvimVhiU2U0bMN-xi2te0tS4X7DI2GLPnMjzl8cA/edit?usp=sharing"",""ลำพูน!I701"")"),200)</f>
        <v>200</v>
      </c>
      <c r="V27" s="181">
        <f ca="1">IFERROR(__xludf.DUMMYFUNCTION("IMPORTRANGE(""https://docs.google.com/spreadsheets/d/1-uUXvimVhiU2U0bMN-xi2te0tS4X7DI2GLPnMjzl8cA/edit?usp=sharing"",""ลำพูน!J701"")"),0)</f>
        <v>0</v>
      </c>
      <c r="W27" s="186">
        <f t="shared" ca="1" si="33"/>
        <v>0</v>
      </c>
      <c r="X27" s="186">
        <f ca="1">IFERROR(__xludf.DUMMYFUNCTION("IMPORTRANGE(""https://docs.google.com/spreadsheets/d/1-uUXvimVhiU2U0bMN-xi2te0tS4X7DI2GLPnMjzl8cA/edit?usp=sharing"",""ลำพูน!J702"")"),0)</f>
        <v>0</v>
      </c>
      <c r="Y27" s="186">
        <f ca="1">IFERROR(__xludf.DUMMYFUNCTION("IMPORTRANGE(""https://docs.google.com/spreadsheets/d/1-uUXvimVhiU2U0bMN-xi2te0tS4X7DI2GLPnMjzl8cA/edit?usp=sharing"",""ลำพูน!J703"")"),0)</f>
        <v>0</v>
      </c>
      <c r="Z27" s="186">
        <f ca="1">IFERROR(__xludf.DUMMYFUNCTION("IMPORTRANGE(""https://docs.google.com/spreadsheets/d/1-uUXvimVhiU2U0bMN-xi2te0tS4X7DI2GLPnMjzl8cA/edit?usp=sharing"",""ลำพูน!J704"")"),0)</f>
        <v>0</v>
      </c>
      <c r="AA27" s="186">
        <f ca="1">IFERROR(__xludf.DUMMYFUNCTION("IMPORTRANGE(""https://docs.google.com/spreadsheets/d/1-uUXvimVhiU2U0bMN-xi2te0tS4X7DI2GLPnMjzl8cA/edit?usp=sharing"",""ลำพูน!J705"")"),0)</f>
        <v>0</v>
      </c>
      <c r="AB27" s="186">
        <f ca="1">IFERROR(__xludf.DUMMYFUNCTION("IMPORTRANGE(""https://docs.google.com/spreadsheets/d/1-uUXvimVhiU2U0bMN-xi2te0tS4X7DI2GLPnMjzl8cA/edit?usp=sharing"",""ลำพูน!J706"")"),0)</f>
        <v>0</v>
      </c>
      <c r="AC27" s="186">
        <f ca="1">IFERROR(__xludf.DUMMYFUNCTION("IMPORTRANGE(""https://docs.google.com/spreadsheets/d/1-uUXvimVhiU2U0bMN-xi2te0tS4X7DI2GLPnMjzl8cA/edit?usp=sharing"",""ลำพูน!J707"")"),0)</f>
        <v>0</v>
      </c>
      <c r="AD27" s="181">
        <f ca="1">IFERROR(__xludf.DUMMYFUNCTION("IMPORTRANGE(""https://docs.google.com/spreadsheets/d/1-uUXvimVhiU2U0bMN-xi2te0tS4X7DI2GLPnMjzl8cA/edit?usp=sharing"",""ลำพูน!I708"")"),100)</f>
        <v>100</v>
      </c>
      <c r="AE27" s="181">
        <f ca="1">IFERROR(__xludf.DUMMYFUNCTION("IMPORTRANGE(""https://docs.google.com/spreadsheets/d/1-uUXvimVhiU2U0bMN-xi2te0tS4X7DI2GLPnMjzl8cA/edit?usp=sharing"",""ลำพูน!J708"")"),0)</f>
        <v>0</v>
      </c>
      <c r="AF27" s="186">
        <f t="shared" ca="1" si="34"/>
        <v>0</v>
      </c>
      <c r="AG27" s="181">
        <f ca="1">IFERROR(__xludf.DUMMYFUNCTION("IMPORTRANGE(""https://docs.google.com/spreadsheets/d/1-uUXvimVhiU2U0bMN-xi2te0tS4X7DI2GLPnMjzl8cA/edit?usp=sharing"",""ลำพูน!J709"")"),0)</f>
        <v>0</v>
      </c>
      <c r="AH27" s="181">
        <f ca="1">IFERROR(__xludf.DUMMYFUNCTION("IMPORTRANGE(""https://docs.google.com/spreadsheets/d/1-uUXvimVhiU2U0bMN-xi2te0tS4X7DI2GLPnMjzl8cA/edit?usp=sharing"",""ลำพูน!J710"")"),0)</f>
        <v>0</v>
      </c>
      <c r="AI27" s="181">
        <f ca="1">IFERROR(__xludf.DUMMYFUNCTION("IMPORTRANGE(""https://docs.google.com/spreadsheets/d/1-uUXvimVhiU2U0bMN-xi2te0tS4X7DI2GLPnMjzl8cA/edit?usp=sharing"",""ลำพูน!J712"")"),0)</f>
        <v>0</v>
      </c>
      <c r="AJ27" s="181">
        <f ca="1">IFERROR(__xludf.DUMMYFUNCTION("IMPORTRANGE(""https://docs.google.com/spreadsheets/d/1-uUXvimVhiU2U0bMN-xi2te0tS4X7DI2GLPnMjzl8cA/edit?usp=sharing"",""ลำพูน!J713"")"),0)</f>
        <v>0</v>
      </c>
      <c r="AK27" s="181">
        <f ca="1">IFERROR(__xludf.DUMMYFUNCTION("IMPORTRANGE(""https://docs.google.com/spreadsheets/d/1-uUXvimVhiU2U0bMN-xi2te0tS4X7DI2GLPnMjzl8cA/edit?usp=sharing"",""ลำพูน!J714"")"),0)</f>
        <v>0</v>
      </c>
      <c r="AL27" s="181">
        <f ca="1">IFERROR(__xludf.DUMMYFUNCTION("IMPORTRANGE(""https://docs.google.com/spreadsheets/d/1-uUXvimVhiU2U0bMN-xi2te0tS4X7DI2GLPnMjzl8cA/edit?usp=sharing"",""ลำพูน!J715"")"),0)</f>
        <v>0</v>
      </c>
      <c r="AM27" s="181">
        <f ca="1">IFERROR(__xludf.DUMMYFUNCTION("IMPORTRANGE(""https://docs.google.com/spreadsheets/d/1-uUXvimVhiU2U0bMN-xi2te0tS4X7DI2GLPnMjzl8cA/edit?usp=sharing"",""ลำพูน!J716"")"),0)</f>
        <v>0</v>
      </c>
      <c r="AN27" s="181">
        <f ca="1">IFERROR(__xludf.DUMMYFUNCTION("IMPORTRANGE(""https://docs.google.com/spreadsheets/d/1-uUXvimVhiU2U0bMN-xi2te0tS4X7DI2GLPnMjzl8cA/edit?usp=sharing"",""ลำพูน!J717"")"),0)</f>
        <v>0</v>
      </c>
      <c r="AO27" s="181">
        <f ca="1">IFERROR(__xludf.DUMMYFUNCTION("IMPORTRANGE(""https://docs.google.com/spreadsheets/d/1-uUXvimVhiU2U0bMN-xi2te0tS4X7DI2GLPnMjzl8cA/edit?usp=sharing"",""ลำพูน!I720"")"),400)</f>
        <v>400</v>
      </c>
      <c r="AP27" s="181">
        <f ca="1">IFERROR(__xludf.DUMMYFUNCTION("IMPORTRANGE(""https://docs.google.com/spreadsheets/d/1-uUXvimVhiU2U0bMN-xi2te0tS4X7DI2GLPnMjzl8cA/edit?usp=sharing"",""ลำพูน!J718"")"),0)</f>
        <v>0</v>
      </c>
      <c r="AQ27" s="181">
        <f ca="1">IFERROR(__xludf.DUMMYFUNCTION("IMPORTRANGE(""https://docs.google.com/spreadsheets/d/1-uUXvimVhiU2U0bMN-xi2te0tS4X7DI2GLPnMjzl8cA/edit?usp=sharing"",""ลำพูน!J719"")"),0)</f>
        <v>0</v>
      </c>
      <c r="AR27" s="181">
        <f ca="1">IFERROR(__xludf.DUMMYFUNCTION("IMPORTRANGE(""https://docs.google.com/spreadsheets/d/1-uUXvimVhiU2U0bMN-xi2te0tS4X7DI2GLPnMjzl8cA/edit?usp=sharing"",""ลำพูน!J720"")"),0)</f>
        <v>0</v>
      </c>
      <c r="AS27" s="186">
        <f t="shared" ca="1" si="14"/>
        <v>0</v>
      </c>
      <c r="AT27" s="181">
        <f ca="1">IFERROR(__xludf.DUMMYFUNCTION("IMPORTRANGE(""https://docs.google.com/spreadsheets/d/1-uUXvimVhiU2U0bMN-xi2te0tS4X7DI2GLPnMjzl8cA/edit?usp=sharing"",""ลำพูน!I721"")"),30)</f>
        <v>30</v>
      </c>
      <c r="AU27" s="181">
        <f ca="1">IFERROR(__xludf.DUMMYFUNCTION("IMPORTRANGE(""https://docs.google.com/spreadsheets/d/1-uUXvimVhiU2U0bMN-xi2te0tS4X7DI2GLPnMjzl8cA/edit?usp=sharing"",""ลำพูน!I722"")"),300)</f>
        <v>300</v>
      </c>
      <c r="AV27" s="181">
        <f ca="1">IFERROR(__xludf.DUMMYFUNCTION("IMPORTRANGE(""https://docs.google.com/spreadsheets/d/1-uUXvimVhiU2U0bMN-xi2te0tS4X7DI2GLPnMjzl8cA/edit?usp=sharing"",""ลำพูน!J721"")"),0)</f>
        <v>0</v>
      </c>
      <c r="AW27" s="186">
        <f t="shared" ca="1" si="16"/>
        <v>0</v>
      </c>
      <c r="AX27" s="181">
        <f ca="1">IFERROR(__xludf.DUMMYFUNCTION("IMPORTRANGE(""https://docs.google.com/spreadsheets/d/1-uUXvimVhiU2U0bMN-xi2te0tS4X7DI2GLPnMjzl8cA/edit?usp=sharing"",""ลำพูน!J722"")"),0)</f>
        <v>0</v>
      </c>
      <c r="AY27" s="186">
        <f t="shared" ca="1" si="17"/>
        <v>0</v>
      </c>
      <c r="AZ27" s="181">
        <f ca="1">IFERROR(__xludf.DUMMYFUNCTION("IMPORTRANGE(""https://docs.google.com/spreadsheets/d/1-uUXvimVhiU2U0bMN-xi2te0tS4X7DI2GLPnMjzl8cA/edit?usp=sharing"",""ลำพูน!I723"")"),20)</f>
        <v>20</v>
      </c>
      <c r="BA27" s="181">
        <f ca="1">IFERROR(__xludf.DUMMYFUNCTION("IMPORTRANGE(""https://docs.google.com/spreadsheets/d/1-uUXvimVhiU2U0bMN-xi2te0tS4X7DI2GLPnMjzl8cA/edit?usp=sharing"",""ลำพูน!I725"")"),200)</f>
        <v>200</v>
      </c>
      <c r="BB27" s="181">
        <f ca="1">IFERROR(__xludf.DUMMYFUNCTION("IMPORTRANGE(""https://docs.google.com/spreadsheets/d/1-uUXvimVhiU2U0bMN-xi2te0tS4X7DI2GLPnMjzl8cA/edit?usp=sharing"",""ลำพูน!J723"")"),0)</f>
        <v>0</v>
      </c>
      <c r="BC27" s="181">
        <f ca="1">IFERROR(__xludf.DUMMYFUNCTION("IMPORTRANGE(""https://docs.google.com/spreadsheets/d/1-uUXvimVhiU2U0bMN-xi2te0tS4X7DI2GLPnMjzl8cA/edit?usp=sharing"",""ลำพูน!J724"")"),0)</f>
        <v>0</v>
      </c>
      <c r="BD27" s="181">
        <f ca="1">IFERROR(__xludf.DUMMYFUNCTION("IMPORTRANGE(""https://docs.google.com/spreadsheets/d/1-uUXvimVhiU2U0bMN-xi2te0tS4X7DI2GLPnMjzl8cA/edit?usp=sharing"",""ลำพูน!J725"")"),0)</f>
        <v>0</v>
      </c>
      <c r="BE27" s="181">
        <f ca="1">IFERROR(__xludf.DUMMYFUNCTION("IMPORTRANGE(""https://docs.google.com/spreadsheets/d/1-uUXvimVhiU2U0bMN-xi2te0tS4X7DI2GLPnMjzl8cA/edit?usp=sharing"",""ลำพูน!I726"")"),10)</f>
        <v>10</v>
      </c>
      <c r="BF27" s="181">
        <f ca="1">IFERROR(__xludf.DUMMYFUNCTION("IMPORTRANGE(""https://docs.google.com/spreadsheets/d/1-uUXvimVhiU2U0bMN-xi2te0tS4X7DI2GLPnMjzl8cA/edit?usp=sharing"",""ลำพูน!I728"")"),100)</f>
        <v>100</v>
      </c>
      <c r="BG27" s="181">
        <f ca="1">IFERROR(__xludf.DUMMYFUNCTION("IMPORTRANGE(""https://docs.google.com/spreadsheets/d/1-uUXvimVhiU2U0bMN-xi2te0tS4X7DI2GLPnMjzl8cA/edit?usp=sharing"",""ลำพูน!J726"")"),0)</f>
        <v>0</v>
      </c>
      <c r="BH27" s="181">
        <f ca="1">IFERROR(__xludf.DUMMYFUNCTION("IMPORTRANGE(""https://docs.google.com/spreadsheets/d/1-uUXvimVhiU2U0bMN-xi2te0tS4X7DI2GLPnMjzl8cA/edit?usp=sharing"",""ลำพูน!J727"")"),0)</f>
        <v>0</v>
      </c>
      <c r="BI27" s="181">
        <f ca="1">IFERROR(__xludf.DUMMYFUNCTION("IMPORTRANGE(""https://docs.google.com/spreadsheets/d/1-uUXvimVhiU2U0bMN-xi2te0tS4X7DI2GLPnMjzl8cA/edit?usp=sharing"",""ลำพูน!J728"")"),0)</f>
        <v>0</v>
      </c>
      <c r="BJ27" s="181">
        <f ca="1">IFERROR(__xludf.DUMMYFUNCTION("IMPORTRANGE(""https://docs.google.com/spreadsheets/d/1-uUXvimVhiU2U0bMN-xi2te0tS4X7DI2GLPnMjzl8cA/edit?usp=sharing"",""ลำพูน!I729"")"),40)</f>
        <v>40</v>
      </c>
      <c r="BK27" s="181">
        <f ca="1">IFERROR(__xludf.DUMMYFUNCTION("IMPORTRANGE(""https://docs.google.com/spreadsheets/d/1-uUXvimVhiU2U0bMN-xi2te0tS4X7DI2GLPnMjzl8cA/edit?usp=sharing"",""ลำพูน!J729"")"),0)</f>
        <v>0</v>
      </c>
      <c r="BL27" s="186">
        <f t="shared" ca="1" si="19"/>
        <v>0</v>
      </c>
      <c r="BM27" s="181">
        <f ca="1">IFERROR(__xludf.DUMMYFUNCTION("IMPORTRANGE(""https://docs.google.com/spreadsheets/d/1-uUXvimVhiU2U0bMN-xi2te0tS4X7DI2GLPnMjzl8cA/edit?usp=sharing"",""ลำพูน!J730"")"),0)</f>
        <v>0</v>
      </c>
      <c r="BN27" s="181">
        <f ca="1">IFERROR(__xludf.DUMMYFUNCTION("IMPORTRANGE(""https://docs.google.com/spreadsheets/d/1-uUXvimVhiU2U0bMN-xi2te0tS4X7DI2GLPnMjzl8cA/edit?usp=sharing"",""ลำพูน!J731"")"),0)</f>
        <v>0</v>
      </c>
      <c r="BO27" s="181">
        <f ca="1">IFERROR(__xludf.DUMMYFUNCTION("IMPORTRANGE(""https://docs.google.com/spreadsheets/d/1-uUXvimVhiU2U0bMN-xi2te0tS4X7DI2GLPnMjzl8cA/edit?usp=sharing"",""ลำพูน!J732"")"),0)</f>
        <v>0</v>
      </c>
      <c r="BP27" s="181">
        <f ca="1">IFERROR(__xludf.DUMMYFUNCTION("IMPORTRANGE(""https://docs.google.com/spreadsheets/d/1-uUXvimVhiU2U0bMN-xi2te0tS4X7DI2GLPnMjzl8cA/edit?usp=sharing"",""ลำพูน!J733"")"),0)</f>
        <v>0</v>
      </c>
      <c r="BQ27" s="181">
        <f ca="1">IFERROR(__xludf.DUMMYFUNCTION("IMPORTRANGE(""https://docs.google.com/spreadsheets/d/1-uUXvimVhiU2U0bMN-xi2te0tS4X7DI2GLPnMjzl8cA/edit?usp=sharing"",""ลำพูน!J734"")"),0)</f>
        <v>0</v>
      </c>
      <c r="BR27" s="181">
        <f ca="1">IFERROR(__xludf.DUMMYFUNCTION("IMPORTRANGE(""https://docs.google.com/spreadsheets/d/1-uUXvimVhiU2U0bMN-xi2te0tS4X7DI2GLPnMjzl8cA/edit?usp=sharing"",""ลำพูน!J735"")"),0)</f>
        <v>0</v>
      </c>
    </row>
    <row r="28" spans="1:70" ht="24" customHeight="1" x14ac:dyDescent="0.3">
      <c r="A28" s="178">
        <v>15</v>
      </c>
      <c r="B28" s="179" t="s">
        <v>45</v>
      </c>
      <c r="C28" s="180">
        <f t="shared" ca="1" si="46"/>
        <v>3060</v>
      </c>
      <c r="D28" s="181">
        <f ca="1">IFERROR(__xludf.DUMMYFUNCTION("IMPORTRANGE(""https://docs.google.com/spreadsheets/d/17HrOaa5pBUI1onckFfumXB8xlg35qb2uBAFfF1D-Myo/edit?usp=sharing"",""สุโขทัย!L690"")"),3060)</f>
        <v>3060</v>
      </c>
      <c r="E28" s="187">
        <f ca="1">IFERROR(__xludf.DUMMYFUNCTION("IMPORTRANGE(""https://docs.google.com/spreadsheets/d/17HrOaa5pBUI1onckFfumXB8xlg35qb2uBAFfF1D-Myo/edit?usp=sharing"",""สุโขทัย!L697"")"),0)</f>
        <v>0</v>
      </c>
      <c r="F28" s="182">
        <f t="shared" ca="1" si="1"/>
        <v>0</v>
      </c>
      <c r="G28" s="183">
        <f t="shared" ca="1" si="2"/>
        <v>0</v>
      </c>
      <c r="H28" s="184">
        <f t="shared" ca="1" si="47"/>
        <v>0</v>
      </c>
      <c r="I28" s="187">
        <f ca="1">IFERROR(__xludf.DUMMYFUNCTION("IMPORTRANGE(""https://docs.google.com/spreadsheets/d/17HrOaa5pBUI1onckFfumXB8xlg35qb2uBAFfF1D-Myo/edit?usp=sharing"",""สุโขทัย!N691"")"),0)</f>
        <v>0</v>
      </c>
      <c r="J28" s="187">
        <f ca="1">IFERROR(__xludf.DUMMYFUNCTION("IMPORTRANGE(""https://docs.google.com/spreadsheets/d/17HrOaa5pBUI1onckFfumXB8xlg35qb2uBAFfF1D-Myo/edit?usp=sharing"",""สุโขทัย!N692"")"),0)</f>
        <v>0</v>
      </c>
      <c r="K28" s="187">
        <f ca="1">IFERROR(__xludf.DUMMYFUNCTION("IMPORTRANGE(""https://docs.google.com/spreadsheets/d/17HrOaa5pBUI1onckFfumXB8xlg35qb2uBAFfF1D-Myo/edit?usp=sharing"",""สุโขทัย!N693"")"),0)</f>
        <v>0</v>
      </c>
      <c r="L28" s="187">
        <f ca="1">IFERROR(__xludf.DUMMYFUNCTION("IMPORTRANGE(""https://docs.google.com/spreadsheets/d/17HrOaa5pBUI1onckFfumXB8xlg35qb2uBAFfF1D-Myo/edit?usp=sharing"",""สุโขทัย!N694"")"),0)</f>
        <v>0</v>
      </c>
      <c r="M28" s="185">
        <f ca="1">IFERROR(__xludf.DUMMYFUNCTION("IMPORTRANGE(""https://docs.google.com/spreadsheets/d/17HrOaa5pBUI1onckFfumXB8xlg35qb2uBAFfF1D-Myo/edit?usp=sharing"",""สุโขทัย!N697"")"),0)</f>
        <v>0</v>
      </c>
      <c r="N28" s="185">
        <f t="shared" ca="1" si="37"/>
        <v>0</v>
      </c>
      <c r="O28" s="181">
        <f ca="1">IFERROR(__xludf.DUMMYFUNCTION("IMPORTRANGE(""https://docs.google.com/spreadsheets/d/17HrOaa5pBUI1onckFfumXB8xlg35qb2uBAFfF1D-Myo/edit?usp=sharing"",""สุโขทัย!I699"")"),0)</f>
        <v>0</v>
      </c>
      <c r="P28" s="181">
        <f ca="1">IFERROR(__xludf.DUMMYFUNCTION("IMPORTRANGE(""https://docs.google.com/spreadsheets/d/17HrOaa5pBUI1onckFfumXB8xlg35qb2uBAFfF1D-Myo/edit?usp=sharing"",""สุโขทัย!J699"")"),0)</f>
        <v>0</v>
      </c>
      <c r="Q28" s="186">
        <f t="shared" ca="1" si="31"/>
        <v>0</v>
      </c>
      <c r="R28" s="181">
        <f ca="1">IFERROR(__xludf.DUMMYFUNCTION("IMPORTRANGE(""https://docs.google.com/spreadsheets/d/17HrOaa5pBUI1onckFfumXB8xlg35qb2uBAFfF1D-Myo/edit?usp=sharing"",""สุโขทัย!I700"")"),0)</f>
        <v>0</v>
      </c>
      <c r="S28" s="181">
        <f ca="1">IFERROR(__xludf.DUMMYFUNCTION("IMPORTRANGE(""https://docs.google.com/spreadsheets/d/17HrOaa5pBUI1onckFfumXB8xlg35qb2uBAFfF1D-Myo/edit?usp=sharing"",""สุโขทัย!J700"")"),0)</f>
        <v>0</v>
      </c>
      <c r="T28" s="186">
        <f t="shared" ca="1" si="32"/>
        <v>0</v>
      </c>
      <c r="U28" s="181">
        <f ca="1">IFERROR(__xludf.DUMMYFUNCTION("IMPORTRANGE(""https://docs.google.com/spreadsheets/d/17HrOaa5pBUI1onckFfumXB8xlg35qb2uBAFfF1D-Myo/edit?usp=sharing"",""สุโขทัย!I701"")"),70)</f>
        <v>70</v>
      </c>
      <c r="V28" s="181">
        <f ca="1">IFERROR(__xludf.DUMMYFUNCTION("IMPORTRANGE(""https://docs.google.com/spreadsheets/d/17HrOaa5pBUI1onckFfumXB8xlg35qb2uBAFfF1D-Myo/edit?usp=sharing"",""สุโขทัย!J701"")"),0)</f>
        <v>0</v>
      </c>
      <c r="W28" s="186">
        <f t="shared" ca="1" si="33"/>
        <v>0</v>
      </c>
      <c r="X28" s="186">
        <f ca="1">IFERROR(__xludf.DUMMYFUNCTION("IMPORTRANGE(""https://docs.google.com/spreadsheets/d/17HrOaa5pBUI1onckFfumXB8xlg35qb2uBAFfF1D-Myo/edit?usp=sharing"",""สุโขทัย!J702"")"),0)</f>
        <v>0</v>
      </c>
      <c r="Y28" s="186">
        <f ca="1">IFERROR(__xludf.DUMMYFUNCTION("IMPORTRANGE(""https://docs.google.com/spreadsheets/d/17HrOaa5pBUI1onckFfumXB8xlg35qb2uBAFfF1D-Myo/edit?usp=sharing"",""สุโขทัย!J703"")"),0)</f>
        <v>0</v>
      </c>
      <c r="Z28" s="186">
        <f ca="1">IFERROR(__xludf.DUMMYFUNCTION("IMPORTRANGE(""https://docs.google.com/spreadsheets/d/17HrOaa5pBUI1onckFfumXB8xlg35qb2uBAFfF1D-Myo/edit?usp=sharing"",""สุโขทัย!J704"")"),0)</f>
        <v>0</v>
      </c>
      <c r="AA28" s="186">
        <f ca="1">IFERROR(__xludf.DUMMYFUNCTION("IMPORTRANGE(""https://docs.google.com/spreadsheets/d/17HrOaa5pBUI1onckFfumXB8xlg35qb2uBAFfF1D-Myo/edit?usp=sharing"",""สุโขทัย!J705"")"),0)</f>
        <v>0</v>
      </c>
      <c r="AB28" s="186">
        <f ca="1">IFERROR(__xludf.DUMMYFUNCTION("IMPORTRANGE(""https://docs.google.com/spreadsheets/d/17HrOaa5pBUI1onckFfumXB8xlg35qb2uBAFfF1D-Myo/edit?usp=sharing"",""สุโขทัย!J706"")"),0)</f>
        <v>0</v>
      </c>
      <c r="AC28" s="186">
        <f ca="1">IFERROR(__xludf.DUMMYFUNCTION("IMPORTRANGE(""https://docs.google.com/spreadsheets/d/17HrOaa5pBUI1onckFfumXB8xlg35qb2uBAFfF1D-Myo/edit?usp=sharing"",""สุโขทัย!J707"")"),0)</f>
        <v>0</v>
      </c>
      <c r="AD28" s="181">
        <f ca="1">IFERROR(__xludf.DUMMYFUNCTION("IMPORTRANGE(""https://docs.google.com/spreadsheets/d/17HrOaa5pBUI1onckFfumXB8xlg35qb2uBAFfF1D-Myo/edit?usp=sharing"",""สุโขทัย!I708"")"),0)</f>
        <v>0</v>
      </c>
      <c r="AE28" s="181">
        <f ca="1">IFERROR(__xludf.DUMMYFUNCTION("IMPORTRANGE(""https://docs.google.com/spreadsheets/d/17HrOaa5pBUI1onckFfumXB8xlg35qb2uBAFfF1D-Myo/edit?usp=sharing"",""สุโขทัย!J708"")"),0)</f>
        <v>0</v>
      </c>
      <c r="AF28" s="186">
        <f t="shared" ca="1" si="34"/>
        <v>0</v>
      </c>
      <c r="AG28" s="181">
        <f ca="1">IFERROR(__xludf.DUMMYFUNCTION("IMPORTRANGE(""https://docs.google.com/spreadsheets/d/17HrOaa5pBUI1onckFfumXB8xlg35qb2uBAFfF1D-Myo/edit?usp=sharing"",""สุโขทัย!J709"")"),0)</f>
        <v>0</v>
      </c>
      <c r="AH28" s="181">
        <f ca="1">IFERROR(__xludf.DUMMYFUNCTION("IMPORTRANGE(""https://docs.google.com/spreadsheets/d/17HrOaa5pBUI1onckFfumXB8xlg35qb2uBAFfF1D-Myo/edit?usp=sharing"",""สุโขทัย!J710"")"),0)</f>
        <v>0</v>
      </c>
      <c r="AI28" s="181">
        <f ca="1">IFERROR(__xludf.DUMMYFUNCTION("IMPORTRANGE(""https://docs.google.com/spreadsheets/d/17HrOaa5pBUI1onckFfumXB8xlg35qb2uBAFfF1D-Myo/edit?usp=sharing"",""สุโขทัย!J712"")"),0)</f>
        <v>0</v>
      </c>
      <c r="AJ28" s="181">
        <f ca="1">IFERROR(__xludf.DUMMYFUNCTION("IMPORTRANGE(""https://docs.google.com/spreadsheets/d/17HrOaa5pBUI1onckFfumXB8xlg35qb2uBAFfF1D-Myo/edit?usp=sharing"",""สุโขทัย!J713"")"),0)</f>
        <v>0</v>
      </c>
      <c r="AK28" s="181">
        <f ca="1">IFERROR(__xludf.DUMMYFUNCTION("IMPORTRANGE(""https://docs.google.com/spreadsheets/d/17HrOaa5pBUI1onckFfumXB8xlg35qb2uBAFfF1D-Myo/edit?usp=sharing"",""สุโขทัย!J714"")"),0)</f>
        <v>0</v>
      </c>
      <c r="AL28" s="181">
        <f ca="1">IFERROR(__xludf.DUMMYFUNCTION("IMPORTRANGE(""https://docs.google.com/spreadsheets/d/17HrOaa5pBUI1onckFfumXB8xlg35qb2uBAFfF1D-Myo/edit?usp=sharing"",""สุโขทัย!J715"")"),0)</f>
        <v>0</v>
      </c>
      <c r="AM28" s="181">
        <f ca="1">IFERROR(__xludf.DUMMYFUNCTION("IMPORTRANGE(""https://docs.google.com/spreadsheets/d/17HrOaa5pBUI1onckFfumXB8xlg35qb2uBAFfF1D-Myo/edit?usp=sharing"",""สุโขทัย!J716"")"),0)</f>
        <v>0</v>
      </c>
      <c r="AN28" s="181">
        <f ca="1">IFERROR(__xludf.DUMMYFUNCTION("IMPORTRANGE(""https://docs.google.com/spreadsheets/d/17HrOaa5pBUI1onckFfumXB8xlg35qb2uBAFfF1D-Myo/edit?usp=sharing"",""สุโขทัย!J717"")"),0)</f>
        <v>0</v>
      </c>
      <c r="AO28" s="181">
        <f ca="1">IFERROR(__xludf.DUMMYFUNCTION("IMPORTRANGE(""https://docs.google.com/spreadsheets/d/17HrOaa5pBUI1onckFfumXB8xlg35qb2uBAFfF1D-Myo/edit?usp=sharing"",""สุโขทัย!I720"")"),14)</f>
        <v>14</v>
      </c>
      <c r="AP28" s="181">
        <f ca="1">IFERROR(__xludf.DUMMYFUNCTION("IMPORTRANGE(""https://docs.google.com/spreadsheets/d/17HrOaa5pBUI1onckFfumXB8xlg35qb2uBAFfF1D-Myo/edit?usp=sharing"",""สุโขทัย!J718"")"),0)</f>
        <v>0</v>
      </c>
      <c r="AQ28" s="181">
        <f ca="1">IFERROR(__xludf.DUMMYFUNCTION("IMPORTRANGE(""https://docs.google.com/spreadsheets/d/17HrOaa5pBUI1onckFfumXB8xlg35qb2uBAFfF1D-Myo/edit?usp=sharing"",""สุโขทัย!J719"")"),0)</f>
        <v>0</v>
      </c>
      <c r="AR28" s="181">
        <f ca="1">IFERROR(__xludf.DUMMYFUNCTION("IMPORTRANGE(""https://docs.google.com/spreadsheets/d/17HrOaa5pBUI1onckFfumXB8xlg35qb2uBAFfF1D-Myo/edit?usp=sharing"",""สุโขทัย!J720"")"),0)</f>
        <v>0</v>
      </c>
      <c r="AS28" s="186">
        <f t="shared" ca="1" si="14"/>
        <v>0</v>
      </c>
      <c r="AT28" s="181">
        <f ca="1">IFERROR(__xludf.DUMMYFUNCTION("IMPORTRANGE(""https://docs.google.com/spreadsheets/d/17HrOaa5pBUI1onckFfumXB8xlg35qb2uBAFfF1D-Myo/edit?usp=sharing"",""สุโขทัย!I721"")"),2)</f>
        <v>2</v>
      </c>
      <c r="AU28" s="181">
        <f ca="1">IFERROR(__xludf.DUMMYFUNCTION("IMPORTRANGE(""https://docs.google.com/spreadsheets/d/17HrOaa5pBUI1onckFfumXB8xlg35qb2uBAFfF1D-Myo/edit?usp=sharing"",""สุโขทัย!I722"")"),29)</f>
        <v>29</v>
      </c>
      <c r="AV28" s="181">
        <f ca="1">IFERROR(__xludf.DUMMYFUNCTION("IMPORTRANGE(""https://docs.google.com/spreadsheets/d/17HrOaa5pBUI1onckFfumXB8xlg35qb2uBAFfF1D-Myo/edit?usp=sharing"",""สุโขทัย!J721"")"),0)</f>
        <v>0</v>
      </c>
      <c r="AW28" s="186">
        <f t="shared" ca="1" si="16"/>
        <v>0</v>
      </c>
      <c r="AX28" s="181">
        <f ca="1">IFERROR(__xludf.DUMMYFUNCTION("IMPORTRANGE(""https://docs.google.com/spreadsheets/d/17HrOaa5pBUI1onckFfumXB8xlg35qb2uBAFfF1D-Myo/edit?usp=sharing"",""สุโขทัย!J722"")"),0)</f>
        <v>0</v>
      </c>
      <c r="AY28" s="186">
        <f t="shared" ca="1" si="17"/>
        <v>0</v>
      </c>
      <c r="AZ28" s="181">
        <f ca="1">IFERROR(__xludf.DUMMYFUNCTION("IMPORTRANGE(""https://docs.google.com/spreadsheets/d/17HrOaa5pBUI1onckFfumXB8xlg35qb2uBAFfF1D-Myo/edit?usp=sharing"",""สุโขทัย!I723"")"),2)</f>
        <v>2</v>
      </c>
      <c r="BA28" s="181">
        <f ca="1">IFERROR(__xludf.DUMMYFUNCTION("IMPORTRANGE(""https://docs.google.com/spreadsheets/d/17HrOaa5pBUI1onckFfumXB8xlg35qb2uBAFfF1D-Myo/edit?usp=sharing"",""สุโขทัย!I725"")"),29)</f>
        <v>29</v>
      </c>
      <c r="BB28" s="181">
        <f ca="1">IFERROR(__xludf.DUMMYFUNCTION("IMPORTRANGE(""https://docs.google.com/spreadsheets/d/17HrOaa5pBUI1onckFfumXB8xlg35qb2uBAFfF1D-Myo/edit?usp=sharing"",""สุโขทัย!J723"")"),0)</f>
        <v>0</v>
      </c>
      <c r="BC28" s="181">
        <f ca="1">IFERROR(__xludf.DUMMYFUNCTION("IMPORTRANGE(""https://docs.google.com/spreadsheets/d/17HrOaa5pBUI1onckFfumXB8xlg35qb2uBAFfF1D-Myo/edit?usp=sharing"",""สุโขทัย!J724"")"),0)</f>
        <v>0</v>
      </c>
      <c r="BD28" s="181">
        <f ca="1">IFERROR(__xludf.DUMMYFUNCTION("IMPORTRANGE(""https://docs.google.com/spreadsheets/d/17HrOaa5pBUI1onckFfumXB8xlg35qb2uBAFfF1D-Myo/edit?usp=sharing"",""สุโขทัย!J725"")"),0)</f>
        <v>0</v>
      </c>
      <c r="BE28" s="181">
        <f ca="1">IFERROR(__xludf.DUMMYFUNCTION("IMPORTRANGE(""https://docs.google.com/spreadsheets/d/17HrOaa5pBUI1onckFfumXB8xlg35qb2uBAFfF1D-Myo/edit?usp=sharing"",""สุโขทัย!I726"")"),0)</f>
        <v>0</v>
      </c>
      <c r="BF28" s="181">
        <f ca="1">IFERROR(__xludf.DUMMYFUNCTION("IMPORTRANGE(""https://docs.google.com/spreadsheets/d/17HrOaa5pBUI1onckFfumXB8xlg35qb2uBAFfF1D-Myo/edit?usp=sharing"",""สุโขทัย!I728"")"),0)</f>
        <v>0</v>
      </c>
      <c r="BG28" s="181">
        <f ca="1">IFERROR(__xludf.DUMMYFUNCTION("IMPORTRANGE(""https://docs.google.com/spreadsheets/d/17HrOaa5pBUI1onckFfumXB8xlg35qb2uBAFfF1D-Myo/edit?usp=sharing"",""สุโขทัย!J726"")"),0)</f>
        <v>0</v>
      </c>
      <c r="BH28" s="181">
        <f ca="1">IFERROR(__xludf.DUMMYFUNCTION("IMPORTRANGE(""https://docs.google.com/spreadsheets/d/17HrOaa5pBUI1onckFfumXB8xlg35qb2uBAFfF1D-Myo/edit?usp=sharing"",""สุโขทัย!J727"")"),0)</f>
        <v>0</v>
      </c>
      <c r="BI28" s="181">
        <f ca="1">IFERROR(__xludf.DUMMYFUNCTION("IMPORTRANGE(""https://docs.google.com/spreadsheets/d/17HrOaa5pBUI1onckFfumXB8xlg35qb2uBAFfF1D-Myo/edit?usp=sharing"",""สุโขทัย!J728"")"),0)</f>
        <v>0</v>
      </c>
      <c r="BJ28" s="181">
        <f ca="1">IFERROR(__xludf.DUMMYFUNCTION("IMPORTRANGE(""https://docs.google.com/spreadsheets/d/17HrOaa5pBUI1onckFfumXB8xlg35qb2uBAFfF1D-Myo/edit?usp=sharing"",""สุโขทัย!I729"")"),0)</f>
        <v>0</v>
      </c>
      <c r="BK28" s="181">
        <f ca="1">IFERROR(__xludf.DUMMYFUNCTION("IMPORTRANGE(""https://docs.google.com/spreadsheets/d/17HrOaa5pBUI1onckFfumXB8xlg35qb2uBAFfF1D-Myo/edit?usp=sharing"",""สุโขทัย!J729"")"),0)</f>
        <v>0</v>
      </c>
      <c r="BL28" s="186">
        <f t="shared" ca="1" si="19"/>
        <v>0</v>
      </c>
      <c r="BM28" s="181">
        <f ca="1">IFERROR(__xludf.DUMMYFUNCTION("IMPORTRANGE(""https://docs.google.com/spreadsheets/d/17HrOaa5pBUI1onckFfumXB8xlg35qb2uBAFfF1D-Myo/edit?usp=sharing"",""สุโขทัย!J730"")"),0)</f>
        <v>0</v>
      </c>
      <c r="BN28" s="181">
        <f ca="1">IFERROR(__xludf.DUMMYFUNCTION("IMPORTRANGE(""https://docs.google.com/spreadsheets/d/17HrOaa5pBUI1onckFfumXB8xlg35qb2uBAFfF1D-Myo/edit?usp=sharing"",""สุโขทัย!J731"")"),0)</f>
        <v>0</v>
      </c>
      <c r="BO28" s="181">
        <f ca="1">IFERROR(__xludf.DUMMYFUNCTION("IMPORTRANGE(""https://docs.google.com/spreadsheets/d/17HrOaa5pBUI1onckFfumXB8xlg35qb2uBAFfF1D-Myo/edit?usp=sharing"",""สุโขทัย!J732"")"),0)</f>
        <v>0</v>
      </c>
      <c r="BP28" s="181">
        <f ca="1">IFERROR(__xludf.DUMMYFUNCTION("IMPORTRANGE(""https://docs.google.com/spreadsheets/d/17HrOaa5pBUI1onckFfumXB8xlg35qb2uBAFfF1D-Myo/edit?usp=sharing"",""สุโขทัย!J733"")"),0)</f>
        <v>0</v>
      </c>
      <c r="BQ28" s="181">
        <f ca="1">IFERROR(__xludf.DUMMYFUNCTION("IMPORTRANGE(""https://docs.google.com/spreadsheets/d/17HrOaa5pBUI1onckFfumXB8xlg35qb2uBAFfF1D-Myo/edit?usp=sharing"",""สุโขทัย!J734"")"),0)</f>
        <v>0</v>
      </c>
      <c r="BR28" s="181">
        <f ca="1">IFERROR(__xludf.DUMMYFUNCTION("IMPORTRANGE(""https://docs.google.com/spreadsheets/d/17HrOaa5pBUI1onckFfumXB8xlg35qb2uBAFfF1D-Myo/edit?usp=sharing"",""สุโขทัย!J735"")"),0)</f>
        <v>0</v>
      </c>
    </row>
    <row r="29" spans="1:70" ht="24" customHeight="1" x14ac:dyDescent="0.3">
      <c r="A29" s="178">
        <v>16</v>
      </c>
      <c r="B29" s="179" t="s">
        <v>46</v>
      </c>
      <c r="C29" s="180">
        <f t="shared" ca="1" si="46"/>
        <v>0</v>
      </c>
      <c r="D29" s="181">
        <f ca="1">IFERROR(__xludf.DUMMYFUNCTION("IMPORTRANGE(""https://docs.google.com/spreadsheets/d/1ubs5cl16eYL9gHbdHTJtmtYb9MGzHBs7CAphn8kNCgM/edit?usp=sharing"",""อุตรดิตถ์!L690"")"),0)</f>
        <v>0</v>
      </c>
      <c r="E29" s="187">
        <f ca="1">IFERROR(__xludf.DUMMYFUNCTION("IMPORTRANGE(""https://docs.google.com/spreadsheets/d/1ubs5cl16eYL9gHbdHTJtmtYb9MGzHBs7CAphn8kNCgM/edit?usp=sharing"",""อุตรดิตถ์!L697"")"),0)</f>
        <v>0</v>
      </c>
      <c r="F29" s="182">
        <f t="shared" ca="1" si="1"/>
        <v>0</v>
      </c>
      <c r="G29" s="183">
        <f t="shared" ca="1" si="2"/>
        <v>0</v>
      </c>
      <c r="H29" s="184">
        <f t="shared" ca="1" si="47"/>
        <v>0</v>
      </c>
      <c r="I29" s="187">
        <f ca="1">IFERROR(__xludf.DUMMYFUNCTION("IMPORTRANGE(""https://docs.google.com/spreadsheets/d/1ubs5cl16eYL9gHbdHTJtmtYb9MGzHBs7CAphn8kNCgM/edit?usp=sharing"",""อุตรดิตถ์!N691"")"),0)</f>
        <v>0</v>
      </c>
      <c r="J29" s="187">
        <f ca="1">IFERROR(__xludf.DUMMYFUNCTION("IMPORTRANGE(""https://docs.google.com/spreadsheets/d/1ubs5cl16eYL9gHbdHTJtmtYb9MGzHBs7CAphn8kNCgM/edit?usp=sharing"",""อุตรดิตถ์!N692"")"),0)</f>
        <v>0</v>
      </c>
      <c r="K29" s="187">
        <f ca="1">IFERROR(__xludf.DUMMYFUNCTION("IMPORTRANGE(""https://docs.google.com/spreadsheets/d/1ubs5cl16eYL9gHbdHTJtmtYb9MGzHBs7CAphn8kNCgM/edit?usp=sharing"",""อุตรดิตถ์!N693"")"),0)</f>
        <v>0</v>
      </c>
      <c r="L29" s="187">
        <f ca="1">IFERROR(__xludf.DUMMYFUNCTION("IMPORTRANGE(""https://docs.google.com/spreadsheets/d/1ubs5cl16eYL9gHbdHTJtmtYb9MGzHBs7CAphn8kNCgM/edit?usp=sharing"",""อุตรดิตถ์!N694"")"),0)</f>
        <v>0</v>
      </c>
      <c r="M29" s="185">
        <f ca="1">IFERROR(__xludf.DUMMYFUNCTION("IMPORTRANGE(""https://docs.google.com/spreadsheets/d/1ubs5cl16eYL9gHbdHTJtmtYb9MGzHBs7CAphn8kNCgM/edit?usp=sharing"",""อุตรดิตถ์!N697"")"),0)</f>
        <v>0</v>
      </c>
      <c r="N29" s="185">
        <f t="shared" ca="1" si="37"/>
        <v>0</v>
      </c>
      <c r="O29" s="181">
        <f ca="1">IFERROR(__xludf.DUMMYFUNCTION("IMPORTRANGE(""https://docs.google.com/spreadsheets/d/1ubs5cl16eYL9gHbdHTJtmtYb9MGzHBs7CAphn8kNCgM/edit?usp=sharing"",""อุตรดิตถ์!I699"")"),0)</f>
        <v>0</v>
      </c>
      <c r="P29" s="181">
        <f ca="1">IFERROR(__xludf.DUMMYFUNCTION("IMPORTRANGE(""https://docs.google.com/spreadsheets/d/1ubs5cl16eYL9gHbdHTJtmtYb9MGzHBs7CAphn8kNCgM/edit?usp=sharing"",""อุตรดิตถ์!J699"")"),0)</f>
        <v>0</v>
      </c>
      <c r="Q29" s="186">
        <f t="shared" ca="1" si="31"/>
        <v>0</v>
      </c>
      <c r="R29" s="181">
        <f ca="1">IFERROR(__xludf.DUMMYFUNCTION("IMPORTRANGE(""https://docs.google.com/spreadsheets/d/1ubs5cl16eYL9gHbdHTJtmtYb9MGzHBs7CAphn8kNCgM/edit?usp=sharing"",""อุตรดิตถ์!I700"")"),0)</f>
        <v>0</v>
      </c>
      <c r="S29" s="181">
        <f ca="1">IFERROR(__xludf.DUMMYFUNCTION("IMPORTRANGE(""https://docs.google.com/spreadsheets/d/1ubs5cl16eYL9gHbdHTJtmtYb9MGzHBs7CAphn8kNCgM/edit?usp=sharing"",""อุตรดิตถ์!J700"")"),0)</f>
        <v>0</v>
      </c>
      <c r="T29" s="186">
        <f t="shared" ca="1" si="32"/>
        <v>0</v>
      </c>
      <c r="U29" s="181">
        <f ca="1">IFERROR(__xludf.DUMMYFUNCTION("IMPORTRANGE(""https://docs.google.com/spreadsheets/d/1ubs5cl16eYL9gHbdHTJtmtYb9MGzHBs7CAphn8kNCgM/edit?usp=sharing"",""อุตรดิตถ์!I701"")"),0)</f>
        <v>0</v>
      </c>
      <c r="V29" s="181">
        <f ca="1">IFERROR(__xludf.DUMMYFUNCTION("IMPORTRANGE(""https://docs.google.com/spreadsheets/d/1ubs5cl16eYL9gHbdHTJtmtYb9MGzHBs7CAphn8kNCgM/edit?usp=sharing"",""อุตรดิตถ์!J701"")"),0)</f>
        <v>0</v>
      </c>
      <c r="W29" s="186">
        <f t="shared" ca="1" si="33"/>
        <v>0</v>
      </c>
      <c r="X29" s="186">
        <f ca="1">IFERROR(__xludf.DUMMYFUNCTION("IMPORTRANGE(""https://docs.google.com/spreadsheets/d/1ubs5cl16eYL9gHbdHTJtmtYb9MGzHBs7CAphn8kNCgM/edit?usp=sharing"",""อุตรดิตถ์!J702"")"),0)</f>
        <v>0</v>
      </c>
      <c r="Y29" s="186">
        <f ca="1">IFERROR(__xludf.DUMMYFUNCTION("IMPORTRANGE(""https://docs.google.com/spreadsheets/d/1ubs5cl16eYL9gHbdHTJtmtYb9MGzHBs7CAphn8kNCgM/edit?usp=sharing"",""อุตรดิตถ์!J703"")"),0)</f>
        <v>0</v>
      </c>
      <c r="Z29" s="186">
        <f ca="1">IFERROR(__xludf.DUMMYFUNCTION("IMPORTRANGE(""https://docs.google.com/spreadsheets/d/1ubs5cl16eYL9gHbdHTJtmtYb9MGzHBs7CAphn8kNCgM/edit?usp=sharing"",""อุตรดิตถ์!J704"")"),0)</f>
        <v>0</v>
      </c>
      <c r="AA29" s="186">
        <f ca="1">IFERROR(__xludf.DUMMYFUNCTION("IMPORTRANGE(""https://docs.google.com/spreadsheets/d/1ubs5cl16eYL9gHbdHTJtmtYb9MGzHBs7CAphn8kNCgM/edit?usp=sharing"",""อุตรดิตถ์!J705"")"),0)</f>
        <v>0</v>
      </c>
      <c r="AB29" s="186">
        <f ca="1">IFERROR(__xludf.DUMMYFUNCTION("IMPORTRANGE(""https://docs.google.com/spreadsheets/d/1ubs5cl16eYL9gHbdHTJtmtYb9MGzHBs7CAphn8kNCgM/edit?usp=sharing"",""อุตรดิตถ์!J706"")"),0)</f>
        <v>0</v>
      </c>
      <c r="AC29" s="186">
        <f ca="1">IFERROR(__xludf.DUMMYFUNCTION("IMPORTRANGE(""https://docs.google.com/spreadsheets/d/1ubs5cl16eYL9gHbdHTJtmtYb9MGzHBs7CAphn8kNCgM/edit?usp=sharing"",""อุตรดิตถ์!J707"")"),0)</f>
        <v>0</v>
      </c>
      <c r="AD29" s="181">
        <f ca="1">IFERROR(__xludf.DUMMYFUNCTION("IMPORTRANGE(""https://docs.google.com/spreadsheets/d/1ubs5cl16eYL9gHbdHTJtmtYb9MGzHBs7CAphn8kNCgM/edit?usp=sharing"",""อุตรดิตถ์!I708"")"),0)</f>
        <v>0</v>
      </c>
      <c r="AE29" s="181">
        <f ca="1">IFERROR(__xludf.DUMMYFUNCTION("IMPORTRANGE(""https://docs.google.com/spreadsheets/d/1ubs5cl16eYL9gHbdHTJtmtYb9MGzHBs7CAphn8kNCgM/edit?usp=sharing"",""อุตรดิตถ์!J708"")"),0)</f>
        <v>0</v>
      </c>
      <c r="AF29" s="186">
        <f t="shared" ca="1" si="34"/>
        <v>0</v>
      </c>
      <c r="AG29" s="181">
        <f ca="1">IFERROR(__xludf.DUMMYFUNCTION("IMPORTRANGE(""https://docs.google.com/spreadsheets/d/1ubs5cl16eYL9gHbdHTJtmtYb9MGzHBs7CAphn8kNCgM/edit?usp=sharing"",""อุตรดิตถ์!J709"")"),0)</f>
        <v>0</v>
      </c>
      <c r="AH29" s="181">
        <f ca="1">IFERROR(__xludf.DUMMYFUNCTION("IMPORTRANGE(""https://docs.google.com/spreadsheets/d/1ubs5cl16eYL9gHbdHTJtmtYb9MGzHBs7CAphn8kNCgM/edit?usp=sharing"",""อุตรดิตถ์!J710"")"),0)</f>
        <v>0</v>
      </c>
      <c r="AI29" s="181">
        <f ca="1">IFERROR(__xludf.DUMMYFUNCTION("IMPORTRANGE(""https://docs.google.com/spreadsheets/d/1ubs5cl16eYL9gHbdHTJtmtYb9MGzHBs7CAphn8kNCgM/edit?usp=sharing"",""อุตรดิตถ์!J712"")"),0)</f>
        <v>0</v>
      </c>
      <c r="AJ29" s="181">
        <f ca="1">IFERROR(__xludf.DUMMYFUNCTION("IMPORTRANGE(""https://docs.google.com/spreadsheets/d/1ubs5cl16eYL9gHbdHTJtmtYb9MGzHBs7CAphn8kNCgM/edit?usp=sharing"",""อุตรดิตถ์!J713"")"),0)</f>
        <v>0</v>
      </c>
      <c r="AK29" s="181">
        <f ca="1">IFERROR(__xludf.DUMMYFUNCTION("IMPORTRANGE(""https://docs.google.com/spreadsheets/d/1ubs5cl16eYL9gHbdHTJtmtYb9MGzHBs7CAphn8kNCgM/edit?usp=sharing"",""อุตรดิตถ์!J714"")"),0)</f>
        <v>0</v>
      </c>
      <c r="AL29" s="181">
        <f ca="1">IFERROR(__xludf.DUMMYFUNCTION("IMPORTRANGE(""https://docs.google.com/spreadsheets/d/1ubs5cl16eYL9gHbdHTJtmtYb9MGzHBs7CAphn8kNCgM/edit?usp=sharing"",""อุตรดิตถ์!J715"")"),0)</f>
        <v>0</v>
      </c>
      <c r="AM29" s="181">
        <f ca="1">IFERROR(__xludf.DUMMYFUNCTION("IMPORTRANGE(""https://docs.google.com/spreadsheets/d/1ubs5cl16eYL9gHbdHTJtmtYb9MGzHBs7CAphn8kNCgM/edit?usp=sharing"",""อุตรดิตถ์!J716"")"),0)</f>
        <v>0</v>
      </c>
      <c r="AN29" s="181">
        <f ca="1">IFERROR(__xludf.DUMMYFUNCTION("IMPORTRANGE(""https://docs.google.com/spreadsheets/d/1ubs5cl16eYL9gHbdHTJtmtYb9MGzHBs7CAphn8kNCgM/edit?usp=sharing"",""อุตรดิตถ์!J717"")"),0)</f>
        <v>0</v>
      </c>
      <c r="AO29" s="181">
        <f ca="1">IFERROR(__xludf.DUMMYFUNCTION("IMPORTRANGE(""https://docs.google.com/spreadsheets/d/1ubs5cl16eYL9gHbdHTJtmtYb9MGzHBs7CAphn8kNCgM/edit?usp=sharing"",""อุตรดิตถ์!I720"")"),0)</f>
        <v>0</v>
      </c>
      <c r="AP29" s="181">
        <f ca="1">IFERROR(__xludf.DUMMYFUNCTION("IMPORTRANGE(""https://docs.google.com/spreadsheets/d/1ubs5cl16eYL9gHbdHTJtmtYb9MGzHBs7CAphn8kNCgM/edit?usp=sharing"",""อุตรดิตถ์!J718"")"),0)</f>
        <v>0</v>
      </c>
      <c r="AQ29" s="181">
        <f ca="1">IFERROR(__xludf.DUMMYFUNCTION("IMPORTRANGE(""https://docs.google.com/spreadsheets/d/1ubs5cl16eYL9gHbdHTJtmtYb9MGzHBs7CAphn8kNCgM/edit?usp=sharing"",""อุตรดิตถ์!J719"")"),0)</f>
        <v>0</v>
      </c>
      <c r="AR29" s="181">
        <f ca="1">IFERROR(__xludf.DUMMYFUNCTION("IMPORTRANGE(""https://docs.google.com/spreadsheets/d/1ubs5cl16eYL9gHbdHTJtmtYb9MGzHBs7CAphn8kNCgM/edit?usp=sharing"",""อุตรดิตถ์!J720"")"),0)</f>
        <v>0</v>
      </c>
      <c r="AS29" s="186">
        <f t="shared" ca="1" si="14"/>
        <v>0</v>
      </c>
      <c r="AT29" s="181">
        <f ca="1">IFERROR(__xludf.DUMMYFUNCTION("IMPORTRANGE(""https://docs.google.com/spreadsheets/d/1ubs5cl16eYL9gHbdHTJtmtYb9MGzHBs7CAphn8kNCgM/edit?usp=sharing"",""อุตรดิตถ์!I721"")"),0)</f>
        <v>0</v>
      </c>
      <c r="AU29" s="181">
        <f ca="1">IFERROR(__xludf.DUMMYFUNCTION("IMPORTRANGE(""https://docs.google.com/spreadsheets/d/1ubs5cl16eYL9gHbdHTJtmtYb9MGzHBs7CAphn8kNCgM/edit?usp=sharing"",""อุตรดิตถ์!I722"")"),0)</f>
        <v>0</v>
      </c>
      <c r="AV29" s="181">
        <f ca="1">IFERROR(__xludf.DUMMYFUNCTION("IMPORTRANGE(""https://docs.google.com/spreadsheets/d/1ubs5cl16eYL9gHbdHTJtmtYb9MGzHBs7CAphn8kNCgM/edit?usp=sharing"",""อุตรดิตถ์!J721"")"),0)</f>
        <v>0</v>
      </c>
      <c r="AW29" s="186">
        <f t="shared" ca="1" si="16"/>
        <v>0</v>
      </c>
      <c r="AX29" s="181">
        <f ca="1">IFERROR(__xludf.DUMMYFUNCTION("IMPORTRANGE(""https://docs.google.com/spreadsheets/d/1ubs5cl16eYL9gHbdHTJtmtYb9MGzHBs7CAphn8kNCgM/edit?usp=sharing"",""อุตรดิตถ์!J722"")"),0)</f>
        <v>0</v>
      </c>
      <c r="AY29" s="186">
        <f t="shared" ca="1" si="17"/>
        <v>0</v>
      </c>
      <c r="AZ29" s="181">
        <f ca="1">IFERROR(__xludf.DUMMYFUNCTION("IMPORTRANGE(""https://docs.google.com/spreadsheets/d/1ubs5cl16eYL9gHbdHTJtmtYb9MGzHBs7CAphn8kNCgM/edit?usp=sharing"",""อุตรดิตถ์!I723"")"),0)</f>
        <v>0</v>
      </c>
      <c r="BA29" s="181">
        <f ca="1">IFERROR(__xludf.DUMMYFUNCTION("IMPORTRANGE(""https://docs.google.com/spreadsheets/d/1ubs5cl16eYL9gHbdHTJtmtYb9MGzHBs7CAphn8kNCgM/edit?usp=sharing"",""อุตรดิตถ์!I725"")"),0)</f>
        <v>0</v>
      </c>
      <c r="BB29" s="181">
        <f ca="1">IFERROR(__xludf.DUMMYFUNCTION("IMPORTRANGE(""https://docs.google.com/spreadsheets/d/1ubs5cl16eYL9gHbdHTJtmtYb9MGzHBs7CAphn8kNCgM/edit?usp=sharing"",""อุตรดิตถ์!J723"")"),0)</f>
        <v>0</v>
      </c>
      <c r="BC29" s="181">
        <f ca="1">IFERROR(__xludf.DUMMYFUNCTION("IMPORTRANGE(""https://docs.google.com/spreadsheets/d/1ubs5cl16eYL9gHbdHTJtmtYb9MGzHBs7CAphn8kNCgM/edit?usp=sharing"",""อุตรดิตถ์!J724"")"),0)</f>
        <v>0</v>
      </c>
      <c r="BD29" s="181">
        <f ca="1">IFERROR(__xludf.DUMMYFUNCTION("IMPORTRANGE(""https://docs.google.com/spreadsheets/d/1ubs5cl16eYL9gHbdHTJtmtYb9MGzHBs7CAphn8kNCgM/edit?usp=sharing"",""อุตรดิตถ์!J725"")"),0)</f>
        <v>0</v>
      </c>
      <c r="BE29" s="181">
        <f ca="1">IFERROR(__xludf.DUMMYFUNCTION("IMPORTRANGE(""https://docs.google.com/spreadsheets/d/1ubs5cl16eYL9gHbdHTJtmtYb9MGzHBs7CAphn8kNCgM/edit?usp=sharing"",""อุตรดิตถ์!I726"")"),0)</f>
        <v>0</v>
      </c>
      <c r="BF29" s="181">
        <f ca="1">IFERROR(__xludf.DUMMYFUNCTION("IMPORTRANGE(""https://docs.google.com/spreadsheets/d/1ubs5cl16eYL9gHbdHTJtmtYb9MGzHBs7CAphn8kNCgM/edit?usp=sharing"",""อุตรดิตถ์!I728"")"),0)</f>
        <v>0</v>
      </c>
      <c r="BG29" s="181">
        <f ca="1">IFERROR(__xludf.DUMMYFUNCTION("IMPORTRANGE(""https://docs.google.com/spreadsheets/d/1ubs5cl16eYL9gHbdHTJtmtYb9MGzHBs7CAphn8kNCgM/edit?usp=sharing"",""อุตรดิตถ์!J726"")"),0)</f>
        <v>0</v>
      </c>
      <c r="BH29" s="181">
        <f ca="1">IFERROR(__xludf.DUMMYFUNCTION("IMPORTRANGE(""https://docs.google.com/spreadsheets/d/1ubs5cl16eYL9gHbdHTJtmtYb9MGzHBs7CAphn8kNCgM/edit?usp=sharing"",""อุตรดิตถ์!J727"")"),0)</f>
        <v>0</v>
      </c>
      <c r="BI29" s="181">
        <f ca="1">IFERROR(__xludf.DUMMYFUNCTION("IMPORTRANGE(""https://docs.google.com/spreadsheets/d/1ubs5cl16eYL9gHbdHTJtmtYb9MGzHBs7CAphn8kNCgM/edit?usp=sharing"",""อุตรดิตถ์!J728"")"),0)</f>
        <v>0</v>
      </c>
      <c r="BJ29" s="181">
        <f ca="1">IFERROR(__xludf.DUMMYFUNCTION("IMPORTRANGE(""https://docs.google.com/spreadsheets/d/1ubs5cl16eYL9gHbdHTJtmtYb9MGzHBs7CAphn8kNCgM/edit?usp=sharing"",""อุตรดิตถ์!I729"")"),0)</f>
        <v>0</v>
      </c>
      <c r="BK29" s="181">
        <f ca="1">IFERROR(__xludf.DUMMYFUNCTION("IMPORTRANGE(""https://docs.google.com/spreadsheets/d/1ubs5cl16eYL9gHbdHTJtmtYb9MGzHBs7CAphn8kNCgM/edit?usp=sharing"",""อุตรดิตถ์!J729"")"),0)</f>
        <v>0</v>
      </c>
      <c r="BL29" s="186">
        <f t="shared" ca="1" si="19"/>
        <v>0</v>
      </c>
      <c r="BM29" s="181">
        <f ca="1">IFERROR(__xludf.DUMMYFUNCTION("IMPORTRANGE(""https://docs.google.com/spreadsheets/d/1ubs5cl16eYL9gHbdHTJtmtYb9MGzHBs7CAphn8kNCgM/edit?usp=sharing"",""อุตรดิตถ์!J730"")"),0)</f>
        <v>0</v>
      </c>
      <c r="BN29" s="181">
        <f ca="1">IFERROR(__xludf.DUMMYFUNCTION("IMPORTRANGE(""https://docs.google.com/spreadsheets/d/1ubs5cl16eYL9gHbdHTJtmtYb9MGzHBs7CAphn8kNCgM/edit?usp=sharing"",""อุตรดิตถ์!J731"")"),0)</f>
        <v>0</v>
      </c>
      <c r="BO29" s="181">
        <f ca="1">IFERROR(__xludf.DUMMYFUNCTION("IMPORTRANGE(""https://docs.google.com/spreadsheets/d/1ubs5cl16eYL9gHbdHTJtmtYb9MGzHBs7CAphn8kNCgM/edit?usp=sharing"",""อุตรดิตถ์!J732"")"),0)</f>
        <v>0</v>
      </c>
      <c r="BP29" s="181">
        <f ca="1">IFERROR(__xludf.DUMMYFUNCTION("IMPORTRANGE(""https://docs.google.com/spreadsheets/d/1ubs5cl16eYL9gHbdHTJtmtYb9MGzHBs7CAphn8kNCgM/edit?usp=sharing"",""อุตรดิตถ์!J733"")"),0)</f>
        <v>0</v>
      </c>
      <c r="BQ29" s="181">
        <f ca="1">IFERROR(__xludf.DUMMYFUNCTION("IMPORTRANGE(""https://docs.google.com/spreadsheets/d/1ubs5cl16eYL9gHbdHTJtmtYb9MGzHBs7CAphn8kNCgM/edit?usp=sharing"",""อุตรดิตถ์!J734"")"),0)</f>
        <v>0</v>
      </c>
      <c r="BR29" s="181">
        <f ca="1">IFERROR(__xludf.DUMMYFUNCTION("IMPORTRANGE(""https://docs.google.com/spreadsheets/d/1ubs5cl16eYL9gHbdHTJtmtYb9MGzHBs7CAphn8kNCgM/edit?usp=sharing"",""อุตรดิตถ์!J735"")"),0)</f>
        <v>0</v>
      </c>
    </row>
    <row r="30" spans="1:70" ht="24" customHeight="1" x14ac:dyDescent="0.3">
      <c r="A30" s="192">
        <v>17</v>
      </c>
      <c r="B30" s="193" t="s">
        <v>47</v>
      </c>
      <c r="C30" s="204">
        <f t="shared" ca="1" si="46"/>
        <v>40660</v>
      </c>
      <c r="D30" s="202">
        <f ca="1">IFERROR(__xludf.DUMMYFUNCTION("IMPORTRANGE(""https://docs.google.com/spreadsheets/d/1kII0BjS6CtVrBvI8IrytgPdxDrlyQDyigzMsohRtDMs/edit?usp=sharing"",""อุทัยธานี!L690"")"),40660)</f>
        <v>40660</v>
      </c>
      <c r="E30" s="200">
        <f ca="1">IFERROR(__xludf.DUMMYFUNCTION("IMPORTRANGE(""https://docs.google.com/spreadsheets/d/1kII0BjS6CtVrBvI8IrytgPdxDrlyQDyigzMsohRtDMs/edit?usp=sharing"",""อุทัยธานี!L697"")"),0)</f>
        <v>0</v>
      </c>
      <c r="F30" s="197">
        <f t="shared" ca="1" si="1"/>
        <v>1000</v>
      </c>
      <c r="G30" s="205">
        <f t="shared" ca="1" si="2"/>
        <v>2.4594195769798328</v>
      </c>
      <c r="H30" s="199">
        <f t="shared" ca="1" si="47"/>
        <v>1000</v>
      </c>
      <c r="I30" s="200">
        <f ca="1">IFERROR(__xludf.DUMMYFUNCTION("IMPORTRANGE(""https://docs.google.com/spreadsheets/d/1kII0BjS6CtVrBvI8IrytgPdxDrlyQDyigzMsohRtDMs/edit?usp=sharing"",""อุทัยธานี!N691"")"),0)</f>
        <v>0</v>
      </c>
      <c r="J30" s="200">
        <f ca="1">IFERROR(__xludf.DUMMYFUNCTION("IMPORTRANGE(""https://docs.google.com/spreadsheets/d/1kII0BjS6CtVrBvI8IrytgPdxDrlyQDyigzMsohRtDMs/edit?usp=sharing"",""อุทัยธานี!N692"")"),0)</f>
        <v>0</v>
      </c>
      <c r="K30" s="200">
        <f ca="1">IFERROR(__xludf.DUMMYFUNCTION("IMPORTRANGE(""https://docs.google.com/spreadsheets/d/1kII0BjS6CtVrBvI8IrytgPdxDrlyQDyigzMsohRtDMs/edit?usp=sharing"",""อุทัยธานี!N693"")"),0)</f>
        <v>0</v>
      </c>
      <c r="L30" s="200">
        <f ca="1">IFERROR(__xludf.DUMMYFUNCTION("IMPORTRANGE(""https://docs.google.com/spreadsheets/d/1kII0BjS6CtVrBvI8IrytgPdxDrlyQDyigzMsohRtDMs/edit?usp=sharing"",""อุทัยธานี!N694"")"),1000)</f>
        <v>1000</v>
      </c>
      <c r="M30" s="201">
        <f ca="1">IFERROR(__xludf.DUMMYFUNCTION("IMPORTRANGE(""https://docs.google.com/spreadsheets/d/1kII0BjS6CtVrBvI8IrytgPdxDrlyQDyigzMsohRtDMs/edit?usp=sharing"",""อุทัยธานี!N697"")"),0)</f>
        <v>0</v>
      </c>
      <c r="N30" s="201">
        <f t="shared" ca="1" si="37"/>
        <v>0</v>
      </c>
      <c r="O30" s="202">
        <f ca="1">IFERROR(__xludf.DUMMYFUNCTION("IMPORTRANGE(""https://docs.google.com/spreadsheets/d/1kII0BjS6CtVrBvI8IrytgPdxDrlyQDyigzMsohRtDMs/edit?usp=sharing"",""อุทัยธานี!I699"")"),18)</f>
        <v>18</v>
      </c>
      <c r="P30" s="202">
        <f ca="1">IFERROR(__xludf.DUMMYFUNCTION("IMPORTRANGE(""https://docs.google.com/spreadsheets/d/1kII0BjS6CtVrBvI8IrytgPdxDrlyQDyigzMsohRtDMs/edit?usp=sharing"",""อุทัยธานี!J699"")"),0)</f>
        <v>0</v>
      </c>
      <c r="Q30" s="203">
        <f t="shared" ca="1" si="31"/>
        <v>0</v>
      </c>
      <c r="R30" s="202">
        <f ca="1">IFERROR(__xludf.DUMMYFUNCTION("IMPORTRANGE(""https://docs.google.com/spreadsheets/d/1kII0BjS6CtVrBvI8IrytgPdxDrlyQDyigzMsohRtDMs/edit?usp=sharing"",""อุทัยธานี!I700"")"),3)</f>
        <v>3</v>
      </c>
      <c r="S30" s="202">
        <f ca="1">IFERROR(__xludf.DUMMYFUNCTION("IMPORTRANGE(""https://docs.google.com/spreadsheets/d/1kII0BjS6CtVrBvI8IrytgPdxDrlyQDyigzMsohRtDMs/edit?usp=sharing"",""อุทัยธานี!J700"")"),0)</f>
        <v>0</v>
      </c>
      <c r="T30" s="203">
        <f t="shared" ca="1" si="32"/>
        <v>0</v>
      </c>
      <c r="U30" s="202">
        <f ca="1">IFERROR(__xludf.DUMMYFUNCTION("IMPORTRANGE(""https://docs.google.com/spreadsheets/d/1kII0BjS6CtVrBvI8IrytgPdxDrlyQDyigzMsohRtDMs/edit?usp=sharing"",""อุทัยธานี!I701"")"),151)</f>
        <v>151</v>
      </c>
      <c r="V30" s="202">
        <f ca="1">IFERROR(__xludf.DUMMYFUNCTION("IMPORTRANGE(""https://docs.google.com/spreadsheets/d/1kII0BjS6CtVrBvI8IrytgPdxDrlyQDyigzMsohRtDMs/edit?usp=sharing"",""อุทัยธานี!J701"")"),55.04)</f>
        <v>55.04</v>
      </c>
      <c r="W30" s="203">
        <f t="shared" ca="1" si="33"/>
        <v>36.450331125827816</v>
      </c>
      <c r="X30" s="203">
        <f ca="1">IFERROR(__xludf.DUMMYFUNCTION("IMPORTRANGE(""https://docs.google.com/spreadsheets/d/1kII0BjS6CtVrBvI8IrytgPdxDrlyQDyigzMsohRtDMs/edit?usp=sharing"",""อุทัยธานี!J702"")"),0)</f>
        <v>0</v>
      </c>
      <c r="Y30" s="203">
        <f ca="1">IFERROR(__xludf.DUMMYFUNCTION("IMPORTRANGE(""https://docs.google.com/spreadsheets/d/1kII0BjS6CtVrBvI8IrytgPdxDrlyQDyigzMsohRtDMs/edit?usp=sharing"",""อุทัยธานี!J703"")"),0)</f>
        <v>0</v>
      </c>
      <c r="Z30" s="203">
        <f ca="1">IFERROR(__xludf.DUMMYFUNCTION("IMPORTRANGE(""https://docs.google.com/spreadsheets/d/1kII0BjS6CtVrBvI8IrytgPdxDrlyQDyigzMsohRtDMs/edit?usp=sharing"",""อุทัยธานี!J704"")"),0)</f>
        <v>0</v>
      </c>
      <c r="AA30" s="203">
        <f ca="1">IFERROR(__xludf.DUMMYFUNCTION("IMPORTRANGE(""https://docs.google.com/spreadsheets/d/1kII0BjS6CtVrBvI8IrytgPdxDrlyQDyigzMsohRtDMs/edit?usp=sharing"",""อุทัยธานี!J705"")"),3)</f>
        <v>3</v>
      </c>
      <c r="AB30" s="203">
        <f ca="1">IFERROR(__xludf.DUMMYFUNCTION("IMPORTRANGE(""https://docs.google.com/spreadsheets/d/1kII0BjS6CtVrBvI8IrytgPdxDrlyQDyigzMsohRtDMs/edit?usp=sharing"",""อุทัยธานี!J706"")"),3)</f>
        <v>3</v>
      </c>
      <c r="AC30" s="203">
        <f ca="1">IFERROR(__xludf.DUMMYFUNCTION("IMPORTRANGE(""https://docs.google.com/spreadsheets/d/1kII0BjS6CtVrBvI8IrytgPdxDrlyQDyigzMsohRtDMs/edit?usp=sharing"",""อุทัยธานี!J707"")"),55.04)</f>
        <v>55.04</v>
      </c>
      <c r="AD30" s="202">
        <f ca="1">IFERROR(__xludf.DUMMYFUNCTION("IMPORTRANGE(""https://docs.google.com/spreadsheets/d/1kII0BjS6CtVrBvI8IrytgPdxDrlyQDyigzMsohRtDMs/edit?usp=sharing"",""อุทัยธานี!I708"")"),260)</f>
        <v>260</v>
      </c>
      <c r="AE30" s="202">
        <f ca="1">IFERROR(__xludf.DUMMYFUNCTION("IMPORTRANGE(""https://docs.google.com/spreadsheets/d/1kII0BjS6CtVrBvI8IrytgPdxDrlyQDyigzMsohRtDMs/edit?usp=sharing"",""อุทัยธานี!J708"")"),0)</f>
        <v>0</v>
      </c>
      <c r="AF30" s="203">
        <f t="shared" ca="1" si="34"/>
        <v>0</v>
      </c>
      <c r="AG30" s="202">
        <f ca="1">IFERROR(__xludf.DUMMYFUNCTION("IMPORTRANGE(""https://docs.google.com/spreadsheets/d/1kII0BjS6CtVrBvI8IrytgPdxDrlyQDyigzMsohRtDMs/edit?usp=sharing"",""อุทัยธานี!J709"")"),0)</f>
        <v>0</v>
      </c>
      <c r="AH30" s="202">
        <f ca="1">IFERROR(__xludf.DUMMYFUNCTION("IMPORTRANGE(""https://docs.google.com/spreadsheets/d/1kII0BjS6CtVrBvI8IrytgPdxDrlyQDyigzMsohRtDMs/edit?usp=sharing"",""อุทัยธานี!J710"")"),0)</f>
        <v>0</v>
      </c>
      <c r="AI30" s="202">
        <f ca="1">IFERROR(__xludf.DUMMYFUNCTION("IMPORTRANGE(""https://docs.google.com/spreadsheets/d/1kII0BjS6CtVrBvI8IrytgPdxDrlyQDyigzMsohRtDMs/edit?usp=sharing"",""อุทัยธานี!J712"")"),0)</f>
        <v>0</v>
      </c>
      <c r="AJ30" s="202">
        <f ca="1">IFERROR(__xludf.DUMMYFUNCTION("IMPORTRANGE(""https://docs.google.com/spreadsheets/d/1kII0BjS6CtVrBvI8IrytgPdxDrlyQDyigzMsohRtDMs/edit?usp=sharing"",""อุทัยธานี!J713"")"),0)</f>
        <v>0</v>
      </c>
      <c r="AK30" s="202">
        <f ca="1">IFERROR(__xludf.DUMMYFUNCTION("IMPORTRANGE(""https://docs.google.com/spreadsheets/d/1kII0BjS6CtVrBvI8IrytgPdxDrlyQDyigzMsohRtDMs/edit?usp=sharing"",""อุทัยธานี!J714"")"),0)</f>
        <v>0</v>
      </c>
      <c r="AL30" s="202">
        <f ca="1">IFERROR(__xludf.DUMMYFUNCTION("IMPORTRANGE(""https://docs.google.com/spreadsheets/d/1kII0BjS6CtVrBvI8IrytgPdxDrlyQDyigzMsohRtDMs/edit?usp=sharing"",""อุทัยธานี!J715"")"),0)</f>
        <v>0</v>
      </c>
      <c r="AM30" s="202">
        <f ca="1">IFERROR(__xludf.DUMMYFUNCTION("IMPORTRANGE(""https://docs.google.com/spreadsheets/d/1kII0BjS6CtVrBvI8IrytgPdxDrlyQDyigzMsohRtDMs/edit?usp=sharing"",""อุทัยธานี!J716"")"),0)</f>
        <v>0</v>
      </c>
      <c r="AN30" s="202">
        <f ca="1">IFERROR(__xludf.DUMMYFUNCTION("IMPORTRANGE(""https://docs.google.com/spreadsheets/d/1kII0BjS6CtVrBvI8IrytgPdxDrlyQDyigzMsohRtDMs/edit?usp=sharing"",""อุทัยธานี!J717"")"),0)</f>
        <v>0</v>
      </c>
      <c r="AO30" s="202">
        <f ca="1">IFERROR(__xludf.DUMMYFUNCTION("IMPORTRANGE(""https://docs.google.com/spreadsheets/d/1kII0BjS6CtVrBvI8IrytgPdxDrlyQDyigzMsohRtDMs/edit?usp=sharing"",""อุทัยธานี!I720"")"),640)</f>
        <v>640</v>
      </c>
      <c r="AP30" s="202">
        <f ca="1">IFERROR(__xludf.DUMMYFUNCTION("IMPORTRANGE(""https://docs.google.com/spreadsheets/d/1kII0BjS6CtVrBvI8IrytgPdxDrlyQDyigzMsohRtDMs/edit?usp=sharing"",""อุทัยธานี!J718"")"),1)</f>
        <v>1</v>
      </c>
      <c r="AQ30" s="202">
        <f ca="1">IFERROR(__xludf.DUMMYFUNCTION("IMPORTRANGE(""https://docs.google.com/spreadsheets/d/1kII0BjS6CtVrBvI8IrytgPdxDrlyQDyigzMsohRtDMs/edit?usp=sharing"",""อุทัยธานี!J719"")"),1)</f>
        <v>1</v>
      </c>
      <c r="AR30" s="202">
        <f ca="1">IFERROR(__xludf.DUMMYFUNCTION("IMPORTRANGE(""https://docs.google.com/spreadsheets/d/1kII0BjS6CtVrBvI8IrytgPdxDrlyQDyigzMsohRtDMs/edit?usp=sharing"",""อุทัยธานี!J720"")"),10.05)</f>
        <v>10.050000000000001</v>
      </c>
      <c r="AS30" s="203">
        <f t="shared" ca="1" si="14"/>
        <v>1.5703125000000002</v>
      </c>
      <c r="AT30" s="202">
        <f ca="1">IFERROR(__xludf.DUMMYFUNCTION("IMPORTRANGE(""https://docs.google.com/spreadsheets/d/1kII0BjS6CtVrBvI8IrytgPdxDrlyQDyigzMsohRtDMs/edit?usp=sharing"",""อุทัยธานี!I721"")"),9)</f>
        <v>9</v>
      </c>
      <c r="AU30" s="202">
        <f ca="1">IFERROR(__xludf.DUMMYFUNCTION("IMPORTRANGE(""https://docs.google.com/spreadsheets/d/1kII0BjS6CtVrBvI8IrytgPdxDrlyQDyigzMsohRtDMs/edit?usp=sharing"",""อุทัยธานี!I722"")"),139)</f>
        <v>139</v>
      </c>
      <c r="AV30" s="202">
        <f ca="1">IFERROR(__xludf.DUMMYFUNCTION("IMPORTRANGE(""https://docs.google.com/spreadsheets/d/1kII0BjS6CtVrBvI8IrytgPdxDrlyQDyigzMsohRtDMs/edit?usp=sharing"",""อุทัยธานี!J721"")"),7)</f>
        <v>7</v>
      </c>
      <c r="AW30" s="203">
        <f t="shared" ca="1" si="16"/>
        <v>77.777777777777771</v>
      </c>
      <c r="AX30" s="202">
        <f ca="1">IFERROR(__xludf.DUMMYFUNCTION("IMPORTRANGE(""https://docs.google.com/spreadsheets/d/1kII0BjS6CtVrBvI8IrytgPdxDrlyQDyigzMsohRtDMs/edit?usp=sharing"",""อุทัยธานี!J722"")"),147.59)</f>
        <v>147.59</v>
      </c>
      <c r="AY30" s="203">
        <f t="shared" ca="1" si="17"/>
        <v>106.17985611510791</v>
      </c>
      <c r="AZ30" s="202">
        <f ca="1">IFERROR(__xludf.DUMMYFUNCTION("IMPORTRANGE(""https://docs.google.com/spreadsheets/d/1kII0BjS6CtVrBvI8IrytgPdxDrlyQDyigzMsohRtDMs/edit?usp=sharing"",""อุทัยธานี!I723"")"),7)</f>
        <v>7</v>
      </c>
      <c r="BA30" s="202">
        <f ca="1">IFERROR(__xludf.DUMMYFUNCTION("IMPORTRANGE(""https://docs.google.com/spreadsheets/d/1kII0BjS6CtVrBvI8IrytgPdxDrlyQDyigzMsohRtDMs/edit?usp=sharing"",""อุทัยธานี!I725"")"),114)</f>
        <v>114</v>
      </c>
      <c r="BB30" s="202">
        <f ca="1">IFERROR(__xludf.DUMMYFUNCTION("IMPORTRANGE(""https://docs.google.com/spreadsheets/d/1kII0BjS6CtVrBvI8IrytgPdxDrlyQDyigzMsohRtDMs/edit?usp=sharing"",""อุทัยธานี!J723"")"),7)</f>
        <v>7</v>
      </c>
      <c r="BC30" s="202">
        <f ca="1">IFERROR(__xludf.DUMMYFUNCTION("IMPORTRANGE(""https://docs.google.com/spreadsheets/d/1kII0BjS6CtVrBvI8IrytgPdxDrlyQDyigzMsohRtDMs/edit?usp=sharing"",""อุทัยธานี!J724"")"),7)</f>
        <v>7</v>
      </c>
      <c r="BD30" s="202">
        <f ca="1">IFERROR(__xludf.DUMMYFUNCTION("IMPORTRANGE(""https://docs.google.com/spreadsheets/d/1kII0BjS6CtVrBvI8IrytgPdxDrlyQDyigzMsohRtDMs/edit?usp=sharing"",""อุทัยธานี!J725"")"),147.59)</f>
        <v>147.59</v>
      </c>
      <c r="BE30" s="202">
        <f ca="1">IFERROR(__xludf.DUMMYFUNCTION("IMPORTRANGE(""https://docs.google.com/spreadsheets/d/1kII0BjS6CtVrBvI8IrytgPdxDrlyQDyigzMsohRtDMs/edit?usp=sharing"",""อุทัยธานี!I726"")"),2)</f>
        <v>2</v>
      </c>
      <c r="BF30" s="202">
        <f ca="1">IFERROR(__xludf.DUMMYFUNCTION("IMPORTRANGE(""https://docs.google.com/spreadsheets/d/1kII0BjS6CtVrBvI8IrytgPdxDrlyQDyigzMsohRtDMs/edit?usp=sharing"",""อุทัยธานี!I728"")"),25)</f>
        <v>25</v>
      </c>
      <c r="BG30" s="202">
        <f ca="1">IFERROR(__xludf.DUMMYFUNCTION("IMPORTRANGE(""https://docs.google.com/spreadsheets/d/1kII0BjS6CtVrBvI8IrytgPdxDrlyQDyigzMsohRtDMs/edit?usp=sharing"",""อุทัยธานี!J726"")"),0)</f>
        <v>0</v>
      </c>
      <c r="BH30" s="202">
        <f ca="1">IFERROR(__xludf.DUMMYFUNCTION("IMPORTRANGE(""https://docs.google.com/spreadsheets/d/1kII0BjS6CtVrBvI8IrytgPdxDrlyQDyigzMsohRtDMs/edit?usp=sharing"",""อุทัยธานี!J727"")"),0)</f>
        <v>0</v>
      </c>
      <c r="BI30" s="202">
        <f ca="1">IFERROR(__xludf.DUMMYFUNCTION("IMPORTRANGE(""https://docs.google.com/spreadsheets/d/1kII0BjS6CtVrBvI8IrytgPdxDrlyQDyigzMsohRtDMs/edit?usp=sharing"",""อุทัยธานี!J728"")"),0)</f>
        <v>0</v>
      </c>
      <c r="BJ30" s="202">
        <f ca="1">IFERROR(__xludf.DUMMYFUNCTION("IMPORTRANGE(""https://docs.google.com/spreadsheets/d/1kII0BjS6CtVrBvI8IrytgPdxDrlyQDyigzMsohRtDMs/edit?usp=sharing"",""อุทัยธานี!I729"")"),65)</f>
        <v>65</v>
      </c>
      <c r="BK30" s="202">
        <f ca="1">IFERROR(__xludf.DUMMYFUNCTION("IMPORTRANGE(""https://docs.google.com/spreadsheets/d/1kII0BjS6CtVrBvI8IrytgPdxDrlyQDyigzMsohRtDMs/edit?usp=sharing"",""อุทัยธานี!J729"")"),151.72)</f>
        <v>151.72</v>
      </c>
      <c r="BL30" s="203">
        <f t="shared" ca="1" si="19"/>
        <v>233.41538461538462</v>
      </c>
      <c r="BM30" s="202">
        <f ca="1">IFERROR(__xludf.DUMMYFUNCTION("IMPORTRANGE(""https://docs.google.com/spreadsheets/d/1kII0BjS6CtVrBvI8IrytgPdxDrlyQDyigzMsohRtDMs/edit?usp=sharing"",""อุทัยธานี!J730"")"),5)</f>
        <v>5</v>
      </c>
      <c r="BN30" s="202">
        <f ca="1">IFERROR(__xludf.DUMMYFUNCTION("IMPORTRANGE(""https://docs.google.com/spreadsheets/d/1kII0BjS6CtVrBvI8IrytgPdxDrlyQDyigzMsohRtDMs/edit?usp=sharing"",""อุทัยธานี!J731"")"),5)</f>
        <v>5</v>
      </c>
      <c r="BO30" s="202">
        <f ca="1">IFERROR(__xludf.DUMMYFUNCTION("IMPORTRANGE(""https://docs.google.com/spreadsheets/d/1kII0BjS6CtVrBvI8IrytgPdxDrlyQDyigzMsohRtDMs/edit?usp=sharing"",""อุทัยธานี!J732"")"),94.48)</f>
        <v>94.48</v>
      </c>
      <c r="BP30" s="202">
        <f ca="1">IFERROR(__xludf.DUMMYFUNCTION("IMPORTRANGE(""https://docs.google.com/spreadsheets/d/1kII0BjS6CtVrBvI8IrytgPdxDrlyQDyigzMsohRtDMs/edit?usp=sharing"",""อุทัยธานี!J733"")"),3)</f>
        <v>3</v>
      </c>
      <c r="BQ30" s="202">
        <f ca="1">IFERROR(__xludf.DUMMYFUNCTION("IMPORTRANGE(""https://docs.google.com/spreadsheets/d/1kII0BjS6CtVrBvI8IrytgPdxDrlyQDyigzMsohRtDMs/edit?usp=sharing"",""อุทัยธานี!J734"")"),3)</f>
        <v>3</v>
      </c>
      <c r="BR30" s="202">
        <f ca="1">IFERROR(__xludf.DUMMYFUNCTION("IMPORTRANGE(""https://docs.google.com/spreadsheets/d/1kII0BjS6CtVrBvI8IrytgPdxDrlyQDyigzMsohRtDMs/edit?usp=sharing"",""อุทัยธานี!J735"")"),57.24)</f>
        <v>57.24</v>
      </c>
    </row>
    <row r="31" spans="1:70" ht="21" customHeight="1" x14ac:dyDescent="0.3">
      <c r="A31" s="338" t="s">
        <v>48</v>
      </c>
      <c r="B31" s="339"/>
      <c r="C31" s="265">
        <f t="shared" ref="C31:E31" ca="1" si="48">SUM(C32:C51)</f>
        <v>346040</v>
      </c>
      <c r="D31" s="159">
        <f t="shared" ca="1" si="48"/>
        <v>346040</v>
      </c>
      <c r="E31" s="159">
        <f t="shared" ca="1" si="48"/>
        <v>0</v>
      </c>
      <c r="F31" s="159">
        <f t="shared" ca="1" si="1"/>
        <v>47295</v>
      </c>
      <c r="G31" s="253">
        <f t="shared" ca="1" si="2"/>
        <v>13.667495087273148</v>
      </c>
      <c r="H31" s="159">
        <f t="shared" ref="H31:M31" ca="1" si="49">SUM(H32:H51)</f>
        <v>47295</v>
      </c>
      <c r="I31" s="159">
        <f t="shared" ca="1" si="49"/>
        <v>0</v>
      </c>
      <c r="J31" s="159">
        <f t="shared" ca="1" si="49"/>
        <v>0</v>
      </c>
      <c r="K31" s="159">
        <f t="shared" ca="1" si="49"/>
        <v>0</v>
      </c>
      <c r="L31" s="159">
        <f t="shared" ca="1" si="49"/>
        <v>47295</v>
      </c>
      <c r="M31" s="161">
        <f t="shared" ca="1" si="49"/>
        <v>0</v>
      </c>
      <c r="N31" s="161">
        <f t="shared" ca="1" si="37"/>
        <v>0</v>
      </c>
      <c r="O31" s="159">
        <f t="shared" ref="O31:P31" ca="1" si="50">SUM(O32:O51)</f>
        <v>839</v>
      </c>
      <c r="P31" s="159">
        <f t="shared" ca="1" si="50"/>
        <v>362.21</v>
      </c>
      <c r="Q31" s="162">
        <f t="shared" ca="1" si="31"/>
        <v>43.171632896305127</v>
      </c>
      <c r="R31" s="159">
        <f t="shared" ref="R31:S31" ca="1" si="51">SUM(R32:R51)</f>
        <v>211</v>
      </c>
      <c r="S31" s="159">
        <f t="shared" ca="1" si="51"/>
        <v>25</v>
      </c>
      <c r="T31" s="162">
        <f t="shared" ca="1" si="32"/>
        <v>11.848341232227488</v>
      </c>
      <c r="U31" s="159">
        <f t="shared" ref="U31:V31" ca="1" si="52">SUM(U32:U51)</f>
        <v>1815</v>
      </c>
      <c r="V31" s="159">
        <f t="shared" ca="1" si="52"/>
        <v>123.95</v>
      </c>
      <c r="W31" s="162">
        <f t="shared" ca="1" si="33"/>
        <v>6.8292011019283745</v>
      </c>
      <c r="X31" s="162">
        <f t="shared" ref="X31:AE31" ca="1" si="53">SUM(X32:X51)</f>
        <v>10</v>
      </c>
      <c r="Y31" s="162">
        <f t="shared" ca="1" si="53"/>
        <v>15</v>
      </c>
      <c r="Z31" s="162">
        <f t="shared" ca="1" si="53"/>
        <v>123.95</v>
      </c>
      <c r="AA31" s="162">
        <f t="shared" ca="1" si="53"/>
        <v>0</v>
      </c>
      <c r="AB31" s="162">
        <f t="shared" ca="1" si="53"/>
        <v>0</v>
      </c>
      <c r="AC31" s="162">
        <f t="shared" ca="1" si="53"/>
        <v>0</v>
      </c>
      <c r="AD31" s="159">
        <f t="shared" ca="1" si="53"/>
        <v>459</v>
      </c>
      <c r="AE31" s="159">
        <f t="shared" ca="1" si="53"/>
        <v>0</v>
      </c>
      <c r="AF31" s="162">
        <f t="shared" ca="1" si="34"/>
        <v>0</v>
      </c>
      <c r="AG31" s="159">
        <f t="shared" ref="AG31:AR31" ca="1" si="54">SUM(AG32:AG51)</f>
        <v>1</v>
      </c>
      <c r="AH31" s="159">
        <f t="shared" ca="1" si="54"/>
        <v>14</v>
      </c>
      <c r="AI31" s="159">
        <f t="shared" ca="1" si="54"/>
        <v>0</v>
      </c>
      <c r="AJ31" s="159">
        <f t="shared" ca="1" si="54"/>
        <v>0</v>
      </c>
      <c r="AK31" s="159">
        <f t="shared" ca="1" si="54"/>
        <v>0</v>
      </c>
      <c r="AL31" s="159">
        <f t="shared" ca="1" si="54"/>
        <v>0</v>
      </c>
      <c r="AM31" s="159">
        <f t="shared" ca="1" si="54"/>
        <v>0</v>
      </c>
      <c r="AN31" s="159">
        <f t="shared" ca="1" si="54"/>
        <v>0</v>
      </c>
      <c r="AO31" s="159">
        <f t="shared" ca="1" si="54"/>
        <v>334</v>
      </c>
      <c r="AP31" s="159">
        <f t="shared" ca="1" si="54"/>
        <v>0</v>
      </c>
      <c r="AQ31" s="159">
        <f t="shared" ca="1" si="54"/>
        <v>0</v>
      </c>
      <c r="AR31" s="159">
        <f t="shared" ca="1" si="54"/>
        <v>0</v>
      </c>
      <c r="AS31" s="162">
        <f t="shared" ca="1" si="14"/>
        <v>0</v>
      </c>
      <c r="AT31" s="159">
        <f t="shared" ref="AT31:AV31" ca="1" si="55">SUM(AT32:AT51)</f>
        <v>101</v>
      </c>
      <c r="AU31" s="159">
        <f t="shared" ca="1" si="55"/>
        <v>1076</v>
      </c>
      <c r="AV31" s="159">
        <f t="shared" ca="1" si="55"/>
        <v>0</v>
      </c>
      <c r="AW31" s="162">
        <f t="shared" ca="1" si="16"/>
        <v>0</v>
      </c>
      <c r="AX31" s="159">
        <f ca="1">SUM(AX32:AX51)</f>
        <v>0</v>
      </c>
      <c r="AY31" s="162">
        <f t="shared" ca="1" si="17"/>
        <v>0</v>
      </c>
      <c r="AZ31" s="159">
        <f t="shared" ref="AZ31:BK31" ca="1" si="56">SUM(AZ32:AZ51)</f>
        <v>99</v>
      </c>
      <c r="BA31" s="159">
        <f t="shared" ca="1" si="56"/>
        <v>1056</v>
      </c>
      <c r="BB31" s="159">
        <f t="shared" ca="1" si="56"/>
        <v>0</v>
      </c>
      <c r="BC31" s="159">
        <f t="shared" ca="1" si="56"/>
        <v>0</v>
      </c>
      <c r="BD31" s="159">
        <f t="shared" ca="1" si="56"/>
        <v>0</v>
      </c>
      <c r="BE31" s="159">
        <f t="shared" ca="1" si="56"/>
        <v>2</v>
      </c>
      <c r="BF31" s="159">
        <f t="shared" ca="1" si="56"/>
        <v>20</v>
      </c>
      <c r="BG31" s="159">
        <f t="shared" ca="1" si="56"/>
        <v>0</v>
      </c>
      <c r="BH31" s="159">
        <f t="shared" ca="1" si="56"/>
        <v>0</v>
      </c>
      <c r="BI31" s="159">
        <f t="shared" ca="1" si="56"/>
        <v>0</v>
      </c>
      <c r="BJ31" s="159">
        <f t="shared" ca="1" si="56"/>
        <v>1522</v>
      </c>
      <c r="BK31" s="159">
        <f t="shared" ca="1" si="56"/>
        <v>0</v>
      </c>
      <c r="BL31" s="162">
        <f t="shared" ca="1" si="19"/>
        <v>0</v>
      </c>
      <c r="BM31" s="159">
        <f t="shared" ref="BM31:BR31" ca="1" si="57">SUM(BM32:BM51)</f>
        <v>0</v>
      </c>
      <c r="BN31" s="159">
        <f t="shared" ca="1" si="57"/>
        <v>0</v>
      </c>
      <c r="BO31" s="159">
        <f t="shared" ca="1" si="57"/>
        <v>0</v>
      </c>
      <c r="BP31" s="159">
        <f t="shared" ca="1" si="57"/>
        <v>0</v>
      </c>
      <c r="BQ31" s="159">
        <f t="shared" ca="1" si="57"/>
        <v>0</v>
      </c>
      <c r="BR31" s="159">
        <f t="shared" ca="1" si="57"/>
        <v>0</v>
      </c>
    </row>
    <row r="32" spans="1:70" ht="21" customHeight="1" x14ac:dyDescent="0.3">
      <c r="A32" s="178">
        <v>1</v>
      </c>
      <c r="B32" s="179" t="s">
        <v>49</v>
      </c>
      <c r="C32" s="180">
        <f t="shared" ref="C32:C51" ca="1" si="58">D32+E32</f>
        <v>7440</v>
      </c>
      <c r="D32" s="181">
        <f ca="1">IFERROR(__xludf.DUMMYFUNCTION("IMPORTRANGE(""https://docs.google.com/spreadsheets/d/1fb2B9NLcpJgjIieIJvenUTNPn0TimZDUi0OtYeiSQ_s/edit?usp=sharing"",""กาฬสินธุ์!L690"")"),7440)</f>
        <v>7440</v>
      </c>
      <c r="E32" s="181">
        <f ca="1">IFERROR(__xludf.DUMMYFUNCTION("IMPORTRANGE(""https://docs.google.com/spreadsheets/d/1fb2B9NLcpJgjIieIJvenUTNPn0TimZDUi0OtYeiSQ_s/edit?usp=sharing"",""กาฬสินธุ์!L697"")"),0)</f>
        <v>0</v>
      </c>
      <c r="F32" s="182">
        <f t="shared" ca="1" si="1"/>
        <v>0</v>
      </c>
      <c r="G32" s="183">
        <f t="shared" ca="1" si="2"/>
        <v>0</v>
      </c>
      <c r="H32" s="184">
        <f t="shared" ref="H32:H51" ca="1" si="59">I32+J32+K32+L32</f>
        <v>0</v>
      </c>
      <c r="I32" s="181">
        <f ca="1">IFERROR(__xludf.DUMMYFUNCTION("IMPORTRANGE(""https://docs.google.com/spreadsheets/d/1fb2B9NLcpJgjIieIJvenUTNPn0TimZDUi0OtYeiSQ_s/edit?usp=sharing"",""กาฬสินธุ์!N691"")"),0)</f>
        <v>0</v>
      </c>
      <c r="J32" s="181">
        <f ca="1">IFERROR(__xludf.DUMMYFUNCTION("IMPORTRANGE(""https://docs.google.com/spreadsheets/d/1fb2B9NLcpJgjIieIJvenUTNPn0TimZDUi0OtYeiSQ_s/edit?usp=sharing"",""กาฬสินธุ์!N692"")"),0)</f>
        <v>0</v>
      </c>
      <c r="K32" s="181">
        <f ca="1">IFERROR(__xludf.DUMMYFUNCTION("IMPORTRANGE(""https://docs.google.com/spreadsheets/d/1fb2B9NLcpJgjIieIJvenUTNPn0TimZDUi0OtYeiSQ_s/edit?usp=sharing"",""กาฬสินธุ์!N693"")"),0)</f>
        <v>0</v>
      </c>
      <c r="L32" s="181">
        <f ca="1">IFERROR(__xludf.DUMMYFUNCTION("IMPORTRANGE(""https://docs.google.com/spreadsheets/d/1fb2B9NLcpJgjIieIJvenUTNPn0TimZDUi0OtYeiSQ_s/edit?usp=sharing"",""กาฬสินธุ์!N694"")"),0)</f>
        <v>0</v>
      </c>
      <c r="M32" s="185">
        <f ca="1">IFERROR(__xludf.DUMMYFUNCTION("IMPORTRANGE(""https://docs.google.com/spreadsheets/d/1fb2B9NLcpJgjIieIJvenUTNPn0TimZDUi0OtYeiSQ_s/edit?usp=sharing"",""กาฬสินธุ์!N697"")"),0)</f>
        <v>0</v>
      </c>
      <c r="N32" s="185">
        <f t="shared" ca="1" si="37"/>
        <v>0</v>
      </c>
      <c r="O32" s="181">
        <f ca="1">IFERROR(__xludf.DUMMYFUNCTION("IMPORTRANGE(""https://docs.google.com/spreadsheets/d/1fb2B9NLcpJgjIieIJvenUTNPn0TimZDUi0OtYeiSQ_s/edit?usp=sharing"",""กาฬสินธุ์!I699"")"),0)</f>
        <v>0</v>
      </c>
      <c r="P32" s="181">
        <f ca="1">IFERROR(__xludf.DUMMYFUNCTION("IMPORTRANGE(""https://docs.google.com/spreadsheets/d/1fb2B9NLcpJgjIieIJvenUTNPn0TimZDUi0OtYeiSQ_s/edit?usp=sharing"",""กาฬสินธุ์!J699"")"),0)</f>
        <v>0</v>
      </c>
      <c r="Q32" s="186">
        <f t="shared" ca="1" si="31"/>
        <v>0</v>
      </c>
      <c r="R32" s="181">
        <f ca="1">IFERROR(__xludf.DUMMYFUNCTION("IMPORTRANGE(""https://docs.google.com/spreadsheets/d/1fb2B9NLcpJgjIieIJvenUTNPn0TimZDUi0OtYeiSQ_s/edit?usp=sharing"",""กาฬสินธุ์!I700"")"),50)</f>
        <v>50</v>
      </c>
      <c r="S32" s="181">
        <f ca="1">IFERROR(__xludf.DUMMYFUNCTION("IMPORTRANGE(""https://docs.google.com/spreadsheets/d/1fb2B9NLcpJgjIieIJvenUTNPn0TimZDUi0OtYeiSQ_s/edit?usp=sharing"",""กาฬสินธุ์!J700"")"),0)</f>
        <v>0</v>
      </c>
      <c r="T32" s="186">
        <f t="shared" ca="1" si="32"/>
        <v>0</v>
      </c>
      <c r="U32" s="181">
        <f ca="1">IFERROR(__xludf.DUMMYFUNCTION("IMPORTRANGE(""https://docs.google.com/spreadsheets/d/1fb2B9NLcpJgjIieIJvenUTNPn0TimZDUi0OtYeiSQ_s/edit?usp=sharing"",""กาฬสินธุ์!I701"")"),4)</f>
        <v>4</v>
      </c>
      <c r="V32" s="181">
        <f ca="1">IFERROR(__xludf.DUMMYFUNCTION("IMPORTRANGE(""https://docs.google.com/spreadsheets/d/1fb2B9NLcpJgjIieIJvenUTNPn0TimZDUi0OtYeiSQ_s/edit?usp=sharing"",""กาฬสินธุ์!J701"")"),0)</f>
        <v>0</v>
      </c>
      <c r="W32" s="186">
        <f t="shared" ca="1" si="33"/>
        <v>0</v>
      </c>
      <c r="X32" s="186">
        <f ca="1">IFERROR(__xludf.DUMMYFUNCTION("IMPORTRANGE(""https://docs.google.com/spreadsheets/d/1fb2B9NLcpJgjIieIJvenUTNPn0TimZDUi0OtYeiSQ_s/edit?usp=sharing"",""กาฬสินธุ์!J702"")"),0)</f>
        <v>0</v>
      </c>
      <c r="Y32" s="186">
        <f ca="1">IFERROR(__xludf.DUMMYFUNCTION("IMPORTRANGE(""https://docs.google.com/spreadsheets/d/1fb2B9NLcpJgjIieIJvenUTNPn0TimZDUi0OtYeiSQ_s/edit?usp=sharing"",""กาฬสินธุ์!J703"")"),0)</f>
        <v>0</v>
      </c>
      <c r="Z32" s="186">
        <f ca="1">IFERROR(__xludf.DUMMYFUNCTION("IMPORTRANGE(""https://docs.google.com/spreadsheets/d/1fb2B9NLcpJgjIieIJvenUTNPn0TimZDUi0OtYeiSQ_s/edit?usp=sharing"",""กาฬสินธุ์!J704"")"),0)</f>
        <v>0</v>
      </c>
      <c r="AA32" s="186">
        <f ca="1">IFERROR(__xludf.DUMMYFUNCTION("IMPORTRANGE(""https://docs.google.com/spreadsheets/d/1fb2B9NLcpJgjIieIJvenUTNPn0TimZDUi0OtYeiSQ_s/edit?usp=sharing"",""กาฬสินธุ์!J705"")"),0)</f>
        <v>0</v>
      </c>
      <c r="AB32" s="186">
        <f ca="1">IFERROR(__xludf.DUMMYFUNCTION("IMPORTRANGE(""https://docs.google.com/spreadsheets/d/1fb2B9NLcpJgjIieIJvenUTNPn0TimZDUi0OtYeiSQ_s/edit?usp=sharing"",""กาฬสินธุ์!J706"")"),0)</f>
        <v>0</v>
      </c>
      <c r="AC32" s="186">
        <f ca="1">IFERROR(__xludf.DUMMYFUNCTION("IMPORTRANGE(""https://docs.google.com/spreadsheets/d/1fb2B9NLcpJgjIieIJvenUTNPn0TimZDUi0OtYeiSQ_s/edit?usp=sharing"",""กาฬสินธุ์!J707"")"),0)</f>
        <v>0</v>
      </c>
      <c r="AD32" s="181">
        <f ca="1">IFERROR(__xludf.DUMMYFUNCTION("IMPORTRANGE(""https://docs.google.com/spreadsheets/d/1fb2B9NLcpJgjIieIJvenUTNPn0TimZDUi0OtYeiSQ_s/edit?usp=sharing"",""กาฬสินธุ์!I708"")"),0)</f>
        <v>0</v>
      </c>
      <c r="AE32" s="181">
        <f ca="1">IFERROR(__xludf.DUMMYFUNCTION("IMPORTRANGE(""https://docs.google.com/spreadsheets/d/1fb2B9NLcpJgjIieIJvenUTNPn0TimZDUi0OtYeiSQ_s/edit?usp=sharing"",""กาฬสินธุ์!J708"")"),0)</f>
        <v>0</v>
      </c>
      <c r="AF32" s="186">
        <f t="shared" ca="1" si="34"/>
        <v>0</v>
      </c>
      <c r="AG32" s="181">
        <f ca="1">IFERROR(__xludf.DUMMYFUNCTION("IMPORTRANGE(""https://docs.google.com/spreadsheets/d/1fb2B9NLcpJgjIieIJvenUTNPn0TimZDUi0OtYeiSQ_s/edit?usp=sharing"",""กาฬสินธุ์!J709"")"),0)</f>
        <v>0</v>
      </c>
      <c r="AH32" s="181">
        <f ca="1">IFERROR(__xludf.DUMMYFUNCTION("IMPORTRANGE(""https://docs.google.com/spreadsheets/d/1fb2B9NLcpJgjIieIJvenUTNPn0TimZDUi0OtYeiSQ_s/edit?usp=sharing"",""กาฬสินธุ์!J710"")"),0)</f>
        <v>0</v>
      </c>
      <c r="AI32" s="181">
        <f ca="1">IFERROR(__xludf.DUMMYFUNCTION("IMPORTRANGE(""https://docs.google.com/spreadsheets/d/1fb2B9NLcpJgjIieIJvenUTNPn0TimZDUi0OtYeiSQ_s/edit?usp=sharing"",""กาฬสินธุ์!J712"")"),0)</f>
        <v>0</v>
      </c>
      <c r="AJ32" s="181">
        <f ca="1">IFERROR(__xludf.DUMMYFUNCTION("IMPORTRANGE(""https://docs.google.com/spreadsheets/d/1fb2B9NLcpJgjIieIJvenUTNPn0TimZDUi0OtYeiSQ_s/edit?usp=sharing"",""กาฬสินธุ์!J713"")"),0)</f>
        <v>0</v>
      </c>
      <c r="AK32" s="181">
        <f ca="1">IFERROR(__xludf.DUMMYFUNCTION("IMPORTRANGE(""https://docs.google.com/spreadsheets/d/1fb2B9NLcpJgjIieIJvenUTNPn0TimZDUi0OtYeiSQ_s/edit?usp=sharing"",""กาฬสินธุ์!J714"")"),0)</f>
        <v>0</v>
      </c>
      <c r="AL32" s="181">
        <f ca="1">IFERROR(__xludf.DUMMYFUNCTION("IMPORTRANGE(""https://docs.google.com/spreadsheets/d/1fb2B9NLcpJgjIieIJvenUTNPn0TimZDUi0OtYeiSQ_s/edit?usp=sharing"",""กาฬสินธุ์!J715"")"),0)</f>
        <v>0</v>
      </c>
      <c r="AM32" s="181">
        <f ca="1">IFERROR(__xludf.DUMMYFUNCTION("IMPORTRANGE(""https://docs.google.com/spreadsheets/d/1fb2B9NLcpJgjIieIJvenUTNPn0TimZDUi0OtYeiSQ_s/edit?usp=sharing"",""กาฬสินธุ์!J716"")"),0)</f>
        <v>0</v>
      </c>
      <c r="AN32" s="181">
        <f ca="1">IFERROR(__xludf.DUMMYFUNCTION("IMPORTRANGE(""https://docs.google.com/spreadsheets/d/1fb2B9NLcpJgjIieIJvenUTNPn0TimZDUi0OtYeiSQ_s/edit?usp=sharing"",""กาฬสินธุ์!J717"")"),0)</f>
        <v>0</v>
      </c>
      <c r="AO32" s="181">
        <f ca="1">IFERROR(__xludf.DUMMYFUNCTION("IMPORTRANGE(""https://docs.google.com/spreadsheets/d/1fb2B9NLcpJgjIieIJvenUTNPn0TimZDUi0OtYeiSQ_s/edit?usp=sharing"",""กาฬสินธุ์!I720"")"),0)</f>
        <v>0</v>
      </c>
      <c r="AP32" s="181">
        <f ca="1">IFERROR(__xludf.DUMMYFUNCTION("IMPORTRANGE(""https://docs.google.com/spreadsheets/d/1fb2B9NLcpJgjIieIJvenUTNPn0TimZDUi0OtYeiSQ_s/edit?usp=sharing"",""กาฬสินธุ์!J718"")"),0)</f>
        <v>0</v>
      </c>
      <c r="AQ32" s="181">
        <f ca="1">IFERROR(__xludf.DUMMYFUNCTION("IMPORTRANGE(""https://docs.google.com/spreadsheets/d/1fb2B9NLcpJgjIieIJvenUTNPn0TimZDUi0OtYeiSQ_s/edit?usp=sharing"",""กาฬสินธุ์!J719"")"),0)</f>
        <v>0</v>
      </c>
      <c r="AR32" s="181">
        <f ca="1">IFERROR(__xludf.DUMMYFUNCTION("IMPORTRANGE(""https://docs.google.com/spreadsheets/d/1fb2B9NLcpJgjIieIJvenUTNPn0TimZDUi0OtYeiSQ_s/edit?usp=sharing"",""กาฬสินธุ์!J720"")"),0)</f>
        <v>0</v>
      </c>
      <c r="AS32" s="186">
        <f t="shared" ca="1" si="14"/>
        <v>0</v>
      </c>
      <c r="AT32" s="181">
        <f ca="1">IFERROR(__xludf.DUMMYFUNCTION("IMPORTRANGE(""https://docs.google.com/spreadsheets/d/1fb2B9NLcpJgjIieIJvenUTNPn0TimZDUi0OtYeiSQ_s/edit?usp=sharing"",""กาฬสินธุ์!I721"")"),3)</f>
        <v>3</v>
      </c>
      <c r="AU32" s="181">
        <f ca="1">IFERROR(__xludf.DUMMYFUNCTION("IMPORTRANGE(""https://docs.google.com/spreadsheets/d/1fb2B9NLcpJgjIieIJvenUTNPn0TimZDUi0OtYeiSQ_s/edit?usp=sharing"",""กาฬสินธุ์!I722"")"),2)</f>
        <v>2</v>
      </c>
      <c r="AV32" s="181">
        <f ca="1">IFERROR(__xludf.DUMMYFUNCTION("IMPORTRANGE(""https://docs.google.com/spreadsheets/d/1fb2B9NLcpJgjIieIJvenUTNPn0TimZDUi0OtYeiSQ_s/edit?usp=sharing"",""กาฬสินธุ์!J721"")"),0)</f>
        <v>0</v>
      </c>
      <c r="AW32" s="186">
        <f t="shared" ca="1" si="16"/>
        <v>0</v>
      </c>
      <c r="AX32" s="181">
        <f ca="1">IFERROR(__xludf.DUMMYFUNCTION("IMPORTRANGE(""https://docs.google.com/spreadsheets/d/1fb2B9NLcpJgjIieIJvenUTNPn0TimZDUi0OtYeiSQ_s/edit?usp=sharing"",""กาฬสินธุ์!J722"")"),0)</f>
        <v>0</v>
      </c>
      <c r="AY32" s="186">
        <f t="shared" ca="1" si="17"/>
        <v>0</v>
      </c>
      <c r="AZ32" s="181">
        <f ca="1">IFERROR(__xludf.DUMMYFUNCTION("IMPORTRANGE(""https://docs.google.com/spreadsheets/d/1fb2B9NLcpJgjIieIJvenUTNPn0TimZDUi0OtYeiSQ_s/edit?usp=sharing"",""กาฬสินธุ์!I723"")"),3)</f>
        <v>3</v>
      </c>
      <c r="BA32" s="181">
        <f ca="1">IFERROR(__xludf.DUMMYFUNCTION("IMPORTRANGE(""https://docs.google.com/spreadsheets/d/1fb2B9NLcpJgjIieIJvenUTNPn0TimZDUi0OtYeiSQ_s/edit?usp=sharing"",""กาฬสินธุ์!I725"")"),2)</f>
        <v>2</v>
      </c>
      <c r="BB32" s="181">
        <f ca="1">IFERROR(__xludf.DUMMYFUNCTION("IMPORTRANGE(""https://docs.google.com/spreadsheets/d/1fb2B9NLcpJgjIieIJvenUTNPn0TimZDUi0OtYeiSQ_s/edit?usp=sharing"",""กาฬสินธุ์!J723"")"),0)</f>
        <v>0</v>
      </c>
      <c r="BC32" s="181">
        <f ca="1">IFERROR(__xludf.DUMMYFUNCTION("IMPORTRANGE(""https://docs.google.com/spreadsheets/d/1fb2B9NLcpJgjIieIJvenUTNPn0TimZDUi0OtYeiSQ_s/edit?usp=sharing"",""กาฬสินธุ์!J724"")"),0)</f>
        <v>0</v>
      </c>
      <c r="BD32" s="181">
        <f ca="1">IFERROR(__xludf.DUMMYFUNCTION("IMPORTRANGE(""https://docs.google.com/spreadsheets/d/1fb2B9NLcpJgjIieIJvenUTNPn0TimZDUi0OtYeiSQ_s/edit?usp=sharing"",""กาฬสินธุ์!J725"")"),0)</f>
        <v>0</v>
      </c>
      <c r="BE32" s="181">
        <f ca="1">IFERROR(__xludf.DUMMYFUNCTION("IMPORTRANGE(""https://docs.google.com/spreadsheets/d/1fb2B9NLcpJgjIieIJvenUTNPn0TimZDUi0OtYeiSQ_s/edit?usp=sharing"",""กาฬสินธุ์!I726"")"),0)</f>
        <v>0</v>
      </c>
      <c r="BF32" s="181">
        <f ca="1">IFERROR(__xludf.DUMMYFUNCTION("IMPORTRANGE(""https://docs.google.com/spreadsheets/d/1fb2B9NLcpJgjIieIJvenUTNPn0TimZDUi0OtYeiSQ_s/edit?usp=sharing"",""กาฬสินธุ์!I728"")"),0)</f>
        <v>0</v>
      </c>
      <c r="BG32" s="181">
        <f ca="1">IFERROR(__xludf.DUMMYFUNCTION("IMPORTRANGE(""https://docs.google.com/spreadsheets/d/1fb2B9NLcpJgjIieIJvenUTNPn0TimZDUi0OtYeiSQ_s/edit?usp=sharing"",""กาฬสินธุ์!J726"")"),0)</f>
        <v>0</v>
      </c>
      <c r="BH32" s="181">
        <f ca="1">IFERROR(__xludf.DUMMYFUNCTION("IMPORTRANGE(""https://docs.google.com/spreadsheets/d/1fb2B9NLcpJgjIieIJvenUTNPn0TimZDUi0OtYeiSQ_s/edit?usp=sharing"",""กาฬสินธุ์!J727"")"),0)</f>
        <v>0</v>
      </c>
      <c r="BI32" s="181">
        <f ca="1">IFERROR(__xludf.DUMMYFUNCTION("IMPORTRANGE(""https://docs.google.com/spreadsheets/d/1fb2B9NLcpJgjIieIJvenUTNPn0TimZDUi0OtYeiSQ_s/edit?usp=sharing"",""กาฬสินธุ์!J728"")"),0)</f>
        <v>0</v>
      </c>
      <c r="BJ32" s="181">
        <f ca="1">IFERROR(__xludf.DUMMYFUNCTION("IMPORTRANGE(""https://docs.google.com/spreadsheets/d/1fb2B9NLcpJgjIieIJvenUTNPn0TimZDUi0OtYeiSQ_s/edit?usp=sharing"",""กาฬสินธุ์!I729"")"),0)</f>
        <v>0</v>
      </c>
      <c r="BK32" s="181">
        <f ca="1">IFERROR(__xludf.DUMMYFUNCTION("IMPORTRANGE(""https://docs.google.com/spreadsheets/d/1fb2B9NLcpJgjIieIJvenUTNPn0TimZDUi0OtYeiSQ_s/edit?usp=sharing"",""กาฬสินธุ์!J729"")"),0)</f>
        <v>0</v>
      </c>
      <c r="BL32" s="186">
        <f t="shared" ca="1" si="19"/>
        <v>0</v>
      </c>
      <c r="BM32" s="181">
        <f ca="1">IFERROR(__xludf.DUMMYFUNCTION("IMPORTRANGE(""https://docs.google.com/spreadsheets/d/1fb2B9NLcpJgjIieIJvenUTNPn0TimZDUi0OtYeiSQ_s/edit?usp=sharing"",""กาฬสินธุ์!J730"")"),0)</f>
        <v>0</v>
      </c>
      <c r="BN32" s="181">
        <f ca="1">IFERROR(__xludf.DUMMYFUNCTION("IMPORTRANGE(""https://docs.google.com/spreadsheets/d/1fb2B9NLcpJgjIieIJvenUTNPn0TimZDUi0OtYeiSQ_s/edit?usp=sharing"",""กาฬสินธุ์!J731"")"),0)</f>
        <v>0</v>
      </c>
      <c r="BO32" s="181">
        <f ca="1">IFERROR(__xludf.DUMMYFUNCTION("IMPORTRANGE(""https://docs.google.com/spreadsheets/d/1fb2B9NLcpJgjIieIJvenUTNPn0TimZDUi0OtYeiSQ_s/edit?usp=sharing"",""กาฬสินธุ์!J732"")"),0)</f>
        <v>0</v>
      </c>
      <c r="BP32" s="181">
        <f ca="1">IFERROR(__xludf.DUMMYFUNCTION("IMPORTRANGE(""https://docs.google.com/spreadsheets/d/1fb2B9NLcpJgjIieIJvenUTNPn0TimZDUi0OtYeiSQ_s/edit?usp=sharing"",""กาฬสินธุ์!J733"")"),0)</f>
        <v>0</v>
      </c>
      <c r="BQ32" s="181">
        <f ca="1">IFERROR(__xludf.DUMMYFUNCTION("IMPORTRANGE(""https://docs.google.com/spreadsheets/d/1fb2B9NLcpJgjIieIJvenUTNPn0TimZDUi0OtYeiSQ_s/edit?usp=sharing"",""กาฬสินธุ์!J734"")"),0)</f>
        <v>0</v>
      </c>
      <c r="BR32" s="181">
        <f ca="1">IFERROR(__xludf.DUMMYFUNCTION("IMPORTRANGE(""https://docs.google.com/spreadsheets/d/1fb2B9NLcpJgjIieIJvenUTNPn0TimZDUi0OtYeiSQ_s/edit?usp=sharing"",""กาฬสินธุ์!J735"")"),0)</f>
        <v>0</v>
      </c>
    </row>
    <row r="33" spans="1:70" ht="21" customHeight="1" x14ac:dyDescent="0.3">
      <c r="A33" s="178">
        <v>2</v>
      </c>
      <c r="B33" s="179" t="s">
        <v>50</v>
      </c>
      <c r="C33" s="180">
        <f t="shared" ca="1" si="58"/>
        <v>1920</v>
      </c>
      <c r="D33" s="181">
        <f ca="1">IFERROR(__xludf.DUMMYFUNCTION("IMPORTRANGE(""https://docs.google.com/spreadsheets/d/1SaMnqrwRGmFYNR0MhpWmHuL5niYUd5E7vDq8X7whAlI/edit?usp=sharing"",""ขอนแก่น!L690"")"),1920)</f>
        <v>1920</v>
      </c>
      <c r="E33" s="187">
        <f ca="1">IFERROR(__xludf.DUMMYFUNCTION("IMPORTRANGE(""https://docs.google.com/spreadsheets/d/1SaMnqrwRGmFYNR0MhpWmHuL5niYUd5E7vDq8X7whAlI/edit?usp=sharing"",""ขอนแก่น!L697"")"),0)</f>
        <v>0</v>
      </c>
      <c r="F33" s="182">
        <f t="shared" ca="1" si="1"/>
        <v>0</v>
      </c>
      <c r="G33" s="183">
        <f t="shared" ca="1" si="2"/>
        <v>0</v>
      </c>
      <c r="H33" s="184">
        <f t="shared" ca="1" si="59"/>
        <v>0</v>
      </c>
      <c r="I33" s="187">
        <f ca="1">IFERROR(__xludf.DUMMYFUNCTION("IMPORTRANGE(""https://docs.google.com/spreadsheets/d/1SaMnqrwRGmFYNR0MhpWmHuL5niYUd5E7vDq8X7whAlI/edit?usp=sharing"",""ขอนแก่น!N691"")"),0)</f>
        <v>0</v>
      </c>
      <c r="J33" s="187">
        <f ca="1">IFERROR(__xludf.DUMMYFUNCTION("IMPORTRANGE(""https://docs.google.com/spreadsheets/d/1SaMnqrwRGmFYNR0MhpWmHuL5niYUd5E7vDq8X7whAlI/edit?usp=sharing"",""ขอนแก่น!N692"")"),0)</f>
        <v>0</v>
      </c>
      <c r="K33" s="187">
        <f ca="1">IFERROR(__xludf.DUMMYFUNCTION("IMPORTRANGE(""https://docs.google.com/spreadsheets/d/1SaMnqrwRGmFYNR0MhpWmHuL5niYUd5E7vDq8X7whAlI/edit?usp=sharing"",""ขอนแก่น!N693"")"),0)</f>
        <v>0</v>
      </c>
      <c r="L33" s="187">
        <f ca="1">IFERROR(__xludf.DUMMYFUNCTION("IMPORTRANGE(""https://docs.google.com/spreadsheets/d/1SaMnqrwRGmFYNR0MhpWmHuL5niYUd5E7vDq8X7whAlI/edit?usp=sharing"",""ขอนแก่น!N694"")"),0)</f>
        <v>0</v>
      </c>
      <c r="M33" s="185">
        <f ca="1">IFERROR(__xludf.DUMMYFUNCTION("IMPORTRANGE(""https://docs.google.com/spreadsheets/d/1SaMnqrwRGmFYNR0MhpWmHuL5niYUd5E7vDq8X7whAlI/edit?usp=sharing"",""ขอนแก่น!N697"")"),0)</f>
        <v>0</v>
      </c>
      <c r="N33" s="185">
        <f t="shared" ca="1" si="37"/>
        <v>0</v>
      </c>
      <c r="O33" s="181">
        <f ca="1">IFERROR(__xludf.DUMMYFUNCTION("IMPORTRANGE(""https://docs.google.com/spreadsheets/d/1SaMnqrwRGmFYNR0MhpWmHuL5niYUd5E7vDq8X7whAlI/edit?usp=sharing"",""ขอนแก่น!I699"")"),0)</f>
        <v>0</v>
      </c>
      <c r="P33" s="181">
        <f ca="1">IFERROR(__xludf.DUMMYFUNCTION("IMPORTRANGE(""https://docs.google.com/spreadsheets/d/1SaMnqrwRGmFYNR0MhpWmHuL5niYUd5E7vDq8X7whAlI/edit?usp=sharing"",""ขอนแก่น!J699"")"),0)</f>
        <v>0</v>
      </c>
      <c r="Q33" s="186">
        <f t="shared" ca="1" si="31"/>
        <v>0</v>
      </c>
      <c r="R33" s="181">
        <f ca="1">IFERROR(__xludf.DUMMYFUNCTION("IMPORTRANGE(""https://docs.google.com/spreadsheets/d/1SaMnqrwRGmFYNR0MhpWmHuL5niYUd5E7vDq8X7whAlI/edit?usp=sharing"",""ขอนแก่น!I700"")"),0)</f>
        <v>0</v>
      </c>
      <c r="S33" s="181">
        <f ca="1">IFERROR(__xludf.DUMMYFUNCTION("IMPORTRANGE(""https://docs.google.com/spreadsheets/d/1SaMnqrwRGmFYNR0MhpWmHuL5niYUd5E7vDq8X7whAlI/edit?usp=sharing"",""ขอนแก่น!J700"")"),0)</f>
        <v>0</v>
      </c>
      <c r="T33" s="186">
        <f t="shared" ca="1" si="32"/>
        <v>0</v>
      </c>
      <c r="U33" s="181">
        <f ca="1">IFERROR(__xludf.DUMMYFUNCTION("IMPORTRANGE(""https://docs.google.com/spreadsheets/d/1SaMnqrwRGmFYNR0MhpWmHuL5niYUd5E7vDq8X7whAlI/edit?usp=sharing"",""ขอนแก่น!I701"")"),10)</f>
        <v>10</v>
      </c>
      <c r="V33" s="181">
        <f ca="1">IFERROR(__xludf.DUMMYFUNCTION("IMPORTRANGE(""https://docs.google.com/spreadsheets/d/1SaMnqrwRGmFYNR0MhpWmHuL5niYUd5E7vDq8X7whAlI/edit?usp=sharing"",""ขอนแก่น!J701"")"),0)</f>
        <v>0</v>
      </c>
      <c r="W33" s="186">
        <f t="shared" ca="1" si="33"/>
        <v>0</v>
      </c>
      <c r="X33" s="186">
        <f ca="1">IFERROR(__xludf.DUMMYFUNCTION("IMPORTRANGE(""https://docs.google.com/spreadsheets/d/1SaMnqrwRGmFYNR0MhpWmHuL5niYUd5E7vDq8X7whAlI/edit?usp=sharing"",""ขอนแก่น!J702"")"),0)</f>
        <v>0</v>
      </c>
      <c r="Y33" s="186">
        <f ca="1">IFERROR(__xludf.DUMMYFUNCTION("IMPORTRANGE(""https://docs.google.com/spreadsheets/d/1SaMnqrwRGmFYNR0MhpWmHuL5niYUd5E7vDq8X7whAlI/edit?usp=sharing"",""ขอนแก่น!J703"")"),0)</f>
        <v>0</v>
      </c>
      <c r="Z33" s="186">
        <f ca="1">IFERROR(__xludf.DUMMYFUNCTION("IMPORTRANGE(""https://docs.google.com/spreadsheets/d/1SaMnqrwRGmFYNR0MhpWmHuL5niYUd5E7vDq8X7whAlI/edit?usp=sharing"",""ขอนแก่น!J704"")"),0)</f>
        <v>0</v>
      </c>
      <c r="AA33" s="186">
        <f ca="1">IFERROR(__xludf.DUMMYFUNCTION("IMPORTRANGE(""https://docs.google.com/spreadsheets/d/1SaMnqrwRGmFYNR0MhpWmHuL5niYUd5E7vDq8X7whAlI/edit?usp=sharing"",""ขอนแก่น!J705"")"),0)</f>
        <v>0</v>
      </c>
      <c r="AB33" s="186">
        <f ca="1">IFERROR(__xludf.DUMMYFUNCTION("IMPORTRANGE(""https://docs.google.com/spreadsheets/d/1SaMnqrwRGmFYNR0MhpWmHuL5niYUd5E7vDq8X7whAlI/edit?usp=sharing"",""ขอนแก่น!J706"")"),0)</f>
        <v>0</v>
      </c>
      <c r="AC33" s="186">
        <f ca="1">IFERROR(__xludf.DUMMYFUNCTION("IMPORTRANGE(""https://docs.google.com/spreadsheets/d/1SaMnqrwRGmFYNR0MhpWmHuL5niYUd5E7vDq8X7whAlI/edit?usp=sharing"",""ขอนแก่น!J707"")"),0)</f>
        <v>0</v>
      </c>
      <c r="AD33" s="181">
        <f ca="1">IFERROR(__xludf.DUMMYFUNCTION("IMPORTRANGE(""https://docs.google.com/spreadsheets/d/1SaMnqrwRGmFYNR0MhpWmHuL5niYUd5E7vDq8X7whAlI/edit?usp=sharing"",""ขอนแก่น!I708"")"),0)</f>
        <v>0</v>
      </c>
      <c r="AE33" s="181">
        <f ca="1">IFERROR(__xludf.DUMMYFUNCTION("IMPORTRANGE(""https://docs.google.com/spreadsheets/d/1SaMnqrwRGmFYNR0MhpWmHuL5niYUd5E7vDq8X7whAlI/edit?usp=sharing"",""ขอนแก่น!J708"")"),0)</f>
        <v>0</v>
      </c>
      <c r="AF33" s="186">
        <f t="shared" ca="1" si="34"/>
        <v>0</v>
      </c>
      <c r="AG33" s="181">
        <f ca="1">IFERROR(__xludf.DUMMYFUNCTION("IMPORTRANGE(""https://docs.google.com/spreadsheets/d/1SaMnqrwRGmFYNR0MhpWmHuL5niYUd5E7vDq8X7whAlI/edit?usp=sharing"",""ขอนแก่น!J709"")"),0)</f>
        <v>0</v>
      </c>
      <c r="AH33" s="181">
        <f ca="1">IFERROR(__xludf.DUMMYFUNCTION("IMPORTRANGE(""https://docs.google.com/spreadsheets/d/1SaMnqrwRGmFYNR0MhpWmHuL5niYUd5E7vDq8X7whAlI/edit?usp=sharing"",""ขอนแก่น!J710"")"),0)</f>
        <v>0</v>
      </c>
      <c r="AI33" s="181">
        <f ca="1">IFERROR(__xludf.DUMMYFUNCTION("IMPORTRANGE(""https://docs.google.com/spreadsheets/d/1SaMnqrwRGmFYNR0MhpWmHuL5niYUd5E7vDq8X7whAlI/edit?usp=sharing"",""ขอนแก่น!J712"")"),0)</f>
        <v>0</v>
      </c>
      <c r="AJ33" s="181">
        <f ca="1">IFERROR(__xludf.DUMMYFUNCTION("IMPORTRANGE(""https://docs.google.com/spreadsheets/d/1SaMnqrwRGmFYNR0MhpWmHuL5niYUd5E7vDq8X7whAlI/edit?usp=sharing"",""ขอนแก่น!J713"")"),0)</f>
        <v>0</v>
      </c>
      <c r="AK33" s="181">
        <f ca="1">IFERROR(__xludf.DUMMYFUNCTION("IMPORTRANGE(""https://docs.google.com/spreadsheets/d/1SaMnqrwRGmFYNR0MhpWmHuL5niYUd5E7vDq8X7whAlI/edit?usp=sharing"",""ขอนแก่น!J714"")"),0)</f>
        <v>0</v>
      </c>
      <c r="AL33" s="181">
        <f ca="1">IFERROR(__xludf.DUMMYFUNCTION("IMPORTRANGE(""https://docs.google.com/spreadsheets/d/1SaMnqrwRGmFYNR0MhpWmHuL5niYUd5E7vDq8X7whAlI/edit?usp=sharing"",""ขอนแก่น!J715"")"),0)</f>
        <v>0</v>
      </c>
      <c r="AM33" s="181">
        <f ca="1">IFERROR(__xludf.DUMMYFUNCTION("IMPORTRANGE(""https://docs.google.com/spreadsheets/d/1SaMnqrwRGmFYNR0MhpWmHuL5niYUd5E7vDq8X7whAlI/edit?usp=sharing"",""ขอนแก่น!J716"")"),0)</f>
        <v>0</v>
      </c>
      <c r="AN33" s="181">
        <f ca="1">IFERROR(__xludf.DUMMYFUNCTION("IMPORTRANGE(""https://docs.google.com/spreadsheets/d/1SaMnqrwRGmFYNR0MhpWmHuL5niYUd5E7vDq8X7whAlI/edit?usp=sharing"",""ขอนแก่น!J717"")"),0)</f>
        <v>0</v>
      </c>
      <c r="AO33" s="181">
        <f ca="1">IFERROR(__xludf.DUMMYFUNCTION("IMPORTRANGE(""https://docs.google.com/spreadsheets/d/1SaMnqrwRGmFYNR0MhpWmHuL5niYUd5E7vDq8X7whAlI/edit?usp=sharing"",""ขอนแก่น!I720"")"),0)</f>
        <v>0</v>
      </c>
      <c r="AP33" s="181">
        <f ca="1">IFERROR(__xludf.DUMMYFUNCTION("IMPORTRANGE(""https://docs.google.com/spreadsheets/d/1SaMnqrwRGmFYNR0MhpWmHuL5niYUd5E7vDq8X7whAlI/edit?usp=sharing"",""ขอนแก่น!J718"")"),0)</f>
        <v>0</v>
      </c>
      <c r="AQ33" s="181">
        <f ca="1">IFERROR(__xludf.DUMMYFUNCTION("IMPORTRANGE(""https://docs.google.com/spreadsheets/d/1SaMnqrwRGmFYNR0MhpWmHuL5niYUd5E7vDq8X7whAlI/edit?usp=sharing"",""ขอนแก่น!J719"")"),0)</f>
        <v>0</v>
      </c>
      <c r="AR33" s="181">
        <f ca="1">IFERROR(__xludf.DUMMYFUNCTION("IMPORTRANGE(""https://docs.google.com/spreadsheets/d/1SaMnqrwRGmFYNR0MhpWmHuL5niYUd5E7vDq8X7whAlI/edit?usp=sharing"",""ขอนแก่น!J720"")"),0)</f>
        <v>0</v>
      </c>
      <c r="AS33" s="186">
        <f t="shared" ca="1" si="14"/>
        <v>0</v>
      </c>
      <c r="AT33" s="181">
        <f ca="1">IFERROR(__xludf.DUMMYFUNCTION("IMPORTRANGE(""https://docs.google.com/spreadsheets/d/1SaMnqrwRGmFYNR0MhpWmHuL5niYUd5E7vDq8X7whAlI/edit?usp=sharing"",""ขอนแก่น!I721"")"),6)</f>
        <v>6</v>
      </c>
      <c r="AU33" s="181">
        <f ca="1">IFERROR(__xludf.DUMMYFUNCTION("IMPORTRANGE(""https://docs.google.com/spreadsheets/d/1SaMnqrwRGmFYNR0MhpWmHuL5niYUd5E7vDq8X7whAlI/edit?usp=sharing"",""ขอนแก่น!I722"")"),62)</f>
        <v>62</v>
      </c>
      <c r="AV33" s="181">
        <f ca="1">IFERROR(__xludf.DUMMYFUNCTION("IMPORTRANGE(""https://docs.google.com/spreadsheets/d/1SaMnqrwRGmFYNR0MhpWmHuL5niYUd5E7vDq8X7whAlI/edit?usp=sharing"",""ขอนแก่น!J721"")"),0)</f>
        <v>0</v>
      </c>
      <c r="AW33" s="186">
        <f t="shared" ca="1" si="16"/>
        <v>0</v>
      </c>
      <c r="AX33" s="181">
        <f ca="1">IFERROR(__xludf.DUMMYFUNCTION("IMPORTRANGE(""https://docs.google.com/spreadsheets/d/1SaMnqrwRGmFYNR0MhpWmHuL5niYUd5E7vDq8X7whAlI/edit?usp=sharing"",""ขอนแก่น!J722"")"),0)</f>
        <v>0</v>
      </c>
      <c r="AY33" s="186">
        <f t="shared" ca="1" si="17"/>
        <v>0</v>
      </c>
      <c r="AZ33" s="181">
        <f ca="1">IFERROR(__xludf.DUMMYFUNCTION("IMPORTRANGE(""https://docs.google.com/spreadsheets/d/1SaMnqrwRGmFYNR0MhpWmHuL5niYUd5E7vDq8X7whAlI/edit?usp=sharing"",""ขอนแก่น!I723"")"),6)</f>
        <v>6</v>
      </c>
      <c r="BA33" s="181">
        <f ca="1">IFERROR(__xludf.DUMMYFUNCTION("IMPORTRANGE(""https://docs.google.com/spreadsheets/d/1SaMnqrwRGmFYNR0MhpWmHuL5niYUd5E7vDq8X7whAlI/edit?usp=sharing"",""ขอนแก่น!I725"")"),62)</f>
        <v>62</v>
      </c>
      <c r="BB33" s="181">
        <f ca="1">IFERROR(__xludf.DUMMYFUNCTION("IMPORTRANGE(""https://docs.google.com/spreadsheets/d/1SaMnqrwRGmFYNR0MhpWmHuL5niYUd5E7vDq8X7whAlI/edit?usp=sharing"",""ขอนแก่น!J723"")"),0)</f>
        <v>0</v>
      </c>
      <c r="BC33" s="181">
        <f ca="1">IFERROR(__xludf.DUMMYFUNCTION("IMPORTRANGE(""https://docs.google.com/spreadsheets/d/1SaMnqrwRGmFYNR0MhpWmHuL5niYUd5E7vDq8X7whAlI/edit?usp=sharing"",""ขอนแก่น!J724"")"),0)</f>
        <v>0</v>
      </c>
      <c r="BD33" s="181">
        <f ca="1">IFERROR(__xludf.DUMMYFUNCTION("IMPORTRANGE(""https://docs.google.com/spreadsheets/d/1SaMnqrwRGmFYNR0MhpWmHuL5niYUd5E7vDq8X7whAlI/edit?usp=sharing"",""ขอนแก่น!J725"")"),0)</f>
        <v>0</v>
      </c>
      <c r="BE33" s="181">
        <f ca="1">IFERROR(__xludf.DUMMYFUNCTION("IMPORTRANGE(""https://docs.google.com/spreadsheets/d/1SaMnqrwRGmFYNR0MhpWmHuL5niYUd5E7vDq8X7whAlI/edit?usp=sharing"",""ขอนแก่น!I726"")"),0)</f>
        <v>0</v>
      </c>
      <c r="BF33" s="181">
        <f ca="1">IFERROR(__xludf.DUMMYFUNCTION("IMPORTRANGE(""https://docs.google.com/spreadsheets/d/1SaMnqrwRGmFYNR0MhpWmHuL5niYUd5E7vDq8X7whAlI/edit?usp=sharing"",""ขอนแก่น!I728"")"),0)</f>
        <v>0</v>
      </c>
      <c r="BG33" s="181">
        <f ca="1">IFERROR(__xludf.DUMMYFUNCTION("IMPORTRANGE(""https://docs.google.com/spreadsheets/d/1SaMnqrwRGmFYNR0MhpWmHuL5niYUd5E7vDq8X7whAlI/edit?usp=sharing"",""ขอนแก่น!J726"")"),0)</f>
        <v>0</v>
      </c>
      <c r="BH33" s="181">
        <f ca="1">IFERROR(__xludf.DUMMYFUNCTION("IMPORTRANGE(""https://docs.google.com/spreadsheets/d/1SaMnqrwRGmFYNR0MhpWmHuL5niYUd5E7vDq8X7whAlI/edit?usp=sharing"",""ขอนแก่น!J727"")"),0)</f>
        <v>0</v>
      </c>
      <c r="BI33" s="181">
        <f ca="1">IFERROR(__xludf.DUMMYFUNCTION("IMPORTRANGE(""https://docs.google.com/spreadsheets/d/1SaMnqrwRGmFYNR0MhpWmHuL5niYUd5E7vDq8X7whAlI/edit?usp=sharing"",""ขอนแก่น!J728"")"),0)</f>
        <v>0</v>
      </c>
      <c r="BJ33" s="181">
        <f ca="1">IFERROR(__xludf.DUMMYFUNCTION("IMPORTRANGE(""https://docs.google.com/spreadsheets/d/1SaMnqrwRGmFYNR0MhpWmHuL5niYUd5E7vDq8X7whAlI/edit?usp=sharing"",""ขอนแก่น!I729"")"),0)</f>
        <v>0</v>
      </c>
      <c r="BK33" s="181">
        <f ca="1">IFERROR(__xludf.DUMMYFUNCTION("IMPORTRANGE(""https://docs.google.com/spreadsheets/d/1SaMnqrwRGmFYNR0MhpWmHuL5niYUd5E7vDq8X7whAlI/edit?usp=sharing"",""ขอนแก่น!J729"")"),0)</f>
        <v>0</v>
      </c>
      <c r="BL33" s="186">
        <f t="shared" ca="1" si="19"/>
        <v>0</v>
      </c>
      <c r="BM33" s="181">
        <f ca="1">IFERROR(__xludf.DUMMYFUNCTION("IMPORTRANGE(""https://docs.google.com/spreadsheets/d/1SaMnqrwRGmFYNR0MhpWmHuL5niYUd5E7vDq8X7whAlI/edit?usp=sharing"",""ขอนแก่น!J730"")"),0)</f>
        <v>0</v>
      </c>
      <c r="BN33" s="181">
        <f ca="1">IFERROR(__xludf.DUMMYFUNCTION("IMPORTRANGE(""https://docs.google.com/spreadsheets/d/1SaMnqrwRGmFYNR0MhpWmHuL5niYUd5E7vDq8X7whAlI/edit?usp=sharing"",""ขอนแก่น!J731"")"),0)</f>
        <v>0</v>
      </c>
      <c r="BO33" s="181">
        <f ca="1">IFERROR(__xludf.DUMMYFUNCTION("IMPORTRANGE(""https://docs.google.com/spreadsheets/d/1SaMnqrwRGmFYNR0MhpWmHuL5niYUd5E7vDq8X7whAlI/edit?usp=sharing"",""ขอนแก่น!J732"")"),0)</f>
        <v>0</v>
      </c>
      <c r="BP33" s="181">
        <f ca="1">IFERROR(__xludf.DUMMYFUNCTION("IMPORTRANGE(""https://docs.google.com/spreadsheets/d/1SaMnqrwRGmFYNR0MhpWmHuL5niYUd5E7vDq8X7whAlI/edit?usp=sharing"",""ขอนแก่น!J733"")"),0)</f>
        <v>0</v>
      </c>
      <c r="BQ33" s="181">
        <f ca="1">IFERROR(__xludf.DUMMYFUNCTION("IMPORTRANGE(""https://docs.google.com/spreadsheets/d/1SaMnqrwRGmFYNR0MhpWmHuL5niYUd5E7vDq8X7whAlI/edit?usp=sharing"",""ขอนแก่น!J734"")"),0)</f>
        <v>0</v>
      </c>
      <c r="BR33" s="181">
        <f ca="1">IFERROR(__xludf.DUMMYFUNCTION("IMPORTRANGE(""https://docs.google.com/spreadsheets/d/1SaMnqrwRGmFYNR0MhpWmHuL5niYUd5E7vDq8X7whAlI/edit?usp=sharing"",""ขอนแก่น!J735"")"),0)</f>
        <v>0</v>
      </c>
    </row>
    <row r="34" spans="1:70" ht="21" customHeight="1" x14ac:dyDescent="0.3">
      <c r="A34" s="178">
        <v>3</v>
      </c>
      <c r="B34" s="179" t="s">
        <v>51</v>
      </c>
      <c r="C34" s="180">
        <f t="shared" ca="1" si="58"/>
        <v>57400</v>
      </c>
      <c r="D34" s="181">
        <f ca="1">IFERROR(__xludf.DUMMYFUNCTION("IMPORTRANGE(""https://docs.google.com/spreadsheets/d/1xQzEtGHhTTgxHh6YUkKY1P4dRyjVhS74dGswLfAASA4/edit?usp=sharing"",""ชัยภูมิ!L690"")"),57400)</f>
        <v>57400</v>
      </c>
      <c r="E34" s="187">
        <f ca="1">IFERROR(__xludf.DUMMYFUNCTION("IMPORTRANGE(""https://docs.google.com/spreadsheets/d/1xQzEtGHhTTgxHh6YUkKY1P4dRyjVhS74dGswLfAASA4/edit?usp=sharing"",""ชัยภูมิ!L697"")"),0)</f>
        <v>0</v>
      </c>
      <c r="F34" s="182">
        <f t="shared" ca="1" si="1"/>
        <v>0</v>
      </c>
      <c r="G34" s="183">
        <f t="shared" ca="1" si="2"/>
        <v>0</v>
      </c>
      <c r="H34" s="184">
        <f t="shared" ca="1" si="59"/>
        <v>0</v>
      </c>
      <c r="I34" s="187">
        <f ca="1">IFERROR(__xludf.DUMMYFUNCTION("IMPORTRANGE(""https://docs.google.com/spreadsheets/d/1xQzEtGHhTTgxHh6YUkKY1P4dRyjVhS74dGswLfAASA4/edit?usp=sharing"",""ชัยภูมิ!N691"")"),0)</f>
        <v>0</v>
      </c>
      <c r="J34" s="187">
        <f ca="1">IFERROR(__xludf.DUMMYFUNCTION("IMPORTRANGE(""https://docs.google.com/spreadsheets/d/1xQzEtGHhTTgxHh6YUkKY1P4dRyjVhS74dGswLfAASA4/edit?usp=sharing"",""ชัยภูมิ!N692"")"),0)</f>
        <v>0</v>
      </c>
      <c r="K34" s="187">
        <f ca="1">IFERROR(__xludf.DUMMYFUNCTION("IMPORTRANGE(""https://docs.google.com/spreadsheets/d/1xQzEtGHhTTgxHh6YUkKY1P4dRyjVhS74dGswLfAASA4/edit?usp=sharing"",""ชัยภูมิ!N693"")"),0)</f>
        <v>0</v>
      </c>
      <c r="L34" s="187">
        <f ca="1">IFERROR(__xludf.DUMMYFUNCTION("IMPORTRANGE(""https://docs.google.com/spreadsheets/d/1xQzEtGHhTTgxHh6YUkKY1P4dRyjVhS74dGswLfAASA4/edit?usp=sharing"",""ชัยภูมิ!N694"")"),0)</f>
        <v>0</v>
      </c>
      <c r="M34" s="185">
        <f ca="1">IFERROR(__xludf.DUMMYFUNCTION("IMPORTRANGE(""https://docs.google.com/spreadsheets/d/1xQzEtGHhTTgxHh6YUkKY1P4dRyjVhS74dGswLfAASA4/edit?usp=sharing"",""ชัยภูมิ!N697"")"),0)</f>
        <v>0</v>
      </c>
      <c r="N34" s="185">
        <f t="shared" ca="1" si="37"/>
        <v>0</v>
      </c>
      <c r="O34" s="181">
        <f ca="1">IFERROR(__xludf.DUMMYFUNCTION("IMPORTRANGE(""https://docs.google.com/spreadsheets/d/1xQzEtGHhTTgxHh6YUkKY1P4dRyjVhS74dGswLfAASA4/edit?usp=sharing"",""ชัยภูมิ!I699"")"),0)</f>
        <v>0</v>
      </c>
      <c r="P34" s="181">
        <f ca="1">IFERROR(__xludf.DUMMYFUNCTION("IMPORTRANGE(""https://docs.google.com/spreadsheets/d/1xQzEtGHhTTgxHh6YUkKY1P4dRyjVhS74dGswLfAASA4/edit?usp=sharing"",""ชัยภูมิ!J699"")"),0)</f>
        <v>0</v>
      </c>
      <c r="Q34" s="186">
        <f t="shared" ca="1" si="31"/>
        <v>0</v>
      </c>
      <c r="R34" s="181">
        <f ca="1">IFERROR(__xludf.DUMMYFUNCTION("IMPORTRANGE(""https://docs.google.com/spreadsheets/d/1xQzEtGHhTTgxHh6YUkKY1P4dRyjVhS74dGswLfAASA4/edit?usp=sharing"",""ชัยภูมิ!I700"")"),23)</f>
        <v>23</v>
      </c>
      <c r="S34" s="181">
        <f ca="1">IFERROR(__xludf.DUMMYFUNCTION("IMPORTRANGE(""https://docs.google.com/spreadsheets/d/1xQzEtGHhTTgxHh6YUkKY1P4dRyjVhS74dGswLfAASA4/edit?usp=sharing"",""ชัยภูมิ!J700"")"),7)</f>
        <v>7</v>
      </c>
      <c r="T34" s="186">
        <f t="shared" ca="1" si="32"/>
        <v>30.434782608695652</v>
      </c>
      <c r="U34" s="181">
        <f ca="1">IFERROR(__xludf.DUMMYFUNCTION("IMPORTRANGE(""https://docs.google.com/spreadsheets/d/1xQzEtGHhTTgxHh6YUkKY1P4dRyjVhS74dGswLfAASA4/edit?usp=sharing"",""ชัยภูมิ!I701"")"),1368)</f>
        <v>1368</v>
      </c>
      <c r="V34" s="181">
        <f ca="1">IFERROR(__xludf.DUMMYFUNCTION("IMPORTRANGE(""https://docs.google.com/spreadsheets/d/1xQzEtGHhTTgxHh6YUkKY1P4dRyjVhS74dGswLfAASA4/edit?usp=sharing"",""ชัยภูมิ!J701"")"),0)</f>
        <v>0</v>
      </c>
      <c r="W34" s="186">
        <f t="shared" ca="1" si="33"/>
        <v>0</v>
      </c>
      <c r="X34" s="186">
        <f ca="1">IFERROR(__xludf.DUMMYFUNCTION("IMPORTRANGE(""https://docs.google.com/spreadsheets/d/1xQzEtGHhTTgxHh6YUkKY1P4dRyjVhS74dGswLfAASA4/edit?usp=sharing"",""ชัยภูมิ!J702"")"),0)</f>
        <v>0</v>
      </c>
      <c r="Y34" s="186">
        <f ca="1">IFERROR(__xludf.DUMMYFUNCTION("IMPORTRANGE(""https://docs.google.com/spreadsheets/d/1xQzEtGHhTTgxHh6YUkKY1P4dRyjVhS74dGswLfAASA4/edit?usp=sharing"",""ชัยภูมิ!J703"")"),0)</f>
        <v>0</v>
      </c>
      <c r="Z34" s="186">
        <f ca="1">IFERROR(__xludf.DUMMYFUNCTION("IMPORTRANGE(""https://docs.google.com/spreadsheets/d/1xQzEtGHhTTgxHh6YUkKY1P4dRyjVhS74dGswLfAASA4/edit?usp=sharing"",""ชัยภูมิ!J704"")"),0)</f>
        <v>0</v>
      </c>
      <c r="AA34" s="186">
        <f ca="1">IFERROR(__xludf.DUMMYFUNCTION("IMPORTRANGE(""https://docs.google.com/spreadsheets/d/1xQzEtGHhTTgxHh6YUkKY1P4dRyjVhS74dGswLfAASA4/edit?usp=sharing"",""ชัยภูมิ!J705"")"),0)</f>
        <v>0</v>
      </c>
      <c r="AB34" s="186">
        <f ca="1">IFERROR(__xludf.DUMMYFUNCTION("IMPORTRANGE(""https://docs.google.com/spreadsheets/d/1xQzEtGHhTTgxHh6YUkKY1P4dRyjVhS74dGswLfAASA4/edit?usp=sharing"",""ชัยภูมิ!J706"")"),0)</f>
        <v>0</v>
      </c>
      <c r="AC34" s="186">
        <f ca="1">IFERROR(__xludf.DUMMYFUNCTION("IMPORTRANGE(""https://docs.google.com/spreadsheets/d/1xQzEtGHhTTgxHh6YUkKY1P4dRyjVhS74dGswLfAASA4/edit?usp=sharing"",""ชัยภูมิ!J707"")"),0)</f>
        <v>0</v>
      </c>
      <c r="AD34" s="181">
        <f ca="1">IFERROR(__xludf.DUMMYFUNCTION("IMPORTRANGE(""https://docs.google.com/spreadsheets/d/1xQzEtGHhTTgxHh6YUkKY1P4dRyjVhS74dGswLfAASA4/edit?usp=sharing"",""ชัยภูมิ!I708"")"),84)</f>
        <v>84</v>
      </c>
      <c r="AE34" s="181">
        <f ca="1">IFERROR(__xludf.DUMMYFUNCTION("IMPORTRANGE(""https://docs.google.com/spreadsheets/d/1xQzEtGHhTTgxHh6YUkKY1P4dRyjVhS74dGswLfAASA4/edit?usp=sharing"",""ชัยภูมิ!J708"")"),0)</f>
        <v>0</v>
      </c>
      <c r="AF34" s="186">
        <f t="shared" ca="1" si="34"/>
        <v>0</v>
      </c>
      <c r="AG34" s="181">
        <f ca="1">IFERROR(__xludf.DUMMYFUNCTION("IMPORTRANGE(""https://docs.google.com/spreadsheets/d/1xQzEtGHhTTgxHh6YUkKY1P4dRyjVhS74dGswLfAASA4/edit?usp=sharing"",""ชัยภูมิ!J709"")"),0)</f>
        <v>0</v>
      </c>
      <c r="AH34" s="181">
        <f ca="1">IFERROR(__xludf.DUMMYFUNCTION("IMPORTRANGE(""https://docs.google.com/spreadsheets/d/1xQzEtGHhTTgxHh6YUkKY1P4dRyjVhS74dGswLfAASA4/edit?usp=sharing"",""ชัยภูมิ!J710"")"),0)</f>
        <v>0</v>
      </c>
      <c r="AI34" s="181">
        <f ca="1">IFERROR(__xludf.DUMMYFUNCTION("IMPORTRANGE(""https://docs.google.com/spreadsheets/d/1xQzEtGHhTTgxHh6YUkKY1P4dRyjVhS74dGswLfAASA4/edit?usp=sharing"",""ชัยภูมิ!J712"")"),0)</f>
        <v>0</v>
      </c>
      <c r="AJ34" s="181">
        <f ca="1">IFERROR(__xludf.DUMMYFUNCTION("IMPORTRANGE(""https://docs.google.com/spreadsheets/d/1xQzEtGHhTTgxHh6YUkKY1P4dRyjVhS74dGswLfAASA4/edit?usp=sharing"",""ชัยภูมิ!J713"")"),0)</f>
        <v>0</v>
      </c>
      <c r="AK34" s="181">
        <f ca="1">IFERROR(__xludf.DUMMYFUNCTION("IMPORTRANGE(""https://docs.google.com/spreadsheets/d/1xQzEtGHhTTgxHh6YUkKY1P4dRyjVhS74dGswLfAASA4/edit?usp=sharing"",""ชัยภูมิ!J714"")"),0)</f>
        <v>0</v>
      </c>
      <c r="AL34" s="181">
        <f ca="1">IFERROR(__xludf.DUMMYFUNCTION("IMPORTRANGE(""https://docs.google.com/spreadsheets/d/1xQzEtGHhTTgxHh6YUkKY1P4dRyjVhS74dGswLfAASA4/edit?usp=sharing"",""ชัยภูมิ!J715"")"),0)</f>
        <v>0</v>
      </c>
      <c r="AM34" s="181">
        <f ca="1">IFERROR(__xludf.DUMMYFUNCTION("IMPORTRANGE(""https://docs.google.com/spreadsheets/d/1xQzEtGHhTTgxHh6YUkKY1P4dRyjVhS74dGswLfAASA4/edit?usp=sharing"",""ชัยภูมิ!J716"")"),0)</f>
        <v>0</v>
      </c>
      <c r="AN34" s="181">
        <f ca="1">IFERROR(__xludf.DUMMYFUNCTION("IMPORTRANGE(""https://docs.google.com/spreadsheets/d/1xQzEtGHhTTgxHh6YUkKY1P4dRyjVhS74dGswLfAASA4/edit?usp=sharing"",""ชัยภูมิ!J717"")"),0)</f>
        <v>0</v>
      </c>
      <c r="AO34" s="181">
        <f ca="1">IFERROR(__xludf.DUMMYFUNCTION("IMPORTRANGE(""https://docs.google.com/spreadsheets/d/1xQzEtGHhTTgxHh6YUkKY1P4dRyjVhS74dGswLfAASA4/edit?usp=sharing"",""ชัยภูมิ!I720"")"),0)</f>
        <v>0</v>
      </c>
      <c r="AP34" s="181">
        <f ca="1">IFERROR(__xludf.DUMMYFUNCTION("IMPORTRANGE(""https://docs.google.com/spreadsheets/d/1xQzEtGHhTTgxHh6YUkKY1P4dRyjVhS74dGswLfAASA4/edit?usp=sharing"",""ชัยภูมิ!J718"")"),0)</f>
        <v>0</v>
      </c>
      <c r="AQ34" s="181">
        <f ca="1">IFERROR(__xludf.DUMMYFUNCTION("IMPORTRANGE(""https://docs.google.com/spreadsheets/d/1xQzEtGHhTTgxHh6YUkKY1P4dRyjVhS74dGswLfAASA4/edit?usp=sharing"",""ชัยภูมิ!J719"")"),0)</f>
        <v>0</v>
      </c>
      <c r="AR34" s="181">
        <f ca="1">IFERROR(__xludf.DUMMYFUNCTION("IMPORTRANGE(""https://docs.google.com/spreadsheets/d/1xQzEtGHhTTgxHh6YUkKY1P4dRyjVhS74dGswLfAASA4/edit?usp=sharing"",""ชัยภูมิ!J720"")"),0)</f>
        <v>0</v>
      </c>
      <c r="AS34" s="186">
        <f t="shared" ca="1" si="14"/>
        <v>0</v>
      </c>
      <c r="AT34" s="181">
        <f ca="1">IFERROR(__xludf.DUMMYFUNCTION("IMPORTRANGE(""https://docs.google.com/spreadsheets/d/1xQzEtGHhTTgxHh6YUkKY1P4dRyjVhS74dGswLfAASA4/edit?usp=sharing"",""ชัยภูมิ!I721"")"),45)</f>
        <v>45</v>
      </c>
      <c r="AU34" s="181">
        <f ca="1">IFERROR(__xludf.DUMMYFUNCTION("IMPORTRANGE(""https://docs.google.com/spreadsheets/d/1xQzEtGHhTTgxHh6YUkKY1P4dRyjVhS74dGswLfAASA4/edit?usp=sharing"",""ชัยภูมิ!I722"")"),540)</f>
        <v>540</v>
      </c>
      <c r="AV34" s="181">
        <f ca="1">IFERROR(__xludf.DUMMYFUNCTION("IMPORTRANGE(""https://docs.google.com/spreadsheets/d/1xQzEtGHhTTgxHh6YUkKY1P4dRyjVhS74dGswLfAASA4/edit?usp=sharing"",""ชัยภูมิ!J721"")"),0)</f>
        <v>0</v>
      </c>
      <c r="AW34" s="186">
        <f t="shared" ca="1" si="16"/>
        <v>0</v>
      </c>
      <c r="AX34" s="181">
        <f ca="1">IFERROR(__xludf.DUMMYFUNCTION("IMPORTRANGE(""https://docs.google.com/spreadsheets/d/1xQzEtGHhTTgxHh6YUkKY1P4dRyjVhS74dGswLfAASA4/edit?usp=sharing"",""ชัยภูมิ!J722"")"),0)</f>
        <v>0</v>
      </c>
      <c r="AY34" s="186">
        <f t="shared" ca="1" si="17"/>
        <v>0</v>
      </c>
      <c r="AZ34" s="181">
        <f ca="1">IFERROR(__xludf.DUMMYFUNCTION("IMPORTRANGE(""https://docs.google.com/spreadsheets/d/1xQzEtGHhTTgxHh6YUkKY1P4dRyjVhS74dGswLfAASA4/edit?usp=sharing"",""ชัยภูมิ!I723"")"),45)</f>
        <v>45</v>
      </c>
      <c r="BA34" s="181">
        <f ca="1">IFERROR(__xludf.DUMMYFUNCTION("IMPORTRANGE(""https://docs.google.com/spreadsheets/d/1xQzEtGHhTTgxHh6YUkKY1P4dRyjVhS74dGswLfAASA4/edit?usp=sharing"",""ชัยภูมิ!I725"")"),540)</f>
        <v>540</v>
      </c>
      <c r="BB34" s="181">
        <f ca="1">IFERROR(__xludf.DUMMYFUNCTION("IMPORTRANGE(""https://docs.google.com/spreadsheets/d/1xQzEtGHhTTgxHh6YUkKY1P4dRyjVhS74dGswLfAASA4/edit?usp=sharing"",""ชัยภูมิ!J723"")"),0)</f>
        <v>0</v>
      </c>
      <c r="BC34" s="181">
        <f ca="1">IFERROR(__xludf.DUMMYFUNCTION("IMPORTRANGE(""https://docs.google.com/spreadsheets/d/1xQzEtGHhTTgxHh6YUkKY1P4dRyjVhS74dGswLfAASA4/edit?usp=sharing"",""ชัยภูมิ!J724"")"),0)</f>
        <v>0</v>
      </c>
      <c r="BD34" s="181">
        <f ca="1">IFERROR(__xludf.DUMMYFUNCTION("IMPORTRANGE(""https://docs.google.com/spreadsheets/d/1xQzEtGHhTTgxHh6YUkKY1P4dRyjVhS74dGswLfAASA4/edit?usp=sharing"",""ชัยภูมิ!J725"")"),0)</f>
        <v>0</v>
      </c>
      <c r="BE34" s="181">
        <f ca="1">IFERROR(__xludf.DUMMYFUNCTION("IMPORTRANGE(""https://docs.google.com/spreadsheets/d/1xQzEtGHhTTgxHh6YUkKY1P4dRyjVhS74dGswLfAASA4/edit?usp=sharing"",""ชัยภูมิ!I726"")"),0)</f>
        <v>0</v>
      </c>
      <c r="BF34" s="181">
        <f ca="1">IFERROR(__xludf.DUMMYFUNCTION("IMPORTRANGE(""https://docs.google.com/spreadsheets/d/1xQzEtGHhTTgxHh6YUkKY1P4dRyjVhS74dGswLfAASA4/edit?usp=sharing"",""ชัยภูมิ!I728"")"),0)</f>
        <v>0</v>
      </c>
      <c r="BG34" s="181">
        <f ca="1">IFERROR(__xludf.DUMMYFUNCTION("IMPORTRANGE(""https://docs.google.com/spreadsheets/d/1xQzEtGHhTTgxHh6YUkKY1P4dRyjVhS74dGswLfAASA4/edit?usp=sharing"",""ชัยภูมิ!J726"")"),0)</f>
        <v>0</v>
      </c>
      <c r="BH34" s="181">
        <f ca="1">IFERROR(__xludf.DUMMYFUNCTION("IMPORTRANGE(""https://docs.google.com/spreadsheets/d/1xQzEtGHhTTgxHh6YUkKY1P4dRyjVhS74dGswLfAASA4/edit?usp=sharing"",""ชัยภูมิ!J727"")"),0)</f>
        <v>0</v>
      </c>
      <c r="BI34" s="181">
        <f ca="1">IFERROR(__xludf.DUMMYFUNCTION("IMPORTRANGE(""https://docs.google.com/spreadsheets/d/1xQzEtGHhTTgxHh6YUkKY1P4dRyjVhS74dGswLfAASA4/edit?usp=sharing"",""ชัยภูมิ!J728"")"),0)</f>
        <v>0</v>
      </c>
      <c r="BJ34" s="181">
        <f ca="1">IFERROR(__xludf.DUMMYFUNCTION("IMPORTRANGE(""https://docs.google.com/spreadsheets/d/1xQzEtGHhTTgxHh6YUkKY1P4dRyjVhS74dGswLfAASA4/edit?usp=sharing"",""ชัยภูมิ!I729"")"),192)</f>
        <v>192</v>
      </c>
      <c r="BK34" s="181">
        <f ca="1">IFERROR(__xludf.DUMMYFUNCTION("IMPORTRANGE(""https://docs.google.com/spreadsheets/d/1xQzEtGHhTTgxHh6YUkKY1P4dRyjVhS74dGswLfAASA4/edit?usp=sharing"",""ชัยภูมิ!J729"")"),0)</f>
        <v>0</v>
      </c>
      <c r="BL34" s="186">
        <f t="shared" ca="1" si="19"/>
        <v>0</v>
      </c>
      <c r="BM34" s="181">
        <f ca="1">IFERROR(__xludf.DUMMYFUNCTION("IMPORTRANGE(""https://docs.google.com/spreadsheets/d/1xQzEtGHhTTgxHh6YUkKY1P4dRyjVhS74dGswLfAASA4/edit?usp=sharing"",""ชัยภูมิ!J730"")"),0)</f>
        <v>0</v>
      </c>
      <c r="BN34" s="181">
        <f ca="1">IFERROR(__xludf.DUMMYFUNCTION("IMPORTRANGE(""https://docs.google.com/spreadsheets/d/1xQzEtGHhTTgxHh6YUkKY1P4dRyjVhS74dGswLfAASA4/edit?usp=sharing"",""ชัยภูมิ!J731"")"),0)</f>
        <v>0</v>
      </c>
      <c r="BO34" s="181">
        <f ca="1">IFERROR(__xludf.DUMMYFUNCTION("IMPORTRANGE(""https://docs.google.com/spreadsheets/d/1xQzEtGHhTTgxHh6YUkKY1P4dRyjVhS74dGswLfAASA4/edit?usp=sharing"",""ชัยภูมิ!J732"")"),0)</f>
        <v>0</v>
      </c>
      <c r="BP34" s="181">
        <f ca="1">IFERROR(__xludf.DUMMYFUNCTION("IMPORTRANGE(""https://docs.google.com/spreadsheets/d/1xQzEtGHhTTgxHh6YUkKY1P4dRyjVhS74dGswLfAASA4/edit?usp=sharing"",""ชัยภูมิ!J733"")"),0)</f>
        <v>0</v>
      </c>
      <c r="BQ34" s="181">
        <f ca="1">IFERROR(__xludf.DUMMYFUNCTION("IMPORTRANGE(""https://docs.google.com/spreadsheets/d/1xQzEtGHhTTgxHh6YUkKY1P4dRyjVhS74dGswLfAASA4/edit?usp=sharing"",""ชัยภูมิ!J734"")"),0)</f>
        <v>0</v>
      </c>
      <c r="BR34" s="181">
        <f ca="1">IFERROR(__xludf.DUMMYFUNCTION("IMPORTRANGE(""https://docs.google.com/spreadsheets/d/1xQzEtGHhTTgxHh6YUkKY1P4dRyjVhS74dGswLfAASA4/edit?usp=sharing"",""ชัยภูมิ!J735"")"),0)</f>
        <v>0</v>
      </c>
    </row>
    <row r="35" spans="1:70" ht="21" customHeight="1" x14ac:dyDescent="0.3">
      <c r="A35" s="178">
        <v>4</v>
      </c>
      <c r="B35" s="179" t="s">
        <v>52</v>
      </c>
      <c r="C35" s="180">
        <f t="shared" ca="1" si="58"/>
        <v>8000</v>
      </c>
      <c r="D35" s="181">
        <f ca="1">IFERROR(__xludf.DUMMYFUNCTION("IMPORTRANGE(""https://docs.google.com/spreadsheets/d/1EXMBoBxU3OFbjT2TRpneM33qFjqDzrKmn9ydcflfI0o/edit?usp=sharing"",""นครพนม!L690"")"),8000)</f>
        <v>8000</v>
      </c>
      <c r="E35" s="187">
        <f ca="1">IFERROR(__xludf.DUMMYFUNCTION("IMPORTRANGE(""https://docs.google.com/spreadsheets/d/1EXMBoBxU3OFbjT2TRpneM33qFjqDzrKmn9ydcflfI0o/edit?usp=sharing"",""นครพนม!L697"")"),0)</f>
        <v>0</v>
      </c>
      <c r="F35" s="182">
        <f t="shared" ca="1" si="1"/>
        <v>1000</v>
      </c>
      <c r="G35" s="183">
        <f t="shared" ca="1" si="2"/>
        <v>12.5</v>
      </c>
      <c r="H35" s="184">
        <f t="shared" ca="1" si="59"/>
        <v>1000</v>
      </c>
      <c r="I35" s="187">
        <f ca="1">IFERROR(__xludf.DUMMYFUNCTION("IMPORTRANGE(""https://docs.google.com/spreadsheets/d/1EXMBoBxU3OFbjT2TRpneM33qFjqDzrKmn9ydcflfI0o/edit?usp=sharing"",""นครพนม!N691"")"),0)</f>
        <v>0</v>
      </c>
      <c r="J35" s="187">
        <f ca="1">IFERROR(__xludf.DUMMYFUNCTION("IMPORTRANGE(""https://docs.google.com/spreadsheets/d/1EXMBoBxU3OFbjT2TRpneM33qFjqDzrKmn9ydcflfI0o/edit?usp=sharing"",""นครพนม!N692"")"),0)</f>
        <v>0</v>
      </c>
      <c r="K35" s="187">
        <f ca="1">IFERROR(__xludf.DUMMYFUNCTION("IMPORTRANGE(""https://docs.google.com/spreadsheets/d/1EXMBoBxU3OFbjT2TRpneM33qFjqDzrKmn9ydcflfI0o/edit?usp=sharing"",""นครพนม!N693"")"),0)</f>
        <v>0</v>
      </c>
      <c r="L35" s="187">
        <f ca="1">IFERROR(__xludf.DUMMYFUNCTION("IMPORTRANGE(""https://docs.google.com/spreadsheets/d/1EXMBoBxU3OFbjT2TRpneM33qFjqDzrKmn9ydcflfI0o/edit?usp=sharing"",""นครพนม!N694"")"),1000)</f>
        <v>1000</v>
      </c>
      <c r="M35" s="185">
        <f ca="1">IFERROR(__xludf.DUMMYFUNCTION("IMPORTRANGE(""https://docs.google.com/spreadsheets/d/1EXMBoBxU3OFbjT2TRpneM33qFjqDzrKmn9ydcflfI0o/edit?usp=sharing"",""นครพนม!N697"")"),0)</f>
        <v>0</v>
      </c>
      <c r="N35" s="185">
        <f t="shared" ca="1" si="37"/>
        <v>0</v>
      </c>
      <c r="O35" s="181">
        <f ca="1">IFERROR(__xludf.DUMMYFUNCTION("IMPORTRANGE(""https://docs.google.com/spreadsheets/d/1EXMBoBxU3OFbjT2TRpneM33qFjqDzrKmn9ydcflfI0o/edit?usp=sharing"",""นครพนม!I699"")"),70)</f>
        <v>70</v>
      </c>
      <c r="P35" s="181">
        <f ca="1">IFERROR(__xludf.DUMMYFUNCTION("IMPORTRANGE(""https://docs.google.com/spreadsheets/d/1EXMBoBxU3OFbjT2TRpneM33qFjqDzrKmn9ydcflfI0o/edit?usp=sharing"",""นครพนม!J699"")"),0)</f>
        <v>0</v>
      </c>
      <c r="Q35" s="186">
        <f t="shared" ca="1" si="31"/>
        <v>0</v>
      </c>
      <c r="R35" s="181">
        <f ca="1">IFERROR(__xludf.DUMMYFUNCTION("IMPORTRANGE(""https://docs.google.com/spreadsheets/d/1EXMBoBxU3OFbjT2TRpneM33qFjqDzrKmn9ydcflfI0o/edit?usp=sharing"",""นครพนม!I700"")"),0)</f>
        <v>0</v>
      </c>
      <c r="S35" s="181">
        <f ca="1">IFERROR(__xludf.DUMMYFUNCTION("IMPORTRANGE(""https://docs.google.com/spreadsheets/d/1EXMBoBxU3OFbjT2TRpneM33qFjqDzrKmn9ydcflfI0o/edit?usp=sharing"",""นครพนม!J700"")"),0)</f>
        <v>0</v>
      </c>
      <c r="T35" s="186">
        <f t="shared" ca="1" si="32"/>
        <v>0</v>
      </c>
      <c r="U35" s="181">
        <f ca="1">IFERROR(__xludf.DUMMYFUNCTION("IMPORTRANGE(""https://docs.google.com/spreadsheets/d/1EXMBoBxU3OFbjT2TRpneM33qFjqDzrKmn9ydcflfI0o/edit?usp=sharing"",""นครพนม!I701"")"),0)</f>
        <v>0</v>
      </c>
      <c r="V35" s="181">
        <f ca="1">IFERROR(__xludf.DUMMYFUNCTION("IMPORTRANGE(""https://docs.google.com/spreadsheets/d/1EXMBoBxU3OFbjT2TRpneM33qFjqDzrKmn9ydcflfI0o/edit?usp=sharing"",""นครพนม!J701"")"),0)</f>
        <v>0</v>
      </c>
      <c r="W35" s="186">
        <f t="shared" ca="1" si="33"/>
        <v>0</v>
      </c>
      <c r="X35" s="186">
        <f ca="1">IFERROR(__xludf.DUMMYFUNCTION("IMPORTRANGE(""https://docs.google.com/spreadsheets/d/1EXMBoBxU3OFbjT2TRpneM33qFjqDzrKmn9ydcflfI0o/edit?usp=sharing"",""นครพนม!J702"")"),0)</f>
        <v>0</v>
      </c>
      <c r="Y35" s="186">
        <f ca="1">IFERROR(__xludf.DUMMYFUNCTION("IMPORTRANGE(""https://docs.google.com/spreadsheets/d/1EXMBoBxU3OFbjT2TRpneM33qFjqDzrKmn9ydcflfI0o/edit?usp=sharing"",""นครพนม!J703"")"),0)</f>
        <v>0</v>
      </c>
      <c r="Z35" s="186">
        <f ca="1">IFERROR(__xludf.DUMMYFUNCTION("IMPORTRANGE(""https://docs.google.com/spreadsheets/d/1EXMBoBxU3OFbjT2TRpneM33qFjqDzrKmn9ydcflfI0o/edit?usp=sharing"",""นครพนม!J704"")"),0)</f>
        <v>0</v>
      </c>
      <c r="AA35" s="186">
        <f ca="1">IFERROR(__xludf.DUMMYFUNCTION("IMPORTRANGE(""https://docs.google.com/spreadsheets/d/1EXMBoBxU3OFbjT2TRpneM33qFjqDzrKmn9ydcflfI0o/edit?usp=sharing"",""นครพนม!J705"")"),0)</f>
        <v>0</v>
      </c>
      <c r="AB35" s="186">
        <f ca="1">IFERROR(__xludf.DUMMYFUNCTION("IMPORTRANGE(""https://docs.google.com/spreadsheets/d/1EXMBoBxU3OFbjT2TRpneM33qFjqDzrKmn9ydcflfI0o/edit?usp=sharing"",""นครพนม!J706"")"),0)</f>
        <v>0</v>
      </c>
      <c r="AC35" s="186">
        <f ca="1">IFERROR(__xludf.DUMMYFUNCTION("IMPORTRANGE(""https://docs.google.com/spreadsheets/d/1EXMBoBxU3OFbjT2TRpneM33qFjqDzrKmn9ydcflfI0o/edit?usp=sharing"",""นครพนม!J707"")"),0)</f>
        <v>0</v>
      </c>
      <c r="AD35" s="181">
        <f ca="1">IFERROR(__xludf.DUMMYFUNCTION("IMPORTRANGE(""https://docs.google.com/spreadsheets/d/1EXMBoBxU3OFbjT2TRpneM33qFjqDzrKmn9ydcflfI0o/edit?usp=sharing"",""นครพนม!I708"")"),0)</f>
        <v>0</v>
      </c>
      <c r="AE35" s="181">
        <f ca="1">IFERROR(__xludf.DUMMYFUNCTION("IMPORTRANGE(""https://docs.google.com/spreadsheets/d/1EXMBoBxU3OFbjT2TRpneM33qFjqDzrKmn9ydcflfI0o/edit?usp=sharing"",""นครพนม!J708"")"),0)</f>
        <v>0</v>
      </c>
      <c r="AF35" s="186">
        <f t="shared" ca="1" si="34"/>
        <v>0</v>
      </c>
      <c r="AG35" s="181">
        <f ca="1">IFERROR(__xludf.DUMMYFUNCTION("IMPORTRANGE(""https://docs.google.com/spreadsheets/d/1EXMBoBxU3OFbjT2TRpneM33qFjqDzrKmn9ydcflfI0o/edit?usp=sharing"",""นครพนม!J709"")"),0)</f>
        <v>0</v>
      </c>
      <c r="AH35" s="181">
        <f ca="1">IFERROR(__xludf.DUMMYFUNCTION("IMPORTRANGE(""https://docs.google.com/spreadsheets/d/1EXMBoBxU3OFbjT2TRpneM33qFjqDzrKmn9ydcflfI0o/edit?usp=sharing"",""นครพนม!J710"")"),0)</f>
        <v>0</v>
      </c>
      <c r="AI35" s="181">
        <f ca="1">IFERROR(__xludf.DUMMYFUNCTION("IMPORTRANGE(""https://docs.google.com/spreadsheets/d/1EXMBoBxU3OFbjT2TRpneM33qFjqDzrKmn9ydcflfI0o/edit?usp=sharing"",""นครพนม!J712"")"),0)</f>
        <v>0</v>
      </c>
      <c r="AJ35" s="181">
        <f ca="1">IFERROR(__xludf.DUMMYFUNCTION("IMPORTRANGE(""https://docs.google.com/spreadsheets/d/1EXMBoBxU3OFbjT2TRpneM33qFjqDzrKmn9ydcflfI0o/edit?usp=sharing"",""นครพนม!J713"")"),0)</f>
        <v>0</v>
      </c>
      <c r="AK35" s="181">
        <f ca="1">IFERROR(__xludf.DUMMYFUNCTION("IMPORTRANGE(""https://docs.google.com/spreadsheets/d/1EXMBoBxU3OFbjT2TRpneM33qFjqDzrKmn9ydcflfI0o/edit?usp=sharing"",""นครพนม!J714"")"),0)</f>
        <v>0</v>
      </c>
      <c r="AL35" s="181">
        <f ca="1">IFERROR(__xludf.DUMMYFUNCTION("IMPORTRANGE(""https://docs.google.com/spreadsheets/d/1EXMBoBxU3OFbjT2TRpneM33qFjqDzrKmn9ydcflfI0o/edit?usp=sharing"",""นครพนม!J715"")"),0)</f>
        <v>0</v>
      </c>
      <c r="AM35" s="181">
        <f ca="1">IFERROR(__xludf.DUMMYFUNCTION("IMPORTRANGE(""https://docs.google.com/spreadsheets/d/1EXMBoBxU3OFbjT2TRpneM33qFjqDzrKmn9ydcflfI0o/edit?usp=sharing"",""นครพนม!J716"")"),0)</f>
        <v>0</v>
      </c>
      <c r="AN35" s="181">
        <f ca="1">IFERROR(__xludf.DUMMYFUNCTION("IMPORTRANGE(""https://docs.google.com/spreadsheets/d/1EXMBoBxU3OFbjT2TRpneM33qFjqDzrKmn9ydcflfI0o/edit?usp=sharing"",""นครพนม!J717"")"),0)</f>
        <v>0</v>
      </c>
      <c r="AO35" s="181">
        <f ca="1">IFERROR(__xludf.DUMMYFUNCTION("IMPORTRANGE(""https://docs.google.com/spreadsheets/d/1EXMBoBxU3OFbjT2TRpneM33qFjqDzrKmn9ydcflfI0o/edit?usp=sharing"",""นครพนม!I720"")"),0)</f>
        <v>0</v>
      </c>
      <c r="AP35" s="181">
        <f ca="1">IFERROR(__xludf.DUMMYFUNCTION("IMPORTRANGE(""https://docs.google.com/spreadsheets/d/1EXMBoBxU3OFbjT2TRpneM33qFjqDzrKmn9ydcflfI0o/edit?usp=sharing"",""นครพนม!J718"")"),0)</f>
        <v>0</v>
      </c>
      <c r="AQ35" s="181">
        <f ca="1">IFERROR(__xludf.DUMMYFUNCTION("IMPORTRANGE(""https://docs.google.com/spreadsheets/d/1EXMBoBxU3OFbjT2TRpneM33qFjqDzrKmn9ydcflfI0o/edit?usp=sharing"",""นครพนม!J719"")"),0)</f>
        <v>0</v>
      </c>
      <c r="AR35" s="181">
        <f ca="1">IFERROR(__xludf.DUMMYFUNCTION("IMPORTRANGE(""https://docs.google.com/spreadsheets/d/1EXMBoBxU3OFbjT2TRpneM33qFjqDzrKmn9ydcflfI0o/edit?usp=sharing"",""นครพนม!J720"")"),0)</f>
        <v>0</v>
      </c>
      <c r="AS35" s="186">
        <f t="shared" ca="1" si="14"/>
        <v>0</v>
      </c>
      <c r="AT35" s="181">
        <f ca="1">IFERROR(__xludf.DUMMYFUNCTION("IMPORTRANGE(""https://docs.google.com/spreadsheets/d/1EXMBoBxU3OFbjT2TRpneM33qFjqDzrKmn9ydcflfI0o/edit?usp=sharing"",""นครพนม!I721"")"),0)</f>
        <v>0</v>
      </c>
      <c r="AU35" s="181">
        <f ca="1">IFERROR(__xludf.DUMMYFUNCTION("IMPORTRANGE(""https://docs.google.com/spreadsheets/d/1EXMBoBxU3OFbjT2TRpneM33qFjqDzrKmn9ydcflfI0o/edit?usp=sharing"",""นครพนม!I722"")"),0)</f>
        <v>0</v>
      </c>
      <c r="AV35" s="181">
        <f ca="1">IFERROR(__xludf.DUMMYFUNCTION("IMPORTRANGE(""https://docs.google.com/spreadsheets/d/1EXMBoBxU3OFbjT2TRpneM33qFjqDzrKmn9ydcflfI0o/edit?usp=sharing"",""นครพนม!J721"")"),0)</f>
        <v>0</v>
      </c>
      <c r="AW35" s="186">
        <f t="shared" ca="1" si="16"/>
        <v>0</v>
      </c>
      <c r="AX35" s="181">
        <f ca="1">IFERROR(__xludf.DUMMYFUNCTION("IMPORTRANGE(""https://docs.google.com/spreadsheets/d/1EXMBoBxU3OFbjT2TRpneM33qFjqDzrKmn9ydcflfI0o/edit?usp=sharing"",""นครพนม!J722"")"),0)</f>
        <v>0</v>
      </c>
      <c r="AY35" s="186">
        <f t="shared" ca="1" si="17"/>
        <v>0</v>
      </c>
      <c r="AZ35" s="181">
        <f ca="1">IFERROR(__xludf.DUMMYFUNCTION("IMPORTRANGE(""https://docs.google.com/spreadsheets/d/1EXMBoBxU3OFbjT2TRpneM33qFjqDzrKmn9ydcflfI0o/edit?usp=sharing"",""นครพนม!I723"")"),0)</f>
        <v>0</v>
      </c>
      <c r="BA35" s="181">
        <f ca="1">IFERROR(__xludf.DUMMYFUNCTION("IMPORTRANGE(""https://docs.google.com/spreadsheets/d/1EXMBoBxU3OFbjT2TRpneM33qFjqDzrKmn9ydcflfI0o/edit?usp=sharing"",""นครพนม!I725"")"),0)</f>
        <v>0</v>
      </c>
      <c r="BB35" s="181">
        <f ca="1">IFERROR(__xludf.DUMMYFUNCTION("IMPORTRANGE(""https://docs.google.com/spreadsheets/d/1EXMBoBxU3OFbjT2TRpneM33qFjqDzrKmn9ydcflfI0o/edit?usp=sharing"",""นครพนม!J723"")"),0)</f>
        <v>0</v>
      </c>
      <c r="BC35" s="181">
        <f ca="1">IFERROR(__xludf.DUMMYFUNCTION("IMPORTRANGE(""https://docs.google.com/spreadsheets/d/1EXMBoBxU3OFbjT2TRpneM33qFjqDzrKmn9ydcflfI0o/edit?usp=sharing"",""นครพนม!J724"")"),0)</f>
        <v>0</v>
      </c>
      <c r="BD35" s="181">
        <f ca="1">IFERROR(__xludf.DUMMYFUNCTION("IMPORTRANGE(""https://docs.google.com/spreadsheets/d/1EXMBoBxU3OFbjT2TRpneM33qFjqDzrKmn9ydcflfI0o/edit?usp=sharing"",""นครพนม!J725"")"),0)</f>
        <v>0</v>
      </c>
      <c r="BE35" s="181">
        <f ca="1">IFERROR(__xludf.DUMMYFUNCTION("IMPORTRANGE(""https://docs.google.com/spreadsheets/d/1EXMBoBxU3OFbjT2TRpneM33qFjqDzrKmn9ydcflfI0o/edit?usp=sharing"",""นครพนม!I726"")"),0)</f>
        <v>0</v>
      </c>
      <c r="BF35" s="181">
        <f ca="1">IFERROR(__xludf.DUMMYFUNCTION("IMPORTRANGE(""https://docs.google.com/spreadsheets/d/1EXMBoBxU3OFbjT2TRpneM33qFjqDzrKmn9ydcflfI0o/edit?usp=sharing"",""นครพนม!I728"")"),0)</f>
        <v>0</v>
      </c>
      <c r="BG35" s="181">
        <f ca="1">IFERROR(__xludf.DUMMYFUNCTION("IMPORTRANGE(""https://docs.google.com/spreadsheets/d/1EXMBoBxU3OFbjT2TRpneM33qFjqDzrKmn9ydcflfI0o/edit?usp=sharing"",""นครพนม!J726"")"),0)</f>
        <v>0</v>
      </c>
      <c r="BH35" s="181">
        <f ca="1">IFERROR(__xludf.DUMMYFUNCTION("IMPORTRANGE(""https://docs.google.com/spreadsheets/d/1EXMBoBxU3OFbjT2TRpneM33qFjqDzrKmn9ydcflfI0o/edit?usp=sharing"",""นครพนม!J727"")"),0)</f>
        <v>0</v>
      </c>
      <c r="BI35" s="181">
        <f ca="1">IFERROR(__xludf.DUMMYFUNCTION("IMPORTRANGE(""https://docs.google.com/spreadsheets/d/1EXMBoBxU3OFbjT2TRpneM33qFjqDzrKmn9ydcflfI0o/edit?usp=sharing"",""นครพนม!J728"")"),0)</f>
        <v>0</v>
      </c>
      <c r="BJ35" s="181">
        <f ca="1">IFERROR(__xludf.DUMMYFUNCTION("IMPORTRANGE(""https://docs.google.com/spreadsheets/d/1EXMBoBxU3OFbjT2TRpneM33qFjqDzrKmn9ydcflfI0o/edit?usp=sharing"",""นครพนม!I729"")"),0)</f>
        <v>0</v>
      </c>
      <c r="BK35" s="181">
        <f ca="1">IFERROR(__xludf.DUMMYFUNCTION("IMPORTRANGE(""https://docs.google.com/spreadsheets/d/1EXMBoBxU3OFbjT2TRpneM33qFjqDzrKmn9ydcflfI0o/edit?usp=sharing"",""นครพนม!J729"")"),0)</f>
        <v>0</v>
      </c>
      <c r="BL35" s="186">
        <f t="shared" ca="1" si="19"/>
        <v>0</v>
      </c>
      <c r="BM35" s="181" t="str">
        <f ca="1">IFERROR(__xludf.DUMMYFUNCTION("IMPORTRANGE(""https://docs.google.com/spreadsheets/d/1EXMBoBxU3OFbjT2TRpneM33qFjqDzrKmn9ydcflfI0o/edit?usp=sharing"",""นครพนม!J730"")"),"")</f>
        <v/>
      </c>
      <c r="BN35" s="181" t="str">
        <f ca="1">IFERROR(__xludf.DUMMYFUNCTION("IMPORTRANGE(""https://docs.google.com/spreadsheets/d/1EXMBoBxU3OFbjT2TRpneM33qFjqDzrKmn9ydcflfI0o/edit?usp=sharing"",""นครพนม!J731"")"),"")</f>
        <v/>
      </c>
      <c r="BO35" s="181">
        <f ca="1">IFERROR(__xludf.DUMMYFUNCTION("IMPORTRANGE(""https://docs.google.com/spreadsheets/d/1EXMBoBxU3OFbjT2TRpneM33qFjqDzrKmn9ydcflfI0o/edit?usp=sharing"",""นครพนม!J732"")"),0)</f>
        <v>0</v>
      </c>
      <c r="BP35" s="181">
        <f ca="1">IFERROR(__xludf.DUMMYFUNCTION("IMPORTRANGE(""https://docs.google.com/spreadsheets/d/1EXMBoBxU3OFbjT2TRpneM33qFjqDzrKmn9ydcflfI0o/edit?usp=sharing"",""นครพนม!J733"")"),0)</f>
        <v>0</v>
      </c>
      <c r="BQ35" s="181">
        <f ca="1">IFERROR(__xludf.DUMMYFUNCTION("IMPORTRANGE(""https://docs.google.com/spreadsheets/d/1EXMBoBxU3OFbjT2TRpneM33qFjqDzrKmn9ydcflfI0o/edit?usp=sharing"",""นครพนม!J734"")"),0)</f>
        <v>0</v>
      </c>
      <c r="BR35" s="181">
        <f ca="1">IFERROR(__xludf.DUMMYFUNCTION("IMPORTRANGE(""https://docs.google.com/spreadsheets/d/1EXMBoBxU3OFbjT2TRpneM33qFjqDzrKmn9ydcflfI0o/edit?usp=sharing"",""นครพนม!J735"")"),0)</f>
        <v>0</v>
      </c>
    </row>
    <row r="36" spans="1:70" ht="21" customHeight="1" x14ac:dyDescent="0.3">
      <c r="A36" s="178">
        <v>5</v>
      </c>
      <c r="B36" s="179" t="s">
        <v>53</v>
      </c>
      <c r="C36" s="180">
        <f t="shared" ca="1" si="58"/>
        <v>5200</v>
      </c>
      <c r="D36" s="181">
        <f ca="1">IFERROR(__xludf.DUMMYFUNCTION("IMPORTRANGE(""https://docs.google.com/spreadsheets/d/1bDQrolntRWtHumK8W-x-HXKntwxB9S3sF5aDeRS66Ko/edit?usp=sharing"",""นครราชสีมา!L690"")"),5200)</f>
        <v>5200</v>
      </c>
      <c r="E36" s="187">
        <f ca="1">IFERROR(__xludf.DUMMYFUNCTION("IMPORTRANGE(""https://docs.google.com/spreadsheets/d/1bDQrolntRWtHumK8W-x-HXKntwxB9S3sF5aDeRS66Ko/edit?usp=sharing"",""นครราชสีมา!L697"")"),0)</f>
        <v>0</v>
      </c>
      <c r="F36" s="182">
        <f t="shared" ca="1" si="1"/>
        <v>0</v>
      </c>
      <c r="G36" s="183">
        <f t="shared" ca="1" si="2"/>
        <v>0</v>
      </c>
      <c r="H36" s="184">
        <f t="shared" ca="1" si="59"/>
        <v>0</v>
      </c>
      <c r="I36" s="187">
        <f ca="1">IFERROR(__xludf.DUMMYFUNCTION("IMPORTRANGE(""https://docs.google.com/spreadsheets/d/1bDQrolntRWtHumK8W-x-HXKntwxB9S3sF5aDeRS66Ko/edit?usp=sharing"",""นครราชสีมา!N691"")"),0)</f>
        <v>0</v>
      </c>
      <c r="J36" s="187">
        <f ca="1">IFERROR(__xludf.DUMMYFUNCTION("IMPORTRANGE(""https://docs.google.com/spreadsheets/d/1bDQrolntRWtHumK8W-x-HXKntwxB9S3sF5aDeRS66Ko/edit?usp=sharing"",""นครราชสีมา!N692"")"),0)</f>
        <v>0</v>
      </c>
      <c r="K36" s="187">
        <f ca="1">IFERROR(__xludf.DUMMYFUNCTION("IMPORTRANGE(""https://docs.google.com/spreadsheets/d/1bDQrolntRWtHumK8W-x-HXKntwxB9S3sF5aDeRS66Ko/edit?usp=sharing"",""นครราชสีมา!N693"")"),0)</f>
        <v>0</v>
      </c>
      <c r="L36" s="187">
        <f ca="1">IFERROR(__xludf.DUMMYFUNCTION("IMPORTRANGE(""https://docs.google.com/spreadsheets/d/1bDQrolntRWtHumK8W-x-HXKntwxB9S3sF5aDeRS66Ko/edit?usp=sharing"",""นครราชสีมา!N694"")"),0)</f>
        <v>0</v>
      </c>
      <c r="M36" s="185">
        <f ca="1">IFERROR(__xludf.DUMMYFUNCTION("IMPORTRANGE(""https://docs.google.com/spreadsheets/d/1bDQrolntRWtHumK8W-x-HXKntwxB9S3sF5aDeRS66Ko/edit?usp=sharing"",""นครราชสีมา!N697"")"),0)</f>
        <v>0</v>
      </c>
      <c r="N36" s="185">
        <f t="shared" ca="1" si="37"/>
        <v>0</v>
      </c>
      <c r="O36" s="181">
        <f ca="1">IFERROR(__xludf.DUMMYFUNCTION("IMPORTRANGE(""https://docs.google.com/spreadsheets/d/1bDQrolntRWtHumK8W-x-HXKntwxB9S3sF5aDeRS66Ko/edit?usp=sharing"",""นครราชสีมา!I699"")"),0)</f>
        <v>0</v>
      </c>
      <c r="P36" s="181">
        <f ca="1">IFERROR(__xludf.DUMMYFUNCTION("IMPORTRANGE(""https://docs.google.com/spreadsheets/d/1bDQrolntRWtHumK8W-x-HXKntwxB9S3sF5aDeRS66Ko/edit?usp=sharing"",""นครราชสีมา!J699"")"),0)</f>
        <v>0</v>
      </c>
      <c r="Q36" s="186">
        <f t="shared" ca="1" si="31"/>
        <v>0</v>
      </c>
      <c r="R36" s="181">
        <f ca="1">IFERROR(__xludf.DUMMYFUNCTION("IMPORTRANGE(""https://docs.google.com/spreadsheets/d/1bDQrolntRWtHumK8W-x-HXKntwxB9S3sF5aDeRS66Ko/edit?usp=sharing"",""นครราชสีมา!I700"")"),35)</f>
        <v>35</v>
      </c>
      <c r="S36" s="181">
        <f ca="1">IFERROR(__xludf.DUMMYFUNCTION("IMPORTRANGE(""https://docs.google.com/spreadsheets/d/1bDQrolntRWtHumK8W-x-HXKntwxB9S3sF5aDeRS66Ko/edit?usp=sharing"",""นครราชสีมา!J700"")"),5)</f>
        <v>5</v>
      </c>
      <c r="T36" s="186">
        <f t="shared" ca="1" si="32"/>
        <v>14.285714285714286</v>
      </c>
      <c r="U36" s="181">
        <f ca="1">IFERROR(__xludf.DUMMYFUNCTION("IMPORTRANGE(""https://docs.google.com/spreadsheets/d/1bDQrolntRWtHumK8W-x-HXKntwxB9S3sF5aDeRS66Ko/edit?usp=sharing"",""นครราชสีมา!I701"")"),0)</f>
        <v>0</v>
      </c>
      <c r="V36" s="181">
        <f ca="1">IFERROR(__xludf.DUMMYFUNCTION("IMPORTRANGE(""https://docs.google.com/spreadsheets/d/1bDQrolntRWtHumK8W-x-HXKntwxB9S3sF5aDeRS66Ko/edit?usp=sharing"",""นครราชสีมา!J701"")"),0)</f>
        <v>0</v>
      </c>
      <c r="W36" s="186">
        <f t="shared" ca="1" si="33"/>
        <v>0</v>
      </c>
      <c r="X36" s="186">
        <f ca="1">IFERROR(__xludf.DUMMYFUNCTION("IMPORTRANGE(""https://docs.google.com/spreadsheets/d/1bDQrolntRWtHumK8W-x-HXKntwxB9S3sF5aDeRS66Ko/edit?usp=sharing"",""นครราชสีมา!J702"")"),0)</f>
        <v>0</v>
      </c>
      <c r="Y36" s="186">
        <f ca="1">IFERROR(__xludf.DUMMYFUNCTION("IMPORTRANGE(""https://docs.google.com/spreadsheets/d/1bDQrolntRWtHumK8W-x-HXKntwxB9S3sF5aDeRS66Ko/edit?usp=sharing"",""นครราชสีมา!J703"")"),0)</f>
        <v>0</v>
      </c>
      <c r="Z36" s="186">
        <f ca="1">IFERROR(__xludf.DUMMYFUNCTION("IMPORTRANGE(""https://docs.google.com/spreadsheets/d/1bDQrolntRWtHumK8W-x-HXKntwxB9S3sF5aDeRS66Ko/edit?usp=sharing"",""นครราชสีมา!J704"")"),0)</f>
        <v>0</v>
      </c>
      <c r="AA36" s="186">
        <f ca="1">IFERROR(__xludf.DUMMYFUNCTION("IMPORTRANGE(""https://docs.google.com/spreadsheets/d/1bDQrolntRWtHumK8W-x-HXKntwxB9S3sF5aDeRS66Ko/edit?usp=sharing"",""นครราชสีมา!J705"")"),0)</f>
        <v>0</v>
      </c>
      <c r="AB36" s="186">
        <f ca="1">IFERROR(__xludf.DUMMYFUNCTION("IMPORTRANGE(""https://docs.google.com/spreadsheets/d/1bDQrolntRWtHumK8W-x-HXKntwxB9S3sF5aDeRS66Ko/edit?usp=sharing"",""นครราชสีมา!J706"")"),0)</f>
        <v>0</v>
      </c>
      <c r="AC36" s="186">
        <f ca="1">IFERROR(__xludf.DUMMYFUNCTION("IMPORTRANGE(""https://docs.google.com/spreadsheets/d/1bDQrolntRWtHumK8W-x-HXKntwxB9S3sF5aDeRS66Ko/edit?usp=sharing"",""นครราชสีมา!J707"")"),0)</f>
        <v>0</v>
      </c>
      <c r="AD36" s="181">
        <f ca="1">IFERROR(__xludf.DUMMYFUNCTION("IMPORTRANGE(""https://docs.google.com/spreadsheets/d/1bDQrolntRWtHumK8W-x-HXKntwxB9S3sF5aDeRS66Ko/edit?usp=sharing"",""นครราชสีมา!I708"")"),0)</f>
        <v>0</v>
      </c>
      <c r="AE36" s="181">
        <f ca="1">IFERROR(__xludf.DUMMYFUNCTION("IMPORTRANGE(""https://docs.google.com/spreadsheets/d/1bDQrolntRWtHumK8W-x-HXKntwxB9S3sF5aDeRS66Ko/edit?usp=sharing"",""นครราชสีมา!J708"")"),0)</f>
        <v>0</v>
      </c>
      <c r="AF36" s="186">
        <f t="shared" ca="1" si="34"/>
        <v>0</v>
      </c>
      <c r="AG36" s="181">
        <f ca="1">IFERROR(__xludf.DUMMYFUNCTION("IMPORTRANGE(""https://docs.google.com/spreadsheets/d/1bDQrolntRWtHumK8W-x-HXKntwxB9S3sF5aDeRS66Ko/edit?usp=sharing"",""นครราชสีมา!J709"")"),0)</f>
        <v>0</v>
      </c>
      <c r="AH36" s="181">
        <f ca="1">IFERROR(__xludf.DUMMYFUNCTION("IMPORTRANGE(""https://docs.google.com/spreadsheets/d/1bDQrolntRWtHumK8W-x-HXKntwxB9S3sF5aDeRS66Ko/edit?usp=sharing"",""นครราชสีมา!J710"")"),0)</f>
        <v>0</v>
      </c>
      <c r="AI36" s="181">
        <f ca="1">IFERROR(__xludf.DUMMYFUNCTION("IMPORTRANGE(""https://docs.google.com/spreadsheets/d/1bDQrolntRWtHumK8W-x-HXKntwxB9S3sF5aDeRS66Ko/edit?usp=sharing"",""นครราชสีมา!J712"")"),0)</f>
        <v>0</v>
      </c>
      <c r="AJ36" s="181">
        <f ca="1">IFERROR(__xludf.DUMMYFUNCTION("IMPORTRANGE(""https://docs.google.com/spreadsheets/d/1bDQrolntRWtHumK8W-x-HXKntwxB9S3sF5aDeRS66Ko/edit?usp=sharing"",""นครราชสีมา!J713"")"),0)</f>
        <v>0</v>
      </c>
      <c r="AK36" s="181">
        <f ca="1">IFERROR(__xludf.DUMMYFUNCTION("IMPORTRANGE(""https://docs.google.com/spreadsheets/d/1bDQrolntRWtHumK8W-x-HXKntwxB9S3sF5aDeRS66Ko/edit?usp=sharing"",""นครราชสีมา!J714"")"),0)</f>
        <v>0</v>
      </c>
      <c r="AL36" s="181">
        <f ca="1">IFERROR(__xludf.DUMMYFUNCTION("IMPORTRANGE(""https://docs.google.com/spreadsheets/d/1bDQrolntRWtHumK8W-x-HXKntwxB9S3sF5aDeRS66Ko/edit?usp=sharing"",""นครราชสีมา!J715"")"),0)</f>
        <v>0</v>
      </c>
      <c r="AM36" s="181">
        <f ca="1">IFERROR(__xludf.DUMMYFUNCTION("IMPORTRANGE(""https://docs.google.com/spreadsheets/d/1bDQrolntRWtHumK8W-x-HXKntwxB9S3sF5aDeRS66Ko/edit?usp=sharing"",""นครราชสีมา!J716"")"),0)</f>
        <v>0</v>
      </c>
      <c r="AN36" s="181">
        <f ca="1">IFERROR(__xludf.DUMMYFUNCTION("IMPORTRANGE(""https://docs.google.com/spreadsheets/d/1bDQrolntRWtHumK8W-x-HXKntwxB9S3sF5aDeRS66Ko/edit?usp=sharing"",""นครราชสีมา!J717"")"),0)</f>
        <v>0</v>
      </c>
      <c r="AO36" s="181">
        <f ca="1">IFERROR(__xludf.DUMMYFUNCTION("IMPORTRANGE(""https://docs.google.com/spreadsheets/d/1bDQrolntRWtHumK8W-x-HXKntwxB9S3sF5aDeRS66Ko/edit?usp=sharing"",""นครราชสีมา!I720"")"),0)</f>
        <v>0</v>
      </c>
      <c r="AP36" s="181">
        <f ca="1">IFERROR(__xludf.DUMMYFUNCTION("IMPORTRANGE(""https://docs.google.com/spreadsheets/d/1bDQrolntRWtHumK8W-x-HXKntwxB9S3sF5aDeRS66Ko/edit?usp=sharing"",""นครราชสีมา!J718"")"),0)</f>
        <v>0</v>
      </c>
      <c r="AQ36" s="181">
        <f ca="1">IFERROR(__xludf.DUMMYFUNCTION("IMPORTRANGE(""https://docs.google.com/spreadsheets/d/1bDQrolntRWtHumK8W-x-HXKntwxB9S3sF5aDeRS66Ko/edit?usp=sharing"",""นครราชสีมา!J719"")"),0)</f>
        <v>0</v>
      </c>
      <c r="AR36" s="181">
        <f ca="1">IFERROR(__xludf.DUMMYFUNCTION("IMPORTRANGE(""https://docs.google.com/spreadsheets/d/1bDQrolntRWtHumK8W-x-HXKntwxB9S3sF5aDeRS66Ko/edit?usp=sharing"",""นครราชสีมา!J720"")"),0)</f>
        <v>0</v>
      </c>
      <c r="AS36" s="186">
        <f t="shared" ca="1" si="14"/>
        <v>0</v>
      </c>
      <c r="AT36" s="181">
        <f ca="1">IFERROR(__xludf.DUMMYFUNCTION("IMPORTRANGE(""https://docs.google.com/spreadsheets/d/1bDQrolntRWtHumK8W-x-HXKntwxB9S3sF5aDeRS66Ko/edit?usp=sharing"",""นครราชสีมา!I721"")"),0)</f>
        <v>0</v>
      </c>
      <c r="AU36" s="181">
        <f ca="1">IFERROR(__xludf.DUMMYFUNCTION("IMPORTRANGE(""https://docs.google.com/spreadsheets/d/1bDQrolntRWtHumK8W-x-HXKntwxB9S3sF5aDeRS66Ko/edit?usp=sharing"",""นครราชสีมา!I722"")"),0)</f>
        <v>0</v>
      </c>
      <c r="AV36" s="181">
        <f ca="1">IFERROR(__xludf.DUMMYFUNCTION("IMPORTRANGE(""https://docs.google.com/spreadsheets/d/1bDQrolntRWtHumK8W-x-HXKntwxB9S3sF5aDeRS66Ko/edit?usp=sharing"",""นครราชสีมา!J721"")"),0)</f>
        <v>0</v>
      </c>
      <c r="AW36" s="186">
        <f t="shared" ca="1" si="16"/>
        <v>0</v>
      </c>
      <c r="AX36" s="181">
        <f ca="1">IFERROR(__xludf.DUMMYFUNCTION("IMPORTRANGE(""https://docs.google.com/spreadsheets/d/1bDQrolntRWtHumK8W-x-HXKntwxB9S3sF5aDeRS66Ko/edit?usp=sharing"",""นครราชสีมา!J722"")"),0)</f>
        <v>0</v>
      </c>
      <c r="AY36" s="186">
        <f t="shared" ca="1" si="17"/>
        <v>0</v>
      </c>
      <c r="AZ36" s="181">
        <f ca="1">IFERROR(__xludf.DUMMYFUNCTION("IMPORTRANGE(""https://docs.google.com/spreadsheets/d/1bDQrolntRWtHumK8W-x-HXKntwxB9S3sF5aDeRS66Ko/edit?usp=sharing"",""นครราชสีมา!I723"")"),0)</f>
        <v>0</v>
      </c>
      <c r="BA36" s="181">
        <f ca="1">IFERROR(__xludf.DUMMYFUNCTION("IMPORTRANGE(""https://docs.google.com/spreadsheets/d/1bDQrolntRWtHumK8W-x-HXKntwxB9S3sF5aDeRS66Ko/edit?usp=sharing"",""นครราชสีมา!I725"")"),0)</f>
        <v>0</v>
      </c>
      <c r="BB36" s="181">
        <f ca="1">IFERROR(__xludf.DUMMYFUNCTION("IMPORTRANGE(""https://docs.google.com/spreadsheets/d/1bDQrolntRWtHumK8W-x-HXKntwxB9S3sF5aDeRS66Ko/edit?usp=sharing"",""นครราชสีมา!J723"")"),0)</f>
        <v>0</v>
      </c>
      <c r="BC36" s="181">
        <f ca="1">IFERROR(__xludf.DUMMYFUNCTION("IMPORTRANGE(""https://docs.google.com/spreadsheets/d/1bDQrolntRWtHumK8W-x-HXKntwxB9S3sF5aDeRS66Ko/edit?usp=sharing"",""นครราชสีมา!J724"")"),0)</f>
        <v>0</v>
      </c>
      <c r="BD36" s="181">
        <f ca="1">IFERROR(__xludf.DUMMYFUNCTION("IMPORTRANGE(""https://docs.google.com/spreadsheets/d/1bDQrolntRWtHumK8W-x-HXKntwxB9S3sF5aDeRS66Ko/edit?usp=sharing"",""นครราชสีมา!J725"")"),0)</f>
        <v>0</v>
      </c>
      <c r="BE36" s="181">
        <f ca="1">IFERROR(__xludf.DUMMYFUNCTION("IMPORTRANGE(""https://docs.google.com/spreadsheets/d/1bDQrolntRWtHumK8W-x-HXKntwxB9S3sF5aDeRS66Ko/edit?usp=sharing"",""นครราชสีมา!I726"")"),0)</f>
        <v>0</v>
      </c>
      <c r="BF36" s="181">
        <f ca="1">IFERROR(__xludf.DUMMYFUNCTION("IMPORTRANGE(""https://docs.google.com/spreadsheets/d/1bDQrolntRWtHumK8W-x-HXKntwxB9S3sF5aDeRS66Ko/edit?usp=sharing"",""นครราชสีมา!I728"")"),0)</f>
        <v>0</v>
      </c>
      <c r="BG36" s="181">
        <f ca="1">IFERROR(__xludf.DUMMYFUNCTION("IMPORTRANGE(""https://docs.google.com/spreadsheets/d/1bDQrolntRWtHumK8W-x-HXKntwxB9S3sF5aDeRS66Ko/edit?usp=sharing"",""นครราชสีมา!J726"")"),0)</f>
        <v>0</v>
      </c>
      <c r="BH36" s="181">
        <f ca="1">IFERROR(__xludf.DUMMYFUNCTION("IMPORTRANGE(""https://docs.google.com/spreadsheets/d/1bDQrolntRWtHumK8W-x-HXKntwxB9S3sF5aDeRS66Ko/edit?usp=sharing"",""นครราชสีมา!J727"")"),0)</f>
        <v>0</v>
      </c>
      <c r="BI36" s="181">
        <f ca="1">IFERROR(__xludf.DUMMYFUNCTION("IMPORTRANGE(""https://docs.google.com/spreadsheets/d/1bDQrolntRWtHumK8W-x-HXKntwxB9S3sF5aDeRS66Ko/edit?usp=sharing"",""นครราชสีมา!J728"")"),0)</f>
        <v>0</v>
      </c>
      <c r="BJ36" s="181">
        <f ca="1">IFERROR(__xludf.DUMMYFUNCTION("IMPORTRANGE(""https://docs.google.com/spreadsheets/d/1bDQrolntRWtHumK8W-x-HXKntwxB9S3sF5aDeRS66Ko/edit?usp=sharing"",""นครราชสีมา!I729"")"),0)</f>
        <v>0</v>
      </c>
      <c r="BK36" s="181">
        <f ca="1">IFERROR(__xludf.DUMMYFUNCTION("IMPORTRANGE(""https://docs.google.com/spreadsheets/d/1bDQrolntRWtHumK8W-x-HXKntwxB9S3sF5aDeRS66Ko/edit?usp=sharing"",""นครราชสีมา!J729"")"),0)</f>
        <v>0</v>
      </c>
      <c r="BL36" s="186">
        <f t="shared" ca="1" si="19"/>
        <v>0</v>
      </c>
      <c r="BM36" s="181">
        <f ca="1">IFERROR(__xludf.DUMMYFUNCTION("IMPORTRANGE(""https://docs.google.com/spreadsheets/d/1bDQrolntRWtHumK8W-x-HXKntwxB9S3sF5aDeRS66Ko/edit?usp=sharing"",""นครราชสีมา!J730"")"),0)</f>
        <v>0</v>
      </c>
      <c r="BN36" s="181">
        <f ca="1">IFERROR(__xludf.DUMMYFUNCTION("IMPORTRANGE(""https://docs.google.com/spreadsheets/d/1bDQrolntRWtHumK8W-x-HXKntwxB9S3sF5aDeRS66Ko/edit?usp=sharing"",""นครราชสีมา!J731"")"),0)</f>
        <v>0</v>
      </c>
      <c r="BO36" s="181">
        <f ca="1">IFERROR(__xludf.DUMMYFUNCTION("IMPORTRANGE(""https://docs.google.com/spreadsheets/d/1bDQrolntRWtHumK8W-x-HXKntwxB9S3sF5aDeRS66Ko/edit?usp=sharing"",""นครราชสีมา!J732"")"),0)</f>
        <v>0</v>
      </c>
      <c r="BP36" s="181">
        <f ca="1">IFERROR(__xludf.DUMMYFUNCTION("IMPORTRANGE(""https://docs.google.com/spreadsheets/d/1bDQrolntRWtHumK8W-x-HXKntwxB9S3sF5aDeRS66Ko/edit?usp=sharing"",""นครราชสีมา!J733"")"),0)</f>
        <v>0</v>
      </c>
      <c r="BQ36" s="181">
        <f ca="1">IFERROR(__xludf.DUMMYFUNCTION("IMPORTRANGE(""https://docs.google.com/spreadsheets/d/1bDQrolntRWtHumK8W-x-HXKntwxB9S3sF5aDeRS66Ko/edit?usp=sharing"",""นครราชสีมา!J734"")"),0)</f>
        <v>0</v>
      </c>
      <c r="BR36" s="181">
        <f ca="1">IFERROR(__xludf.DUMMYFUNCTION("IMPORTRANGE(""https://docs.google.com/spreadsheets/d/1bDQrolntRWtHumK8W-x-HXKntwxB9S3sF5aDeRS66Ko/edit?usp=sharing"",""นครราชสีมา!J735"")"),0)</f>
        <v>0</v>
      </c>
    </row>
    <row r="37" spans="1:70" ht="21" customHeight="1" x14ac:dyDescent="0.3">
      <c r="A37" s="178">
        <v>6</v>
      </c>
      <c r="B37" s="179" t="s">
        <v>54</v>
      </c>
      <c r="C37" s="180">
        <f t="shared" ca="1" si="58"/>
        <v>0</v>
      </c>
      <c r="D37" s="181">
        <f ca="1">IFERROR(__xludf.DUMMYFUNCTION("IMPORTRANGE(""https://docs.google.com/spreadsheets/d/1_MzZ-2gVPiCW-d2VcafoCmFJQTSrZ6SQyFcMqRRQQ2w/edit?usp=sharing"",""บึงกาฬ!L690"")"),0)</f>
        <v>0</v>
      </c>
      <c r="E37" s="187">
        <f ca="1">IFERROR(__xludf.DUMMYFUNCTION("IMPORTRANGE(""https://docs.google.com/spreadsheets/d/1_MzZ-2gVPiCW-d2VcafoCmFJQTSrZ6SQyFcMqRRQQ2w/edit?usp=sharing"",""บึงกาฬ!L697"")"),0)</f>
        <v>0</v>
      </c>
      <c r="F37" s="182">
        <f t="shared" ca="1" si="1"/>
        <v>0</v>
      </c>
      <c r="G37" s="183">
        <f t="shared" ca="1" si="2"/>
        <v>0</v>
      </c>
      <c r="H37" s="184">
        <f t="shared" ca="1" si="59"/>
        <v>0</v>
      </c>
      <c r="I37" s="187">
        <f ca="1">IFERROR(__xludf.DUMMYFUNCTION("IMPORTRANGE(""https://docs.google.com/spreadsheets/d/1_MzZ-2gVPiCW-d2VcafoCmFJQTSrZ6SQyFcMqRRQQ2w/edit?usp=sharing"",""บึงกาฬ!N691"")"),0)</f>
        <v>0</v>
      </c>
      <c r="J37" s="187">
        <f ca="1">IFERROR(__xludf.DUMMYFUNCTION("IMPORTRANGE(""https://docs.google.com/spreadsheets/d/1_MzZ-2gVPiCW-d2VcafoCmFJQTSrZ6SQyFcMqRRQQ2w/edit?usp=sharing"",""บึงกาฬ!N692"")"),0)</f>
        <v>0</v>
      </c>
      <c r="K37" s="187">
        <f ca="1">IFERROR(__xludf.DUMMYFUNCTION("IMPORTRANGE(""https://docs.google.com/spreadsheets/d/1_MzZ-2gVPiCW-d2VcafoCmFJQTSrZ6SQyFcMqRRQQ2w/edit?usp=sharing"",""บึงกาฬ!N693"")"),0)</f>
        <v>0</v>
      </c>
      <c r="L37" s="187">
        <f ca="1">IFERROR(__xludf.DUMMYFUNCTION("IMPORTRANGE(""https://docs.google.com/spreadsheets/d/1_MzZ-2gVPiCW-d2VcafoCmFJQTSrZ6SQyFcMqRRQQ2w/edit?usp=sharing"",""บึงกาฬ!N694"")"),0)</f>
        <v>0</v>
      </c>
      <c r="M37" s="185">
        <f ca="1">IFERROR(__xludf.DUMMYFUNCTION("IMPORTRANGE(""https://docs.google.com/spreadsheets/d/1_MzZ-2gVPiCW-d2VcafoCmFJQTSrZ6SQyFcMqRRQQ2w/edit?usp=sharing"",""บึงกาฬ!N697"")"),0)</f>
        <v>0</v>
      </c>
      <c r="N37" s="185">
        <f t="shared" ca="1" si="37"/>
        <v>0</v>
      </c>
      <c r="O37" s="181">
        <f ca="1">IFERROR(__xludf.DUMMYFUNCTION("IMPORTRANGE(""https://docs.google.com/spreadsheets/d/1_MzZ-2gVPiCW-d2VcafoCmFJQTSrZ6SQyFcMqRRQQ2w/edit?usp=sharing"",""บึงกาฬ!I699"")"),0)</f>
        <v>0</v>
      </c>
      <c r="P37" s="181">
        <f ca="1">IFERROR(__xludf.DUMMYFUNCTION("IMPORTRANGE(""https://docs.google.com/spreadsheets/d/1_MzZ-2gVPiCW-d2VcafoCmFJQTSrZ6SQyFcMqRRQQ2w/edit?usp=sharing"",""บึงกาฬ!J699"")"),0)</f>
        <v>0</v>
      </c>
      <c r="Q37" s="186">
        <f t="shared" ca="1" si="31"/>
        <v>0</v>
      </c>
      <c r="R37" s="181">
        <f ca="1">IFERROR(__xludf.DUMMYFUNCTION("IMPORTRANGE(""https://docs.google.com/spreadsheets/d/1_MzZ-2gVPiCW-d2VcafoCmFJQTSrZ6SQyFcMqRRQQ2w/edit?usp=sharing"",""บึงกาฬ!I700"")"),0)</f>
        <v>0</v>
      </c>
      <c r="S37" s="181">
        <f ca="1">IFERROR(__xludf.DUMMYFUNCTION("IMPORTRANGE(""https://docs.google.com/spreadsheets/d/1_MzZ-2gVPiCW-d2VcafoCmFJQTSrZ6SQyFcMqRRQQ2w/edit?usp=sharing"",""บึงกาฬ!J700"")"),0)</f>
        <v>0</v>
      </c>
      <c r="T37" s="186">
        <f t="shared" ca="1" si="32"/>
        <v>0</v>
      </c>
      <c r="U37" s="181">
        <f ca="1">IFERROR(__xludf.DUMMYFUNCTION("IMPORTRANGE(""https://docs.google.com/spreadsheets/d/1_MzZ-2gVPiCW-d2VcafoCmFJQTSrZ6SQyFcMqRRQQ2w/edit?usp=sharing"",""บึงกาฬ!I701"")"),0)</f>
        <v>0</v>
      </c>
      <c r="V37" s="181">
        <f ca="1">IFERROR(__xludf.DUMMYFUNCTION("IMPORTRANGE(""https://docs.google.com/spreadsheets/d/1_MzZ-2gVPiCW-d2VcafoCmFJQTSrZ6SQyFcMqRRQQ2w/edit?usp=sharing"",""บึงกาฬ!J701"")"),0)</f>
        <v>0</v>
      </c>
      <c r="W37" s="186">
        <f t="shared" ca="1" si="33"/>
        <v>0</v>
      </c>
      <c r="X37" s="186">
        <f ca="1">IFERROR(__xludf.DUMMYFUNCTION("IMPORTRANGE(""https://docs.google.com/spreadsheets/d/1_MzZ-2gVPiCW-d2VcafoCmFJQTSrZ6SQyFcMqRRQQ2w/edit?usp=sharing"",""บึงกาฬ!J702"")"),0)</f>
        <v>0</v>
      </c>
      <c r="Y37" s="186">
        <f ca="1">IFERROR(__xludf.DUMMYFUNCTION("IMPORTRANGE(""https://docs.google.com/spreadsheets/d/1_MzZ-2gVPiCW-d2VcafoCmFJQTSrZ6SQyFcMqRRQQ2w/edit?usp=sharing"",""บึงกาฬ!J703"")"),0)</f>
        <v>0</v>
      </c>
      <c r="Z37" s="186">
        <f ca="1">IFERROR(__xludf.DUMMYFUNCTION("IMPORTRANGE(""https://docs.google.com/spreadsheets/d/1_MzZ-2gVPiCW-d2VcafoCmFJQTSrZ6SQyFcMqRRQQ2w/edit?usp=sharing"",""บึงกาฬ!J704"")"),0)</f>
        <v>0</v>
      </c>
      <c r="AA37" s="186">
        <f ca="1">IFERROR(__xludf.DUMMYFUNCTION("IMPORTRANGE(""https://docs.google.com/spreadsheets/d/1_MzZ-2gVPiCW-d2VcafoCmFJQTSrZ6SQyFcMqRRQQ2w/edit?usp=sharing"",""บึงกาฬ!J705"")"),0)</f>
        <v>0</v>
      </c>
      <c r="AB37" s="186">
        <f ca="1">IFERROR(__xludf.DUMMYFUNCTION("IMPORTRANGE(""https://docs.google.com/spreadsheets/d/1_MzZ-2gVPiCW-d2VcafoCmFJQTSrZ6SQyFcMqRRQQ2w/edit?usp=sharing"",""บึงกาฬ!J706"")"),0)</f>
        <v>0</v>
      </c>
      <c r="AC37" s="186">
        <f ca="1">IFERROR(__xludf.DUMMYFUNCTION("IMPORTRANGE(""https://docs.google.com/spreadsheets/d/1_MzZ-2gVPiCW-d2VcafoCmFJQTSrZ6SQyFcMqRRQQ2w/edit?usp=sharing"",""บึงกาฬ!J707"")"),0)</f>
        <v>0</v>
      </c>
      <c r="AD37" s="181">
        <f ca="1">IFERROR(__xludf.DUMMYFUNCTION("IMPORTRANGE(""https://docs.google.com/spreadsheets/d/1_MzZ-2gVPiCW-d2VcafoCmFJQTSrZ6SQyFcMqRRQQ2w/edit?usp=sharing"",""บึงกาฬ!I708"")"),0)</f>
        <v>0</v>
      </c>
      <c r="AE37" s="181">
        <f ca="1">IFERROR(__xludf.DUMMYFUNCTION("IMPORTRANGE(""https://docs.google.com/spreadsheets/d/1_MzZ-2gVPiCW-d2VcafoCmFJQTSrZ6SQyFcMqRRQQ2w/edit?usp=sharing"",""บึงกาฬ!J708"")"),0)</f>
        <v>0</v>
      </c>
      <c r="AF37" s="186">
        <f t="shared" ca="1" si="34"/>
        <v>0</v>
      </c>
      <c r="AG37" s="181">
        <f ca="1">IFERROR(__xludf.DUMMYFUNCTION("IMPORTRANGE(""https://docs.google.com/spreadsheets/d/1_MzZ-2gVPiCW-d2VcafoCmFJQTSrZ6SQyFcMqRRQQ2w/edit?usp=sharing"",""บึงกาฬ!J709"")"),0)</f>
        <v>0</v>
      </c>
      <c r="AH37" s="181">
        <f ca="1">IFERROR(__xludf.DUMMYFUNCTION("IMPORTRANGE(""https://docs.google.com/spreadsheets/d/1_MzZ-2gVPiCW-d2VcafoCmFJQTSrZ6SQyFcMqRRQQ2w/edit?usp=sharing"",""บึงกาฬ!J710"")"),0)</f>
        <v>0</v>
      </c>
      <c r="AI37" s="181">
        <f ca="1">IFERROR(__xludf.DUMMYFUNCTION("IMPORTRANGE(""https://docs.google.com/spreadsheets/d/1_MzZ-2gVPiCW-d2VcafoCmFJQTSrZ6SQyFcMqRRQQ2w/edit?usp=sharing"",""บึงกาฬ!J712"")"),0)</f>
        <v>0</v>
      </c>
      <c r="AJ37" s="181">
        <f ca="1">IFERROR(__xludf.DUMMYFUNCTION("IMPORTRANGE(""https://docs.google.com/spreadsheets/d/1_MzZ-2gVPiCW-d2VcafoCmFJQTSrZ6SQyFcMqRRQQ2w/edit?usp=sharing"",""บึงกาฬ!J713"")"),0)</f>
        <v>0</v>
      </c>
      <c r="AK37" s="181">
        <f ca="1">IFERROR(__xludf.DUMMYFUNCTION("IMPORTRANGE(""https://docs.google.com/spreadsheets/d/1_MzZ-2gVPiCW-d2VcafoCmFJQTSrZ6SQyFcMqRRQQ2w/edit?usp=sharing"",""บึงกาฬ!J714"")"),0)</f>
        <v>0</v>
      </c>
      <c r="AL37" s="181">
        <f ca="1">IFERROR(__xludf.DUMMYFUNCTION("IMPORTRANGE(""https://docs.google.com/spreadsheets/d/1_MzZ-2gVPiCW-d2VcafoCmFJQTSrZ6SQyFcMqRRQQ2w/edit?usp=sharing"",""บึงกาฬ!J715"")"),0)</f>
        <v>0</v>
      </c>
      <c r="AM37" s="181">
        <f ca="1">IFERROR(__xludf.DUMMYFUNCTION("IMPORTRANGE(""https://docs.google.com/spreadsheets/d/1_MzZ-2gVPiCW-d2VcafoCmFJQTSrZ6SQyFcMqRRQQ2w/edit?usp=sharing"",""บึงกาฬ!J716"")"),0)</f>
        <v>0</v>
      </c>
      <c r="AN37" s="181">
        <f ca="1">IFERROR(__xludf.DUMMYFUNCTION("IMPORTRANGE(""https://docs.google.com/spreadsheets/d/1_MzZ-2gVPiCW-d2VcafoCmFJQTSrZ6SQyFcMqRRQQ2w/edit?usp=sharing"",""บึงกาฬ!J717"")"),0)</f>
        <v>0</v>
      </c>
      <c r="AO37" s="181">
        <f ca="1">IFERROR(__xludf.DUMMYFUNCTION("IMPORTRANGE(""https://docs.google.com/spreadsheets/d/1_MzZ-2gVPiCW-d2VcafoCmFJQTSrZ6SQyFcMqRRQQ2w/edit?usp=sharing"",""บึงกาฬ!I720"")"),0)</f>
        <v>0</v>
      </c>
      <c r="AP37" s="181">
        <f ca="1">IFERROR(__xludf.DUMMYFUNCTION("IMPORTRANGE(""https://docs.google.com/spreadsheets/d/1_MzZ-2gVPiCW-d2VcafoCmFJQTSrZ6SQyFcMqRRQQ2w/edit?usp=sharing"",""บึงกาฬ!J718"")"),0)</f>
        <v>0</v>
      </c>
      <c r="AQ37" s="181">
        <f ca="1">IFERROR(__xludf.DUMMYFUNCTION("IMPORTRANGE(""https://docs.google.com/spreadsheets/d/1_MzZ-2gVPiCW-d2VcafoCmFJQTSrZ6SQyFcMqRRQQ2w/edit?usp=sharing"",""บึงกาฬ!J719"")"),0)</f>
        <v>0</v>
      </c>
      <c r="AR37" s="181">
        <f ca="1">IFERROR(__xludf.DUMMYFUNCTION("IMPORTRANGE(""https://docs.google.com/spreadsheets/d/1_MzZ-2gVPiCW-d2VcafoCmFJQTSrZ6SQyFcMqRRQQ2w/edit?usp=sharing"",""บึงกาฬ!J720"")"),0)</f>
        <v>0</v>
      </c>
      <c r="AS37" s="186">
        <f t="shared" ca="1" si="14"/>
        <v>0</v>
      </c>
      <c r="AT37" s="181">
        <f ca="1">IFERROR(__xludf.DUMMYFUNCTION("IMPORTRANGE(""https://docs.google.com/spreadsheets/d/1_MzZ-2gVPiCW-d2VcafoCmFJQTSrZ6SQyFcMqRRQQ2w/edit?usp=sharing"",""บึงกาฬ!I721"")"),0)</f>
        <v>0</v>
      </c>
      <c r="AU37" s="181">
        <f ca="1">IFERROR(__xludf.DUMMYFUNCTION("IMPORTRANGE(""https://docs.google.com/spreadsheets/d/1_MzZ-2gVPiCW-d2VcafoCmFJQTSrZ6SQyFcMqRRQQ2w/edit?usp=sharing"",""บึงกาฬ!I722"")"),0)</f>
        <v>0</v>
      </c>
      <c r="AV37" s="181">
        <f ca="1">IFERROR(__xludf.DUMMYFUNCTION("IMPORTRANGE(""https://docs.google.com/spreadsheets/d/1_MzZ-2gVPiCW-d2VcafoCmFJQTSrZ6SQyFcMqRRQQ2w/edit?usp=sharing"",""บึงกาฬ!J721"")"),0)</f>
        <v>0</v>
      </c>
      <c r="AW37" s="186">
        <f t="shared" ca="1" si="16"/>
        <v>0</v>
      </c>
      <c r="AX37" s="181">
        <f ca="1">IFERROR(__xludf.DUMMYFUNCTION("IMPORTRANGE(""https://docs.google.com/spreadsheets/d/1_MzZ-2gVPiCW-d2VcafoCmFJQTSrZ6SQyFcMqRRQQ2w/edit?usp=sharing"",""บึงกาฬ!J722"")"),0)</f>
        <v>0</v>
      </c>
      <c r="AY37" s="186">
        <f t="shared" ca="1" si="17"/>
        <v>0</v>
      </c>
      <c r="AZ37" s="181">
        <f ca="1">IFERROR(__xludf.DUMMYFUNCTION("IMPORTRANGE(""https://docs.google.com/spreadsheets/d/1_MzZ-2gVPiCW-d2VcafoCmFJQTSrZ6SQyFcMqRRQQ2w/edit?usp=sharing"",""บึงกาฬ!I723"")"),0)</f>
        <v>0</v>
      </c>
      <c r="BA37" s="181">
        <f ca="1">IFERROR(__xludf.DUMMYFUNCTION("IMPORTRANGE(""https://docs.google.com/spreadsheets/d/1_MzZ-2gVPiCW-d2VcafoCmFJQTSrZ6SQyFcMqRRQQ2w/edit?usp=sharing"",""บึงกาฬ!I725"")"),0)</f>
        <v>0</v>
      </c>
      <c r="BB37" s="181">
        <f ca="1">IFERROR(__xludf.DUMMYFUNCTION("IMPORTRANGE(""https://docs.google.com/spreadsheets/d/1_MzZ-2gVPiCW-d2VcafoCmFJQTSrZ6SQyFcMqRRQQ2w/edit?usp=sharing"",""บึงกาฬ!J723"")"),0)</f>
        <v>0</v>
      </c>
      <c r="BC37" s="181">
        <f ca="1">IFERROR(__xludf.DUMMYFUNCTION("IMPORTRANGE(""https://docs.google.com/spreadsheets/d/1_MzZ-2gVPiCW-d2VcafoCmFJQTSrZ6SQyFcMqRRQQ2w/edit?usp=sharing"",""บึงกาฬ!J724"")"),0)</f>
        <v>0</v>
      </c>
      <c r="BD37" s="181">
        <f ca="1">IFERROR(__xludf.DUMMYFUNCTION("IMPORTRANGE(""https://docs.google.com/spreadsheets/d/1_MzZ-2gVPiCW-d2VcafoCmFJQTSrZ6SQyFcMqRRQQ2w/edit?usp=sharing"",""บึงกาฬ!J725"")"),0)</f>
        <v>0</v>
      </c>
      <c r="BE37" s="181">
        <f ca="1">IFERROR(__xludf.DUMMYFUNCTION("IMPORTRANGE(""https://docs.google.com/spreadsheets/d/1_MzZ-2gVPiCW-d2VcafoCmFJQTSrZ6SQyFcMqRRQQ2w/edit?usp=sharing"",""บึงกาฬ!I726"")"),0)</f>
        <v>0</v>
      </c>
      <c r="BF37" s="181">
        <f ca="1">IFERROR(__xludf.DUMMYFUNCTION("IMPORTRANGE(""https://docs.google.com/spreadsheets/d/1_MzZ-2gVPiCW-d2VcafoCmFJQTSrZ6SQyFcMqRRQQ2w/edit?usp=sharing"",""บึงกาฬ!I728"")"),0)</f>
        <v>0</v>
      </c>
      <c r="BG37" s="181">
        <f ca="1">IFERROR(__xludf.DUMMYFUNCTION("IMPORTRANGE(""https://docs.google.com/spreadsheets/d/1_MzZ-2gVPiCW-d2VcafoCmFJQTSrZ6SQyFcMqRRQQ2w/edit?usp=sharing"",""บึงกาฬ!J726"")"),0)</f>
        <v>0</v>
      </c>
      <c r="BH37" s="181">
        <f ca="1">IFERROR(__xludf.DUMMYFUNCTION("IMPORTRANGE(""https://docs.google.com/spreadsheets/d/1_MzZ-2gVPiCW-d2VcafoCmFJQTSrZ6SQyFcMqRRQQ2w/edit?usp=sharing"",""บึงกาฬ!J727"")"),0)</f>
        <v>0</v>
      </c>
      <c r="BI37" s="181">
        <f ca="1">IFERROR(__xludf.DUMMYFUNCTION("IMPORTRANGE(""https://docs.google.com/spreadsheets/d/1_MzZ-2gVPiCW-d2VcafoCmFJQTSrZ6SQyFcMqRRQQ2w/edit?usp=sharing"",""บึงกาฬ!J728"")"),0)</f>
        <v>0</v>
      </c>
      <c r="BJ37" s="181">
        <f ca="1">IFERROR(__xludf.DUMMYFUNCTION("IMPORTRANGE(""https://docs.google.com/spreadsheets/d/1_MzZ-2gVPiCW-d2VcafoCmFJQTSrZ6SQyFcMqRRQQ2w/edit?usp=sharing"",""บึงกาฬ!I729"")"),0)</f>
        <v>0</v>
      </c>
      <c r="BK37" s="181">
        <f ca="1">IFERROR(__xludf.DUMMYFUNCTION("IMPORTRANGE(""https://docs.google.com/spreadsheets/d/1_MzZ-2gVPiCW-d2VcafoCmFJQTSrZ6SQyFcMqRRQQ2w/edit?usp=sharing"",""บึงกาฬ!J729"")"),0)</f>
        <v>0</v>
      </c>
      <c r="BL37" s="186">
        <f t="shared" ca="1" si="19"/>
        <v>0</v>
      </c>
      <c r="BM37" s="181">
        <f ca="1">IFERROR(__xludf.DUMMYFUNCTION("IMPORTRANGE(""https://docs.google.com/spreadsheets/d/1_MzZ-2gVPiCW-d2VcafoCmFJQTSrZ6SQyFcMqRRQQ2w/edit?usp=sharing"",""บึงกาฬ!J730"")"),0)</f>
        <v>0</v>
      </c>
      <c r="BN37" s="181">
        <f ca="1">IFERROR(__xludf.DUMMYFUNCTION("IMPORTRANGE(""https://docs.google.com/spreadsheets/d/1_MzZ-2gVPiCW-d2VcafoCmFJQTSrZ6SQyFcMqRRQQ2w/edit?usp=sharing"",""บึงกาฬ!J731"")"),0)</f>
        <v>0</v>
      </c>
      <c r="BO37" s="181">
        <f ca="1">IFERROR(__xludf.DUMMYFUNCTION("IMPORTRANGE(""https://docs.google.com/spreadsheets/d/1_MzZ-2gVPiCW-d2VcafoCmFJQTSrZ6SQyFcMqRRQQ2w/edit?usp=sharing"",""บึงกาฬ!J732"")"),0)</f>
        <v>0</v>
      </c>
      <c r="BP37" s="181">
        <f ca="1">IFERROR(__xludf.DUMMYFUNCTION("IMPORTRANGE(""https://docs.google.com/spreadsheets/d/1_MzZ-2gVPiCW-d2VcafoCmFJQTSrZ6SQyFcMqRRQQ2w/edit?usp=sharing"",""บึงกาฬ!J733"")"),0)</f>
        <v>0</v>
      </c>
      <c r="BQ37" s="181">
        <f ca="1">IFERROR(__xludf.DUMMYFUNCTION("IMPORTRANGE(""https://docs.google.com/spreadsheets/d/1_MzZ-2gVPiCW-d2VcafoCmFJQTSrZ6SQyFcMqRRQQ2w/edit?usp=sharing"",""บึงกาฬ!J734"")"),0)</f>
        <v>0</v>
      </c>
      <c r="BR37" s="181">
        <f ca="1">IFERROR(__xludf.DUMMYFUNCTION("IMPORTRANGE(""https://docs.google.com/spreadsheets/d/1_MzZ-2gVPiCW-d2VcafoCmFJQTSrZ6SQyFcMqRRQQ2w/edit?usp=sharing"",""บึงกาฬ!J735"")"),0)</f>
        <v>0</v>
      </c>
    </row>
    <row r="38" spans="1:70" ht="21" customHeight="1" x14ac:dyDescent="0.3">
      <c r="A38" s="178">
        <v>7</v>
      </c>
      <c r="B38" s="179" t="s">
        <v>55</v>
      </c>
      <c r="C38" s="180">
        <f t="shared" ca="1" si="58"/>
        <v>69210</v>
      </c>
      <c r="D38" s="181">
        <f ca="1">IFERROR(__xludf.DUMMYFUNCTION("IMPORTRANGE(""https://docs.google.com/spreadsheets/d/1B3lPpzOuaNwVItLwLEZYl_qEblfcx7dRnbRkAw0l-pE/edit?usp=sharing"",""บุรีรัมย์!L690"")"),69210)</f>
        <v>69210</v>
      </c>
      <c r="E38" s="187">
        <f ca="1">IFERROR(__xludf.DUMMYFUNCTION("IMPORTRANGE(""https://docs.google.com/spreadsheets/d/1B3lPpzOuaNwVItLwLEZYl_qEblfcx7dRnbRkAw0l-pE/edit?usp=sharing"",""บุรีรัมย์!L697"")"),0)</f>
        <v>0</v>
      </c>
      <c r="F38" s="182">
        <f t="shared" ca="1" si="1"/>
        <v>1980</v>
      </c>
      <c r="G38" s="183">
        <f t="shared" ca="1" si="2"/>
        <v>2.860858257477243</v>
      </c>
      <c r="H38" s="184">
        <f t="shared" ca="1" si="59"/>
        <v>1980</v>
      </c>
      <c r="I38" s="187">
        <f ca="1">IFERROR(__xludf.DUMMYFUNCTION("IMPORTRANGE(""https://docs.google.com/spreadsheets/d/1B3lPpzOuaNwVItLwLEZYl_qEblfcx7dRnbRkAw0l-pE/edit?usp=sharing"",""บุรีรัมย์!N691"")"),0)</f>
        <v>0</v>
      </c>
      <c r="J38" s="187">
        <f ca="1">IFERROR(__xludf.DUMMYFUNCTION("IMPORTRANGE(""https://docs.google.com/spreadsheets/d/1B3lPpzOuaNwVItLwLEZYl_qEblfcx7dRnbRkAw0l-pE/edit?usp=sharing"",""บุรีรัมย์!N692"")"),0)</f>
        <v>0</v>
      </c>
      <c r="K38" s="187">
        <f ca="1">IFERROR(__xludf.DUMMYFUNCTION("IMPORTRANGE(""https://docs.google.com/spreadsheets/d/1B3lPpzOuaNwVItLwLEZYl_qEblfcx7dRnbRkAw0l-pE/edit?usp=sharing"",""บุรีรัมย์!N693"")"),0)</f>
        <v>0</v>
      </c>
      <c r="L38" s="187">
        <f ca="1">IFERROR(__xludf.DUMMYFUNCTION("IMPORTRANGE(""https://docs.google.com/spreadsheets/d/1B3lPpzOuaNwVItLwLEZYl_qEblfcx7dRnbRkAw0l-pE/edit?usp=sharing"",""บุรีรัมย์!N694"")"),1980)</f>
        <v>1980</v>
      </c>
      <c r="M38" s="185">
        <f ca="1">IFERROR(__xludf.DUMMYFUNCTION("IMPORTRANGE(""https://docs.google.com/spreadsheets/d/1B3lPpzOuaNwVItLwLEZYl_qEblfcx7dRnbRkAw0l-pE/edit?usp=sharing"",""บุรีรัมย์!N697"")"),0)</f>
        <v>0</v>
      </c>
      <c r="N38" s="185">
        <f t="shared" ca="1" si="37"/>
        <v>0</v>
      </c>
      <c r="O38" s="181">
        <f ca="1">IFERROR(__xludf.DUMMYFUNCTION("IMPORTRANGE(""https://docs.google.com/spreadsheets/d/1B3lPpzOuaNwVItLwLEZYl_qEblfcx7dRnbRkAw0l-pE/edit?usp=sharing"",""บุรีรัมย์!I699"")"),0)</f>
        <v>0</v>
      </c>
      <c r="P38" s="181">
        <f ca="1">IFERROR(__xludf.DUMMYFUNCTION("IMPORTRANGE(""https://docs.google.com/spreadsheets/d/1B3lPpzOuaNwVItLwLEZYl_qEblfcx7dRnbRkAw0l-pE/edit?usp=sharing"",""บุรีรัมย์!J699"")"),0)</f>
        <v>0</v>
      </c>
      <c r="Q38" s="186">
        <f t="shared" ca="1" si="31"/>
        <v>0</v>
      </c>
      <c r="R38" s="181">
        <f ca="1">IFERROR(__xludf.DUMMYFUNCTION("IMPORTRANGE(""https://docs.google.com/spreadsheets/d/1B3lPpzOuaNwVItLwLEZYl_qEblfcx7dRnbRkAw0l-pE/edit?usp=sharing"",""บุรีรัมย์!I700"")"),0)</f>
        <v>0</v>
      </c>
      <c r="S38" s="181">
        <f ca="1">IFERROR(__xludf.DUMMYFUNCTION("IMPORTRANGE(""https://docs.google.com/spreadsheets/d/1B3lPpzOuaNwVItLwLEZYl_qEblfcx7dRnbRkAw0l-pE/edit?usp=sharing"",""บุรีรัมย์!J700"")"),0)</f>
        <v>0</v>
      </c>
      <c r="T38" s="186">
        <f t="shared" ca="1" si="32"/>
        <v>0</v>
      </c>
      <c r="U38" s="181">
        <f ca="1">IFERROR(__xludf.DUMMYFUNCTION("IMPORTRANGE(""https://docs.google.com/spreadsheets/d/1B3lPpzOuaNwVItLwLEZYl_qEblfcx7dRnbRkAw0l-pE/edit?usp=sharing"",""บุรีรัมย์!I701"")"),10)</f>
        <v>10</v>
      </c>
      <c r="V38" s="181">
        <f ca="1">IFERROR(__xludf.DUMMYFUNCTION("IMPORTRANGE(""https://docs.google.com/spreadsheets/d/1B3lPpzOuaNwVItLwLEZYl_qEblfcx7dRnbRkAw0l-pE/edit?usp=sharing"",""บุรีรัมย์!J701"")"),75)</f>
        <v>75</v>
      </c>
      <c r="W38" s="186">
        <f t="shared" ca="1" si="33"/>
        <v>750</v>
      </c>
      <c r="X38" s="186">
        <f ca="1">IFERROR(__xludf.DUMMYFUNCTION("IMPORTRANGE(""https://docs.google.com/spreadsheets/d/1B3lPpzOuaNwVItLwLEZYl_qEblfcx7dRnbRkAw0l-pE/edit?usp=sharing"",""บุรีรัมย์!J702"")"),8)</f>
        <v>8</v>
      </c>
      <c r="Y38" s="186">
        <f ca="1">IFERROR(__xludf.DUMMYFUNCTION("IMPORTRANGE(""https://docs.google.com/spreadsheets/d/1B3lPpzOuaNwVItLwLEZYl_qEblfcx7dRnbRkAw0l-pE/edit?usp=sharing"",""บุรีรัมย์!J703"")"),12)</f>
        <v>12</v>
      </c>
      <c r="Z38" s="186">
        <f ca="1">IFERROR(__xludf.DUMMYFUNCTION("IMPORTRANGE(""https://docs.google.com/spreadsheets/d/1B3lPpzOuaNwVItLwLEZYl_qEblfcx7dRnbRkAw0l-pE/edit?usp=sharing"",""บุรีรัมย์!J704"")"),75)</f>
        <v>75</v>
      </c>
      <c r="AA38" s="186">
        <f ca="1">IFERROR(__xludf.DUMMYFUNCTION("IMPORTRANGE(""https://docs.google.com/spreadsheets/d/1B3lPpzOuaNwVItLwLEZYl_qEblfcx7dRnbRkAw0l-pE/edit?usp=sharing"",""บุรีรัมย์!J705"")"),0)</f>
        <v>0</v>
      </c>
      <c r="AB38" s="186">
        <f ca="1">IFERROR(__xludf.DUMMYFUNCTION("IMPORTRANGE(""https://docs.google.com/spreadsheets/d/1B3lPpzOuaNwVItLwLEZYl_qEblfcx7dRnbRkAw0l-pE/edit?usp=sharing"",""บุรีรัมย์!J706"")"),0)</f>
        <v>0</v>
      </c>
      <c r="AC38" s="186">
        <f ca="1">IFERROR(__xludf.DUMMYFUNCTION("IMPORTRANGE(""https://docs.google.com/spreadsheets/d/1B3lPpzOuaNwVItLwLEZYl_qEblfcx7dRnbRkAw0l-pE/edit?usp=sharing"",""บุรีรัมย์!J707"")"),0)</f>
        <v>0</v>
      </c>
      <c r="AD38" s="181">
        <f ca="1">IFERROR(__xludf.DUMMYFUNCTION("IMPORTRANGE(""https://docs.google.com/spreadsheets/d/1B3lPpzOuaNwVItLwLEZYl_qEblfcx7dRnbRkAw0l-pE/edit?usp=sharing"",""บุรีรัมย์!I708"")"),0)</f>
        <v>0</v>
      </c>
      <c r="AE38" s="181">
        <f ca="1">IFERROR(__xludf.DUMMYFUNCTION("IMPORTRANGE(""https://docs.google.com/spreadsheets/d/1B3lPpzOuaNwVItLwLEZYl_qEblfcx7dRnbRkAw0l-pE/edit?usp=sharing"",""บุรีรัมย์!J708"")"),0)</f>
        <v>0</v>
      </c>
      <c r="AF38" s="186">
        <f t="shared" ca="1" si="34"/>
        <v>0</v>
      </c>
      <c r="AG38" s="181">
        <f ca="1">IFERROR(__xludf.DUMMYFUNCTION("IMPORTRANGE(""https://docs.google.com/spreadsheets/d/1B3lPpzOuaNwVItLwLEZYl_qEblfcx7dRnbRkAw0l-pE/edit?usp=sharing"",""บุรีรัมย์!J709"")"),0)</f>
        <v>0</v>
      </c>
      <c r="AH38" s="181">
        <f ca="1">IFERROR(__xludf.DUMMYFUNCTION("IMPORTRANGE(""https://docs.google.com/spreadsheets/d/1B3lPpzOuaNwVItLwLEZYl_qEblfcx7dRnbRkAw0l-pE/edit?usp=sharing"",""บุรีรัมย์!J710"")"),0)</f>
        <v>0</v>
      </c>
      <c r="AI38" s="181">
        <f ca="1">IFERROR(__xludf.DUMMYFUNCTION("IMPORTRANGE(""https://docs.google.com/spreadsheets/d/1B3lPpzOuaNwVItLwLEZYl_qEblfcx7dRnbRkAw0l-pE/edit?usp=sharing"",""บุรีรัมย์!J712"")"),0)</f>
        <v>0</v>
      </c>
      <c r="AJ38" s="181">
        <f ca="1">IFERROR(__xludf.DUMMYFUNCTION("IMPORTRANGE(""https://docs.google.com/spreadsheets/d/1B3lPpzOuaNwVItLwLEZYl_qEblfcx7dRnbRkAw0l-pE/edit?usp=sharing"",""บุรีรัมย์!J713"")"),0)</f>
        <v>0</v>
      </c>
      <c r="AK38" s="181">
        <f ca="1">IFERROR(__xludf.DUMMYFUNCTION("IMPORTRANGE(""https://docs.google.com/spreadsheets/d/1B3lPpzOuaNwVItLwLEZYl_qEblfcx7dRnbRkAw0l-pE/edit?usp=sharing"",""บุรีรัมย์!J714"")"),0)</f>
        <v>0</v>
      </c>
      <c r="AL38" s="181">
        <f ca="1">IFERROR(__xludf.DUMMYFUNCTION("IMPORTRANGE(""https://docs.google.com/spreadsheets/d/1B3lPpzOuaNwVItLwLEZYl_qEblfcx7dRnbRkAw0l-pE/edit?usp=sharing"",""บุรีรัมย์!J715"")"),0)</f>
        <v>0</v>
      </c>
      <c r="AM38" s="181">
        <f ca="1">IFERROR(__xludf.DUMMYFUNCTION("IMPORTRANGE(""https://docs.google.com/spreadsheets/d/1B3lPpzOuaNwVItLwLEZYl_qEblfcx7dRnbRkAw0l-pE/edit?usp=sharing"",""บุรีรัมย์!J716"")"),0)</f>
        <v>0</v>
      </c>
      <c r="AN38" s="181">
        <f ca="1">IFERROR(__xludf.DUMMYFUNCTION("IMPORTRANGE(""https://docs.google.com/spreadsheets/d/1B3lPpzOuaNwVItLwLEZYl_qEblfcx7dRnbRkAw0l-pE/edit?usp=sharing"",""บุรีรัมย์!J717"")"),0)</f>
        <v>0</v>
      </c>
      <c r="AO38" s="181">
        <f ca="1">IFERROR(__xludf.DUMMYFUNCTION("IMPORTRANGE(""https://docs.google.com/spreadsheets/d/1B3lPpzOuaNwVItLwLEZYl_qEblfcx7dRnbRkAw0l-pE/edit?usp=sharing"",""บุรีรัมย์!I720"")"),69)</f>
        <v>69</v>
      </c>
      <c r="AP38" s="181">
        <f ca="1">IFERROR(__xludf.DUMMYFUNCTION("IMPORTRANGE(""https://docs.google.com/spreadsheets/d/1B3lPpzOuaNwVItLwLEZYl_qEblfcx7dRnbRkAw0l-pE/edit?usp=sharing"",""บุรีรัมย์!J718"")"),0)</f>
        <v>0</v>
      </c>
      <c r="AQ38" s="181">
        <f ca="1">IFERROR(__xludf.DUMMYFUNCTION("IMPORTRANGE(""https://docs.google.com/spreadsheets/d/1B3lPpzOuaNwVItLwLEZYl_qEblfcx7dRnbRkAw0l-pE/edit?usp=sharing"",""บุรีรัมย์!J719"")"),0)</f>
        <v>0</v>
      </c>
      <c r="AR38" s="181">
        <f ca="1">IFERROR(__xludf.DUMMYFUNCTION("IMPORTRANGE(""https://docs.google.com/spreadsheets/d/1B3lPpzOuaNwVItLwLEZYl_qEblfcx7dRnbRkAw0l-pE/edit?usp=sharing"",""บุรีรัมย์!J720"")"),0)</f>
        <v>0</v>
      </c>
      <c r="AS38" s="186">
        <f t="shared" ca="1" si="14"/>
        <v>0</v>
      </c>
      <c r="AT38" s="181">
        <f ca="1">IFERROR(__xludf.DUMMYFUNCTION("IMPORTRANGE(""https://docs.google.com/spreadsheets/d/1B3lPpzOuaNwVItLwLEZYl_qEblfcx7dRnbRkAw0l-pE/edit?usp=sharing"",""บุรีรัมย์!I721"")"),2)</f>
        <v>2</v>
      </c>
      <c r="AU38" s="181">
        <f ca="1">IFERROR(__xludf.DUMMYFUNCTION("IMPORTRANGE(""https://docs.google.com/spreadsheets/d/1B3lPpzOuaNwVItLwLEZYl_qEblfcx7dRnbRkAw0l-pE/edit?usp=sharing"",""บุรีรัมย์!I722"")"),10)</f>
        <v>10</v>
      </c>
      <c r="AV38" s="181">
        <f ca="1">IFERROR(__xludf.DUMMYFUNCTION("IMPORTRANGE(""https://docs.google.com/spreadsheets/d/1B3lPpzOuaNwVItLwLEZYl_qEblfcx7dRnbRkAw0l-pE/edit?usp=sharing"",""บุรีรัมย์!J721"")"),0)</f>
        <v>0</v>
      </c>
      <c r="AW38" s="186">
        <f t="shared" ca="1" si="16"/>
        <v>0</v>
      </c>
      <c r="AX38" s="181">
        <f ca="1">IFERROR(__xludf.DUMMYFUNCTION("IMPORTRANGE(""https://docs.google.com/spreadsheets/d/1B3lPpzOuaNwVItLwLEZYl_qEblfcx7dRnbRkAw0l-pE/edit?usp=sharing"",""บุรีรัมย์!J722"")"),0)</f>
        <v>0</v>
      </c>
      <c r="AY38" s="186">
        <f t="shared" ca="1" si="17"/>
        <v>0</v>
      </c>
      <c r="AZ38" s="181">
        <f ca="1">IFERROR(__xludf.DUMMYFUNCTION("IMPORTRANGE(""https://docs.google.com/spreadsheets/d/1B3lPpzOuaNwVItLwLEZYl_qEblfcx7dRnbRkAw0l-pE/edit?usp=sharing"",""บุรีรัมย์!I723"")"),2)</f>
        <v>2</v>
      </c>
      <c r="BA38" s="181">
        <f ca="1">IFERROR(__xludf.DUMMYFUNCTION("IMPORTRANGE(""https://docs.google.com/spreadsheets/d/1B3lPpzOuaNwVItLwLEZYl_qEblfcx7dRnbRkAw0l-pE/edit?usp=sharing"",""บุรีรัมย์!I725"")"),10)</f>
        <v>10</v>
      </c>
      <c r="BB38" s="181">
        <f ca="1">IFERROR(__xludf.DUMMYFUNCTION("IMPORTRANGE(""https://docs.google.com/spreadsheets/d/1B3lPpzOuaNwVItLwLEZYl_qEblfcx7dRnbRkAw0l-pE/edit?usp=sharing"",""บุรีรัมย์!J723"")"),0)</f>
        <v>0</v>
      </c>
      <c r="BC38" s="181">
        <f ca="1">IFERROR(__xludf.DUMMYFUNCTION("IMPORTRANGE(""https://docs.google.com/spreadsheets/d/1B3lPpzOuaNwVItLwLEZYl_qEblfcx7dRnbRkAw0l-pE/edit?usp=sharing"",""บุรีรัมย์!J724"")"),0)</f>
        <v>0</v>
      </c>
      <c r="BD38" s="181">
        <f ca="1">IFERROR(__xludf.DUMMYFUNCTION("IMPORTRANGE(""https://docs.google.com/spreadsheets/d/1B3lPpzOuaNwVItLwLEZYl_qEblfcx7dRnbRkAw0l-pE/edit?usp=sharing"",""บุรีรัมย์!J725"")"),0)</f>
        <v>0</v>
      </c>
      <c r="BE38" s="181">
        <f ca="1">IFERROR(__xludf.DUMMYFUNCTION("IMPORTRANGE(""https://docs.google.com/spreadsheets/d/1B3lPpzOuaNwVItLwLEZYl_qEblfcx7dRnbRkAw0l-pE/edit?usp=sharing"",""บุรีรัมย์!I726"")"),0)</f>
        <v>0</v>
      </c>
      <c r="BF38" s="181">
        <f ca="1">IFERROR(__xludf.DUMMYFUNCTION("IMPORTRANGE(""https://docs.google.com/spreadsheets/d/1B3lPpzOuaNwVItLwLEZYl_qEblfcx7dRnbRkAw0l-pE/edit?usp=sharing"",""บุรีรัมย์!I728"")"),0)</f>
        <v>0</v>
      </c>
      <c r="BG38" s="181">
        <f ca="1">IFERROR(__xludf.DUMMYFUNCTION("IMPORTRANGE(""https://docs.google.com/spreadsheets/d/1B3lPpzOuaNwVItLwLEZYl_qEblfcx7dRnbRkAw0l-pE/edit?usp=sharing"",""บุรีรัมย์!J726"")"),0)</f>
        <v>0</v>
      </c>
      <c r="BH38" s="181">
        <f ca="1">IFERROR(__xludf.DUMMYFUNCTION("IMPORTRANGE(""https://docs.google.com/spreadsheets/d/1B3lPpzOuaNwVItLwLEZYl_qEblfcx7dRnbRkAw0l-pE/edit?usp=sharing"",""บุรีรัมย์!J727"")"),0)</f>
        <v>0</v>
      </c>
      <c r="BI38" s="181">
        <f ca="1">IFERROR(__xludf.DUMMYFUNCTION("IMPORTRANGE(""https://docs.google.com/spreadsheets/d/1B3lPpzOuaNwVItLwLEZYl_qEblfcx7dRnbRkAw0l-pE/edit?usp=sharing"",""บุรีรัมย์!J728"")"),0)</f>
        <v>0</v>
      </c>
      <c r="BJ38" s="181">
        <f ca="1">IFERROR(__xludf.DUMMYFUNCTION("IMPORTRANGE(""https://docs.google.com/spreadsheets/d/1B3lPpzOuaNwVItLwLEZYl_qEblfcx7dRnbRkAw0l-pE/edit?usp=sharing"",""บุรีรัมย์!I729"")"),657)</f>
        <v>657</v>
      </c>
      <c r="BK38" s="181">
        <f ca="1">IFERROR(__xludf.DUMMYFUNCTION("IMPORTRANGE(""https://docs.google.com/spreadsheets/d/1B3lPpzOuaNwVItLwLEZYl_qEblfcx7dRnbRkAw0l-pE/edit?usp=sharing"",""บุรีรัมย์!J729"")"),0)</f>
        <v>0</v>
      </c>
      <c r="BL38" s="186">
        <f t="shared" ca="1" si="19"/>
        <v>0</v>
      </c>
      <c r="BM38" s="181">
        <f ca="1">IFERROR(__xludf.DUMMYFUNCTION("IMPORTRANGE(""https://docs.google.com/spreadsheets/d/1B3lPpzOuaNwVItLwLEZYl_qEblfcx7dRnbRkAw0l-pE/edit?usp=sharing"",""บุรีรัมย์!J730"")"),0)</f>
        <v>0</v>
      </c>
      <c r="BN38" s="181">
        <f ca="1">IFERROR(__xludf.DUMMYFUNCTION("IMPORTRANGE(""https://docs.google.com/spreadsheets/d/1B3lPpzOuaNwVItLwLEZYl_qEblfcx7dRnbRkAw0l-pE/edit?usp=sharing"",""บุรีรัมย์!J731"")"),0)</f>
        <v>0</v>
      </c>
      <c r="BO38" s="181">
        <f ca="1">IFERROR(__xludf.DUMMYFUNCTION("IMPORTRANGE(""https://docs.google.com/spreadsheets/d/1B3lPpzOuaNwVItLwLEZYl_qEblfcx7dRnbRkAw0l-pE/edit?usp=sharing"",""บุรีรัมย์!J732"")"),0)</f>
        <v>0</v>
      </c>
      <c r="BP38" s="181">
        <f ca="1">IFERROR(__xludf.DUMMYFUNCTION("IMPORTRANGE(""https://docs.google.com/spreadsheets/d/1B3lPpzOuaNwVItLwLEZYl_qEblfcx7dRnbRkAw0l-pE/edit?usp=sharing"",""บุรีรัมย์!J733"")"),0)</f>
        <v>0</v>
      </c>
      <c r="BQ38" s="181">
        <f ca="1">IFERROR(__xludf.DUMMYFUNCTION("IMPORTRANGE(""https://docs.google.com/spreadsheets/d/1B3lPpzOuaNwVItLwLEZYl_qEblfcx7dRnbRkAw0l-pE/edit?usp=sharing"",""บุรีรัมย์!J734"")"),0)</f>
        <v>0</v>
      </c>
      <c r="BR38" s="181">
        <f ca="1">IFERROR(__xludf.DUMMYFUNCTION("IMPORTRANGE(""https://docs.google.com/spreadsheets/d/1B3lPpzOuaNwVItLwLEZYl_qEblfcx7dRnbRkAw0l-pE/edit?usp=sharing"",""บุรีรัมย์!J735"")"),0)</f>
        <v>0</v>
      </c>
    </row>
    <row r="39" spans="1:70" ht="21" customHeight="1" x14ac:dyDescent="0.3">
      <c r="A39" s="178">
        <v>8</v>
      </c>
      <c r="B39" s="179" t="s">
        <v>56</v>
      </c>
      <c r="C39" s="180">
        <f t="shared" ca="1" si="58"/>
        <v>0</v>
      </c>
      <c r="D39" s="181">
        <f ca="1">IFERROR(__xludf.DUMMYFUNCTION("IMPORTRANGE(""https://docs.google.com/spreadsheets/d/19GOkiOqnzYbevLYWrMk4qFOXe3rX14BkSA8X-mq-a40/edit?usp=sharing"",""มหาสารคาม!L690"")"),0)</f>
        <v>0</v>
      </c>
      <c r="E39" s="187">
        <f ca="1">IFERROR(__xludf.DUMMYFUNCTION("IMPORTRANGE(""https://docs.google.com/spreadsheets/d/19GOkiOqnzYbevLYWrMk4qFOXe3rX14BkSA8X-mq-a40/edit?usp=sharing"",""มหาสารคาม!L697"")"),0)</f>
        <v>0</v>
      </c>
      <c r="F39" s="182">
        <f t="shared" ca="1" si="1"/>
        <v>0</v>
      </c>
      <c r="G39" s="183">
        <f t="shared" ca="1" si="2"/>
        <v>0</v>
      </c>
      <c r="H39" s="184">
        <f t="shared" ca="1" si="59"/>
        <v>0</v>
      </c>
      <c r="I39" s="187">
        <f ca="1">IFERROR(__xludf.DUMMYFUNCTION("IMPORTRANGE(""https://docs.google.com/spreadsheets/d/19GOkiOqnzYbevLYWrMk4qFOXe3rX14BkSA8X-mq-a40/edit?usp=sharing"",""มหาสารคาม!N691"")"),0)</f>
        <v>0</v>
      </c>
      <c r="J39" s="187">
        <f ca="1">IFERROR(__xludf.DUMMYFUNCTION("IMPORTRANGE(""https://docs.google.com/spreadsheets/d/19GOkiOqnzYbevLYWrMk4qFOXe3rX14BkSA8X-mq-a40/edit?usp=sharing"",""มหาสารคาม!N692"")"),0)</f>
        <v>0</v>
      </c>
      <c r="K39" s="187">
        <f ca="1">IFERROR(__xludf.DUMMYFUNCTION("IMPORTRANGE(""https://docs.google.com/spreadsheets/d/19GOkiOqnzYbevLYWrMk4qFOXe3rX14BkSA8X-mq-a40/edit?usp=sharing"",""มหาสารคาม!N693"")"),0)</f>
        <v>0</v>
      </c>
      <c r="L39" s="187">
        <f ca="1">IFERROR(__xludf.DUMMYFUNCTION("IMPORTRANGE(""https://docs.google.com/spreadsheets/d/19GOkiOqnzYbevLYWrMk4qFOXe3rX14BkSA8X-mq-a40/edit?usp=sharing"",""มหาสารคาม!N694"")"),0)</f>
        <v>0</v>
      </c>
      <c r="M39" s="185">
        <f ca="1">IFERROR(__xludf.DUMMYFUNCTION("IMPORTRANGE(""https://docs.google.com/spreadsheets/d/19GOkiOqnzYbevLYWrMk4qFOXe3rX14BkSA8X-mq-a40/edit?usp=sharing"",""มหาสารคาม!N697"")"),0)</f>
        <v>0</v>
      </c>
      <c r="N39" s="185">
        <f t="shared" ca="1" si="37"/>
        <v>0</v>
      </c>
      <c r="O39" s="181">
        <f ca="1">IFERROR(__xludf.DUMMYFUNCTION("IMPORTRANGE(""https://docs.google.com/spreadsheets/d/19GOkiOqnzYbevLYWrMk4qFOXe3rX14BkSA8X-mq-a40/edit?usp=sharing"",""มหาสารคาม!I699"")"),0)</f>
        <v>0</v>
      </c>
      <c r="P39" s="181">
        <f ca="1">IFERROR(__xludf.DUMMYFUNCTION("IMPORTRANGE(""https://docs.google.com/spreadsheets/d/19GOkiOqnzYbevLYWrMk4qFOXe3rX14BkSA8X-mq-a40/edit?usp=sharing"",""มหาสารคาม!J699"")"),0)</f>
        <v>0</v>
      </c>
      <c r="Q39" s="186">
        <f t="shared" ca="1" si="31"/>
        <v>0</v>
      </c>
      <c r="R39" s="181">
        <f ca="1">IFERROR(__xludf.DUMMYFUNCTION("IMPORTRANGE(""https://docs.google.com/spreadsheets/d/19GOkiOqnzYbevLYWrMk4qFOXe3rX14BkSA8X-mq-a40/edit?usp=sharing"",""มหาสารคาม!I700"")"),0)</f>
        <v>0</v>
      </c>
      <c r="S39" s="181">
        <f ca="1">IFERROR(__xludf.DUMMYFUNCTION("IMPORTRANGE(""https://docs.google.com/spreadsheets/d/19GOkiOqnzYbevLYWrMk4qFOXe3rX14BkSA8X-mq-a40/edit?usp=sharing"",""มหาสารคาม!J700"")"),0)</f>
        <v>0</v>
      </c>
      <c r="T39" s="186">
        <f t="shared" ca="1" si="32"/>
        <v>0</v>
      </c>
      <c r="U39" s="181">
        <f ca="1">IFERROR(__xludf.DUMMYFUNCTION("IMPORTRANGE(""https://docs.google.com/spreadsheets/d/19GOkiOqnzYbevLYWrMk4qFOXe3rX14BkSA8X-mq-a40/edit?usp=sharing"",""มหาสารคาม!I701"")"),0)</f>
        <v>0</v>
      </c>
      <c r="V39" s="181">
        <f ca="1">IFERROR(__xludf.DUMMYFUNCTION("IMPORTRANGE(""https://docs.google.com/spreadsheets/d/19GOkiOqnzYbevLYWrMk4qFOXe3rX14BkSA8X-mq-a40/edit?usp=sharing"",""มหาสารคาม!J701"")"),0)</f>
        <v>0</v>
      </c>
      <c r="W39" s="186">
        <f t="shared" ca="1" si="33"/>
        <v>0</v>
      </c>
      <c r="X39" s="186">
        <f ca="1">IFERROR(__xludf.DUMMYFUNCTION("IMPORTRANGE(""https://docs.google.com/spreadsheets/d/19GOkiOqnzYbevLYWrMk4qFOXe3rX14BkSA8X-mq-a40/edit?usp=sharing"",""มหาสารคาม!J702"")"),0)</f>
        <v>0</v>
      </c>
      <c r="Y39" s="186">
        <f ca="1">IFERROR(__xludf.DUMMYFUNCTION("IMPORTRANGE(""https://docs.google.com/spreadsheets/d/19GOkiOqnzYbevLYWrMk4qFOXe3rX14BkSA8X-mq-a40/edit?usp=sharing"",""มหาสารคาม!J703"")"),0)</f>
        <v>0</v>
      </c>
      <c r="Z39" s="186">
        <f ca="1">IFERROR(__xludf.DUMMYFUNCTION("IMPORTRANGE(""https://docs.google.com/spreadsheets/d/19GOkiOqnzYbevLYWrMk4qFOXe3rX14BkSA8X-mq-a40/edit?usp=sharing"",""มหาสารคาม!J704"")"),0)</f>
        <v>0</v>
      </c>
      <c r="AA39" s="186">
        <f ca="1">IFERROR(__xludf.DUMMYFUNCTION("IMPORTRANGE(""https://docs.google.com/spreadsheets/d/19GOkiOqnzYbevLYWrMk4qFOXe3rX14BkSA8X-mq-a40/edit?usp=sharing"",""มหาสารคาม!J705"")"),0)</f>
        <v>0</v>
      </c>
      <c r="AB39" s="186">
        <f ca="1">IFERROR(__xludf.DUMMYFUNCTION("IMPORTRANGE(""https://docs.google.com/spreadsheets/d/19GOkiOqnzYbevLYWrMk4qFOXe3rX14BkSA8X-mq-a40/edit?usp=sharing"",""มหาสารคาม!J706"")"),0)</f>
        <v>0</v>
      </c>
      <c r="AC39" s="186">
        <f ca="1">IFERROR(__xludf.DUMMYFUNCTION("IMPORTRANGE(""https://docs.google.com/spreadsheets/d/19GOkiOqnzYbevLYWrMk4qFOXe3rX14BkSA8X-mq-a40/edit?usp=sharing"",""มหาสารคาม!J707"")"),0)</f>
        <v>0</v>
      </c>
      <c r="AD39" s="181">
        <f ca="1">IFERROR(__xludf.DUMMYFUNCTION("IMPORTRANGE(""https://docs.google.com/spreadsheets/d/19GOkiOqnzYbevLYWrMk4qFOXe3rX14BkSA8X-mq-a40/edit?usp=sharing"",""มหาสารคาม!I708"")"),0)</f>
        <v>0</v>
      </c>
      <c r="AE39" s="181">
        <f ca="1">IFERROR(__xludf.DUMMYFUNCTION("IMPORTRANGE(""https://docs.google.com/spreadsheets/d/19GOkiOqnzYbevLYWrMk4qFOXe3rX14BkSA8X-mq-a40/edit?usp=sharing"",""มหาสารคาม!J708"")"),0)</f>
        <v>0</v>
      </c>
      <c r="AF39" s="186">
        <f t="shared" ca="1" si="34"/>
        <v>0</v>
      </c>
      <c r="AG39" s="181">
        <f ca="1">IFERROR(__xludf.DUMMYFUNCTION("IMPORTRANGE(""https://docs.google.com/spreadsheets/d/19GOkiOqnzYbevLYWrMk4qFOXe3rX14BkSA8X-mq-a40/edit?usp=sharing"",""มหาสารคาม!J709"")"),0)</f>
        <v>0</v>
      </c>
      <c r="AH39" s="181">
        <f ca="1">IFERROR(__xludf.DUMMYFUNCTION("IMPORTRANGE(""https://docs.google.com/spreadsheets/d/19GOkiOqnzYbevLYWrMk4qFOXe3rX14BkSA8X-mq-a40/edit?usp=sharing"",""มหาสารคาม!J710"")"),0)</f>
        <v>0</v>
      </c>
      <c r="AI39" s="181">
        <f ca="1">IFERROR(__xludf.DUMMYFUNCTION("IMPORTRANGE(""https://docs.google.com/spreadsheets/d/19GOkiOqnzYbevLYWrMk4qFOXe3rX14BkSA8X-mq-a40/edit?usp=sharing"",""มหาสารคาม!J712"")"),0)</f>
        <v>0</v>
      </c>
      <c r="AJ39" s="181">
        <f ca="1">IFERROR(__xludf.DUMMYFUNCTION("IMPORTRANGE(""https://docs.google.com/spreadsheets/d/19GOkiOqnzYbevLYWrMk4qFOXe3rX14BkSA8X-mq-a40/edit?usp=sharing"",""มหาสารคาม!J713"")"),0)</f>
        <v>0</v>
      </c>
      <c r="AK39" s="181">
        <f ca="1">IFERROR(__xludf.DUMMYFUNCTION("IMPORTRANGE(""https://docs.google.com/spreadsheets/d/19GOkiOqnzYbevLYWrMk4qFOXe3rX14BkSA8X-mq-a40/edit?usp=sharing"",""มหาสารคาม!J714"")"),0)</f>
        <v>0</v>
      </c>
      <c r="AL39" s="181">
        <f ca="1">IFERROR(__xludf.DUMMYFUNCTION("IMPORTRANGE(""https://docs.google.com/spreadsheets/d/19GOkiOqnzYbevLYWrMk4qFOXe3rX14BkSA8X-mq-a40/edit?usp=sharing"",""มหาสารคาม!J715"")"),0)</f>
        <v>0</v>
      </c>
      <c r="AM39" s="181">
        <f ca="1">IFERROR(__xludf.DUMMYFUNCTION("IMPORTRANGE(""https://docs.google.com/spreadsheets/d/19GOkiOqnzYbevLYWrMk4qFOXe3rX14BkSA8X-mq-a40/edit?usp=sharing"",""มหาสารคาม!J716"")"),0)</f>
        <v>0</v>
      </c>
      <c r="AN39" s="181">
        <f ca="1">IFERROR(__xludf.DUMMYFUNCTION("IMPORTRANGE(""https://docs.google.com/spreadsheets/d/19GOkiOqnzYbevLYWrMk4qFOXe3rX14BkSA8X-mq-a40/edit?usp=sharing"",""มหาสารคาม!J717"")"),0)</f>
        <v>0</v>
      </c>
      <c r="AO39" s="181">
        <f ca="1">IFERROR(__xludf.DUMMYFUNCTION("IMPORTRANGE(""https://docs.google.com/spreadsheets/d/19GOkiOqnzYbevLYWrMk4qFOXe3rX14BkSA8X-mq-a40/edit?usp=sharing"",""มหาสารคาม!I720"")"),0)</f>
        <v>0</v>
      </c>
      <c r="AP39" s="181">
        <f ca="1">IFERROR(__xludf.DUMMYFUNCTION("IMPORTRANGE(""https://docs.google.com/spreadsheets/d/19GOkiOqnzYbevLYWrMk4qFOXe3rX14BkSA8X-mq-a40/edit?usp=sharing"",""มหาสารคาม!J718"")"),0)</f>
        <v>0</v>
      </c>
      <c r="AQ39" s="181">
        <f ca="1">IFERROR(__xludf.DUMMYFUNCTION("IMPORTRANGE(""https://docs.google.com/spreadsheets/d/19GOkiOqnzYbevLYWrMk4qFOXe3rX14BkSA8X-mq-a40/edit?usp=sharing"",""มหาสารคาม!J719"")"),0)</f>
        <v>0</v>
      </c>
      <c r="AR39" s="181">
        <f ca="1">IFERROR(__xludf.DUMMYFUNCTION("IMPORTRANGE(""https://docs.google.com/spreadsheets/d/19GOkiOqnzYbevLYWrMk4qFOXe3rX14BkSA8X-mq-a40/edit?usp=sharing"",""มหาสารคาม!J720"")"),0)</f>
        <v>0</v>
      </c>
      <c r="AS39" s="186">
        <f t="shared" ca="1" si="14"/>
        <v>0</v>
      </c>
      <c r="AT39" s="181">
        <f ca="1">IFERROR(__xludf.DUMMYFUNCTION("IMPORTRANGE(""https://docs.google.com/spreadsheets/d/19GOkiOqnzYbevLYWrMk4qFOXe3rX14BkSA8X-mq-a40/edit?usp=sharing"",""มหาสารคาม!I721"")"),0)</f>
        <v>0</v>
      </c>
      <c r="AU39" s="181">
        <f ca="1">IFERROR(__xludf.DUMMYFUNCTION("IMPORTRANGE(""https://docs.google.com/spreadsheets/d/19GOkiOqnzYbevLYWrMk4qFOXe3rX14BkSA8X-mq-a40/edit?usp=sharing"",""มหาสารคาม!I722"")"),0)</f>
        <v>0</v>
      </c>
      <c r="AV39" s="181">
        <f ca="1">IFERROR(__xludf.DUMMYFUNCTION("IMPORTRANGE(""https://docs.google.com/spreadsheets/d/19GOkiOqnzYbevLYWrMk4qFOXe3rX14BkSA8X-mq-a40/edit?usp=sharing"",""มหาสารคาม!J721"")"),0)</f>
        <v>0</v>
      </c>
      <c r="AW39" s="186">
        <f t="shared" ca="1" si="16"/>
        <v>0</v>
      </c>
      <c r="AX39" s="181">
        <f ca="1">IFERROR(__xludf.DUMMYFUNCTION("IMPORTRANGE(""https://docs.google.com/spreadsheets/d/19GOkiOqnzYbevLYWrMk4qFOXe3rX14BkSA8X-mq-a40/edit?usp=sharing"",""มหาสารคาม!J722"")"),0)</f>
        <v>0</v>
      </c>
      <c r="AY39" s="186">
        <f t="shared" ca="1" si="17"/>
        <v>0</v>
      </c>
      <c r="AZ39" s="181">
        <f ca="1">IFERROR(__xludf.DUMMYFUNCTION("IMPORTRANGE(""https://docs.google.com/spreadsheets/d/19GOkiOqnzYbevLYWrMk4qFOXe3rX14BkSA8X-mq-a40/edit?usp=sharing"",""มหาสารคาม!I723"")"),0)</f>
        <v>0</v>
      </c>
      <c r="BA39" s="181">
        <f ca="1">IFERROR(__xludf.DUMMYFUNCTION("IMPORTRANGE(""https://docs.google.com/spreadsheets/d/19GOkiOqnzYbevLYWrMk4qFOXe3rX14BkSA8X-mq-a40/edit?usp=sharing"",""มหาสารคาม!I725"")"),0)</f>
        <v>0</v>
      </c>
      <c r="BB39" s="181">
        <f ca="1">IFERROR(__xludf.DUMMYFUNCTION("IMPORTRANGE(""https://docs.google.com/spreadsheets/d/19GOkiOqnzYbevLYWrMk4qFOXe3rX14BkSA8X-mq-a40/edit?usp=sharing"",""มหาสารคาม!J723"")"),0)</f>
        <v>0</v>
      </c>
      <c r="BC39" s="181">
        <f ca="1">IFERROR(__xludf.DUMMYFUNCTION("IMPORTRANGE(""https://docs.google.com/spreadsheets/d/19GOkiOqnzYbevLYWrMk4qFOXe3rX14BkSA8X-mq-a40/edit?usp=sharing"",""มหาสารคาม!J724"")"),0)</f>
        <v>0</v>
      </c>
      <c r="BD39" s="181">
        <f ca="1">IFERROR(__xludf.DUMMYFUNCTION("IMPORTRANGE(""https://docs.google.com/spreadsheets/d/19GOkiOqnzYbevLYWrMk4qFOXe3rX14BkSA8X-mq-a40/edit?usp=sharing"",""มหาสารคาม!J725"")"),0)</f>
        <v>0</v>
      </c>
      <c r="BE39" s="181">
        <f ca="1">IFERROR(__xludf.DUMMYFUNCTION("IMPORTRANGE(""https://docs.google.com/spreadsheets/d/19GOkiOqnzYbevLYWrMk4qFOXe3rX14BkSA8X-mq-a40/edit?usp=sharing"",""มหาสารคาม!I726"")"),0)</f>
        <v>0</v>
      </c>
      <c r="BF39" s="181">
        <f ca="1">IFERROR(__xludf.DUMMYFUNCTION("IMPORTRANGE(""https://docs.google.com/spreadsheets/d/19GOkiOqnzYbevLYWrMk4qFOXe3rX14BkSA8X-mq-a40/edit?usp=sharing"",""มหาสารคาม!I728"")"),0)</f>
        <v>0</v>
      </c>
      <c r="BG39" s="181">
        <f ca="1">IFERROR(__xludf.DUMMYFUNCTION("IMPORTRANGE(""https://docs.google.com/spreadsheets/d/19GOkiOqnzYbevLYWrMk4qFOXe3rX14BkSA8X-mq-a40/edit?usp=sharing"",""มหาสารคาม!J726"")"),0)</f>
        <v>0</v>
      </c>
      <c r="BH39" s="181">
        <f ca="1">IFERROR(__xludf.DUMMYFUNCTION("IMPORTRANGE(""https://docs.google.com/spreadsheets/d/19GOkiOqnzYbevLYWrMk4qFOXe3rX14BkSA8X-mq-a40/edit?usp=sharing"",""มหาสารคาม!J727"")"),0)</f>
        <v>0</v>
      </c>
      <c r="BI39" s="181">
        <f ca="1">IFERROR(__xludf.DUMMYFUNCTION("IMPORTRANGE(""https://docs.google.com/spreadsheets/d/19GOkiOqnzYbevLYWrMk4qFOXe3rX14BkSA8X-mq-a40/edit?usp=sharing"",""มหาสารคาม!J728"")"),0)</f>
        <v>0</v>
      </c>
      <c r="BJ39" s="181">
        <f ca="1">IFERROR(__xludf.DUMMYFUNCTION("IMPORTRANGE(""https://docs.google.com/spreadsheets/d/19GOkiOqnzYbevLYWrMk4qFOXe3rX14BkSA8X-mq-a40/edit?usp=sharing"",""มหาสารคาม!I729"")"),0)</f>
        <v>0</v>
      </c>
      <c r="BK39" s="181">
        <f ca="1">IFERROR(__xludf.DUMMYFUNCTION("IMPORTRANGE(""https://docs.google.com/spreadsheets/d/19GOkiOqnzYbevLYWrMk4qFOXe3rX14BkSA8X-mq-a40/edit?usp=sharing"",""มหาสารคาม!J729"")"),0)</f>
        <v>0</v>
      </c>
      <c r="BL39" s="186">
        <f t="shared" ca="1" si="19"/>
        <v>0</v>
      </c>
      <c r="BM39" s="181">
        <f ca="1">IFERROR(__xludf.DUMMYFUNCTION("IMPORTRANGE(""https://docs.google.com/spreadsheets/d/19GOkiOqnzYbevLYWrMk4qFOXe3rX14BkSA8X-mq-a40/edit?usp=sharing"",""มหาสารคาม!J730"")"),0)</f>
        <v>0</v>
      </c>
      <c r="BN39" s="181">
        <f ca="1">IFERROR(__xludf.DUMMYFUNCTION("IMPORTRANGE(""https://docs.google.com/spreadsheets/d/19GOkiOqnzYbevLYWrMk4qFOXe3rX14BkSA8X-mq-a40/edit?usp=sharing"",""มหาสารคาม!J731"")"),0)</f>
        <v>0</v>
      </c>
      <c r="BO39" s="181">
        <f ca="1">IFERROR(__xludf.DUMMYFUNCTION("IMPORTRANGE(""https://docs.google.com/spreadsheets/d/19GOkiOqnzYbevLYWrMk4qFOXe3rX14BkSA8X-mq-a40/edit?usp=sharing"",""มหาสารคาม!J732"")"),0)</f>
        <v>0</v>
      </c>
      <c r="BP39" s="181">
        <f ca="1">IFERROR(__xludf.DUMMYFUNCTION("IMPORTRANGE(""https://docs.google.com/spreadsheets/d/19GOkiOqnzYbevLYWrMk4qFOXe3rX14BkSA8X-mq-a40/edit?usp=sharing"",""มหาสารคาม!J733"")"),0)</f>
        <v>0</v>
      </c>
      <c r="BQ39" s="181">
        <f ca="1">IFERROR(__xludf.DUMMYFUNCTION("IMPORTRANGE(""https://docs.google.com/spreadsheets/d/19GOkiOqnzYbevLYWrMk4qFOXe3rX14BkSA8X-mq-a40/edit?usp=sharing"",""มหาสารคาม!J734"")"),0)</f>
        <v>0</v>
      </c>
      <c r="BR39" s="181">
        <f ca="1">IFERROR(__xludf.DUMMYFUNCTION("IMPORTRANGE(""https://docs.google.com/spreadsheets/d/19GOkiOqnzYbevLYWrMk4qFOXe3rX14BkSA8X-mq-a40/edit?usp=sharing"",""มหาสารคาม!J735"")"),0)</f>
        <v>0</v>
      </c>
    </row>
    <row r="40" spans="1:70" ht="21" customHeight="1" x14ac:dyDescent="0.3">
      <c r="A40" s="178">
        <v>9</v>
      </c>
      <c r="B40" s="179" t="s">
        <v>57</v>
      </c>
      <c r="C40" s="180">
        <f t="shared" ca="1" si="58"/>
        <v>0</v>
      </c>
      <c r="D40" s="181">
        <f ca="1">IFERROR(__xludf.DUMMYFUNCTION("IMPORTRANGE(""https://docs.google.com/spreadsheets/d/1uMKqWwuNQ-TCKboGA3Bb1qXb5uj2-faACNUINCz8PN4/edit?usp=sharing"",""มุกดาหาร!L690"")"),0)</f>
        <v>0</v>
      </c>
      <c r="E40" s="187">
        <f ca="1">IFERROR(__xludf.DUMMYFUNCTION("IMPORTRANGE(""https://docs.google.com/spreadsheets/d/1uMKqWwuNQ-TCKboGA3Bb1qXb5uj2-faACNUINCz8PN4/edit?usp=sharing"",""มุกดาหาร!L697"")"),0)</f>
        <v>0</v>
      </c>
      <c r="F40" s="182">
        <f t="shared" ca="1" si="1"/>
        <v>0</v>
      </c>
      <c r="G40" s="183">
        <f t="shared" ca="1" si="2"/>
        <v>0</v>
      </c>
      <c r="H40" s="184">
        <f t="shared" ca="1" si="59"/>
        <v>0</v>
      </c>
      <c r="I40" s="187">
        <f ca="1">IFERROR(__xludf.DUMMYFUNCTION("IMPORTRANGE(""https://docs.google.com/spreadsheets/d/1uMKqWwuNQ-TCKboGA3Bb1qXb5uj2-faACNUINCz8PN4/edit?usp=sharing"",""มุกดาหาร!N691"")"),0)</f>
        <v>0</v>
      </c>
      <c r="J40" s="187">
        <f ca="1">IFERROR(__xludf.DUMMYFUNCTION("IMPORTRANGE(""https://docs.google.com/spreadsheets/d/1uMKqWwuNQ-TCKboGA3Bb1qXb5uj2-faACNUINCz8PN4/edit?usp=sharing"",""มุกดาหาร!N692"")"),0)</f>
        <v>0</v>
      </c>
      <c r="K40" s="187">
        <f ca="1">IFERROR(__xludf.DUMMYFUNCTION("IMPORTRANGE(""https://docs.google.com/spreadsheets/d/1uMKqWwuNQ-TCKboGA3Bb1qXb5uj2-faACNUINCz8PN4/edit?usp=sharing"",""มุกดาหาร!N693"")"),0)</f>
        <v>0</v>
      </c>
      <c r="L40" s="187">
        <f ca="1">IFERROR(__xludf.DUMMYFUNCTION("IMPORTRANGE(""https://docs.google.com/spreadsheets/d/1uMKqWwuNQ-TCKboGA3Bb1qXb5uj2-faACNUINCz8PN4/edit?usp=sharing"",""มุกดาหาร!N694"")"),0)</f>
        <v>0</v>
      </c>
      <c r="M40" s="185">
        <f ca="1">IFERROR(__xludf.DUMMYFUNCTION("IMPORTRANGE(""https://docs.google.com/spreadsheets/d/1uMKqWwuNQ-TCKboGA3Bb1qXb5uj2-faACNUINCz8PN4/edit?usp=sharing"",""มุกดาหาร!N697"")"),0)</f>
        <v>0</v>
      </c>
      <c r="N40" s="185">
        <f t="shared" ca="1" si="37"/>
        <v>0</v>
      </c>
      <c r="O40" s="181">
        <f ca="1">IFERROR(__xludf.DUMMYFUNCTION("IMPORTRANGE(""https://docs.google.com/spreadsheets/d/1uMKqWwuNQ-TCKboGA3Bb1qXb5uj2-faACNUINCz8PN4/edit?usp=sharing"",""มุกดาหาร!I699"")"),0)</f>
        <v>0</v>
      </c>
      <c r="P40" s="181">
        <f ca="1">IFERROR(__xludf.DUMMYFUNCTION("IMPORTRANGE(""https://docs.google.com/spreadsheets/d/1uMKqWwuNQ-TCKboGA3Bb1qXb5uj2-faACNUINCz8PN4/edit?usp=sharing"",""มุกดาหาร!J699"")"),0)</f>
        <v>0</v>
      </c>
      <c r="Q40" s="186">
        <f t="shared" ca="1" si="31"/>
        <v>0</v>
      </c>
      <c r="R40" s="181">
        <f ca="1">IFERROR(__xludf.DUMMYFUNCTION("IMPORTRANGE(""https://docs.google.com/spreadsheets/d/1uMKqWwuNQ-TCKboGA3Bb1qXb5uj2-faACNUINCz8PN4/edit?usp=sharing"",""มุกดาหาร!I700"")"),0)</f>
        <v>0</v>
      </c>
      <c r="S40" s="181">
        <f ca="1">IFERROR(__xludf.DUMMYFUNCTION("IMPORTRANGE(""https://docs.google.com/spreadsheets/d/1uMKqWwuNQ-TCKboGA3Bb1qXb5uj2-faACNUINCz8PN4/edit?usp=sharing"",""มุกดาหาร!J700"")"),0)</f>
        <v>0</v>
      </c>
      <c r="T40" s="186">
        <f t="shared" ca="1" si="32"/>
        <v>0</v>
      </c>
      <c r="U40" s="181">
        <f ca="1">IFERROR(__xludf.DUMMYFUNCTION("IMPORTRANGE(""https://docs.google.com/spreadsheets/d/1uMKqWwuNQ-TCKboGA3Bb1qXb5uj2-faACNUINCz8PN4/edit?usp=sharing"",""มุกดาหาร!I701"")"),0)</f>
        <v>0</v>
      </c>
      <c r="V40" s="181">
        <f ca="1">IFERROR(__xludf.DUMMYFUNCTION("IMPORTRANGE(""https://docs.google.com/spreadsheets/d/1uMKqWwuNQ-TCKboGA3Bb1qXb5uj2-faACNUINCz8PN4/edit?usp=sharing"",""มุกดาหาร!J701"")"),0)</f>
        <v>0</v>
      </c>
      <c r="W40" s="186">
        <f t="shared" ca="1" si="33"/>
        <v>0</v>
      </c>
      <c r="X40" s="186">
        <f ca="1">IFERROR(__xludf.DUMMYFUNCTION("IMPORTRANGE(""https://docs.google.com/spreadsheets/d/1uMKqWwuNQ-TCKboGA3Bb1qXb5uj2-faACNUINCz8PN4/edit?usp=sharing"",""มุกดาหาร!J702"")"),0)</f>
        <v>0</v>
      </c>
      <c r="Y40" s="186">
        <f ca="1">IFERROR(__xludf.DUMMYFUNCTION("IMPORTRANGE(""https://docs.google.com/spreadsheets/d/1uMKqWwuNQ-TCKboGA3Bb1qXb5uj2-faACNUINCz8PN4/edit?usp=sharing"",""มุกดาหาร!J703"")"),0)</f>
        <v>0</v>
      </c>
      <c r="Z40" s="186">
        <f ca="1">IFERROR(__xludf.DUMMYFUNCTION("IMPORTRANGE(""https://docs.google.com/spreadsheets/d/1uMKqWwuNQ-TCKboGA3Bb1qXb5uj2-faACNUINCz8PN4/edit?usp=sharing"",""มุกดาหาร!J704"")"),0)</f>
        <v>0</v>
      </c>
      <c r="AA40" s="186">
        <f ca="1">IFERROR(__xludf.DUMMYFUNCTION("IMPORTRANGE(""https://docs.google.com/spreadsheets/d/1uMKqWwuNQ-TCKboGA3Bb1qXb5uj2-faACNUINCz8PN4/edit?usp=sharing"",""มุกดาหาร!J705"")"),0)</f>
        <v>0</v>
      </c>
      <c r="AB40" s="186">
        <f ca="1">IFERROR(__xludf.DUMMYFUNCTION("IMPORTRANGE(""https://docs.google.com/spreadsheets/d/1uMKqWwuNQ-TCKboGA3Bb1qXb5uj2-faACNUINCz8PN4/edit?usp=sharing"",""มุกดาหาร!J706"")"),0)</f>
        <v>0</v>
      </c>
      <c r="AC40" s="186">
        <f ca="1">IFERROR(__xludf.DUMMYFUNCTION("IMPORTRANGE(""https://docs.google.com/spreadsheets/d/1uMKqWwuNQ-TCKboGA3Bb1qXb5uj2-faACNUINCz8PN4/edit?usp=sharing"",""มุกดาหาร!J707"")"),0)</f>
        <v>0</v>
      </c>
      <c r="AD40" s="181">
        <f ca="1">IFERROR(__xludf.DUMMYFUNCTION("IMPORTRANGE(""https://docs.google.com/spreadsheets/d/1uMKqWwuNQ-TCKboGA3Bb1qXb5uj2-faACNUINCz8PN4/edit?usp=sharing"",""มุกดาหาร!I708"")"),0)</f>
        <v>0</v>
      </c>
      <c r="AE40" s="181">
        <f ca="1">IFERROR(__xludf.DUMMYFUNCTION("IMPORTRANGE(""https://docs.google.com/spreadsheets/d/1uMKqWwuNQ-TCKboGA3Bb1qXb5uj2-faACNUINCz8PN4/edit?usp=sharing"",""มุกดาหาร!J708"")"),0)</f>
        <v>0</v>
      </c>
      <c r="AF40" s="186">
        <f t="shared" ca="1" si="34"/>
        <v>0</v>
      </c>
      <c r="AG40" s="181">
        <f ca="1">IFERROR(__xludf.DUMMYFUNCTION("IMPORTRANGE(""https://docs.google.com/spreadsheets/d/1uMKqWwuNQ-TCKboGA3Bb1qXb5uj2-faACNUINCz8PN4/edit?usp=sharing"",""มุกดาหาร!J709"")"),0)</f>
        <v>0</v>
      </c>
      <c r="AH40" s="181">
        <f ca="1">IFERROR(__xludf.DUMMYFUNCTION("IMPORTRANGE(""https://docs.google.com/spreadsheets/d/1uMKqWwuNQ-TCKboGA3Bb1qXb5uj2-faACNUINCz8PN4/edit?usp=sharing"",""มุกดาหาร!J710"")"),0)</f>
        <v>0</v>
      </c>
      <c r="AI40" s="181">
        <f ca="1">IFERROR(__xludf.DUMMYFUNCTION("IMPORTRANGE(""https://docs.google.com/spreadsheets/d/1uMKqWwuNQ-TCKboGA3Bb1qXb5uj2-faACNUINCz8PN4/edit?usp=sharing"",""มุกดาหาร!J712"")"),0)</f>
        <v>0</v>
      </c>
      <c r="AJ40" s="181">
        <f ca="1">IFERROR(__xludf.DUMMYFUNCTION("IMPORTRANGE(""https://docs.google.com/spreadsheets/d/1uMKqWwuNQ-TCKboGA3Bb1qXb5uj2-faACNUINCz8PN4/edit?usp=sharing"",""มุกดาหาร!J713"")"),0)</f>
        <v>0</v>
      </c>
      <c r="AK40" s="181">
        <f ca="1">IFERROR(__xludf.DUMMYFUNCTION("IMPORTRANGE(""https://docs.google.com/spreadsheets/d/1uMKqWwuNQ-TCKboGA3Bb1qXb5uj2-faACNUINCz8PN4/edit?usp=sharing"",""มุกดาหาร!J714"")"),0)</f>
        <v>0</v>
      </c>
      <c r="AL40" s="181">
        <f ca="1">IFERROR(__xludf.DUMMYFUNCTION("IMPORTRANGE(""https://docs.google.com/spreadsheets/d/1uMKqWwuNQ-TCKboGA3Bb1qXb5uj2-faACNUINCz8PN4/edit?usp=sharing"",""มุกดาหาร!J715"")"),0)</f>
        <v>0</v>
      </c>
      <c r="AM40" s="181">
        <f ca="1">IFERROR(__xludf.DUMMYFUNCTION("IMPORTRANGE(""https://docs.google.com/spreadsheets/d/1uMKqWwuNQ-TCKboGA3Bb1qXb5uj2-faACNUINCz8PN4/edit?usp=sharing"",""มุกดาหาร!J716"")"),0)</f>
        <v>0</v>
      </c>
      <c r="AN40" s="181">
        <f ca="1">IFERROR(__xludf.DUMMYFUNCTION("IMPORTRANGE(""https://docs.google.com/spreadsheets/d/1uMKqWwuNQ-TCKboGA3Bb1qXb5uj2-faACNUINCz8PN4/edit?usp=sharing"",""มุกดาหาร!J717"")"),0)</f>
        <v>0</v>
      </c>
      <c r="AO40" s="181">
        <f ca="1">IFERROR(__xludf.DUMMYFUNCTION("IMPORTRANGE(""https://docs.google.com/spreadsheets/d/1uMKqWwuNQ-TCKboGA3Bb1qXb5uj2-faACNUINCz8PN4/edit?usp=sharing"",""มุกดาหาร!I720"")"),0)</f>
        <v>0</v>
      </c>
      <c r="AP40" s="181">
        <f ca="1">IFERROR(__xludf.DUMMYFUNCTION("IMPORTRANGE(""https://docs.google.com/spreadsheets/d/1uMKqWwuNQ-TCKboGA3Bb1qXb5uj2-faACNUINCz8PN4/edit?usp=sharing"",""มุกดาหาร!J718"")"),0)</f>
        <v>0</v>
      </c>
      <c r="AQ40" s="181">
        <f ca="1">IFERROR(__xludf.DUMMYFUNCTION("IMPORTRANGE(""https://docs.google.com/spreadsheets/d/1uMKqWwuNQ-TCKboGA3Bb1qXb5uj2-faACNUINCz8PN4/edit?usp=sharing"",""มุกดาหาร!J719"")"),0)</f>
        <v>0</v>
      </c>
      <c r="AR40" s="181">
        <f ca="1">IFERROR(__xludf.DUMMYFUNCTION("IMPORTRANGE(""https://docs.google.com/spreadsheets/d/1uMKqWwuNQ-TCKboGA3Bb1qXb5uj2-faACNUINCz8PN4/edit?usp=sharing"",""มุกดาหาร!J720"")"),0)</f>
        <v>0</v>
      </c>
      <c r="AS40" s="186">
        <f t="shared" ca="1" si="14"/>
        <v>0</v>
      </c>
      <c r="AT40" s="181">
        <f ca="1">IFERROR(__xludf.DUMMYFUNCTION("IMPORTRANGE(""https://docs.google.com/spreadsheets/d/1uMKqWwuNQ-TCKboGA3Bb1qXb5uj2-faACNUINCz8PN4/edit?usp=sharing"",""มุกดาหาร!I721"")"),0)</f>
        <v>0</v>
      </c>
      <c r="AU40" s="181">
        <f ca="1">IFERROR(__xludf.DUMMYFUNCTION("IMPORTRANGE(""https://docs.google.com/spreadsheets/d/1uMKqWwuNQ-TCKboGA3Bb1qXb5uj2-faACNUINCz8PN4/edit?usp=sharing"",""มุกดาหาร!I722"")"),0)</f>
        <v>0</v>
      </c>
      <c r="AV40" s="181">
        <f ca="1">IFERROR(__xludf.DUMMYFUNCTION("IMPORTRANGE(""https://docs.google.com/spreadsheets/d/1uMKqWwuNQ-TCKboGA3Bb1qXb5uj2-faACNUINCz8PN4/edit?usp=sharing"",""มุกดาหาร!J721"")"),0)</f>
        <v>0</v>
      </c>
      <c r="AW40" s="186">
        <f t="shared" ca="1" si="16"/>
        <v>0</v>
      </c>
      <c r="AX40" s="181">
        <f ca="1">IFERROR(__xludf.DUMMYFUNCTION("IMPORTRANGE(""https://docs.google.com/spreadsheets/d/1uMKqWwuNQ-TCKboGA3Bb1qXb5uj2-faACNUINCz8PN4/edit?usp=sharing"",""มุกดาหาร!J722"")"),0)</f>
        <v>0</v>
      </c>
      <c r="AY40" s="186">
        <f t="shared" ca="1" si="17"/>
        <v>0</v>
      </c>
      <c r="AZ40" s="181">
        <f ca="1">IFERROR(__xludf.DUMMYFUNCTION("IMPORTRANGE(""https://docs.google.com/spreadsheets/d/1uMKqWwuNQ-TCKboGA3Bb1qXb5uj2-faACNUINCz8PN4/edit?usp=sharing"",""มุกดาหาร!I723"")"),0)</f>
        <v>0</v>
      </c>
      <c r="BA40" s="181">
        <f ca="1">IFERROR(__xludf.DUMMYFUNCTION("IMPORTRANGE(""https://docs.google.com/spreadsheets/d/1uMKqWwuNQ-TCKboGA3Bb1qXb5uj2-faACNUINCz8PN4/edit?usp=sharing"",""มุกดาหาร!I725"")"),0)</f>
        <v>0</v>
      </c>
      <c r="BB40" s="181">
        <f ca="1">IFERROR(__xludf.DUMMYFUNCTION("IMPORTRANGE(""https://docs.google.com/spreadsheets/d/1uMKqWwuNQ-TCKboGA3Bb1qXb5uj2-faACNUINCz8PN4/edit?usp=sharing"",""มุกดาหาร!J723"")"),0)</f>
        <v>0</v>
      </c>
      <c r="BC40" s="181">
        <f ca="1">IFERROR(__xludf.DUMMYFUNCTION("IMPORTRANGE(""https://docs.google.com/spreadsheets/d/1uMKqWwuNQ-TCKboGA3Bb1qXb5uj2-faACNUINCz8PN4/edit?usp=sharing"",""มุกดาหาร!J724"")"),0)</f>
        <v>0</v>
      </c>
      <c r="BD40" s="181">
        <f ca="1">IFERROR(__xludf.DUMMYFUNCTION("IMPORTRANGE(""https://docs.google.com/spreadsheets/d/1uMKqWwuNQ-TCKboGA3Bb1qXb5uj2-faACNUINCz8PN4/edit?usp=sharing"",""มุกดาหาร!J725"")"),0)</f>
        <v>0</v>
      </c>
      <c r="BE40" s="181">
        <f ca="1">IFERROR(__xludf.DUMMYFUNCTION("IMPORTRANGE(""https://docs.google.com/spreadsheets/d/1uMKqWwuNQ-TCKboGA3Bb1qXb5uj2-faACNUINCz8PN4/edit?usp=sharing"",""มุกดาหาร!I726"")"),0)</f>
        <v>0</v>
      </c>
      <c r="BF40" s="181">
        <f ca="1">IFERROR(__xludf.DUMMYFUNCTION("IMPORTRANGE(""https://docs.google.com/spreadsheets/d/1uMKqWwuNQ-TCKboGA3Bb1qXb5uj2-faACNUINCz8PN4/edit?usp=sharing"",""มุกดาหาร!I728"")"),0)</f>
        <v>0</v>
      </c>
      <c r="BG40" s="181">
        <f ca="1">IFERROR(__xludf.DUMMYFUNCTION("IMPORTRANGE(""https://docs.google.com/spreadsheets/d/1uMKqWwuNQ-TCKboGA3Bb1qXb5uj2-faACNUINCz8PN4/edit?usp=sharing"",""มุกดาหาร!J726"")"),0)</f>
        <v>0</v>
      </c>
      <c r="BH40" s="181">
        <f ca="1">IFERROR(__xludf.DUMMYFUNCTION("IMPORTRANGE(""https://docs.google.com/spreadsheets/d/1uMKqWwuNQ-TCKboGA3Bb1qXb5uj2-faACNUINCz8PN4/edit?usp=sharing"",""มุกดาหาร!J727"")"),0)</f>
        <v>0</v>
      </c>
      <c r="BI40" s="181">
        <f ca="1">IFERROR(__xludf.DUMMYFUNCTION("IMPORTRANGE(""https://docs.google.com/spreadsheets/d/1uMKqWwuNQ-TCKboGA3Bb1qXb5uj2-faACNUINCz8PN4/edit?usp=sharing"",""มุกดาหาร!J728"")"),0)</f>
        <v>0</v>
      </c>
      <c r="BJ40" s="181">
        <f ca="1">IFERROR(__xludf.DUMMYFUNCTION("IMPORTRANGE(""https://docs.google.com/spreadsheets/d/1uMKqWwuNQ-TCKboGA3Bb1qXb5uj2-faACNUINCz8PN4/edit?usp=sharing"",""มุกดาหาร!I729"")"),0)</f>
        <v>0</v>
      </c>
      <c r="BK40" s="181">
        <f ca="1">IFERROR(__xludf.DUMMYFUNCTION("IMPORTRANGE(""https://docs.google.com/spreadsheets/d/1uMKqWwuNQ-TCKboGA3Bb1qXb5uj2-faACNUINCz8PN4/edit?usp=sharing"",""มุกดาหาร!J729"")"),0)</f>
        <v>0</v>
      </c>
      <c r="BL40" s="186">
        <f t="shared" ca="1" si="19"/>
        <v>0</v>
      </c>
      <c r="BM40" s="181">
        <f ca="1">IFERROR(__xludf.DUMMYFUNCTION("IMPORTRANGE(""https://docs.google.com/spreadsheets/d/1uMKqWwuNQ-TCKboGA3Bb1qXb5uj2-faACNUINCz8PN4/edit?usp=sharing"",""มุกดาหาร!J730"")"),0)</f>
        <v>0</v>
      </c>
      <c r="BN40" s="181">
        <f ca="1">IFERROR(__xludf.DUMMYFUNCTION("IMPORTRANGE(""https://docs.google.com/spreadsheets/d/1uMKqWwuNQ-TCKboGA3Bb1qXb5uj2-faACNUINCz8PN4/edit?usp=sharing"",""มุกดาหาร!J731"")"),0)</f>
        <v>0</v>
      </c>
      <c r="BO40" s="181">
        <f ca="1">IFERROR(__xludf.DUMMYFUNCTION("IMPORTRANGE(""https://docs.google.com/spreadsheets/d/1uMKqWwuNQ-TCKboGA3Bb1qXb5uj2-faACNUINCz8PN4/edit?usp=sharing"",""มุกดาหาร!J732"")"),0)</f>
        <v>0</v>
      </c>
      <c r="BP40" s="181">
        <f ca="1">IFERROR(__xludf.DUMMYFUNCTION("IMPORTRANGE(""https://docs.google.com/spreadsheets/d/1uMKqWwuNQ-TCKboGA3Bb1qXb5uj2-faACNUINCz8PN4/edit?usp=sharing"",""มุกดาหาร!J733"")"),0)</f>
        <v>0</v>
      </c>
      <c r="BQ40" s="181">
        <f ca="1">IFERROR(__xludf.DUMMYFUNCTION("IMPORTRANGE(""https://docs.google.com/spreadsheets/d/1uMKqWwuNQ-TCKboGA3Bb1qXb5uj2-faACNUINCz8PN4/edit?usp=sharing"",""มุกดาหาร!J734"")"),0)</f>
        <v>0</v>
      </c>
      <c r="BR40" s="181">
        <f ca="1">IFERROR(__xludf.DUMMYFUNCTION("IMPORTRANGE(""https://docs.google.com/spreadsheets/d/1uMKqWwuNQ-TCKboGA3Bb1qXb5uj2-faACNUINCz8PN4/edit?usp=sharing"",""มุกดาหาร!J735"")"),0)</f>
        <v>0</v>
      </c>
    </row>
    <row r="41" spans="1:70" ht="21" customHeight="1" x14ac:dyDescent="0.3">
      <c r="A41" s="178">
        <v>10</v>
      </c>
      <c r="B41" s="179" t="s">
        <v>58</v>
      </c>
      <c r="C41" s="180">
        <f t="shared" ca="1" si="58"/>
        <v>0</v>
      </c>
      <c r="D41" s="181">
        <f ca="1">IFERROR(__xludf.DUMMYFUNCTION("IMPORTRANGE(""https://docs.google.com/spreadsheets/d/1oKaccgDdQABndOzGr688Dbfxb_V3YcF67VqEPBtdzsc/edit?usp=sharing"",""ยโสธร!L690"")"),0)</f>
        <v>0</v>
      </c>
      <c r="E41" s="187">
        <f ca="1">IFERROR(__xludf.DUMMYFUNCTION("IMPORTRANGE(""https://docs.google.com/spreadsheets/d/1oKaccgDdQABndOzGr688Dbfxb_V3YcF67VqEPBtdzsc/edit?usp=sharing"",""ยโสธร!L697"")"),0)</f>
        <v>0</v>
      </c>
      <c r="F41" s="182">
        <f t="shared" ca="1" si="1"/>
        <v>0</v>
      </c>
      <c r="G41" s="183">
        <f t="shared" ca="1" si="2"/>
        <v>0</v>
      </c>
      <c r="H41" s="184">
        <f t="shared" ca="1" si="59"/>
        <v>0</v>
      </c>
      <c r="I41" s="187">
        <f ca="1">IFERROR(__xludf.DUMMYFUNCTION("IMPORTRANGE(""https://docs.google.com/spreadsheets/d/1oKaccgDdQABndOzGr688Dbfxb_V3YcF67VqEPBtdzsc/edit?usp=sharing"",""ยโสธร!N691"")"),0)</f>
        <v>0</v>
      </c>
      <c r="J41" s="187">
        <f ca="1">IFERROR(__xludf.DUMMYFUNCTION("IMPORTRANGE(""https://docs.google.com/spreadsheets/d/1oKaccgDdQABndOzGr688Dbfxb_V3YcF67VqEPBtdzsc/edit?usp=sharing"",""ยโสธร!N692"")"),0)</f>
        <v>0</v>
      </c>
      <c r="K41" s="187">
        <f ca="1">IFERROR(__xludf.DUMMYFUNCTION("IMPORTRANGE(""https://docs.google.com/spreadsheets/d/1oKaccgDdQABndOzGr688Dbfxb_V3YcF67VqEPBtdzsc/edit?usp=sharing"",""ยโสธร!N693"")"),0)</f>
        <v>0</v>
      </c>
      <c r="L41" s="187">
        <f ca="1">IFERROR(__xludf.DUMMYFUNCTION("IMPORTRANGE(""https://docs.google.com/spreadsheets/d/1oKaccgDdQABndOzGr688Dbfxb_V3YcF67VqEPBtdzsc/edit?usp=sharing"",""ยโสธร!N694"")"),0)</f>
        <v>0</v>
      </c>
      <c r="M41" s="185">
        <f ca="1">IFERROR(__xludf.DUMMYFUNCTION("IMPORTRANGE(""https://docs.google.com/spreadsheets/d/1oKaccgDdQABndOzGr688Dbfxb_V3YcF67VqEPBtdzsc/edit?usp=sharing"",""ยโสธร!N697"")"),0)</f>
        <v>0</v>
      </c>
      <c r="N41" s="185">
        <f t="shared" ca="1" si="37"/>
        <v>0</v>
      </c>
      <c r="O41" s="181">
        <f ca="1">IFERROR(__xludf.DUMMYFUNCTION("IMPORTRANGE(""https://docs.google.com/spreadsheets/d/1oKaccgDdQABndOzGr688Dbfxb_V3YcF67VqEPBtdzsc/edit?usp=sharing"",""ยโสธร!I699"")"),0)</f>
        <v>0</v>
      </c>
      <c r="P41" s="181">
        <f ca="1">IFERROR(__xludf.DUMMYFUNCTION("IMPORTRANGE(""https://docs.google.com/spreadsheets/d/1oKaccgDdQABndOzGr688Dbfxb_V3YcF67VqEPBtdzsc/edit?usp=sharing"",""ยโสธร!J699"")"),0)</f>
        <v>0</v>
      </c>
      <c r="Q41" s="186">
        <f t="shared" ca="1" si="31"/>
        <v>0</v>
      </c>
      <c r="R41" s="181">
        <f ca="1">IFERROR(__xludf.DUMMYFUNCTION("IMPORTRANGE(""https://docs.google.com/spreadsheets/d/1oKaccgDdQABndOzGr688Dbfxb_V3YcF67VqEPBtdzsc/edit?usp=sharing"",""ยโสธร!I700"")"),0)</f>
        <v>0</v>
      </c>
      <c r="S41" s="181">
        <f ca="1">IFERROR(__xludf.DUMMYFUNCTION("IMPORTRANGE(""https://docs.google.com/spreadsheets/d/1oKaccgDdQABndOzGr688Dbfxb_V3YcF67VqEPBtdzsc/edit?usp=sharing"",""ยโสธร!J700"")"),0)</f>
        <v>0</v>
      </c>
      <c r="T41" s="186">
        <f t="shared" ca="1" si="32"/>
        <v>0</v>
      </c>
      <c r="U41" s="181">
        <f ca="1">IFERROR(__xludf.DUMMYFUNCTION("IMPORTRANGE(""https://docs.google.com/spreadsheets/d/1oKaccgDdQABndOzGr688Dbfxb_V3YcF67VqEPBtdzsc/edit?usp=sharing"",""ยโสธร!I701"")"),0)</f>
        <v>0</v>
      </c>
      <c r="V41" s="181">
        <f ca="1">IFERROR(__xludf.DUMMYFUNCTION("IMPORTRANGE(""https://docs.google.com/spreadsheets/d/1oKaccgDdQABndOzGr688Dbfxb_V3YcF67VqEPBtdzsc/edit?usp=sharing"",""ยโสธร!J701"")"),0)</f>
        <v>0</v>
      </c>
      <c r="W41" s="186">
        <f t="shared" ca="1" si="33"/>
        <v>0</v>
      </c>
      <c r="X41" s="186">
        <f ca="1">IFERROR(__xludf.DUMMYFUNCTION("IMPORTRANGE(""https://docs.google.com/spreadsheets/d/1oKaccgDdQABndOzGr688Dbfxb_V3YcF67VqEPBtdzsc/edit?usp=sharing"",""ยโสธร!J702"")"),0)</f>
        <v>0</v>
      </c>
      <c r="Y41" s="186">
        <f ca="1">IFERROR(__xludf.DUMMYFUNCTION("IMPORTRANGE(""https://docs.google.com/spreadsheets/d/1oKaccgDdQABndOzGr688Dbfxb_V3YcF67VqEPBtdzsc/edit?usp=sharing"",""ยโสธร!J703"")"),0)</f>
        <v>0</v>
      </c>
      <c r="Z41" s="186">
        <f ca="1">IFERROR(__xludf.DUMMYFUNCTION("IMPORTRANGE(""https://docs.google.com/spreadsheets/d/1oKaccgDdQABndOzGr688Dbfxb_V3YcF67VqEPBtdzsc/edit?usp=sharing"",""ยโสธร!J704"")"),0)</f>
        <v>0</v>
      </c>
      <c r="AA41" s="186">
        <f ca="1">IFERROR(__xludf.DUMMYFUNCTION("IMPORTRANGE(""https://docs.google.com/spreadsheets/d/1oKaccgDdQABndOzGr688Dbfxb_V3YcF67VqEPBtdzsc/edit?usp=sharing"",""ยโสธร!J705"")"),0)</f>
        <v>0</v>
      </c>
      <c r="AB41" s="186">
        <f ca="1">IFERROR(__xludf.DUMMYFUNCTION("IMPORTRANGE(""https://docs.google.com/spreadsheets/d/1oKaccgDdQABndOzGr688Dbfxb_V3YcF67VqEPBtdzsc/edit?usp=sharing"",""ยโสธร!J706"")"),0)</f>
        <v>0</v>
      </c>
      <c r="AC41" s="186">
        <f ca="1">IFERROR(__xludf.DUMMYFUNCTION("IMPORTRANGE(""https://docs.google.com/spreadsheets/d/1oKaccgDdQABndOzGr688Dbfxb_V3YcF67VqEPBtdzsc/edit?usp=sharing"",""ยโสธร!J707"")"),0)</f>
        <v>0</v>
      </c>
      <c r="AD41" s="181">
        <f ca="1">IFERROR(__xludf.DUMMYFUNCTION("IMPORTRANGE(""https://docs.google.com/spreadsheets/d/1oKaccgDdQABndOzGr688Dbfxb_V3YcF67VqEPBtdzsc/edit?usp=sharing"",""ยโสธร!I708"")"),0)</f>
        <v>0</v>
      </c>
      <c r="AE41" s="181">
        <f ca="1">IFERROR(__xludf.DUMMYFUNCTION("IMPORTRANGE(""https://docs.google.com/spreadsheets/d/1oKaccgDdQABndOzGr688Dbfxb_V3YcF67VqEPBtdzsc/edit?usp=sharing"",""ยโสธร!J708"")"),0)</f>
        <v>0</v>
      </c>
      <c r="AF41" s="186">
        <f t="shared" ca="1" si="34"/>
        <v>0</v>
      </c>
      <c r="AG41" s="181">
        <f ca="1">IFERROR(__xludf.DUMMYFUNCTION("IMPORTRANGE(""https://docs.google.com/spreadsheets/d/1oKaccgDdQABndOzGr688Dbfxb_V3YcF67VqEPBtdzsc/edit?usp=sharing"",""ยโสธร!J709"")"),0)</f>
        <v>0</v>
      </c>
      <c r="AH41" s="181">
        <f ca="1">IFERROR(__xludf.DUMMYFUNCTION("IMPORTRANGE(""https://docs.google.com/spreadsheets/d/1oKaccgDdQABndOzGr688Dbfxb_V3YcF67VqEPBtdzsc/edit?usp=sharing"",""ยโสธร!J710"")"),0)</f>
        <v>0</v>
      </c>
      <c r="AI41" s="181">
        <f ca="1">IFERROR(__xludf.DUMMYFUNCTION("IMPORTRANGE(""https://docs.google.com/spreadsheets/d/1oKaccgDdQABndOzGr688Dbfxb_V3YcF67VqEPBtdzsc/edit?usp=sharing"",""ยโสธร!J712"")"),0)</f>
        <v>0</v>
      </c>
      <c r="AJ41" s="181">
        <f ca="1">IFERROR(__xludf.DUMMYFUNCTION("IMPORTRANGE(""https://docs.google.com/spreadsheets/d/1oKaccgDdQABndOzGr688Dbfxb_V3YcF67VqEPBtdzsc/edit?usp=sharing"",""ยโสธร!J713"")"),0)</f>
        <v>0</v>
      </c>
      <c r="AK41" s="181">
        <f ca="1">IFERROR(__xludf.DUMMYFUNCTION("IMPORTRANGE(""https://docs.google.com/spreadsheets/d/1oKaccgDdQABndOzGr688Dbfxb_V3YcF67VqEPBtdzsc/edit?usp=sharing"",""ยโสธร!J714"")"),0)</f>
        <v>0</v>
      </c>
      <c r="AL41" s="181">
        <f ca="1">IFERROR(__xludf.DUMMYFUNCTION("IMPORTRANGE(""https://docs.google.com/spreadsheets/d/1oKaccgDdQABndOzGr688Dbfxb_V3YcF67VqEPBtdzsc/edit?usp=sharing"",""ยโสธร!J715"")"),0)</f>
        <v>0</v>
      </c>
      <c r="AM41" s="181">
        <f ca="1">IFERROR(__xludf.DUMMYFUNCTION("IMPORTRANGE(""https://docs.google.com/spreadsheets/d/1oKaccgDdQABndOzGr688Dbfxb_V3YcF67VqEPBtdzsc/edit?usp=sharing"",""ยโสธร!J716"")"),0)</f>
        <v>0</v>
      </c>
      <c r="AN41" s="181">
        <f ca="1">IFERROR(__xludf.DUMMYFUNCTION("IMPORTRANGE(""https://docs.google.com/spreadsheets/d/1oKaccgDdQABndOzGr688Dbfxb_V3YcF67VqEPBtdzsc/edit?usp=sharing"",""ยโสธร!J717"")"),0)</f>
        <v>0</v>
      </c>
      <c r="AO41" s="181">
        <f ca="1">IFERROR(__xludf.DUMMYFUNCTION("IMPORTRANGE(""https://docs.google.com/spreadsheets/d/1oKaccgDdQABndOzGr688Dbfxb_V3YcF67VqEPBtdzsc/edit?usp=sharing"",""ยโสธร!I720"")"),0)</f>
        <v>0</v>
      </c>
      <c r="AP41" s="181">
        <f ca="1">IFERROR(__xludf.DUMMYFUNCTION("IMPORTRANGE(""https://docs.google.com/spreadsheets/d/1oKaccgDdQABndOzGr688Dbfxb_V3YcF67VqEPBtdzsc/edit?usp=sharing"",""ยโสธร!J718"")"),0)</f>
        <v>0</v>
      </c>
      <c r="AQ41" s="181">
        <f ca="1">IFERROR(__xludf.DUMMYFUNCTION("IMPORTRANGE(""https://docs.google.com/spreadsheets/d/1oKaccgDdQABndOzGr688Dbfxb_V3YcF67VqEPBtdzsc/edit?usp=sharing"",""ยโสธร!J719"")"),0)</f>
        <v>0</v>
      </c>
      <c r="AR41" s="181">
        <f ca="1">IFERROR(__xludf.DUMMYFUNCTION("IMPORTRANGE(""https://docs.google.com/spreadsheets/d/1oKaccgDdQABndOzGr688Dbfxb_V3YcF67VqEPBtdzsc/edit?usp=sharing"",""ยโสธร!J720"")"),0)</f>
        <v>0</v>
      </c>
      <c r="AS41" s="186">
        <f t="shared" ca="1" si="14"/>
        <v>0</v>
      </c>
      <c r="AT41" s="181">
        <f ca="1">IFERROR(__xludf.DUMMYFUNCTION("IMPORTRANGE(""https://docs.google.com/spreadsheets/d/1oKaccgDdQABndOzGr688Dbfxb_V3YcF67VqEPBtdzsc/edit?usp=sharing"",""ยโสธร!I721"")"),0)</f>
        <v>0</v>
      </c>
      <c r="AU41" s="181">
        <f ca="1">IFERROR(__xludf.DUMMYFUNCTION("IMPORTRANGE(""https://docs.google.com/spreadsheets/d/1oKaccgDdQABndOzGr688Dbfxb_V3YcF67VqEPBtdzsc/edit?usp=sharing"",""ยโสธร!I722"")"),0)</f>
        <v>0</v>
      </c>
      <c r="AV41" s="181">
        <f ca="1">IFERROR(__xludf.DUMMYFUNCTION("IMPORTRANGE(""https://docs.google.com/spreadsheets/d/1oKaccgDdQABndOzGr688Dbfxb_V3YcF67VqEPBtdzsc/edit?usp=sharing"",""ยโสธร!J721"")"),0)</f>
        <v>0</v>
      </c>
      <c r="AW41" s="186">
        <f t="shared" ca="1" si="16"/>
        <v>0</v>
      </c>
      <c r="AX41" s="181">
        <f ca="1">IFERROR(__xludf.DUMMYFUNCTION("IMPORTRANGE(""https://docs.google.com/spreadsheets/d/1oKaccgDdQABndOzGr688Dbfxb_V3YcF67VqEPBtdzsc/edit?usp=sharing"",""ยโสธร!J722"")"),0)</f>
        <v>0</v>
      </c>
      <c r="AY41" s="186">
        <f t="shared" ca="1" si="17"/>
        <v>0</v>
      </c>
      <c r="AZ41" s="181">
        <f ca="1">IFERROR(__xludf.DUMMYFUNCTION("IMPORTRANGE(""https://docs.google.com/spreadsheets/d/1oKaccgDdQABndOzGr688Dbfxb_V3YcF67VqEPBtdzsc/edit?usp=sharing"",""ยโสธร!I723"")"),0)</f>
        <v>0</v>
      </c>
      <c r="BA41" s="181">
        <f ca="1">IFERROR(__xludf.DUMMYFUNCTION("IMPORTRANGE(""https://docs.google.com/spreadsheets/d/1oKaccgDdQABndOzGr688Dbfxb_V3YcF67VqEPBtdzsc/edit?usp=sharing"",""ยโสธร!I725"")"),0)</f>
        <v>0</v>
      </c>
      <c r="BB41" s="181">
        <f ca="1">IFERROR(__xludf.DUMMYFUNCTION("IMPORTRANGE(""https://docs.google.com/spreadsheets/d/1oKaccgDdQABndOzGr688Dbfxb_V3YcF67VqEPBtdzsc/edit?usp=sharing"",""ยโสธร!J723"")"),0)</f>
        <v>0</v>
      </c>
      <c r="BC41" s="181">
        <f ca="1">IFERROR(__xludf.DUMMYFUNCTION("IMPORTRANGE(""https://docs.google.com/spreadsheets/d/1oKaccgDdQABndOzGr688Dbfxb_V3YcF67VqEPBtdzsc/edit?usp=sharing"",""ยโสธร!J724"")"),0)</f>
        <v>0</v>
      </c>
      <c r="BD41" s="181">
        <f ca="1">IFERROR(__xludf.DUMMYFUNCTION("IMPORTRANGE(""https://docs.google.com/spreadsheets/d/1oKaccgDdQABndOzGr688Dbfxb_V3YcF67VqEPBtdzsc/edit?usp=sharing"",""ยโสธร!J725"")"),0)</f>
        <v>0</v>
      </c>
      <c r="BE41" s="181">
        <f ca="1">IFERROR(__xludf.DUMMYFUNCTION("IMPORTRANGE(""https://docs.google.com/spreadsheets/d/1oKaccgDdQABndOzGr688Dbfxb_V3YcF67VqEPBtdzsc/edit?usp=sharing"",""ยโสธร!I726"")"),0)</f>
        <v>0</v>
      </c>
      <c r="BF41" s="181">
        <f ca="1">IFERROR(__xludf.DUMMYFUNCTION("IMPORTRANGE(""https://docs.google.com/spreadsheets/d/1oKaccgDdQABndOzGr688Dbfxb_V3YcF67VqEPBtdzsc/edit?usp=sharing"",""ยโสธร!I728"")"),0)</f>
        <v>0</v>
      </c>
      <c r="BG41" s="181">
        <f ca="1">IFERROR(__xludf.DUMMYFUNCTION("IMPORTRANGE(""https://docs.google.com/spreadsheets/d/1oKaccgDdQABndOzGr688Dbfxb_V3YcF67VqEPBtdzsc/edit?usp=sharing"",""ยโสธร!J726"")"),0)</f>
        <v>0</v>
      </c>
      <c r="BH41" s="181">
        <f ca="1">IFERROR(__xludf.DUMMYFUNCTION("IMPORTRANGE(""https://docs.google.com/spreadsheets/d/1oKaccgDdQABndOzGr688Dbfxb_V3YcF67VqEPBtdzsc/edit?usp=sharing"",""ยโสธร!J727"")"),0)</f>
        <v>0</v>
      </c>
      <c r="BI41" s="181">
        <f ca="1">IFERROR(__xludf.DUMMYFUNCTION("IMPORTRANGE(""https://docs.google.com/spreadsheets/d/1oKaccgDdQABndOzGr688Dbfxb_V3YcF67VqEPBtdzsc/edit?usp=sharing"",""ยโสธร!J728"")"),0)</f>
        <v>0</v>
      </c>
      <c r="BJ41" s="181">
        <f ca="1">IFERROR(__xludf.DUMMYFUNCTION("IMPORTRANGE(""https://docs.google.com/spreadsheets/d/1oKaccgDdQABndOzGr688Dbfxb_V3YcF67VqEPBtdzsc/edit?usp=sharing"",""ยโสธร!I729"")"),0)</f>
        <v>0</v>
      </c>
      <c r="BK41" s="181">
        <f ca="1">IFERROR(__xludf.DUMMYFUNCTION("IMPORTRANGE(""https://docs.google.com/spreadsheets/d/1oKaccgDdQABndOzGr688Dbfxb_V3YcF67VqEPBtdzsc/edit?usp=sharing"",""ยโสธร!J729"")"),0)</f>
        <v>0</v>
      </c>
      <c r="BL41" s="186">
        <f t="shared" ca="1" si="19"/>
        <v>0</v>
      </c>
      <c r="BM41" s="181">
        <f ca="1">IFERROR(__xludf.DUMMYFUNCTION("IMPORTRANGE(""https://docs.google.com/spreadsheets/d/1oKaccgDdQABndOzGr688Dbfxb_V3YcF67VqEPBtdzsc/edit?usp=sharing"",""ยโสธร!J730"")"),0)</f>
        <v>0</v>
      </c>
      <c r="BN41" s="181">
        <f ca="1">IFERROR(__xludf.DUMMYFUNCTION("IMPORTRANGE(""https://docs.google.com/spreadsheets/d/1oKaccgDdQABndOzGr688Dbfxb_V3YcF67VqEPBtdzsc/edit?usp=sharing"",""ยโสธร!J731"")"),0)</f>
        <v>0</v>
      </c>
      <c r="BO41" s="181">
        <f ca="1">IFERROR(__xludf.DUMMYFUNCTION("IMPORTRANGE(""https://docs.google.com/spreadsheets/d/1oKaccgDdQABndOzGr688Dbfxb_V3YcF67VqEPBtdzsc/edit?usp=sharing"",""ยโสธร!J732"")"),0)</f>
        <v>0</v>
      </c>
      <c r="BP41" s="181">
        <f ca="1">IFERROR(__xludf.DUMMYFUNCTION("IMPORTRANGE(""https://docs.google.com/spreadsheets/d/1oKaccgDdQABndOzGr688Dbfxb_V3YcF67VqEPBtdzsc/edit?usp=sharing"",""ยโสธร!J733"")"),0)</f>
        <v>0</v>
      </c>
      <c r="BQ41" s="181">
        <f ca="1">IFERROR(__xludf.DUMMYFUNCTION("IMPORTRANGE(""https://docs.google.com/spreadsheets/d/1oKaccgDdQABndOzGr688Dbfxb_V3YcF67VqEPBtdzsc/edit?usp=sharing"",""ยโสธร!J734"")"),0)</f>
        <v>0</v>
      </c>
      <c r="BR41" s="181">
        <f ca="1">IFERROR(__xludf.DUMMYFUNCTION("IMPORTRANGE(""https://docs.google.com/spreadsheets/d/1oKaccgDdQABndOzGr688Dbfxb_V3YcF67VqEPBtdzsc/edit?usp=sharing"",""ยโสธร!J735"")"),0)</f>
        <v>0</v>
      </c>
    </row>
    <row r="42" spans="1:70" ht="21" customHeight="1" x14ac:dyDescent="0.3">
      <c r="A42" s="178">
        <v>11</v>
      </c>
      <c r="B42" s="179" t="s">
        <v>59</v>
      </c>
      <c r="C42" s="180">
        <f t="shared" ca="1" si="58"/>
        <v>1980</v>
      </c>
      <c r="D42" s="181">
        <f ca="1">IFERROR(__xludf.DUMMYFUNCTION("IMPORTRANGE(""https://docs.google.com/spreadsheets/d/1BRgc8xKpxZ0PX-gauieMVkV_IOxKSotf0yW8MabGprQ/edit?usp=sharing"",""ร้อยเอ็ด!L690"")"),1980)</f>
        <v>1980</v>
      </c>
      <c r="E42" s="187">
        <f ca="1">IFERROR(__xludf.DUMMYFUNCTION("IMPORTRANGE(""https://docs.google.com/spreadsheets/d/1BRgc8xKpxZ0PX-gauieMVkV_IOxKSotf0yW8MabGprQ/edit?usp=sharing"",""ร้อยเอ็ด!L697"")"),0)</f>
        <v>0</v>
      </c>
      <c r="F42" s="182">
        <f t="shared" ca="1" si="1"/>
        <v>0</v>
      </c>
      <c r="G42" s="183">
        <f t="shared" ca="1" si="2"/>
        <v>0</v>
      </c>
      <c r="H42" s="184">
        <f t="shared" ca="1" si="59"/>
        <v>0</v>
      </c>
      <c r="I42" s="187">
        <f ca="1">IFERROR(__xludf.DUMMYFUNCTION("IMPORTRANGE(""https://docs.google.com/spreadsheets/d/1BRgc8xKpxZ0PX-gauieMVkV_IOxKSotf0yW8MabGprQ/edit?usp=sharing"",""ร้อยเอ็ด!N691"")"),0)</f>
        <v>0</v>
      </c>
      <c r="J42" s="187">
        <f ca="1">IFERROR(__xludf.DUMMYFUNCTION("IMPORTRANGE(""https://docs.google.com/spreadsheets/d/1BRgc8xKpxZ0PX-gauieMVkV_IOxKSotf0yW8MabGprQ/edit?usp=sharing"",""ร้อยเอ็ด!N692"")"),0)</f>
        <v>0</v>
      </c>
      <c r="K42" s="187">
        <f ca="1">IFERROR(__xludf.DUMMYFUNCTION("IMPORTRANGE(""https://docs.google.com/spreadsheets/d/1BRgc8xKpxZ0PX-gauieMVkV_IOxKSotf0yW8MabGprQ/edit?usp=sharing"",""ร้อยเอ็ด!N693"")"),0)</f>
        <v>0</v>
      </c>
      <c r="L42" s="187">
        <f ca="1">IFERROR(__xludf.DUMMYFUNCTION("IMPORTRANGE(""https://docs.google.com/spreadsheets/d/1BRgc8xKpxZ0PX-gauieMVkV_IOxKSotf0yW8MabGprQ/edit?usp=sharing"",""ร้อยเอ็ด!N694"")"),0)</f>
        <v>0</v>
      </c>
      <c r="M42" s="185">
        <f ca="1">IFERROR(__xludf.DUMMYFUNCTION("IMPORTRANGE(""https://docs.google.com/spreadsheets/d/1BRgc8xKpxZ0PX-gauieMVkV_IOxKSotf0yW8MabGprQ/edit?usp=sharing"",""ร้อยเอ็ด!N697"")"),0)</f>
        <v>0</v>
      </c>
      <c r="N42" s="185">
        <f t="shared" ca="1" si="37"/>
        <v>0</v>
      </c>
      <c r="O42" s="181">
        <f ca="1">IFERROR(__xludf.DUMMYFUNCTION("IMPORTRANGE(""https://docs.google.com/spreadsheets/d/1BRgc8xKpxZ0PX-gauieMVkV_IOxKSotf0yW8MabGprQ/edit?usp=sharing"",""ร้อยเอ็ด!I699"")"),0)</f>
        <v>0</v>
      </c>
      <c r="P42" s="181">
        <f ca="1">IFERROR(__xludf.DUMMYFUNCTION("IMPORTRANGE(""https://docs.google.com/spreadsheets/d/1BRgc8xKpxZ0PX-gauieMVkV_IOxKSotf0yW8MabGprQ/edit?usp=sharing"",""ร้อยเอ็ด!J699"")"),0)</f>
        <v>0</v>
      </c>
      <c r="Q42" s="186">
        <f t="shared" ca="1" si="31"/>
        <v>0</v>
      </c>
      <c r="R42" s="181">
        <f ca="1">IFERROR(__xludf.DUMMYFUNCTION("IMPORTRANGE(""https://docs.google.com/spreadsheets/d/1BRgc8xKpxZ0PX-gauieMVkV_IOxKSotf0yW8MabGprQ/edit?usp=sharing"",""ร้อยเอ็ด!I700"")"),0)</f>
        <v>0</v>
      </c>
      <c r="S42" s="181">
        <f ca="1">IFERROR(__xludf.DUMMYFUNCTION("IMPORTRANGE(""https://docs.google.com/spreadsheets/d/1BRgc8xKpxZ0PX-gauieMVkV_IOxKSotf0yW8MabGprQ/edit?usp=sharing"",""ร้อยเอ็ด!J700"")"),0)</f>
        <v>0</v>
      </c>
      <c r="T42" s="186">
        <f t="shared" ca="1" si="32"/>
        <v>0</v>
      </c>
      <c r="U42" s="181">
        <f ca="1">IFERROR(__xludf.DUMMYFUNCTION("IMPORTRANGE(""https://docs.google.com/spreadsheets/d/1BRgc8xKpxZ0PX-gauieMVkV_IOxKSotf0yW8MabGprQ/edit?usp=sharing"",""ร้อยเอ็ด!I701"")"),14)</f>
        <v>14</v>
      </c>
      <c r="V42" s="181">
        <f ca="1">IFERROR(__xludf.DUMMYFUNCTION("IMPORTRANGE(""https://docs.google.com/spreadsheets/d/1BRgc8xKpxZ0PX-gauieMVkV_IOxKSotf0yW8MabGprQ/edit?usp=sharing"",""ร้อยเอ็ด!J701"")"),0)</f>
        <v>0</v>
      </c>
      <c r="W42" s="186">
        <f t="shared" ca="1" si="33"/>
        <v>0</v>
      </c>
      <c r="X42" s="186">
        <f ca="1">IFERROR(__xludf.DUMMYFUNCTION("IMPORTRANGE(""https://docs.google.com/spreadsheets/d/1BRgc8xKpxZ0PX-gauieMVkV_IOxKSotf0yW8MabGprQ/edit?usp=sharing"",""ร้อยเอ็ด!J702"")"),0)</f>
        <v>0</v>
      </c>
      <c r="Y42" s="186">
        <f ca="1">IFERROR(__xludf.DUMMYFUNCTION("IMPORTRANGE(""https://docs.google.com/spreadsheets/d/1BRgc8xKpxZ0PX-gauieMVkV_IOxKSotf0yW8MabGprQ/edit?usp=sharing"",""ร้อยเอ็ด!J703"")"),0)</f>
        <v>0</v>
      </c>
      <c r="Z42" s="186">
        <f ca="1">IFERROR(__xludf.DUMMYFUNCTION("IMPORTRANGE(""https://docs.google.com/spreadsheets/d/1BRgc8xKpxZ0PX-gauieMVkV_IOxKSotf0yW8MabGprQ/edit?usp=sharing"",""ร้อยเอ็ด!J704"")"),0)</f>
        <v>0</v>
      </c>
      <c r="AA42" s="186">
        <f ca="1">IFERROR(__xludf.DUMMYFUNCTION("IMPORTRANGE(""https://docs.google.com/spreadsheets/d/1BRgc8xKpxZ0PX-gauieMVkV_IOxKSotf0yW8MabGprQ/edit?usp=sharing"",""ร้อยเอ็ด!J705"")"),0)</f>
        <v>0</v>
      </c>
      <c r="AB42" s="186">
        <f ca="1">IFERROR(__xludf.DUMMYFUNCTION("IMPORTRANGE(""https://docs.google.com/spreadsheets/d/1BRgc8xKpxZ0PX-gauieMVkV_IOxKSotf0yW8MabGprQ/edit?usp=sharing"",""ร้อยเอ็ด!J706"")"),0)</f>
        <v>0</v>
      </c>
      <c r="AC42" s="186">
        <f ca="1">IFERROR(__xludf.DUMMYFUNCTION("IMPORTRANGE(""https://docs.google.com/spreadsheets/d/1BRgc8xKpxZ0PX-gauieMVkV_IOxKSotf0yW8MabGprQ/edit?usp=sharing"",""ร้อยเอ็ด!J707"")"),0)</f>
        <v>0</v>
      </c>
      <c r="AD42" s="181">
        <f ca="1">IFERROR(__xludf.DUMMYFUNCTION("IMPORTRANGE(""https://docs.google.com/spreadsheets/d/1BRgc8xKpxZ0PX-gauieMVkV_IOxKSotf0yW8MabGprQ/edit?usp=sharing"",""ร้อยเอ็ด!I708"")"),14)</f>
        <v>14</v>
      </c>
      <c r="AE42" s="181">
        <f ca="1">IFERROR(__xludf.DUMMYFUNCTION("IMPORTRANGE(""https://docs.google.com/spreadsheets/d/1BRgc8xKpxZ0PX-gauieMVkV_IOxKSotf0yW8MabGprQ/edit?usp=sharing"",""ร้อยเอ็ด!J708"")"),0)</f>
        <v>0</v>
      </c>
      <c r="AF42" s="186">
        <f t="shared" ca="1" si="34"/>
        <v>0</v>
      </c>
      <c r="AG42" s="181">
        <f ca="1">IFERROR(__xludf.DUMMYFUNCTION("IMPORTRANGE(""https://docs.google.com/spreadsheets/d/1BRgc8xKpxZ0PX-gauieMVkV_IOxKSotf0yW8MabGprQ/edit?usp=sharing"",""ร้อยเอ็ด!J709"")"),1)</f>
        <v>1</v>
      </c>
      <c r="AH42" s="181">
        <f ca="1">IFERROR(__xludf.DUMMYFUNCTION("IMPORTRANGE(""https://docs.google.com/spreadsheets/d/1BRgc8xKpxZ0PX-gauieMVkV_IOxKSotf0yW8MabGprQ/edit?usp=sharing"",""ร้อยเอ็ด!J710"")"),14)</f>
        <v>14</v>
      </c>
      <c r="AI42" s="181">
        <f ca="1">IFERROR(__xludf.DUMMYFUNCTION("IMPORTRANGE(""https://docs.google.com/spreadsheets/d/1BRgc8xKpxZ0PX-gauieMVkV_IOxKSotf0yW8MabGprQ/edit?usp=sharing"",""ร้อยเอ็ด!J712"")"),0)</f>
        <v>0</v>
      </c>
      <c r="AJ42" s="181">
        <f ca="1">IFERROR(__xludf.DUMMYFUNCTION("IMPORTRANGE(""https://docs.google.com/spreadsheets/d/1BRgc8xKpxZ0PX-gauieMVkV_IOxKSotf0yW8MabGprQ/edit?usp=sharing"",""ร้อยเอ็ด!J713"")"),0)</f>
        <v>0</v>
      </c>
      <c r="AK42" s="181">
        <f ca="1">IFERROR(__xludf.DUMMYFUNCTION("IMPORTRANGE(""https://docs.google.com/spreadsheets/d/1BRgc8xKpxZ0PX-gauieMVkV_IOxKSotf0yW8MabGprQ/edit?usp=sharing"",""ร้อยเอ็ด!J714"")"),0)</f>
        <v>0</v>
      </c>
      <c r="AL42" s="181">
        <f ca="1">IFERROR(__xludf.DUMMYFUNCTION("IMPORTRANGE(""https://docs.google.com/spreadsheets/d/1BRgc8xKpxZ0PX-gauieMVkV_IOxKSotf0yW8MabGprQ/edit?usp=sharing"",""ร้อยเอ็ด!J715"")"),0)</f>
        <v>0</v>
      </c>
      <c r="AM42" s="181">
        <f ca="1">IFERROR(__xludf.DUMMYFUNCTION("IMPORTRANGE(""https://docs.google.com/spreadsheets/d/1BRgc8xKpxZ0PX-gauieMVkV_IOxKSotf0yW8MabGprQ/edit?usp=sharing"",""ร้อยเอ็ด!J716"")"),0)</f>
        <v>0</v>
      </c>
      <c r="AN42" s="181">
        <f ca="1">IFERROR(__xludf.DUMMYFUNCTION("IMPORTRANGE(""https://docs.google.com/spreadsheets/d/1BRgc8xKpxZ0PX-gauieMVkV_IOxKSotf0yW8MabGprQ/edit?usp=sharing"",""ร้อยเอ็ด!J717"")"),0)</f>
        <v>0</v>
      </c>
      <c r="AO42" s="181">
        <f ca="1">IFERROR(__xludf.DUMMYFUNCTION("IMPORTRANGE(""https://docs.google.com/spreadsheets/d/1BRgc8xKpxZ0PX-gauieMVkV_IOxKSotf0yW8MabGprQ/edit?usp=sharing"",""ร้อยเอ็ด!I720"")"),14)</f>
        <v>14</v>
      </c>
      <c r="AP42" s="181">
        <f ca="1">IFERROR(__xludf.DUMMYFUNCTION("IMPORTRANGE(""https://docs.google.com/spreadsheets/d/1BRgc8xKpxZ0PX-gauieMVkV_IOxKSotf0yW8MabGprQ/edit?usp=sharing"",""ร้อยเอ็ด!J718"")"),0)</f>
        <v>0</v>
      </c>
      <c r="AQ42" s="181">
        <f ca="1">IFERROR(__xludf.DUMMYFUNCTION("IMPORTRANGE(""https://docs.google.com/spreadsheets/d/1BRgc8xKpxZ0PX-gauieMVkV_IOxKSotf0yW8MabGprQ/edit?usp=sharing"",""ร้อยเอ็ด!J719"")"),0)</f>
        <v>0</v>
      </c>
      <c r="AR42" s="181">
        <f ca="1">IFERROR(__xludf.DUMMYFUNCTION("IMPORTRANGE(""https://docs.google.com/spreadsheets/d/1BRgc8xKpxZ0PX-gauieMVkV_IOxKSotf0yW8MabGprQ/edit?usp=sharing"",""ร้อยเอ็ด!J720"")"),0)</f>
        <v>0</v>
      </c>
      <c r="AS42" s="186">
        <f t="shared" ca="1" si="14"/>
        <v>0</v>
      </c>
      <c r="AT42" s="181">
        <f ca="1">IFERROR(__xludf.DUMMYFUNCTION("IMPORTRANGE(""https://docs.google.com/spreadsheets/d/1BRgc8xKpxZ0PX-gauieMVkV_IOxKSotf0yW8MabGprQ/edit?usp=sharing"",""ร้อยเอ็ด!I721"")"),0)</f>
        <v>0</v>
      </c>
      <c r="AU42" s="181">
        <f ca="1">IFERROR(__xludf.DUMMYFUNCTION("IMPORTRANGE(""https://docs.google.com/spreadsheets/d/1BRgc8xKpxZ0PX-gauieMVkV_IOxKSotf0yW8MabGprQ/edit?usp=sharing"",""ร้อยเอ็ด!I722"")"),0)</f>
        <v>0</v>
      </c>
      <c r="AV42" s="181">
        <f ca="1">IFERROR(__xludf.DUMMYFUNCTION("IMPORTRANGE(""https://docs.google.com/spreadsheets/d/1BRgc8xKpxZ0PX-gauieMVkV_IOxKSotf0yW8MabGprQ/edit?usp=sharing"",""ร้อยเอ็ด!J721"")"),0)</f>
        <v>0</v>
      </c>
      <c r="AW42" s="186">
        <f t="shared" ca="1" si="16"/>
        <v>0</v>
      </c>
      <c r="AX42" s="181">
        <f ca="1">IFERROR(__xludf.DUMMYFUNCTION("IMPORTRANGE(""https://docs.google.com/spreadsheets/d/1BRgc8xKpxZ0PX-gauieMVkV_IOxKSotf0yW8MabGprQ/edit?usp=sharing"",""ร้อยเอ็ด!J722"")"),0)</f>
        <v>0</v>
      </c>
      <c r="AY42" s="186">
        <f t="shared" ca="1" si="17"/>
        <v>0</v>
      </c>
      <c r="AZ42" s="181">
        <f ca="1">IFERROR(__xludf.DUMMYFUNCTION("IMPORTRANGE(""https://docs.google.com/spreadsheets/d/1BRgc8xKpxZ0PX-gauieMVkV_IOxKSotf0yW8MabGprQ/edit?usp=sharing"",""ร้อยเอ็ด!I723"")"),0)</f>
        <v>0</v>
      </c>
      <c r="BA42" s="181">
        <f ca="1">IFERROR(__xludf.DUMMYFUNCTION("IMPORTRANGE(""https://docs.google.com/spreadsheets/d/1BRgc8xKpxZ0PX-gauieMVkV_IOxKSotf0yW8MabGprQ/edit?usp=sharing"",""ร้อยเอ็ด!I725"")"),0)</f>
        <v>0</v>
      </c>
      <c r="BB42" s="181">
        <f ca="1">IFERROR(__xludf.DUMMYFUNCTION("IMPORTRANGE(""https://docs.google.com/spreadsheets/d/1BRgc8xKpxZ0PX-gauieMVkV_IOxKSotf0yW8MabGprQ/edit?usp=sharing"",""ร้อยเอ็ด!J723"")"),0)</f>
        <v>0</v>
      </c>
      <c r="BC42" s="181">
        <f ca="1">IFERROR(__xludf.DUMMYFUNCTION("IMPORTRANGE(""https://docs.google.com/spreadsheets/d/1BRgc8xKpxZ0PX-gauieMVkV_IOxKSotf0yW8MabGprQ/edit?usp=sharing"",""ร้อยเอ็ด!J724"")"),0)</f>
        <v>0</v>
      </c>
      <c r="BD42" s="181">
        <f ca="1">IFERROR(__xludf.DUMMYFUNCTION("IMPORTRANGE(""https://docs.google.com/spreadsheets/d/1BRgc8xKpxZ0PX-gauieMVkV_IOxKSotf0yW8MabGprQ/edit?usp=sharing"",""ร้อยเอ็ด!J725"")"),0)</f>
        <v>0</v>
      </c>
      <c r="BE42" s="181">
        <f ca="1">IFERROR(__xludf.DUMMYFUNCTION("IMPORTRANGE(""https://docs.google.com/spreadsheets/d/1BRgc8xKpxZ0PX-gauieMVkV_IOxKSotf0yW8MabGprQ/edit?usp=sharing"",""ร้อยเอ็ด!I726"")"),0)</f>
        <v>0</v>
      </c>
      <c r="BF42" s="181">
        <f ca="1">IFERROR(__xludf.DUMMYFUNCTION("IMPORTRANGE(""https://docs.google.com/spreadsheets/d/1BRgc8xKpxZ0PX-gauieMVkV_IOxKSotf0yW8MabGprQ/edit?usp=sharing"",""ร้อยเอ็ด!I728"")"),0)</f>
        <v>0</v>
      </c>
      <c r="BG42" s="181">
        <f ca="1">IFERROR(__xludf.DUMMYFUNCTION("IMPORTRANGE(""https://docs.google.com/spreadsheets/d/1BRgc8xKpxZ0PX-gauieMVkV_IOxKSotf0yW8MabGprQ/edit?usp=sharing"",""ร้อยเอ็ด!J726"")"),0)</f>
        <v>0</v>
      </c>
      <c r="BH42" s="181">
        <f ca="1">IFERROR(__xludf.DUMMYFUNCTION("IMPORTRANGE(""https://docs.google.com/spreadsheets/d/1BRgc8xKpxZ0PX-gauieMVkV_IOxKSotf0yW8MabGprQ/edit?usp=sharing"",""ร้อยเอ็ด!J727"")"),0)</f>
        <v>0</v>
      </c>
      <c r="BI42" s="181">
        <f ca="1">IFERROR(__xludf.DUMMYFUNCTION("IMPORTRANGE(""https://docs.google.com/spreadsheets/d/1BRgc8xKpxZ0PX-gauieMVkV_IOxKSotf0yW8MabGprQ/edit?usp=sharing"",""ร้อยเอ็ด!J728"")"),0)</f>
        <v>0</v>
      </c>
      <c r="BJ42" s="181">
        <f ca="1">IFERROR(__xludf.DUMMYFUNCTION("IMPORTRANGE(""https://docs.google.com/spreadsheets/d/1BRgc8xKpxZ0PX-gauieMVkV_IOxKSotf0yW8MabGprQ/edit?usp=sharing"",""ร้อยเอ็ด!I729"")"),0)</f>
        <v>0</v>
      </c>
      <c r="BK42" s="181">
        <f ca="1">IFERROR(__xludf.DUMMYFUNCTION("IMPORTRANGE(""https://docs.google.com/spreadsheets/d/1BRgc8xKpxZ0PX-gauieMVkV_IOxKSotf0yW8MabGprQ/edit?usp=sharing"",""ร้อยเอ็ด!J729"")"),0)</f>
        <v>0</v>
      </c>
      <c r="BL42" s="186">
        <f t="shared" ca="1" si="19"/>
        <v>0</v>
      </c>
      <c r="BM42" s="181">
        <f ca="1">IFERROR(__xludf.DUMMYFUNCTION("IMPORTRANGE(""https://docs.google.com/spreadsheets/d/1BRgc8xKpxZ0PX-gauieMVkV_IOxKSotf0yW8MabGprQ/edit?usp=sharing"",""ร้อยเอ็ด!J730"")"),0)</f>
        <v>0</v>
      </c>
      <c r="BN42" s="181">
        <f ca="1">IFERROR(__xludf.DUMMYFUNCTION("IMPORTRANGE(""https://docs.google.com/spreadsheets/d/1BRgc8xKpxZ0PX-gauieMVkV_IOxKSotf0yW8MabGprQ/edit?usp=sharing"",""ร้อยเอ็ด!J731"")"),0)</f>
        <v>0</v>
      </c>
      <c r="BO42" s="181">
        <f ca="1">IFERROR(__xludf.DUMMYFUNCTION("IMPORTRANGE(""https://docs.google.com/spreadsheets/d/1BRgc8xKpxZ0PX-gauieMVkV_IOxKSotf0yW8MabGprQ/edit?usp=sharing"",""ร้อยเอ็ด!J732"")"),0)</f>
        <v>0</v>
      </c>
      <c r="BP42" s="181">
        <f ca="1">IFERROR(__xludf.DUMMYFUNCTION("IMPORTRANGE(""https://docs.google.com/spreadsheets/d/1BRgc8xKpxZ0PX-gauieMVkV_IOxKSotf0yW8MabGprQ/edit?usp=sharing"",""ร้อยเอ็ด!J733"")"),0)</f>
        <v>0</v>
      </c>
      <c r="BQ42" s="181">
        <f ca="1">IFERROR(__xludf.DUMMYFUNCTION("IMPORTRANGE(""https://docs.google.com/spreadsheets/d/1BRgc8xKpxZ0PX-gauieMVkV_IOxKSotf0yW8MabGprQ/edit?usp=sharing"",""ร้อยเอ็ด!J734"")"),0)</f>
        <v>0</v>
      </c>
      <c r="BR42" s="181">
        <f ca="1">IFERROR(__xludf.DUMMYFUNCTION("IMPORTRANGE(""https://docs.google.com/spreadsheets/d/1BRgc8xKpxZ0PX-gauieMVkV_IOxKSotf0yW8MabGprQ/edit?usp=sharing"",""ร้อยเอ็ด!J735"")"),0)</f>
        <v>0</v>
      </c>
    </row>
    <row r="43" spans="1:70" ht="21" customHeight="1" x14ac:dyDescent="0.3">
      <c r="A43" s="178">
        <v>12</v>
      </c>
      <c r="B43" s="179" t="s">
        <v>60</v>
      </c>
      <c r="C43" s="180">
        <f t="shared" ca="1" si="58"/>
        <v>1480</v>
      </c>
      <c r="D43" s="181">
        <f ca="1">IFERROR(__xludf.DUMMYFUNCTION("IMPORTRANGE(""https://docs.google.com/spreadsheets/d/1IdolZc-dfdgMwAm_KZxYJl1sUOcIgnbGQzbWOlddedo/edit?usp=sharing"",""เลย!L690"")"),1480)</f>
        <v>1480</v>
      </c>
      <c r="E43" s="187">
        <f ca="1">IFERROR(__xludf.DUMMYFUNCTION("IMPORTRANGE(""https://docs.google.com/spreadsheets/d/1IdolZc-dfdgMwAm_KZxYJl1sUOcIgnbGQzbWOlddedo/edit?usp=sharing"",""เลย!L697"")"),0)</f>
        <v>0</v>
      </c>
      <c r="F43" s="182">
        <f t="shared" ca="1" si="1"/>
        <v>0</v>
      </c>
      <c r="G43" s="183">
        <f t="shared" ca="1" si="2"/>
        <v>0</v>
      </c>
      <c r="H43" s="184">
        <f t="shared" ca="1" si="59"/>
        <v>0</v>
      </c>
      <c r="I43" s="187">
        <f ca="1">IFERROR(__xludf.DUMMYFUNCTION("IMPORTRANGE(""https://docs.google.com/spreadsheets/d/1IdolZc-dfdgMwAm_KZxYJl1sUOcIgnbGQzbWOlddedo/edit?usp=sharing"",""เลย!N691"")"),0)</f>
        <v>0</v>
      </c>
      <c r="J43" s="187">
        <f ca="1">IFERROR(__xludf.DUMMYFUNCTION("IMPORTRANGE(""https://docs.google.com/spreadsheets/d/1IdolZc-dfdgMwAm_KZxYJl1sUOcIgnbGQzbWOlddedo/edit?usp=sharing"",""เลย!N692"")"),0)</f>
        <v>0</v>
      </c>
      <c r="K43" s="187">
        <f ca="1">IFERROR(__xludf.DUMMYFUNCTION("IMPORTRANGE(""https://docs.google.com/spreadsheets/d/1IdolZc-dfdgMwAm_KZxYJl1sUOcIgnbGQzbWOlddedo/edit?usp=sharing"",""เลย!N693"")"),0)</f>
        <v>0</v>
      </c>
      <c r="L43" s="187">
        <f ca="1">IFERROR(__xludf.DUMMYFUNCTION("IMPORTRANGE(""https://docs.google.com/spreadsheets/d/1IdolZc-dfdgMwAm_KZxYJl1sUOcIgnbGQzbWOlddedo/edit?usp=sharing"",""เลย!N694"")"),0)</f>
        <v>0</v>
      </c>
      <c r="M43" s="185">
        <f ca="1">IFERROR(__xludf.DUMMYFUNCTION("IMPORTRANGE(""https://docs.google.com/spreadsheets/d/1IdolZc-dfdgMwAm_KZxYJl1sUOcIgnbGQzbWOlddedo/edit?usp=sharing"",""เลย!N697"")"),0)</f>
        <v>0</v>
      </c>
      <c r="N43" s="185">
        <f t="shared" ca="1" si="37"/>
        <v>0</v>
      </c>
      <c r="O43" s="181">
        <f ca="1">IFERROR(__xludf.DUMMYFUNCTION("IMPORTRANGE(""https://docs.google.com/spreadsheets/d/1IdolZc-dfdgMwAm_KZxYJl1sUOcIgnbGQzbWOlddedo/edit?usp=sharing"",""เลย!I699"")"),0)</f>
        <v>0</v>
      </c>
      <c r="P43" s="181">
        <f ca="1">IFERROR(__xludf.DUMMYFUNCTION("IMPORTRANGE(""https://docs.google.com/spreadsheets/d/1IdolZc-dfdgMwAm_KZxYJl1sUOcIgnbGQzbWOlddedo/edit?usp=sharing"",""เลย!J699"")"),0)</f>
        <v>0</v>
      </c>
      <c r="Q43" s="186">
        <f t="shared" ca="1" si="31"/>
        <v>0</v>
      </c>
      <c r="R43" s="181">
        <f ca="1">IFERROR(__xludf.DUMMYFUNCTION("IMPORTRANGE(""https://docs.google.com/spreadsheets/d/1IdolZc-dfdgMwAm_KZxYJl1sUOcIgnbGQzbWOlddedo/edit?usp=sharing"",""เลย!I700"")"),0)</f>
        <v>0</v>
      </c>
      <c r="S43" s="181">
        <f ca="1">IFERROR(__xludf.DUMMYFUNCTION("IMPORTRANGE(""https://docs.google.com/spreadsheets/d/1IdolZc-dfdgMwAm_KZxYJl1sUOcIgnbGQzbWOlddedo/edit?usp=sharing"",""เลย!J700"")"),0)</f>
        <v>0</v>
      </c>
      <c r="T43" s="186">
        <f t="shared" ca="1" si="32"/>
        <v>0</v>
      </c>
      <c r="U43" s="181">
        <f ca="1">IFERROR(__xludf.DUMMYFUNCTION("IMPORTRANGE(""https://docs.google.com/spreadsheets/d/1IdolZc-dfdgMwAm_KZxYJl1sUOcIgnbGQzbWOlddedo/edit?usp=sharing"",""เลย!I701"")"),0)</f>
        <v>0</v>
      </c>
      <c r="V43" s="181">
        <f ca="1">IFERROR(__xludf.DUMMYFUNCTION("IMPORTRANGE(""https://docs.google.com/spreadsheets/d/1IdolZc-dfdgMwAm_KZxYJl1sUOcIgnbGQzbWOlddedo/edit?usp=sharing"",""เลย!J701"")"),0)</f>
        <v>0</v>
      </c>
      <c r="W43" s="186">
        <f t="shared" ca="1" si="33"/>
        <v>0</v>
      </c>
      <c r="X43" s="186">
        <f ca="1">IFERROR(__xludf.DUMMYFUNCTION("IMPORTRANGE(""https://docs.google.com/spreadsheets/d/1IdolZc-dfdgMwAm_KZxYJl1sUOcIgnbGQzbWOlddedo/edit?usp=sharing"",""เลย!J702"")"),0)</f>
        <v>0</v>
      </c>
      <c r="Y43" s="186">
        <f ca="1">IFERROR(__xludf.DUMMYFUNCTION("IMPORTRANGE(""https://docs.google.com/spreadsheets/d/1IdolZc-dfdgMwAm_KZxYJl1sUOcIgnbGQzbWOlddedo/edit?usp=sharing"",""เลย!J703"")"),0)</f>
        <v>0</v>
      </c>
      <c r="Z43" s="186">
        <f ca="1">IFERROR(__xludf.DUMMYFUNCTION("IMPORTRANGE(""https://docs.google.com/spreadsheets/d/1IdolZc-dfdgMwAm_KZxYJl1sUOcIgnbGQzbWOlddedo/edit?usp=sharing"",""เลย!J704"")"),0)</f>
        <v>0</v>
      </c>
      <c r="AA43" s="186">
        <f ca="1">IFERROR(__xludf.DUMMYFUNCTION("IMPORTRANGE(""https://docs.google.com/spreadsheets/d/1IdolZc-dfdgMwAm_KZxYJl1sUOcIgnbGQzbWOlddedo/edit?usp=sharing"",""เลย!J705"")"),0)</f>
        <v>0</v>
      </c>
      <c r="AB43" s="186">
        <f ca="1">IFERROR(__xludf.DUMMYFUNCTION("IMPORTRANGE(""https://docs.google.com/spreadsheets/d/1IdolZc-dfdgMwAm_KZxYJl1sUOcIgnbGQzbWOlddedo/edit?usp=sharing"",""เลย!J706"")"),0)</f>
        <v>0</v>
      </c>
      <c r="AC43" s="186">
        <f ca="1">IFERROR(__xludf.DUMMYFUNCTION("IMPORTRANGE(""https://docs.google.com/spreadsheets/d/1IdolZc-dfdgMwAm_KZxYJl1sUOcIgnbGQzbWOlddedo/edit?usp=sharing"",""เลย!J707"")"),0)</f>
        <v>0</v>
      </c>
      <c r="AD43" s="181">
        <f ca="1">IFERROR(__xludf.DUMMYFUNCTION("IMPORTRANGE(""https://docs.google.com/spreadsheets/d/1IdolZc-dfdgMwAm_KZxYJl1sUOcIgnbGQzbWOlddedo/edit?usp=sharing"",""เลย!I708"")"),12)</f>
        <v>12</v>
      </c>
      <c r="AE43" s="181">
        <f ca="1">IFERROR(__xludf.DUMMYFUNCTION("IMPORTRANGE(""https://docs.google.com/spreadsheets/d/1IdolZc-dfdgMwAm_KZxYJl1sUOcIgnbGQzbWOlddedo/edit?usp=sharing"",""เลย!J708"")"),0)</f>
        <v>0</v>
      </c>
      <c r="AF43" s="186">
        <f t="shared" ca="1" si="34"/>
        <v>0</v>
      </c>
      <c r="AG43" s="181">
        <f ca="1">IFERROR(__xludf.DUMMYFUNCTION("IMPORTRANGE(""https://docs.google.com/spreadsheets/d/1IdolZc-dfdgMwAm_KZxYJl1sUOcIgnbGQzbWOlddedo/edit?usp=sharing"",""เลย!J709"")"),0)</f>
        <v>0</v>
      </c>
      <c r="AH43" s="181">
        <f ca="1">IFERROR(__xludf.DUMMYFUNCTION("IMPORTRANGE(""https://docs.google.com/spreadsheets/d/1IdolZc-dfdgMwAm_KZxYJl1sUOcIgnbGQzbWOlddedo/edit?usp=sharing"",""เลย!J710"")"),0)</f>
        <v>0</v>
      </c>
      <c r="AI43" s="181">
        <f ca="1">IFERROR(__xludf.DUMMYFUNCTION("IMPORTRANGE(""https://docs.google.com/spreadsheets/d/1IdolZc-dfdgMwAm_KZxYJl1sUOcIgnbGQzbWOlddedo/edit?usp=sharing"",""เลย!J712"")"),0)</f>
        <v>0</v>
      </c>
      <c r="AJ43" s="181">
        <f ca="1">IFERROR(__xludf.DUMMYFUNCTION("IMPORTRANGE(""https://docs.google.com/spreadsheets/d/1IdolZc-dfdgMwAm_KZxYJl1sUOcIgnbGQzbWOlddedo/edit?usp=sharing"",""เลย!J713"")"),0)</f>
        <v>0</v>
      </c>
      <c r="AK43" s="181">
        <f ca="1">IFERROR(__xludf.DUMMYFUNCTION("IMPORTRANGE(""https://docs.google.com/spreadsheets/d/1IdolZc-dfdgMwAm_KZxYJl1sUOcIgnbGQzbWOlddedo/edit?usp=sharing"",""เลย!J714"")"),0)</f>
        <v>0</v>
      </c>
      <c r="AL43" s="181">
        <f ca="1">IFERROR(__xludf.DUMMYFUNCTION("IMPORTRANGE(""https://docs.google.com/spreadsheets/d/1IdolZc-dfdgMwAm_KZxYJl1sUOcIgnbGQzbWOlddedo/edit?usp=sharing"",""เลย!J715"")"),0)</f>
        <v>0</v>
      </c>
      <c r="AM43" s="181">
        <f ca="1">IFERROR(__xludf.DUMMYFUNCTION("IMPORTRANGE(""https://docs.google.com/spreadsheets/d/1IdolZc-dfdgMwAm_KZxYJl1sUOcIgnbGQzbWOlddedo/edit?usp=sharing"",""เลย!J716"")"),0)</f>
        <v>0</v>
      </c>
      <c r="AN43" s="181">
        <f ca="1">IFERROR(__xludf.DUMMYFUNCTION("IMPORTRANGE(""https://docs.google.com/spreadsheets/d/1IdolZc-dfdgMwAm_KZxYJl1sUOcIgnbGQzbWOlddedo/edit?usp=sharing"",""เลย!J717"")"),0)</f>
        <v>0</v>
      </c>
      <c r="AO43" s="181">
        <f ca="1">IFERROR(__xludf.DUMMYFUNCTION("IMPORTRANGE(""https://docs.google.com/spreadsheets/d/1IdolZc-dfdgMwAm_KZxYJl1sUOcIgnbGQzbWOlddedo/edit?usp=sharing"",""เลย!I720"")"),0)</f>
        <v>0</v>
      </c>
      <c r="AP43" s="181">
        <f ca="1">IFERROR(__xludf.DUMMYFUNCTION("IMPORTRANGE(""https://docs.google.com/spreadsheets/d/1IdolZc-dfdgMwAm_KZxYJl1sUOcIgnbGQzbWOlddedo/edit?usp=sharing"",""เลย!J718"")"),0)</f>
        <v>0</v>
      </c>
      <c r="AQ43" s="181">
        <f ca="1">IFERROR(__xludf.DUMMYFUNCTION("IMPORTRANGE(""https://docs.google.com/spreadsheets/d/1IdolZc-dfdgMwAm_KZxYJl1sUOcIgnbGQzbWOlddedo/edit?usp=sharing"",""เลย!J719"")"),0)</f>
        <v>0</v>
      </c>
      <c r="AR43" s="181">
        <f ca="1">IFERROR(__xludf.DUMMYFUNCTION("IMPORTRANGE(""https://docs.google.com/spreadsheets/d/1IdolZc-dfdgMwAm_KZxYJl1sUOcIgnbGQzbWOlddedo/edit?usp=sharing"",""เลย!J720"")"),0)</f>
        <v>0</v>
      </c>
      <c r="AS43" s="186">
        <f t="shared" ca="1" si="14"/>
        <v>0</v>
      </c>
      <c r="AT43" s="181">
        <f ca="1">IFERROR(__xludf.DUMMYFUNCTION("IMPORTRANGE(""https://docs.google.com/spreadsheets/d/1IdolZc-dfdgMwAm_KZxYJl1sUOcIgnbGQzbWOlddedo/edit?usp=sharing"",""เลย!I721"")"),2)</f>
        <v>2</v>
      </c>
      <c r="AU43" s="181">
        <f ca="1">IFERROR(__xludf.DUMMYFUNCTION("IMPORTRANGE(""https://docs.google.com/spreadsheets/d/1IdolZc-dfdgMwAm_KZxYJl1sUOcIgnbGQzbWOlddedo/edit?usp=sharing"",""เลย!I722"")"),12)</f>
        <v>12</v>
      </c>
      <c r="AV43" s="181">
        <f ca="1">IFERROR(__xludf.DUMMYFUNCTION("IMPORTRANGE(""https://docs.google.com/spreadsheets/d/1IdolZc-dfdgMwAm_KZxYJl1sUOcIgnbGQzbWOlddedo/edit?usp=sharing"",""เลย!J721"")"),0)</f>
        <v>0</v>
      </c>
      <c r="AW43" s="186">
        <f t="shared" ca="1" si="16"/>
        <v>0</v>
      </c>
      <c r="AX43" s="181">
        <f ca="1">IFERROR(__xludf.DUMMYFUNCTION("IMPORTRANGE(""https://docs.google.com/spreadsheets/d/1IdolZc-dfdgMwAm_KZxYJl1sUOcIgnbGQzbWOlddedo/edit?usp=sharing"",""เลย!J722"")"),0)</f>
        <v>0</v>
      </c>
      <c r="AY43" s="186">
        <f t="shared" ca="1" si="17"/>
        <v>0</v>
      </c>
      <c r="AZ43" s="181">
        <f ca="1">IFERROR(__xludf.DUMMYFUNCTION("IMPORTRANGE(""https://docs.google.com/spreadsheets/d/1IdolZc-dfdgMwAm_KZxYJl1sUOcIgnbGQzbWOlddedo/edit?usp=sharing"",""เลย!I723"")"),2)</f>
        <v>2</v>
      </c>
      <c r="BA43" s="181">
        <f ca="1">IFERROR(__xludf.DUMMYFUNCTION("IMPORTRANGE(""https://docs.google.com/spreadsheets/d/1IdolZc-dfdgMwAm_KZxYJl1sUOcIgnbGQzbWOlddedo/edit?usp=sharing"",""เลย!I725"")"),12)</f>
        <v>12</v>
      </c>
      <c r="BB43" s="181">
        <f ca="1">IFERROR(__xludf.DUMMYFUNCTION("IMPORTRANGE(""https://docs.google.com/spreadsheets/d/1IdolZc-dfdgMwAm_KZxYJl1sUOcIgnbGQzbWOlddedo/edit?usp=sharing"",""เลย!J723"")"),0)</f>
        <v>0</v>
      </c>
      <c r="BC43" s="181">
        <f ca="1">IFERROR(__xludf.DUMMYFUNCTION("IMPORTRANGE(""https://docs.google.com/spreadsheets/d/1IdolZc-dfdgMwAm_KZxYJl1sUOcIgnbGQzbWOlddedo/edit?usp=sharing"",""เลย!J724"")"),0)</f>
        <v>0</v>
      </c>
      <c r="BD43" s="181">
        <f ca="1">IFERROR(__xludf.DUMMYFUNCTION("IMPORTRANGE(""https://docs.google.com/spreadsheets/d/1IdolZc-dfdgMwAm_KZxYJl1sUOcIgnbGQzbWOlddedo/edit?usp=sharing"",""เลย!J725"")"),0)</f>
        <v>0</v>
      </c>
      <c r="BE43" s="181">
        <f ca="1">IFERROR(__xludf.DUMMYFUNCTION("IMPORTRANGE(""https://docs.google.com/spreadsheets/d/1IdolZc-dfdgMwAm_KZxYJl1sUOcIgnbGQzbWOlddedo/edit?usp=sharing"",""เลย!I726"")"),0)</f>
        <v>0</v>
      </c>
      <c r="BF43" s="181">
        <f ca="1">IFERROR(__xludf.DUMMYFUNCTION("IMPORTRANGE(""https://docs.google.com/spreadsheets/d/1IdolZc-dfdgMwAm_KZxYJl1sUOcIgnbGQzbWOlddedo/edit?usp=sharing"",""เลย!I728"")"),0)</f>
        <v>0</v>
      </c>
      <c r="BG43" s="181">
        <f ca="1">IFERROR(__xludf.DUMMYFUNCTION("IMPORTRANGE(""https://docs.google.com/spreadsheets/d/1IdolZc-dfdgMwAm_KZxYJl1sUOcIgnbGQzbWOlddedo/edit?usp=sharing"",""เลย!J726"")"),0)</f>
        <v>0</v>
      </c>
      <c r="BH43" s="181">
        <f ca="1">IFERROR(__xludf.DUMMYFUNCTION("IMPORTRANGE(""https://docs.google.com/spreadsheets/d/1IdolZc-dfdgMwAm_KZxYJl1sUOcIgnbGQzbWOlddedo/edit?usp=sharing"",""เลย!J727"")"),0)</f>
        <v>0</v>
      </c>
      <c r="BI43" s="181">
        <f ca="1">IFERROR(__xludf.DUMMYFUNCTION("IMPORTRANGE(""https://docs.google.com/spreadsheets/d/1IdolZc-dfdgMwAm_KZxYJl1sUOcIgnbGQzbWOlddedo/edit?usp=sharing"",""เลย!J728"")"),0)</f>
        <v>0</v>
      </c>
      <c r="BJ43" s="181">
        <f ca="1">IFERROR(__xludf.DUMMYFUNCTION("IMPORTRANGE(""https://docs.google.com/spreadsheets/d/1IdolZc-dfdgMwAm_KZxYJl1sUOcIgnbGQzbWOlddedo/edit?usp=sharing"",""เลย!I729"")"),0)</f>
        <v>0</v>
      </c>
      <c r="BK43" s="181">
        <f ca="1">IFERROR(__xludf.DUMMYFUNCTION("IMPORTRANGE(""https://docs.google.com/spreadsheets/d/1IdolZc-dfdgMwAm_KZxYJl1sUOcIgnbGQzbWOlddedo/edit?usp=sharing"",""เลย!J729"")"),0)</f>
        <v>0</v>
      </c>
      <c r="BL43" s="186">
        <f t="shared" ca="1" si="19"/>
        <v>0</v>
      </c>
      <c r="BM43" s="181">
        <f ca="1">IFERROR(__xludf.DUMMYFUNCTION("IMPORTRANGE(""https://docs.google.com/spreadsheets/d/1IdolZc-dfdgMwAm_KZxYJl1sUOcIgnbGQzbWOlddedo/edit?usp=sharing"",""เลย!J730"")"),0)</f>
        <v>0</v>
      </c>
      <c r="BN43" s="181">
        <f ca="1">IFERROR(__xludf.DUMMYFUNCTION("IMPORTRANGE(""https://docs.google.com/spreadsheets/d/1IdolZc-dfdgMwAm_KZxYJl1sUOcIgnbGQzbWOlddedo/edit?usp=sharing"",""เลย!J731"")"),0)</f>
        <v>0</v>
      </c>
      <c r="BO43" s="181">
        <f ca="1">IFERROR(__xludf.DUMMYFUNCTION("IMPORTRANGE(""https://docs.google.com/spreadsheets/d/1IdolZc-dfdgMwAm_KZxYJl1sUOcIgnbGQzbWOlddedo/edit?usp=sharing"",""เลย!J732"")"),0)</f>
        <v>0</v>
      </c>
      <c r="BP43" s="181">
        <f ca="1">IFERROR(__xludf.DUMMYFUNCTION("IMPORTRANGE(""https://docs.google.com/spreadsheets/d/1IdolZc-dfdgMwAm_KZxYJl1sUOcIgnbGQzbWOlddedo/edit?usp=sharing"",""เลย!J733"")"),0)</f>
        <v>0</v>
      </c>
      <c r="BQ43" s="181">
        <f ca="1">IFERROR(__xludf.DUMMYFUNCTION("IMPORTRANGE(""https://docs.google.com/spreadsheets/d/1IdolZc-dfdgMwAm_KZxYJl1sUOcIgnbGQzbWOlddedo/edit?usp=sharing"",""เลย!J734"")"),0)</f>
        <v>0</v>
      </c>
      <c r="BR43" s="181">
        <f ca="1">IFERROR(__xludf.DUMMYFUNCTION("IMPORTRANGE(""https://docs.google.com/spreadsheets/d/1IdolZc-dfdgMwAm_KZxYJl1sUOcIgnbGQzbWOlddedo/edit?usp=sharing"",""เลย!J735"")"),0)</f>
        <v>0</v>
      </c>
    </row>
    <row r="44" spans="1:70" ht="21" customHeight="1" x14ac:dyDescent="0.3">
      <c r="A44" s="178">
        <v>13</v>
      </c>
      <c r="B44" s="179" t="s">
        <v>61</v>
      </c>
      <c r="C44" s="180">
        <f t="shared" ca="1" si="58"/>
        <v>0</v>
      </c>
      <c r="D44" s="181">
        <f ca="1">IFERROR(__xludf.DUMMYFUNCTION("IMPORTRANGE(""https://docs.google.com/spreadsheets/d/1tZ0nmtGuIRCaGAMXHlQU8EpR9LOAJvyKfc4f7EFmE34/edit?usp=sharing"",""ศรีสะเกษ!L690"")"),0)</f>
        <v>0</v>
      </c>
      <c r="E44" s="187">
        <f ca="1">IFERROR(__xludf.DUMMYFUNCTION("IMPORTRANGE(""https://docs.google.com/spreadsheets/d/1tZ0nmtGuIRCaGAMXHlQU8EpR9LOAJvyKfc4f7EFmE34/edit?usp=sharing"",""ศรีสะเกษ!L697"")"),0)</f>
        <v>0</v>
      </c>
      <c r="F44" s="182">
        <f t="shared" ca="1" si="1"/>
        <v>0</v>
      </c>
      <c r="G44" s="183">
        <f t="shared" ca="1" si="2"/>
        <v>0</v>
      </c>
      <c r="H44" s="184">
        <f t="shared" ca="1" si="59"/>
        <v>0</v>
      </c>
      <c r="I44" s="187">
        <f ca="1">IFERROR(__xludf.DUMMYFUNCTION("IMPORTRANGE(""https://docs.google.com/spreadsheets/d/1tZ0nmtGuIRCaGAMXHlQU8EpR9LOAJvyKfc4f7EFmE34/edit?usp=sharing"",""ศรีสะเกษ!N691"")"),0)</f>
        <v>0</v>
      </c>
      <c r="J44" s="187">
        <f ca="1">IFERROR(__xludf.DUMMYFUNCTION("IMPORTRANGE(""https://docs.google.com/spreadsheets/d/1tZ0nmtGuIRCaGAMXHlQU8EpR9LOAJvyKfc4f7EFmE34/edit?usp=sharing"",""ศรีสะเกษ!N692"")"),0)</f>
        <v>0</v>
      </c>
      <c r="K44" s="187">
        <f ca="1">IFERROR(__xludf.DUMMYFUNCTION("IMPORTRANGE(""https://docs.google.com/spreadsheets/d/1tZ0nmtGuIRCaGAMXHlQU8EpR9LOAJvyKfc4f7EFmE34/edit?usp=sharing"",""ศรีสะเกษ!N693"")"),0)</f>
        <v>0</v>
      </c>
      <c r="L44" s="187">
        <f ca="1">IFERROR(__xludf.DUMMYFUNCTION("IMPORTRANGE(""https://docs.google.com/spreadsheets/d/1tZ0nmtGuIRCaGAMXHlQU8EpR9LOAJvyKfc4f7EFmE34/edit?usp=sharing"",""ศรีสะเกษ!N694"")"),0)</f>
        <v>0</v>
      </c>
      <c r="M44" s="185">
        <f ca="1">IFERROR(__xludf.DUMMYFUNCTION("IMPORTRANGE(""https://docs.google.com/spreadsheets/d/1tZ0nmtGuIRCaGAMXHlQU8EpR9LOAJvyKfc4f7EFmE34/edit?usp=sharing"",""ศรีสะเกษ!N697"")"),0)</f>
        <v>0</v>
      </c>
      <c r="N44" s="185">
        <f t="shared" ca="1" si="37"/>
        <v>0</v>
      </c>
      <c r="O44" s="181">
        <f ca="1">IFERROR(__xludf.DUMMYFUNCTION("IMPORTRANGE(""https://docs.google.com/spreadsheets/d/1tZ0nmtGuIRCaGAMXHlQU8EpR9LOAJvyKfc4f7EFmE34/edit?usp=sharing"",""ศรีสะเกษ!I699"")"),0)</f>
        <v>0</v>
      </c>
      <c r="P44" s="181">
        <f ca="1">IFERROR(__xludf.DUMMYFUNCTION("IMPORTRANGE(""https://docs.google.com/spreadsheets/d/1tZ0nmtGuIRCaGAMXHlQU8EpR9LOAJvyKfc4f7EFmE34/edit?usp=sharing"",""ศรีสะเกษ!J699"")"),0)</f>
        <v>0</v>
      </c>
      <c r="Q44" s="186">
        <f t="shared" ca="1" si="31"/>
        <v>0</v>
      </c>
      <c r="R44" s="181">
        <f ca="1">IFERROR(__xludf.DUMMYFUNCTION("IMPORTRANGE(""https://docs.google.com/spreadsheets/d/1tZ0nmtGuIRCaGAMXHlQU8EpR9LOAJvyKfc4f7EFmE34/edit?usp=sharing"",""ศรีสะเกษ!I700"")"),0)</f>
        <v>0</v>
      </c>
      <c r="S44" s="181">
        <f ca="1">IFERROR(__xludf.DUMMYFUNCTION("IMPORTRANGE(""https://docs.google.com/spreadsheets/d/1tZ0nmtGuIRCaGAMXHlQU8EpR9LOAJvyKfc4f7EFmE34/edit?usp=sharing"",""ศรีสะเกษ!J700"")"),0)</f>
        <v>0</v>
      </c>
      <c r="T44" s="186">
        <f t="shared" ca="1" si="32"/>
        <v>0</v>
      </c>
      <c r="U44" s="181">
        <f ca="1">IFERROR(__xludf.DUMMYFUNCTION("IMPORTRANGE(""https://docs.google.com/spreadsheets/d/1tZ0nmtGuIRCaGAMXHlQU8EpR9LOAJvyKfc4f7EFmE34/edit?usp=sharing"",""ศรีสะเกษ!I701"")"),0)</f>
        <v>0</v>
      </c>
      <c r="V44" s="181">
        <f ca="1">IFERROR(__xludf.DUMMYFUNCTION("IMPORTRANGE(""https://docs.google.com/spreadsheets/d/1tZ0nmtGuIRCaGAMXHlQU8EpR9LOAJvyKfc4f7EFmE34/edit?usp=sharing"",""ศรีสะเกษ!J701"")"),0)</f>
        <v>0</v>
      </c>
      <c r="W44" s="186">
        <f t="shared" ca="1" si="33"/>
        <v>0</v>
      </c>
      <c r="X44" s="186">
        <f ca="1">IFERROR(__xludf.DUMMYFUNCTION("IMPORTRANGE(""https://docs.google.com/spreadsheets/d/1tZ0nmtGuIRCaGAMXHlQU8EpR9LOAJvyKfc4f7EFmE34/edit?usp=sharing"",""ศรีสะเกษ!J702"")"),0)</f>
        <v>0</v>
      </c>
      <c r="Y44" s="186">
        <f ca="1">IFERROR(__xludf.DUMMYFUNCTION("IMPORTRANGE(""https://docs.google.com/spreadsheets/d/1tZ0nmtGuIRCaGAMXHlQU8EpR9LOAJvyKfc4f7EFmE34/edit?usp=sharing"",""ศรีสะเกษ!J703"")"),0)</f>
        <v>0</v>
      </c>
      <c r="Z44" s="186">
        <f ca="1">IFERROR(__xludf.DUMMYFUNCTION("IMPORTRANGE(""https://docs.google.com/spreadsheets/d/1tZ0nmtGuIRCaGAMXHlQU8EpR9LOAJvyKfc4f7EFmE34/edit?usp=sharing"",""ศรีสะเกษ!J704"")"),0)</f>
        <v>0</v>
      </c>
      <c r="AA44" s="186">
        <f ca="1">IFERROR(__xludf.DUMMYFUNCTION("IMPORTRANGE(""https://docs.google.com/spreadsheets/d/1tZ0nmtGuIRCaGAMXHlQU8EpR9LOAJvyKfc4f7EFmE34/edit?usp=sharing"",""ศรีสะเกษ!J705"")"),0)</f>
        <v>0</v>
      </c>
      <c r="AB44" s="186">
        <f ca="1">IFERROR(__xludf.DUMMYFUNCTION("IMPORTRANGE(""https://docs.google.com/spreadsheets/d/1tZ0nmtGuIRCaGAMXHlQU8EpR9LOAJvyKfc4f7EFmE34/edit?usp=sharing"",""ศรีสะเกษ!J706"")"),0)</f>
        <v>0</v>
      </c>
      <c r="AC44" s="186">
        <f ca="1">IFERROR(__xludf.DUMMYFUNCTION("IMPORTRANGE(""https://docs.google.com/spreadsheets/d/1tZ0nmtGuIRCaGAMXHlQU8EpR9LOAJvyKfc4f7EFmE34/edit?usp=sharing"",""ศรีสะเกษ!J707"")"),0)</f>
        <v>0</v>
      </c>
      <c r="AD44" s="181">
        <f ca="1">IFERROR(__xludf.DUMMYFUNCTION("IMPORTRANGE(""https://docs.google.com/spreadsheets/d/1tZ0nmtGuIRCaGAMXHlQU8EpR9LOAJvyKfc4f7EFmE34/edit?usp=sharing"",""ศรีสะเกษ!I708"")"),0)</f>
        <v>0</v>
      </c>
      <c r="AE44" s="181">
        <f ca="1">IFERROR(__xludf.DUMMYFUNCTION("IMPORTRANGE(""https://docs.google.com/spreadsheets/d/1tZ0nmtGuIRCaGAMXHlQU8EpR9LOAJvyKfc4f7EFmE34/edit?usp=sharing"",""ศรีสะเกษ!J708"")"),0)</f>
        <v>0</v>
      </c>
      <c r="AF44" s="186">
        <f t="shared" ca="1" si="34"/>
        <v>0</v>
      </c>
      <c r="AG44" s="181">
        <f ca="1">IFERROR(__xludf.DUMMYFUNCTION("IMPORTRANGE(""https://docs.google.com/spreadsheets/d/1tZ0nmtGuIRCaGAMXHlQU8EpR9LOAJvyKfc4f7EFmE34/edit?usp=sharing"",""ศรีสะเกษ!J709"")"),0)</f>
        <v>0</v>
      </c>
      <c r="AH44" s="181">
        <f ca="1">IFERROR(__xludf.DUMMYFUNCTION("IMPORTRANGE(""https://docs.google.com/spreadsheets/d/1tZ0nmtGuIRCaGAMXHlQU8EpR9LOAJvyKfc4f7EFmE34/edit?usp=sharing"",""ศรีสะเกษ!J710"")"),0)</f>
        <v>0</v>
      </c>
      <c r="AI44" s="181">
        <f ca="1">IFERROR(__xludf.DUMMYFUNCTION("IMPORTRANGE(""https://docs.google.com/spreadsheets/d/1tZ0nmtGuIRCaGAMXHlQU8EpR9LOAJvyKfc4f7EFmE34/edit?usp=sharing"",""ศรีสะเกษ!J712"")"),0)</f>
        <v>0</v>
      </c>
      <c r="AJ44" s="181">
        <f ca="1">IFERROR(__xludf.DUMMYFUNCTION("IMPORTRANGE(""https://docs.google.com/spreadsheets/d/1tZ0nmtGuIRCaGAMXHlQU8EpR9LOAJvyKfc4f7EFmE34/edit?usp=sharing"",""ศรีสะเกษ!J713"")"),0)</f>
        <v>0</v>
      </c>
      <c r="AK44" s="181">
        <f ca="1">IFERROR(__xludf.DUMMYFUNCTION("IMPORTRANGE(""https://docs.google.com/spreadsheets/d/1tZ0nmtGuIRCaGAMXHlQU8EpR9LOAJvyKfc4f7EFmE34/edit?usp=sharing"",""ศรีสะเกษ!J714"")"),0)</f>
        <v>0</v>
      </c>
      <c r="AL44" s="181">
        <f ca="1">IFERROR(__xludf.DUMMYFUNCTION("IMPORTRANGE(""https://docs.google.com/spreadsheets/d/1tZ0nmtGuIRCaGAMXHlQU8EpR9LOAJvyKfc4f7EFmE34/edit?usp=sharing"",""ศรีสะเกษ!J715"")"),0)</f>
        <v>0</v>
      </c>
      <c r="AM44" s="181">
        <f ca="1">IFERROR(__xludf.DUMMYFUNCTION("IMPORTRANGE(""https://docs.google.com/spreadsheets/d/1tZ0nmtGuIRCaGAMXHlQU8EpR9LOAJvyKfc4f7EFmE34/edit?usp=sharing"",""ศรีสะเกษ!J716"")"),0)</f>
        <v>0</v>
      </c>
      <c r="AN44" s="181">
        <f ca="1">IFERROR(__xludf.DUMMYFUNCTION("IMPORTRANGE(""https://docs.google.com/spreadsheets/d/1tZ0nmtGuIRCaGAMXHlQU8EpR9LOAJvyKfc4f7EFmE34/edit?usp=sharing"",""ศรีสะเกษ!J717"")"),0)</f>
        <v>0</v>
      </c>
      <c r="AO44" s="181">
        <f ca="1">IFERROR(__xludf.DUMMYFUNCTION("IMPORTRANGE(""https://docs.google.com/spreadsheets/d/1tZ0nmtGuIRCaGAMXHlQU8EpR9LOAJvyKfc4f7EFmE34/edit?usp=sharing"",""ศรีสะเกษ!I720"")"),0)</f>
        <v>0</v>
      </c>
      <c r="AP44" s="181">
        <f ca="1">IFERROR(__xludf.DUMMYFUNCTION("IMPORTRANGE(""https://docs.google.com/spreadsheets/d/1tZ0nmtGuIRCaGAMXHlQU8EpR9LOAJvyKfc4f7EFmE34/edit?usp=sharing"",""ศรีสะเกษ!J718"")"),0)</f>
        <v>0</v>
      </c>
      <c r="AQ44" s="181">
        <f ca="1">IFERROR(__xludf.DUMMYFUNCTION("IMPORTRANGE(""https://docs.google.com/spreadsheets/d/1tZ0nmtGuIRCaGAMXHlQU8EpR9LOAJvyKfc4f7EFmE34/edit?usp=sharing"",""ศรีสะเกษ!J719"")"),0)</f>
        <v>0</v>
      </c>
      <c r="AR44" s="181">
        <f ca="1">IFERROR(__xludf.DUMMYFUNCTION("IMPORTRANGE(""https://docs.google.com/spreadsheets/d/1tZ0nmtGuIRCaGAMXHlQU8EpR9LOAJvyKfc4f7EFmE34/edit?usp=sharing"",""ศรีสะเกษ!J720"")"),0)</f>
        <v>0</v>
      </c>
      <c r="AS44" s="186">
        <f t="shared" ca="1" si="14"/>
        <v>0</v>
      </c>
      <c r="AT44" s="181">
        <f ca="1">IFERROR(__xludf.DUMMYFUNCTION("IMPORTRANGE(""https://docs.google.com/spreadsheets/d/1tZ0nmtGuIRCaGAMXHlQU8EpR9LOAJvyKfc4f7EFmE34/edit?usp=sharing"",""ศรีสะเกษ!I721"")"),0)</f>
        <v>0</v>
      </c>
      <c r="AU44" s="181">
        <f ca="1">IFERROR(__xludf.DUMMYFUNCTION("IMPORTRANGE(""https://docs.google.com/spreadsheets/d/1tZ0nmtGuIRCaGAMXHlQU8EpR9LOAJvyKfc4f7EFmE34/edit?usp=sharing"",""ศรีสะเกษ!I722"")"),0)</f>
        <v>0</v>
      </c>
      <c r="AV44" s="181">
        <f ca="1">IFERROR(__xludf.DUMMYFUNCTION("IMPORTRANGE(""https://docs.google.com/spreadsheets/d/1tZ0nmtGuIRCaGAMXHlQU8EpR9LOAJvyKfc4f7EFmE34/edit?usp=sharing"",""ศรีสะเกษ!J721"")"),0)</f>
        <v>0</v>
      </c>
      <c r="AW44" s="186">
        <f t="shared" ca="1" si="16"/>
        <v>0</v>
      </c>
      <c r="AX44" s="181">
        <f ca="1">IFERROR(__xludf.DUMMYFUNCTION("IMPORTRANGE(""https://docs.google.com/spreadsheets/d/1tZ0nmtGuIRCaGAMXHlQU8EpR9LOAJvyKfc4f7EFmE34/edit?usp=sharing"",""ศรีสะเกษ!J722"")"),0)</f>
        <v>0</v>
      </c>
      <c r="AY44" s="186">
        <f t="shared" ca="1" si="17"/>
        <v>0</v>
      </c>
      <c r="AZ44" s="181">
        <f ca="1">IFERROR(__xludf.DUMMYFUNCTION("IMPORTRANGE(""https://docs.google.com/spreadsheets/d/1tZ0nmtGuIRCaGAMXHlQU8EpR9LOAJvyKfc4f7EFmE34/edit?usp=sharing"",""ศรีสะเกษ!I723"")"),0)</f>
        <v>0</v>
      </c>
      <c r="BA44" s="181">
        <f ca="1">IFERROR(__xludf.DUMMYFUNCTION("IMPORTRANGE(""https://docs.google.com/spreadsheets/d/1tZ0nmtGuIRCaGAMXHlQU8EpR9LOAJvyKfc4f7EFmE34/edit?usp=sharing"",""ศรีสะเกษ!I725"")"),0)</f>
        <v>0</v>
      </c>
      <c r="BB44" s="181">
        <f ca="1">IFERROR(__xludf.DUMMYFUNCTION("IMPORTRANGE(""https://docs.google.com/spreadsheets/d/1tZ0nmtGuIRCaGAMXHlQU8EpR9LOAJvyKfc4f7EFmE34/edit?usp=sharing"",""ศรีสะเกษ!J723"")"),0)</f>
        <v>0</v>
      </c>
      <c r="BC44" s="181">
        <f ca="1">IFERROR(__xludf.DUMMYFUNCTION("IMPORTRANGE(""https://docs.google.com/spreadsheets/d/1tZ0nmtGuIRCaGAMXHlQU8EpR9LOAJvyKfc4f7EFmE34/edit?usp=sharing"",""ศรีสะเกษ!J724"")"),0)</f>
        <v>0</v>
      </c>
      <c r="BD44" s="181">
        <f ca="1">IFERROR(__xludf.DUMMYFUNCTION("IMPORTRANGE(""https://docs.google.com/spreadsheets/d/1tZ0nmtGuIRCaGAMXHlQU8EpR9LOAJvyKfc4f7EFmE34/edit?usp=sharing"",""ศรีสะเกษ!J725"")"),0)</f>
        <v>0</v>
      </c>
      <c r="BE44" s="181">
        <f ca="1">IFERROR(__xludf.DUMMYFUNCTION("IMPORTRANGE(""https://docs.google.com/spreadsheets/d/1tZ0nmtGuIRCaGAMXHlQU8EpR9LOAJvyKfc4f7EFmE34/edit?usp=sharing"",""ศรีสะเกษ!I726"")"),0)</f>
        <v>0</v>
      </c>
      <c r="BF44" s="181">
        <f ca="1">IFERROR(__xludf.DUMMYFUNCTION("IMPORTRANGE(""https://docs.google.com/spreadsheets/d/1tZ0nmtGuIRCaGAMXHlQU8EpR9LOAJvyKfc4f7EFmE34/edit?usp=sharing"",""ศรีสะเกษ!I728"")"),0)</f>
        <v>0</v>
      </c>
      <c r="BG44" s="181">
        <f ca="1">IFERROR(__xludf.DUMMYFUNCTION("IMPORTRANGE(""https://docs.google.com/spreadsheets/d/1tZ0nmtGuIRCaGAMXHlQU8EpR9LOAJvyKfc4f7EFmE34/edit?usp=sharing"",""ศรีสะเกษ!J726"")"),0)</f>
        <v>0</v>
      </c>
      <c r="BH44" s="181">
        <f ca="1">IFERROR(__xludf.DUMMYFUNCTION("IMPORTRANGE(""https://docs.google.com/spreadsheets/d/1tZ0nmtGuIRCaGAMXHlQU8EpR9LOAJvyKfc4f7EFmE34/edit?usp=sharing"",""ศรีสะเกษ!J727"")"),0)</f>
        <v>0</v>
      </c>
      <c r="BI44" s="181">
        <f ca="1">IFERROR(__xludf.DUMMYFUNCTION("IMPORTRANGE(""https://docs.google.com/spreadsheets/d/1tZ0nmtGuIRCaGAMXHlQU8EpR9LOAJvyKfc4f7EFmE34/edit?usp=sharing"",""ศรีสะเกษ!J728"")"),0)</f>
        <v>0</v>
      </c>
      <c r="BJ44" s="181">
        <f ca="1">IFERROR(__xludf.DUMMYFUNCTION("IMPORTRANGE(""https://docs.google.com/spreadsheets/d/1tZ0nmtGuIRCaGAMXHlQU8EpR9LOAJvyKfc4f7EFmE34/edit?usp=sharing"",""ศรีสะเกษ!I729"")"),0)</f>
        <v>0</v>
      </c>
      <c r="BK44" s="181">
        <f ca="1">IFERROR(__xludf.DUMMYFUNCTION("IMPORTRANGE(""https://docs.google.com/spreadsheets/d/1tZ0nmtGuIRCaGAMXHlQU8EpR9LOAJvyKfc4f7EFmE34/edit?usp=sharing"",""ศรีสะเกษ!J729"")"),0)</f>
        <v>0</v>
      </c>
      <c r="BL44" s="186">
        <f t="shared" ca="1" si="19"/>
        <v>0</v>
      </c>
      <c r="BM44" s="181">
        <f ca="1">IFERROR(__xludf.DUMMYFUNCTION("IMPORTRANGE(""https://docs.google.com/spreadsheets/d/1tZ0nmtGuIRCaGAMXHlQU8EpR9LOAJvyKfc4f7EFmE34/edit?usp=sharing"",""ศรีสะเกษ!J730"")"),0)</f>
        <v>0</v>
      </c>
      <c r="BN44" s="181">
        <f ca="1">IFERROR(__xludf.DUMMYFUNCTION("IMPORTRANGE(""https://docs.google.com/spreadsheets/d/1tZ0nmtGuIRCaGAMXHlQU8EpR9LOAJvyKfc4f7EFmE34/edit?usp=sharing"",""ศรีสะเกษ!J731"")"),0)</f>
        <v>0</v>
      </c>
      <c r="BO44" s="181">
        <f ca="1">IFERROR(__xludf.DUMMYFUNCTION("IMPORTRANGE(""https://docs.google.com/spreadsheets/d/1tZ0nmtGuIRCaGAMXHlQU8EpR9LOAJvyKfc4f7EFmE34/edit?usp=sharing"",""ศรีสะเกษ!J732"")"),0)</f>
        <v>0</v>
      </c>
      <c r="BP44" s="181">
        <f ca="1">IFERROR(__xludf.DUMMYFUNCTION("IMPORTRANGE(""https://docs.google.com/spreadsheets/d/1tZ0nmtGuIRCaGAMXHlQU8EpR9LOAJvyKfc4f7EFmE34/edit?usp=sharing"",""ศรีสะเกษ!J733"")"),0)</f>
        <v>0</v>
      </c>
      <c r="BQ44" s="181">
        <f ca="1">IFERROR(__xludf.DUMMYFUNCTION("IMPORTRANGE(""https://docs.google.com/spreadsheets/d/1tZ0nmtGuIRCaGAMXHlQU8EpR9LOAJvyKfc4f7EFmE34/edit?usp=sharing"",""ศรีสะเกษ!J734"")"),0)</f>
        <v>0</v>
      </c>
      <c r="BR44" s="181">
        <f ca="1">IFERROR(__xludf.DUMMYFUNCTION("IMPORTRANGE(""https://docs.google.com/spreadsheets/d/1tZ0nmtGuIRCaGAMXHlQU8EpR9LOAJvyKfc4f7EFmE34/edit?usp=sharing"",""ศรีสะเกษ!J735"")"),0)</f>
        <v>0</v>
      </c>
    </row>
    <row r="45" spans="1:70" ht="21" customHeight="1" x14ac:dyDescent="0.3">
      <c r="A45" s="178">
        <v>14</v>
      </c>
      <c r="B45" s="179" t="s">
        <v>62</v>
      </c>
      <c r="C45" s="180">
        <f t="shared" ca="1" si="58"/>
        <v>1940</v>
      </c>
      <c r="D45" s="181">
        <f ca="1">IFERROR(__xludf.DUMMYFUNCTION("IMPORTRANGE(""https://docs.google.com/spreadsheets/d/1QC8psz9w0f9IVE9Xuc2FT_btkaOzZbbUSgYObpBuetM/edit?usp=sharing"",""สกลนคร!L690"")"),1940)</f>
        <v>1940</v>
      </c>
      <c r="E45" s="187">
        <f ca="1">IFERROR(__xludf.DUMMYFUNCTION("IMPORTRANGE(""https://docs.google.com/spreadsheets/d/1QC8psz9w0f9IVE9Xuc2FT_btkaOzZbbUSgYObpBuetM/edit?usp=sharing"",""สกลนคร!L697"")"),0)</f>
        <v>0</v>
      </c>
      <c r="F45" s="182">
        <f t="shared" ca="1" si="1"/>
        <v>0</v>
      </c>
      <c r="G45" s="183">
        <f t="shared" ca="1" si="2"/>
        <v>0</v>
      </c>
      <c r="H45" s="184">
        <f t="shared" ca="1" si="59"/>
        <v>0</v>
      </c>
      <c r="I45" s="187">
        <f ca="1">IFERROR(__xludf.DUMMYFUNCTION("IMPORTRANGE(""https://docs.google.com/spreadsheets/d/1QC8psz9w0f9IVE9Xuc2FT_btkaOzZbbUSgYObpBuetM/edit?usp=sharing"",""สกลนคร!N691"")"),0)</f>
        <v>0</v>
      </c>
      <c r="J45" s="187">
        <f ca="1">IFERROR(__xludf.DUMMYFUNCTION("IMPORTRANGE(""https://docs.google.com/spreadsheets/d/1QC8psz9w0f9IVE9Xuc2FT_btkaOzZbbUSgYObpBuetM/edit?usp=sharing"",""สกลนคร!N692"")"),0)</f>
        <v>0</v>
      </c>
      <c r="K45" s="187">
        <f ca="1">IFERROR(__xludf.DUMMYFUNCTION("IMPORTRANGE(""https://docs.google.com/spreadsheets/d/1QC8psz9w0f9IVE9Xuc2FT_btkaOzZbbUSgYObpBuetM/edit?usp=sharing"",""สกลนคร!N693"")"),0)</f>
        <v>0</v>
      </c>
      <c r="L45" s="187">
        <f ca="1">IFERROR(__xludf.DUMMYFUNCTION("IMPORTRANGE(""https://docs.google.com/spreadsheets/d/1QC8psz9w0f9IVE9Xuc2FT_btkaOzZbbUSgYObpBuetM/edit?usp=sharing"",""สกลนคร!N694"")"),0)</f>
        <v>0</v>
      </c>
      <c r="M45" s="185">
        <f ca="1">IFERROR(__xludf.DUMMYFUNCTION("IMPORTRANGE(""https://docs.google.com/spreadsheets/d/1QC8psz9w0f9IVE9Xuc2FT_btkaOzZbbUSgYObpBuetM/edit?usp=sharing"",""สกลนคร!N697"")"),0)</f>
        <v>0</v>
      </c>
      <c r="N45" s="185">
        <f t="shared" ca="1" si="37"/>
        <v>0</v>
      </c>
      <c r="O45" s="181">
        <f ca="1">IFERROR(__xludf.DUMMYFUNCTION("IMPORTRANGE(""https://docs.google.com/spreadsheets/d/1QC8psz9w0f9IVE9Xuc2FT_btkaOzZbbUSgYObpBuetM/edit?usp=sharing"",""สกลนคร!I699"")"),0)</f>
        <v>0</v>
      </c>
      <c r="P45" s="181">
        <f ca="1">IFERROR(__xludf.DUMMYFUNCTION("IMPORTRANGE(""https://docs.google.com/spreadsheets/d/1QC8psz9w0f9IVE9Xuc2FT_btkaOzZbbUSgYObpBuetM/edit?usp=sharing"",""สกลนคร!J699"")"),0)</f>
        <v>0</v>
      </c>
      <c r="Q45" s="186">
        <f t="shared" ca="1" si="31"/>
        <v>0</v>
      </c>
      <c r="R45" s="181">
        <f ca="1">IFERROR(__xludf.DUMMYFUNCTION("IMPORTRANGE(""https://docs.google.com/spreadsheets/d/1QC8psz9w0f9IVE9Xuc2FT_btkaOzZbbUSgYObpBuetM/edit?usp=sharing"",""สกลนคร!I700"")"),0)</f>
        <v>0</v>
      </c>
      <c r="S45" s="181">
        <f ca="1">IFERROR(__xludf.DUMMYFUNCTION("IMPORTRANGE(""https://docs.google.com/spreadsheets/d/1QC8psz9w0f9IVE9Xuc2FT_btkaOzZbbUSgYObpBuetM/edit?usp=sharing"",""สกลนคร!J700"")"),0)</f>
        <v>0</v>
      </c>
      <c r="T45" s="186">
        <f t="shared" ca="1" si="32"/>
        <v>0</v>
      </c>
      <c r="U45" s="181">
        <f ca="1">IFERROR(__xludf.DUMMYFUNCTION("IMPORTRANGE(""https://docs.google.com/spreadsheets/d/1QC8psz9w0f9IVE9Xuc2FT_btkaOzZbbUSgYObpBuetM/edit?usp=sharing"",""สกลนคร!I701"")"),47)</f>
        <v>47</v>
      </c>
      <c r="V45" s="181">
        <f ca="1">IFERROR(__xludf.DUMMYFUNCTION("IMPORTRANGE(""https://docs.google.com/spreadsheets/d/1QC8psz9w0f9IVE9Xuc2FT_btkaOzZbbUSgYObpBuetM/edit?usp=sharing"",""สกลนคร!J701"")"),0)</f>
        <v>0</v>
      </c>
      <c r="W45" s="186">
        <f t="shared" ca="1" si="33"/>
        <v>0</v>
      </c>
      <c r="X45" s="186">
        <f ca="1">IFERROR(__xludf.DUMMYFUNCTION("IMPORTRANGE(""https://docs.google.com/spreadsheets/d/1QC8psz9w0f9IVE9Xuc2FT_btkaOzZbbUSgYObpBuetM/edit?usp=sharing"",""สกลนคร!J702"")"),0)</f>
        <v>0</v>
      </c>
      <c r="Y45" s="186">
        <f ca="1">IFERROR(__xludf.DUMMYFUNCTION("IMPORTRANGE(""https://docs.google.com/spreadsheets/d/1QC8psz9w0f9IVE9Xuc2FT_btkaOzZbbUSgYObpBuetM/edit?usp=sharing"",""สกลนคร!J703"")"),0)</f>
        <v>0</v>
      </c>
      <c r="Z45" s="186">
        <f ca="1">IFERROR(__xludf.DUMMYFUNCTION("IMPORTRANGE(""https://docs.google.com/spreadsheets/d/1QC8psz9w0f9IVE9Xuc2FT_btkaOzZbbUSgYObpBuetM/edit?usp=sharing"",""สกลนคร!J704"")"),0)</f>
        <v>0</v>
      </c>
      <c r="AA45" s="186">
        <f ca="1">IFERROR(__xludf.DUMMYFUNCTION("IMPORTRANGE(""https://docs.google.com/spreadsheets/d/1QC8psz9w0f9IVE9Xuc2FT_btkaOzZbbUSgYObpBuetM/edit?usp=sharing"",""สกลนคร!J705"")"),0)</f>
        <v>0</v>
      </c>
      <c r="AB45" s="186">
        <f ca="1">IFERROR(__xludf.DUMMYFUNCTION("IMPORTRANGE(""https://docs.google.com/spreadsheets/d/1QC8psz9w0f9IVE9Xuc2FT_btkaOzZbbUSgYObpBuetM/edit?usp=sharing"",""สกลนคร!J706"")"),0)</f>
        <v>0</v>
      </c>
      <c r="AC45" s="186">
        <f ca="1">IFERROR(__xludf.DUMMYFUNCTION("IMPORTRANGE(""https://docs.google.com/spreadsheets/d/1QC8psz9w0f9IVE9Xuc2FT_btkaOzZbbUSgYObpBuetM/edit?usp=sharing"",""สกลนคร!J707"")"),0)</f>
        <v>0</v>
      </c>
      <c r="AD45" s="181">
        <f ca="1">IFERROR(__xludf.DUMMYFUNCTION("IMPORTRANGE(""https://docs.google.com/spreadsheets/d/1QC8psz9w0f9IVE9Xuc2FT_btkaOzZbbUSgYObpBuetM/edit?usp=sharing"",""สกลนคร!I708"")"),0)</f>
        <v>0</v>
      </c>
      <c r="AE45" s="181">
        <f ca="1">IFERROR(__xludf.DUMMYFUNCTION("IMPORTRANGE(""https://docs.google.com/spreadsheets/d/1QC8psz9w0f9IVE9Xuc2FT_btkaOzZbbUSgYObpBuetM/edit?usp=sharing"",""สกลนคร!J708"")"),0)</f>
        <v>0</v>
      </c>
      <c r="AF45" s="186">
        <f t="shared" ca="1" si="34"/>
        <v>0</v>
      </c>
      <c r="AG45" s="181">
        <f ca="1">IFERROR(__xludf.DUMMYFUNCTION("IMPORTRANGE(""https://docs.google.com/spreadsheets/d/1QC8psz9w0f9IVE9Xuc2FT_btkaOzZbbUSgYObpBuetM/edit?usp=sharing"",""สกลนคร!J709"")"),0)</f>
        <v>0</v>
      </c>
      <c r="AH45" s="181">
        <f ca="1">IFERROR(__xludf.DUMMYFUNCTION("IMPORTRANGE(""https://docs.google.com/spreadsheets/d/1QC8psz9w0f9IVE9Xuc2FT_btkaOzZbbUSgYObpBuetM/edit?usp=sharing"",""สกลนคร!J710"")"),0)</f>
        <v>0</v>
      </c>
      <c r="AI45" s="181">
        <f ca="1">IFERROR(__xludf.DUMMYFUNCTION("IMPORTRANGE(""https://docs.google.com/spreadsheets/d/1QC8psz9w0f9IVE9Xuc2FT_btkaOzZbbUSgYObpBuetM/edit?usp=sharing"",""สกลนคร!J712"")"),0)</f>
        <v>0</v>
      </c>
      <c r="AJ45" s="181">
        <f ca="1">IFERROR(__xludf.DUMMYFUNCTION("IMPORTRANGE(""https://docs.google.com/spreadsheets/d/1QC8psz9w0f9IVE9Xuc2FT_btkaOzZbbUSgYObpBuetM/edit?usp=sharing"",""สกลนคร!J713"")"),0)</f>
        <v>0</v>
      </c>
      <c r="AK45" s="181">
        <f ca="1">IFERROR(__xludf.DUMMYFUNCTION("IMPORTRANGE(""https://docs.google.com/spreadsheets/d/1QC8psz9w0f9IVE9Xuc2FT_btkaOzZbbUSgYObpBuetM/edit?usp=sharing"",""สกลนคร!J714"")"),0)</f>
        <v>0</v>
      </c>
      <c r="AL45" s="181">
        <f ca="1">IFERROR(__xludf.DUMMYFUNCTION("IMPORTRANGE(""https://docs.google.com/spreadsheets/d/1QC8psz9w0f9IVE9Xuc2FT_btkaOzZbbUSgYObpBuetM/edit?usp=sharing"",""สกลนคร!J715"")"),0)</f>
        <v>0</v>
      </c>
      <c r="AM45" s="181">
        <f ca="1">IFERROR(__xludf.DUMMYFUNCTION("IMPORTRANGE(""https://docs.google.com/spreadsheets/d/1QC8psz9w0f9IVE9Xuc2FT_btkaOzZbbUSgYObpBuetM/edit?usp=sharing"",""สกลนคร!J716"")"),0)</f>
        <v>0</v>
      </c>
      <c r="AN45" s="181">
        <f ca="1">IFERROR(__xludf.DUMMYFUNCTION("IMPORTRANGE(""https://docs.google.com/spreadsheets/d/1QC8psz9w0f9IVE9Xuc2FT_btkaOzZbbUSgYObpBuetM/edit?usp=sharing"",""สกลนคร!J717"")"),0)</f>
        <v>0</v>
      </c>
      <c r="AO45" s="181">
        <f ca="1">IFERROR(__xludf.DUMMYFUNCTION("IMPORTRANGE(""https://docs.google.com/spreadsheets/d/1QC8psz9w0f9IVE9Xuc2FT_btkaOzZbbUSgYObpBuetM/edit?usp=sharing"",""สกลนคร!I720"")"),0)</f>
        <v>0</v>
      </c>
      <c r="AP45" s="181">
        <f ca="1">IFERROR(__xludf.DUMMYFUNCTION("IMPORTRANGE(""https://docs.google.com/spreadsheets/d/1QC8psz9w0f9IVE9Xuc2FT_btkaOzZbbUSgYObpBuetM/edit?usp=sharing"",""สกลนคร!J718"")"),0)</f>
        <v>0</v>
      </c>
      <c r="AQ45" s="181">
        <f ca="1">IFERROR(__xludf.DUMMYFUNCTION("IMPORTRANGE(""https://docs.google.com/spreadsheets/d/1QC8psz9w0f9IVE9Xuc2FT_btkaOzZbbUSgYObpBuetM/edit?usp=sharing"",""สกลนคร!J719"")"),0)</f>
        <v>0</v>
      </c>
      <c r="AR45" s="181">
        <f ca="1">IFERROR(__xludf.DUMMYFUNCTION("IMPORTRANGE(""https://docs.google.com/spreadsheets/d/1QC8psz9w0f9IVE9Xuc2FT_btkaOzZbbUSgYObpBuetM/edit?usp=sharing"",""สกลนคร!J720"")"),0)</f>
        <v>0</v>
      </c>
      <c r="AS45" s="186">
        <f t="shared" ca="1" si="14"/>
        <v>0</v>
      </c>
      <c r="AT45" s="181">
        <f ca="1">IFERROR(__xludf.DUMMYFUNCTION("IMPORTRANGE(""https://docs.google.com/spreadsheets/d/1QC8psz9w0f9IVE9Xuc2FT_btkaOzZbbUSgYObpBuetM/edit?usp=sharing"",""สกลนคร!I721"")"),0)</f>
        <v>0</v>
      </c>
      <c r="AU45" s="181">
        <f ca="1">IFERROR(__xludf.DUMMYFUNCTION("IMPORTRANGE(""https://docs.google.com/spreadsheets/d/1QC8psz9w0f9IVE9Xuc2FT_btkaOzZbbUSgYObpBuetM/edit?usp=sharing"",""สกลนคร!I722"")"),0)</f>
        <v>0</v>
      </c>
      <c r="AV45" s="181">
        <f ca="1">IFERROR(__xludf.DUMMYFUNCTION("IMPORTRANGE(""https://docs.google.com/spreadsheets/d/1QC8psz9w0f9IVE9Xuc2FT_btkaOzZbbUSgYObpBuetM/edit?usp=sharing"",""สกลนคร!J721"")"),0)</f>
        <v>0</v>
      </c>
      <c r="AW45" s="186">
        <f t="shared" ca="1" si="16"/>
        <v>0</v>
      </c>
      <c r="AX45" s="181">
        <f ca="1">IFERROR(__xludf.DUMMYFUNCTION("IMPORTRANGE(""https://docs.google.com/spreadsheets/d/1QC8psz9w0f9IVE9Xuc2FT_btkaOzZbbUSgYObpBuetM/edit?usp=sharing"",""สกลนคร!J722"")"),0)</f>
        <v>0</v>
      </c>
      <c r="AY45" s="186">
        <f t="shared" ca="1" si="17"/>
        <v>0</v>
      </c>
      <c r="AZ45" s="181">
        <f ca="1">IFERROR(__xludf.DUMMYFUNCTION("IMPORTRANGE(""https://docs.google.com/spreadsheets/d/1QC8psz9w0f9IVE9Xuc2FT_btkaOzZbbUSgYObpBuetM/edit?usp=sharing"",""สกลนคร!I723"")"),0)</f>
        <v>0</v>
      </c>
      <c r="BA45" s="181">
        <f ca="1">IFERROR(__xludf.DUMMYFUNCTION("IMPORTRANGE(""https://docs.google.com/spreadsheets/d/1QC8psz9w0f9IVE9Xuc2FT_btkaOzZbbUSgYObpBuetM/edit?usp=sharing"",""สกลนคร!I725"")"),0)</f>
        <v>0</v>
      </c>
      <c r="BB45" s="181">
        <f ca="1">IFERROR(__xludf.DUMMYFUNCTION("IMPORTRANGE(""https://docs.google.com/spreadsheets/d/1QC8psz9w0f9IVE9Xuc2FT_btkaOzZbbUSgYObpBuetM/edit?usp=sharing"",""สกลนคร!J723"")"),0)</f>
        <v>0</v>
      </c>
      <c r="BC45" s="181">
        <f ca="1">IFERROR(__xludf.DUMMYFUNCTION("IMPORTRANGE(""https://docs.google.com/spreadsheets/d/1QC8psz9w0f9IVE9Xuc2FT_btkaOzZbbUSgYObpBuetM/edit?usp=sharing"",""สกลนคร!J724"")"),0)</f>
        <v>0</v>
      </c>
      <c r="BD45" s="181">
        <f ca="1">IFERROR(__xludf.DUMMYFUNCTION("IMPORTRANGE(""https://docs.google.com/spreadsheets/d/1QC8psz9w0f9IVE9Xuc2FT_btkaOzZbbUSgYObpBuetM/edit?usp=sharing"",""สกลนคร!J725"")"),0)</f>
        <v>0</v>
      </c>
      <c r="BE45" s="181">
        <f ca="1">IFERROR(__xludf.DUMMYFUNCTION("IMPORTRANGE(""https://docs.google.com/spreadsheets/d/1QC8psz9w0f9IVE9Xuc2FT_btkaOzZbbUSgYObpBuetM/edit?usp=sharing"",""สกลนคร!I726"")"),0)</f>
        <v>0</v>
      </c>
      <c r="BF45" s="181">
        <f ca="1">IFERROR(__xludf.DUMMYFUNCTION("IMPORTRANGE(""https://docs.google.com/spreadsheets/d/1QC8psz9w0f9IVE9Xuc2FT_btkaOzZbbUSgYObpBuetM/edit?usp=sharing"",""สกลนคร!I728"")"),0)</f>
        <v>0</v>
      </c>
      <c r="BG45" s="181">
        <f ca="1">IFERROR(__xludf.DUMMYFUNCTION("IMPORTRANGE(""https://docs.google.com/spreadsheets/d/1QC8psz9w0f9IVE9Xuc2FT_btkaOzZbbUSgYObpBuetM/edit?usp=sharing"",""สกลนคร!J726"")"),0)</f>
        <v>0</v>
      </c>
      <c r="BH45" s="181">
        <f ca="1">IFERROR(__xludf.DUMMYFUNCTION("IMPORTRANGE(""https://docs.google.com/spreadsheets/d/1QC8psz9w0f9IVE9Xuc2FT_btkaOzZbbUSgYObpBuetM/edit?usp=sharing"",""สกลนคร!J727"")"),0)</f>
        <v>0</v>
      </c>
      <c r="BI45" s="181">
        <f ca="1">IFERROR(__xludf.DUMMYFUNCTION("IMPORTRANGE(""https://docs.google.com/spreadsheets/d/1QC8psz9w0f9IVE9Xuc2FT_btkaOzZbbUSgYObpBuetM/edit?usp=sharing"",""สกลนคร!J728"")"),0)</f>
        <v>0</v>
      </c>
      <c r="BJ45" s="181">
        <f ca="1">IFERROR(__xludf.DUMMYFUNCTION("IMPORTRANGE(""https://docs.google.com/spreadsheets/d/1QC8psz9w0f9IVE9Xuc2FT_btkaOzZbbUSgYObpBuetM/edit?usp=sharing"",""สกลนคร!I729"")"),0)</f>
        <v>0</v>
      </c>
      <c r="BK45" s="181">
        <f ca="1">IFERROR(__xludf.DUMMYFUNCTION("IMPORTRANGE(""https://docs.google.com/spreadsheets/d/1QC8psz9w0f9IVE9Xuc2FT_btkaOzZbbUSgYObpBuetM/edit?usp=sharing"",""สกลนคร!J729"")"),0)</f>
        <v>0</v>
      </c>
      <c r="BL45" s="186">
        <f t="shared" ca="1" si="19"/>
        <v>0</v>
      </c>
      <c r="BM45" s="181">
        <f ca="1">IFERROR(__xludf.DUMMYFUNCTION("IMPORTRANGE(""https://docs.google.com/spreadsheets/d/1QC8psz9w0f9IVE9Xuc2FT_btkaOzZbbUSgYObpBuetM/edit?usp=sharing"",""สกลนคร!J730"")"),0)</f>
        <v>0</v>
      </c>
      <c r="BN45" s="181">
        <f ca="1">IFERROR(__xludf.DUMMYFUNCTION("IMPORTRANGE(""https://docs.google.com/spreadsheets/d/1QC8psz9w0f9IVE9Xuc2FT_btkaOzZbbUSgYObpBuetM/edit?usp=sharing"",""สกลนคร!J731"")"),0)</f>
        <v>0</v>
      </c>
      <c r="BO45" s="181">
        <f ca="1">IFERROR(__xludf.DUMMYFUNCTION("IMPORTRANGE(""https://docs.google.com/spreadsheets/d/1QC8psz9w0f9IVE9Xuc2FT_btkaOzZbbUSgYObpBuetM/edit?usp=sharing"",""สกลนคร!J732"")"),0)</f>
        <v>0</v>
      </c>
      <c r="BP45" s="181">
        <f ca="1">IFERROR(__xludf.DUMMYFUNCTION("IMPORTRANGE(""https://docs.google.com/spreadsheets/d/1QC8psz9w0f9IVE9Xuc2FT_btkaOzZbbUSgYObpBuetM/edit?usp=sharing"",""สกลนคร!J733"")"),0)</f>
        <v>0</v>
      </c>
      <c r="BQ45" s="181">
        <f ca="1">IFERROR(__xludf.DUMMYFUNCTION("IMPORTRANGE(""https://docs.google.com/spreadsheets/d/1QC8psz9w0f9IVE9Xuc2FT_btkaOzZbbUSgYObpBuetM/edit?usp=sharing"",""สกลนคร!J734"")"),0)</f>
        <v>0</v>
      </c>
      <c r="BR45" s="181">
        <f ca="1">IFERROR(__xludf.DUMMYFUNCTION("IMPORTRANGE(""https://docs.google.com/spreadsheets/d/1QC8psz9w0f9IVE9Xuc2FT_btkaOzZbbUSgYObpBuetM/edit?usp=sharing"",""สกลนคร!J735"")"),0)</f>
        <v>0</v>
      </c>
    </row>
    <row r="46" spans="1:70" ht="21" customHeight="1" x14ac:dyDescent="0.3">
      <c r="A46" s="178">
        <v>15</v>
      </c>
      <c r="B46" s="179" t="s">
        <v>63</v>
      </c>
      <c r="C46" s="180">
        <f t="shared" ca="1" si="58"/>
        <v>13540</v>
      </c>
      <c r="D46" s="181">
        <f ca="1">IFERROR(__xludf.DUMMYFUNCTION("IMPORTRANGE(""https://docs.google.com/spreadsheets/d/1wPdvRbu02d33MYVlbsCnyTiZpefEBs9NNktAnT1HZvw/edit?usp=sharing"",""สุรินทร์!L690"")"),13540)</f>
        <v>13540</v>
      </c>
      <c r="E46" s="187">
        <f ca="1">IFERROR(__xludf.DUMMYFUNCTION("IMPORTRANGE(""https://docs.google.com/spreadsheets/d/1wPdvRbu02d33MYVlbsCnyTiZpefEBs9NNktAnT1HZvw/edit?usp=sharing"",""สุรินทร์!L697"")"),0)</f>
        <v>0</v>
      </c>
      <c r="F46" s="182">
        <f t="shared" ca="1" si="1"/>
        <v>0</v>
      </c>
      <c r="G46" s="183">
        <f t="shared" ca="1" si="2"/>
        <v>0</v>
      </c>
      <c r="H46" s="184">
        <f t="shared" ca="1" si="59"/>
        <v>0</v>
      </c>
      <c r="I46" s="187">
        <f ca="1">IFERROR(__xludf.DUMMYFUNCTION("IMPORTRANGE(""https://docs.google.com/spreadsheets/d/1wPdvRbu02d33MYVlbsCnyTiZpefEBs9NNktAnT1HZvw/edit?usp=sharing"",""สุรินทร์!N691"")"),0)</f>
        <v>0</v>
      </c>
      <c r="J46" s="187">
        <f ca="1">IFERROR(__xludf.DUMMYFUNCTION("IMPORTRANGE(""https://docs.google.com/spreadsheets/d/1wPdvRbu02d33MYVlbsCnyTiZpefEBs9NNktAnT1HZvw/edit?usp=sharing"",""สุรินทร์!N692"")"),0)</f>
        <v>0</v>
      </c>
      <c r="K46" s="187">
        <f ca="1">IFERROR(__xludf.DUMMYFUNCTION("IMPORTRANGE(""https://docs.google.com/spreadsheets/d/1wPdvRbu02d33MYVlbsCnyTiZpefEBs9NNktAnT1HZvw/edit?usp=sharing"",""สุรินทร์!N693"")"),0)</f>
        <v>0</v>
      </c>
      <c r="L46" s="187">
        <f ca="1">IFERROR(__xludf.DUMMYFUNCTION("IMPORTRANGE(""https://docs.google.com/spreadsheets/d/1wPdvRbu02d33MYVlbsCnyTiZpefEBs9NNktAnT1HZvw/edit?usp=sharing"",""สุรินทร์!N694"")"),0)</f>
        <v>0</v>
      </c>
      <c r="M46" s="185">
        <f ca="1">IFERROR(__xludf.DUMMYFUNCTION("IMPORTRANGE(""https://docs.google.com/spreadsheets/d/1wPdvRbu02d33MYVlbsCnyTiZpefEBs9NNktAnT1HZvw/edit?usp=sharing"",""สุรินทร์!N697"")"),0)</f>
        <v>0</v>
      </c>
      <c r="N46" s="185">
        <f t="shared" ca="1" si="37"/>
        <v>0</v>
      </c>
      <c r="O46" s="181">
        <f ca="1">IFERROR(__xludf.DUMMYFUNCTION("IMPORTRANGE(""https://docs.google.com/spreadsheets/d/1wPdvRbu02d33MYVlbsCnyTiZpefEBs9NNktAnT1HZvw/edit?usp=sharing"",""สุรินทร์!I699"")"),0)</f>
        <v>0</v>
      </c>
      <c r="P46" s="181">
        <f ca="1">IFERROR(__xludf.DUMMYFUNCTION("IMPORTRANGE(""https://docs.google.com/spreadsheets/d/1wPdvRbu02d33MYVlbsCnyTiZpefEBs9NNktAnT1HZvw/edit?usp=sharing"",""สุรินทร์!J699"")"),0)</f>
        <v>0</v>
      </c>
      <c r="Q46" s="186">
        <f t="shared" ca="1" si="31"/>
        <v>0</v>
      </c>
      <c r="R46" s="181">
        <f ca="1">IFERROR(__xludf.DUMMYFUNCTION("IMPORTRANGE(""https://docs.google.com/spreadsheets/d/1wPdvRbu02d33MYVlbsCnyTiZpefEBs9NNktAnT1HZvw/edit?usp=sharing"",""สุรินทร์!I700"")"),15)</f>
        <v>15</v>
      </c>
      <c r="S46" s="181">
        <f ca="1">IFERROR(__xludf.DUMMYFUNCTION("IMPORTRANGE(""https://docs.google.com/spreadsheets/d/1wPdvRbu02d33MYVlbsCnyTiZpefEBs9NNktAnT1HZvw/edit?usp=sharing"",""สุรินทร์!J700"")"),0)</f>
        <v>0</v>
      </c>
      <c r="T46" s="186">
        <f t="shared" ca="1" si="32"/>
        <v>0</v>
      </c>
      <c r="U46" s="181">
        <f ca="1">IFERROR(__xludf.DUMMYFUNCTION("IMPORTRANGE(""https://docs.google.com/spreadsheets/d/1wPdvRbu02d33MYVlbsCnyTiZpefEBs9NNktAnT1HZvw/edit?usp=sharing"",""สุรินทร์!I701"")"),0)</f>
        <v>0</v>
      </c>
      <c r="V46" s="181">
        <f ca="1">IFERROR(__xludf.DUMMYFUNCTION("IMPORTRANGE(""https://docs.google.com/spreadsheets/d/1wPdvRbu02d33MYVlbsCnyTiZpefEBs9NNktAnT1HZvw/edit?usp=sharing"",""สุรินทร์!J701"")"),0)</f>
        <v>0</v>
      </c>
      <c r="W46" s="186">
        <f t="shared" ca="1" si="33"/>
        <v>0</v>
      </c>
      <c r="X46" s="186" t="str">
        <f ca="1">IFERROR(__xludf.DUMMYFUNCTION("IMPORTRANGE(""https://docs.google.com/spreadsheets/d/1wPdvRbu02d33MYVlbsCnyTiZpefEBs9NNktAnT1HZvw/edit?usp=sharing"",""สุรินทร์!J702"")"),"")</f>
        <v/>
      </c>
      <c r="Y46" s="186" t="str">
        <f ca="1">IFERROR(__xludf.DUMMYFUNCTION("IMPORTRANGE(""https://docs.google.com/spreadsheets/d/1wPdvRbu02d33MYVlbsCnyTiZpefEBs9NNktAnT1HZvw/edit?usp=sharing"",""สุรินทร์!J703"")"),"")</f>
        <v/>
      </c>
      <c r="Z46" s="186">
        <f ca="1">IFERROR(__xludf.DUMMYFUNCTION("IMPORTRANGE(""https://docs.google.com/spreadsheets/d/1wPdvRbu02d33MYVlbsCnyTiZpefEBs9NNktAnT1HZvw/edit?usp=sharing"",""สุรินทร์!J704"")"),0)</f>
        <v>0</v>
      </c>
      <c r="AA46" s="186" t="str">
        <f ca="1">IFERROR(__xludf.DUMMYFUNCTION("IMPORTRANGE(""https://docs.google.com/spreadsheets/d/1wPdvRbu02d33MYVlbsCnyTiZpefEBs9NNktAnT1HZvw/edit?usp=sharing"",""สุรินทร์!J705"")"),"")</f>
        <v/>
      </c>
      <c r="AB46" s="186" t="str">
        <f ca="1">IFERROR(__xludf.DUMMYFUNCTION("IMPORTRANGE(""https://docs.google.com/spreadsheets/d/1wPdvRbu02d33MYVlbsCnyTiZpefEBs9NNktAnT1HZvw/edit?usp=sharing"",""สุรินทร์!J706"")"),"")</f>
        <v/>
      </c>
      <c r="AC46" s="186" t="str">
        <f ca="1">IFERROR(__xludf.DUMMYFUNCTION("IMPORTRANGE(""https://docs.google.com/spreadsheets/d/1wPdvRbu02d33MYVlbsCnyTiZpefEBs9NNktAnT1HZvw/edit?usp=sharing"",""สุรินทร์!J707"")"),"")</f>
        <v/>
      </c>
      <c r="AD46" s="181">
        <f ca="1">IFERROR(__xludf.DUMMYFUNCTION("IMPORTRANGE(""https://docs.google.com/spreadsheets/d/1wPdvRbu02d33MYVlbsCnyTiZpefEBs9NNktAnT1HZvw/edit?usp=sharing"",""สุรินทร์!I708"")"),342)</f>
        <v>342</v>
      </c>
      <c r="AE46" s="181">
        <f ca="1">IFERROR(__xludf.DUMMYFUNCTION("IMPORTRANGE(""https://docs.google.com/spreadsheets/d/1wPdvRbu02d33MYVlbsCnyTiZpefEBs9NNktAnT1HZvw/edit?usp=sharing"",""สุรินทร์!J708"")"),0)</f>
        <v>0</v>
      </c>
      <c r="AF46" s="186">
        <f t="shared" ca="1" si="34"/>
        <v>0</v>
      </c>
      <c r="AG46" s="181">
        <f ca="1">IFERROR(__xludf.DUMMYFUNCTION("IMPORTRANGE(""https://docs.google.com/spreadsheets/d/1wPdvRbu02d33MYVlbsCnyTiZpefEBs9NNktAnT1HZvw/edit?usp=sharing"",""สุรินทร์!J709"")"),0)</f>
        <v>0</v>
      </c>
      <c r="AH46" s="181">
        <f ca="1">IFERROR(__xludf.DUMMYFUNCTION("IMPORTRANGE(""https://docs.google.com/spreadsheets/d/1wPdvRbu02d33MYVlbsCnyTiZpefEBs9NNktAnT1HZvw/edit?usp=sharing"",""สุรินทร์!J710"")"),0)</f>
        <v>0</v>
      </c>
      <c r="AI46" s="181">
        <f ca="1">IFERROR(__xludf.DUMMYFUNCTION("IMPORTRANGE(""https://docs.google.com/spreadsheets/d/1wPdvRbu02d33MYVlbsCnyTiZpefEBs9NNktAnT1HZvw/edit?usp=sharing"",""สุรินทร์!J712"")"),0)</f>
        <v>0</v>
      </c>
      <c r="AJ46" s="181">
        <f ca="1">IFERROR(__xludf.DUMMYFUNCTION("IMPORTRANGE(""https://docs.google.com/spreadsheets/d/1wPdvRbu02d33MYVlbsCnyTiZpefEBs9NNktAnT1HZvw/edit?usp=sharing"",""สุรินทร์!J713"")"),0)</f>
        <v>0</v>
      </c>
      <c r="AK46" s="181">
        <f ca="1">IFERROR(__xludf.DUMMYFUNCTION("IMPORTRANGE(""https://docs.google.com/spreadsheets/d/1wPdvRbu02d33MYVlbsCnyTiZpefEBs9NNktAnT1HZvw/edit?usp=sharing"",""สุรินทร์!J714"")"),0)</f>
        <v>0</v>
      </c>
      <c r="AL46" s="181">
        <f ca="1">IFERROR(__xludf.DUMMYFUNCTION("IMPORTRANGE(""https://docs.google.com/spreadsheets/d/1wPdvRbu02d33MYVlbsCnyTiZpefEBs9NNktAnT1HZvw/edit?usp=sharing"",""สุรินทร์!J715"")"),0)</f>
        <v>0</v>
      </c>
      <c r="AM46" s="181">
        <f ca="1">IFERROR(__xludf.DUMMYFUNCTION("IMPORTRANGE(""https://docs.google.com/spreadsheets/d/1wPdvRbu02d33MYVlbsCnyTiZpefEBs9NNktAnT1HZvw/edit?usp=sharing"",""สุรินทร์!J716"")"),0)</f>
        <v>0</v>
      </c>
      <c r="AN46" s="181">
        <f ca="1">IFERROR(__xludf.DUMMYFUNCTION("IMPORTRANGE(""https://docs.google.com/spreadsheets/d/1wPdvRbu02d33MYVlbsCnyTiZpefEBs9NNktAnT1HZvw/edit?usp=sharing"",""สุรินทร์!J717"")"),0)</f>
        <v>0</v>
      </c>
      <c r="AO46" s="181">
        <f ca="1">IFERROR(__xludf.DUMMYFUNCTION("IMPORTRANGE(""https://docs.google.com/spreadsheets/d/1wPdvRbu02d33MYVlbsCnyTiZpefEBs9NNktAnT1HZvw/edit?usp=sharing"",""สุรินทร์!I720"")"),130)</f>
        <v>130</v>
      </c>
      <c r="AP46" s="181">
        <f ca="1">IFERROR(__xludf.DUMMYFUNCTION("IMPORTRANGE(""https://docs.google.com/spreadsheets/d/1wPdvRbu02d33MYVlbsCnyTiZpefEBs9NNktAnT1HZvw/edit?usp=sharing"",""สุรินทร์!J718"")"),0)</f>
        <v>0</v>
      </c>
      <c r="AQ46" s="181">
        <f ca="1">IFERROR(__xludf.DUMMYFUNCTION("IMPORTRANGE(""https://docs.google.com/spreadsheets/d/1wPdvRbu02d33MYVlbsCnyTiZpefEBs9NNktAnT1HZvw/edit?usp=sharing"",""สุรินทร์!J719"")"),0)</f>
        <v>0</v>
      </c>
      <c r="AR46" s="181">
        <f ca="1">IFERROR(__xludf.DUMMYFUNCTION("IMPORTRANGE(""https://docs.google.com/spreadsheets/d/1wPdvRbu02d33MYVlbsCnyTiZpefEBs9NNktAnT1HZvw/edit?usp=sharing"",""สุรินทร์!J720"")"),0)</f>
        <v>0</v>
      </c>
      <c r="AS46" s="186">
        <f t="shared" ca="1" si="14"/>
        <v>0</v>
      </c>
      <c r="AT46" s="181">
        <f ca="1">IFERROR(__xludf.DUMMYFUNCTION("IMPORTRANGE(""https://docs.google.com/spreadsheets/d/1wPdvRbu02d33MYVlbsCnyTiZpefEBs9NNktAnT1HZvw/edit?usp=sharing"",""สุรินทร์!I721"")"),0)</f>
        <v>0</v>
      </c>
      <c r="AU46" s="181">
        <f ca="1">IFERROR(__xludf.DUMMYFUNCTION("IMPORTRANGE(""https://docs.google.com/spreadsheets/d/1wPdvRbu02d33MYVlbsCnyTiZpefEBs9NNktAnT1HZvw/edit?usp=sharing"",""สุรินทร์!I722"")"),0)</f>
        <v>0</v>
      </c>
      <c r="AV46" s="181">
        <f ca="1">IFERROR(__xludf.DUMMYFUNCTION("IMPORTRANGE(""https://docs.google.com/spreadsheets/d/1wPdvRbu02d33MYVlbsCnyTiZpefEBs9NNktAnT1HZvw/edit?usp=sharing"",""สุรินทร์!J721"")"),0)</f>
        <v>0</v>
      </c>
      <c r="AW46" s="186">
        <f t="shared" ca="1" si="16"/>
        <v>0</v>
      </c>
      <c r="AX46" s="181">
        <f ca="1">IFERROR(__xludf.DUMMYFUNCTION("IMPORTRANGE(""https://docs.google.com/spreadsheets/d/1wPdvRbu02d33MYVlbsCnyTiZpefEBs9NNktAnT1HZvw/edit?usp=sharing"",""สุรินทร์!J722"")"),0)</f>
        <v>0</v>
      </c>
      <c r="AY46" s="186">
        <f t="shared" ca="1" si="17"/>
        <v>0</v>
      </c>
      <c r="AZ46" s="181">
        <f ca="1">IFERROR(__xludf.DUMMYFUNCTION("IMPORTRANGE(""https://docs.google.com/spreadsheets/d/1wPdvRbu02d33MYVlbsCnyTiZpefEBs9NNktAnT1HZvw/edit?usp=sharing"",""สุรินทร์!I723"")"),0)</f>
        <v>0</v>
      </c>
      <c r="BA46" s="181">
        <f ca="1">IFERROR(__xludf.DUMMYFUNCTION("IMPORTRANGE(""https://docs.google.com/spreadsheets/d/1wPdvRbu02d33MYVlbsCnyTiZpefEBs9NNktAnT1HZvw/edit?usp=sharing"",""สุรินทร์!I725"")"),0)</f>
        <v>0</v>
      </c>
      <c r="BB46" s="181">
        <f ca="1">IFERROR(__xludf.DUMMYFUNCTION("IMPORTRANGE(""https://docs.google.com/spreadsheets/d/1wPdvRbu02d33MYVlbsCnyTiZpefEBs9NNktAnT1HZvw/edit?usp=sharing"",""สุรินทร์!J723"")"),0)</f>
        <v>0</v>
      </c>
      <c r="BC46" s="181">
        <f ca="1">IFERROR(__xludf.DUMMYFUNCTION("IMPORTRANGE(""https://docs.google.com/spreadsheets/d/1wPdvRbu02d33MYVlbsCnyTiZpefEBs9NNktAnT1HZvw/edit?usp=sharing"",""สุรินทร์!J724"")"),0)</f>
        <v>0</v>
      </c>
      <c r="BD46" s="181">
        <f ca="1">IFERROR(__xludf.DUMMYFUNCTION("IMPORTRANGE(""https://docs.google.com/spreadsheets/d/1wPdvRbu02d33MYVlbsCnyTiZpefEBs9NNktAnT1HZvw/edit?usp=sharing"",""สุรินทร์!J725"")"),0)</f>
        <v>0</v>
      </c>
      <c r="BE46" s="181">
        <f ca="1">IFERROR(__xludf.DUMMYFUNCTION("IMPORTRANGE(""https://docs.google.com/spreadsheets/d/1wPdvRbu02d33MYVlbsCnyTiZpefEBs9NNktAnT1HZvw/edit?usp=sharing"",""สุรินทร์!I726"")"),0)</f>
        <v>0</v>
      </c>
      <c r="BF46" s="181">
        <f ca="1">IFERROR(__xludf.DUMMYFUNCTION("IMPORTRANGE(""https://docs.google.com/spreadsheets/d/1wPdvRbu02d33MYVlbsCnyTiZpefEBs9NNktAnT1HZvw/edit?usp=sharing"",""สุรินทร์!I728"")"),0)</f>
        <v>0</v>
      </c>
      <c r="BG46" s="181">
        <f ca="1">IFERROR(__xludf.DUMMYFUNCTION("IMPORTRANGE(""https://docs.google.com/spreadsheets/d/1wPdvRbu02d33MYVlbsCnyTiZpefEBs9NNktAnT1HZvw/edit?usp=sharing"",""สุรินทร์!J726"")"),0)</f>
        <v>0</v>
      </c>
      <c r="BH46" s="181">
        <f ca="1">IFERROR(__xludf.DUMMYFUNCTION("IMPORTRANGE(""https://docs.google.com/spreadsheets/d/1wPdvRbu02d33MYVlbsCnyTiZpefEBs9NNktAnT1HZvw/edit?usp=sharing"",""สุรินทร์!J727"")"),0)</f>
        <v>0</v>
      </c>
      <c r="BI46" s="181">
        <f ca="1">IFERROR(__xludf.DUMMYFUNCTION("IMPORTRANGE(""https://docs.google.com/spreadsheets/d/1wPdvRbu02d33MYVlbsCnyTiZpefEBs9NNktAnT1HZvw/edit?usp=sharing"",""สุรินทร์!J728"")"),0)</f>
        <v>0</v>
      </c>
      <c r="BJ46" s="181">
        <f ca="1">IFERROR(__xludf.DUMMYFUNCTION("IMPORTRANGE(""https://docs.google.com/spreadsheets/d/1wPdvRbu02d33MYVlbsCnyTiZpefEBs9NNktAnT1HZvw/edit?usp=sharing"",""สุรินทร์!I729"")"),0)</f>
        <v>0</v>
      </c>
      <c r="BK46" s="181">
        <f ca="1">IFERROR(__xludf.DUMMYFUNCTION("IMPORTRANGE(""https://docs.google.com/spreadsheets/d/1wPdvRbu02d33MYVlbsCnyTiZpefEBs9NNktAnT1HZvw/edit?usp=sharing"",""สุรินทร์!J729"")"),0)</f>
        <v>0</v>
      </c>
      <c r="BL46" s="186">
        <f t="shared" ca="1" si="19"/>
        <v>0</v>
      </c>
      <c r="BM46" s="181">
        <f ca="1">IFERROR(__xludf.DUMMYFUNCTION("IMPORTRANGE(""https://docs.google.com/spreadsheets/d/1wPdvRbu02d33MYVlbsCnyTiZpefEBs9NNktAnT1HZvw/edit?usp=sharing"",""สุรินทร์!J730"")"),0)</f>
        <v>0</v>
      </c>
      <c r="BN46" s="181">
        <f ca="1">IFERROR(__xludf.DUMMYFUNCTION("IMPORTRANGE(""https://docs.google.com/spreadsheets/d/1wPdvRbu02d33MYVlbsCnyTiZpefEBs9NNktAnT1HZvw/edit?usp=sharing"",""สุรินทร์!J731"")"),0)</f>
        <v>0</v>
      </c>
      <c r="BO46" s="181">
        <f ca="1">IFERROR(__xludf.DUMMYFUNCTION("IMPORTRANGE(""https://docs.google.com/spreadsheets/d/1wPdvRbu02d33MYVlbsCnyTiZpefEBs9NNktAnT1HZvw/edit?usp=sharing"",""สุรินทร์!J732"")"),0)</f>
        <v>0</v>
      </c>
      <c r="BP46" s="181">
        <f ca="1">IFERROR(__xludf.DUMMYFUNCTION("IMPORTRANGE(""https://docs.google.com/spreadsheets/d/1wPdvRbu02d33MYVlbsCnyTiZpefEBs9NNktAnT1HZvw/edit?usp=sharing"",""สุรินทร์!J733"")"),0)</f>
        <v>0</v>
      </c>
      <c r="BQ46" s="181">
        <f ca="1">IFERROR(__xludf.DUMMYFUNCTION("IMPORTRANGE(""https://docs.google.com/spreadsheets/d/1wPdvRbu02d33MYVlbsCnyTiZpefEBs9NNktAnT1HZvw/edit?usp=sharing"",""สุรินทร์!J734"")"),0)</f>
        <v>0</v>
      </c>
      <c r="BR46" s="181">
        <f ca="1">IFERROR(__xludf.DUMMYFUNCTION("IMPORTRANGE(""https://docs.google.com/spreadsheets/d/1wPdvRbu02d33MYVlbsCnyTiZpefEBs9NNktAnT1HZvw/edit?usp=sharing"",""สุรินทร์!J735"")"),0)</f>
        <v>0</v>
      </c>
    </row>
    <row r="47" spans="1:70" ht="21" customHeight="1" x14ac:dyDescent="0.3">
      <c r="A47" s="178">
        <v>16</v>
      </c>
      <c r="B47" s="179" t="s">
        <v>64</v>
      </c>
      <c r="C47" s="180">
        <f t="shared" ca="1" si="58"/>
        <v>6190</v>
      </c>
      <c r="D47" s="181">
        <f ca="1">IFERROR(__xludf.DUMMYFUNCTION("IMPORTRANGE(""https://docs.google.com/spreadsheets/d/1GVExpf-Exi_2gmuqTYH28fseTB9MoKPXWcXCbSt_YrM/edit?usp=sharing"",""หนองคาย!L690"")"),6190)</f>
        <v>6190</v>
      </c>
      <c r="E47" s="187">
        <f ca="1">IFERROR(__xludf.DUMMYFUNCTION("IMPORTRANGE(""https://docs.google.com/spreadsheets/d/1GVExpf-Exi_2gmuqTYH28fseTB9MoKPXWcXCbSt_YrM/edit?usp=sharing"",""หนองคาย!L697"")"),0)</f>
        <v>0</v>
      </c>
      <c r="F47" s="182">
        <f t="shared" ca="1" si="1"/>
        <v>860</v>
      </c>
      <c r="G47" s="183">
        <f t="shared" ca="1" si="2"/>
        <v>13.893376413570275</v>
      </c>
      <c r="H47" s="184">
        <f t="shared" ca="1" si="59"/>
        <v>860</v>
      </c>
      <c r="I47" s="187">
        <f ca="1">IFERROR(__xludf.DUMMYFUNCTION("IMPORTRANGE(""https://docs.google.com/spreadsheets/d/1GVExpf-Exi_2gmuqTYH28fseTB9MoKPXWcXCbSt_YrM/edit?usp=sharing"",""หนองคาย!N691"")"),0)</f>
        <v>0</v>
      </c>
      <c r="J47" s="187">
        <f ca="1">IFERROR(__xludf.DUMMYFUNCTION("IMPORTRANGE(""https://docs.google.com/spreadsheets/d/1GVExpf-Exi_2gmuqTYH28fseTB9MoKPXWcXCbSt_YrM/edit?usp=sharing"",""หนองคาย!N692"")"),0)</f>
        <v>0</v>
      </c>
      <c r="K47" s="187">
        <f ca="1">IFERROR(__xludf.DUMMYFUNCTION("IMPORTRANGE(""https://docs.google.com/spreadsheets/d/1GVExpf-Exi_2gmuqTYH28fseTB9MoKPXWcXCbSt_YrM/edit?usp=sharing"",""หนองคาย!N693"")"),0)</f>
        <v>0</v>
      </c>
      <c r="L47" s="187">
        <f ca="1">IFERROR(__xludf.DUMMYFUNCTION("IMPORTRANGE(""https://docs.google.com/spreadsheets/d/1GVExpf-Exi_2gmuqTYH28fseTB9MoKPXWcXCbSt_YrM/edit?usp=sharing"",""หนองคาย!N694"")"),860)</f>
        <v>860</v>
      </c>
      <c r="M47" s="185">
        <f ca="1">IFERROR(__xludf.DUMMYFUNCTION("IMPORTRANGE(""https://docs.google.com/spreadsheets/d/1GVExpf-Exi_2gmuqTYH28fseTB9MoKPXWcXCbSt_YrM/edit?usp=sharing"",""หนองคาย!N697"")"),0)</f>
        <v>0</v>
      </c>
      <c r="N47" s="185">
        <f t="shared" ca="1" si="37"/>
        <v>0</v>
      </c>
      <c r="O47" s="181">
        <f ca="1">IFERROR(__xludf.DUMMYFUNCTION("IMPORTRANGE(""https://docs.google.com/spreadsheets/d/1GVExpf-Exi_2gmuqTYH28fseTB9MoKPXWcXCbSt_YrM/edit?usp=sharing"",""หนองคาย!I699"")"),0)</f>
        <v>0</v>
      </c>
      <c r="P47" s="181">
        <f ca="1">IFERROR(__xludf.DUMMYFUNCTION("IMPORTRANGE(""https://docs.google.com/spreadsheets/d/1GVExpf-Exi_2gmuqTYH28fseTB9MoKPXWcXCbSt_YrM/edit?usp=sharing"",""หนองคาย!J699"")"),0)</f>
        <v>0</v>
      </c>
      <c r="Q47" s="186">
        <f t="shared" ca="1" si="31"/>
        <v>0</v>
      </c>
      <c r="R47" s="181">
        <f ca="1">IFERROR(__xludf.DUMMYFUNCTION("IMPORTRANGE(""https://docs.google.com/spreadsheets/d/1GVExpf-Exi_2gmuqTYH28fseTB9MoKPXWcXCbSt_YrM/edit?usp=sharing"",""หนองคาย!I700"")"),0)</f>
        <v>0</v>
      </c>
      <c r="S47" s="181">
        <f ca="1">IFERROR(__xludf.DUMMYFUNCTION("IMPORTRANGE(""https://docs.google.com/spreadsheets/d/1GVExpf-Exi_2gmuqTYH28fseTB9MoKPXWcXCbSt_YrM/edit?usp=sharing"",""หนองคาย!J700"")"),0)</f>
        <v>0</v>
      </c>
      <c r="T47" s="186">
        <f t="shared" ca="1" si="32"/>
        <v>0</v>
      </c>
      <c r="U47" s="181">
        <f ca="1">IFERROR(__xludf.DUMMYFUNCTION("IMPORTRANGE(""https://docs.google.com/spreadsheets/d/1GVExpf-Exi_2gmuqTYH28fseTB9MoKPXWcXCbSt_YrM/edit?usp=sharing"",""หนองคาย!I701"")"),20)</f>
        <v>20</v>
      </c>
      <c r="V47" s="181">
        <f ca="1">IFERROR(__xludf.DUMMYFUNCTION("IMPORTRANGE(""https://docs.google.com/spreadsheets/d/1GVExpf-Exi_2gmuqTYH28fseTB9MoKPXWcXCbSt_YrM/edit?usp=sharing"",""หนองคาย!J701"")"),48.95)</f>
        <v>48.95</v>
      </c>
      <c r="W47" s="186">
        <f t="shared" ca="1" si="33"/>
        <v>244.75</v>
      </c>
      <c r="X47" s="186">
        <f ca="1">IFERROR(__xludf.DUMMYFUNCTION("IMPORTRANGE(""https://docs.google.com/spreadsheets/d/1GVExpf-Exi_2gmuqTYH28fseTB9MoKPXWcXCbSt_YrM/edit?usp=sharing"",""หนองคาย!J702"")"),2)</f>
        <v>2</v>
      </c>
      <c r="Y47" s="186">
        <f ca="1">IFERROR(__xludf.DUMMYFUNCTION("IMPORTRANGE(""https://docs.google.com/spreadsheets/d/1GVExpf-Exi_2gmuqTYH28fseTB9MoKPXWcXCbSt_YrM/edit?usp=sharing"",""หนองคาย!J703"")"),3)</f>
        <v>3</v>
      </c>
      <c r="Z47" s="186">
        <f ca="1">IFERROR(__xludf.DUMMYFUNCTION("IMPORTRANGE(""https://docs.google.com/spreadsheets/d/1GVExpf-Exi_2gmuqTYH28fseTB9MoKPXWcXCbSt_YrM/edit?usp=sharing"",""หนองคาย!J704"")"),48.95)</f>
        <v>48.95</v>
      </c>
      <c r="AA47" s="186" t="str">
        <f ca="1">IFERROR(__xludf.DUMMYFUNCTION("IMPORTRANGE(""https://docs.google.com/spreadsheets/d/1GVExpf-Exi_2gmuqTYH28fseTB9MoKPXWcXCbSt_YrM/edit?usp=sharing"",""หนองคาย!J705"")"),"")</f>
        <v/>
      </c>
      <c r="AB47" s="186">
        <f ca="1">IFERROR(__xludf.DUMMYFUNCTION("IMPORTRANGE(""https://docs.google.com/spreadsheets/d/1GVExpf-Exi_2gmuqTYH28fseTB9MoKPXWcXCbSt_YrM/edit?usp=sharing"",""หนองคาย!J706"")"),0)</f>
        <v>0</v>
      </c>
      <c r="AC47" s="186">
        <f ca="1">IFERROR(__xludf.DUMMYFUNCTION("IMPORTRANGE(""https://docs.google.com/spreadsheets/d/1GVExpf-Exi_2gmuqTYH28fseTB9MoKPXWcXCbSt_YrM/edit?usp=sharing"",""หนองคาย!J707"")"),0)</f>
        <v>0</v>
      </c>
      <c r="AD47" s="181">
        <f ca="1">IFERROR(__xludf.DUMMYFUNCTION("IMPORTRANGE(""https://docs.google.com/spreadsheets/d/1GVExpf-Exi_2gmuqTYH28fseTB9MoKPXWcXCbSt_YrM/edit?usp=sharing"",""หนองคาย!I708"")"),0)</f>
        <v>0</v>
      </c>
      <c r="AE47" s="181">
        <f ca="1">IFERROR(__xludf.DUMMYFUNCTION("IMPORTRANGE(""https://docs.google.com/spreadsheets/d/1GVExpf-Exi_2gmuqTYH28fseTB9MoKPXWcXCbSt_YrM/edit?usp=sharing"",""หนองคาย!J708"")"),0)</f>
        <v>0</v>
      </c>
      <c r="AF47" s="186">
        <f t="shared" ca="1" si="34"/>
        <v>0</v>
      </c>
      <c r="AG47" s="181">
        <f ca="1">IFERROR(__xludf.DUMMYFUNCTION("IMPORTRANGE(""https://docs.google.com/spreadsheets/d/1GVExpf-Exi_2gmuqTYH28fseTB9MoKPXWcXCbSt_YrM/edit?usp=sharing"",""หนองคาย!J709"")"),0)</f>
        <v>0</v>
      </c>
      <c r="AH47" s="181">
        <f ca="1">IFERROR(__xludf.DUMMYFUNCTION("IMPORTRANGE(""https://docs.google.com/spreadsheets/d/1GVExpf-Exi_2gmuqTYH28fseTB9MoKPXWcXCbSt_YrM/edit?usp=sharing"",""หนองคาย!J710"")"),0)</f>
        <v>0</v>
      </c>
      <c r="AI47" s="181">
        <f ca="1">IFERROR(__xludf.DUMMYFUNCTION("IMPORTRANGE(""https://docs.google.com/spreadsheets/d/1GVExpf-Exi_2gmuqTYH28fseTB9MoKPXWcXCbSt_YrM/edit?usp=sharing"",""หนองคาย!J712"")"),0)</f>
        <v>0</v>
      </c>
      <c r="AJ47" s="181">
        <f ca="1">IFERROR(__xludf.DUMMYFUNCTION("IMPORTRANGE(""https://docs.google.com/spreadsheets/d/1GVExpf-Exi_2gmuqTYH28fseTB9MoKPXWcXCbSt_YrM/edit?usp=sharing"",""หนองคาย!J713"")"),0)</f>
        <v>0</v>
      </c>
      <c r="AK47" s="181">
        <f ca="1">IFERROR(__xludf.DUMMYFUNCTION("IMPORTRANGE(""https://docs.google.com/spreadsheets/d/1GVExpf-Exi_2gmuqTYH28fseTB9MoKPXWcXCbSt_YrM/edit?usp=sharing"",""หนองคาย!J714"")"),0)</f>
        <v>0</v>
      </c>
      <c r="AL47" s="181">
        <f ca="1">IFERROR(__xludf.DUMMYFUNCTION("IMPORTRANGE(""https://docs.google.com/spreadsheets/d/1GVExpf-Exi_2gmuqTYH28fseTB9MoKPXWcXCbSt_YrM/edit?usp=sharing"",""หนองคาย!J715"")"),0)</f>
        <v>0</v>
      </c>
      <c r="AM47" s="181">
        <f ca="1">IFERROR(__xludf.DUMMYFUNCTION("IMPORTRANGE(""https://docs.google.com/spreadsheets/d/1GVExpf-Exi_2gmuqTYH28fseTB9MoKPXWcXCbSt_YrM/edit?usp=sharing"",""หนองคาย!J716"")"),0)</f>
        <v>0</v>
      </c>
      <c r="AN47" s="181">
        <f ca="1">IFERROR(__xludf.DUMMYFUNCTION("IMPORTRANGE(""https://docs.google.com/spreadsheets/d/1GVExpf-Exi_2gmuqTYH28fseTB9MoKPXWcXCbSt_YrM/edit?usp=sharing"",""หนองคาย!J717"")"),0)</f>
        <v>0</v>
      </c>
      <c r="AO47" s="181">
        <f ca="1">IFERROR(__xludf.DUMMYFUNCTION("IMPORTRANGE(""https://docs.google.com/spreadsheets/d/1GVExpf-Exi_2gmuqTYH28fseTB9MoKPXWcXCbSt_YrM/edit?usp=sharing"",""หนองคาย!I720"")"),77)</f>
        <v>77</v>
      </c>
      <c r="AP47" s="181">
        <f ca="1">IFERROR(__xludf.DUMMYFUNCTION("IMPORTRANGE(""https://docs.google.com/spreadsheets/d/1GVExpf-Exi_2gmuqTYH28fseTB9MoKPXWcXCbSt_YrM/edit?usp=sharing"",""หนองคาย!J718"")"),0)</f>
        <v>0</v>
      </c>
      <c r="AQ47" s="181">
        <f ca="1">IFERROR(__xludf.DUMMYFUNCTION("IMPORTRANGE(""https://docs.google.com/spreadsheets/d/1GVExpf-Exi_2gmuqTYH28fseTB9MoKPXWcXCbSt_YrM/edit?usp=sharing"",""หนองคาย!J719"")"),0)</f>
        <v>0</v>
      </c>
      <c r="AR47" s="181">
        <f ca="1">IFERROR(__xludf.DUMMYFUNCTION("IMPORTRANGE(""https://docs.google.com/spreadsheets/d/1GVExpf-Exi_2gmuqTYH28fseTB9MoKPXWcXCbSt_YrM/edit?usp=sharing"",""หนองคาย!J720"")"),0)</f>
        <v>0</v>
      </c>
      <c r="AS47" s="186">
        <f t="shared" ca="1" si="14"/>
        <v>0</v>
      </c>
      <c r="AT47" s="181">
        <f ca="1">IFERROR(__xludf.DUMMYFUNCTION("IMPORTRANGE(""https://docs.google.com/spreadsheets/d/1GVExpf-Exi_2gmuqTYH28fseTB9MoKPXWcXCbSt_YrM/edit?usp=sharing"",""หนองคาย!I721"")"),4)</f>
        <v>4</v>
      </c>
      <c r="AU47" s="181">
        <f ca="1">IFERROR(__xludf.DUMMYFUNCTION("IMPORTRANGE(""https://docs.google.com/spreadsheets/d/1GVExpf-Exi_2gmuqTYH28fseTB9MoKPXWcXCbSt_YrM/edit?usp=sharing"",""หนองคาย!I722"")"),40)</f>
        <v>40</v>
      </c>
      <c r="AV47" s="181">
        <f ca="1">IFERROR(__xludf.DUMMYFUNCTION("IMPORTRANGE(""https://docs.google.com/spreadsheets/d/1GVExpf-Exi_2gmuqTYH28fseTB9MoKPXWcXCbSt_YrM/edit?usp=sharing"",""หนองคาย!J721"")"),0)</f>
        <v>0</v>
      </c>
      <c r="AW47" s="186">
        <f t="shared" ca="1" si="16"/>
        <v>0</v>
      </c>
      <c r="AX47" s="181">
        <f ca="1">IFERROR(__xludf.DUMMYFUNCTION("IMPORTRANGE(""https://docs.google.com/spreadsheets/d/1GVExpf-Exi_2gmuqTYH28fseTB9MoKPXWcXCbSt_YrM/edit?usp=sharing"",""หนองคาย!J722"")"),0)</f>
        <v>0</v>
      </c>
      <c r="AY47" s="186">
        <f t="shared" ca="1" si="17"/>
        <v>0</v>
      </c>
      <c r="AZ47" s="181">
        <f ca="1">IFERROR(__xludf.DUMMYFUNCTION("IMPORTRANGE(""https://docs.google.com/spreadsheets/d/1GVExpf-Exi_2gmuqTYH28fseTB9MoKPXWcXCbSt_YrM/edit?usp=sharing"",""หนองคาย!I723"")"),2)</f>
        <v>2</v>
      </c>
      <c r="BA47" s="181">
        <f ca="1">IFERROR(__xludf.DUMMYFUNCTION("IMPORTRANGE(""https://docs.google.com/spreadsheets/d/1GVExpf-Exi_2gmuqTYH28fseTB9MoKPXWcXCbSt_YrM/edit?usp=sharing"",""หนองคาย!I725"")"),20)</f>
        <v>20</v>
      </c>
      <c r="BB47" s="181">
        <f ca="1">IFERROR(__xludf.DUMMYFUNCTION("IMPORTRANGE(""https://docs.google.com/spreadsheets/d/1GVExpf-Exi_2gmuqTYH28fseTB9MoKPXWcXCbSt_YrM/edit?usp=sharing"",""หนองคาย!J723"")"),0)</f>
        <v>0</v>
      </c>
      <c r="BC47" s="181">
        <f ca="1">IFERROR(__xludf.DUMMYFUNCTION("IMPORTRANGE(""https://docs.google.com/spreadsheets/d/1GVExpf-Exi_2gmuqTYH28fseTB9MoKPXWcXCbSt_YrM/edit?usp=sharing"",""หนองคาย!J724"")"),0)</f>
        <v>0</v>
      </c>
      <c r="BD47" s="181">
        <f ca="1">IFERROR(__xludf.DUMMYFUNCTION("IMPORTRANGE(""https://docs.google.com/spreadsheets/d/1GVExpf-Exi_2gmuqTYH28fseTB9MoKPXWcXCbSt_YrM/edit?usp=sharing"",""หนองคาย!J725"")"),0)</f>
        <v>0</v>
      </c>
      <c r="BE47" s="181">
        <f ca="1">IFERROR(__xludf.DUMMYFUNCTION("IMPORTRANGE(""https://docs.google.com/spreadsheets/d/1GVExpf-Exi_2gmuqTYH28fseTB9MoKPXWcXCbSt_YrM/edit?usp=sharing"",""หนองคาย!I726"")"),2)</f>
        <v>2</v>
      </c>
      <c r="BF47" s="181">
        <f ca="1">IFERROR(__xludf.DUMMYFUNCTION("IMPORTRANGE(""https://docs.google.com/spreadsheets/d/1GVExpf-Exi_2gmuqTYH28fseTB9MoKPXWcXCbSt_YrM/edit?usp=sharing"",""หนองคาย!I728"")"),20)</f>
        <v>20</v>
      </c>
      <c r="BG47" s="181">
        <f ca="1">IFERROR(__xludf.DUMMYFUNCTION("IMPORTRANGE(""https://docs.google.com/spreadsheets/d/1GVExpf-Exi_2gmuqTYH28fseTB9MoKPXWcXCbSt_YrM/edit?usp=sharing"",""หนองคาย!J726"")"),0)</f>
        <v>0</v>
      </c>
      <c r="BH47" s="181">
        <f ca="1">IFERROR(__xludf.DUMMYFUNCTION("IMPORTRANGE(""https://docs.google.com/spreadsheets/d/1GVExpf-Exi_2gmuqTYH28fseTB9MoKPXWcXCbSt_YrM/edit?usp=sharing"",""หนองคาย!J727"")"),0)</f>
        <v>0</v>
      </c>
      <c r="BI47" s="181">
        <f ca="1">IFERROR(__xludf.DUMMYFUNCTION("IMPORTRANGE(""https://docs.google.com/spreadsheets/d/1GVExpf-Exi_2gmuqTYH28fseTB9MoKPXWcXCbSt_YrM/edit?usp=sharing"",""หนองคาย!J728"")"),0)</f>
        <v>0</v>
      </c>
      <c r="BJ47" s="181">
        <f ca="1">IFERROR(__xludf.DUMMYFUNCTION("IMPORTRANGE(""https://docs.google.com/spreadsheets/d/1GVExpf-Exi_2gmuqTYH28fseTB9MoKPXWcXCbSt_YrM/edit?usp=sharing"",""หนองคาย!I729"")"),0)</f>
        <v>0</v>
      </c>
      <c r="BK47" s="181">
        <f ca="1">IFERROR(__xludf.DUMMYFUNCTION("IMPORTRANGE(""https://docs.google.com/spreadsheets/d/1GVExpf-Exi_2gmuqTYH28fseTB9MoKPXWcXCbSt_YrM/edit?usp=sharing"",""หนองคาย!J729"")"),0)</f>
        <v>0</v>
      </c>
      <c r="BL47" s="186">
        <f t="shared" ca="1" si="19"/>
        <v>0</v>
      </c>
      <c r="BM47" s="181">
        <f ca="1">IFERROR(__xludf.DUMMYFUNCTION("IMPORTRANGE(""https://docs.google.com/spreadsheets/d/1GVExpf-Exi_2gmuqTYH28fseTB9MoKPXWcXCbSt_YrM/edit?usp=sharing"",""หนองคาย!J730"")"),0)</f>
        <v>0</v>
      </c>
      <c r="BN47" s="181">
        <f ca="1">IFERROR(__xludf.DUMMYFUNCTION("IMPORTRANGE(""https://docs.google.com/spreadsheets/d/1GVExpf-Exi_2gmuqTYH28fseTB9MoKPXWcXCbSt_YrM/edit?usp=sharing"",""หนองคาย!J731"")"),0)</f>
        <v>0</v>
      </c>
      <c r="BO47" s="181">
        <f ca="1">IFERROR(__xludf.DUMMYFUNCTION("IMPORTRANGE(""https://docs.google.com/spreadsheets/d/1GVExpf-Exi_2gmuqTYH28fseTB9MoKPXWcXCbSt_YrM/edit?usp=sharing"",""หนองคาย!J732"")"),0)</f>
        <v>0</v>
      </c>
      <c r="BP47" s="181">
        <f ca="1">IFERROR(__xludf.DUMMYFUNCTION("IMPORTRANGE(""https://docs.google.com/spreadsheets/d/1GVExpf-Exi_2gmuqTYH28fseTB9MoKPXWcXCbSt_YrM/edit?usp=sharing"",""หนองคาย!J733"")"),0)</f>
        <v>0</v>
      </c>
      <c r="BQ47" s="181">
        <f ca="1">IFERROR(__xludf.DUMMYFUNCTION("IMPORTRANGE(""https://docs.google.com/spreadsheets/d/1GVExpf-Exi_2gmuqTYH28fseTB9MoKPXWcXCbSt_YrM/edit?usp=sharing"",""หนองคาย!J734"")"),0)</f>
        <v>0</v>
      </c>
      <c r="BR47" s="181">
        <f ca="1">IFERROR(__xludf.DUMMYFUNCTION("IMPORTRANGE(""https://docs.google.com/spreadsheets/d/1GVExpf-Exi_2gmuqTYH28fseTB9MoKPXWcXCbSt_YrM/edit?usp=sharing"",""หนองคาย!J735"")"),0)</f>
        <v>0</v>
      </c>
    </row>
    <row r="48" spans="1:70" ht="21" customHeight="1" x14ac:dyDescent="0.3">
      <c r="A48" s="178">
        <v>17</v>
      </c>
      <c r="B48" s="179" t="s">
        <v>65</v>
      </c>
      <c r="C48" s="180">
        <f t="shared" ca="1" si="58"/>
        <v>3080</v>
      </c>
      <c r="D48" s="181">
        <f ca="1">IFERROR(__xludf.DUMMYFUNCTION("IMPORTRANGE(""https://docs.google.com/spreadsheets/d/16UeMz0UgOB5BZcoxP75eYGcLFtGYRn9GoesD4OX9m5U/edit?usp=sharing"",""หนองบัวลำภู!L690"")"),3080)</f>
        <v>3080</v>
      </c>
      <c r="E48" s="187">
        <f ca="1">IFERROR(__xludf.DUMMYFUNCTION("IMPORTRANGE(""https://docs.google.com/spreadsheets/d/16UeMz0UgOB5BZcoxP75eYGcLFtGYRn9GoesD4OX9m5U/edit?usp=sharing"",""หนองบัวลำภู!L697"")"),0)</f>
        <v>0</v>
      </c>
      <c r="F48" s="182">
        <f t="shared" ca="1" si="1"/>
        <v>0</v>
      </c>
      <c r="G48" s="183">
        <f t="shared" ca="1" si="2"/>
        <v>0</v>
      </c>
      <c r="H48" s="184">
        <f t="shared" ca="1" si="59"/>
        <v>0</v>
      </c>
      <c r="I48" s="187">
        <f ca="1">IFERROR(__xludf.DUMMYFUNCTION("IMPORTRANGE(""https://docs.google.com/spreadsheets/d/16UeMz0UgOB5BZcoxP75eYGcLFtGYRn9GoesD4OX9m5U/edit?usp=sharing"",""หนองบัวลำภู!N691"")"),0)</f>
        <v>0</v>
      </c>
      <c r="J48" s="187">
        <f ca="1">IFERROR(__xludf.DUMMYFUNCTION("IMPORTRANGE(""https://docs.google.com/spreadsheets/d/16UeMz0UgOB5BZcoxP75eYGcLFtGYRn9GoesD4OX9m5U/edit?usp=sharing"",""หนองบัวลำภู!N692"")"),0)</f>
        <v>0</v>
      </c>
      <c r="K48" s="187">
        <f ca="1">IFERROR(__xludf.DUMMYFUNCTION("IMPORTRANGE(""https://docs.google.com/spreadsheets/d/16UeMz0UgOB5BZcoxP75eYGcLFtGYRn9GoesD4OX9m5U/edit?usp=sharing"",""หนองบัวลำภู!N693"")"),0)</f>
        <v>0</v>
      </c>
      <c r="L48" s="187">
        <f ca="1">IFERROR(__xludf.DUMMYFUNCTION("IMPORTRANGE(""https://docs.google.com/spreadsheets/d/16UeMz0UgOB5BZcoxP75eYGcLFtGYRn9GoesD4OX9m5U/edit?usp=sharing"",""หนองบัวลำภู!N694"")"),0)</f>
        <v>0</v>
      </c>
      <c r="M48" s="185">
        <f ca="1">IFERROR(__xludf.DUMMYFUNCTION("IMPORTRANGE(""https://docs.google.com/spreadsheets/d/16UeMz0UgOB5BZcoxP75eYGcLFtGYRn9GoesD4OX9m5U/edit?usp=sharing"",""หนองบัวลำภู!N697"")"),0)</f>
        <v>0</v>
      </c>
      <c r="N48" s="185">
        <f t="shared" ca="1" si="37"/>
        <v>0</v>
      </c>
      <c r="O48" s="181">
        <f ca="1">IFERROR(__xludf.DUMMYFUNCTION("IMPORTRANGE(""https://docs.google.com/spreadsheets/d/16UeMz0UgOB5BZcoxP75eYGcLFtGYRn9GoesD4OX9m5U/edit?usp=sharing"",""หนองบัวลำภู!I699"")"),0)</f>
        <v>0</v>
      </c>
      <c r="P48" s="181">
        <f ca="1">IFERROR(__xludf.DUMMYFUNCTION("IMPORTRANGE(""https://docs.google.com/spreadsheets/d/16UeMz0UgOB5BZcoxP75eYGcLFtGYRn9GoesD4OX9m5U/edit?usp=sharing"",""หนองบัวลำภู!J699"")"),0)</f>
        <v>0</v>
      </c>
      <c r="Q48" s="186">
        <f t="shared" ca="1" si="31"/>
        <v>0</v>
      </c>
      <c r="R48" s="181">
        <f ca="1">IFERROR(__xludf.DUMMYFUNCTION("IMPORTRANGE(""https://docs.google.com/spreadsheets/d/16UeMz0UgOB5BZcoxP75eYGcLFtGYRn9GoesD4OX9m5U/edit?usp=sharing"",""หนองบัวลำภู!I700"")"),9)</f>
        <v>9</v>
      </c>
      <c r="S48" s="181">
        <f ca="1">IFERROR(__xludf.DUMMYFUNCTION("IMPORTRANGE(""https://docs.google.com/spreadsheets/d/16UeMz0UgOB5BZcoxP75eYGcLFtGYRn9GoesD4OX9m5U/edit?usp=sharing"",""หนองบัวลำภู!J700"")"),0)</f>
        <v>0</v>
      </c>
      <c r="T48" s="186">
        <f t="shared" ca="1" si="32"/>
        <v>0</v>
      </c>
      <c r="U48" s="181">
        <f ca="1">IFERROR(__xludf.DUMMYFUNCTION("IMPORTRANGE(""https://docs.google.com/spreadsheets/d/16UeMz0UgOB5BZcoxP75eYGcLFtGYRn9GoesD4OX9m5U/edit?usp=sharing"",""หนองบัวลำภู!I701"")"),0)</f>
        <v>0</v>
      </c>
      <c r="V48" s="181">
        <f ca="1">IFERROR(__xludf.DUMMYFUNCTION("IMPORTRANGE(""https://docs.google.com/spreadsheets/d/16UeMz0UgOB5BZcoxP75eYGcLFtGYRn9GoesD4OX9m5U/edit?usp=sharing"",""หนองบัวลำภู!J701"")"),0)</f>
        <v>0</v>
      </c>
      <c r="W48" s="186">
        <f t="shared" ca="1" si="33"/>
        <v>0</v>
      </c>
      <c r="X48" s="186">
        <f ca="1">IFERROR(__xludf.DUMMYFUNCTION("IMPORTRANGE(""https://docs.google.com/spreadsheets/d/16UeMz0UgOB5BZcoxP75eYGcLFtGYRn9GoesD4OX9m5U/edit?usp=sharing"",""หนองบัวลำภู!J702"")"),0)</f>
        <v>0</v>
      </c>
      <c r="Y48" s="186">
        <f ca="1">IFERROR(__xludf.DUMMYFUNCTION("IMPORTRANGE(""https://docs.google.com/spreadsheets/d/16UeMz0UgOB5BZcoxP75eYGcLFtGYRn9GoesD4OX9m5U/edit?usp=sharing"",""หนองบัวลำภู!J703"")"),0)</f>
        <v>0</v>
      </c>
      <c r="Z48" s="186">
        <f ca="1">IFERROR(__xludf.DUMMYFUNCTION("IMPORTRANGE(""https://docs.google.com/spreadsheets/d/16UeMz0UgOB5BZcoxP75eYGcLFtGYRn9GoesD4OX9m5U/edit?usp=sharing"",""หนองบัวลำภู!J704"")"),0)</f>
        <v>0</v>
      </c>
      <c r="AA48" s="186">
        <f ca="1">IFERROR(__xludf.DUMMYFUNCTION("IMPORTRANGE(""https://docs.google.com/spreadsheets/d/16UeMz0UgOB5BZcoxP75eYGcLFtGYRn9GoesD4OX9m5U/edit?usp=sharing"",""หนองบัวลำภู!J705"")"),0)</f>
        <v>0</v>
      </c>
      <c r="AB48" s="186">
        <f ca="1">IFERROR(__xludf.DUMMYFUNCTION("IMPORTRANGE(""https://docs.google.com/spreadsheets/d/16UeMz0UgOB5BZcoxP75eYGcLFtGYRn9GoesD4OX9m5U/edit?usp=sharing"",""หนองบัวลำภู!J706"")"),0)</f>
        <v>0</v>
      </c>
      <c r="AC48" s="186">
        <f ca="1">IFERROR(__xludf.DUMMYFUNCTION("IMPORTRANGE(""https://docs.google.com/spreadsheets/d/16UeMz0UgOB5BZcoxP75eYGcLFtGYRn9GoesD4OX9m5U/edit?usp=sharing"",""หนองบัวลำภู!J707"")"),0)</f>
        <v>0</v>
      </c>
      <c r="AD48" s="181">
        <f ca="1">IFERROR(__xludf.DUMMYFUNCTION("IMPORTRANGE(""https://docs.google.com/spreadsheets/d/16UeMz0UgOB5BZcoxP75eYGcLFtGYRn9GoesD4OX9m5U/edit?usp=sharing"",""หนองบัวลำภู!I708"")"),0)</f>
        <v>0</v>
      </c>
      <c r="AE48" s="181">
        <f ca="1">IFERROR(__xludf.DUMMYFUNCTION("IMPORTRANGE(""https://docs.google.com/spreadsheets/d/16UeMz0UgOB5BZcoxP75eYGcLFtGYRn9GoesD4OX9m5U/edit?usp=sharing"",""หนองบัวลำภู!J708"")"),0)</f>
        <v>0</v>
      </c>
      <c r="AF48" s="186">
        <f t="shared" ca="1" si="34"/>
        <v>0</v>
      </c>
      <c r="AG48" s="181">
        <f ca="1">IFERROR(__xludf.DUMMYFUNCTION("IMPORTRANGE(""https://docs.google.com/spreadsheets/d/16UeMz0UgOB5BZcoxP75eYGcLFtGYRn9GoesD4OX9m5U/edit?usp=sharing"",""หนองบัวลำภู!J709"")"),0)</f>
        <v>0</v>
      </c>
      <c r="AH48" s="181">
        <f ca="1">IFERROR(__xludf.DUMMYFUNCTION("IMPORTRANGE(""https://docs.google.com/spreadsheets/d/16UeMz0UgOB5BZcoxP75eYGcLFtGYRn9GoesD4OX9m5U/edit?usp=sharing"",""หนองบัวลำภู!J710"")"),0)</f>
        <v>0</v>
      </c>
      <c r="AI48" s="181">
        <f ca="1">IFERROR(__xludf.DUMMYFUNCTION("IMPORTRANGE(""https://docs.google.com/spreadsheets/d/16UeMz0UgOB5BZcoxP75eYGcLFtGYRn9GoesD4OX9m5U/edit?usp=sharing"",""หนองบัวลำภู!J712"")"),0)</f>
        <v>0</v>
      </c>
      <c r="AJ48" s="181">
        <f ca="1">IFERROR(__xludf.DUMMYFUNCTION("IMPORTRANGE(""https://docs.google.com/spreadsheets/d/16UeMz0UgOB5BZcoxP75eYGcLFtGYRn9GoesD4OX9m5U/edit?usp=sharing"",""หนองบัวลำภู!J713"")"),0)</f>
        <v>0</v>
      </c>
      <c r="AK48" s="181">
        <f ca="1">IFERROR(__xludf.DUMMYFUNCTION("IMPORTRANGE(""https://docs.google.com/spreadsheets/d/16UeMz0UgOB5BZcoxP75eYGcLFtGYRn9GoesD4OX9m5U/edit?usp=sharing"",""หนองบัวลำภู!J714"")"),0)</f>
        <v>0</v>
      </c>
      <c r="AL48" s="181">
        <f ca="1">IFERROR(__xludf.DUMMYFUNCTION("IMPORTRANGE(""https://docs.google.com/spreadsheets/d/16UeMz0UgOB5BZcoxP75eYGcLFtGYRn9GoesD4OX9m5U/edit?usp=sharing"",""หนองบัวลำภู!J715"")"),0)</f>
        <v>0</v>
      </c>
      <c r="AM48" s="181">
        <f ca="1">IFERROR(__xludf.DUMMYFUNCTION("IMPORTRANGE(""https://docs.google.com/spreadsheets/d/16UeMz0UgOB5BZcoxP75eYGcLFtGYRn9GoesD4OX9m5U/edit?usp=sharing"",""หนองบัวลำภู!J716"")"),0)</f>
        <v>0</v>
      </c>
      <c r="AN48" s="181">
        <f ca="1">IFERROR(__xludf.DUMMYFUNCTION("IMPORTRANGE(""https://docs.google.com/spreadsheets/d/16UeMz0UgOB5BZcoxP75eYGcLFtGYRn9GoesD4OX9m5U/edit?usp=sharing"",""หนองบัวลำภู!J717"")"),0)</f>
        <v>0</v>
      </c>
      <c r="AO48" s="181">
        <f ca="1">IFERROR(__xludf.DUMMYFUNCTION("IMPORTRANGE(""https://docs.google.com/spreadsheets/d/16UeMz0UgOB5BZcoxP75eYGcLFtGYRn9GoesD4OX9m5U/edit?usp=sharing"",""หนองบัวลำภู!I720"")"),0)</f>
        <v>0</v>
      </c>
      <c r="AP48" s="181">
        <f ca="1">IFERROR(__xludf.DUMMYFUNCTION("IMPORTRANGE(""https://docs.google.com/spreadsheets/d/16UeMz0UgOB5BZcoxP75eYGcLFtGYRn9GoesD4OX9m5U/edit?usp=sharing"",""หนองบัวลำภู!J718"")"),0)</f>
        <v>0</v>
      </c>
      <c r="AQ48" s="181">
        <f ca="1">IFERROR(__xludf.DUMMYFUNCTION("IMPORTRANGE(""https://docs.google.com/spreadsheets/d/16UeMz0UgOB5BZcoxP75eYGcLFtGYRn9GoesD4OX9m5U/edit?usp=sharing"",""หนองบัวลำภู!J719"")"),0)</f>
        <v>0</v>
      </c>
      <c r="AR48" s="181">
        <f ca="1">IFERROR(__xludf.DUMMYFUNCTION("IMPORTRANGE(""https://docs.google.com/spreadsheets/d/16UeMz0UgOB5BZcoxP75eYGcLFtGYRn9GoesD4OX9m5U/edit?usp=sharing"",""หนองบัวลำภู!J720"")"),0)</f>
        <v>0</v>
      </c>
      <c r="AS48" s="186">
        <f t="shared" ca="1" si="14"/>
        <v>0</v>
      </c>
      <c r="AT48" s="181">
        <f ca="1">IFERROR(__xludf.DUMMYFUNCTION("IMPORTRANGE(""https://docs.google.com/spreadsheets/d/16UeMz0UgOB5BZcoxP75eYGcLFtGYRn9GoesD4OX9m5U/edit?usp=sharing"",""หนองบัวลำภู!I721"")"),0)</f>
        <v>0</v>
      </c>
      <c r="AU48" s="181">
        <f ca="1">IFERROR(__xludf.DUMMYFUNCTION("IMPORTRANGE(""https://docs.google.com/spreadsheets/d/16UeMz0UgOB5BZcoxP75eYGcLFtGYRn9GoesD4OX9m5U/edit?usp=sharing"",""หนองบัวลำภู!I722"")"),0)</f>
        <v>0</v>
      </c>
      <c r="AV48" s="181">
        <f ca="1">IFERROR(__xludf.DUMMYFUNCTION("IMPORTRANGE(""https://docs.google.com/spreadsheets/d/16UeMz0UgOB5BZcoxP75eYGcLFtGYRn9GoesD4OX9m5U/edit?usp=sharing"",""หนองบัวลำภู!J721"")"),0)</f>
        <v>0</v>
      </c>
      <c r="AW48" s="186">
        <f t="shared" ca="1" si="16"/>
        <v>0</v>
      </c>
      <c r="AX48" s="181">
        <f ca="1">IFERROR(__xludf.DUMMYFUNCTION("IMPORTRANGE(""https://docs.google.com/spreadsheets/d/16UeMz0UgOB5BZcoxP75eYGcLFtGYRn9GoesD4OX9m5U/edit?usp=sharing"",""หนองบัวลำภู!J722"")"),0)</f>
        <v>0</v>
      </c>
      <c r="AY48" s="186">
        <f t="shared" ca="1" si="17"/>
        <v>0</v>
      </c>
      <c r="AZ48" s="181">
        <f ca="1">IFERROR(__xludf.DUMMYFUNCTION("IMPORTRANGE(""https://docs.google.com/spreadsheets/d/16UeMz0UgOB5BZcoxP75eYGcLFtGYRn9GoesD4OX9m5U/edit?usp=sharing"",""หนองบัวลำภู!I723"")"),0)</f>
        <v>0</v>
      </c>
      <c r="BA48" s="181">
        <f ca="1">IFERROR(__xludf.DUMMYFUNCTION("IMPORTRANGE(""https://docs.google.com/spreadsheets/d/16UeMz0UgOB5BZcoxP75eYGcLFtGYRn9GoesD4OX9m5U/edit?usp=sharing"",""หนองบัวลำภู!I725"")"),0)</f>
        <v>0</v>
      </c>
      <c r="BB48" s="181">
        <f ca="1">IFERROR(__xludf.DUMMYFUNCTION("IMPORTRANGE(""https://docs.google.com/spreadsheets/d/16UeMz0UgOB5BZcoxP75eYGcLFtGYRn9GoesD4OX9m5U/edit?usp=sharing"",""หนองบัวลำภู!J723"")"),0)</f>
        <v>0</v>
      </c>
      <c r="BC48" s="181">
        <f ca="1">IFERROR(__xludf.DUMMYFUNCTION("IMPORTRANGE(""https://docs.google.com/spreadsheets/d/16UeMz0UgOB5BZcoxP75eYGcLFtGYRn9GoesD4OX9m5U/edit?usp=sharing"",""หนองบัวลำภู!J724"")"),0)</f>
        <v>0</v>
      </c>
      <c r="BD48" s="181">
        <f ca="1">IFERROR(__xludf.DUMMYFUNCTION("IMPORTRANGE(""https://docs.google.com/spreadsheets/d/16UeMz0UgOB5BZcoxP75eYGcLFtGYRn9GoesD4OX9m5U/edit?usp=sharing"",""หนองบัวลำภู!J725"")"),0)</f>
        <v>0</v>
      </c>
      <c r="BE48" s="181">
        <f ca="1">IFERROR(__xludf.DUMMYFUNCTION("IMPORTRANGE(""https://docs.google.com/spreadsheets/d/16UeMz0UgOB5BZcoxP75eYGcLFtGYRn9GoesD4OX9m5U/edit?usp=sharing"",""หนองบัวลำภู!I726"")"),0)</f>
        <v>0</v>
      </c>
      <c r="BF48" s="181">
        <f ca="1">IFERROR(__xludf.DUMMYFUNCTION("IMPORTRANGE(""https://docs.google.com/spreadsheets/d/16UeMz0UgOB5BZcoxP75eYGcLFtGYRn9GoesD4OX9m5U/edit?usp=sharing"",""หนองบัวลำภู!I728"")"),0)</f>
        <v>0</v>
      </c>
      <c r="BG48" s="181">
        <f ca="1">IFERROR(__xludf.DUMMYFUNCTION("IMPORTRANGE(""https://docs.google.com/spreadsheets/d/16UeMz0UgOB5BZcoxP75eYGcLFtGYRn9GoesD4OX9m5U/edit?usp=sharing"",""หนองบัวลำภู!J726"")"),0)</f>
        <v>0</v>
      </c>
      <c r="BH48" s="181">
        <f ca="1">IFERROR(__xludf.DUMMYFUNCTION("IMPORTRANGE(""https://docs.google.com/spreadsheets/d/16UeMz0UgOB5BZcoxP75eYGcLFtGYRn9GoesD4OX9m5U/edit?usp=sharing"",""หนองบัวลำภู!J727"")"),0)</f>
        <v>0</v>
      </c>
      <c r="BI48" s="181">
        <f ca="1">IFERROR(__xludf.DUMMYFUNCTION("IMPORTRANGE(""https://docs.google.com/spreadsheets/d/16UeMz0UgOB5BZcoxP75eYGcLFtGYRn9GoesD4OX9m5U/edit?usp=sharing"",""หนองบัวลำภู!J728"")"),0)</f>
        <v>0</v>
      </c>
      <c r="BJ48" s="181">
        <f ca="1">IFERROR(__xludf.DUMMYFUNCTION("IMPORTRANGE(""https://docs.google.com/spreadsheets/d/16UeMz0UgOB5BZcoxP75eYGcLFtGYRn9GoesD4OX9m5U/edit?usp=sharing"",""หนองบัวลำภู!I729"")"),10)</f>
        <v>10</v>
      </c>
      <c r="BK48" s="181">
        <f ca="1">IFERROR(__xludf.DUMMYFUNCTION("IMPORTRANGE(""https://docs.google.com/spreadsheets/d/16UeMz0UgOB5BZcoxP75eYGcLFtGYRn9GoesD4OX9m5U/edit?usp=sharing"",""หนองบัวลำภู!J729"")"),0)</f>
        <v>0</v>
      </c>
      <c r="BL48" s="186">
        <f t="shared" ca="1" si="19"/>
        <v>0</v>
      </c>
      <c r="BM48" s="181">
        <f ca="1">IFERROR(__xludf.DUMMYFUNCTION("IMPORTRANGE(""https://docs.google.com/spreadsheets/d/16UeMz0UgOB5BZcoxP75eYGcLFtGYRn9GoesD4OX9m5U/edit?usp=sharing"",""หนองบัวลำภู!J730"")"),0)</f>
        <v>0</v>
      </c>
      <c r="BN48" s="181">
        <f ca="1">IFERROR(__xludf.DUMMYFUNCTION("IMPORTRANGE(""https://docs.google.com/spreadsheets/d/16UeMz0UgOB5BZcoxP75eYGcLFtGYRn9GoesD4OX9m5U/edit?usp=sharing"",""หนองบัวลำภู!J731"")"),0)</f>
        <v>0</v>
      </c>
      <c r="BO48" s="181">
        <f ca="1">IFERROR(__xludf.DUMMYFUNCTION("IMPORTRANGE(""https://docs.google.com/spreadsheets/d/16UeMz0UgOB5BZcoxP75eYGcLFtGYRn9GoesD4OX9m5U/edit?usp=sharing"",""หนองบัวลำภู!J732"")"),0)</f>
        <v>0</v>
      </c>
      <c r="BP48" s="181">
        <f ca="1">IFERROR(__xludf.DUMMYFUNCTION("IMPORTRANGE(""https://docs.google.com/spreadsheets/d/16UeMz0UgOB5BZcoxP75eYGcLFtGYRn9GoesD4OX9m5U/edit?usp=sharing"",""หนองบัวลำภู!J733"")"),0)</f>
        <v>0</v>
      </c>
      <c r="BQ48" s="181">
        <f ca="1">IFERROR(__xludf.DUMMYFUNCTION("IMPORTRANGE(""https://docs.google.com/spreadsheets/d/16UeMz0UgOB5BZcoxP75eYGcLFtGYRn9GoesD4OX9m5U/edit?usp=sharing"",""หนองบัวลำภู!J734"")"),0)</f>
        <v>0</v>
      </c>
      <c r="BR48" s="181">
        <f ca="1">IFERROR(__xludf.DUMMYFUNCTION("IMPORTRANGE(""https://docs.google.com/spreadsheets/d/16UeMz0UgOB5BZcoxP75eYGcLFtGYRn9GoesD4OX9m5U/edit?usp=sharing"",""หนองบัวลำภู!J735"")"),0)</f>
        <v>0</v>
      </c>
    </row>
    <row r="49" spans="1:70" ht="21" customHeight="1" x14ac:dyDescent="0.3">
      <c r="A49" s="178">
        <v>18</v>
      </c>
      <c r="B49" s="179" t="s">
        <v>66</v>
      </c>
      <c r="C49" s="180">
        <f t="shared" ca="1" si="58"/>
        <v>2940</v>
      </c>
      <c r="D49" s="181">
        <f ca="1">IFERROR(__xludf.DUMMYFUNCTION("IMPORTRANGE(""https://docs.google.com/spreadsheets/d/1uUP8Zo1-qaJLuIkRU0qlwLSE3DHkbdrrj2JGJiWBQZE/edit?usp=sharing"",""อำนาจเจริญ!L690"")"),2940)</f>
        <v>2940</v>
      </c>
      <c r="E49" s="187">
        <f ca="1">IFERROR(__xludf.DUMMYFUNCTION("IMPORTRANGE(""https://docs.google.com/spreadsheets/d/1uUP8Zo1-qaJLuIkRU0qlwLSE3DHkbdrrj2JGJiWBQZE/edit?usp=sharing"",""อำนาจเจริญ!L697"")"),0)</f>
        <v>0</v>
      </c>
      <c r="F49" s="182">
        <f t="shared" ca="1" si="1"/>
        <v>0</v>
      </c>
      <c r="G49" s="183">
        <f t="shared" ca="1" si="2"/>
        <v>0</v>
      </c>
      <c r="H49" s="184">
        <f t="shared" ca="1" si="59"/>
        <v>0</v>
      </c>
      <c r="I49" s="187">
        <f ca="1">IFERROR(__xludf.DUMMYFUNCTION("IMPORTRANGE(""https://docs.google.com/spreadsheets/d/1uUP8Zo1-qaJLuIkRU0qlwLSE3DHkbdrrj2JGJiWBQZE/edit?usp=sharing"",""อำนาจเจริญ!N691"")"),0)</f>
        <v>0</v>
      </c>
      <c r="J49" s="187">
        <f ca="1">IFERROR(__xludf.DUMMYFUNCTION("IMPORTRANGE(""https://docs.google.com/spreadsheets/d/1uUP8Zo1-qaJLuIkRU0qlwLSE3DHkbdrrj2JGJiWBQZE/edit?usp=sharing"",""อำนาจเจริญ!N692"")"),0)</f>
        <v>0</v>
      </c>
      <c r="K49" s="187">
        <f ca="1">IFERROR(__xludf.DUMMYFUNCTION("IMPORTRANGE(""https://docs.google.com/spreadsheets/d/1uUP8Zo1-qaJLuIkRU0qlwLSE3DHkbdrrj2JGJiWBQZE/edit?usp=sharing"",""อำนาจเจริญ!N693"")"),0)</f>
        <v>0</v>
      </c>
      <c r="L49" s="187">
        <f ca="1">IFERROR(__xludf.DUMMYFUNCTION("IMPORTRANGE(""https://docs.google.com/spreadsheets/d/1uUP8Zo1-qaJLuIkRU0qlwLSE3DHkbdrrj2JGJiWBQZE/edit?usp=sharing"",""อำนาจเจริญ!N694"")"),0)</f>
        <v>0</v>
      </c>
      <c r="M49" s="185">
        <f ca="1">IFERROR(__xludf.DUMMYFUNCTION("IMPORTRANGE(""https://docs.google.com/spreadsheets/d/1uUP8Zo1-qaJLuIkRU0qlwLSE3DHkbdrrj2JGJiWBQZE/edit?usp=sharing"",""อำนาจเจริญ!N697"")"),0)</f>
        <v>0</v>
      </c>
      <c r="N49" s="185">
        <f t="shared" ca="1" si="37"/>
        <v>0</v>
      </c>
      <c r="O49" s="181">
        <f ca="1">IFERROR(__xludf.DUMMYFUNCTION("IMPORTRANGE(""https://docs.google.com/spreadsheets/d/1uUP8Zo1-qaJLuIkRU0qlwLSE3DHkbdrrj2JGJiWBQZE/edit?usp=sharing"",""อำนาจเจริญ!I699"")"),18)</f>
        <v>18</v>
      </c>
      <c r="P49" s="181">
        <f ca="1">IFERROR(__xludf.DUMMYFUNCTION("IMPORTRANGE(""https://docs.google.com/spreadsheets/d/1uUP8Zo1-qaJLuIkRU0qlwLSE3DHkbdrrj2JGJiWBQZE/edit?usp=sharing"",""อำนาจเจริญ!J699"")"),0)</f>
        <v>0</v>
      </c>
      <c r="Q49" s="186">
        <f t="shared" ca="1" si="31"/>
        <v>0</v>
      </c>
      <c r="R49" s="181">
        <f ca="1">IFERROR(__xludf.DUMMYFUNCTION("IMPORTRANGE(""https://docs.google.com/spreadsheets/d/1uUP8Zo1-qaJLuIkRU0qlwLSE3DHkbdrrj2JGJiWBQZE/edit?usp=sharing"",""อำนาจเจริญ!I700"")"),0)</f>
        <v>0</v>
      </c>
      <c r="S49" s="181">
        <f ca="1">IFERROR(__xludf.DUMMYFUNCTION("IMPORTRANGE(""https://docs.google.com/spreadsheets/d/1uUP8Zo1-qaJLuIkRU0qlwLSE3DHkbdrrj2JGJiWBQZE/edit?usp=sharing"",""อำนาจเจริญ!J700"")"),0)</f>
        <v>0</v>
      </c>
      <c r="T49" s="186">
        <f t="shared" ca="1" si="32"/>
        <v>0</v>
      </c>
      <c r="U49" s="181">
        <f ca="1">IFERROR(__xludf.DUMMYFUNCTION("IMPORTRANGE(""https://docs.google.com/spreadsheets/d/1uUP8Zo1-qaJLuIkRU0qlwLSE3DHkbdrrj2JGJiWBQZE/edit?usp=sharing"",""อำนาจเจริญ!I701"")"),0)</f>
        <v>0</v>
      </c>
      <c r="V49" s="181">
        <f ca="1">IFERROR(__xludf.DUMMYFUNCTION("IMPORTRANGE(""https://docs.google.com/spreadsheets/d/1uUP8Zo1-qaJLuIkRU0qlwLSE3DHkbdrrj2JGJiWBQZE/edit?usp=sharing"",""อำนาจเจริญ!J701"")"),0)</f>
        <v>0</v>
      </c>
      <c r="W49" s="186">
        <f t="shared" ca="1" si="33"/>
        <v>0</v>
      </c>
      <c r="X49" s="186">
        <f ca="1">IFERROR(__xludf.DUMMYFUNCTION("IMPORTRANGE(""https://docs.google.com/spreadsheets/d/1uUP8Zo1-qaJLuIkRU0qlwLSE3DHkbdrrj2JGJiWBQZE/edit?usp=sharing"",""อำนาจเจริญ!J702"")"),0)</f>
        <v>0</v>
      </c>
      <c r="Y49" s="186">
        <f ca="1">IFERROR(__xludf.DUMMYFUNCTION("IMPORTRANGE(""https://docs.google.com/spreadsheets/d/1uUP8Zo1-qaJLuIkRU0qlwLSE3DHkbdrrj2JGJiWBQZE/edit?usp=sharing"",""อำนาจเจริญ!J703"")"),0)</f>
        <v>0</v>
      </c>
      <c r="Z49" s="186">
        <f ca="1">IFERROR(__xludf.DUMMYFUNCTION("IMPORTRANGE(""https://docs.google.com/spreadsheets/d/1uUP8Zo1-qaJLuIkRU0qlwLSE3DHkbdrrj2JGJiWBQZE/edit?usp=sharing"",""อำนาจเจริญ!J704"")"),0)</f>
        <v>0</v>
      </c>
      <c r="AA49" s="186">
        <f ca="1">IFERROR(__xludf.DUMMYFUNCTION("IMPORTRANGE(""https://docs.google.com/spreadsheets/d/1uUP8Zo1-qaJLuIkRU0qlwLSE3DHkbdrrj2JGJiWBQZE/edit?usp=sharing"",""อำนาจเจริญ!J705"")"),0)</f>
        <v>0</v>
      </c>
      <c r="AB49" s="186">
        <f ca="1">IFERROR(__xludf.DUMMYFUNCTION("IMPORTRANGE(""https://docs.google.com/spreadsheets/d/1uUP8Zo1-qaJLuIkRU0qlwLSE3DHkbdrrj2JGJiWBQZE/edit?usp=sharing"",""อำนาจเจริญ!J706"")"),0)</f>
        <v>0</v>
      </c>
      <c r="AC49" s="186">
        <f ca="1">IFERROR(__xludf.DUMMYFUNCTION("IMPORTRANGE(""https://docs.google.com/spreadsheets/d/1uUP8Zo1-qaJLuIkRU0qlwLSE3DHkbdrrj2JGJiWBQZE/edit?usp=sharing"",""อำนาจเจริญ!J707"")"),0)</f>
        <v>0</v>
      </c>
      <c r="AD49" s="181">
        <f ca="1">IFERROR(__xludf.DUMMYFUNCTION("IMPORTRANGE(""https://docs.google.com/spreadsheets/d/1uUP8Zo1-qaJLuIkRU0qlwLSE3DHkbdrrj2JGJiWBQZE/edit?usp=sharing"",""อำนาจเจริญ!I708"")"),7)</f>
        <v>7</v>
      </c>
      <c r="AE49" s="181">
        <f ca="1">IFERROR(__xludf.DUMMYFUNCTION("IMPORTRANGE(""https://docs.google.com/spreadsheets/d/1uUP8Zo1-qaJLuIkRU0qlwLSE3DHkbdrrj2JGJiWBQZE/edit?usp=sharing"",""อำนาจเจริญ!J708"")"),0)</f>
        <v>0</v>
      </c>
      <c r="AF49" s="186">
        <f t="shared" ca="1" si="34"/>
        <v>0</v>
      </c>
      <c r="AG49" s="181">
        <f ca="1">IFERROR(__xludf.DUMMYFUNCTION("IMPORTRANGE(""https://docs.google.com/spreadsheets/d/1uUP8Zo1-qaJLuIkRU0qlwLSE3DHkbdrrj2JGJiWBQZE/edit?usp=sharing"",""อำนาจเจริญ!J709"")"),0)</f>
        <v>0</v>
      </c>
      <c r="AH49" s="181">
        <f ca="1">IFERROR(__xludf.DUMMYFUNCTION("IMPORTRANGE(""https://docs.google.com/spreadsheets/d/1uUP8Zo1-qaJLuIkRU0qlwLSE3DHkbdrrj2JGJiWBQZE/edit?usp=sharing"",""อำนาจเจริญ!J710"")"),0)</f>
        <v>0</v>
      </c>
      <c r="AI49" s="181">
        <f ca="1">IFERROR(__xludf.DUMMYFUNCTION("IMPORTRANGE(""https://docs.google.com/spreadsheets/d/1uUP8Zo1-qaJLuIkRU0qlwLSE3DHkbdrrj2JGJiWBQZE/edit?usp=sharing"",""อำนาจเจริญ!J712"")"),0)</f>
        <v>0</v>
      </c>
      <c r="AJ49" s="181">
        <f ca="1">IFERROR(__xludf.DUMMYFUNCTION("IMPORTRANGE(""https://docs.google.com/spreadsheets/d/1uUP8Zo1-qaJLuIkRU0qlwLSE3DHkbdrrj2JGJiWBQZE/edit?usp=sharing"",""อำนาจเจริญ!J713"")"),0)</f>
        <v>0</v>
      </c>
      <c r="AK49" s="181">
        <f ca="1">IFERROR(__xludf.DUMMYFUNCTION("IMPORTRANGE(""https://docs.google.com/spreadsheets/d/1uUP8Zo1-qaJLuIkRU0qlwLSE3DHkbdrrj2JGJiWBQZE/edit?usp=sharing"",""อำนาจเจริญ!J714"")"),0)</f>
        <v>0</v>
      </c>
      <c r="AL49" s="181">
        <f ca="1">IFERROR(__xludf.DUMMYFUNCTION("IMPORTRANGE(""https://docs.google.com/spreadsheets/d/1uUP8Zo1-qaJLuIkRU0qlwLSE3DHkbdrrj2JGJiWBQZE/edit?usp=sharing"",""อำนาจเจริญ!J715"")"),0)</f>
        <v>0</v>
      </c>
      <c r="AM49" s="181">
        <f ca="1">IFERROR(__xludf.DUMMYFUNCTION("IMPORTRANGE(""https://docs.google.com/spreadsheets/d/1uUP8Zo1-qaJLuIkRU0qlwLSE3DHkbdrrj2JGJiWBQZE/edit?usp=sharing"",""อำนาจเจริญ!J716"")"),0)</f>
        <v>0</v>
      </c>
      <c r="AN49" s="181">
        <f ca="1">IFERROR(__xludf.DUMMYFUNCTION("IMPORTRANGE(""https://docs.google.com/spreadsheets/d/1uUP8Zo1-qaJLuIkRU0qlwLSE3DHkbdrrj2JGJiWBQZE/edit?usp=sharing"",""อำนาจเจริญ!J717"")"),0)</f>
        <v>0</v>
      </c>
      <c r="AO49" s="181">
        <f ca="1">IFERROR(__xludf.DUMMYFUNCTION("IMPORTRANGE(""https://docs.google.com/spreadsheets/d/1uUP8Zo1-qaJLuIkRU0qlwLSE3DHkbdrrj2JGJiWBQZE/edit?usp=sharing"",""อำนาจเจริญ!I720"")"),0)</f>
        <v>0</v>
      </c>
      <c r="AP49" s="181">
        <f ca="1">IFERROR(__xludf.DUMMYFUNCTION("IMPORTRANGE(""https://docs.google.com/spreadsheets/d/1uUP8Zo1-qaJLuIkRU0qlwLSE3DHkbdrrj2JGJiWBQZE/edit?usp=sharing"",""อำนาจเจริญ!J718"")"),0)</f>
        <v>0</v>
      </c>
      <c r="AQ49" s="181">
        <f ca="1">IFERROR(__xludf.DUMMYFUNCTION("IMPORTRANGE(""https://docs.google.com/spreadsheets/d/1uUP8Zo1-qaJLuIkRU0qlwLSE3DHkbdrrj2JGJiWBQZE/edit?usp=sharing"",""อำนาจเจริญ!J719"")"),0)</f>
        <v>0</v>
      </c>
      <c r="AR49" s="181">
        <f ca="1">IFERROR(__xludf.DUMMYFUNCTION("IMPORTRANGE(""https://docs.google.com/spreadsheets/d/1uUP8Zo1-qaJLuIkRU0qlwLSE3DHkbdrrj2JGJiWBQZE/edit?usp=sharing"",""อำนาจเจริญ!J720"")"),0)</f>
        <v>0</v>
      </c>
      <c r="AS49" s="186">
        <f t="shared" ca="1" si="14"/>
        <v>0</v>
      </c>
      <c r="AT49" s="181">
        <f ca="1">IFERROR(__xludf.DUMMYFUNCTION("IMPORTRANGE(""https://docs.google.com/spreadsheets/d/1uUP8Zo1-qaJLuIkRU0qlwLSE3DHkbdrrj2JGJiWBQZE/edit?usp=sharing"",""อำนาจเจริญ!I721"")"),0)</f>
        <v>0</v>
      </c>
      <c r="AU49" s="181">
        <f ca="1">IFERROR(__xludf.DUMMYFUNCTION("IMPORTRANGE(""https://docs.google.com/spreadsheets/d/1uUP8Zo1-qaJLuIkRU0qlwLSE3DHkbdrrj2JGJiWBQZE/edit?usp=sharing"",""อำนาจเจริญ!I722"")"),0)</f>
        <v>0</v>
      </c>
      <c r="AV49" s="181">
        <f ca="1">IFERROR(__xludf.DUMMYFUNCTION("IMPORTRANGE(""https://docs.google.com/spreadsheets/d/1uUP8Zo1-qaJLuIkRU0qlwLSE3DHkbdrrj2JGJiWBQZE/edit?usp=sharing"",""อำนาจเจริญ!J721"")"),0)</f>
        <v>0</v>
      </c>
      <c r="AW49" s="186">
        <f t="shared" ca="1" si="16"/>
        <v>0</v>
      </c>
      <c r="AX49" s="181">
        <f ca="1">IFERROR(__xludf.DUMMYFUNCTION("IMPORTRANGE(""https://docs.google.com/spreadsheets/d/1uUP8Zo1-qaJLuIkRU0qlwLSE3DHkbdrrj2JGJiWBQZE/edit?usp=sharing"",""อำนาจเจริญ!J722"")"),0)</f>
        <v>0</v>
      </c>
      <c r="AY49" s="186">
        <f t="shared" ca="1" si="17"/>
        <v>0</v>
      </c>
      <c r="AZ49" s="181">
        <f ca="1">IFERROR(__xludf.DUMMYFUNCTION("IMPORTRANGE(""https://docs.google.com/spreadsheets/d/1uUP8Zo1-qaJLuIkRU0qlwLSE3DHkbdrrj2JGJiWBQZE/edit?usp=sharing"",""อำนาจเจริญ!I723"")"),0)</f>
        <v>0</v>
      </c>
      <c r="BA49" s="181">
        <f ca="1">IFERROR(__xludf.DUMMYFUNCTION("IMPORTRANGE(""https://docs.google.com/spreadsheets/d/1uUP8Zo1-qaJLuIkRU0qlwLSE3DHkbdrrj2JGJiWBQZE/edit?usp=sharing"",""อำนาจเจริญ!I725"")"),0)</f>
        <v>0</v>
      </c>
      <c r="BB49" s="181">
        <f ca="1">IFERROR(__xludf.DUMMYFUNCTION("IMPORTRANGE(""https://docs.google.com/spreadsheets/d/1uUP8Zo1-qaJLuIkRU0qlwLSE3DHkbdrrj2JGJiWBQZE/edit?usp=sharing"",""อำนาจเจริญ!J723"")"),0)</f>
        <v>0</v>
      </c>
      <c r="BC49" s="181">
        <f ca="1">IFERROR(__xludf.DUMMYFUNCTION("IMPORTRANGE(""https://docs.google.com/spreadsheets/d/1uUP8Zo1-qaJLuIkRU0qlwLSE3DHkbdrrj2JGJiWBQZE/edit?usp=sharing"",""อำนาจเจริญ!J724"")"),0)</f>
        <v>0</v>
      </c>
      <c r="BD49" s="181">
        <f ca="1">IFERROR(__xludf.DUMMYFUNCTION("IMPORTRANGE(""https://docs.google.com/spreadsheets/d/1uUP8Zo1-qaJLuIkRU0qlwLSE3DHkbdrrj2JGJiWBQZE/edit?usp=sharing"",""อำนาจเจริญ!J725"")"),0)</f>
        <v>0</v>
      </c>
      <c r="BE49" s="181">
        <f ca="1">IFERROR(__xludf.DUMMYFUNCTION("IMPORTRANGE(""https://docs.google.com/spreadsheets/d/1uUP8Zo1-qaJLuIkRU0qlwLSE3DHkbdrrj2JGJiWBQZE/edit?usp=sharing"",""อำนาจเจริญ!I726"")"),0)</f>
        <v>0</v>
      </c>
      <c r="BF49" s="181">
        <f ca="1">IFERROR(__xludf.DUMMYFUNCTION("IMPORTRANGE(""https://docs.google.com/spreadsheets/d/1uUP8Zo1-qaJLuIkRU0qlwLSE3DHkbdrrj2JGJiWBQZE/edit?usp=sharing"",""อำนาจเจริญ!I728"")"),0)</f>
        <v>0</v>
      </c>
      <c r="BG49" s="181">
        <f ca="1">IFERROR(__xludf.DUMMYFUNCTION("IMPORTRANGE(""https://docs.google.com/spreadsheets/d/1uUP8Zo1-qaJLuIkRU0qlwLSE3DHkbdrrj2JGJiWBQZE/edit?usp=sharing"",""อำนาจเจริญ!J726"")"),0)</f>
        <v>0</v>
      </c>
      <c r="BH49" s="181">
        <f ca="1">IFERROR(__xludf.DUMMYFUNCTION("IMPORTRANGE(""https://docs.google.com/spreadsheets/d/1uUP8Zo1-qaJLuIkRU0qlwLSE3DHkbdrrj2JGJiWBQZE/edit?usp=sharing"",""อำนาจเจริญ!J727"")"),0)</f>
        <v>0</v>
      </c>
      <c r="BI49" s="181">
        <f ca="1">IFERROR(__xludf.DUMMYFUNCTION("IMPORTRANGE(""https://docs.google.com/spreadsheets/d/1uUP8Zo1-qaJLuIkRU0qlwLSE3DHkbdrrj2JGJiWBQZE/edit?usp=sharing"",""อำนาจเจริญ!J728"")"),0)</f>
        <v>0</v>
      </c>
      <c r="BJ49" s="181">
        <f ca="1">IFERROR(__xludf.DUMMYFUNCTION("IMPORTRANGE(""https://docs.google.com/spreadsheets/d/1uUP8Zo1-qaJLuIkRU0qlwLSE3DHkbdrrj2JGJiWBQZE/edit?usp=sharing"",""อำนาจเจริญ!I729"")"),0)</f>
        <v>0</v>
      </c>
      <c r="BK49" s="181">
        <f ca="1">IFERROR(__xludf.DUMMYFUNCTION("IMPORTRANGE(""https://docs.google.com/spreadsheets/d/1uUP8Zo1-qaJLuIkRU0qlwLSE3DHkbdrrj2JGJiWBQZE/edit?usp=sharing"",""อำนาจเจริญ!J729"")"),0)</f>
        <v>0</v>
      </c>
      <c r="BL49" s="186">
        <f t="shared" ca="1" si="19"/>
        <v>0</v>
      </c>
      <c r="BM49" s="181">
        <f ca="1">IFERROR(__xludf.DUMMYFUNCTION("IMPORTRANGE(""https://docs.google.com/spreadsheets/d/1uUP8Zo1-qaJLuIkRU0qlwLSE3DHkbdrrj2JGJiWBQZE/edit?usp=sharing"",""อำนาจเจริญ!J730"")"),0)</f>
        <v>0</v>
      </c>
      <c r="BN49" s="181">
        <f ca="1">IFERROR(__xludf.DUMMYFUNCTION("IMPORTRANGE(""https://docs.google.com/spreadsheets/d/1uUP8Zo1-qaJLuIkRU0qlwLSE3DHkbdrrj2JGJiWBQZE/edit?usp=sharing"",""อำนาจเจริญ!J731"")"),0)</f>
        <v>0</v>
      </c>
      <c r="BO49" s="181">
        <f ca="1">IFERROR(__xludf.DUMMYFUNCTION("IMPORTRANGE(""https://docs.google.com/spreadsheets/d/1uUP8Zo1-qaJLuIkRU0qlwLSE3DHkbdrrj2JGJiWBQZE/edit?usp=sharing"",""อำนาจเจริญ!J732"")"),0)</f>
        <v>0</v>
      </c>
      <c r="BP49" s="181">
        <f ca="1">IFERROR(__xludf.DUMMYFUNCTION("IMPORTRANGE(""https://docs.google.com/spreadsheets/d/1uUP8Zo1-qaJLuIkRU0qlwLSE3DHkbdrrj2JGJiWBQZE/edit?usp=sharing"",""อำนาจเจริญ!J733"")"),0)</f>
        <v>0</v>
      </c>
      <c r="BQ49" s="181">
        <f ca="1">IFERROR(__xludf.DUMMYFUNCTION("IMPORTRANGE(""https://docs.google.com/spreadsheets/d/1uUP8Zo1-qaJLuIkRU0qlwLSE3DHkbdrrj2JGJiWBQZE/edit?usp=sharing"",""อำนาจเจริญ!J734"")"),0)</f>
        <v>0</v>
      </c>
      <c r="BR49" s="181">
        <f ca="1">IFERROR(__xludf.DUMMYFUNCTION("IMPORTRANGE(""https://docs.google.com/spreadsheets/d/1uUP8Zo1-qaJLuIkRU0qlwLSE3DHkbdrrj2JGJiWBQZE/edit?usp=sharing"",""อำนาจเจริญ!J735"")"),0)</f>
        <v>0</v>
      </c>
    </row>
    <row r="50" spans="1:70" ht="21" customHeight="1" x14ac:dyDescent="0.3">
      <c r="A50" s="178">
        <v>19</v>
      </c>
      <c r="B50" s="179" t="s">
        <v>67</v>
      </c>
      <c r="C50" s="180">
        <f t="shared" ca="1" si="58"/>
        <v>153880</v>
      </c>
      <c r="D50" s="181">
        <f ca="1">IFERROR(__xludf.DUMMYFUNCTION("IMPORTRANGE(""https://docs.google.com/spreadsheets/d/1hb_taSOHanzRjqfzWPiFo8yiT83VV1L7vvUCLhOiHKc/edit?usp=sharing"",""อุดรธานี!L690"")"),153880)</f>
        <v>153880</v>
      </c>
      <c r="E50" s="187">
        <f ca="1">IFERROR(__xludf.DUMMYFUNCTION("IMPORTRANGE(""https://docs.google.com/spreadsheets/d/1hb_taSOHanzRjqfzWPiFo8yiT83VV1L7vvUCLhOiHKc/edit?usp=sharing"",""อุดรธานี!L697"")"),0)</f>
        <v>0</v>
      </c>
      <c r="F50" s="182">
        <f t="shared" ca="1" si="1"/>
        <v>43455</v>
      </c>
      <c r="G50" s="183">
        <f t="shared" ca="1" si="2"/>
        <v>28.239537301793604</v>
      </c>
      <c r="H50" s="184">
        <f t="shared" ca="1" si="59"/>
        <v>43455</v>
      </c>
      <c r="I50" s="187">
        <f ca="1">IFERROR(__xludf.DUMMYFUNCTION("IMPORTRANGE(""https://docs.google.com/spreadsheets/d/1hb_taSOHanzRjqfzWPiFo8yiT83VV1L7vvUCLhOiHKc/edit?usp=sharing"",""อุดรธานี!N691"")"),0)</f>
        <v>0</v>
      </c>
      <c r="J50" s="187">
        <f ca="1">IFERROR(__xludf.DUMMYFUNCTION("IMPORTRANGE(""https://docs.google.com/spreadsheets/d/1hb_taSOHanzRjqfzWPiFo8yiT83VV1L7vvUCLhOiHKc/edit?usp=sharing"",""อุดรธานี!N692"")"),0)</f>
        <v>0</v>
      </c>
      <c r="K50" s="187">
        <f ca="1">IFERROR(__xludf.DUMMYFUNCTION("IMPORTRANGE(""https://docs.google.com/spreadsheets/d/1hb_taSOHanzRjqfzWPiFo8yiT83VV1L7vvUCLhOiHKc/edit?usp=sharing"",""อุดรธานี!N693"")"),0)</f>
        <v>0</v>
      </c>
      <c r="L50" s="187">
        <f ca="1">IFERROR(__xludf.DUMMYFUNCTION("IMPORTRANGE(""https://docs.google.com/spreadsheets/d/1hb_taSOHanzRjqfzWPiFo8yiT83VV1L7vvUCLhOiHKc/edit?usp=sharing"",""อุดรธานี!N694"")"),43455)</f>
        <v>43455</v>
      </c>
      <c r="M50" s="185">
        <f ca="1">IFERROR(__xludf.DUMMYFUNCTION("IMPORTRANGE(""https://docs.google.com/spreadsheets/d/1hb_taSOHanzRjqfzWPiFo8yiT83VV1L7vvUCLhOiHKc/edit?usp=sharing"",""อุดรธานี!N697"")"),0)</f>
        <v>0</v>
      </c>
      <c r="N50" s="185">
        <f t="shared" ca="1" si="37"/>
        <v>0</v>
      </c>
      <c r="O50" s="181">
        <f ca="1">IFERROR(__xludf.DUMMYFUNCTION("IMPORTRANGE(""https://docs.google.com/spreadsheets/d/1hb_taSOHanzRjqfzWPiFo8yiT83VV1L7vvUCLhOiHKc/edit?usp=sharing"",""อุดรธานี!I699"")"),663)</f>
        <v>663</v>
      </c>
      <c r="P50" s="181">
        <f ca="1">IFERROR(__xludf.DUMMYFUNCTION("IMPORTRANGE(""https://docs.google.com/spreadsheets/d/1hb_taSOHanzRjqfzWPiFo8yiT83VV1L7vvUCLhOiHKc/edit?usp=sharing"",""อุดรธานี!J699"")"),362.21)</f>
        <v>362.21</v>
      </c>
      <c r="Q50" s="186">
        <f t="shared" ca="1" si="31"/>
        <v>54.631975867269986</v>
      </c>
      <c r="R50" s="181">
        <f ca="1">IFERROR(__xludf.DUMMYFUNCTION("IMPORTRANGE(""https://docs.google.com/spreadsheets/d/1hb_taSOHanzRjqfzWPiFo8yiT83VV1L7vvUCLhOiHKc/edit?usp=sharing"",""อุดรธานี!I700"")"),62)</f>
        <v>62</v>
      </c>
      <c r="S50" s="181">
        <f ca="1">IFERROR(__xludf.DUMMYFUNCTION("IMPORTRANGE(""https://docs.google.com/spreadsheets/d/1hb_taSOHanzRjqfzWPiFo8yiT83VV1L7vvUCLhOiHKc/edit?usp=sharing"",""อุดรธานี!J700"")"),3)</f>
        <v>3</v>
      </c>
      <c r="T50" s="186">
        <f t="shared" ca="1" si="32"/>
        <v>4.838709677419355</v>
      </c>
      <c r="U50" s="181">
        <f ca="1">IFERROR(__xludf.DUMMYFUNCTION("IMPORTRANGE(""https://docs.google.com/spreadsheets/d/1hb_taSOHanzRjqfzWPiFo8yiT83VV1L7vvUCLhOiHKc/edit?usp=sharing"",""อุดรธานี!I701"")"),342)</f>
        <v>342</v>
      </c>
      <c r="V50" s="181">
        <f ca="1">IFERROR(__xludf.DUMMYFUNCTION("IMPORTRANGE(""https://docs.google.com/spreadsheets/d/1hb_taSOHanzRjqfzWPiFo8yiT83VV1L7vvUCLhOiHKc/edit?usp=sharing"",""อุดรธานี!J701"")"),0)</f>
        <v>0</v>
      </c>
      <c r="W50" s="186">
        <f t="shared" ca="1" si="33"/>
        <v>0</v>
      </c>
      <c r="X50" s="186">
        <f ca="1">IFERROR(__xludf.DUMMYFUNCTION("IMPORTRANGE(""https://docs.google.com/spreadsheets/d/1hb_taSOHanzRjqfzWPiFo8yiT83VV1L7vvUCLhOiHKc/edit?usp=sharing"",""อุดรธานี!J702"")"),0)</f>
        <v>0</v>
      </c>
      <c r="Y50" s="186">
        <f ca="1">IFERROR(__xludf.DUMMYFUNCTION("IMPORTRANGE(""https://docs.google.com/spreadsheets/d/1hb_taSOHanzRjqfzWPiFo8yiT83VV1L7vvUCLhOiHKc/edit?usp=sharing"",""อุดรธานี!J703"")"),0)</f>
        <v>0</v>
      </c>
      <c r="Z50" s="186">
        <f ca="1">IFERROR(__xludf.DUMMYFUNCTION("IMPORTRANGE(""https://docs.google.com/spreadsheets/d/1hb_taSOHanzRjqfzWPiFo8yiT83VV1L7vvUCLhOiHKc/edit?usp=sharing"",""อุดรธานี!J704"")"),0)</f>
        <v>0</v>
      </c>
      <c r="AA50" s="186">
        <f ca="1">IFERROR(__xludf.DUMMYFUNCTION("IMPORTRANGE(""https://docs.google.com/spreadsheets/d/1hb_taSOHanzRjqfzWPiFo8yiT83VV1L7vvUCLhOiHKc/edit?usp=sharing"",""อุดรธานี!J705"")"),0)</f>
        <v>0</v>
      </c>
      <c r="AB50" s="186">
        <f ca="1">IFERROR(__xludf.DUMMYFUNCTION("IMPORTRANGE(""https://docs.google.com/spreadsheets/d/1hb_taSOHanzRjqfzWPiFo8yiT83VV1L7vvUCLhOiHKc/edit?usp=sharing"",""อุดรธานี!J706"")"),0)</f>
        <v>0</v>
      </c>
      <c r="AC50" s="186">
        <f ca="1">IFERROR(__xludf.DUMMYFUNCTION("IMPORTRANGE(""https://docs.google.com/spreadsheets/d/1hb_taSOHanzRjqfzWPiFo8yiT83VV1L7vvUCLhOiHKc/edit?usp=sharing"",""อุดรธานี!J707"")"),0)</f>
        <v>0</v>
      </c>
      <c r="AD50" s="181">
        <f ca="1">IFERROR(__xludf.DUMMYFUNCTION("IMPORTRANGE(""https://docs.google.com/spreadsheets/d/1hb_taSOHanzRjqfzWPiFo8yiT83VV1L7vvUCLhOiHKc/edit?usp=sharing"",""อุดรธานี!I708"")"),0)</f>
        <v>0</v>
      </c>
      <c r="AE50" s="181">
        <f ca="1">IFERROR(__xludf.DUMMYFUNCTION("IMPORTRANGE(""https://docs.google.com/spreadsheets/d/1hb_taSOHanzRjqfzWPiFo8yiT83VV1L7vvUCLhOiHKc/edit?usp=sharing"",""อุดรธานี!J708"")"),0)</f>
        <v>0</v>
      </c>
      <c r="AF50" s="186">
        <f t="shared" ca="1" si="34"/>
        <v>0</v>
      </c>
      <c r="AG50" s="181">
        <f ca="1">IFERROR(__xludf.DUMMYFUNCTION("IMPORTRANGE(""https://docs.google.com/spreadsheets/d/1hb_taSOHanzRjqfzWPiFo8yiT83VV1L7vvUCLhOiHKc/edit?usp=sharing"",""อุดรธานี!J709"")"),0)</f>
        <v>0</v>
      </c>
      <c r="AH50" s="181">
        <f ca="1">IFERROR(__xludf.DUMMYFUNCTION("IMPORTRANGE(""https://docs.google.com/spreadsheets/d/1hb_taSOHanzRjqfzWPiFo8yiT83VV1L7vvUCLhOiHKc/edit?usp=sharing"",""อุดรธานี!J710"")"),0)</f>
        <v>0</v>
      </c>
      <c r="AI50" s="181">
        <f ca="1">IFERROR(__xludf.DUMMYFUNCTION("IMPORTRANGE(""https://docs.google.com/spreadsheets/d/1hb_taSOHanzRjqfzWPiFo8yiT83VV1L7vvUCLhOiHKc/edit?usp=sharing"",""อุดรธานี!J712"")"),0)</f>
        <v>0</v>
      </c>
      <c r="AJ50" s="181">
        <f ca="1">IFERROR(__xludf.DUMMYFUNCTION("IMPORTRANGE(""https://docs.google.com/spreadsheets/d/1hb_taSOHanzRjqfzWPiFo8yiT83VV1L7vvUCLhOiHKc/edit?usp=sharing"",""อุดรธานี!J713"")"),0)</f>
        <v>0</v>
      </c>
      <c r="AK50" s="181">
        <f ca="1">IFERROR(__xludf.DUMMYFUNCTION("IMPORTRANGE(""https://docs.google.com/spreadsheets/d/1hb_taSOHanzRjqfzWPiFo8yiT83VV1L7vvUCLhOiHKc/edit?usp=sharing"",""อุดรธานี!J714"")"),0)</f>
        <v>0</v>
      </c>
      <c r="AL50" s="181">
        <f ca="1">IFERROR(__xludf.DUMMYFUNCTION("IMPORTRANGE(""https://docs.google.com/spreadsheets/d/1hb_taSOHanzRjqfzWPiFo8yiT83VV1L7vvUCLhOiHKc/edit?usp=sharing"",""อุดรธานี!J715"")"),0)</f>
        <v>0</v>
      </c>
      <c r="AM50" s="181">
        <f ca="1">IFERROR(__xludf.DUMMYFUNCTION("IMPORTRANGE(""https://docs.google.com/spreadsheets/d/1hb_taSOHanzRjqfzWPiFo8yiT83VV1L7vvUCLhOiHKc/edit?usp=sharing"",""อุดรธานี!J716"")"),0)</f>
        <v>0</v>
      </c>
      <c r="AN50" s="181">
        <f ca="1">IFERROR(__xludf.DUMMYFUNCTION("IMPORTRANGE(""https://docs.google.com/spreadsheets/d/1hb_taSOHanzRjqfzWPiFo8yiT83VV1L7vvUCLhOiHKc/edit?usp=sharing"",""อุดรธานี!J717"")"),0)</f>
        <v>0</v>
      </c>
      <c r="AO50" s="181">
        <f ca="1">IFERROR(__xludf.DUMMYFUNCTION("IMPORTRANGE(""https://docs.google.com/spreadsheets/d/1hb_taSOHanzRjqfzWPiFo8yiT83VV1L7vvUCLhOiHKc/edit?usp=sharing"",""อุดรธานี!I720"")"),44)</f>
        <v>44</v>
      </c>
      <c r="AP50" s="181">
        <f ca="1">IFERROR(__xludf.DUMMYFUNCTION("IMPORTRANGE(""https://docs.google.com/spreadsheets/d/1hb_taSOHanzRjqfzWPiFo8yiT83VV1L7vvUCLhOiHKc/edit?usp=sharing"",""อุดรธานี!J718"")"),0)</f>
        <v>0</v>
      </c>
      <c r="AQ50" s="181">
        <f ca="1">IFERROR(__xludf.DUMMYFUNCTION("IMPORTRANGE(""https://docs.google.com/spreadsheets/d/1hb_taSOHanzRjqfzWPiFo8yiT83VV1L7vvUCLhOiHKc/edit?usp=sharing"",""อุดรธานี!J719"")"),0)</f>
        <v>0</v>
      </c>
      <c r="AR50" s="181">
        <f ca="1">IFERROR(__xludf.DUMMYFUNCTION("IMPORTRANGE(""https://docs.google.com/spreadsheets/d/1hb_taSOHanzRjqfzWPiFo8yiT83VV1L7vvUCLhOiHKc/edit?usp=sharing"",""อุดรธานี!J720"")"),0)</f>
        <v>0</v>
      </c>
      <c r="AS50" s="186">
        <f t="shared" ca="1" si="14"/>
        <v>0</v>
      </c>
      <c r="AT50" s="181">
        <f ca="1">IFERROR(__xludf.DUMMYFUNCTION("IMPORTRANGE(""https://docs.google.com/spreadsheets/d/1hb_taSOHanzRjqfzWPiFo8yiT83VV1L7vvUCLhOiHKc/edit?usp=sharing"",""อุดรธานี!I721"")"),39)</f>
        <v>39</v>
      </c>
      <c r="AU50" s="181">
        <f ca="1">IFERROR(__xludf.DUMMYFUNCTION("IMPORTRANGE(""https://docs.google.com/spreadsheets/d/1hb_taSOHanzRjqfzWPiFo8yiT83VV1L7vvUCLhOiHKc/edit?usp=sharing"",""อุดรธานี!I722"")"),410)</f>
        <v>410</v>
      </c>
      <c r="AV50" s="181">
        <f ca="1">IFERROR(__xludf.DUMMYFUNCTION("IMPORTRANGE(""https://docs.google.com/spreadsheets/d/1hb_taSOHanzRjqfzWPiFo8yiT83VV1L7vvUCLhOiHKc/edit?usp=sharing"",""อุดรธานี!J721"")"),0)</f>
        <v>0</v>
      </c>
      <c r="AW50" s="186">
        <f t="shared" ca="1" si="16"/>
        <v>0</v>
      </c>
      <c r="AX50" s="181">
        <f ca="1">IFERROR(__xludf.DUMMYFUNCTION("IMPORTRANGE(""https://docs.google.com/spreadsheets/d/1hb_taSOHanzRjqfzWPiFo8yiT83VV1L7vvUCLhOiHKc/edit?usp=sharing"",""อุดรธานี!J722"")"),0)</f>
        <v>0</v>
      </c>
      <c r="AY50" s="186">
        <f t="shared" ca="1" si="17"/>
        <v>0</v>
      </c>
      <c r="AZ50" s="181">
        <f ca="1">IFERROR(__xludf.DUMMYFUNCTION("IMPORTRANGE(""https://docs.google.com/spreadsheets/d/1hb_taSOHanzRjqfzWPiFo8yiT83VV1L7vvUCLhOiHKc/edit?usp=sharing"",""อุดรธานี!I723"")"),39)</f>
        <v>39</v>
      </c>
      <c r="BA50" s="181">
        <f ca="1">IFERROR(__xludf.DUMMYFUNCTION("IMPORTRANGE(""https://docs.google.com/spreadsheets/d/1hb_taSOHanzRjqfzWPiFo8yiT83VV1L7vvUCLhOiHKc/edit?usp=sharing"",""อุดรธานี!I725"")"),410)</f>
        <v>410</v>
      </c>
      <c r="BB50" s="181">
        <f ca="1">IFERROR(__xludf.DUMMYFUNCTION("IMPORTRANGE(""https://docs.google.com/spreadsheets/d/1hb_taSOHanzRjqfzWPiFo8yiT83VV1L7vvUCLhOiHKc/edit?usp=sharing"",""อุดรธานี!J723"")"),0)</f>
        <v>0</v>
      </c>
      <c r="BC50" s="181">
        <f ca="1">IFERROR(__xludf.DUMMYFUNCTION("IMPORTRANGE(""https://docs.google.com/spreadsheets/d/1hb_taSOHanzRjqfzWPiFo8yiT83VV1L7vvUCLhOiHKc/edit?usp=sharing"",""อุดรธานี!J724"")"),0)</f>
        <v>0</v>
      </c>
      <c r="BD50" s="181">
        <f ca="1">IFERROR(__xludf.DUMMYFUNCTION("IMPORTRANGE(""https://docs.google.com/spreadsheets/d/1hb_taSOHanzRjqfzWPiFo8yiT83VV1L7vvUCLhOiHKc/edit?usp=sharing"",""อุดรธานี!J725"")"),0)</f>
        <v>0</v>
      </c>
      <c r="BE50" s="181">
        <f ca="1">IFERROR(__xludf.DUMMYFUNCTION("IMPORTRANGE(""https://docs.google.com/spreadsheets/d/1hb_taSOHanzRjqfzWPiFo8yiT83VV1L7vvUCLhOiHKc/edit?usp=sharing"",""อุดรธานี!I726"")"),0)</f>
        <v>0</v>
      </c>
      <c r="BF50" s="181">
        <f ca="1">IFERROR(__xludf.DUMMYFUNCTION("IMPORTRANGE(""https://docs.google.com/spreadsheets/d/1hb_taSOHanzRjqfzWPiFo8yiT83VV1L7vvUCLhOiHKc/edit?usp=sharing"",""อุดรธานี!I728"")"),0)</f>
        <v>0</v>
      </c>
      <c r="BG50" s="181">
        <f ca="1">IFERROR(__xludf.DUMMYFUNCTION("IMPORTRANGE(""https://docs.google.com/spreadsheets/d/1hb_taSOHanzRjqfzWPiFo8yiT83VV1L7vvUCLhOiHKc/edit?usp=sharing"",""อุดรธานี!J726"")"),0)</f>
        <v>0</v>
      </c>
      <c r="BH50" s="181">
        <f ca="1">IFERROR(__xludf.DUMMYFUNCTION("IMPORTRANGE(""https://docs.google.com/spreadsheets/d/1hb_taSOHanzRjqfzWPiFo8yiT83VV1L7vvUCLhOiHKc/edit?usp=sharing"",""อุดรธานี!J727"")"),0)</f>
        <v>0</v>
      </c>
      <c r="BI50" s="181">
        <f ca="1">IFERROR(__xludf.DUMMYFUNCTION("IMPORTRANGE(""https://docs.google.com/spreadsheets/d/1hb_taSOHanzRjqfzWPiFo8yiT83VV1L7vvUCLhOiHKc/edit?usp=sharing"",""อุดรธานี!J728"")"),0)</f>
        <v>0</v>
      </c>
      <c r="BJ50" s="181">
        <f ca="1">IFERROR(__xludf.DUMMYFUNCTION("IMPORTRANGE(""https://docs.google.com/spreadsheets/d/1hb_taSOHanzRjqfzWPiFo8yiT83VV1L7vvUCLhOiHKc/edit?usp=sharing"",""อุดรธานี!I729"")"),663)</f>
        <v>663</v>
      </c>
      <c r="BK50" s="181">
        <f ca="1">IFERROR(__xludf.DUMMYFUNCTION("IMPORTRANGE(""https://docs.google.com/spreadsheets/d/1hb_taSOHanzRjqfzWPiFo8yiT83VV1L7vvUCLhOiHKc/edit?usp=sharing"",""อุดรธานี!J729"")"),0)</f>
        <v>0</v>
      </c>
      <c r="BL50" s="186">
        <f t="shared" ca="1" si="19"/>
        <v>0</v>
      </c>
      <c r="BM50" s="181">
        <f ca="1">IFERROR(__xludf.DUMMYFUNCTION("IMPORTRANGE(""https://docs.google.com/spreadsheets/d/1hb_taSOHanzRjqfzWPiFo8yiT83VV1L7vvUCLhOiHKc/edit?usp=sharing"",""อุดรธานี!J730"")"),0)</f>
        <v>0</v>
      </c>
      <c r="BN50" s="181">
        <f ca="1">IFERROR(__xludf.DUMMYFUNCTION("IMPORTRANGE(""https://docs.google.com/spreadsheets/d/1hb_taSOHanzRjqfzWPiFo8yiT83VV1L7vvUCLhOiHKc/edit?usp=sharing"",""อุดรธานี!J731"")"),0)</f>
        <v>0</v>
      </c>
      <c r="BO50" s="181">
        <f ca="1">IFERROR(__xludf.DUMMYFUNCTION("IMPORTRANGE(""https://docs.google.com/spreadsheets/d/1hb_taSOHanzRjqfzWPiFo8yiT83VV1L7vvUCLhOiHKc/edit?usp=sharing"",""อุดรธานี!J732"")"),0)</f>
        <v>0</v>
      </c>
      <c r="BP50" s="181">
        <f ca="1">IFERROR(__xludf.DUMMYFUNCTION("IMPORTRANGE(""https://docs.google.com/spreadsheets/d/1hb_taSOHanzRjqfzWPiFo8yiT83VV1L7vvUCLhOiHKc/edit?usp=sharing"",""อุดรธานี!J733"")"),0)</f>
        <v>0</v>
      </c>
      <c r="BQ50" s="181">
        <f ca="1">IFERROR(__xludf.DUMMYFUNCTION("IMPORTRANGE(""https://docs.google.com/spreadsheets/d/1hb_taSOHanzRjqfzWPiFo8yiT83VV1L7vvUCLhOiHKc/edit?usp=sharing"",""อุดรธานี!J734"")"),0)</f>
        <v>0</v>
      </c>
      <c r="BR50" s="181">
        <f ca="1">IFERROR(__xludf.DUMMYFUNCTION("IMPORTRANGE(""https://docs.google.com/spreadsheets/d/1hb_taSOHanzRjqfzWPiFo8yiT83VV1L7vvUCLhOiHKc/edit?usp=sharing"",""อุดรธานี!J735"")"),0)</f>
        <v>0</v>
      </c>
    </row>
    <row r="51" spans="1:70" ht="21" customHeight="1" x14ac:dyDescent="0.3">
      <c r="A51" s="192">
        <v>20</v>
      </c>
      <c r="B51" s="193" t="s">
        <v>68</v>
      </c>
      <c r="C51" s="204">
        <f t="shared" ca="1" si="58"/>
        <v>11840</v>
      </c>
      <c r="D51" s="202">
        <f ca="1">IFERROR(__xludf.DUMMYFUNCTION("IMPORTRANGE(""https://docs.google.com/spreadsheets/d/17IOkEwkUd63EGNfyNDnM5de9YlZ7rwzTiW6-dokVjKI/edit?usp=sharing"",""อุบลราชธานี!L690"")"),11840)</f>
        <v>11840</v>
      </c>
      <c r="E51" s="200">
        <f ca="1">IFERROR(__xludf.DUMMYFUNCTION("IMPORTRANGE(""https://docs.google.com/spreadsheets/d/17IOkEwkUd63EGNfyNDnM5de9YlZ7rwzTiW6-dokVjKI/edit?usp=sharing"",""อุบลราชธานี!L697"")"),0)</f>
        <v>0</v>
      </c>
      <c r="F51" s="197">
        <f t="shared" ca="1" si="1"/>
        <v>0</v>
      </c>
      <c r="G51" s="205">
        <f t="shared" ca="1" si="2"/>
        <v>0</v>
      </c>
      <c r="H51" s="199">
        <f t="shared" ca="1" si="59"/>
        <v>0</v>
      </c>
      <c r="I51" s="200">
        <f ca="1">IFERROR(__xludf.DUMMYFUNCTION("IMPORTRANGE(""https://docs.google.com/spreadsheets/d/17IOkEwkUd63EGNfyNDnM5de9YlZ7rwzTiW6-dokVjKI/edit?usp=sharing"",""อุบลราชธานี!N691"")"),0)</f>
        <v>0</v>
      </c>
      <c r="J51" s="200">
        <f ca="1">IFERROR(__xludf.DUMMYFUNCTION("IMPORTRANGE(""https://docs.google.com/spreadsheets/d/17IOkEwkUd63EGNfyNDnM5de9YlZ7rwzTiW6-dokVjKI/edit?usp=sharing"",""อุบลราชธานี!N692"")"),0)</f>
        <v>0</v>
      </c>
      <c r="K51" s="200">
        <f ca="1">IFERROR(__xludf.DUMMYFUNCTION("IMPORTRANGE(""https://docs.google.com/spreadsheets/d/17IOkEwkUd63EGNfyNDnM5de9YlZ7rwzTiW6-dokVjKI/edit?usp=sharing"",""อุบลราชธานี!N693"")"),0)</f>
        <v>0</v>
      </c>
      <c r="L51" s="200">
        <f ca="1">IFERROR(__xludf.DUMMYFUNCTION("IMPORTRANGE(""https://docs.google.com/spreadsheets/d/17IOkEwkUd63EGNfyNDnM5de9YlZ7rwzTiW6-dokVjKI/edit?usp=sharing"",""อุบลราชธานี!N694"")"),0)</f>
        <v>0</v>
      </c>
      <c r="M51" s="201">
        <f ca="1">IFERROR(__xludf.DUMMYFUNCTION("IMPORTRANGE(""https://docs.google.com/spreadsheets/d/17IOkEwkUd63EGNfyNDnM5de9YlZ7rwzTiW6-dokVjKI/edit?usp=sharing"",""อุบลราชธานี!N697"")"),0)</f>
        <v>0</v>
      </c>
      <c r="N51" s="201">
        <f t="shared" ca="1" si="37"/>
        <v>0</v>
      </c>
      <c r="O51" s="202">
        <f ca="1">IFERROR(__xludf.DUMMYFUNCTION("IMPORTRANGE(""https://docs.google.com/spreadsheets/d/17IOkEwkUd63EGNfyNDnM5de9YlZ7rwzTiW6-dokVjKI/edit?usp=sharing"",""อุบลราชธานี!I699"")"),88)</f>
        <v>88</v>
      </c>
      <c r="P51" s="202">
        <f ca="1">IFERROR(__xludf.DUMMYFUNCTION("IMPORTRANGE(""https://docs.google.com/spreadsheets/d/17IOkEwkUd63EGNfyNDnM5de9YlZ7rwzTiW6-dokVjKI/edit?usp=sharing"",""อุบลราชธานี!J699"")"),0)</f>
        <v>0</v>
      </c>
      <c r="Q51" s="203">
        <f t="shared" ca="1" si="31"/>
        <v>0</v>
      </c>
      <c r="R51" s="202">
        <f ca="1">IFERROR(__xludf.DUMMYFUNCTION("IMPORTRANGE(""https://docs.google.com/spreadsheets/d/17IOkEwkUd63EGNfyNDnM5de9YlZ7rwzTiW6-dokVjKI/edit?usp=sharing"",""อุบลราชธานี!I700"")"),17)</f>
        <v>17</v>
      </c>
      <c r="S51" s="202">
        <f ca="1">IFERROR(__xludf.DUMMYFUNCTION("IMPORTRANGE(""https://docs.google.com/spreadsheets/d/17IOkEwkUd63EGNfyNDnM5de9YlZ7rwzTiW6-dokVjKI/edit?usp=sharing"",""อุบลราชธานี!J700"")"),10)</f>
        <v>10</v>
      </c>
      <c r="T51" s="203">
        <f t="shared" ca="1" si="32"/>
        <v>58.823529411764703</v>
      </c>
      <c r="U51" s="202">
        <f ca="1">IFERROR(__xludf.DUMMYFUNCTION("IMPORTRANGE(""https://docs.google.com/spreadsheets/d/17IOkEwkUd63EGNfyNDnM5de9YlZ7rwzTiW6-dokVjKI/edit?usp=sharing"",""อุบลราชธานี!I701"")"),0)</f>
        <v>0</v>
      </c>
      <c r="V51" s="202">
        <f ca="1">IFERROR(__xludf.DUMMYFUNCTION("IMPORTRANGE(""https://docs.google.com/spreadsheets/d/17IOkEwkUd63EGNfyNDnM5de9YlZ7rwzTiW6-dokVjKI/edit?usp=sharing"",""อุบลราชธานี!J701"")"),0)</f>
        <v>0</v>
      </c>
      <c r="W51" s="203">
        <f t="shared" ca="1" si="33"/>
        <v>0</v>
      </c>
      <c r="X51" s="203">
        <f ca="1">IFERROR(__xludf.DUMMYFUNCTION("IMPORTRANGE(""https://docs.google.com/spreadsheets/d/17IOkEwkUd63EGNfyNDnM5de9YlZ7rwzTiW6-dokVjKI/edit?usp=sharing"",""อุบลราชธานี!J702"")"),0)</f>
        <v>0</v>
      </c>
      <c r="Y51" s="203">
        <f ca="1">IFERROR(__xludf.DUMMYFUNCTION("IMPORTRANGE(""https://docs.google.com/spreadsheets/d/17IOkEwkUd63EGNfyNDnM5de9YlZ7rwzTiW6-dokVjKI/edit?usp=sharing"",""อุบลราชธานี!J703"")"),0)</f>
        <v>0</v>
      </c>
      <c r="Z51" s="203">
        <f ca="1">IFERROR(__xludf.DUMMYFUNCTION("IMPORTRANGE(""https://docs.google.com/spreadsheets/d/17IOkEwkUd63EGNfyNDnM5de9YlZ7rwzTiW6-dokVjKI/edit?usp=sharing"",""อุบลราชธานี!J704"")"),0)</f>
        <v>0</v>
      </c>
      <c r="AA51" s="203">
        <f ca="1">IFERROR(__xludf.DUMMYFUNCTION("IMPORTRANGE(""https://docs.google.com/spreadsheets/d/17IOkEwkUd63EGNfyNDnM5de9YlZ7rwzTiW6-dokVjKI/edit?usp=sharing"",""อุบลราชธานี!J705"")"),0)</f>
        <v>0</v>
      </c>
      <c r="AB51" s="203">
        <f ca="1">IFERROR(__xludf.DUMMYFUNCTION("IMPORTRANGE(""https://docs.google.com/spreadsheets/d/17IOkEwkUd63EGNfyNDnM5de9YlZ7rwzTiW6-dokVjKI/edit?usp=sharing"",""อุบลราชธานี!J706"")"),0)</f>
        <v>0</v>
      </c>
      <c r="AC51" s="203">
        <f ca="1">IFERROR(__xludf.DUMMYFUNCTION("IMPORTRANGE(""https://docs.google.com/spreadsheets/d/17IOkEwkUd63EGNfyNDnM5de9YlZ7rwzTiW6-dokVjKI/edit?usp=sharing"",""อุบลราชธานี!J707"")"),0)</f>
        <v>0</v>
      </c>
      <c r="AD51" s="202">
        <f ca="1">IFERROR(__xludf.DUMMYFUNCTION("IMPORTRANGE(""https://docs.google.com/spreadsheets/d/17IOkEwkUd63EGNfyNDnM5de9YlZ7rwzTiW6-dokVjKI/edit?usp=sharing"",""อุบลราชธานี!I708"")"),0)</f>
        <v>0</v>
      </c>
      <c r="AE51" s="202">
        <f ca="1">IFERROR(__xludf.DUMMYFUNCTION("IMPORTRANGE(""https://docs.google.com/spreadsheets/d/17IOkEwkUd63EGNfyNDnM5de9YlZ7rwzTiW6-dokVjKI/edit?usp=sharing"",""อุบลราชธานี!J708"")"),0)</f>
        <v>0</v>
      </c>
      <c r="AF51" s="203">
        <f t="shared" ca="1" si="34"/>
        <v>0</v>
      </c>
      <c r="AG51" s="202">
        <f ca="1">IFERROR(__xludf.DUMMYFUNCTION("IMPORTRANGE(""https://docs.google.com/spreadsheets/d/17IOkEwkUd63EGNfyNDnM5de9YlZ7rwzTiW6-dokVjKI/edit?usp=sharing"",""อุบลราชธานี!J709"")"),0)</f>
        <v>0</v>
      </c>
      <c r="AH51" s="202">
        <f ca="1">IFERROR(__xludf.DUMMYFUNCTION("IMPORTRANGE(""https://docs.google.com/spreadsheets/d/17IOkEwkUd63EGNfyNDnM5de9YlZ7rwzTiW6-dokVjKI/edit?usp=sharing"",""อุบลราชธานี!J710"")"),0)</f>
        <v>0</v>
      </c>
      <c r="AI51" s="202">
        <f ca="1">IFERROR(__xludf.DUMMYFUNCTION("IMPORTRANGE(""https://docs.google.com/spreadsheets/d/17IOkEwkUd63EGNfyNDnM5de9YlZ7rwzTiW6-dokVjKI/edit?usp=sharing"",""อุบลราชธานี!J712"")"),0)</f>
        <v>0</v>
      </c>
      <c r="AJ51" s="202">
        <f ca="1">IFERROR(__xludf.DUMMYFUNCTION("IMPORTRANGE(""https://docs.google.com/spreadsheets/d/17IOkEwkUd63EGNfyNDnM5de9YlZ7rwzTiW6-dokVjKI/edit?usp=sharing"",""อุบลราชธานี!J713"")"),0)</f>
        <v>0</v>
      </c>
      <c r="AK51" s="202">
        <f ca="1">IFERROR(__xludf.DUMMYFUNCTION("IMPORTRANGE(""https://docs.google.com/spreadsheets/d/17IOkEwkUd63EGNfyNDnM5de9YlZ7rwzTiW6-dokVjKI/edit?usp=sharing"",""อุบลราชธานี!J714"")"),0)</f>
        <v>0</v>
      </c>
      <c r="AL51" s="202">
        <f ca="1">IFERROR(__xludf.DUMMYFUNCTION("IMPORTRANGE(""https://docs.google.com/spreadsheets/d/17IOkEwkUd63EGNfyNDnM5de9YlZ7rwzTiW6-dokVjKI/edit?usp=sharing"",""อุบลราชธานี!J715"")"),0)</f>
        <v>0</v>
      </c>
      <c r="AM51" s="202">
        <f ca="1">IFERROR(__xludf.DUMMYFUNCTION("IMPORTRANGE(""https://docs.google.com/spreadsheets/d/17IOkEwkUd63EGNfyNDnM5de9YlZ7rwzTiW6-dokVjKI/edit?usp=sharing"",""อุบลราชธานี!J716"")"),0)</f>
        <v>0</v>
      </c>
      <c r="AN51" s="202">
        <f ca="1">IFERROR(__xludf.DUMMYFUNCTION("IMPORTRANGE(""https://docs.google.com/spreadsheets/d/17IOkEwkUd63EGNfyNDnM5de9YlZ7rwzTiW6-dokVjKI/edit?usp=sharing"",""อุบลราชธานี!J717"")"),0)</f>
        <v>0</v>
      </c>
      <c r="AO51" s="202">
        <f ca="1">IFERROR(__xludf.DUMMYFUNCTION("IMPORTRANGE(""https://docs.google.com/spreadsheets/d/17IOkEwkUd63EGNfyNDnM5de9YlZ7rwzTiW6-dokVjKI/edit?usp=sharing"",""อุบลราชธานี!I720"")"),0)</f>
        <v>0</v>
      </c>
      <c r="AP51" s="202">
        <f ca="1">IFERROR(__xludf.DUMMYFUNCTION("IMPORTRANGE(""https://docs.google.com/spreadsheets/d/17IOkEwkUd63EGNfyNDnM5de9YlZ7rwzTiW6-dokVjKI/edit?usp=sharing"",""อุบลราชธานี!J718"")"),0)</f>
        <v>0</v>
      </c>
      <c r="AQ51" s="202">
        <f ca="1">IFERROR(__xludf.DUMMYFUNCTION("IMPORTRANGE(""https://docs.google.com/spreadsheets/d/17IOkEwkUd63EGNfyNDnM5de9YlZ7rwzTiW6-dokVjKI/edit?usp=sharing"",""อุบลราชธานี!J719"")"),0)</f>
        <v>0</v>
      </c>
      <c r="AR51" s="202">
        <f ca="1">IFERROR(__xludf.DUMMYFUNCTION("IMPORTRANGE(""https://docs.google.com/spreadsheets/d/17IOkEwkUd63EGNfyNDnM5de9YlZ7rwzTiW6-dokVjKI/edit?usp=sharing"",""อุบลราชธานี!J720"")"),0)</f>
        <v>0</v>
      </c>
      <c r="AS51" s="203">
        <f t="shared" ca="1" si="14"/>
        <v>0</v>
      </c>
      <c r="AT51" s="202">
        <f ca="1">IFERROR(__xludf.DUMMYFUNCTION("IMPORTRANGE(""https://docs.google.com/spreadsheets/d/17IOkEwkUd63EGNfyNDnM5de9YlZ7rwzTiW6-dokVjKI/edit?usp=sharing"",""อุบลราชธานี!I721"")"),0)</f>
        <v>0</v>
      </c>
      <c r="AU51" s="202">
        <f ca="1">IFERROR(__xludf.DUMMYFUNCTION("IMPORTRANGE(""https://docs.google.com/spreadsheets/d/17IOkEwkUd63EGNfyNDnM5de9YlZ7rwzTiW6-dokVjKI/edit?usp=sharing"",""อุบลราชธานี!I722"")"),0)</f>
        <v>0</v>
      </c>
      <c r="AV51" s="202">
        <f ca="1">IFERROR(__xludf.DUMMYFUNCTION("IMPORTRANGE(""https://docs.google.com/spreadsheets/d/17IOkEwkUd63EGNfyNDnM5de9YlZ7rwzTiW6-dokVjKI/edit?usp=sharing"",""อุบลราชธานี!J721"")"),0)</f>
        <v>0</v>
      </c>
      <c r="AW51" s="203">
        <f t="shared" ca="1" si="16"/>
        <v>0</v>
      </c>
      <c r="AX51" s="202">
        <f ca="1">IFERROR(__xludf.DUMMYFUNCTION("IMPORTRANGE(""https://docs.google.com/spreadsheets/d/17IOkEwkUd63EGNfyNDnM5de9YlZ7rwzTiW6-dokVjKI/edit?usp=sharing"",""อุบลราชธานี!J722"")"),0)</f>
        <v>0</v>
      </c>
      <c r="AY51" s="203">
        <f t="shared" ca="1" si="17"/>
        <v>0</v>
      </c>
      <c r="AZ51" s="202">
        <f ca="1">IFERROR(__xludf.DUMMYFUNCTION("IMPORTRANGE(""https://docs.google.com/spreadsheets/d/17IOkEwkUd63EGNfyNDnM5de9YlZ7rwzTiW6-dokVjKI/edit?usp=sharing"",""อุบลราชธานี!I723"")"),0)</f>
        <v>0</v>
      </c>
      <c r="BA51" s="202">
        <f ca="1">IFERROR(__xludf.DUMMYFUNCTION("IMPORTRANGE(""https://docs.google.com/spreadsheets/d/17IOkEwkUd63EGNfyNDnM5de9YlZ7rwzTiW6-dokVjKI/edit?usp=sharing"",""อุบลราชธานี!I725"")"),0)</f>
        <v>0</v>
      </c>
      <c r="BB51" s="202">
        <f ca="1">IFERROR(__xludf.DUMMYFUNCTION("IMPORTRANGE(""https://docs.google.com/spreadsheets/d/17IOkEwkUd63EGNfyNDnM5de9YlZ7rwzTiW6-dokVjKI/edit?usp=sharing"",""อุบลราชธานี!J723"")"),0)</f>
        <v>0</v>
      </c>
      <c r="BC51" s="202">
        <f ca="1">IFERROR(__xludf.DUMMYFUNCTION("IMPORTRANGE(""https://docs.google.com/spreadsheets/d/17IOkEwkUd63EGNfyNDnM5de9YlZ7rwzTiW6-dokVjKI/edit?usp=sharing"",""อุบลราชธานี!J724"")"),0)</f>
        <v>0</v>
      </c>
      <c r="BD51" s="202">
        <f ca="1">IFERROR(__xludf.DUMMYFUNCTION("IMPORTRANGE(""https://docs.google.com/spreadsheets/d/17IOkEwkUd63EGNfyNDnM5de9YlZ7rwzTiW6-dokVjKI/edit?usp=sharing"",""อุบลราชธานี!J725"")"),0)</f>
        <v>0</v>
      </c>
      <c r="BE51" s="202">
        <f ca="1">IFERROR(__xludf.DUMMYFUNCTION("IMPORTRANGE(""https://docs.google.com/spreadsheets/d/17IOkEwkUd63EGNfyNDnM5de9YlZ7rwzTiW6-dokVjKI/edit?usp=sharing"",""อุบลราชธานี!I726"")"),0)</f>
        <v>0</v>
      </c>
      <c r="BF51" s="202">
        <f ca="1">IFERROR(__xludf.DUMMYFUNCTION("IMPORTRANGE(""https://docs.google.com/spreadsheets/d/17IOkEwkUd63EGNfyNDnM5de9YlZ7rwzTiW6-dokVjKI/edit?usp=sharing"",""อุบลราชธานี!I728"")"),0)</f>
        <v>0</v>
      </c>
      <c r="BG51" s="202">
        <f ca="1">IFERROR(__xludf.DUMMYFUNCTION("IMPORTRANGE(""https://docs.google.com/spreadsheets/d/17IOkEwkUd63EGNfyNDnM5de9YlZ7rwzTiW6-dokVjKI/edit?usp=sharing"",""อุบลราชธานี!J726"")"),0)</f>
        <v>0</v>
      </c>
      <c r="BH51" s="202">
        <f ca="1">IFERROR(__xludf.DUMMYFUNCTION("IMPORTRANGE(""https://docs.google.com/spreadsheets/d/17IOkEwkUd63EGNfyNDnM5de9YlZ7rwzTiW6-dokVjKI/edit?usp=sharing"",""อุบลราชธานี!J727"")"),0)</f>
        <v>0</v>
      </c>
      <c r="BI51" s="202">
        <f ca="1">IFERROR(__xludf.DUMMYFUNCTION("IMPORTRANGE(""https://docs.google.com/spreadsheets/d/17IOkEwkUd63EGNfyNDnM5de9YlZ7rwzTiW6-dokVjKI/edit?usp=sharing"",""อุบลราชธานี!J728"")"),0)</f>
        <v>0</v>
      </c>
      <c r="BJ51" s="202">
        <f ca="1">IFERROR(__xludf.DUMMYFUNCTION("IMPORTRANGE(""https://docs.google.com/spreadsheets/d/17IOkEwkUd63EGNfyNDnM5de9YlZ7rwzTiW6-dokVjKI/edit?usp=sharing"",""อุบลราชธานี!I729"")"),0)</f>
        <v>0</v>
      </c>
      <c r="BK51" s="202">
        <f ca="1">IFERROR(__xludf.DUMMYFUNCTION("IMPORTRANGE(""https://docs.google.com/spreadsheets/d/17IOkEwkUd63EGNfyNDnM5de9YlZ7rwzTiW6-dokVjKI/edit?usp=sharing"",""อุบลราชธานี!J729"")"),0)</f>
        <v>0</v>
      </c>
      <c r="BL51" s="203">
        <f t="shared" ca="1" si="19"/>
        <v>0</v>
      </c>
      <c r="BM51" s="202">
        <f ca="1">IFERROR(__xludf.DUMMYFUNCTION("IMPORTRANGE(""https://docs.google.com/spreadsheets/d/17IOkEwkUd63EGNfyNDnM5de9YlZ7rwzTiW6-dokVjKI/edit?usp=sharing"",""อุบลราชธานี!J730"")"),0)</f>
        <v>0</v>
      </c>
      <c r="BN51" s="202">
        <f ca="1">IFERROR(__xludf.DUMMYFUNCTION("IMPORTRANGE(""https://docs.google.com/spreadsheets/d/17IOkEwkUd63EGNfyNDnM5de9YlZ7rwzTiW6-dokVjKI/edit?usp=sharing"",""อุบลราชธานี!J731"")"),0)</f>
        <v>0</v>
      </c>
      <c r="BO51" s="202">
        <f ca="1">IFERROR(__xludf.DUMMYFUNCTION("IMPORTRANGE(""https://docs.google.com/spreadsheets/d/17IOkEwkUd63EGNfyNDnM5de9YlZ7rwzTiW6-dokVjKI/edit?usp=sharing"",""อุบลราชธานี!J732"")"),0)</f>
        <v>0</v>
      </c>
      <c r="BP51" s="202">
        <f ca="1">IFERROR(__xludf.DUMMYFUNCTION("IMPORTRANGE(""https://docs.google.com/spreadsheets/d/17IOkEwkUd63EGNfyNDnM5de9YlZ7rwzTiW6-dokVjKI/edit?usp=sharing"",""อุบลราชธานี!J733"")"),0)</f>
        <v>0</v>
      </c>
      <c r="BQ51" s="202">
        <f ca="1">IFERROR(__xludf.DUMMYFUNCTION("IMPORTRANGE(""https://docs.google.com/spreadsheets/d/17IOkEwkUd63EGNfyNDnM5de9YlZ7rwzTiW6-dokVjKI/edit?usp=sharing"",""อุบลราชธานี!J734"")"),0)</f>
        <v>0</v>
      </c>
      <c r="BR51" s="202">
        <f ca="1">IFERROR(__xludf.DUMMYFUNCTION("IMPORTRANGE(""https://docs.google.com/spreadsheets/d/17IOkEwkUd63EGNfyNDnM5de9YlZ7rwzTiW6-dokVjKI/edit?usp=sharing"",""อุบลราชธานี!J735"")"),0)</f>
        <v>0</v>
      </c>
    </row>
    <row r="52" spans="1:70" ht="21" customHeight="1" x14ac:dyDescent="0.3">
      <c r="A52" s="340" t="s">
        <v>69</v>
      </c>
      <c r="B52" s="339"/>
      <c r="C52" s="265">
        <f t="shared" ref="C52:E52" ca="1" si="60">SUM(C53:C73)</f>
        <v>352810</v>
      </c>
      <c r="D52" s="159">
        <f t="shared" ca="1" si="60"/>
        <v>352810</v>
      </c>
      <c r="E52" s="159">
        <f t="shared" ca="1" si="60"/>
        <v>0</v>
      </c>
      <c r="F52" s="159">
        <f t="shared" ca="1" si="1"/>
        <v>13891.119999999999</v>
      </c>
      <c r="G52" s="253">
        <f t="shared" ca="1" si="2"/>
        <v>3.9372806893228649</v>
      </c>
      <c r="H52" s="159">
        <f t="shared" ref="H52:M52" ca="1" si="61">SUM(H53:H73)</f>
        <v>13891.119999999999</v>
      </c>
      <c r="I52" s="159">
        <f t="shared" ca="1" si="61"/>
        <v>0</v>
      </c>
      <c r="J52" s="159">
        <f t="shared" ca="1" si="61"/>
        <v>0</v>
      </c>
      <c r="K52" s="159">
        <f t="shared" ca="1" si="61"/>
        <v>0</v>
      </c>
      <c r="L52" s="159">
        <f t="shared" ca="1" si="61"/>
        <v>13891.119999999999</v>
      </c>
      <c r="M52" s="161">
        <f t="shared" ca="1" si="61"/>
        <v>0</v>
      </c>
      <c r="N52" s="161">
        <f t="shared" ca="1" si="37"/>
        <v>0</v>
      </c>
      <c r="O52" s="159">
        <f t="shared" ref="O52:P52" ca="1" si="62">SUM(O53:O73)</f>
        <v>175</v>
      </c>
      <c r="P52" s="159">
        <f t="shared" ca="1" si="62"/>
        <v>0</v>
      </c>
      <c r="Q52" s="162">
        <f t="shared" ca="1" si="31"/>
        <v>0</v>
      </c>
      <c r="R52" s="159">
        <f t="shared" ref="R52:S52" ca="1" si="63">SUM(R53:R73)</f>
        <v>138</v>
      </c>
      <c r="S52" s="159">
        <f t="shared" ca="1" si="63"/>
        <v>2</v>
      </c>
      <c r="T52" s="162">
        <f t="shared" ca="1" si="32"/>
        <v>1.4492753623188406</v>
      </c>
      <c r="U52" s="159">
        <f t="shared" ref="U52:V52" ca="1" si="64">SUM(U53:U73)</f>
        <v>1841</v>
      </c>
      <c r="V52" s="159">
        <f t="shared" ca="1" si="64"/>
        <v>21</v>
      </c>
      <c r="W52" s="162">
        <f t="shared" ca="1" si="33"/>
        <v>1.1406844106463878</v>
      </c>
      <c r="X52" s="162">
        <f t="shared" ref="X52:AE52" ca="1" si="65">SUM(X53:X73)</f>
        <v>3</v>
      </c>
      <c r="Y52" s="162">
        <f t="shared" ca="1" si="65"/>
        <v>3</v>
      </c>
      <c r="Z52" s="162">
        <f t="shared" ca="1" si="65"/>
        <v>21</v>
      </c>
      <c r="AA52" s="162">
        <f t="shared" ca="1" si="65"/>
        <v>0</v>
      </c>
      <c r="AB52" s="162">
        <f t="shared" ca="1" si="65"/>
        <v>0</v>
      </c>
      <c r="AC52" s="162">
        <f t="shared" ca="1" si="65"/>
        <v>0</v>
      </c>
      <c r="AD52" s="159">
        <f t="shared" ca="1" si="65"/>
        <v>2386</v>
      </c>
      <c r="AE52" s="159">
        <f t="shared" ca="1" si="65"/>
        <v>319.99900000000002</v>
      </c>
      <c r="AF52" s="162">
        <f t="shared" ca="1" si="34"/>
        <v>13.411525565800504</v>
      </c>
      <c r="AG52" s="159">
        <f t="shared" ref="AG52:AR52" ca="1" si="66">SUM(AG53:AG73)</f>
        <v>11</v>
      </c>
      <c r="AH52" s="159">
        <f t="shared" ca="1" si="66"/>
        <v>271.185</v>
      </c>
      <c r="AI52" s="159">
        <f t="shared" ca="1" si="66"/>
        <v>13</v>
      </c>
      <c r="AJ52" s="159">
        <f t="shared" ca="1" si="66"/>
        <v>13</v>
      </c>
      <c r="AK52" s="159">
        <f t="shared" ca="1" si="66"/>
        <v>268.24700000000001</v>
      </c>
      <c r="AL52" s="159">
        <f t="shared" ca="1" si="66"/>
        <v>4</v>
      </c>
      <c r="AM52" s="159">
        <f t="shared" ca="1" si="66"/>
        <v>4</v>
      </c>
      <c r="AN52" s="159">
        <f t="shared" ca="1" si="66"/>
        <v>51.752000000000002</v>
      </c>
      <c r="AO52" s="159">
        <f t="shared" ca="1" si="66"/>
        <v>2011</v>
      </c>
      <c r="AP52" s="159">
        <f t="shared" ca="1" si="66"/>
        <v>0</v>
      </c>
      <c r="AQ52" s="159">
        <f t="shared" ca="1" si="66"/>
        <v>0</v>
      </c>
      <c r="AR52" s="159">
        <f t="shared" ca="1" si="66"/>
        <v>0</v>
      </c>
      <c r="AS52" s="162">
        <f t="shared" ca="1" si="14"/>
        <v>0</v>
      </c>
      <c r="AT52" s="159">
        <f t="shared" ref="AT52:AV52" ca="1" si="67">SUM(AT53:AT73)</f>
        <v>274</v>
      </c>
      <c r="AU52" s="159">
        <f t="shared" ca="1" si="67"/>
        <v>2871</v>
      </c>
      <c r="AV52" s="159">
        <f t="shared" ca="1" si="67"/>
        <v>20</v>
      </c>
      <c r="AW52" s="162">
        <f t="shared" ca="1" si="16"/>
        <v>7.2992700729927007</v>
      </c>
      <c r="AX52" s="159">
        <f ca="1">SUM(AX53:AX73)</f>
        <v>162.09</v>
      </c>
      <c r="AY52" s="162">
        <f t="shared" ca="1" si="17"/>
        <v>5.6457680250783699</v>
      </c>
      <c r="AZ52" s="159">
        <f t="shared" ref="AZ52:BK52" ca="1" si="68">SUM(AZ53:AZ73)</f>
        <v>202</v>
      </c>
      <c r="BA52" s="159">
        <f t="shared" ca="1" si="68"/>
        <v>2168</v>
      </c>
      <c r="BB52" s="159">
        <f t="shared" ca="1" si="68"/>
        <v>15</v>
      </c>
      <c r="BC52" s="159">
        <f t="shared" ca="1" si="68"/>
        <v>15</v>
      </c>
      <c r="BD52" s="159">
        <f t="shared" ca="1" si="68"/>
        <v>152.38999999999999</v>
      </c>
      <c r="BE52" s="159">
        <f t="shared" ca="1" si="68"/>
        <v>72</v>
      </c>
      <c r="BF52" s="159">
        <f t="shared" ca="1" si="68"/>
        <v>703</v>
      </c>
      <c r="BG52" s="159">
        <f t="shared" ca="1" si="68"/>
        <v>5</v>
      </c>
      <c r="BH52" s="159">
        <f t="shared" ca="1" si="68"/>
        <v>5</v>
      </c>
      <c r="BI52" s="159">
        <f t="shared" ca="1" si="68"/>
        <v>9.6999999999999993</v>
      </c>
      <c r="BJ52" s="159">
        <f t="shared" ca="1" si="68"/>
        <v>547</v>
      </c>
      <c r="BK52" s="159">
        <f t="shared" ca="1" si="68"/>
        <v>95</v>
      </c>
      <c r="BL52" s="162">
        <f t="shared" ca="1" si="19"/>
        <v>17.367458866544791</v>
      </c>
      <c r="BM52" s="159">
        <f t="shared" ref="BM52:BR52" ca="1" si="69">SUM(BM53:BM73)</f>
        <v>3</v>
      </c>
      <c r="BN52" s="159">
        <f t="shared" ca="1" si="69"/>
        <v>2</v>
      </c>
      <c r="BO52" s="159">
        <f t="shared" ca="1" si="69"/>
        <v>14</v>
      </c>
      <c r="BP52" s="159">
        <f t="shared" ca="1" si="69"/>
        <v>9</v>
      </c>
      <c r="BQ52" s="159">
        <f t="shared" ca="1" si="69"/>
        <v>9</v>
      </c>
      <c r="BR52" s="159">
        <f t="shared" ca="1" si="69"/>
        <v>81</v>
      </c>
    </row>
    <row r="53" spans="1:70" ht="21" customHeight="1" x14ac:dyDescent="0.3">
      <c r="A53" s="178">
        <v>1</v>
      </c>
      <c r="B53" s="179" t="s">
        <v>70</v>
      </c>
      <c r="C53" s="180">
        <f t="shared" ref="C53:C73" ca="1" si="70">D53+E53</f>
        <v>6600</v>
      </c>
      <c r="D53" s="181">
        <f ca="1">IFERROR(__xludf.DUMMYFUNCTION("IMPORTRANGE(""https://docs.google.com/spreadsheets/d/1hKO5uv94SSRZWOvrh72HRcpyoEQF9TsE_Cvxl77XNU4/edit?usp=sharing"",""กาญจนบุรี!L690"")"),6600)</f>
        <v>6600</v>
      </c>
      <c r="E53" s="181">
        <f ca="1">IFERROR(__xludf.DUMMYFUNCTION("IMPORTRANGE(""https://docs.google.com/spreadsheets/d/1hKO5uv94SSRZWOvrh72HRcpyoEQF9TsE_Cvxl77XNU4/edit?usp=sharing"",""กาญจนบุรี!L697"")"),0)</f>
        <v>0</v>
      </c>
      <c r="F53" s="182">
        <f t="shared" ca="1" si="1"/>
        <v>0</v>
      </c>
      <c r="G53" s="183">
        <f t="shared" ca="1" si="2"/>
        <v>0</v>
      </c>
      <c r="H53" s="184">
        <f t="shared" ref="H53:H73" ca="1" si="71">I53+J53+K53+L53</f>
        <v>0</v>
      </c>
      <c r="I53" s="181">
        <f ca="1">IFERROR(__xludf.DUMMYFUNCTION("IMPORTRANGE(""https://docs.google.com/spreadsheets/d/1hKO5uv94SSRZWOvrh72HRcpyoEQF9TsE_Cvxl77XNU4/edit?usp=sharing"",""กาญจนบุรี!N691"")"),0)</f>
        <v>0</v>
      </c>
      <c r="J53" s="181">
        <f ca="1">IFERROR(__xludf.DUMMYFUNCTION("IMPORTRANGE(""https://docs.google.com/spreadsheets/d/1hKO5uv94SSRZWOvrh72HRcpyoEQF9TsE_Cvxl77XNU4/edit?usp=sharing"",""กาญจนบุรี!N692"")"),0)</f>
        <v>0</v>
      </c>
      <c r="K53" s="181">
        <f ca="1">IFERROR(__xludf.DUMMYFUNCTION("IMPORTRANGE(""https://docs.google.com/spreadsheets/d/1hKO5uv94SSRZWOvrh72HRcpyoEQF9TsE_Cvxl77XNU4/edit?usp=sharing"",""กาญจนบุรี!N693"")"),0)</f>
        <v>0</v>
      </c>
      <c r="L53" s="181">
        <f ca="1">IFERROR(__xludf.DUMMYFUNCTION("IMPORTRANGE(""https://docs.google.com/spreadsheets/d/1hKO5uv94SSRZWOvrh72HRcpyoEQF9TsE_Cvxl77XNU4/edit?usp=sharing"",""กาญจนบุรี!N694"")"),0)</f>
        <v>0</v>
      </c>
      <c r="M53" s="185">
        <f ca="1">IFERROR(__xludf.DUMMYFUNCTION("IMPORTRANGE(""https://docs.google.com/spreadsheets/d/1hKO5uv94SSRZWOvrh72HRcpyoEQF9TsE_Cvxl77XNU4/edit?usp=sharing"",""กาญจนบุรี!N697"")"),0)</f>
        <v>0</v>
      </c>
      <c r="N53" s="185">
        <f t="shared" ca="1" si="37"/>
        <v>0</v>
      </c>
      <c r="O53" s="181">
        <f ca="1">IFERROR(__xludf.DUMMYFUNCTION("IMPORTRANGE(""https://docs.google.com/spreadsheets/d/1hKO5uv94SSRZWOvrh72HRcpyoEQF9TsE_Cvxl77XNU4/edit?usp=sharing"",""กาญจนบุรี!I699"")"),0)</f>
        <v>0</v>
      </c>
      <c r="P53" s="181">
        <f ca="1">IFERROR(__xludf.DUMMYFUNCTION("IMPORTRANGE(""https://docs.google.com/spreadsheets/d/1hKO5uv94SSRZWOvrh72HRcpyoEQF9TsE_Cvxl77XNU4/edit?usp=sharing"",""กาญจนบุรี!J699"")"),0)</f>
        <v>0</v>
      </c>
      <c r="Q53" s="186">
        <f t="shared" ca="1" si="31"/>
        <v>0</v>
      </c>
      <c r="R53" s="181">
        <f ca="1">IFERROR(__xludf.DUMMYFUNCTION("IMPORTRANGE(""https://docs.google.com/spreadsheets/d/1hKO5uv94SSRZWOvrh72HRcpyoEQF9TsE_Cvxl77XNU4/edit?usp=sharing"",""กาญจนบุรี!I700"")"),0)</f>
        <v>0</v>
      </c>
      <c r="S53" s="181">
        <f ca="1">IFERROR(__xludf.DUMMYFUNCTION("IMPORTRANGE(""https://docs.google.com/spreadsheets/d/1hKO5uv94SSRZWOvrh72HRcpyoEQF9TsE_Cvxl77XNU4/edit?usp=sharing"",""กาญจนบุรี!J700"")"),0)</f>
        <v>0</v>
      </c>
      <c r="T53" s="186">
        <f t="shared" ca="1" si="32"/>
        <v>0</v>
      </c>
      <c r="U53" s="181">
        <f ca="1">IFERROR(__xludf.DUMMYFUNCTION("IMPORTRANGE(""https://docs.google.com/spreadsheets/d/1hKO5uv94SSRZWOvrh72HRcpyoEQF9TsE_Cvxl77XNU4/edit?usp=sharing"",""กาญจนบุรี!I701"")"),0)</f>
        <v>0</v>
      </c>
      <c r="V53" s="181">
        <f ca="1">IFERROR(__xludf.DUMMYFUNCTION("IMPORTRANGE(""https://docs.google.com/spreadsheets/d/1hKO5uv94SSRZWOvrh72HRcpyoEQF9TsE_Cvxl77XNU4/edit?usp=sharing"",""กาญจนบุรี!J701"")"),0)</f>
        <v>0</v>
      </c>
      <c r="W53" s="186">
        <f t="shared" ca="1" si="33"/>
        <v>0</v>
      </c>
      <c r="X53" s="186">
        <f ca="1">IFERROR(__xludf.DUMMYFUNCTION("IMPORTRANGE(""https://docs.google.com/spreadsheets/d/1hKO5uv94SSRZWOvrh72HRcpyoEQF9TsE_Cvxl77XNU4/edit?usp=sharing"",""กาญจนบุรี!J702"")"),0)</f>
        <v>0</v>
      </c>
      <c r="Y53" s="186">
        <f ca="1">IFERROR(__xludf.DUMMYFUNCTION("IMPORTRANGE(""https://docs.google.com/spreadsheets/d/1hKO5uv94SSRZWOvrh72HRcpyoEQF9TsE_Cvxl77XNU4/edit?usp=sharing"",""กาญจนบุรี!J703"")"),0)</f>
        <v>0</v>
      </c>
      <c r="Z53" s="186">
        <f ca="1">IFERROR(__xludf.DUMMYFUNCTION("IMPORTRANGE(""https://docs.google.com/spreadsheets/d/1hKO5uv94SSRZWOvrh72HRcpyoEQF9TsE_Cvxl77XNU4/edit?usp=sharing"",""กาญจนบุรี!J704"")"),0)</f>
        <v>0</v>
      </c>
      <c r="AA53" s="186">
        <f ca="1">IFERROR(__xludf.DUMMYFUNCTION("IMPORTRANGE(""https://docs.google.com/spreadsheets/d/1hKO5uv94SSRZWOvrh72HRcpyoEQF9TsE_Cvxl77XNU4/edit?usp=sharing"",""กาญจนบุรี!J705"")"),0)</f>
        <v>0</v>
      </c>
      <c r="AB53" s="186">
        <f ca="1">IFERROR(__xludf.DUMMYFUNCTION("IMPORTRANGE(""https://docs.google.com/spreadsheets/d/1hKO5uv94SSRZWOvrh72HRcpyoEQF9TsE_Cvxl77XNU4/edit?usp=sharing"",""กาญจนบุรี!J706"")"),0)</f>
        <v>0</v>
      </c>
      <c r="AC53" s="186">
        <f ca="1">IFERROR(__xludf.DUMMYFUNCTION("IMPORTRANGE(""https://docs.google.com/spreadsheets/d/1hKO5uv94SSRZWOvrh72HRcpyoEQF9TsE_Cvxl77XNU4/edit?usp=sharing"",""กาญจนบุรี!J707"")"),0)</f>
        <v>0</v>
      </c>
      <c r="AD53" s="181">
        <f ca="1">IFERROR(__xludf.DUMMYFUNCTION("IMPORTRANGE(""https://docs.google.com/spreadsheets/d/1hKO5uv94SSRZWOvrh72HRcpyoEQF9TsE_Cvxl77XNU4/edit?usp=sharing"",""กาญจนบุรี!I708"")"),0)</f>
        <v>0</v>
      </c>
      <c r="AE53" s="181">
        <f ca="1">IFERROR(__xludf.DUMMYFUNCTION("IMPORTRANGE(""https://docs.google.com/spreadsheets/d/1hKO5uv94SSRZWOvrh72HRcpyoEQF9TsE_Cvxl77XNU4/edit?usp=sharing"",""กาญจนบุรี!J708"")"),0)</f>
        <v>0</v>
      </c>
      <c r="AF53" s="186">
        <f t="shared" ca="1" si="34"/>
        <v>0</v>
      </c>
      <c r="AG53" s="181">
        <f ca="1">IFERROR(__xludf.DUMMYFUNCTION("IMPORTRANGE(""https://docs.google.com/spreadsheets/d/1hKO5uv94SSRZWOvrh72HRcpyoEQF9TsE_Cvxl77XNU4/edit?usp=sharing"",""กาญจนบุรี!J709"")"),0)</f>
        <v>0</v>
      </c>
      <c r="AH53" s="181">
        <f ca="1">IFERROR(__xludf.DUMMYFUNCTION("IMPORTRANGE(""https://docs.google.com/spreadsheets/d/1hKO5uv94SSRZWOvrh72HRcpyoEQF9TsE_Cvxl77XNU4/edit?usp=sharing"",""กาญจนบุรี!J710"")"),0)</f>
        <v>0</v>
      </c>
      <c r="AI53" s="181">
        <f ca="1">IFERROR(__xludf.DUMMYFUNCTION("IMPORTRANGE(""https://docs.google.com/spreadsheets/d/1hKO5uv94SSRZWOvrh72HRcpyoEQF9TsE_Cvxl77XNU4/edit?usp=sharing"",""กาญจนบุรี!J712"")"),0)</f>
        <v>0</v>
      </c>
      <c r="AJ53" s="181">
        <f ca="1">IFERROR(__xludf.DUMMYFUNCTION("IMPORTRANGE(""https://docs.google.com/spreadsheets/d/1hKO5uv94SSRZWOvrh72HRcpyoEQF9TsE_Cvxl77XNU4/edit?usp=sharing"",""กาญจนบุรี!J713"")"),0)</f>
        <v>0</v>
      </c>
      <c r="AK53" s="181">
        <f ca="1">IFERROR(__xludf.DUMMYFUNCTION("IMPORTRANGE(""https://docs.google.com/spreadsheets/d/1hKO5uv94SSRZWOvrh72HRcpyoEQF9TsE_Cvxl77XNU4/edit?usp=sharing"",""กาญจนบุรี!J714"")"),0)</f>
        <v>0</v>
      </c>
      <c r="AL53" s="181">
        <f ca="1">IFERROR(__xludf.DUMMYFUNCTION("IMPORTRANGE(""https://docs.google.com/spreadsheets/d/1hKO5uv94SSRZWOvrh72HRcpyoEQF9TsE_Cvxl77XNU4/edit?usp=sharing"",""กาญจนบุรี!J715"")"),0)</f>
        <v>0</v>
      </c>
      <c r="AM53" s="181">
        <f ca="1">IFERROR(__xludf.DUMMYFUNCTION("IMPORTRANGE(""https://docs.google.com/spreadsheets/d/1hKO5uv94SSRZWOvrh72HRcpyoEQF9TsE_Cvxl77XNU4/edit?usp=sharing"",""กาญจนบุรี!J716"")"),0)</f>
        <v>0</v>
      </c>
      <c r="AN53" s="181">
        <f ca="1">IFERROR(__xludf.DUMMYFUNCTION("IMPORTRANGE(""https://docs.google.com/spreadsheets/d/1hKO5uv94SSRZWOvrh72HRcpyoEQF9TsE_Cvxl77XNU4/edit?usp=sharing"",""กาญจนบุรี!J717"")"),0)</f>
        <v>0</v>
      </c>
      <c r="AO53" s="181">
        <f ca="1">IFERROR(__xludf.DUMMYFUNCTION("IMPORTRANGE(""https://docs.google.com/spreadsheets/d/1hKO5uv94SSRZWOvrh72HRcpyoEQF9TsE_Cvxl77XNU4/edit?usp=sharing"",""กาญจนบุรี!I720"")"),0)</f>
        <v>0</v>
      </c>
      <c r="AP53" s="181">
        <f ca="1">IFERROR(__xludf.DUMMYFUNCTION("IMPORTRANGE(""https://docs.google.com/spreadsheets/d/1hKO5uv94SSRZWOvrh72HRcpyoEQF9TsE_Cvxl77XNU4/edit?usp=sharing"",""กาญจนบุรี!J718"")"),0)</f>
        <v>0</v>
      </c>
      <c r="AQ53" s="181">
        <f ca="1">IFERROR(__xludf.DUMMYFUNCTION("IMPORTRANGE(""https://docs.google.com/spreadsheets/d/1hKO5uv94SSRZWOvrh72HRcpyoEQF9TsE_Cvxl77XNU4/edit?usp=sharing"",""กาญจนบุรี!J719"")"),0)</f>
        <v>0</v>
      </c>
      <c r="AR53" s="181">
        <f ca="1">IFERROR(__xludf.DUMMYFUNCTION("IMPORTRANGE(""https://docs.google.com/spreadsheets/d/1hKO5uv94SSRZWOvrh72HRcpyoEQF9TsE_Cvxl77XNU4/edit?usp=sharing"",""กาญจนบุรี!J720"")"),0)</f>
        <v>0</v>
      </c>
      <c r="AS53" s="186">
        <f t="shared" ca="1" si="14"/>
        <v>0</v>
      </c>
      <c r="AT53" s="181">
        <f ca="1">IFERROR(__xludf.DUMMYFUNCTION("IMPORTRANGE(""https://docs.google.com/spreadsheets/d/1hKO5uv94SSRZWOvrh72HRcpyoEQF9TsE_Cvxl77XNU4/edit?usp=sharing"",""กาญจนบุรี!I721"")"),5)</f>
        <v>5</v>
      </c>
      <c r="AU53" s="181">
        <f ca="1">IFERROR(__xludf.DUMMYFUNCTION("IMPORTRANGE(""https://docs.google.com/spreadsheets/d/1hKO5uv94SSRZWOvrh72HRcpyoEQF9TsE_Cvxl77XNU4/edit?usp=sharing"",""กาญจนบุรี!I722"")"),50)</f>
        <v>50</v>
      </c>
      <c r="AV53" s="181">
        <f ca="1">IFERROR(__xludf.DUMMYFUNCTION("IMPORTRANGE(""https://docs.google.com/spreadsheets/d/1hKO5uv94SSRZWOvrh72HRcpyoEQF9TsE_Cvxl77XNU4/edit?usp=sharing"",""กาญจนบุรี!J721"")"),0)</f>
        <v>0</v>
      </c>
      <c r="AW53" s="186">
        <f t="shared" ca="1" si="16"/>
        <v>0</v>
      </c>
      <c r="AX53" s="181">
        <f ca="1">IFERROR(__xludf.DUMMYFUNCTION("IMPORTRANGE(""https://docs.google.com/spreadsheets/d/1hKO5uv94SSRZWOvrh72HRcpyoEQF9TsE_Cvxl77XNU4/edit?usp=sharing"",""กาญจนบุรี!J722"")"),0)</f>
        <v>0</v>
      </c>
      <c r="AY53" s="186">
        <f t="shared" ca="1" si="17"/>
        <v>0</v>
      </c>
      <c r="AZ53" s="181">
        <f ca="1">IFERROR(__xludf.DUMMYFUNCTION("IMPORTRANGE(""https://docs.google.com/spreadsheets/d/1hKO5uv94SSRZWOvrh72HRcpyoEQF9TsE_Cvxl77XNU4/edit?usp=sharing"",""กาญจนบุรี!I723"")"),5)</f>
        <v>5</v>
      </c>
      <c r="BA53" s="181">
        <f ca="1">IFERROR(__xludf.DUMMYFUNCTION("IMPORTRANGE(""https://docs.google.com/spreadsheets/d/1hKO5uv94SSRZWOvrh72HRcpyoEQF9TsE_Cvxl77XNU4/edit?usp=sharing"",""กาญจนบุรี!I725"")"),50)</f>
        <v>50</v>
      </c>
      <c r="BB53" s="181">
        <f ca="1">IFERROR(__xludf.DUMMYFUNCTION("IMPORTRANGE(""https://docs.google.com/spreadsheets/d/1hKO5uv94SSRZWOvrh72HRcpyoEQF9TsE_Cvxl77XNU4/edit?usp=sharing"",""กาญจนบุรี!J723"")"),0)</f>
        <v>0</v>
      </c>
      <c r="BC53" s="181">
        <f ca="1">IFERROR(__xludf.DUMMYFUNCTION("IMPORTRANGE(""https://docs.google.com/spreadsheets/d/1hKO5uv94SSRZWOvrh72HRcpyoEQF9TsE_Cvxl77XNU4/edit?usp=sharing"",""กาญจนบุรี!J724"")"),0)</f>
        <v>0</v>
      </c>
      <c r="BD53" s="181">
        <f ca="1">IFERROR(__xludf.DUMMYFUNCTION("IMPORTRANGE(""https://docs.google.com/spreadsheets/d/1hKO5uv94SSRZWOvrh72HRcpyoEQF9TsE_Cvxl77XNU4/edit?usp=sharing"",""กาญจนบุรี!J725"")"),0)</f>
        <v>0</v>
      </c>
      <c r="BE53" s="181">
        <f ca="1">IFERROR(__xludf.DUMMYFUNCTION("IMPORTRANGE(""https://docs.google.com/spreadsheets/d/1hKO5uv94SSRZWOvrh72HRcpyoEQF9TsE_Cvxl77XNU4/edit?usp=sharing"",""กาญจนบุรี!I726"")"),0)</f>
        <v>0</v>
      </c>
      <c r="BF53" s="181">
        <f ca="1">IFERROR(__xludf.DUMMYFUNCTION("IMPORTRANGE(""https://docs.google.com/spreadsheets/d/1hKO5uv94SSRZWOvrh72HRcpyoEQF9TsE_Cvxl77XNU4/edit?usp=sharing"",""กาญจนบุรี!I728"")"),0)</f>
        <v>0</v>
      </c>
      <c r="BG53" s="181">
        <f ca="1">IFERROR(__xludf.DUMMYFUNCTION("IMPORTRANGE(""https://docs.google.com/spreadsheets/d/1hKO5uv94SSRZWOvrh72HRcpyoEQF9TsE_Cvxl77XNU4/edit?usp=sharing"",""กาญจนบุรี!J726"")"),0)</f>
        <v>0</v>
      </c>
      <c r="BH53" s="181">
        <f ca="1">IFERROR(__xludf.DUMMYFUNCTION("IMPORTRANGE(""https://docs.google.com/spreadsheets/d/1hKO5uv94SSRZWOvrh72HRcpyoEQF9TsE_Cvxl77XNU4/edit?usp=sharing"",""กาญจนบุรี!J727"")"),0)</f>
        <v>0</v>
      </c>
      <c r="BI53" s="181">
        <f ca="1">IFERROR(__xludf.DUMMYFUNCTION("IMPORTRANGE(""https://docs.google.com/spreadsheets/d/1hKO5uv94SSRZWOvrh72HRcpyoEQF9TsE_Cvxl77XNU4/edit?usp=sharing"",""กาญจนบุรี!J728"")"),0)</f>
        <v>0</v>
      </c>
      <c r="BJ53" s="181">
        <f ca="1">IFERROR(__xludf.DUMMYFUNCTION("IMPORTRANGE(""https://docs.google.com/spreadsheets/d/1hKO5uv94SSRZWOvrh72HRcpyoEQF9TsE_Cvxl77XNU4/edit?usp=sharing"",""กาญจนบุรี!I729"")"),50)</f>
        <v>50</v>
      </c>
      <c r="BK53" s="181">
        <f ca="1">IFERROR(__xludf.DUMMYFUNCTION("IMPORTRANGE(""https://docs.google.com/spreadsheets/d/1hKO5uv94SSRZWOvrh72HRcpyoEQF9TsE_Cvxl77XNU4/edit?usp=sharing"",""กาญจนบุรี!J729"")"),0)</f>
        <v>0</v>
      </c>
      <c r="BL53" s="186">
        <f t="shared" ca="1" si="19"/>
        <v>0</v>
      </c>
      <c r="BM53" s="181">
        <f ca="1">IFERROR(__xludf.DUMMYFUNCTION("IMPORTRANGE(""https://docs.google.com/spreadsheets/d/1hKO5uv94SSRZWOvrh72HRcpyoEQF9TsE_Cvxl77XNU4/edit?usp=sharing"",""กาญจนบุรี!J730"")"),0)</f>
        <v>0</v>
      </c>
      <c r="BN53" s="181">
        <f ca="1">IFERROR(__xludf.DUMMYFUNCTION("IMPORTRANGE(""https://docs.google.com/spreadsheets/d/1hKO5uv94SSRZWOvrh72HRcpyoEQF9TsE_Cvxl77XNU4/edit?usp=sharing"",""กาญจนบุรี!J731"")"),0)</f>
        <v>0</v>
      </c>
      <c r="BO53" s="181">
        <f ca="1">IFERROR(__xludf.DUMMYFUNCTION("IMPORTRANGE(""https://docs.google.com/spreadsheets/d/1hKO5uv94SSRZWOvrh72HRcpyoEQF9TsE_Cvxl77XNU4/edit?usp=sharing"",""กาญจนบุรี!J732"")"),0)</f>
        <v>0</v>
      </c>
      <c r="BP53" s="181">
        <f ca="1">IFERROR(__xludf.DUMMYFUNCTION("IMPORTRANGE(""https://docs.google.com/spreadsheets/d/1hKO5uv94SSRZWOvrh72HRcpyoEQF9TsE_Cvxl77XNU4/edit?usp=sharing"",""กาญจนบุรี!J733"")"),0)</f>
        <v>0</v>
      </c>
      <c r="BQ53" s="181">
        <f ca="1">IFERROR(__xludf.DUMMYFUNCTION("IMPORTRANGE(""https://docs.google.com/spreadsheets/d/1hKO5uv94SSRZWOvrh72HRcpyoEQF9TsE_Cvxl77XNU4/edit?usp=sharing"",""กาญจนบุรี!J734"")"),0)</f>
        <v>0</v>
      </c>
      <c r="BR53" s="181">
        <f ca="1">IFERROR(__xludf.DUMMYFUNCTION("IMPORTRANGE(""https://docs.google.com/spreadsheets/d/1hKO5uv94SSRZWOvrh72HRcpyoEQF9TsE_Cvxl77XNU4/edit?usp=sharing"",""กาญจนบุรี!J735"")"),0)</f>
        <v>0</v>
      </c>
    </row>
    <row r="54" spans="1:70" ht="21" customHeight="1" x14ac:dyDescent="0.3">
      <c r="A54" s="178">
        <v>2</v>
      </c>
      <c r="B54" s="179" t="s">
        <v>71</v>
      </c>
      <c r="C54" s="180">
        <f t="shared" ca="1" si="70"/>
        <v>27360</v>
      </c>
      <c r="D54" s="181">
        <f ca="1">IFERROR(__xludf.DUMMYFUNCTION("IMPORTRANGE(""https://docs.google.com/spreadsheets/d/1njBaP_xXd-Uotvo2D9zb01TTCFkLJLDK97Tk1l9Qux0/edit?usp=sharing"",""จันทบุรี!L690"")"),27360)</f>
        <v>27360</v>
      </c>
      <c r="E54" s="187">
        <f ca="1">IFERROR(__xludf.DUMMYFUNCTION("IMPORTRANGE(""https://docs.google.com/spreadsheets/d/1njBaP_xXd-Uotvo2D9zb01TTCFkLJLDK97Tk1l9Qux0/edit?usp=sharing"",""จันทบุรี!L697"")"),0)</f>
        <v>0</v>
      </c>
      <c r="F54" s="182">
        <f t="shared" ca="1" si="1"/>
        <v>0</v>
      </c>
      <c r="G54" s="183">
        <f t="shared" ca="1" si="2"/>
        <v>0</v>
      </c>
      <c r="H54" s="184">
        <f t="shared" ca="1" si="71"/>
        <v>0</v>
      </c>
      <c r="I54" s="187">
        <f ca="1">IFERROR(__xludf.DUMMYFUNCTION("IMPORTRANGE(""https://docs.google.com/spreadsheets/d/1njBaP_xXd-Uotvo2D9zb01TTCFkLJLDK97Tk1l9Qux0/edit?usp=sharing"",""จันทบุรี!N691"")"),0)</f>
        <v>0</v>
      </c>
      <c r="J54" s="187">
        <f ca="1">IFERROR(__xludf.DUMMYFUNCTION("IMPORTRANGE(""https://docs.google.com/spreadsheets/d/1njBaP_xXd-Uotvo2D9zb01TTCFkLJLDK97Tk1l9Qux0/edit?usp=sharing"",""จันทบุรี!N692"")"),0)</f>
        <v>0</v>
      </c>
      <c r="K54" s="187">
        <f ca="1">IFERROR(__xludf.DUMMYFUNCTION("IMPORTRANGE(""https://docs.google.com/spreadsheets/d/1njBaP_xXd-Uotvo2D9zb01TTCFkLJLDK97Tk1l9Qux0/edit?usp=sharing"",""จันทบุรี!N693"")"),0)</f>
        <v>0</v>
      </c>
      <c r="L54" s="187">
        <f ca="1">IFERROR(__xludf.DUMMYFUNCTION("IMPORTRANGE(""https://docs.google.com/spreadsheets/d/1njBaP_xXd-Uotvo2D9zb01TTCFkLJLDK97Tk1l9Qux0/edit?usp=sharing"",""จันทบุรี!N694"")"),0)</f>
        <v>0</v>
      </c>
      <c r="M54" s="185">
        <f ca="1">IFERROR(__xludf.DUMMYFUNCTION("IMPORTRANGE(""https://docs.google.com/spreadsheets/d/1njBaP_xXd-Uotvo2D9zb01TTCFkLJLDK97Tk1l9Qux0/edit?usp=sharing"",""จันทบุรี!N697"")"),0)</f>
        <v>0</v>
      </c>
      <c r="N54" s="185">
        <f t="shared" ca="1" si="37"/>
        <v>0</v>
      </c>
      <c r="O54" s="181">
        <f ca="1">IFERROR(__xludf.DUMMYFUNCTION("IMPORTRANGE(""https://docs.google.com/spreadsheets/d/1njBaP_xXd-Uotvo2D9zb01TTCFkLJLDK97Tk1l9Qux0/edit?usp=sharing"",""จันทบุรี!I699"")"),10)</f>
        <v>10</v>
      </c>
      <c r="P54" s="181">
        <f ca="1">IFERROR(__xludf.DUMMYFUNCTION("IMPORTRANGE(""https://docs.google.com/spreadsheets/d/1njBaP_xXd-Uotvo2D9zb01TTCFkLJLDK97Tk1l9Qux0/edit?usp=sharing"",""จันทบุรี!J699"")"),0)</f>
        <v>0</v>
      </c>
      <c r="Q54" s="186">
        <f t="shared" ca="1" si="31"/>
        <v>0</v>
      </c>
      <c r="R54" s="181">
        <f ca="1">IFERROR(__xludf.DUMMYFUNCTION("IMPORTRANGE(""https://docs.google.com/spreadsheets/d/1njBaP_xXd-Uotvo2D9zb01TTCFkLJLDK97Tk1l9Qux0/edit?usp=sharing"",""จันทบุรี!I700"")"),2)</f>
        <v>2</v>
      </c>
      <c r="S54" s="181">
        <f ca="1">IFERROR(__xludf.DUMMYFUNCTION("IMPORTRANGE(""https://docs.google.com/spreadsheets/d/1njBaP_xXd-Uotvo2D9zb01TTCFkLJLDK97Tk1l9Qux0/edit?usp=sharing"",""จันทบุรี!J700"")"),0)</f>
        <v>0</v>
      </c>
      <c r="T54" s="186">
        <f t="shared" ca="1" si="32"/>
        <v>0</v>
      </c>
      <c r="U54" s="181">
        <f ca="1">IFERROR(__xludf.DUMMYFUNCTION("IMPORTRANGE(""https://docs.google.com/spreadsheets/d/1njBaP_xXd-Uotvo2D9zb01TTCFkLJLDK97Tk1l9Qux0/edit?usp=sharing"",""จันทบุรี!I701"")"),0)</f>
        <v>0</v>
      </c>
      <c r="V54" s="181">
        <f ca="1">IFERROR(__xludf.DUMMYFUNCTION("IMPORTRANGE(""https://docs.google.com/spreadsheets/d/1njBaP_xXd-Uotvo2D9zb01TTCFkLJLDK97Tk1l9Qux0/edit?usp=sharing"",""จันทบุรี!J701"")"),0)</f>
        <v>0</v>
      </c>
      <c r="W54" s="186">
        <f t="shared" ca="1" si="33"/>
        <v>0</v>
      </c>
      <c r="X54" s="186">
        <f ca="1">IFERROR(__xludf.DUMMYFUNCTION("IMPORTRANGE(""https://docs.google.com/spreadsheets/d/1njBaP_xXd-Uotvo2D9zb01TTCFkLJLDK97Tk1l9Qux0/edit?usp=sharing"",""จันทบุรี!J702"")"),0)</f>
        <v>0</v>
      </c>
      <c r="Y54" s="186">
        <f ca="1">IFERROR(__xludf.DUMMYFUNCTION("IMPORTRANGE(""https://docs.google.com/spreadsheets/d/1njBaP_xXd-Uotvo2D9zb01TTCFkLJLDK97Tk1l9Qux0/edit?usp=sharing"",""จันทบุรี!J703"")"),0)</f>
        <v>0</v>
      </c>
      <c r="Z54" s="186">
        <f ca="1">IFERROR(__xludf.DUMMYFUNCTION("IMPORTRANGE(""https://docs.google.com/spreadsheets/d/1njBaP_xXd-Uotvo2D9zb01TTCFkLJLDK97Tk1l9Qux0/edit?usp=sharing"",""จันทบุรี!J704"")"),0)</f>
        <v>0</v>
      </c>
      <c r="AA54" s="186">
        <f ca="1">IFERROR(__xludf.DUMMYFUNCTION("IMPORTRANGE(""https://docs.google.com/spreadsheets/d/1njBaP_xXd-Uotvo2D9zb01TTCFkLJLDK97Tk1l9Qux0/edit?usp=sharing"",""จันทบุรี!J705"")"),0)</f>
        <v>0</v>
      </c>
      <c r="AB54" s="186">
        <f ca="1">IFERROR(__xludf.DUMMYFUNCTION("IMPORTRANGE(""https://docs.google.com/spreadsheets/d/1njBaP_xXd-Uotvo2D9zb01TTCFkLJLDK97Tk1l9Qux0/edit?usp=sharing"",""จันทบุรี!J706"")"),0)</f>
        <v>0</v>
      </c>
      <c r="AC54" s="186">
        <f ca="1">IFERROR(__xludf.DUMMYFUNCTION("IMPORTRANGE(""https://docs.google.com/spreadsheets/d/1njBaP_xXd-Uotvo2D9zb01TTCFkLJLDK97Tk1l9Qux0/edit?usp=sharing"",""จันทบุรี!J707"")"),0)</f>
        <v>0</v>
      </c>
      <c r="AD54" s="181">
        <f ca="1">IFERROR(__xludf.DUMMYFUNCTION("IMPORTRANGE(""https://docs.google.com/spreadsheets/d/1njBaP_xXd-Uotvo2D9zb01TTCFkLJLDK97Tk1l9Qux0/edit?usp=sharing"",""จันทบุรี!I708"")"),1245)</f>
        <v>1245</v>
      </c>
      <c r="AE54" s="181">
        <f ca="1">IFERROR(__xludf.DUMMYFUNCTION("IMPORTRANGE(""https://docs.google.com/spreadsheets/d/1njBaP_xXd-Uotvo2D9zb01TTCFkLJLDK97Tk1l9Qux0/edit?usp=sharing"",""จันทบุรี!J708"")"),0)</f>
        <v>0</v>
      </c>
      <c r="AF54" s="186">
        <f t="shared" ca="1" si="34"/>
        <v>0</v>
      </c>
      <c r="AG54" s="181">
        <f ca="1">IFERROR(__xludf.DUMMYFUNCTION("IMPORTRANGE(""https://docs.google.com/spreadsheets/d/1njBaP_xXd-Uotvo2D9zb01TTCFkLJLDK97Tk1l9Qux0/edit?usp=sharing"",""จันทบุรี!J709"")"),0)</f>
        <v>0</v>
      </c>
      <c r="AH54" s="181">
        <f ca="1">IFERROR(__xludf.DUMMYFUNCTION("IMPORTRANGE(""https://docs.google.com/spreadsheets/d/1njBaP_xXd-Uotvo2D9zb01TTCFkLJLDK97Tk1l9Qux0/edit?usp=sharing"",""จันทบุรี!J710"")"),0)</f>
        <v>0</v>
      </c>
      <c r="AI54" s="181">
        <f ca="1">IFERROR(__xludf.DUMMYFUNCTION("IMPORTRANGE(""https://docs.google.com/spreadsheets/d/1njBaP_xXd-Uotvo2D9zb01TTCFkLJLDK97Tk1l9Qux0/edit?usp=sharing"",""จันทบุรี!J712"")"),0)</f>
        <v>0</v>
      </c>
      <c r="AJ54" s="181">
        <f ca="1">IFERROR(__xludf.DUMMYFUNCTION("IMPORTRANGE(""https://docs.google.com/spreadsheets/d/1njBaP_xXd-Uotvo2D9zb01TTCFkLJLDK97Tk1l9Qux0/edit?usp=sharing"",""จันทบุรี!J713"")"),0)</f>
        <v>0</v>
      </c>
      <c r="AK54" s="181">
        <f ca="1">IFERROR(__xludf.DUMMYFUNCTION("IMPORTRANGE(""https://docs.google.com/spreadsheets/d/1njBaP_xXd-Uotvo2D9zb01TTCFkLJLDK97Tk1l9Qux0/edit?usp=sharing"",""จันทบุรี!J714"")"),0)</f>
        <v>0</v>
      </c>
      <c r="AL54" s="181">
        <f ca="1">IFERROR(__xludf.DUMMYFUNCTION("IMPORTRANGE(""https://docs.google.com/spreadsheets/d/1njBaP_xXd-Uotvo2D9zb01TTCFkLJLDK97Tk1l9Qux0/edit?usp=sharing"",""จันทบุรี!J715"")"),0)</f>
        <v>0</v>
      </c>
      <c r="AM54" s="181">
        <f ca="1">IFERROR(__xludf.DUMMYFUNCTION("IMPORTRANGE(""https://docs.google.com/spreadsheets/d/1njBaP_xXd-Uotvo2D9zb01TTCFkLJLDK97Tk1l9Qux0/edit?usp=sharing"",""จันทบุรี!J716"")"),0)</f>
        <v>0</v>
      </c>
      <c r="AN54" s="181">
        <f ca="1">IFERROR(__xludf.DUMMYFUNCTION("IMPORTRANGE(""https://docs.google.com/spreadsheets/d/1njBaP_xXd-Uotvo2D9zb01TTCFkLJLDK97Tk1l9Qux0/edit?usp=sharing"",""จันทบุรี!J717"")"),0)</f>
        <v>0</v>
      </c>
      <c r="AO54" s="181">
        <f ca="1">IFERROR(__xludf.DUMMYFUNCTION("IMPORTRANGE(""https://docs.google.com/spreadsheets/d/1njBaP_xXd-Uotvo2D9zb01TTCFkLJLDK97Tk1l9Qux0/edit?usp=sharing"",""จันทบุรี!I720"")"),0)</f>
        <v>0</v>
      </c>
      <c r="AP54" s="181">
        <f ca="1">IFERROR(__xludf.DUMMYFUNCTION("IMPORTRANGE(""https://docs.google.com/spreadsheets/d/1njBaP_xXd-Uotvo2D9zb01TTCFkLJLDK97Tk1l9Qux0/edit?usp=sharing"",""จันทบุรี!J718"")"),0)</f>
        <v>0</v>
      </c>
      <c r="AQ54" s="181">
        <f ca="1">IFERROR(__xludf.DUMMYFUNCTION("IMPORTRANGE(""https://docs.google.com/spreadsheets/d/1njBaP_xXd-Uotvo2D9zb01TTCFkLJLDK97Tk1l9Qux0/edit?usp=sharing"",""จันทบุรี!J719"")"),0)</f>
        <v>0</v>
      </c>
      <c r="AR54" s="181">
        <f ca="1">IFERROR(__xludf.DUMMYFUNCTION("IMPORTRANGE(""https://docs.google.com/spreadsheets/d/1njBaP_xXd-Uotvo2D9zb01TTCFkLJLDK97Tk1l9Qux0/edit?usp=sharing"",""จันทบุรี!J720"")"),0)</f>
        <v>0</v>
      </c>
      <c r="AS54" s="186">
        <f t="shared" ca="1" si="14"/>
        <v>0</v>
      </c>
      <c r="AT54" s="181">
        <f ca="1">IFERROR(__xludf.DUMMYFUNCTION("IMPORTRANGE(""https://docs.google.com/spreadsheets/d/1njBaP_xXd-Uotvo2D9zb01TTCFkLJLDK97Tk1l9Qux0/edit?usp=sharing"",""จันทบุรี!I721"")"),1)</f>
        <v>1</v>
      </c>
      <c r="AU54" s="181">
        <f ca="1">IFERROR(__xludf.DUMMYFUNCTION("IMPORTRANGE(""https://docs.google.com/spreadsheets/d/1njBaP_xXd-Uotvo2D9zb01TTCFkLJLDK97Tk1l9Qux0/edit?usp=sharing"",""จันทบุรี!I722"")"),9)</f>
        <v>9</v>
      </c>
      <c r="AV54" s="181">
        <f ca="1">IFERROR(__xludf.DUMMYFUNCTION("IMPORTRANGE(""https://docs.google.com/spreadsheets/d/1njBaP_xXd-Uotvo2D9zb01TTCFkLJLDK97Tk1l9Qux0/edit?usp=sharing"",""จันทบุรี!J721"")"),0)</f>
        <v>0</v>
      </c>
      <c r="AW54" s="186">
        <f t="shared" ca="1" si="16"/>
        <v>0</v>
      </c>
      <c r="AX54" s="181">
        <f ca="1">IFERROR(__xludf.DUMMYFUNCTION("IMPORTRANGE(""https://docs.google.com/spreadsheets/d/1njBaP_xXd-Uotvo2D9zb01TTCFkLJLDK97Tk1l9Qux0/edit?usp=sharing"",""จันทบุรี!J722"")"),0)</f>
        <v>0</v>
      </c>
      <c r="AY54" s="186">
        <f t="shared" ca="1" si="17"/>
        <v>0</v>
      </c>
      <c r="AZ54" s="181">
        <f ca="1">IFERROR(__xludf.DUMMYFUNCTION("IMPORTRANGE(""https://docs.google.com/spreadsheets/d/1njBaP_xXd-Uotvo2D9zb01TTCFkLJLDK97Tk1l9Qux0/edit?usp=sharing"",""จันทบุรี!I723"")"),1)</f>
        <v>1</v>
      </c>
      <c r="BA54" s="181">
        <f ca="1">IFERROR(__xludf.DUMMYFUNCTION("IMPORTRANGE(""https://docs.google.com/spreadsheets/d/1njBaP_xXd-Uotvo2D9zb01TTCFkLJLDK97Tk1l9Qux0/edit?usp=sharing"",""จันทบุรี!I725"")"),9)</f>
        <v>9</v>
      </c>
      <c r="BB54" s="181">
        <f ca="1">IFERROR(__xludf.DUMMYFUNCTION("IMPORTRANGE(""https://docs.google.com/spreadsheets/d/1njBaP_xXd-Uotvo2D9zb01TTCFkLJLDK97Tk1l9Qux0/edit?usp=sharing"",""จันทบุรี!J723"")"),0)</f>
        <v>0</v>
      </c>
      <c r="BC54" s="181">
        <f ca="1">IFERROR(__xludf.DUMMYFUNCTION("IMPORTRANGE(""https://docs.google.com/spreadsheets/d/1njBaP_xXd-Uotvo2D9zb01TTCFkLJLDK97Tk1l9Qux0/edit?usp=sharing"",""จันทบุรี!J724"")"),0)</f>
        <v>0</v>
      </c>
      <c r="BD54" s="181">
        <f ca="1">IFERROR(__xludf.DUMMYFUNCTION("IMPORTRANGE(""https://docs.google.com/spreadsheets/d/1njBaP_xXd-Uotvo2D9zb01TTCFkLJLDK97Tk1l9Qux0/edit?usp=sharing"",""จันทบุรี!J725"")"),0)</f>
        <v>0</v>
      </c>
      <c r="BE54" s="181">
        <f ca="1">IFERROR(__xludf.DUMMYFUNCTION("IMPORTRANGE(""https://docs.google.com/spreadsheets/d/1njBaP_xXd-Uotvo2D9zb01TTCFkLJLDK97Tk1l9Qux0/edit?usp=sharing"",""จันทบุรี!I726"")"),0)</f>
        <v>0</v>
      </c>
      <c r="BF54" s="181">
        <f ca="1">IFERROR(__xludf.DUMMYFUNCTION("IMPORTRANGE(""https://docs.google.com/spreadsheets/d/1njBaP_xXd-Uotvo2D9zb01TTCFkLJLDK97Tk1l9Qux0/edit?usp=sharing"",""จันทบุรี!I728"")"),0)</f>
        <v>0</v>
      </c>
      <c r="BG54" s="181">
        <f ca="1">IFERROR(__xludf.DUMMYFUNCTION("IMPORTRANGE(""https://docs.google.com/spreadsheets/d/1njBaP_xXd-Uotvo2D9zb01TTCFkLJLDK97Tk1l9Qux0/edit?usp=sharing"",""จันทบุรี!J726"")"),0)</f>
        <v>0</v>
      </c>
      <c r="BH54" s="181">
        <f ca="1">IFERROR(__xludf.DUMMYFUNCTION("IMPORTRANGE(""https://docs.google.com/spreadsheets/d/1njBaP_xXd-Uotvo2D9zb01TTCFkLJLDK97Tk1l9Qux0/edit?usp=sharing"",""จันทบุรี!J727"")"),0)</f>
        <v>0</v>
      </c>
      <c r="BI54" s="181">
        <f ca="1">IFERROR(__xludf.DUMMYFUNCTION("IMPORTRANGE(""https://docs.google.com/spreadsheets/d/1njBaP_xXd-Uotvo2D9zb01TTCFkLJLDK97Tk1l9Qux0/edit?usp=sharing"",""จันทบุรี!J728"")"),0)</f>
        <v>0</v>
      </c>
      <c r="BJ54" s="181">
        <f ca="1">IFERROR(__xludf.DUMMYFUNCTION("IMPORTRANGE(""https://docs.google.com/spreadsheets/d/1njBaP_xXd-Uotvo2D9zb01TTCFkLJLDK97Tk1l9Qux0/edit?usp=sharing"",""จันทบุรี!I729"")"),1)</f>
        <v>1</v>
      </c>
      <c r="BK54" s="181">
        <f ca="1">IFERROR(__xludf.DUMMYFUNCTION("IMPORTRANGE(""https://docs.google.com/spreadsheets/d/1njBaP_xXd-Uotvo2D9zb01TTCFkLJLDK97Tk1l9Qux0/edit?usp=sharing"",""จันทบุรี!J729"")"),0)</f>
        <v>0</v>
      </c>
      <c r="BL54" s="186">
        <f t="shared" ca="1" si="19"/>
        <v>0</v>
      </c>
      <c r="BM54" s="181">
        <f ca="1">IFERROR(__xludf.DUMMYFUNCTION("IMPORTRANGE(""https://docs.google.com/spreadsheets/d/1njBaP_xXd-Uotvo2D9zb01TTCFkLJLDK97Tk1l9Qux0/edit?usp=sharing"",""จันทบุรี!J730"")"),0)</f>
        <v>0</v>
      </c>
      <c r="BN54" s="181">
        <f ca="1">IFERROR(__xludf.DUMMYFUNCTION("IMPORTRANGE(""https://docs.google.com/spreadsheets/d/1njBaP_xXd-Uotvo2D9zb01TTCFkLJLDK97Tk1l9Qux0/edit?usp=sharing"",""จันทบุรี!J731"")"),0)</f>
        <v>0</v>
      </c>
      <c r="BO54" s="181">
        <f ca="1">IFERROR(__xludf.DUMMYFUNCTION("IMPORTRANGE(""https://docs.google.com/spreadsheets/d/1njBaP_xXd-Uotvo2D9zb01TTCFkLJLDK97Tk1l9Qux0/edit?usp=sharing"",""จันทบุรี!J732"")"),0)</f>
        <v>0</v>
      </c>
      <c r="BP54" s="181">
        <f ca="1">IFERROR(__xludf.DUMMYFUNCTION("IMPORTRANGE(""https://docs.google.com/spreadsheets/d/1njBaP_xXd-Uotvo2D9zb01TTCFkLJLDK97Tk1l9Qux0/edit?usp=sharing"",""จันทบุรี!J733"")"),0)</f>
        <v>0</v>
      </c>
      <c r="BQ54" s="181">
        <f ca="1">IFERROR(__xludf.DUMMYFUNCTION("IMPORTRANGE(""https://docs.google.com/spreadsheets/d/1njBaP_xXd-Uotvo2D9zb01TTCFkLJLDK97Tk1l9Qux0/edit?usp=sharing"",""จันทบุรี!J734"")"),0)</f>
        <v>0</v>
      </c>
      <c r="BR54" s="181">
        <f ca="1">IFERROR(__xludf.DUMMYFUNCTION("IMPORTRANGE(""https://docs.google.com/spreadsheets/d/1njBaP_xXd-Uotvo2D9zb01TTCFkLJLDK97Tk1l9Qux0/edit?usp=sharing"",""จันทบุรี!J735"")"),0)</f>
        <v>0</v>
      </c>
    </row>
    <row r="55" spans="1:70" ht="21" customHeight="1" x14ac:dyDescent="0.3">
      <c r="A55" s="178">
        <v>3</v>
      </c>
      <c r="B55" s="179" t="s">
        <v>72</v>
      </c>
      <c r="C55" s="180">
        <f t="shared" ca="1" si="70"/>
        <v>31600</v>
      </c>
      <c r="D55" s="181">
        <f ca="1">IFERROR(__xludf.DUMMYFUNCTION("IMPORTRANGE(""https://docs.google.com/spreadsheets/d/14xp6qUzrGFnUk_qnc1eEmfiaNRd4_grkhpfQH_46fa8/edit?usp=sharing"",""ฉะเชิงเทรา!L690"")"),31600)</f>
        <v>31600</v>
      </c>
      <c r="E55" s="187">
        <f ca="1">IFERROR(__xludf.DUMMYFUNCTION("IMPORTRANGE(""https://docs.google.com/spreadsheets/d/14xp6qUzrGFnUk_qnc1eEmfiaNRd4_grkhpfQH_46fa8/edit?usp=sharing"",""ฉะเชิงเทรา!L697"")"),0)</f>
        <v>0</v>
      </c>
      <c r="F55" s="182">
        <f t="shared" ca="1" si="1"/>
        <v>1480</v>
      </c>
      <c r="G55" s="183">
        <f t="shared" ca="1" si="2"/>
        <v>4.6835443037974684</v>
      </c>
      <c r="H55" s="184">
        <f t="shared" ca="1" si="71"/>
        <v>1480</v>
      </c>
      <c r="I55" s="187">
        <f ca="1">IFERROR(__xludf.DUMMYFUNCTION("IMPORTRANGE(""https://docs.google.com/spreadsheets/d/14xp6qUzrGFnUk_qnc1eEmfiaNRd4_grkhpfQH_46fa8/edit?usp=sharing"",""ฉะเชิงเทรา!N691"")"),0)</f>
        <v>0</v>
      </c>
      <c r="J55" s="187">
        <f ca="1">IFERROR(__xludf.DUMMYFUNCTION("IMPORTRANGE(""https://docs.google.com/spreadsheets/d/14xp6qUzrGFnUk_qnc1eEmfiaNRd4_grkhpfQH_46fa8/edit?usp=sharing"",""ฉะเชิงเทรา!N692"")"),0)</f>
        <v>0</v>
      </c>
      <c r="K55" s="187">
        <f ca="1">IFERROR(__xludf.DUMMYFUNCTION("IMPORTRANGE(""https://docs.google.com/spreadsheets/d/14xp6qUzrGFnUk_qnc1eEmfiaNRd4_grkhpfQH_46fa8/edit?usp=sharing"",""ฉะเชิงเทรา!N693"")"),0)</f>
        <v>0</v>
      </c>
      <c r="L55" s="187">
        <f ca="1">IFERROR(__xludf.DUMMYFUNCTION("IMPORTRANGE(""https://docs.google.com/spreadsheets/d/14xp6qUzrGFnUk_qnc1eEmfiaNRd4_grkhpfQH_46fa8/edit?usp=sharing"",""ฉะเชิงเทรา!N694"")"),1480)</f>
        <v>1480</v>
      </c>
      <c r="M55" s="185">
        <f ca="1">IFERROR(__xludf.DUMMYFUNCTION("IMPORTRANGE(""https://docs.google.com/spreadsheets/d/14xp6qUzrGFnUk_qnc1eEmfiaNRd4_grkhpfQH_46fa8/edit?usp=sharing"",""ฉะเชิงเทรา!N697"")"),0)</f>
        <v>0</v>
      </c>
      <c r="N55" s="185">
        <f t="shared" ca="1" si="37"/>
        <v>0</v>
      </c>
      <c r="O55" s="181">
        <f ca="1">IFERROR(__xludf.DUMMYFUNCTION("IMPORTRANGE(""https://docs.google.com/spreadsheets/d/14xp6qUzrGFnUk_qnc1eEmfiaNRd4_grkhpfQH_46fa8/edit?usp=sharing"",""ฉะเชิงเทรา!I699"")"),0)</f>
        <v>0</v>
      </c>
      <c r="P55" s="181">
        <f ca="1">IFERROR(__xludf.DUMMYFUNCTION("IMPORTRANGE(""https://docs.google.com/spreadsheets/d/14xp6qUzrGFnUk_qnc1eEmfiaNRd4_grkhpfQH_46fa8/edit?usp=sharing"",""ฉะเชิงเทรา!J699"")"),0)</f>
        <v>0</v>
      </c>
      <c r="Q55" s="186">
        <f t="shared" ca="1" si="31"/>
        <v>0</v>
      </c>
      <c r="R55" s="181">
        <f ca="1">IFERROR(__xludf.DUMMYFUNCTION("IMPORTRANGE(""https://docs.google.com/spreadsheets/d/14xp6qUzrGFnUk_qnc1eEmfiaNRd4_grkhpfQH_46fa8/edit?usp=sharing"",""ฉะเชิงเทรา!I700"")"),0)</f>
        <v>0</v>
      </c>
      <c r="S55" s="181">
        <f ca="1">IFERROR(__xludf.DUMMYFUNCTION("IMPORTRANGE(""https://docs.google.com/spreadsheets/d/14xp6qUzrGFnUk_qnc1eEmfiaNRd4_grkhpfQH_46fa8/edit?usp=sharing"",""ฉะเชิงเทรา!J700"")"),0)</f>
        <v>0</v>
      </c>
      <c r="T55" s="186">
        <f t="shared" ca="1" si="32"/>
        <v>0</v>
      </c>
      <c r="U55" s="181">
        <f ca="1">IFERROR(__xludf.DUMMYFUNCTION("IMPORTRANGE(""https://docs.google.com/spreadsheets/d/14xp6qUzrGFnUk_qnc1eEmfiaNRd4_grkhpfQH_46fa8/edit?usp=sharing"",""ฉะเชิงเทรา!I701"")"),300)</f>
        <v>300</v>
      </c>
      <c r="V55" s="181">
        <f ca="1">IFERROR(__xludf.DUMMYFUNCTION("IMPORTRANGE(""https://docs.google.com/spreadsheets/d/14xp6qUzrGFnUk_qnc1eEmfiaNRd4_grkhpfQH_46fa8/edit?usp=sharing"",""ฉะเชิงเทรา!J701"")"),0)</f>
        <v>0</v>
      </c>
      <c r="W55" s="186">
        <f t="shared" ca="1" si="33"/>
        <v>0</v>
      </c>
      <c r="X55" s="186">
        <f ca="1">IFERROR(__xludf.DUMMYFUNCTION("IMPORTRANGE(""https://docs.google.com/spreadsheets/d/14xp6qUzrGFnUk_qnc1eEmfiaNRd4_grkhpfQH_46fa8/edit?usp=sharing"",""ฉะเชิงเทรา!J702"")"),0)</f>
        <v>0</v>
      </c>
      <c r="Y55" s="186">
        <f ca="1">IFERROR(__xludf.DUMMYFUNCTION("IMPORTRANGE(""https://docs.google.com/spreadsheets/d/14xp6qUzrGFnUk_qnc1eEmfiaNRd4_grkhpfQH_46fa8/edit?usp=sharing"",""ฉะเชิงเทรา!J703"")"),0)</f>
        <v>0</v>
      </c>
      <c r="Z55" s="186">
        <f ca="1">IFERROR(__xludf.DUMMYFUNCTION("IMPORTRANGE(""https://docs.google.com/spreadsheets/d/14xp6qUzrGFnUk_qnc1eEmfiaNRd4_grkhpfQH_46fa8/edit?usp=sharing"",""ฉะเชิงเทรา!J704"")"),0)</f>
        <v>0</v>
      </c>
      <c r="AA55" s="186">
        <f ca="1">IFERROR(__xludf.DUMMYFUNCTION("IMPORTRANGE(""https://docs.google.com/spreadsheets/d/14xp6qUzrGFnUk_qnc1eEmfiaNRd4_grkhpfQH_46fa8/edit?usp=sharing"",""ฉะเชิงเทรา!J705"")"),0)</f>
        <v>0</v>
      </c>
      <c r="AB55" s="186">
        <f ca="1">IFERROR(__xludf.DUMMYFUNCTION("IMPORTRANGE(""https://docs.google.com/spreadsheets/d/14xp6qUzrGFnUk_qnc1eEmfiaNRd4_grkhpfQH_46fa8/edit?usp=sharing"",""ฉะเชิงเทรา!J706"")"),0)</f>
        <v>0</v>
      </c>
      <c r="AC55" s="186">
        <f ca="1">IFERROR(__xludf.DUMMYFUNCTION("IMPORTRANGE(""https://docs.google.com/spreadsheets/d/14xp6qUzrGFnUk_qnc1eEmfiaNRd4_grkhpfQH_46fa8/edit?usp=sharing"",""ฉะเชิงเทรา!J707"")"),0)</f>
        <v>0</v>
      </c>
      <c r="AD55" s="181">
        <f ca="1">IFERROR(__xludf.DUMMYFUNCTION("IMPORTRANGE(""https://docs.google.com/spreadsheets/d/14xp6qUzrGFnUk_qnc1eEmfiaNRd4_grkhpfQH_46fa8/edit?usp=sharing"",""ฉะเชิงเทรา!I708"")"),150)</f>
        <v>150</v>
      </c>
      <c r="AE55" s="181">
        <f ca="1">IFERROR(__xludf.DUMMYFUNCTION("IMPORTRANGE(""https://docs.google.com/spreadsheets/d/14xp6qUzrGFnUk_qnc1eEmfiaNRd4_grkhpfQH_46fa8/edit?usp=sharing"",""ฉะเชิงเทรา!J708"")"),187.682)</f>
        <v>187.68199999999999</v>
      </c>
      <c r="AF55" s="186">
        <f t="shared" ca="1" si="34"/>
        <v>125.12133333333331</v>
      </c>
      <c r="AG55" s="181">
        <f ca="1">IFERROR(__xludf.DUMMYFUNCTION("IMPORTRANGE(""https://docs.google.com/spreadsheets/d/14xp6qUzrGFnUk_qnc1eEmfiaNRd4_grkhpfQH_46fa8/edit?usp=sharing"",""ฉะเชิงเทรา!J709"")"),10)</f>
        <v>10</v>
      </c>
      <c r="AH55" s="181">
        <f ca="1">IFERROR(__xludf.DUMMYFUNCTION("IMPORTRANGE(""https://docs.google.com/spreadsheets/d/14xp6qUzrGFnUk_qnc1eEmfiaNRd4_grkhpfQH_46fa8/edit?usp=sharing"",""ฉะเชิงเทรา!J710"")"),186.185)</f>
        <v>186.185</v>
      </c>
      <c r="AI55" s="181">
        <f ca="1">IFERROR(__xludf.DUMMYFUNCTION("IMPORTRANGE(""https://docs.google.com/spreadsheets/d/14xp6qUzrGFnUk_qnc1eEmfiaNRd4_grkhpfQH_46fa8/edit?usp=sharing"",""ฉะเชิงเทรา!J712"")"),6)</f>
        <v>6</v>
      </c>
      <c r="AJ55" s="181">
        <f ca="1">IFERROR(__xludf.DUMMYFUNCTION("IMPORTRANGE(""https://docs.google.com/spreadsheets/d/14xp6qUzrGFnUk_qnc1eEmfiaNRd4_grkhpfQH_46fa8/edit?usp=sharing"",""ฉะเชิงเทรา!J713"")"),6)</f>
        <v>6</v>
      </c>
      <c r="AK55" s="181">
        <f ca="1">IFERROR(__xludf.DUMMYFUNCTION("IMPORTRANGE(""https://docs.google.com/spreadsheets/d/14xp6qUzrGFnUk_qnc1eEmfiaNRd4_grkhpfQH_46fa8/edit?usp=sharing"",""ฉะเชิงเทรา!J714"")"),135.93)</f>
        <v>135.93</v>
      </c>
      <c r="AL55" s="181">
        <f ca="1">IFERROR(__xludf.DUMMYFUNCTION("IMPORTRANGE(""https://docs.google.com/spreadsheets/d/14xp6qUzrGFnUk_qnc1eEmfiaNRd4_grkhpfQH_46fa8/edit?usp=sharing"",""ฉะเชิงเทรา!J715"")"),4)</f>
        <v>4</v>
      </c>
      <c r="AM55" s="181">
        <f ca="1">IFERROR(__xludf.DUMMYFUNCTION("IMPORTRANGE(""https://docs.google.com/spreadsheets/d/14xp6qUzrGFnUk_qnc1eEmfiaNRd4_grkhpfQH_46fa8/edit?usp=sharing"",""ฉะเชิงเทรา!J716"")"),4)</f>
        <v>4</v>
      </c>
      <c r="AN55" s="181">
        <f ca="1">IFERROR(__xludf.DUMMYFUNCTION("IMPORTRANGE(""https://docs.google.com/spreadsheets/d/14xp6qUzrGFnUk_qnc1eEmfiaNRd4_grkhpfQH_46fa8/edit?usp=sharing"",""ฉะเชิงเทรา!J717"")"),51.752)</f>
        <v>51.752000000000002</v>
      </c>
      <c r="AO55" s="181">
        <f ca="1">IFERROR(__xludf.DUMMYFUNCTION("IMPORTRANGE(""https://docs.google.com/spreadsheets/d/14xp6qUzrGFnUk_qnc1eEmfiaNRd4_grkhpfQH_46fa8/edit?usp=sharing"",""ฉะเชิงเทรา!I720"")"),80)</f>
        <v>80</v>
      </c>
      <c r="AP55" s="181">
        <f ca="1">IFERROR(__xludf.DUMMYFUNCTION("IMPORTRANGE(""https://docs.google.com/spreadsheets/d/14xp6qUzrGFnUk_qnc1eEmfiaNRd4_grkhpfQH_46fa8/edit?usp=sharing"",""ฉะเชิงเทรา!J718"")"),0)</f>
        <v>0</v>
      </c>
      <c r="AQ55" s="181">
        <f ca="1">IFERROR(__xludf.DUMMYFUNCTION("IMPORTRANGE(""https://docs.google.com/spreadsheets/d/14xp6qUzrGFnUk_qnc1eEmfiaNRd4_grkhpfQH_46fa8/edit?usp=sharing"",""ฉะเชิงเทรา!J719"")"),0)</f>
        <v>0</v>
      </c>
      <c r="AR55" s="181">
        <f ca="1">IFERROR(__xludf.DUMMYFUNCTION("IMPORTRANGE(""https://docs.google.com/spreadsheets/d/14xp6qUzrGFnUk_qnc1eEmfiaNRd4_grkhpfQH_46fa8/edit?usp=sharing"",""ฉะเชิงเทรา!J720"")"),0)</f>
        <v>0</v>
      </c>
      <c r="AS55" s="186">
        <f t="shared" ca="1" si="14"/>
        <v>0</v>
      </c>
      <c r="AT55" s="181">
        <f ca="1">IFERROR(__xludf.DUMMYFUNCTION("IMPORTRANGE(""https://docs.google.com/spreadsheets/d/14xp6qUzrGFnUk_qnc1eEmfiaNRd4_grkhpfQH_46fa8/edit?usp=sharing"",""ฉะเชิงเทรา!I721"")"),35)</f>
        <v>35</v>
      </c>
      <c r="AU55" s="181">
        <f ca="1">IFERROR(__xludf.DUMMYFUNCTION("IMPORTRANGE(""https://docs.google.com/spreadsheets/d/14xp6qUzrGFnUk_qnc1eEmfiaNRd4_grkhpfQH_46fa8/edit?usp=sharing"",""ฉะเชิงเทรา!I722"")"),350)</f>
        <v>350</v>
      </c>
      <c r="AV55" s="181">
        <f ca="1">IFERROR(__xludf.DUMMYFUNCTION("IMPORTRANGE(""https://docs.google.com/spreadsheets/d/14xp6qUzrGFnUk_qnc1eEmfiaNRd4_grkhpfQH_46fa8/edit?usp=sharing"",""ฉะเชิงเทรา!J721"")"),0)</f>
        <v>0</v>
      </c>
      <c r="AW55" s="186">
        <f t="shared" ca="1" si="16"/>
        <v>0</v>
      </c>
      <c r="AX55" s="181">
        <f ca="1">IFERROR(__xludf.DUMMYFUNCTION("IMPORTRANGE(""https://docs.google.com/spreadsheets/d/14xp6qUzrGFnUk_qnc1eEmfiaNRd4_grkhpfQH_46fa8/edit?usp=sharing"",""ฉะเชิงเทรา!J722"")"),0)</f>
        <v>0</v>
      </c>
      <c r="AY55" s="186">
        <f t="shared" ca="1" si="17"/>
        <v>0</v>
      </c>
      <c r="AZ55" s="181">
        <f ca="1">IFERROR(__xludf.DUMMYFUNCTION("IMPORTRANGE(""https://docs.google.com/spreadsheets/d/14xp6qUzrGFnUk_qnc1eEmfiaNRd4_grkhpfQH_46fa8/edit?usp=sharing"",""ฉะเชิงเทรา!I723"")"),30)</f>
        <v>30</v>
      </c>
      <c r="BA55" s="181">
        <f ca="1">IFERROR(__xludf.DUMMYFUNCTION("IMPORTRANGE(""https://docs.google.com/spreadsheets/d/14xp6qUzrGFnUk_qnc1eEmfiaNRd4_grkhpfQH_46fa8/edit?usp=sharing"",""ฉะเชิงเทรา!I725"")"),300)</f>
        <v>300</v>
      </c>
      <c r="BB55" s="181">
        <f ca="1">IFERROR(__xludf.DUMMYFUNCTION("IMPORTRANGE(""https://docs.google.com/spreadsheets/d/14xp6qUzrGFnUk_qnc1eEmfiaNRd4_grkhpfQH_46fa8/edit?usp=sharing"",""ฉะเชิงเทรา!J723"")"),0)</f>
        <v>0</v>
      </c>
      <c r="BC55" s="181">
        <f ca="1">IFERROR(__xludf.DUMMYFUNCTION("IMPORTRANGE(""https://docs.google.com/spreadsheets/d/14xp6qUzrGFnUk_qnc1eEmfiaNRd4_grkhpfQH_46fa8/edit?usp=sharing"",""ฉะเชิงเทรา!J724"")"),0)</f>
        <v>0</v>
      </c>
      <c r="BD55" s="181">
        <f ca="1">IFERROR(__xludf.DUMMYFUNCTION("IMPORTRANGE(""https://docs.google.com/spreadsheets/d/14xp6qUzrGFnUk_qnc1eEmfiaNRd4_grkhpfQH_46fa8/edit?usp=sharing"",""ฉะเชิงเทรา!J725"")"),0)</f>
        <v>0</v>
      </c>
      <c r="BE55" s="181">
        <f ca="1">IFERROR(__xludf.DUMMYFUNCTION("IMPORTRANGE(""https://docs.google.com/spreadsheets/d/14xp6qUzrGFnUk_qnc1eEmfiaNRd4_grkhpfQH_46fa8/edit?usp=sharing"",""ฉะเชิงเทรา!I726"")"),5)</f>
        <v>5</v>
      </c>
      <c r="BF55" s="181">
        <f ca="1">IFERROR(__xludf.DUMMYFUNCTION("IMPORTRANGE(""https://docs.google.com/spreadsheets/d/14xp6qUzrGFnUk_qnc1eEmfiaNRd4_grkhpfQH_46fa8/edit?usp=sharing"",""ฉะเชิงเทรา!I728"")"),50)</f>
        <v>50</v>
      </c>
      <c r="BG55" s="181">
        <f ca="1">IFERROR(__xludf.DUMMYFUNCTION("IMPORTRANGE(""https://docs.google.com/spreadsheets/d/14xp6qUzrGFnUk_qnc1eEmfiaNRd4_grkhpfQH_46fa8/edit?usp=sharing"",""ฉะเชิงเทรา!J726"")"),0)</f>
        <v>0</v>
      </c>
      <c r="BH55" s="181">
        <f ca="1">IFERROR(__xludf.DUMMYFUNCTION("IMPORTRANGE(""https://docs.google.com/spreadsheets/d/14xp6qUzrGFnUk_qnc1eEmfiaNRd4_grkhpfQH_46fa8/edit?usp=sharing"",""ฉะเชิงเทรา!J727"")"),0)</f>
        <v>0</v>
      </c>
      <c r="BI55" s="181">
        <f ca="1">IFERROR(__xludf.DUMMYFUNCTION("IMPORTRANGE(""https://docs.google.com/spreadsheets/d/14xp6qUzrGFnUk_qnc1eEmfiaNRd4_grkhpfQH_46fa8/edit?usp=sharing"",""ฉะเชิงเทรา!J728"")"),0)</f>
        <v>0</v>
      </c>
      <c r="BJ55" s="181">
        <f ca="1">IFERROR(__xludf.DUMMYFUNCTION("IMPORTRANGE(""https://docs.google.com/spreadsheets/d/14xp6qUzrGFnUk_qnc1eEmfiaNRd4_grkhpfQH_46fa8/edit?usp=sharing"",""ฉะเชิงเทรา!I729"")"),100)</f>
        <v>100</v>
      </c>
      <c r="BK55" s="181">
        <f ca="1">IFERROR(__xludf.DUMMYFUNCTION("IMPORTRANGE(""https://docs.google.com/spreadsheets/d/14xp6qUzrGFnUk_qnc1eEmfiaNRd4_grkhpfQH_46fa8/edit?usp=sharing"",""ฉะเชิงเทรา!J729"")"),29)</f>
        <v>29</v>
      </c>
      <c r="BL55" s="186">
        <f t="shared" ca="1" si="19"/>
        <v>29</v>
      </c>
      <c r="BM55" s="181">
        <f ca="1">IFERROR(__xludf.DUMMYFUNCTION("IMPORTRANGE(""https://docs.google.com/spreadsheets/d/14xp6qUzrGFnUk_qnc1eEmfiaNRd4_grkhpfQH_46fa8/edit?usp=sharing"",""ฉะเชิงเทรา!J730"")"),1)</f>
        <v>1</v>
      </c>
      <c r="BN55" s="181">
        <f ca="1">IFERROR(__xludf.DUMMYFUNCTION("IMPORTRANGE(""https://docs.google.com/spreadsheets/d/14xp6qUzrGFnUk_qnc1eEmfiaNRd4_grkhpfQH_46fa8/edit?usp=sharing"",""ฉะเชิงเทรา!J731"")"),1)</f>
        <v>1</v>
      </c>
      <c r="BO55" s="181">
        <f ca="1">IFERROR(__xludf.DUMMYFUNCTION("IMPORTRANGE(""https://docs.google.com/spreadsheets/d/14xp6qUzrGFnUk_qnc1eEmfiaNRd4_grkhpfQH_46fa8/edit?usp=sharing"",""ฉะเชิงเทรา!J732"")"),2)</f>
        <v>2</v>
      </c>
      <c r="BP55" s="181">
        <f ca="1">IFERROR(__xludf.DUMMYFUNCTION("IMPORTRANGE(""https://docs.google.com/spreadsheets/d/14xp6qUzrGFnUk_qnc1eEmfiaNRd4_grkhpfQH_46fa8/edit?usp=sharing"",""ฉะเชิงเทรา!J733"")"),1)</f>
        <v>1</v>
      </c>
      <c r="BQ55" s="181">
        <f ca="1">IFERROR(__xludf.DUMMYFUNCTION("IMPORTRANGE(""https://docs.google.com/spreadsheets/d/14xp6qUzrGFnUk_qnc1eEmfiaNRd4_grkhpfQH_46fa8/edit?usp=sharing"",""ฉะเชิงเทรา!J734"")"),1)</f>
        <v>1</v>
      </c>
      <c r="BR55" s="181">
        <f ca="1">IFERROR(__xludf.DUMMYFUNCTION("IMPORTRANGE(""https://docs.google.com/spreadsheets/d/14xp6qUzrGFnUk_qnc1eEmfiaNRd4_grkhpfQH_46fa8/edit?usp=sharing"",""ฉะเชิงเทรา!J735"")"),27)</f>
        <v>27</v>
      </c>
    </row>
    <row r="56" spans="1:70" ht="21" customHeight="1" x14ac:dyDescent="0.3">
      <c r="A56" s="178">
        <v>4</v>
      </c>
      <c r="B56" s="179" t="s">
        <v>73</v>
      </c>
      <c r="C56" s="180">
        <f t="shared" ca="1" si="70"/>
        <v>0</v>
      </c>
      <c r="D56" s="206">
        <f ca="1">IFERROR(__xludf.DUMMYFUNCTION("IMPORTRANGE(""https://docs.google.com/spreadsheets/d/1_Zwps30dlVa-pZFsorjVf1Pil6WXwzCsJU0U2whO3NI/edit?usp=sharing"",""ชลบุรี!L690"")"),0)</f>
        <v>0</v>
      </c>
      <c r="E56" s="187">
        <f ca="1">IFERROR(__xludf.DUMMYFUNCTION("IMPORTRANGE(""https://docs.google.com/spreadsheets/d/1_Zwps30dlVa-pZFsorjVf1Pil6WXwzCsJU0U2whO3NI/edit?usp=sharing"",""ชลบุรี!L697"")"),0)</f>
        <v>0</v>
      </c>
      <c r="F56" s="182">
        <f t="shared" ca="1" si="1"/>
        <v>0</v>
      </c>
      <c r="G56" s="183">
        <f t="shared" ca="1" si="2"/>
        <v>0</v>
      </c>
      <c r="H56" s="184">
        <f t="shared" ca="1" si="71"/>
        <v>0</v>
      </c>
      <c r="I56" s="187">
        <f ca="1">IFERROR(__xludf.DUMMYFUNCTION("IMPORTRANGE(""https://docs.google.com/spreadsheets/d/1_Zwps30dlVa-pZFsorjVf1Pil6WXwzCsJU0U2whO3NI/edit?usp=sharing"",""ชลบุรี!N691"")"),0)</f>
        <v>0</v>
      </c>
      <c r="J56" s="187">
        <f ca="1">IFERROR(__xludf.DUMMYFUNCTION("IMPORTRANGE(""https://docs.google.com/spreadsheets/d/1_Zwps30dlVa-pZFsorjVf1Pil6WXwzCsJU0U2whO3NI/edit?usp=sharing"",""ชลบุรี!N692"")"),0)</f>
        <v>0</v>
      </c>
      <c r="K56" s="187">
        <f ca="1">IFERROR(__xludf.DUMMYFUNCTION("IMPORTRANGE(""https://docs.google.com/spreadsheets/d/1_Zwps30dlVa-pZFsorjVf1Pil6WXwzCsJU0U2whO3NI/edit?usp=sharing"",""ชลบุรี!N693"")"),0)</f>
        <v>0</v>
      </c>
      <c r="L56" s="187">
        <f ca="1">IFERROR(__xludf.DUMMYFUNCTION("IMPORTRANGE(""https://docs.google.com/spreadsheets/d/1_Zwps30dlVa-pZFsorjVf1Pil6WXwzCsJU0U2whO3NI/edit?usp=sharing"",""ชลบุรี!N694"")"),0)</f>
        <v>0</v>
      </c>
      <c r="M56" s="185">
        <f ca="1">IFERROR(__xludf.DUMMYFUNCTION("IMPORTRANGE(""https://docs.google.com/spreadsheets/d/1_Zwps30dlVa-pZFsorjVf1Pil6WXwzCsJU0U2whO3NI/edit?usp=sharing"",""ชลบุรี!N697"")"),0)</f>
        <v>0</v>
      </c>
      <c r="N56" s="185">
        <f t="shared" ca="1" si="37"/>
        <v>0</v>
      </c>
      <c r="O56" s="181">
        <f ca="1">IFERROR(__xludf.DUMMYFUNCTION("IMPORTRANGE(""https://docs.google.com/spreadsheets/d/1_Zwps30dlVa-pZFsorjVf1Pil6WXwzCsJU0U2whO3NI/edit?usp=sharing"",""ชลบุรี!I699"")"),0)</f>
        <v>0</v>
      </c>
      <c r="P56" s="181">
        <f ca="1">IFERROR(__xludf.DUMMYFUNCTION("IMPORTRANGE(""https://docs.google.com/spreadsheets/d/1_Zwps30dlVa-pZFsorjVf1Pil6WXwzCsJU0U2whO3NI/edit?usp=sharing"",""ชลบุรี!J699"")"),0)</f>
        <v>0</v>
      </c>
      <c r="Q56" s="186">
        <f t="shared" ca="1" si="31"/>
        <v>0</v>
      </c>
      <c r="R56" s="181">
        <f ca="1">IFERROR(__xludf.DUMMYFUNCTION("IMPORTRANGE(""https://docs.google.com/spreadsheets/d/1_Zwps30dlVa-pZFsorjVf1Pil6WXwzCsJU0U2whO3NI/edit?usp=sharing"",""ชลบุรี!I700"")"),0)</f>
        <v>0</v>
      </c>
      <c r="S56" s="181">
        <f ca="1">IFERROR(__xludf.DUMMYFUNCTION("IMPORTRANGE(""https://docs.google.com/spreadsheets/d/1_Zwps30dlVa-pZFsorjVf1Pil6WXwzCsJU0U2whO3NI/edit?usp=sharing"",""ชลบุรี!J700"")"),0)</f>
        <v>0</v>
      </c>
      <c r="T56" s="186">
        <f t="shared" ca="1" si="32"/>
        <v>0</v>
      </c>
      <c r="U56" s="181">
        <f ca="1">IFERROR(__xludf.DUMMYFUNCTION("IMPORTRANGE(""https://docs.google.com/spreadsheets/d/1_Zwps30dlVa-pZFsorjVf1Pil6WXwzCsJU0U2whO3NI/edit?usp=sharing"",""ชลบุรี!I701"")"),0)</f>
        <v>0</v>
      </c>
      <c r="V56" s="181">
        <f ca="1">IFERROR(__xludf.DUMMYFUNCTION("IMPORTRANGE(""https://docs.google.com/spreadsheets/d/1_Zwps30dlVa-pZFsorjVf1Pil6WXwzCsJU0U2whO3NI/edit?usp=sharing"",""ชลบุรี!J701"")"),0)</f>
        <v>0</v>
      </c>
      <c r="W56" s="186">
        <f t="shared" ca="1" si="33"/>
        <v>0</v>
      </c>
      <c r="X56" s="186">
        <f ca="1">IFERROR(__xludf.DUMMYFUNCTION("IMPORTRANGE(""https://docs.google.com/spreadsheets/d/1_Zwps30dlVa-pZFsorjVf1Pil6WXwzCsJU0U2whO3NI/edit?usp=sharing"",""ชลบุรี!J702"")"),0)</f>
        <v>0</v>
      </c>
      <c r="Y56" s="186">
        <f ca="1">IFERROR(__xludf.DUMMYFUNCTION("IMPORTRANGE(""https://docs.google.com/spreadsheets/d/1_Zwps30dlVa-pZFsorjVf1Pil6WXwzCsJU0U2whO3NI/edit?usp=sharing"",""ชลบุรี!J703"")"),0)</f>
        <v>0</v>
      </c>
      <c r="Z56" s="186">
        <f ca="1">IFERROR(__xludf.DUMMYFUNCTION("IMPORTRANGE(""https://docs.google.com/spreadsheets/d/1_Zwps30dlVa-pZFsorjVf1Pil6WXwzCsJU0U2whO3NI/edit?usp=sharing"",""ชลบุรี!J704"")"),0)</f>
        <v>0</v>
      </c>
      <c r="AA56" s="186">
        <f ca="1">IFERROR(__xludf.DUMMYFUNCTION("IMPORTRANGE(""https://docs.google.com/spreadsheets/d/1_Zwps30dlVa-pZFsorjVf1Pil6WXwzCsJU0U2whO3NI/edit?usp=sharing"",""ชลบุรี!J705"")"),0)</f>
        <v>0</v>
      </c>
      <c r="AB56" s="186">
        <f ca="1">IFERROR(__xludf.DUMMYFUNCTION("IMPORTRANGE(""https://docs.google.com/spreadsheets/d/1_Zwps30dlVa-pZFsorjVf1Pil6WXwzCsJU0U2whO3NI/edit?usp=sharing"",""ชลบุรี!J706"")"),0)</f>
        <v>0</v>
      </c>
      <c r="AC56" s="186">
        <f ca="1">IFERROR(__xludf.DUMMYFUNCTION("IMPORTRANGE(""https://docs.google.com/spreadsheets/d/1_Zwps30dlVa-pZFsorjVf1Pil6WXwzCsJU0U2whO3NI/edit?usp=sharing"",""ชลบุรี!J707"")"),0)</f>
        <v>0</v>
      </c>
      <c r="AD56" s="181">
        <f ca="1">IFERROR(__xludf.DUMMYFUNCTION("IMPORTRANGE(""https://docs.google.com/spreadsheets/d/1_Zwps30dlVa-pZFsorjVf1Pil6WXwzCsJU0U2whO3NI/edit?usp=sharing"",""ชลบุรี!I708"")"),0)</f>
        <v>0</v>
      </c>
      <c r="AE56" s="181">
        <f ca="1">IFERROR(__xludf.DUMMYFUNCTION("IMPORTRANGE(""https://docs.google.com/spreadsheets/d/1_Zwps30dlVa-pZFsorjVf1Pil6WXwzCsJU0U2whO3NI/edit?usp=sharing"",""ชลบุรี!J708"")"),0)</f>
        <v>0</v>
      </c>
      <c r="AF56" s="186">
        <f t="shared" ca="1" si="34"/>
        <v>0</v>
      </c>
      <c r="AG56" s="181">
        <f ca="1">IFERROR(__xludf.DUMMYFUNCTION("IMPORTRANGE(""https://docs.google.com/spreadsheets/d/1_Zwps30dlVa-pZFsorjVf1Pil6WXwzCsJU0U2whO3NI/edit?usp=sharing"",""ชลบุรี!J709"")"),0)</f>
        <v>0</v>
      </c>
      <c r="AH56" s="181">
        <f ca="1">IFERROR(__xludf.DUMMYFUNCTION("IMPORTRANGE(""https://docs.google.com/spreadsheets/d/1_Zwps30dlVa-pZFsorjVf1Pil6WXwzCsJU0U2whO3NI/edit?usp=sharing"",""ชลบุรี!J710"")"),0)</f>
        <v>0</v>
      </c>
      <c r="AI56" s="181">
        <f ca="1">IFERROR(__xludf.DUMMYFUNCTION("IMPORTRANGE(""https://docs.google.com/spreadsheets/d/1_Zwps30dlVa-pZFsorjVf1Pil6WXwzCsJU0U2whO3NI/edit?usp=sharing"",""ชลบุรี!J712"")"),0)</f>
        <v>0</v>
      </c>
      <c r="AJ56" s="181">
        <f ca="1">IFERROR(__xludf.DUMMYFUNCTION("IMPORTRANGE(""https://docs.google.com/spreadsheets/d/1_Zwps30dlVa-pZFsorjVf1Pil6WXwzCsJU0U2whO3NI/edit?usp=sharing"",""ชลบุรี!J713"")"),0)</f>
        <v>0</v>
      </c>
      <c r="AK56" s="181">
        <f ca="1">IFERROR(__xludf.DUMMYFUNCTION("IMPORTRANGE(""https://docs.google.com/spreadsheets/d/1_Zwps30dlVa-pZFsorjVf1Pil6WXwzCsJU0U2whO3NI/edit?usp=sharing"",""ชลบุรี!J714"")"),0)</f>
        <v>0</v>
      </c>
      <c r="AL56" s="181">
        <f ca="1">IFERROR(__xludf.DUMMYFUNCTION("IMPORTRANGE(""https://docs.google.com/spreadsheets/d/1_Zwps30dlVa-pZFsorjVf1Pil6WXwzCsJU0U2whO3NI/edit?usp=sharing"",""ชลบุรี!J715"")"),0)</f>
        <v>0</v>
      </c>
      <c r="AM56" s="181">
        <f ca="1">IFERROR(__xludf.DUMMYFUNCTION("IMPORTRANGE(""https://docs.google.com/spreadsheets/d/1_Zwps30dlVa-pZFsorjVf1Pil6WXwzCsJU0U2whO3NI/edit?usp=sharing"",""ชลบุรี!J716"")"),0)</f>
        <v>0</v>
      </c>
      <c r="AN56" s="181">
        <f ca="1">IFERROR(__xludf.DUMMYFUNCTION("IMPORTRANGE(""https://docs.google.com/spreadsheets/d/1_Zwps30dlVa-pZFsorjVf1Pil6WXwzCsJU0U2whO3NI/edit?usp=sharing"",""ชลบุรี!J717"")"),0)</f>
        <v>0</v>
      </c>
      <c r="AO56" s="181">
        <f ca="1">IFERROR(__xludf.DUMMYFUNCTION("IMPORTRANGE(""https://docs.google.com/spreadsheets/d/1_Zwps30dlVa-pZFsorjVf1Pil6WXwzCsJU0U2whO3NI/edit?usp=sharing"",""ชลบุรี!I720"")"),0)</f>
        <v>0</v>
      </c>
      <c r="AP56" s="181">
        <f ca="1">IFERROR(__xludf.DUMMYFUNCTION("IMPORTRANGE(""https://docs.google.com/spreadsheets/d/1_Zwps30dlVa-pZFsorjVf1Pil6WXwzCsJU0U2whO3NI/edit?usp=sharing"",""ชลบุรี!J718"")"),0)</f>
        <v>0</v>
      </c>
      <c r="AQ56" s="181">
        <f ca="1">IFERROR(__xludf.DUMMYFUNCTION("IMPORTRANGE(""https://docs.google.com/spreadsheets/d/1_Zwps30dlVa-pZFsorjVf1Pil6WXwzCsJU0U2whO3NI/edit?usp=sharing"",""ชลบุรี!J719"")"),0)</f>
        <v>0</v>
      </c>
      <c r="AR56" s="181">
        <f ca="1">IFERROR(__xludf.DUMMYFUNCTION("IMPORTRANGE(""https://docs.google.com/spreadsheets/d/1_Zwps30dlVa-pZFsorjVf1Pil6WXwzCsJU0U2whO3NI/edit?usp=sharing"",""ชลบุรี!J720"")"),0)</f>
        <v>0</v>
      </c>
      <c r="AS56" s="186">
        <f t="shared" ca="1" si="14"/>
        <v>0</v>
      </c>
      <c r="AT56" s="181">
        <f ca="1">IFERROR(__xludf.DUMMYFUNCTION("IMPORTRANGE(""https://docs.google.com/spreadsheets/d/1_Zwps30dlVa-pZFsorjVf1Pil6WXwzCsJU0U2whO3NI/edit?usp=sharing"",""ชลบุรี!I721"")"),0)</f>
        <v>0</v>
      </c>
      <c r="AU56" s="181">
        <f ca="1">IFERROR(__xludf.DUMMYFUNCTION("IMPORTRANGE(""https://docs.google.com/spreadsheets/d/1_Zwps30dlVa-pZFsorjVf1Pil6WXwzCsJU0U2whO3NI/edit?usp=sharing"",""ชลบุรี!I722"")"),0)</f>
        <v>0</v>
      </c>
      <c r="AV56" s="181">
        <f ca="1">IFERROR(__xludf.DUMMYFUNCTION("IMPORTRANGE(""https://docs.google.com/spreadsheets/d/1_Zwps30dlVa-pZFsorjVf1Pil6WXwzCsJU0U2whO3NI/edit?usp=sharing"",""ชลบุรี!J721"")"),0)</f>
        <v>0</v>
      </c>
      <c r="AW56" s="186">
        <f t="shared" ca="1" si="16"/>
        <v>0</v>
      </c>
      <c r="AX56" s="181">
        <f ca="1">IFERROR(__xludf.DUMMYFUNCTION("IMPORTRANGE(""https://docs.google.com/spreadsheets/d/1_Zwps30dlVa-pZFsorjVf1Pil6WXwzCsJU0U2whO3NI/edit?usp=sharing"",""ชลบุรี!J722"")"),0)</f>
        <v>0</v>
      </c>
      <c r="AY56" s="186">
        <f t="shared" ca="1" si="17"/>
        <v>0</v>
      </c>
      <c r="AZ56" s="181">
        <f ca="1">IFERROR(__xludf.DUMMYFUNCTION("IMPORTRANGE(""https://docs.google.com/spreadsheets/d/1_Zwps30dlVa-pZFsorjVf1Pil6WXwzCsJU0U2whO3NI/edit?usp=sharing"",""ชลบุรี!I723"")"),0)</f>
        <v>0</v>
      </c>
      <c r="BA56" s="181">
        <f ca="1">IFERROR(__xludf.DUMMYFUNCTION("IMPORTRANGE(""https://docs.google.com/spreadsheets/d/1_Zwps30dlVa-pZFsorjVf1Pil6WXwzCsJU0U2whO3NI/edit?usp=sharing"",""ชลบุรี!I725"")"),0)</f>
        <v>0</v>
      </c>
      <c r="BB56" s="181">
        <f ca="1">IFERROR(__xludf.DUMMYFUNCTION("IMPORTRANGE(""https://docs.google.com/spreadsheets/d/1_Zwps30dlVa-pZFsorjVf1Pil6WXwzCsJU0U2whO3NI/edit?usp=sharing"",""ชลบุรี!J723"")"),0)</f>
        <v>0</v>
      </c>
      <c r="BC56" s="181">
        <f ca="1">IFERROR(__xludf.DUMMYFUNCTION("IMPORTRANGE(""https://docs.google.com/spreadsheets/d/1_Zwps30dlVa-pZFsorjVf1Pil6WXwzCsJU0U2whO3NI/edit?usp=sharing"",""ชลบุรี!J724"")"),0)</f>
        <v>0</v>
      </c>
      <c r="BD56" s="181">
        <f ca="1">IFERROR(__xludf.DUMMYFUNCTION("IMPORTRANGE(""https://docs.google.com/spreadsheets/d/1_Zwps30dlVa-pZFsorjVf1Pil6WXwzCsJU0U2whO3NI/edit?usp=sharing"",""ชลบุรี!J725"")"),0)</f>
        <v>0</v>
      </c>
      <c r="BE56" s="181">
        <f ca="1">IFERROR(__xludf.DUMMYFUNCTION("IMPORTRANGE(""https://docs.google.com/spreadsheets/d/1_Zwps30dlVa-pZFsorjVf1Pil6WXwzCsJU0U2whO3NI/edit?usp=sharing"",""ชลบุรี!I726"")"),0)</f>
        <v>0</v>
      </c>
      <c r="BF56" s="181">
        <f ca="1">IFERROR(__xludf.DUMMYFUNCTION("IMPORTRANGE(""https://docs.google.com/spreadsheets/d/1_Zwps30dlVa-pZFsorjVf1Pil6WXwzCsJU0U2whO3NI/edit?usp=sharing"",""ชลบุรี!I728"")"),0)</f>
        <v>0</v>
      </c>
      <c r="BG56" s="181">
        <f ca="1">IFERROR(__xludf.DUMMYFUNCTION("IMPORTRANGE(""https://docs.google.com/spreadsheets/d/1_Zwps30dlVa-pZFsorjVf1Pil6WXwzCsJU0U2whO3NI/edit?usp=sharing"",""ชลบุรี!J726"")"),0)</f>
        <v>0</v>
      </c>
      <c r="BH56" s="181">
        <f ca="1">IFERROR(__xludf.DUMMYFUNCTION("IMPORTRANGE(""https://docs.google.com/spreadsheets/d/1_Zwps30dlVa-pZFsorjVf1Pil6WXwzCsJU0U2whO3NI/edit?usp=sharing"",""ชลบุรี!J727"")"),0)</f>
        <v>0</v>
      </c>
      <c r="BI56" s="181">
        <f ca="1">IFERROR(__xludf.DUMMYFUNCTION("IMPORTRANGE(""https://docs.google.com/spreadsheets/d/1_Zwps30dlVa-pZFsorjVf1Pil6WXwzCsJU0U2whO3NI/edit?usp=sharing"",""ชลบุรี!J728"")"),0)</f>
        <v>0</v>
      </c>
      <c r="BJ56" s="181">
        <f ca="1">IFERROR(__xludf.DUMMYFUNCTION("IMPORTRANGE(""https://docs.google.com/spreadsheets/d/1_Zwps30dlVa-pZFsorjVf1Pil6WXwzCsJU0U2whO3NI/edit?usp=sharing"",""ชลบุรี!I729"")"),0)</f>
        <v>0</v>
      </c>
      <c r="BK56" s="181">
        <f ca="1">IFERROR(__xludf.DUMMYFUNCTION("IMPORTRANGE(""https://docs.google.com/spreadsheets/d/1_Zwps30dlVa-pZFsorjVf1Pil6WXwzCsJU0U2whO3NI/edit?usp=sharing"",""ชลบุรี!J729"")"),0)</f>
        <v>0</v>
      </c>
      <c r="BL56" s="186">
        <f t="shared" ca="1" si="19"/>
        <v>0</v>
      </c>
      <c r="BM56" s="181">
        <f ca="1">IFERROR(__xludf.DUMMYFUNCTION("IMPORTRANGE(""https://docs.google.com/spreadsheets/d/1_Zwps30dlVa-pZFsorjVf1Pil6WXwzCsJU0U2whO3NI/edit?usp=sharing"",""ชลบุรี!J730"")"),0)</f>
        <v>0</v>
      </c>
      <c r="BN56" s="181">
        <f ca="1">IFERROR(__xludf.DUMMYFUNCTION("IMPORTRANGE(""https://docs.google.com/spreadsheets/d/1_Zwps30dlVa-pZFsorjVf1Pil6WXwzCsJU0U2whO3NI/edit?usp=sharing"",""ชลบุรี!J731"")"),0)</f>
        <v>0</v>
      </c>
      <c r="BO56" s="181">
        <f ca="1">IFERROR(__xludf.DUMMYFUNCTION("IMPORTRANGE(""https://docs.google.com/spreadsheets/d/1_Zwps30dlVa-pZFsorjVf1Pil6WXwzCsJU0U2whO3NI/edit?usp=sharing"",""ชลบุรี!J732"")"),0)</f>
        <v>0</v>
      </c>
      <c r="BP56" s="181" t="str">
        <f ca="1">IFERROR(__xludf.DUMMYFUNCTION("IMPORTRANGE(""https://docs.google.com/spreadsheets/d/1_Zwps30dlVa-pZFsorjVf1Pil6WXwzCsJU0U2whO3NI/edit?usp=sharing"",""ชลบุรี!J733"")"),"")</f>
        <v/>
      </c>
      <c r="BQ56" s="181" t="str">
        <f ca="1">IFERROR(__xludf.DUMMYFUNCTION("IMPORTRANGE(""https://docs.google.com/spreadsheets/d/1_Zwps30dlVa-pZFsorjVf1Pil6WXwzCsJU0U2whO3NI/edit?usp=sharing"",""ชลบุรี!J734"")"),"")</f>
        <v/>
      </c>
      <c r="BR56" s="181" t="str">
        <f ca="1">IFERROR(__xludf.DUMMYFUNCTION("IMPORTRANGE(""https://docs.google.com/spreadsheets/d/1_Zwps30dlVa-pZFsorjVf1Pil6WXwzCsJU0U2whO3NI/edit?usp=sharing"",""ชลบุรี!J735"")"),"")</f>
        <v/>
      </c>
    </row>
    <row r="57" spans="1:70" ht="21" customHeight="1" x14ac:dyDescent="0.3">
      <c r="A57" s="178">
        <v>5</v>
      </c>
      <c r="B57" s="179" t="s">
        <v>74</v>
      </c>
      <c r="C57" s="180">
        <f t="shared" ca="1" si="70"/>
        <v>11040</v>
      </c>
      <c r="D57" s="181">
        <f ca="1">IFERROR(__xludf.DUMMYFUNCTION("IMPORTRANGE(""https://docs.google.com/spreadsheets/d/1xAsT4sUbBlom7l0acStESh_15nvjZcXjZM7fK5uZSq8/edit?usp=sharing"",""ชัยนาท!L690"")"),11040)</f>
        <v>11040</v>
      </c>
      <c r="E57" s="187">
        <f ca="1">IFERROR(__xludf.DUMMYFUNCTION("IMPORTRANGE(""https://docs.google.com/spreadsheets/d/1xAsT4sUbBlom7l0acStESh_15nvjZcXjZM7fK5uZSq8/edit?usp=sharing"",""ชัยนาท!L697"")"),0)</f>
        <v>0</v>
      </c>
      <c r="F57" s="182">
        <f t="shared" ca="1" si="1"/>
        <v>2220</v>
      </c>
      <c r="G57" s="183">
        <f t="shared" ca="1" si="2"/>
        <v>20.108695652173914</v>
      </c>
      <c r="H57" s="184">
        <f t="shared" ca="1" si="71"/>
        <v>2220</v>
      </c>
      <c r="I57" s="187">
        <f ca="1">IFERROR(__xludf.DUMMYFUNCTION("IMPORTRANGE(""https://docs.google.com/spreadsheets/d/1xAsT4sUbBlom7l0acStESh_15nvjZcXjZM7fK5uZSq8/edit?usp=sharing"",""ชัยนาท!N691"")"),0)</f>
        <v>0</v>
      </c>
      <c r="J57" s="187">
        <f ca="1">IFERROR(__xludf.DUMMYFUNCTION("IMPORTRANGE(""https://docs.google.com/spreadsheets/d/1xAsT4sUbBlom7l0acStESh_15nvjZcXjZM7fK5uZSq8/edit?usp=sharing"",""ชัยนาท!N692"")"),0)</f>
        <v>0</v>
      </c>
      <c r="K57" s="187">
        <f ca="1">IFERROR(__xludf.DUMMYFUNCTION("IMPORTRANGE(""https://docs.google.com/spreadsheets/d/1xAsT4sUbBlom7l0acStESh_15nvjZcXjZM7fK5uZSq8/edit?usp=sharing"",""ชัยนาท!N693"")"),0)</f>
        <v>0</v>
      </c>
      <c r="L57" s="187">
        <f ca="1">IFERROR(__xludf.DUMMYFUNCTION("IMPORTRANGE(""https://docs.google.com/spreadsheets/d/1xAsT4sUbBlom7l0acStESh_15nvjZcXjZM7fK5uZSq8/edit?usp=sharing"",""ชัยนาท!N694"")"),2220)</f>
        <v>2220</v>
      </c>
      <c r="M57" s="185">
        <f ca="1">IFERROR(__xludf.DUMMYFUNCTION("IMPORTRANGE(""https://docs.google.com/spreadsheets/d/1xAsT4sUbBlom7l0acStESh_15nvjZcXjZM7fK5uZSq8/edit?usp=sharing"",""ชัยนาท!N697"")"),0)</f>
        <v>0</v>
      </c>
      <c r="N57" s="185">
        <f t="shared" ca="1" si="37"/>
        <v>0</v>
      </c>
      <c r="O57" s="181">
        <f ca="1">IFERROR(__xludf.DUMMYFUNCTION("IMPORTRANGE(""https://docs.google.com/spreadsheets/d/1xAsT4sUbBlom7l0acStESh_15nvjZcXjZM7fK5uZSq8/edit?usp=sharing"",""ชัยนาท!I699"")"),25)</f>
        <v>25</v>
      </c>
      <c r="P57" s="181">
        <f ca="1">IFERROR(__xludf.DUMMYFUNCTION("IMPORTRANGE(""https://docs.google.com/spreadsheets/d/1xAsT4sUbBlom7l0acStESh_15nvjZcXjZM7fK5uZSq8/edit?usp=sharing"",""ชัยนาท!J699"")"),0)</f>
        <v>0</v>
      </c>
      <c r="Q57" s="186">
        <f t="shared" ca="1" si="31"/>
        <v>0</v>
      </c>
      <c r="R57" s="181">
        <f ca="1">IFERROR(__xludf.DUMMYFUNCTION("IMPORTRANGE(""https://docs.google.com/spreadsheets/d/1xAsT4sUbBlom7l0acStESh_15nvjZcXjZM7fK5uZSq8/edit?usp=sharing"",""ชัยนาท!I700"")"),5)</f>
        <v>5</v>
      </c>
      <c r="S57" s="181">
        <f ca="1">IFERROR(__xludf.DUMMYFUNCTION("IMPORTRANGE(""https://docs.google.com/spreadsheets/d/1xAsT4sUbBlom7l0acStESh_15nvjZcXjZM7fK5uZSq8/edit?usp=sharing"",""ชัยนาท!J700"")"),0)</f>
        <v>0</v>
      </c>
      <c r="T57" s="186">
        <f t="shared" ca="1" si="32"/>
        <v>0</v>
      </c>
      <c r="U57" s="181">
        <f ca="1">IFERROR(__xludf.DUMMYFUNCTION("IMPORTRANGE(""https://docs.google.com/spreadsheets/d/1xAsT4sUbBlom7l0acStESh_15nvjZcXjZM7fK5uZSq8/edit?usp=sharing"",""ชัยนาท!I701"")"),70)</f>
        <v>70</v>
      </c>
      <c r="V57" s="181">
        <f ca="1">IFERROR(__xludf.DUMMYFUNCTION("IMPORTRANGE(""https://docs.google.com/spreadsheets/d/1xAsT4sUbBlom7l0acStESh_15nvjZcXjZM7fK5uZSq8/edit?usp=sharing"",""ชัยนาท!J701"")"),0)</f>
        <v>0</v>
      </c>
      <c r="W57" s="186">
        <f t="shared" ca="1" si="33"/>
        <v>0</v>
      </c>
      <c r="X57" s="186">
        <f ca="1">IFERROR(__xludf.DUMMYFUNCTION("IMPORTRANGE(""https://docs.google.com/spreadsheets/d/1xAsT4sUbBlom7l0acStESh_15nvjZcXjZM7fK5uZSq8/edit?usp=sharing"",""ชัยนาท!J702"")"),0)</f>
        <v>0</v>
      </c>
      <c r="Y57" s="186">
        <f ca="1">IFERROR(__xludf.DUMMYFUNCTION("IMPORTRANGE(""https://docs.google.com/spreadsheets/d/1xAsT4sUbBlom7l0acStESh_15nvjZcXjZM7fK5uZSq8/edit?usp=sharing"",""ชัยนาท!J703"")"),0)</f>
        <v>0</v>
      </c>
      <c r="Z57" s="186">
        <f ca="1">IFERROR(__xludf.DUMMYFUNCTION("IMPORTRANGE(""https://docs.google.com/spreadsheets/d/1xAsT4sUbBlom7l0acStESh_15nvjZcXjZM7fK5uZSq8/edit?usp=sharing"",""ชัยนาท!J704"")"),0)</f>
        <v>0</v>
      </c>
      <c r="AA57" s="186">
        <f ca="1">IFERROR(__xludf.DUMMYFUNCTION("IMPORTRANGE(""https://docs.google.com/spreadsheets/d/1xAsT4sUbBlom7l0acStESh_15nvjZcXjZM7fK5uZSq8/edit?usp=sharing"",""ชัยนาท!J705"")"),0)</f>
        <v>0</v>
      </c>
      <c r="AB57" s="186">
        <f ca="1">IFERROR(__xludf.DUMMYFUNCTION("IMPORTRANGE(""https://docs.google.com/spreadsheets/d/1xAsT4sUbBlom7l0acStESh_15nvjZcXjZM7fK5uZSq8/edit?usp=sharing"",""ชัยนาท!J706"")"),0)</f>
        <v>0</v>
      </c>
      <c r="AC57" s="186">
        <f ca="1">IFERROR(__xludf.DUMMYFUNCTION("IMPORTRANGE(""https://docs.google.com/spreadsheets/d/1xAsT4sUbBlom7l0acStESh_15nvjZcXjZM7fK5uZSq8/edit?usp=sharing"",""ชัยนาท!J707"")"),0)</f>
        <v>0</v>
      </c>
      <c r="AD57" s="181">
        <f ca="1">IFERROR(__xludf.DUMMYFUNCTION("IMPORTRANGE(""https://docs.google.com/spreadsheets/d/1xAsT4sUbBlom7l0acStESh_15nvjZcXjZM7fK5uZSq8/edit?usp=sharing"",""ชัยนาท!I708"")"),0)</f>
        <v>0</v>
      </c>
      <c r="AE57" s="181">
        <f ca="1">IFERROR(__xludf.DUMMYFUNCTION("IMPORTRANGE(""https://docs.google.com/spreadsheets/d/1xAsT4sUbBlom7l0acStESh_15nvjZcXjZM7fK5uZSq8/edit?usp=sharing"",""ชัยนาท!J708"")"),0)</f>
        <v>0</v>
      </c>
      <c r="AF57" s="186">
        <f t="shared" ca="1" si="34"/>
        <v>0</v>
      </c>
      <c r="AG57" s="181">
        <f ca="1">IFERROR(__xludf.DUMMYFUNCTION("IMPORTRANGE(""https://docs.google.com/spreadsheets/d/1xAsT4sUbBlom7l0acStESh_15nvjZcXjZM7fK5uZSq8/edit?usp=sharing"",""ชัยนาท!J709"")"),0)</f>
        <v>0</v>
      </c>
      <c r="AH57" s="181">
        <f ca="1">IFERROR(__xludf.DUMMYFUNCTION("IMPORTRANGE(""https://docs.google.com/spreadsheets/d/1xAsT4sUbBlom7l0acStESh_15nvjZcXjZM7fK5uZSq8/edit?usp=sharing"",""ชัยนาท!J710"")"),0)</f>
        <v>0</v>
      </c>
      <c r="AI57" s="181">
        <f ca="1">IFERROR(__xludf.DUMMYFUNCTION("IMPORTRANGE(""https://docs.google.com/spreadsheets/d/1xAsT4sUbBlom7l0acStESh_15nvjZcXjZM7fK5uZSq8/edit?usp=sharing"",""ชัยนาท!J712"")"),0)</f>
        <v>0</v>
      </c>
      <c r="AJ57" s="181">
        <f ca="1">IFERROR(__xludf.DUMMYFUNCTION("IMPORTRANGE(""https://docs.google.com/spreadsheets/d/1xAsT4sUbBlom7l0acStESh_15nvjZcXjZM7fK5uZSq8/edit?usp=sharing"",""ชัยนาท!J713"")"),0)</f>
        <v>0</v>
      </c>
      <c r="AK57" s="181">
        <f ca="1">IFERROR(__xludf.DUMMYFUNCTION("IMPORTRANGE(""https://docs.google.com/spreadsheets/d/1xAsT4sUbBlom7l0acStESh_15nvjZcXjZM7fK5uZSq8/edit?usp=sharing"",""ชัยนาท!J714"")"),0)</f>
        <v>0</v>
      </c>
      <c r="AL57" s="181">
        <f ca="1">IFERROR(__xludf.DUMMYFUNCTION("IMPORTRANGE(""https://docs.google.com/spreadsheets/d/1xAsT4sUbBlom7l0acStESh_15nvjZcXjZM7fK5uZSq8/edit?usp=sharing"",""ชัยนาท!J715"")"),0)</f>
        <v>0</v>
      </c>
      <c r="AM57" s="181">
        <f ca="1">IFERROR(__xludf.DUMMYFUNCTION("IMPORTRANGE(""https://docs.google.com/spreadsheets/d/1xAsT4sUbBlom7l0acStESh_15nvjZcXjZM7fK5uZSq8/edit?usp=sharing"",""ชัยนาท!J716"")"),0)</f>
        <v>0</v>
      </c>
      <c r="AN57" s="181">
        <f ca="1">IFERROR(__xludf.DUMMYFUNCTION("IMPORTRANGE(""https://docs.google.com/spreadsheets/d/1xAsT4sUbBlom7l0acStESh_15nvjZcXjZM7fK5uZSq8/edit?usp=sharing"",""ชัยนาท!J717"")"),0)</f>
        <v>0</v>
      </c>
      <c r="AO57" s="181">
        <f ca="1">IFERROR(__xludf.DUMMYFUNCTION("IMPORTRANGE(""https://docs.google.com/spreadsheets/d/1xAsT4sUbBlom7l0acStESh_15nvjZcXjZM7fK5uZSq8/edit?usp=sharing"",""ชัยนาท!I720"")"),50)</f>
        <v>50</v>
      </c>
      <c r="AP57" s="181">
        <f ca="1">IFERROR(__xludf.DUMMYFUNCTION("IMPORTRANGE(""https://docs.google.com/spreadsheets/d/1xAsT4sUbBlom7l0acStESh_15nvjZcXjZM7fK5uZSq8/edit?usp=sharing"",""ชัยนาท!J718"")"),0)</f>
        <v>0</v>
      </c>
      <c r="AQ57" s="181">
        <f ca="1">IFERROR(__xludf.DUMMYFUNCTION("IMPORTRANGE(""https://docs.google.com/spreadsheets/d/1xAsT4sUbBlom7l0acStESh_15nvjZcXjZM7fK5uZSq8/edit?usp=sharing"",""ชัยนาท!J719"")"),0)</f>
        <v>0</v>
      </c>
      <c r="AR57" s="181">
        <f ca="1">IFERROR(__xludf.DUMMYFUNCTION("IMPORTRANGE(""https://docs.google.com/spreadsheets/d/1xAsT4sUbBlom7l0acStESh_15nvjZcXjZM7fK5uZSq8/edit?usp=sharing"",""ชัยนาท!J720"")"),0)</f>
        <v>0</v>
      </c>
      <c r="AS57" s="186">
        <f t="shared" ca="1" si="14"/>
        <v>0</v>
      </c>
      <c r="AT57" s="181">
        <f ca="1">IFERROR(__xludf.DUMMYFUNCTION("IMPORTRANGE(""https://docs.google.com/spreadsheets/d/1xAsT4sUbBlom7l0acStESh_15nvjZcXjZM7fK5uZSq8/edit?usp=sharing"",""ชัยนาท!I721"")"),17)</f>
        <v>17</v>
      </c>
      <c r="AU57" s="181">
        <f ca="1">IFERROR(__xludf.DUMMYFUNCTION("IMPORTRANGE(""https://docs.google.com/spreadsheets/d/1xAsT4sUbBlom7l0acStESh_15nvjZcXjZM7fK5uZSq8/edit?usp=sharing"",""ชัยนาท!I722"")"),180)</f>
        <v>180</v>
      </c>
      <c r="AV57" s="181">
        <f ca="1">IFERROR(__xludf.DUMMYFUNCTION("IMPORTRANGE(""https://docs.google.com/spreadsheets/d/1xAsT4sUbBlom7l0acStESh_15nvjZcXjZM7fK5uZSq8/edit?usp=sharing"",""ชัยนาท!J721"")"),0)</f>
        <v>0</v>
      </c>
      <c r="AW57" s="186">
        <f t="shared" ca="1" si="16"/>
        <v>0</v>
      </c>
      <c r="AX57" s="181">
        <f ca="1">IFERROR(__xludf.DUMMYFUNCTION("IMPORTRANGE(""https://docs.google.com/spreadsheets/d/1xAsT4sUbBlom7l0acStESh_15nvjZcXjZM7fK5uZSq8/edit?usp=sharing"",""ชัยนาท!J722"")"),0)</f>
        <v>0</v>
      </c>
      <c r="AY57" s="186">
        <f t="shared" ca="1" si="17"/>
        <v>0</v>
      </c>
      <c r="AZ57" s="181">
        <f ca="1">IFERROR(__xludf.DUMMYFUNCTION("IMPORTRANGE(""https://docs.google.com/spreadsheets/d/1xAsT4sUbBlom7l0acStESh_15nvjZcXjZM7fK5uZSq8/edit?usp=sharing"",""ชัยนาท!I723"")"),16)</f>
        <v>16</v>
      </c>
      <c r="BA57" s="181">
        <f ca="1">IFERROR(__xludf.DUMMYFUNCTION("IMPORTRANGE(""https://docs.google.com/spreadsheets/d/1xAsT4sUbBlom7l0acStESh_15nvjZcXjZM7fK5uZSq8/edit?usp=sharing"",""ชัยนาท!I725"")"),160)</f>
        <v>160</v>
      </c>
      <c r="BB57" s="181">
        <f ca="1">IFERROR(__xludf.DUMMYFUNCTION("IMPORTRANGE(""https://docs.google.com/spreadsheets/d/1xAsT4sUbBlom7l0acStESh_15nvjZcXjZM7fK5uZSq8/edit?usp=sharing"",""ชัยนาท!J723"")"),0)</f>
        <v>0</v>
      </c>
      <c r="BC57" s="181">
        <f ca="1">IFERROR(__xludf.DUMMYFUNCTION("IMPORTRANGE(""https://docs.google.com/spreadsheets/d/1xAsT4sUbBlom7l0acStESh_15nvjZcXjZM7fK5uZSq8/edit?usp=sharing"",""ชัยนาท!J724"")"),0)</f>
        <v>0</v>
      </c>
      <c r="BD57" s="181">
        <f ca="1">IFERROR(__xludf.DUMMYFUNCTION("IMPORTRANGE(""https://docs.google.com/spreadsheets/d/1xAsT4sUbBlom7l0acStESh_15nvjZcXjZM7fK5uZSq8/edit?usp=sharing"",""ชัยนาท!J725"")"),0)</f>
        <v>0</v>
      </c>
      <c r="BE57" s="181">
        <f ca="1">IFERROR(__xludf.DUMMYFUNCTION("IMPORTRANGE(""https://docs.google.com/spreadsheets/d/1xAsT4sUbBlom7l0acStESh_15nvjZcXjZM7fK5uZSq8/edit?usp=sharing"",""ชัยนาท!I726"")"),1)</f>
        <v>1</v>
      </c>
      <c r="BF57" s="181">
        <f ca="1">IFERROR(__xludf.DUMMYFUNCTION("IMPORTRANGE(""https://docs.google.com/spreadsheets/d/1xAsT4sUbBlom7l0acStESh_15nvjZcXjZM7fK5uZSq8/edit?usp=sharing"",""ชัยนาท!I728"")"),20)</f>
        <v>20</v>
      </c>
      <c r="BG57" s="181">
        <f ca="1">IFERROR(__xludf.DUMMYFUNCTION("IMPORTRANGE(""https://docs.google.com/spreadsheets/d/1xAsT4sUbBlom7l0acStESh_15nvjZcXjZM7fK5uZSq8/edit?usp=sharing"",""ชัยนาท!J726"")"),0)</f>
        <v>0</v>
      </c>
      <c r="BH57" s="181">
        <f ca="1">IFERROR(__xludf.DUMMYFUNCTION("IMPORTRANGE(""https://docs.google.com/spreadsheets/d/1xAsT4sUbBlom7l0acStESh_15nvjZcXjZM7fK5uZSq8/edit?usp=sharing"",""ชัยนาท!J727"")"),0)</f>
        <v>0</v>
      </c>
      <c r="BI57" s="181">
        <f ca="1">IFERROR(__xludf.DUMMYFUNCTION("IMPORTRANGE(""https://docs.google.com/spreadsheets/d/1xAsT4sUbBlom7l0acStESh_15nvjZcXjZM7fK5uZSq8/edit?usp=sharing"",""ชัยนาท!J728"")"),0)</f>
        <v>0</v>
      </c>
      <c r="BJ57" s="181">
        <f ca="1">IFERROR(__xludf.DUMMYFUNCTION("IMPORTRANGE(""https://docs.google.com/spreadsheets/d/1xAsT4sUbBlom7l0acStESh_15nvjZcXjZM7fK5uZSq8/edit?usp=sharing"",""ชัยนาท!I729"")"),0)</f>
        <v>0</v>
      </c>
      <c r="BK57" s="181">
        <f ca="1">IFERROR(__xludf.DUMMYFUNCTION("IMPORTRANGE(""https://docs.google.com/spreadsheets/d/1xAsT4sUbBlom7l0acStESh_15nvjZcXjZM7fK5uZSq8/edit?usp=sharing"",""ชัยนาท!J729"")"),0)</f>
        <v>0</v>
      </c>
      <c r="BL57" s="186">
        <f t="shared" ca="1" si="19"/>
        <v>0</v>
      </c>
      <c r="BM57" s="181">
        <f ca="1">IFERROR(__xludf.DUMMYFUNCTION("IMPORTRANGE(""https://docs.google.com/spreadsheets/d/1xAsT4sUbBlom7l0acStESh_15nvjZcXjZM7fK5uZSq8/edit?usp=sharing"",""ชัยนาท!J730"")"),0)</f>
        <v>0</v>
      </c>
      <c r="BN57" s="181">
        <f ca="1">IFERROR(__xludf.DUMMYFUNCTION("IMPORTRANGE(""https://docs.google.com/spreadsheets/d/1xAsT4sUbBlom7l0acStESh_15nvjZcXjZM7fK5uZSq8/edit?usp=sharing"",""ชัยนาท!J731"")"),0)</f>
        <v>0</v>
      </c>
      <c r="BO57" s="181">
        <f ca="1">IFERROR(__xludf.DUMMYFUNCTION("IMPORTRANGE(""https://docs.google.com/spreadsheets/d/1xAsT4sUbBlom7l0acStESh_15nvjZcXjZM7fK5uZSq8/edit?usp=sharing"",""ชัยนาท!J732"")"),0)</f>
        <v>0</v>
      </c>
      <c r="BP57" s="181">
        <f ca="1">IFERROR(__xludf.DUMMYFUNCTION("IMPORTRANGE(""https://docs.google.com/spreadsheets/d/1xAsT4sUbBlom7l0acStESh_15nvjZcXjZM7fK5uZSq8/edit?usp=sharing"",""ชัยนาท!J733"")"),0)</f>
        <v>0</v>
      </c>
      <c r="BQ57" s="181">
        <f ca="1">IFERROR(__xludf.DUMMYFUNCTION("IMPORTRANGE(""https://docs.google.com/spreadsheets/d/1xAsT4sUbBlom7l0acStESh_15nvjZcXjZM7fK5uZSq8/edit?usp=sharing"",""ชัยนาท!J734"")"),0)</f>
        <v>0</v>
      </c>
      <c r="BR57" s="181">
        <f ca="1">IFERROR(__xludf.DUMMYFUNCTION("IMPORTRANGE(""https://docs.google.com/spreadsheets/d/1xAsT4sUbBlom7l0acStESh_15nvjZcXjZM7fK5uZSq8/edit?usp=sharing"",""ชัยนาท!J735"")"),0)</f>
        <v>0</v>
      </c>
    </row>
    <row r="58" spans="1:70" ht="21" customHeight="1" x14ac:dyDescent="0.3">
      <c r="A58" s="178">
        <v>6</v>
      </c>
      <c r="B58" s="179" t="s">
        <v>75</v>
      </c>
      <c r="C58" s="180">
        <f t="shared" ca="1" si="70"/>
        <v>0</v>
      </c>
      <c r="D58" s="206">
        <f ca="1">IFERROR(__xludf.DUMMYFUNCTION("IMPORTRANGE(""https://docs.google.com/spreadsheets/d/1vWPVBOAaZ6mHSI8yf95DNqHwTJ1cpeFsvqt6cxV34QA/edit?usp=sharing"",""ตราด!L690"")"),0)</f>
        <v>0</v>
      </c>
      <c r="E58" s="187">
        <f ca="1">IFERROR(__xludf.DUMMYFUNCTION("IMPORTRANGE(""https://docs.google.com/spreadsheets/d/1vWPVBOAaZ6mHSI8yf95DNqHwTJ1cpeFsvqt6cxV34QA/edit?usp=sharing"",""ตราด!L697"")"),0)</f>
        <v>0</v>
      </c>
      <c r="F58" s="182">
        <f t="shared" ca="1" si="1"/>
        <v>0</v>
      </c>
      <c r="G58" s="183">
        <f t="shared" ca="1" si="2"/>
        <v>0</v>
      </c>
      <c r="H58" s="184">
        <f t="shared" ca="1" si="71"/>
        <v>0</v>
      </c>
      <c r="I58" s="187">
        <f ca="1">IFERROR(__xludf.DUMMYFUNCTION("IMPORTRANGE(""https://docs.google.com/spreadsheets/d/1vWPVBOAaZ6mHSI8yf95DNqHwTJ1cpeFsvqt6cxV34QA/edit?usp=sharing"",""ตราด!N691"")"),0)</f>
        <v>0</v>
      </c>
      <c r="J58" s="187">
        <f ca="1">IFERROR(__xludf.DUMMYFUNCTION("IMPORTRANGE(""https://docs.google.com/spreadsheets/d/1vWPVBOAaZ6mHSI8yf95DNqHwTJ1cpeFsvqt6cxV34QA/edit?usp=sharing"",""ตราด!N692"")"),0)</f>
        <v>0</v>
      </c>
      <c r="K58" s="187">
        <f ca="1">IFERROR(__xludf.DUMMYFUNCTION("IMPORTRANGE(""https://docs.google.com/spreadsheets/d/1vWPVBOAaZ6mHSI8yf95DNqHwTJ1cpeFsvqt6cxV34QA/edit?usp=sharing"",""ตราด!N693"")"),0)</f>
        <v>0</v>
      </c>
      <c r="L58" s="187">
        <f ca="1">IFERROR(__xludf.DUMMYFUNCTION("IMPORTRANGE(""https://docs.google.com/spreadsheets/d/1vWPVBOAaZ6mHSI8yf95DNqHwTJ1cpeFsvqt6cxV34QA/edit?usp=sharing"",""ตราด!N694"")"),0)</f>
        <v>0</v>
      </c>
      <c r="M58" s="185">
        <f ca="1">IFERROR(__xludf.DUMMYFUNCTION("IMPORTRANGE(""https://docs.google.com/spreadsheets/d/1vWPVBOAaZ6mHSI8yf95DNqHwTJ1cpeFsvqt6cxV34QA/edit?usp=sharing"",""ตราด!N697"")"),0)</f>
        <v>0</v>
      </c>
      <c r="N58" s="185">
        <f t="shared" ca="1" si="37"/>
        <v>0</v>
      </c>
      <c r="O58" s="181">
        <f ca="1">IFERROR(__xludf.DUMMYFUNCTION("IMPORTRANGE(""https://docs.google.com/spreadsheets/d/1vWPVBOAaZ6mHSI8yf95DNqHwTJ1cpeFsvqt6cxV34QA/edit?usp=sharing"",""ตราด!I699"")"),0)</f>
        <v>0</v>
      </c>
      <c r="P58" s="181">
        <f ca="1">IFERROR(__xludf.DUMMYFUNCTION("IMPORTRANGE(""https://docs.google.com/spreadsheets/d/1vWPVBOAaZ6mHSI8yf95DNqHwTJ1cpeFsvqt6cxV34QA/edit?usp=sharing"",""ตราด!J699"")"),0)</f>
        <v>0</v>
      </c>
      <c r="Q58" s="186">
        <f t="shared" ca="1" si="31"/>
        <v>0</v>
      </c>
      <c r="R58" s="181">
        <f ca="1">IFERROR(__xludf.DUMMYFUNCTION("IMPORTRANGE(""https://docs.google.com/spreadsheets/d/1vWPVBOAaZ6mHSI8yf95DNqHwTJ1cpeFsvqt6cxV34QA/edit?usp=sharing"",""ตราด!I700"")"),0)</f>
        <v>0</v>
      </c>
      <c r="S58" s="181">
        <f ca="1">IFERROR(__xludf.DUMMYFUNCTION("IMPORTRANGE(""https://docs.google.com/spreadsheets/d/1vWPVBOAaZ6mHSI8yf95DNqHwTJ1cpeFsvqt6cxV34QA/edit?usp=sharing"",""ตราด!J700"")"),0)</f>
        <v>0</v>
      </c>
      <c r="T58" s="186">
        <f t="shared" ca="1" si="32"/>
        <v>0</v>
      </c>
      <c r="U58" s="181">
        <f ca="1">IFERROR(__xludf.DUMMYFUNCTION("IMPORTRANGE(""https://docs.google.com/spreadsheets/d/1vWPVBOAaZ6mHSI8yf95DNqHwTJ1cpeFsvqt6cxV34QA/edit?usp=sharing"",""ตราด!I701"")"),0)</f>
        <v>0</v>
      </c>
      <c r="V58" s="181">
        <f ca="1">IFERROR(__xludf.DUMMYFUNCTION("IMPORTRANGE(""https://docs.google.com/spreadsheets/d/1vWPVBOAaZ6mHSI8yf95DNqHwTJ1cpeFsvqt6cxV34QA/edit?usp=sharing"",""ตราด!J701"")"),0)</f>
        <v>0</v>
      </c>
      <c r="W58" s="186">
        <f t="shared" ca="1" si="33"/>
        <v>0</v>
      </c>
      <c r="X58" s="186">
        <f ca="1">IFERROR(__xludf.DUMMYFUNCTION("IMPORTRANGE(""https://docs.google.com/spreadsheets/d/1vWPVBOAaZ6mHSI8yf95DNqHwTJ1cpeFsvqt6cxV34QA/edit?usp=sharing"",""ตราด!J702"")"),0)</f>
        <v>0</v>
      </c>
      <c r="Y58" s="186">
        <f ca="1">IFERROR(__xludf.DUMMYFUNCTION("IMPORTRANGE(""https://docs.google.com/spreadsheets/d/1vWPVBOAaZ6mHSI8yf95DNqHwTJ1cpeFsvqt6cxV34QA/edit?usp=sharing"",""ตราด!J703"")"),0)</f>
        <v>0</v>
      </c>
      <c r="Z58" s="186">
        <f ca="1">IFERROR(__xludf.DUMMYFUNCTION("IMPORTRANGE(""https://docs.google.com/spreadsheets/d/1vWPVBOAaZ6mHSI8yf95DNqHwTJ1cpeFsvqt6cxV34QA/edit?usp=sharing"",""ตราด!J704"")"),0)</f>
        <v>0</v>
      </c>
      <c r="AA58" s="186">
        <f ca="1">IFERROR(__xludf.DUMMYFUNCTION("IMPORTRANGE(""https://docs.google.com/spreadsheets/d/1vWPVBOAaZ6mHSI8yf95DNqHwTJ1cpeFsvqt6cxV34QA/edit?usp=sharing"",""ตราด!J705"")"),0)</f>
        <v>0</v>
      </c>
      <c r="AB58" s="186">
        <f ca="1">IFERROR(__xludf.DUMMYFUNCTION("IMPORTRANGE(""https://docs.google.com/spreadsheets/d/1vWPVBOAaZ6mHSI8yf95DNqHwTJ1cpeFsvqt6cxV34QA/edit?usp=sharing"",""ตราด!J706"")"),0)</f>
        <v>0</v>
      </c>
      <c r="AC58" s="186">
        <f ca="1">IFERROR(__xludf.DUMMYFUNCTION("IMPORTRANGE(""https://docs.google.com/spreadsheets/d/1vWPVBOAaZ6mHSI8yf95DNqHwTJ1cpeFsvqt6cxV34QA/edit?usp=sharing"",""ตราด!J707"")"),0)</f>
        <v>0</v>
      </c>
      <c r="AD58" s="181">
        <f ca="1">IFERROR(__xludf.DUMMYFUNCTION("IMPORTRANGE(""https://docs.google.com/spreadsheets/d/1vWPVBOAaZ6mHSI8yf95DNqHwTJ1cpeFsvqt6cxV34QA/edit?usp=sharing"",""ตราด!I708"")"),0)</f>
        <v>0</v>
      </c>
      <c r="AE58" s="181">
        <f ca="1">IFERROR(__xludf.DUMMYFUNCTION("IMPORTRANGE(""https://docs.google.com/spreadsheets/d/1vWPVBOAaZ6mHSI8yf95DNqHwTJ1cpeFsvqt6cxV34QA/edit?usp=sharing"",""ตราด!J708"")"),0)</f>
        <v>0</v>
      </c>
      <c r="AF58" s="186">
        <f t="shared" ca="1" si="34"/>
        <v>0</v>
      </c>
      <c r="AG58" s="181">
        <f ca="1">IFERROR(__xludf.DUMMYFUNCTION("IMPORTRANGE(""https://docs.google.com/spreadsheets/d/1vWPVBOAaZ6mHSI8yf95DNqHwTJ1cpeFsvqt6cxV34QA/edit?usp=sharing"",""ตราด!J709"")"),0)</f>
        <v>0</v>
      </c>
      <c r="AH58" s="181">
        <f ca="1">IFERROR(__xludf.DUMMYFUNCTION("IMPORTRANGE(""https://docs.google.com/spreadsheets/d/1vWPVBOAaZ6mHSI8yf95DNqHwTJ1cpeFsvqt6cxV34QA/edit?usp=sharing"",""ตราด!J710"")"),0)</f>
        <v>0</v>
      </c>
      <c r="AI58" s="181">
        <f ca="1">IFERROR(__xludf.DUMMYFUNCTION("IMPORTRANGE(""https://docs.google.com/spreadsheets/d/1vWPVBOAaZ6mHSI8yf95DNqHwTJ1cpeFsvqt6cxV34QA/edit?usp=sharing"",""ตราด!J712"")"),0)</f>
        <v>0</v>
      </c>
      <c r="AJ58" s="181">
        <f ca="1">IFERROR(__xludf.DUMMYFUNCTION("IMPORTRANGE(""https://docs.google.com/spreadsheets/d/1vWPVBOAaZ6mHSI8yf95DNqHwTJ1cpeFsvqt6cxV34QA/edit?usp=sharing"",""ตราด!J713"")"),0)</f>
        <v>0</v>
      </c>
      <c r="AK58" s="181">
        <f ca="1">IFERROR(__xludf.DUMMYFUNCTION("IMPORTRANGE(""https://docs.google.com/spreadsheets/d/1vWPVBOAaZ6mHSI8yf95DNqHwTJ1cpeFsvqt6cxV34QA/edit?usp=sharing"",""ตราด!J714"")"),0)</f>
        <v>0</v>
      </c>
      <c r="AL58" s="181">
        <f ca="1">IFERROR(__xludf.DUMMYFUNCTION("IMPORTRANGE(""https://docs.google.com/spreadsheets/d/1vWPVBOAaZ6mHSI8yf95DNqHwTJ1cpeFsvqt6cxV34QA/edit?usp=sharing"",""ตราด!J715"")"),0)</f>
        <v>0</v>
      </c>
      <c r="AM58" s="181">
        <f ca="1">IFERROR(__xludf.DUMMYFUNCTION("IMPORTRANGE(""https://docs.google.com/spreadsheets/d/1vWPVBOAaZ6mHSI8yf95DNqHwTJ1cpeFsvqt6cxV34QA/edit?usp=sharing"",""ตราด!J716"")"),0)</f>
        <v>0</v>
      </c>
      <c r="AN58" s="181">
        <f ca="1">IFERROR(__xludf.DUMMYFUNCTION("IMPORTRANGE(""https://docs.google.com/spreadsheets/d/1vWPVBOAaZ6mHSI8yf95DNqHwTJ1cpeFsvqt6cxV34QA/edit?usp=sharing"",""ตราด!J717"")"),0)</f>
        <v>0</v>
      </c>
      <c r="AO58" s="181">
        <f ca="1">IFERROR(__xludf.DUMMYFUNCTION("IMPORTRANGE(""https://docs.google.com/spreadsheets/d/1vWPVBOAaZ6mHSI8yf95DNqHwTJ1cpeFsvqt6cxV34QA/edit?usp=sharing"",""ตราด!I720"")"),0)</f>
        <v>0</v>
      </c>
      <c r="AP58" s="181">
        <f ca="1">IFERROR(__xludf.DUMMYFUNCTION("IMPORTRANGE(""https://docs.google.com/spreadsheets/d/1vWPVBOAaZ6mHSI8yf95DNqHwTJ1cpeFsvqt6cxV34QA/edit?usp=sharing"",""ตราด!J718"")"),0)</f>
        <v>0</v>
      </c>
      <c r="AQ58" s="181">
        <f ca="1">IFERROR(__xludf.DUMMYFUNCTION("IMPORTRANGE(""https://docs.google.com/spreadsheets/d/1vWPVBOAaZ6mHSI8yf95DNqHwTJ1cpeFsvqt6cxV34QA/edit?usp=sharing"",""ตราด!J719"")"),0)</f>
        <v>0</v>
      </c>
      <c r="AR58" s="181">
        <f ca="1">IFERROR(__xludf.DUMMYFUNCTION("IMPORTRANGE(""https://docs.google.com/spreadsheets/d/1vWPVBOAaZ6mHSI8yf95DNqHwTJ1cpeFsvqt6cxV34QA/edit?usp=sharing"",""ตราด!J720"")"),0)</f>
        <v>0</v>
      </c>
      <c r="AS58" s="186">
        <f t="shared" ca="1" si="14"/>
        <v>0</v>
      </c>
      <c r="AT58" s="181">
        <f ca="1">IFERROR(__xludf.DUMMYFUNCTION("IMPORTRANGE(""https://docs.google.com/spreadsheets/d/1vWPVBOAaZ6mHSI8yf95DNqHwTJ1cpeFsvqt6cxV34QA/edit?usp=sharing"",""ตราด!I721"")"),0)</f>
        <v>0</v>
      </c>
      <c r="AU58" s="181">
        <f ca="1">IFERROR(__xludf.DUMMYFUNCTION("IMPORTRANGE(""https://docs.google.com/spreadsheets/d/1vWPVBOAaZ6mHSI8yf95DNqHwTJ1cpeFsvqt6cxV34QA/edit?usp=sharing"",""ตราด!I722"")"),0)</f>
        <v>0</v>
      </c>
      <c r="AV58" s="181">
        <f ca="1">IFERROR(__xludf.DUMMYFUNCTION("IMPORTRANGE(""https://docs.google.com/spreadsheets/d/1vWPVBOAaZ6mHSI8yf95DNqHwTJ1cpeFsvqt6cxV34QA/edit?usp=sharing"",""ตราด!J721"")"),0)</f>
        <v>0</v>
      </c>
      <c r="AW58" s="186">
        <f t="shared" ca="1" si="16"/>
        <v>0</v>
      </c>
      <c r="AX58" s="181">
        <f ca="1">IFERROR(__xludf.DUMMYFUNCTION("IMPORTRANGE(""https://docs.google.com/spreadsheets/d/1vWPVBOAaZ6mHSI8yf95DNqHwTJ1cpeFsvqt6cxV34QA/edit?usp=sharing"",""ตราด!J722"")"),0)</f>
        <v>0</v>
      </c>
      <c r="AY58" s="186">
        <f t="shared" ca="1" si="17"/>
        <v>0</v>
      </c>
      <c r="AZ58" s="181">
        <f ca="1">IFERROR(__xludf.DUMMYFUNCTION("IMPORTRANGE(""https://docs.google.com/spreadsheets/d/1vWPVBOAaZ6mHSI8yf95DNqHwTJ1cpeFsvqt6cxV34QA/edit?usp=sharing"",""ตราด!I723"")"),0)</f>
        <v>0</v>
      </c>
      <c r="BA58" s="181">
        <f ca="1">IFERROR(__xludf.DUMMYFUNCTION("IMPORTRANGE(""https://docs.google.com/spreadsheets/d/1vWPVBOAaZ6mHSI8yf95DNqHwTJ1cpeFsvqt6cxV34QA/edit?usp=sharing"",""ตราด!I725"")"),0)</f>
        <v>0</v>
      </c>
      <c r="BB58" s="181">
        <f ca="1">IFERROR(__xludf.DUMMYFUNCTION("IMPORTRANGE(""https://docs.google.com/spreadsheets/d/1vWPVBOAaZ6mHSI8yf95DNqHwTJ1cpeFsvqt6cxV34QA/edit?usp=sharing"",""ตราด!J723"")"),0)</f>
        <v>0</v>
      </c>
      <c r="BC58" s="181">
        <f ca="1">IFERROR(__xludf.DUMMYFUNCTION("IMPORTRANGE(""https://docs.google.com/spreadsheets/d/1vWPVBOAaZ6mHSI8yf95DNqHwTJ1cpeFsvqt6cxV34QA/edit?usp=sharing"",""ตราด!J724"")"),0)</f>
        <v>0</v>
      </c>
      <c r="BD58" s="181">
        <f ca="1">IFERROR(__xludf.DUMMYFUNCTION("IMPORTRANGE(""https://docs.google.com/spreadsheets/d/1vWPVBOAaZ6mHSI8yf95DNqHwTJ1cpeFsvqt6cxV34QA/edit?usp=sharing"",""ตราด!J725"")"),0)</f>
        <v>0</v>
      </c>
      <c r="BE58" s="181">
        <f ca="1">IFERROR(__xludf.DUMMYFUNCTION("IMPORTRANGE(""https://docs.google.com/spreadsheets/d/1vWPVBOAaZ6mHSI8yf95DNqHwTJ1cpeFsvqt6cxV34QA/edit?usp=sharing"",""ตราด!I726"")"),0)</f>
        <v>0</v>
      </c>
      <c r="BF58" s="181">
        <f ca="1">IFERROR(__xludf.DUMMYFUNCTION("IMPORTRANGE(""https://docs.google.com/spreadsheets/d/1vWPVBOAaZ6mHSI8yf95DNqHwTJ1cpeFsvqt6cxV34QA/edit?usp=sharing"",""ตราด!I728"")"),0)</f>
        <v>0</v>
      </c>
      <c r="BG58" s="181">
        <f ca="1">IFERROR(__xludf.DUMMYFUNCTION("IMPORTRANGE(""https://docs.google.com/spreadsheets/d/1vWPVBOAaZ6mHSI8yf95DNqHwTJ1cpeFsvqt6cxV34QA/edit?usp=sharing"",""ตราด!J726"")"),0)</f>
        <v>0</v>
      </c>
      <c r="BH58" s="181">
        <f ca="1">IFERROR(__xludf.DUMMYFUNCTION("IMPORTRANGE(""https://docs.google.com/spreadsheets/d/1vWPVBOAaZ6mHSI8yf95DNqHwTJ1cpeFsvqt6cxV34QA/edit?usp=sharing"",""ตราด!J727"")"),0)</f>
        <v>0</v>
      </c>
      <c r="BI58" s="181">
        <f ca="1">IFERROR(__xludf.DUMMYFUNCTION("IMPORTRANGE(""https://docs.google.com/spreadsheets/d/1vWPVBOAaZ6mHSI8yf95DNqHwTJ1cpeFsvqt6cxV34QA/edit?usp=sharing"",""ตราด!J728"")"),0)</f>
        <v>0</v>
      </c>
      <c r="BJ58" s="181">
        <f ca="1">IFERROR(__xludf.DUMMYFUNCTION("IMPORTRANGE(""https://docs.google.com/spreadsheets/d/1vWPVBOAaZ6mHSI8yf95DNqHwTJ1cpeFsvqt6cxV34QA/edit?usp=sharing"",""ตราด!I729"")"),0)</f>
        <v>0</v>
      </c>
      <c r="BK58" s="181">
        <f ca="1">IFERROR(__xludf.DUMMYFUNCTION("IMPORTRANGE(""https://docs.google.com/spreadsheets/d/1vWPVBOAaZ6mHSI8yf95DNqHwTJ1cpeFsvqt6cxV34QA/edit?usp=sharing"",""ตราด!J729"")"),0)</f>
        <v>0</v>
      </c>
      <c r="BL58" s="186">
        <f t="shared" ca="1" si="19"/>
        <v>0</v>
      </c>
      <c r="BM58" s="181">
        <f ca="1">IFERROR(__xludf.DUMMYFUNCTION("IMPORTRANGE(""https://docs.google.com/spreadsheets/d/1vWPVBOAaZ6mHSI8yf95DNqHwTJ1cpeFsvqt6cxV34QA/edit?usp=sharing"",""ตราด!J730"")"),0)</f>
        <v>0</v>
      </c>
      <c r="BN58" s="181">
        <f ca="1">IFERROR(__xludf.DUMMYFUNCTION("IMPORTRANGE(""https://docs.google.com/spreadsheets/d/1vWPVBOAaZ6mHSI8yf95DNqHwTJ1cpeFsvqt6cxV34QA/edit?usp=sharing"",""ตราด!J731"")"),0)</f>
        <v>0</v>
      </c>
      <c r="BO58" s="181">
        <f ca="1">IFERROR(__xludf.DUMMYFUNCTION("IMPORTRANGE(""https://docs.google.com/spreadsheets/d/1vWPVBOAaZ6mHSI8yf95DNqHwTJ1cpeFsvqt6cxV34QA/edit?usp=sharing"",""ตราด!J732"")"),0)</f>
        <v>0</v>
      </c>
      <c r="BP58" s="181">
        <f ca="1">IFERROR(__xludf.DUMMYFUNCTION("IMPORTRANGE(""https://docs.google.com/spreadsheets/d/1vWPVBOAaZ6mHSI8yf95DNqHwTJ1cpeFsvqt6cxV34QA/edit?usp=sharing"",""ตราด!J733"")"),0)</f>
        <v>0</v>
      </c>
      <c r="BQ58" s="181">
        <f ca="1">IFERROR(__xludf.DUMMYFUNCTION("IMPORTRANGE(""https://docs.google.com/spreadsheets/d/1vWPVBOAaZ6mHSI8yf95DNqHwTJ1cpeFsvqt6cxV34QA/edit?usp=sharing"",""ตราด!J734"")"),0)</f>
        <v>0</v>
      </c>
      <c r="BR58" s="181">
        <f ca="1">IFERROR(__xludf.DUMMYFUNCTION("IMPORTRANGE(""https://docs.google.com/spreadsheets/d/1vWPVBOAaZ6mHSI8yf95DNqHwTJ1cpeFsvqt6cxV34QA/edit?usp=sharing"",""ตราด!J735"")"),0)</f>
        <v>0</v>
      </c>
    </row>
    <row r="59" spans="1:70" ht="21" customHeight="1" x14ac:dyDescent="0.3">
      <c r="A59" s="178">
        <v>7</v>
      </c>
      <c r="B59" s="179" t="s">
        <v>76</v>
      </c>
      <c r="C59" s="180">
        <f t="shared" ca="1" si="70"/>
        <v>54320</v>
      </c>
      <c r="D59" s="181">
        <f ca="1">IFERROR(__xludf.DUMMYFUNCTION("IMPORTRANGE(""https://docs.google.com/spreadsheets/d/1phaeSb9lTGgzDpbvVqI9hfmOQQzUom07-HEvpbARzEg/edit?usp=sharing"",""นครนายก!L690"")"),54320)</f>
        <v>54320</v>
      </c>
      <c r="E59" s="187">
        <f ca="1">IFERROR(__xludf.DUMMYFUNCTION("IMPORTRANGE(""https://docs.google.com/spreadsheets/d/1phaeSb9lTGgzDpbvVqI9hfmOQQzUom07-HEvpbARzEg/edit?usp=sharing"",""นครนายก!L697"")"),0)</f>
        <v>0</v>
      </c>
      <c r="F59" s="182">
        <f t="shared" ca="1" si="1"/>
        <v>0</v>
      </c>
      <c r="G59" s="183">
        <f t="shared" ca="1" si="2"/>
        <v>0</v>
      </c>
      <c r="H59" s="184">
        <f t="shared" ca="1" si="71"/>
        <v>0</v>
      </c>
      <c r="I59" s="187">
        <f ca="1">IFERROR(__xludf.DUMMYFUNCTION("IMPORTRANGE(""https://docs.google.com/spreadsheets/d/1phaeSb9lTGgzDpbvVqI9hfmOQQzUom07-HEvpbARzEg/edit?usp=sharing"",""นครนายก!N691"")"),0)</f>
        <v>0</v>
      </c>
      <c r="J59" s="187">
        <f ca="1">IFERROR(__xludf.DUMMYFUNCTION("IMPORTRANGE(""https://docs.google.com/spreadsheets/d/1phaeSb9lTGgzDpbvVqI9hfmOQQzUom07-HEvpbARzEg/edit?usp=sharing"",""นครนายก!N692"")"),0)</f>
        <v>0</v>
      </c>
      <c r="K59" s="187">
        <f ca="1">IFERROR(__xludf.DUMMYFUNCTION("IMPORTRANGE(""https://docs.google.com/spreadsheets/d/1phaeSb9lTGgzDpbvVqI9hfmOQQzUom07-HEvpbARzEg/edit?usp=sharing"",""นครนายก!N693"")"),0)</f>
        <v>0</v>
      </c>
      <c r="L59" s="187">
        <f ca="1">IFERROR(__xludf.DUMMYFUNCTION("IMPORTRANGE(""https://docs.google.com/spreadsheets/d/1phaeSb9lTGgzDpbvVqI9hfmOQQzUom07-HEvpbARzEg/edit?usp=sharing"",""นครนายก!N694"")"),0)</f>
        <v>0</v>
      </c>
      <c r="M59" s="185">
        <f ca="1">IFERROR(__xludf.DUMMYFUNCTION("IMPORTRANGE(""https://docs.google.com/spreadsheets/d/1phaeSb9lTGgzDpbvVqI9hfmOQQzUom07-HEvpbARzEg/edit?usp=sharing"",""นครนายก!N697"")"),0)</f>
        <v>0</v>
      </c>
      <c r="N59" s="185">
        <f t="shared" ca="1" si="37"/>
        <v>0</v>
      </c>
      <c r="O59" s="181">
        <f ca="1">IFERROR(__xludf.DUMMYFUNCTION("IMPORTRANGE(""https://docs.google.com/spreadsheets/d/1phaeSb9lTGgzDpbvVqI9hfmOQQzUom07-HEvpbARzEg/edit?usp=sharing"",""นครนายก!I699"")"),0)</f>
        <v>0</v>
      </c>
      <c r="P59" s="181">
        <f ca="1">IFERROR(__xludf.DUMMYFUNCTION("IMPORTRANGE(""https://docs.google.com/spreadsheets/d/1phaeSb9lTGgzDpbvVqI9hfmOQQzUom07-HEvpbARzEg/edit?usp=sharing"",""นครนายก!J699"")"),0)</f>
        <v>0</v>
      </c>
      <c r="Q59" s="186">
        <f t="shared" ca="1" si="31"/>
        <v>0</v>
      </c>
      <c r="R59" s="181">
        <f ca="1">IFERROR(__xludf.DUMMYFUNCTION("IMPORTRANGE(""https://docs.google.com/spreadsheets/d/1phaeSb9lTGgzDpbvVqI9hfmOQQzUom07-HEvpbARzEg/edit?usp=sharing"",""นครนายก!I700"")"),0)</f>
        <v>0</v>
      </c>
      <c r="S59" s="181">
        <f ca="1">IFERROR(__xludf.DUMMYFUNCTION("IMPORTRANGE(""https://docs.google.com/spreadsheets/d/1phaeSb9lTGgzDpbvVqI9hfmOQQzUom07-HEvpbARzEg/edit?usp=sharing"",""นครนายก!J700"")"),0)</f>
        <v>0</v>
      </c>
      <c r="T59" s="186">
        <f t="shared" ca="1" si="32"/>
        <v>0</v>
      </c>
      <c r="U59" s="181">
        <f ca="1">IFERROR(__xludf.DUMMYFUNCTION("IMPORTRANGE(""https://docs.google.com/spreadsheets/d/1phaeSb9lTGgzDpbvVqI9hfmOQQzUom07-HEvpbARzEg/edit?usp=sharing"",""นครนายก!I701"")"),541)</f>
        <v>541</v>
      </c>
      <c r="V59" s="181">
        <f ca="1">IFERROR(__xludf.DUMMYFUNCTION("IMPORTRANGE(""https://docs.google.com/spreadsheets/d/1phaeSb9lTGgzDpbvVqI9hfmOQQzUom07-HEvpbARzEg/edit?usp=sharing"",""นครนายก!J701"")"),0)</f>
        <v>0</v>
      </c>
      <c r="W59" s="186">
        <f t="shared" ca="1" si="33"/>
        <v>0</v>
      </c>
      <c r="X59" s="186">
        <f ca="1">IFERROR(__xludf.DUMMYFUNCTION("IMPORTRANGE(""https://docs.google.com/spreadsheets/d/1phaeSb9lTGgzDpbvVqI9hfmOQQzUom07-HEvpbARzEg/edit?usp=sharing"",""นครนายก!J702"")"),0)</f>
        <v>0</v>
      </c>
      <c r="Y59" s="186">
        <f ca="1">IFERROR(__xludf.DUMMYFUNCTION("IMPORTRANGE(""https://docs.google.com/spreadsheets/d/1phaeSb9lTGgzDpbvVqI9hfmOQQzUom07-HEvpbARzEg/edit?usp=sharing"",""นครนายก!J703"")"),0)</f>
        <v>0</v>
      </c>
      <c r="Z59" s="186">
        <f ca="1">IFERROR(__xludf.DUMMYFUNCTION("IMPORTRANGE(""https://docs.google.com/spreadsheets/d/1phaeSb9lTGgzDpbvVqI9hfmOQQzUom07-HEvpbARzEg/edit?usp=sharing"",""นครนายก!J704"")"),0)</f>
        <v>0</v>
      </c>
      <c r="AA59" s="186">
        <f ca="1">IFERROR(__xludf.DUMMYFUNCTION("IMPORTRANGE(""https://docs.google.com/spreadsheets/d/1phaeSb9lTGgzDpbvVqI9hfmOQQzUom07-HEvpbARzEg/edit?usp=sharing"",""นครนายก!J705"")"),0)</f>
        <v>0</v>
      </c>
      <c r="AB59" s="186">
        <f ca="1">IFERROR(__xludf.DUMMYFUNCTION("IMPORTRANGE(""https://docs.google.com/spreadsheets/d/1phaeSb9lTGgzDpbvVqI9hfmOQQzUom07-HEvpbARzEg/edit?usp=sharing"",""นครนายก!J706"")"),0)</f>
        <v>0</v>
      </c>
      <c r="AC59" s="186">
        <f ca="1">IFERROR(__xludf.DUMMYFUNCTION("IMPORTRANGE(""https://docs.google.com/spreadsheets/d/1phaeSb9lTGgzDpbvVqI9hfmOQQzUom07-HEvpbARzEg/edit?usp=sharing"",""นครนายก!J707"")"),0)</f>
        <v>0</v>
      </c>
      <c r="AD59" s="181">
        <f ca="1">IFERROR(__xludf.DUMMYFUNCTION("IMPORTRANGE(""https://docs.google.com/spreadsheets/d/1phaeSb9lTGgzDpbvVqI9hfmOQQzUom07-HEvpbARzEg/edit?usp=sharing"",""นครนายก!I708"")"),131)</f>
        <v>131</v>
      </c>
      <c r="AE59" s="181">
        <f ca="1">IFERROR(__xludf.DUMMYFUNCTION("IMPORTRANGE(""https://docs.google.com/spreadsheets/d/1phaeSb9lTGgzDpbvVqI9hfmOQQzUom07-HEvpbARzEg/edit?usp=sharing"",""นครนายก!J708"")"),0)</f>
        <v>0</v>
      </c>
      <c r="AF59" s="186">
        <f t="shared" ca="1" si="34"/>
        <v>0</v>
      </c>
      <c r="AG59" s="181">
        <f ca="1">IFERROR(__xludf.DUMMYFUNCTION("IMPORTRANGE(""https://docs.google.com/spreadsheets/d/1phaeSb9lTGgzDpbvVqI9hfmOQQzUom07-HEvpbARzEg/edit?usp=sharing"",""นครนายก!J709"")"),0)</f>
        <v>0</v>
      </c>
      <c r="AH59" s="181">
        <f ca="1">IFERROR(__xludf.DUMMYFUNCTION("IMPORTRANGE(""https://docs.google.com/spreadsheets/d/1phaeSb9lTGgzDpbvVqI9hfmOQQzUom07-HEvpbARzEg/edit?usp=sharing"",""นครนายก!J710"")"),0)</f>
        <v>0</v>
      </c>
      <c r="AI59" s="181">
        <f ca="1">IFERROR(__xludf.DUMMYFUNCTION("IMPORTRANGE(""https://docs.google.com/spreadsheets/d/1phaeSb9lTGgzDpbvVqI9hfmOQQzUom07-HEvpbARzEg/edit?usp=sharing"",""นครนายก!J712"")"),0)</f>
        <v>0</v>
      </c>
      <c r="AJ59" s="181">
        <f ca="1">IFERROR(__xludf.DUMMYFUNCTION("IMPORTRANGE(""https://docs.google.com/spreadsheets/d/1phaeSb9lTGgzDpbvVqI9hfmOQQzUom07-HEvpbARzEg/edit?usp=sharing"",""นครนายก!J713"")"),0)</f>
        <v>0</v>
      </c>
      <c r="AK59" s="181">
        <f ca="1">IFERROR(__xludf.DUMMYFUNCTION("IMPORTRANGE(""https://docs.google.com/spreadsheets/d/1phaeSb9lTGgzDpbvVqI9hfmOQQzUom07-HEvpbARzEg/edit?usp=sharing"",""นครนายก!J714"")"),0)</f>
        <v>0</v>
      </c>
      <c r="AL59" s="181">
        <f ca="1">IFERROR(__xludf.DUMMYFUNCTION("IMPORTRANGE(""https://docs.google.com/spreadsheets/d/1phaeSb9lTGgzDpbvVqI9hfmOQQzUom07-HEvpbARzEg/edit?usp=sharing"",""นครนายก!J715"")"),0)</f>
        <v>0</v>
      </c>
      <c r="AM59" s="181">
        <f ca="1">IFERROR(__xludf.DUMMYFUNCTION("IMPORTRANGE(""https://docs.google.com/spreadsheets/d/1phaeSb9lTGgzDpbvVqI9hfmOQQzUom07-HEvpbARzEg/edit?usp=sharing"",""นครนายก!J716"")"),0)</f>
        <v>0</v>
      </c>
      <c r="AN59" s="181">
        <f ca="1">IFERROR(__xludf.DUMMYFUNCTION("IMPORTRANGE(""https://docs.google.com/spreadsheets/d/1phaeSb9lTGgzDpbvVqI9hfmOQQzUom07-HEvpbARzEg/edit?usp=sharing"",""นครนายก!J717"")"),0)</f>
        <v>0</v>
      </c>
      <c r="AO59" s="181">
        <f ca="1">IFERROR(__xludf.DUMMYFUNCTION("IMPORTRANGE(""https://docs.google.com/spreadsheets/d/1phaeSb9lTGgzDpbvVqI9hfmOQQzUom07-HEvpbARzEg/edit?usp=sharing"",""นครนายก!I720"")"),312)</f>
        <v>312</v>
      </c>
      <c r="AP59" s="181">
        <f ca="1">IFERROR(__xludf.DUMMYFUNCTION("IMPORTRANGE(""https://docs.google.com/spreadsheets/d/1phaeSb9lTGgzDpbvVqI9hfmOQQzUom07-HEvpbARzEg/edit?usp=sharing"",""นครนายก!J718"")"),0)</f>
        <v>0</v>
      </c>
      <c r="AQ59" s="181">
        <f ca="1">IFERROR(__xludf.DUMMYFUNCTION("IMPORTRANGE(""https://docs.google.com/spreadsheets/d/1phaeSb9lTGgzDpbvVqI9hfmOQQzUom07-HEvpbARzEg/edit?usp=sharing"",""นครนายก!J719"")"),0)</f>
        <v>0</v>
      </c>
      <c r="AR59" s="181">
        <f ca="1">IFERROR(__xludf.DUMMYFUNCTION("IMPORTRANGE(""https://docs.google.com/spreadsheets/d/1phaeSb9lTGgzDpbvVqI9hfmOQQzUom07-HEvpbARzEg/edit?usp=sharing"",""นครนายก!J720"")"),0)</f>
        <v>0</v>
      </c>
      <c r="AS59" s="186">
        <f t="shared" ca="1" si="14"/>
        <v>0</v>
      </c>
      <c r="AT59" s="181">
        <f ca="1">IFERROR(__xludf.DUMMYFUNCTION("IMPORTRANGE(""https://docs.google.com/spreadsheets/d/1phaeSb9lTGgzDpbvVqI9hfmOQQzUom07-HEvpbARzEg/edit?usp=sharing"",""นครนายก!I721"")"),36)</f>
        <v>36</v>
      </c>
      <c r="AU59" s="181">
        <f ca="1">IFERROR(__xludf.DUMMYFUNCTION("IMPORTRANGE(""https://docs.google.com/spreadsheets/d/1phaeSb9lTGgzDpbvVqI9hfmOQQzUom07-HEvpbARzEg/edit?usp=sharing"",""นครนายก!I722"")"),351)</f>
        <v>351</v>
      </c>
      <c r="AV59" s="181">
        <f ca="1">IFERROR(__xludf.DUMMYFUNCTION("IMPORTRANGE(""https://docs.google.com/spreadsheets/d/1phaeSb9lTGgzDpbvVqI9hfmOQQzUom07-HEvpbARzEg/edit?usp=sharing"",""นครนายก!J721"")"),0)</f>
        <v>0</v>
      </c>
      <c r="AW59" s="186">
        <f t="shared" ca="1" si="16"/>
        <v>0</v>
      </c>
      <c r="AX59" s="181">
        <f ca="1">IFERROR(__xludf.DUMMYFUNCTION("IMPORTRANGE(""https://docs.google.com/spreadsheets/d/1phaeSb9lTGgzDpbvVqI9hfmOQQzUom07-HEvpbARzEg/edit?usp=sharing"",""นครนายก!J722"")"),0)</f>
        <v>0</v>
      </c>
      <c r="AY59" s="186">
        <f t="shared" ca="1" si="17"/>
        <v>0</v>
      </c>
      <c r="AZ59" s="181">
        <f ca="1">IFERROR(__xludf.DUMMYFUNCTION("IMPORTRANGE(""https://docs.google.com/spreadsheets/d/1phaeSb9lTGgzDpbvVqI9hfmOQQzUom07-HEvpbARzEg/edit?usp=sharing"",""นครนายก!I723"")"),17)</f>
        <v>17</v>
      </c>
      <c r="BA59" s="181">
        <f ca="1">IFERROR(__xludf.DUMMYFUNCTION("IMPORTRANGE(""https://docs.google.com/spreadsheets/d/1phaeSb9lTGgzDpbvVqI9hfmOQQzUom07-HEvpbARzEg/edit?usp=sharing"",""นครนายก!I725"")"),220)</f>
        <v>220</v>
      </c>
      <c r="BB59" s="181">
        <f ca="1">IFERROR(__xludf.DUMMYFUNCTION("IMPORTRANGE(""https://docs.google.com/spreadsheets/d/1phaeSb9lTGgzDpbvVqI9hfmOQQzUom07-HEvpbARzEg/edit?usp=sharing"",""นครนายก!J723"")"),0)</f>
        <v>0</v>
      </c>
      <c r="BC59" s="181">
        <f ca="1">IFERROR(__xludf.DUMMYFUNCTION("IMPORTRANGE(""https://docs.google.com/spreadsheets/d/1phaeSb9lTGgzDpbvVqI9hfmOQQzUom07-HEvpbARzEg/edit?usp=sharing"",""นครนายก!J724"")"),0)</f>
        <v>0</v>
      </c>
      <c r="BD59" s="181">
        <f ca="1">IFERROR(__xludf.DUMMYFUNCTION("IMPORTRANGE(""https://docs.google.com/spreadsheets/d/1phaeSb9lTGgzDpbvVqI9hfmOQQzUom07-HEvpbARzEg/edit?usp=sharing"",""นครนายก!J725"")"),0)</f>
        <v>0</v>
      </c>
      <c r="BE59" s="181">
        <f ca="1">IFERROR(__xludf.DUMMYFUNCTION("IMPORTRANGE(""https://docs.google.com/spreadsheets/d/1phaeSb9lTGgzDpbvVqI9hfmOQQzUom07-HEvpbARzEg/edit?usp=sharing"",""นครนายก!I726"")"),19)</f>
        <v>19</v>
      </c>
      <c r="BF59" s="181">
        <f ca="1">IFERROR(__xludf.DUMMYFUNCTION("IMPORTRANGE(""https://docs.google.com/spreadsheets/d/1phaeSb9lTGgzDpbvVqI9hfmOQQzUom07-HEvpbARzEg/edit?usp=sharing"",""นครนายก!I728"")"),131)</f>
        <v>131</v>
      </c>
      <c r="BG59" s="181">
        <f ca="1">IFERROR(__xludf.DUMMYFUNCTION("IMPORTRANGE(""https://docs.google.com/spreadsheets/d/1phaeSb9lTGgzDpbvVqI9hfmOQQzUom07-HEvpbARzEg/edit?usp=sharing"",""นครนายก!J726"")"),0)</f>
        <v>0</v>
      </c>
      <c r="BH59" s="181">
        <f ca="1">IFERROR(__xludf.DUMMYFUNCTION("IMPORTRANGE(""https://docs.google.com/spreadsheets/d/1phaeSb9lTGgzDpbvVqI9hfmOQQzUom07-HEvpbARzEg/edit?usp=sharing"",""นครนายก!J727"")"),0)</f>
        <v>0</v>
      </c>
      <c r="BI59" s="181">
        <f ca="1">IFERROR(__xludf.DUMMYFUNCTION("IMPORTRANGE(""https://docs.google.com/spreadsheets/d/1phaeSb9lTGgzDpbvVqI9hfmOQQzUom07-HEvpbARzEg/edit?usp=sharing"",""นครนายก!J728"")"),0)</f>
        <v>0</v>
      </c>
      <c r="BJ59" s="181">
        <f ca="1">IFERROR(__xludf.DUMMYFUNCTION("IMPORTRANGE(""https://docs.google.com/spreadsheets/d/1phaeSb9lTGgzDpbvVqI9hfmOQQzUom07-HEvpbARzEg/edit?usp=sharing"",""นครนายก!I729"")"),131)</f>
        <v>131</v>
      </c>
      <c r="BK59" s="181">
        <f ca="1">IFERROR(__xludf.DUMMYFUNCTION("IMPORTRANGE(""https://docs.google.com/spreadsheets/d/1phaeSb9lTGgzDpbvVqI9hfmOQQzUom07-HEvpbARzEg/edit?usp=sharing"",""นครนายก!J729"")"),0)</f>
        <v>0</v>
      </c>
      <c r="BL59" s="186">
        <f t="shared" ca="1" si="19"/>
        <v>0</v>
      </c>
      <c r="BM59" s="181">
        <f ca="1">IFERROR(__xludf.DUMMYFUNCTION("IMPORTRANGE(""https://docs.google.com/spreadsheets/d/1phaeSb9lTGgzDpbvVqI9hfmOQQzUom07-HEvpbARzEg/edit?usp=sharing"",""นครนายก!J730"")"),0)</f>
        <v>0</v>
      </c>
      <c r="BN59" s="181">
        <f ca="1">IFERROR(__xludf.DUMMYFUNCTION("IMPORTRANGE(""https://docs.google.com/spreadsheets/d/1phaeSb9lTGgzDpbvVqI9hfmOQQzUom07-HEvpbARzEg/edit?usp=sharing"",""นครนายก!J731"")"),0)</f>
        <v>0</v>
      </c>
      <c r="BO59" s="181">
        <f ca="1">IFERROR(__xludf.DUMMYFUNCTION("IMPORTRANGE(""https://docs.google.com/spreadsheets/d/1phaeSb9lTGgzDpbvVqI9hfmOQQzUom07-HEvpbARzEg/edit?usp=sharing"",""นครนายก!J732"")"),0)</f>
        <v>0</v>
      </c>
      <c r="BP59" s="181">
        <f ca="1">IFERROR(__xludf.DUMMYFUNCTION("IMPORTRANGE(""https://docs.google.com/spreadsheets/d/1phaeSb9lTGgzDpbvVqI9hfmOQQzUom07-HEvpbARzEg/edit?usp=sharing"",""นครนายก!J733"")"),0)</f>
        <v>0</v>
      </c>
      <c r="BQ59" s="181">
        <f ca="1">IFERROR(__xludf.DUMMYFUNCTION("IMPORTRANGE(""https://docs.google.com/spreadsheets/d/1phaeSb9lTGgzDpbvVqI9hfmOQQzUom07-HEvpbARzEg/edit?usp=sharing"",""นครนายก!J734"")"),0)</f>
        <v>0</v>
      </c>
      <c r="BR59" s="181" t="str">
        <f ca="1">IFERROR(__xludf.DUMMYFUNCTION("IMPORTRANGE(""https://docs.google.com/spreadsheets/d/1phaeSb9lTGgzDpbvVqI9hfmOQQzUom07-HEvpbARzEg/edit?usp=sharing"",""นครนายก!J735"")"),"")</f>
        <v/>
      </c>
    </row>
    <row r="60" spans="1:70" ht="21" customHeight="1" x14ac:dyDescent="0.3">
      <c r="A60" s="178">
        <v>8</v>
      </c>
      <c r="B60" s="179" t="s">
        <v>77</v>
      </c>
      <c r="C60" s="180">
        <f t="shared" ca="1" si="70"/>
        <v>4380</v>
      </c>
      <c r="D60" s="181">
        <f ca="1">IFERROR(__xludf.DUMMYFUNCTION("IMPORTRANGE(""https://docs.google.com/spreadsheets/d/1tpwhWwkqkBeiSWCcfB5f2fbwPRbM9hHOEDSDHpl2MIc/edit?usp=sharing"",""นครปฐม!L690"")"),4380)</f>
        <v>4380</v>
      </c>
      <c r="E60" s="187">
        <f ca="1">IFERROR(__xludf.DUMMYFUNCTION("IMPORTRANGE(""https://docs.google.com/spreadsheets/d/1tpwhWwkqkBeiSWCcfB5f2fbwPRbM9hHOEDSDHpl2MIc/edit?usp=sharing"",""นครปฐม!L697"")"),0)</f>
        <v>0</v>
      </c>
      <c r="F60" s="182">
        <f t="shared" ca="1" si="1"/>
        <v>3360</v>
      </c>
      <c r="G60" s="183">
        <f t="shared" ca="1" si="2"/>
        <v>76.712328767123282</v>
      </c>
      <c r="H60" s="184">
        <f t="shared" ca="1" si="71"/>
        <v>3360</v>
      </c>
      <c r="I60" s="187">
        <f ca="1">IFERROR(__xludf.DUMMYFUNCTION("IMPORTRANGE(""https://docs.google.com/spreadsheets/d/1tpwhWwkqkBeiSWCcfB5f2fbwPRbM9hHOEDSDHpl2MIc/edit?usp=sharing"",""นครปฐม!N691"")"),0)</f>
        <v>0</v>
      </c>
      <c r="J60" s="187">
        <f ca="1">IFERROR(__xludf.DUMMYFUNCTION("IMPORTRANGE(""https://docs.google.com/spreadsheets/d/1tpwhWwkqkBeiSWCcfB5f2fbwPRbM9hHOEDSDHpl2MIc/edit?usp=sharing"",""นครปฐม!N692"")"),0)</f>
        <v>0</v>
      </c>
      <c r="K60" s="187">
        <f ca="1">IFERROR(__xludf.DUMMYFUNCTION("IMPORTRANGE(""https://docs.google.com/spreadsheets/d/1tpwhWwkqkBeiSWCcfB5f2fbwPRbM9hHOEDSDHpl2MIc/edit?usp=sharing"",""นครปฐม!N693"")"),0)</f>
        <v>0</v>
      </c>
      <c r="L60" s="187">
        <f ca="1">IFERROR(__xludf.DUMMYFUNCTION("IMPORTRANGE(""https://docs.google.com/spreadsheets/d/1tpwhWwkqkBeiSWCcfB5f2fbwPRbM9hHOEDSDHpl2MIc/edit?usp=sharing"",""นครปฐม!N694"")"),3360)</f>
        <v>3360</v>
      </c>
      <c r="M60" s="185">
        <f ca="1">IFERROR(__xludf.DUMMYFUNCTION("IMPORTRANGE(""https://docs.google.com/spreadsheets/d/1tpwhWwkqkBeiSWCcfB5f2fbwPRbM9hHOEDSDHpl2MIc/edit?usp=sharing"",""นครปฐม!N697"")"),0)</f>
        <v>0</v>
      </c>
      <c r="N60" s="185">
        <f t="shared" ca="1" si="37"/>
        <v>0</v>
      </c>
      <c r="O60" s="181">
        <f ca="1">IFERROR(__xludf.DUMMYFUNCTION("IMPORTRANGE(""https://docs.google.com/spreadsheets/d/1tpwhWwkqkBeiSWCcfB5f2fbwPRbM9hHOEDSDHpl2MIc/edit?usp=sharing"",""นครปฐม!I699"")"),0)</f>
        <v>0</v>
      </c>
      <c r="P60" s="181">
        <f ca="1">IFERROR(__xludf.DUMMYFUNCTION("IMPORTRANGE(""https://docs.google.com/spreadsheets/d/1tpwhWwkqkBeiSWCcfB5f2fbwPRbM9hHOEDSDHpl2MIc/edit?usp=sharing"",""นครปฐม!J699"")"),0)</f>
        <v>0</v>
      </c>
      <c r="Q60" s="186">
        <f t="shared" ca="1" si="31"/>
        <v>0</v>
      </c>
      <c r="R60" s="181">
        <f ca="1">IFERROR(__xludf.DUMMYFUNCTION("IMPORTRANGE(""https://docs.google.com/spreadsheets/d/1tpwhWwkqkBeiSWCcfB5f2fbwPRbM9hHOEDSDHpl2MIc/edit?usp=sharing"",""นครปฐม!I700"")"),0)</f>
        <v>0</v>
      </c>
      <c r="S60" s="181">
        <f ca="1">IFERROR(__xludf.DUMMYFUNCTION("IMPORTRANGE(""https://docs.google.com/spreadsheets/d/1tpwhWwkqkBeiSWCcfB5f2fbwPRbM9hHOEDSDHpl2MIc/edit?usp=sharing"",""นครปฐม!J700"")"),0)</f>
        <v>0</v>
      </c>
      <c r="T60" s="186">
        <f t="shared" ca="1" si="32"/>
        <v>0</v>
      </c>
      <c r="U60" s="181">
        <f ca="1">IFERROR(__xludf.DUMMYFUNCTION("IMPORTRANGE(""https://docs.google.com/spreadsheets/d/1tpwhWwkqkBeiSWCcfB5f2fbwPRbM9hHOEDSDHpl2MIc/edit?usp=sharing"",""นครปฐม!I701"")"),0)</f>
        <v>0</v>
      </c>
      <c r="V60" s="181">
        <f ca="1">IFERROR(__xludf.DUMMYFUNCTION("IMPORTRANGE(""https://docs.google.com/spreadsheets/d/1tpwhWwkqkBeiSWCcfB5f2fbwPRbM9hHOEDSDHpl2MIc/edit?usp=sharing"",""นครปฐม!J701"")"),0)</f>
        <v>0</v>
      </c>
      <c r="W60" s="186">
        <f t="shared" ca="1" si="33"/>
        <v>0</v>
      </c>
      <c r="X60" s="186">
        <f ca="1">IFERROR(__xludf.DUMMYFUNCTION("IMPORTRANGE(""https://docs.google.com/spreadsheets/d/1tpwhWwkqkBeiSWCcfB5f2fbwPRbM9hHOEDSDHpl2MIc/edit?usp=sharing"",""นครปฐม!J702"")"),0)</f>
        <v>0</v>
      </c>
      <c r="Y60" s="186">
        <f ca="1">IFERROR(__xludf.DUMMYFUNCTION("IMPORTRANGE(""https://docs.google.com/spreadsheets/d/1tpwhWwkqkBeiSWCcfB5f2fbwPRbM9hHOEDSDHpl2MIc/edit?usp=sharing"",""นครปฐม!J703"")"),0)</f>
        <v>0</v>
      </c>
      <c r="Z60" s="186">
        <f ca="1">IFERROR(__xludf.DUMMYFUNCTION("IMPORTRANGE(""https://docs.google.com/spreadsheets/d/1tpwhWwkqkBeiSWCcfB5f2fbwPRbM9hHOEDSDHpl2MIc/edit?usp=sharing"",""นครปฐม!J704"")"),0)</f>
        <v>0</v>
      </c>
      <c r="AA60" s="186">
        <f ca="1">IFERROR(__xludf.DUMMYFUNCTION("IMPORTRANGE(""https://docs.google.com/spreadsheets/d/1tpwhWwkqkBeiSWCcfB5f2fbwPRbM9hHOEDSDHpl2MIc/edit?usp=sharing"",""นครปฐม!J705"")"),0)</f>
        <v>0</v>
      </c>
      <c r="AB60" s="186">
        <f ca="1">IFERROR(__xludf.DUMMYFUNCTION("IMPORTRANGE(""https://docs.google.com/spreadsheets/d/1tpwhWwkqkBeiSWCcfB5f2fbwPRbM9hHOEDSDHpl2MIc/edit?usp=sharing"",""นครปฐม!J706"")"),0)</f>
        <v>0</v>
      </c>
      <c r="AC60" s="186">
        <f ca="1">IFERROR(__xludf.DUMMYFUNCTION("IMPORTRANGE(""https://docs.google.com/spreadsheets/d/1tpwhWwkqkBeiSWCcfB5f2fbwPRbM9hHOEDSDHpl2MIc/edit?usp=sharing"",""นครปฐม!J707"")"),0)</f>
        <v>0</v>
      </c>
      <c r="AD60" s="181">
        <f ca="1">IFERROR(__xludf.DUMMYFUNCTION("IMPORTRANGE(""https://docs.google.com/spreadsheets/d/1tpwhWwkqkBeiSWCcfB5f2fbwPRbM9hHOEDSDHpl2MIc/edit?usp=sharing"",""นครปฐม!I708"")"),0)</f>
        <v>0</v>
      </c>
      <c r="AE60" s="181">
        <f ca="1">IFERROR(__xludf.DUMMYFUNCTION("IMPORTRANGE(""https://docs.google.com/spreadsheets/d/1tpwhWwkqkBeiSWCcfB5f2fbwPRbM9hHOEDSDHpl2MIc/edit?usp=sharing"",""นครปฐม!J708"")"),0)</f>
        <v>0</v>
      </c>
      <c r="AF60" s="186">
        <f t="shared" ca="1" si="34"/>
        <v>0</v>
      </c>
      <c r="AG60" s="181">
        <f ca="1">IFERROR(__xludf.DUMMYFUNCTION("IMPORTRANGE(""https://docs.google.com/spreadsheets/d/1tpwhWwkqkBeiSWCcfB5f2fbwPRbM9hHOEDSDHpl2MIc/edit?usp=sharing"",""นครปฐม!J709"")"),0)</f>
        <v>0</v>
      </c>
      <c r="AH60" s="181">
        <f ca="1">IFERROR(__xludf.DUMMYFUNCTION("IMPORTRANGE(""https://docs.google.com/spreadsheets/d/1tpwhWwkqkBeiSWCcfB5f2fbwPRbM9hHOEDSDHpl2MIc/edit?usp=sharing"",""นครปฐม!J710"")"),0)</f>
        <v>0</v>
      </c>
      <c r="AI60" s="181">
        <f ca="1">IFERROR(__xludf.DUMMYFUNCTION("IMPORTRANGE(""https://docs.google.com/spreadsheets/d/1tpwhWwkqkBeiSWCcfB5f2fbwPRbM9hHOEDSDHpl2MIc/edit?usp=sharing"",""นครปฐม!J712"")"),0)</f>
        <v>0</v>
      </c>
      <c r="AJ60" s="181">
        <f ca="1">IFERROR(__xludf.DUMMYFUNCTION("IMPORTRANGE(""https://docs.google.com/spreadsheets/d/1tpwhWwkqkBeiSWCcfB5f2fbwPRbM9hHOEDSDHpl2MIc/edit?usp=sharing"",""นครปฐม!J713"")"),0)</f>
        <v>0</v>
      </c>
      <c r="AK60" s="181">
        <f ca="1">IFERROR(__xludf.DUMMYFUNCTION("IMPORTRANGE(""https://docs.google.com/spreadsheets/d/1tpwhWwkqkBeiSWCcfB5f2fbwPRbM9hHOEDSDHpl2MIc/edit?usp=sharing"",""นครปฐม!J714"")"),0)</f>
        <v>0</v>
      </c>
      <c r="AL60" s="181">
        <f ca="1">IFERROR(__xludf.DUMMYFUNCTION("IMPORTRANGE(""https://docs.google.com/spreadsheets/d/1tpwhWwkqkBeiSWCcfB5f2fbwPRbM9hHOEDSDHpl2MIc/edit?usp=sharing"",""นครปฐม!J715"")"),0)</f>
        <v>0</v>
      </c>
      <c r="AM60" s="181">
        <f ca="1">IFERROR(__xludf.DUMMYFUNCTION("IMPORTRANGE(""https://docs.google.com/spreadsheets/d/1tpwhWwkqkBeiSWCcfB5f2fbwPRbM9hHOEDSDHpl2MIc/edit?usp=sharing"",""นครปฐม!J716"")"),0)</f>
        <v>0</v>
      </c>
      <c r="AN60" s="206" t="str">
        <f ca="1">IFERROR(__xludf.DUMMYFUNCTION("IMPORTRANGE(""https://docs.google.com/spreadsheets/d/1tpwhWwkqkBeiSWCcfB5f2fbwPRbM9hHOEDSDHpl2MIc/edit?usp=sharing"",""นครปฐม!J717"")"),"")</f>
        <v/>
      </c>
      <c r="AO60" s="181">
        <f ca="1">IFERROR(__xludf.DUMMYFUNCTION("IMPORTRANGE(""https://docs.google.com/spreadsheets/d/1tpwhWwkqkBeiSWCcfB5f2fbwPRbM9hHOEDSDHpl2MIc/edit?usp=sharing"",""นครปฐม!I720"")"),34)</f>
        <v>34</v>
      </c>
      <c r="AP60" s="181">
        <f ca="1">IFERROR(__xludf.DUMMYFUNCTION("IMPORTRANGE(""https://docs.google.com/spreadsheets/d/1tpwhWwkqkBeiSWCcfB5f2fbwPRbM9hHOEDSDHpl2MIc/edit?usp=sharing"",""นครปฐม!J718"")"),0)</f>
        <v>0</v>
      </c>
      <c r="AQ60" s="181">
        <f ca="1">IFERROR(__xludf.DUMMYFUNCTION("IMPORTRANGE(""https://docs.google.com/spreadsheets/d/1tpwhWwkqkBeiSWCcfB5f2fbwPRbM9hHOEDSDHpl2MIc/edit?usp=sharing"",""นครปฐม!J719"")"),0)</f>
        <v>0</v>
      </c>
      <c r="AR60" s="181">
        <f ca="1">IFERROR(__xludf.DUMMYFUNCTION("IMPORTRANGE(""https://docs.google.com/spreadsheets/d/1tpwhWwkqkBeiSWCcfB5f2fbwPRbM9hHOEDSDHpl2MIc/edit?usp=sharing"",""นครปฐม!J720"")"),0)</f>
        <v>0</v>
      </c>
      <c r="AS60" s="186">
        <f t="shared" ca="1" si="14"/>
        <v>0</v>
      </c>
      <c r="AT60" s="181">
        <f ca="1">IFERROR(__xludf.DUMMYFUNCTION("IMPORTRANGE(""https://docs.google.com/spreadsheets/d/1tpwhWwkqkBeiSWCcfB5f2fbwPRbM9hHOEDSDHpl2MIc/edit?usp=sharing"",""นครปฐม!I721"")"),3)</f>
        <v>3</v>
      </c>
      <c r="AU60" s="181">
        <f ca="1">IFERROR(__xludf.DUMMYFUNCTION("IMPORTRANGE(""https://docs.google.com/spreadsheets/d/1tpwhWwkqkBeiSWCcfB5f2fbwPRbM9hHOEDSDHpl2MIc/edit?usp=sharing"",""นครปฐม!I722"")"),40)</f>
        <v>40</v>
      </c>
      <c r="AV60" s="181">
        <f ca="1">IFERROR(__xludf.DUMMYFUNCTION("IMPORTRANGE(""https://docs.google.com/spreadsheets/d/1tpwhWwkqkBeiSWCcfB5f2fbwPRbM9hHOEDSDHpl2MIc/edit?usp=sharing"",""นครปฐม!J721"")"),9)</f>
        <v>9</v>
      </c>
      <c r="AW60" s="186">
        <f t="shared" ca="1" si="16"/>
        <v>300</v>
      </c>
      <c r="AX60" s="181">
        <f ca="1">IFERROR(__xludf.DUMMYFUNCTION("IMPORTRANGE(""https://docs.google.com/spreadsheets/d/1tpwhWwkqkBeiSWCcfB5f2fbwPRbM9hHOEDSDHpl2MIc/edit?usp=sharing"",""นครปฐม!J722"")"),58.56)</f>
        <v>58.56</v>
      </c>
      <c r="AY60" s="186">
        <f t="shared" ca="1" si="17"/>
        <v>146.4</v>
      </c>
      <c r="AZ60" s="181">
        <f ca="1">IFERROR(__xludf.DUMMYFUNCTION("IMPORTRANGE(""https://docs.google.com/spreadsheets/d/1tpwhWwkqkBeiSWCcfB5f2fbwPRbM9hHOEDSDHpl2MIc/edit?usp=sharing"",""นครปฐม!I723"")"),2)</f>
        <v>2</v>
      </c>
      <c r="BA60" s="181">
        <f ca="1">IFERROR(__xludf.DUMMYFUNCTION("IMPORTRANGE(""https://docs.google.com/spreadsheets/d/1tpwhWwkqkBeiSWCcfB5f2fbwPRbM9hHOEDSDHpl2MIc/edit?usp=sharing"",""นครปฐม!I725"")"),20)</f>
        <v>20</v>
      </c>
      <c r="BB60" s="181">
        <f ca="1">IFERROR(__xludf.DUMMYFUNCTION("IMPORTRANGE(""https://docs.google.com/spreadsheets/d/1tpwhWwkqkBeiSWCcfB5f2fbwPRbM9hHOEDSDHpl2MIc/edit?usp=sharing"",""นครปฐม!J723"")"),4)</f>
        <v>4</v>
      </c>
      <c r="BC60" s="181">
        <f ca="1">IFERROR(__xludf.DUMMYFUNCTION("IMPORTRANGE(""https://docs.google.com/spreadsheets/d/1tpwhWwkqkBeiSWCcfB5f2fbwPRbM9hHOEDSDHpl2MIc/edit?usp=sharing"",""นครปฐม!J724"")"),4)</f>
        <v>4</v>
      </c>
      <c r="BD60" s="181">
        <f ca="1">IFERROR(__xludf.DUMMYFUNCTION("IMPORTRANGE(""https://docs.google.com/spreadsheets/d/1tpwhWwkqkBeiSWCcfB5f2fbwPRbM9hHOEDSDHpl2MIc/edit?usp=sharing"",""นครปฐม!J725"")"),48.86)</f>
        <v>48.86</v>
      </c>
      <c r="BE60" s="181">
        <f ca="1">IFERROR(__xludf.DUMMYFUNCTION("IMPORTRANGE(""https://docs.google.com/spreadsheets/d/1tpwhWwkqkBeiSWCcfB5f2fbwPRbM9hHOEDSDHpl2MIc/edit?usp=sharing"",""นครปฐม!I726"")"),1)</f>
        <v>1</v>
      </c>
      <c r="BF60" s="181">
        <f ca="1">IFERROR(__xludf.DUMMYFUNCTION("IMPORTRANGE(""https://docs.google.com/spreadsheets/d/1tpwhWwkqkBeiSWCcfB5f2fbwPRbM9hHOEDSDHpl2MIc/edit?usp=sharing"",""นครปฐม!I728"")"),20)</f>
        <v>20</v>
      </c>
      <c r="BG60" s="181">
        <f ca="1">IFERROR(__xludf.DUMMYFUNCTION("IMPORTRANGE(""https://docs.google.com/spreadsheets/d/1tpwhWwkqkBeiSWCcfB5f2fbwPRbM9hHOEDSDHpl2MIc/edit?usp=sharing"",""นครปฐม!J726"")"),5)</f>
        <v>5</v>
      </c>
      <c r="BH60" s="181">
        <f ca="1">IFERROR(__xludf.DUMMYFUNCTION("IMPORTRANGE(""https://docs.google.com/spreadsheets/d/1tpwhWwkqkBeiSWCcfB5f2fbwPRbM9hHOEDSDHpl2MIc/edit?usp=sharing"",""นครปฐม!J727"")"),5)</f>
        <v>5</v>
      </c>
      <c r="BI60" s="181">
        <f ca="1">IFERROR(__xludf.DUMMYFUNCTION("IMPORTRANGE(""https://docs.google.com/spreadsheets/d/1tpwhWwkqkBeiSWCcfB5f2fbwPRbM9hHOEDSDHpl2MIc/edit?usp=sharing"",""นครปฐม!J728"")"),9.7)</f>
        <v>9.6999999999999993</v>
      </c>
      <c r="BJ60" s="181">
        <f ca="1">IFERROR(__xludf.DUMMYFUNCTION("IMPORTRANGE(""https://docs.google.com/spreadsheets/d/1tpwhWwkqkBeiSWCcfB5f2fbwPRbM9hHOEDSDHpl2MIc/edit?usp=sharing"",""นครปฐม!I729"")"),0)</f>
        <v>0</v>
      </c>
      <c r="BK60" s="181">
        <f ca="1">IFERROR(__xludf.DUMMYFUNCTION("IMPORTRANGE(""https://docs.google.com/spreadsheets/d/1tpwhWwkqkBeiSWCcfB5f2fbwPRbM9hHOEDSDHpl2MIc/edit?usp=sharing"",""นครปฐม!J729"")"),0)</f>
        <v>0</v>
      </c>
      <c r="BL60" s="186">
        <f t="shared" ca="1" si="19"/>
        <v>0</v>
      </c>
      <c r="BM60" s="206" t="str">
        <f ca="1">IFERROR(__xludf.DUMMYFUNCTION("IMPORTRANGE(""https://docs.google.com/spreadsheets/d/1tpwhWwkqkBeiSWCcfB5f2fbwPRbM9hHOEDSDHpl2MIc/edit?usp=sharing"",""นครปฐม!J730"")"),"")</f>
        <v/>
      </c>
      <c r="BN60" s="181">
        <f ca="1">IFERROR(__xludf.DUMMYFUNCTION("IMPORTRANGE(""https://docs.google.com/spreadsheets/d/1tpwhWwkqkBeiSWCcfB5f2fbwPRbM9hHOEDSDHpl2MIc/edit?usp=sharing"",""นครปฐม!J731"")"),0)</f>
        <v>0</v>
      </c>
      <c r="BO60" s="181">
        <f ca="1">IFERROR(__xludf.DUMMYFUNCTION("IMPORTRANGE(""https://docs.google.com/spreadsheets/d/1tpwhWwkqkBeiSWCcfB5f2fbwPRbM9hHOEDSDHpl2MIc/edit?usp=sharing"",""นครปฐม!J732"")"),0)</f>
        <v>0</v>
      </c>
      <c r="BP60" s="181">
        <f ca="1">IFERROR(__xludf.DUMMYFUNCTION("IMPORTRANGE(""https://docs.google.com/spreadsheets/d/1tpwhWwkqkBeiSWCcfB5f2fbwPRbM9hHOEDSDHpl2MIc/edit?usp=sharing"",""นครปฐม!J733"")"),0)</f>
        <v>0</v>
      </c>
      <c r="BQ60" s="181">
        <f ca="1">IFERROR(__xludf.DUMMYFUNCTION("IMPORTRANGE(""https://docs.google.com/spreadsheets/d/1tpwhWwkqkBeiSWCcfB5f2fbwPRbM9hHOEDSDHpl2MIc/edit?usp=sharing"",""นครปฐม!J734"")"),0)</f>
        <v>0</v>
      </c>
      <c r="BR60" s="181">
        <f ca="1">IFERROR(__xludf.DUMMYFUNCTION("IMPORTRANGE(""https://docs.google.com/spreadsheets/d/1tpwhWwkqkBeiSWCcfB5f2fbwPRbM9hHOEDSDHpl2MIc/edit?usp=sharing"",""นครปฐม!J735"")"),0)</f>
        <v>0</v>
      </c>
    </row>
    <row r="61" spans="1:70" ht="21" customHeight="1" x14ac:dyDescent="0.3">
      <c r="A61" s="178">
        <v>9</v>
      </c>
      <c r="B61" s="179" t="s">
        <v>78</v>
      </c>
      <c r="C61" s="180">
        <f t="shared" ca="1" si="70"/>
        <v>79450</v>
      </c>
      <c r="D61" s="181">
        <f ca="1">IFERROR(__xludf.DUMMYFUNCTION("IMPORTRANGE(""https://docs.google.com/spreadsheets/d/1fJJCVBkBnhriyv0Cp5ZFMr0I_yrfdEITNpb4zILJgUQ/edit?usp=sharing"",""ปทุมธานี!L690"")"),79450)</f>
        <v>79450</v>
      </c>
      <c r="E61" s="187">
        <f ca="1">IFERROR(__xludf.DUMMYFUNCTION("IMPORTRANGE(""https://docs.google.com/spreadsheets/d/1fJJCVBkBnhriyv0Cp5ZFMr0I_yrfdEITNpb4zILJgUQ/edit?usp=sharing"",""ปทุมธานี!L697"")"),0)</f>
        <v>0</v>
      </c>
      <c r="F61" s="182">
        <f t="shared" ca="1" si="1"/>
        <v>3360</v>
      </c>
      <c r="G61" s="183">
        <f t="shared" ca="1" si="2"/>
        <v>4.2290748898678414</v>
      </c>
      <c r="H61" s="184">
        <f t="shared" ca="1" si="71"/>
        <v>3360</v>
      </c>
      <c r="I61" s="187">
        <f ca="1">IFERROR(__xludf.DUMMYFUNCTION("IMPORTRANGE(""https://docs.google.com/spreadsheets/d/1fJJCVBkBnhriyv0Cp5ZFMr0I_yrfdEITNpb4zILJgUQ/edit?usp=sharing"",""ปทุมธานี!N691"")"),0)</f>
        <v>0</v>
      </c>
      <c r="J61" s="187">
        <f ca="1">IFERROR(__xludf.DUMMYFUNCTION("IMPORTRANGE(""https://docs.google.com/spreadsheets/d/1fJJCVBkBnhriyv0Cp5ZFMr0I_yrfdEITNpb4zILJgUQ/edit?usp=sharing"",""ปทุมธานี!N692"")"),0)</f>
        <v>0</v>
      </c>
      <c r="K61" s="187">
        <f ca="1">IFERROR(__xludf.DUMMYFUNCTION("IMPORTRANGE(""https://docs.google.com/spreadsheets/d/1fJJCVBkBnhriyv0Cp5ZFMr0I_yrfdEITNpb4zILJgUQ/edit?usp=sharing"",""ปทุมธานี!N693"")"),0)</f>
        <v>0</v>
      </c>
      <c r="L61" s="187">
        <f ca="1">IFERROR(__xludf.DUMMYFUNCTION("IMPORTRANGE(""https://docs.google.com/spreadsheets/d/1fJJCVBkBnhriyv0Cp5ZFMr0I_yrfdEITNpb4zILJgUQ/edit?usp=sharing"",""ปทุมธานี!N694"")"),3360)</f>
        <v>3360</v>
      </c>
      <c r="M61" s="185">
        <f ca="1">IFERROR(__xludf.DUMMYFUNCTION("IMPORTRANGE(""https://docs.google.com/spreadsheets/d/1fJJCVBkBnhriyv0Cp5ZFMr0I_yrfdEITNpb4zILJgUQ/edit?usp=sharing"",""ปทุมธานี!N697"")"),0)</f>
        <v>0</v>
      </c>
      <c r="N61" s="185">
        <f t="shared" ca="1" si="37"/>
        <v>0</v>
      </c>
      <c r="O61" s="181">
        <f ca="1">IFERROR(__xludf.DUMMYFUNCTION("IMPORTRANGE(""https://docs.google.com/spreadsheets/d/1fJJCVBkBnhriyv0Cp5ZFMr0I_yrfdEITNpb4zILJgUQ/edit?usp=sharing"",""ปทุมธานี!I699"")"),0)</f>
        <v>0</v>
      </c>
      <c r="P61" s="181">
        <f ca="1">IFERROR(__xludf.DUMMYFUNCTION("IMPORTRANGE(""https://docs.google.com/spreadsheets/d/1fJJCVBkBnhriyv0Cp5ZFMr0I_yrfdEITNpb4zILJgUQ/edit?usp=sharing"",""ปทุมธานี!J699"")"),0)</f>
        <v>0</v>
      </c>
      <c r="Q61" s="186">
        <f t="shared" ca="1" si="31"/>
        <v>0</v>
      </c>
      <c r="R61" s="181">
        <f ca="1">IFERROR(__xludf.DUMMYFUNCTION("IMPORTRANGE(""https://docs.google.com/spreadsheets/d/1fJJCVBkBnhriyv0Cp5ZFMr0I_yrfdEITNpb4zILJgUQ/edit?usp=sharing"",""ปทุมธานี!I700"")"),0)</f>
        <v>0</v>
      </c>
      <c r="S61" s="181">
        <f ca="1">IFERROR(__xludf.DUMMYFUNCTION("IMPORTRANGE(""https://docs.google.com/spreadsheets/d/1fJJCVBkBnhriyv0Cp5ZFMr0I_yrfdEITNpb4zILJgUQ/edit?usp=sharing"",""ปทุมธานี!J700"")"),0)</f>
        <v>0</v>
      </c>
      <c r="T61" s="186">
        <f t="shared" ca="1" si="32"/>
        <v>0</v>
      </c>
      <c r="U61" s="181">
        <f ca="1">IFERROR(__xludf.DUMMYFUNCTION("IMPORTRANGE(""https://docs.google.com/spreadsheets/d/1fJJCVBkBnhriyv0Cp5ZFMr0I_yrfdEITNpb4zILJgUQ/edit?usp=sharing"",""ปทุมธานี!I701"")"),300)</f>
        <v>300</v>
      </c>
      <c r="V61" s="181">
        <f ca="1">IFERROR(__xludf.DUMMYFUNCTION("IMPORTRANGE(""https://docs.google.com/spreadsheets/d/1fJJCVBkBnhriyv0Cp5ZFMr0I_yrfdEITNpb4zILJgUQ/edit?usp=sharing"",""ปทุมธานี!J701"")"),0)</f>
        <v>0</v>
      </c>
      <c r="W61" s="186">
        <f t="shared" ca="1" si="33"/>
        <v>0</v>
      </c>
      <c r="X61" s="186">
        <f ca="1">IFERROR(__xludf.DUMMYFUNCTION("IMPORTRANGE(""https://docs.google.com/spreadsheets/d/1fJJCVBkBnhriyv0Cp5ZFMr0I_yrfdEITNpb4zILJgUQ/edit?usp=sharing"",""ปทุมธานี!J702"")"),0)</f>
        <v>0</v>
      </c>
      <c r="Y61" s="186">
        <f ca="1">IFERROR(__xludf.DUMMYFUNCTION("IMPORTRANGE(""https://docs.google.com/spreadsheets/d/1fJJCVBkBnhriyv0Cp5ZFMr0I_yrfdEITNpb4zILJgUQ/edit?usp=sharing"",""ปทุมธานี!J703"")"),0)</f>
        <v>0</v>
      </c>
      <c r="Z61" s="186">
        <f ca="1">IFERROR(__xludf.DUMMYFUNCTION("IMPORTRANGE(""https://docs.google.com/spreadsheets/d/1fJJCVBkBnhriyv0Cp5ZFMr0I_yrfdEITNpb4zILJgUQ/edit?usp=sharing"",""ปทุมธานี!J704"")"),0)</f>
        <v>0</v>
      </c>
      <c r="AA61" s="186">
        <f ca="1">IFERROR(__xludf.DUMMYFUNCTION("IMPORTRANGE(""https://docs.google.com/spreadsheets/d/1fJJCVBkBnhriyv0Cp5ZFMr0I_yrfdEITNpb4zILJgUQ/edit?usp=sharing"",""ปทุมธานี!J705"")"),0)</f>
        <v>0</v>
      </c>
      <c r="AB61" s="186">
        <f ca="1">IFERROR(__xludf.DUMMYFUNCTION("IMPORTRANGE(""https://docs.google.com/spreadsheets/d/1fJJCVBkBnhriyv0Cp5ZFMr0I_yrfdEITNpb4zILJgUQ/edit?usp=sharing"",""ปทุมธานี!J706"")"),0)</f>
        <v>0</v>
      </c>
      <c r="AC61" s="186">
        <f ca="1">IFERROR(__xludf.DUMMYFUNCTION("IMPORTRANGE(""https://docs.google.com/spreadsheets/d/1fJJCVBkBnhriyv0Cp5ZFMr0I_yrfdEITNpb4zILJgUQ/edit?usp=sharing"",""ปทุมธานี!J707"")"),0)</f>
        <v>0</v>
      </c>
      <c r="AD61" s="181">
        <f ca="1">IFERROR(__xludf.DUMMYFUNCTION("IMPORTRANGE(""https://docs.google.com/spreadsheets/d/1fJJCVBkBnhriyv0Cp5ZFMr0I_yrfdEITNpb4zILJgUQ/edit?usp=sharing"",""ปทุมธานี!I708"")"),535)</f>
        <v>535</v>
      </c>
      <c r="AE61" s="181">
        <f ca="1">IFERROR(__xludf.DUMMYFUNCTION("IMPORTRANGE(""https://docs.google.com/spreadsheets/d/1fJJCVBkBnhriyv0Cp5ZFMr0I_yrfdEITNpb4zILJgUQ/edit?usp=sharing"",""ปทุมธานี!J708"")"),132.317)</f>
        <v>132.31700000000001</v>
      </c>
      <c r="AF61" s="186">
        <f t="shared" ca="1" si="34"/>
        <v>24.732149532710281</v>
      </c>
      <c r="AG61" s="181">
        <f ca="1">IFERROR(__xludf.DUMMYFUNCTION("IMPORTRANGE(""https://docs.google.com/spreadsheets/d/1fJJCVBkBnhriyv0Cp5ZFMr0I_yrfdEITNpb4zILJgUQ/edit?usp=sharing"",""ปทุมธานี!J709"")"),0)</f>
        <v>0</v>
      </c>
      <c r="AH61" s="181" t="str">
        <f ca="1">IFERROR(__xludf.DUMMYFUNCTION("IMPORTRANGE(""https://docs.google.com/spreadsheets/d/1fJJCVBkBnhriyv0Cp5ZFMr0I_yrfdEITNpb4zILJgUQ/edit?usp=sharing"",""ปทุมธานี!J710"")"),"")</f>
        <v/>
      </c>
      <c r="AI61" s="181">
        <f ca="1">IFERROR(__xludf.DUMMYFUNCTION("IMPORTRANGE(""https://docs.google.com/spreadsheets/d/1fJJCVBkBnhriyv0Cp5ZFMr0I_yrfdEITNpb4zILJgUQ/edit?usp=sharing"",""ปทุมธานี!J712"")"),7)</f>
        <v>7</v>
      </c>
      <c r="AJ61" s="181">
        <f ca="1">IFERROR(__xludf.DUMMYFUNCTION("IMPORTRANGE(""https://docs.google.com/spreadsheets/d/1fJJCVBkBnhriyv0Cp5ZFMr0I_yrfdEITNpb4zILJgUQ/edit?usp=sharing"",""ปทุมธานี!J713"")"),7)</f>
        <v>7</v>
      </c>
      <c r="AK61" s="181">
        <f ca="1">IFERROR(__xludf.DUMMYFUNCTION("IMPORTRANGE(""https://docs.google.com/spreadsheets/d/1fJJCVBkBnhriyv0Cp5ZFMr0I_yrfdEITNpb4zILJgUQ/edit?usp=sharing"",""ปทุมธานี!J714"")"),132.317)</f>
        <v>132.31700000000001</v>
      </c>
      <c r="AL61" s="181">
        <f ca="1">IFERROR(__xludf.DUMMYFUNCTION("IMPORTRANGE(""https://docs.google.com/spreadsheets/d/1fJJCVBkBnhriyv0Cp5ZFMr0I_yrfdEITNpb4zILJgUQ/edit?usp=sharing"",""ปทุมธานี!J715"")"),0)</f>
        <v>0</v>
      </c>
      <c r="AM61" s="181">
        <f ca="1">IFERROR(__xludf.DUMMYFUNCTION("IMPORTRANGE(""https://docs.google.com/spreadsheets/d/1fJJCVBkBnhriyv0Cp5ZFMr0I_yrfdEITNpb4zILJgUQ/edit?usp=sharing"",""ปทุมธานี!J716"")"),0)</f>
        <v>0</v>
      </c>
      <c r="AN61" s="181">
        <f ca="1">IFERROR(__xludf.DUMMYFUNCTION("IMPORTRANGE(""https://docs.google.com/spreadsheets/d/1fJJCVBkBnhriyv0Cp5ZFMr0I_yrfdEITNpb4zILJgUQ/edit?usp=sharing"",""ปทุมธานี!J717"")"),0)</f>
        <v>0</v>
      </c>
      <c r="AO61" s="181">
        <f ca="1">IFERROR(__xludf.DUMMYFUNCTION("IMPORTRANGE(""https://docs.google.com/spreadsheets/d/1fJJCVBkBnhriyv0Cp5ZFMr0I_yrfdEITNpb4zILJgUQ/edit?usp=sharing"",""ปทุมธานี!I720"")"),585)</f>
        <v>585</v>
      </c>
      <c r="AP61" s="181">
        <f ca="1">IFERROR(__xludf.DUMMYFUNCTION("IMPORTRANGE(""https://docs.google.com/spreadsheets/d/1fJJCVBkBnhriyv0Cp5ZFMr0I_yrfdEITNpb4zILJgUQ/edit?usp=sharing"",""ปทุมธานี!J718"")"),0)</f>
        <v>0</v>
      </c>
      <c r="AQ61" s="181">
        <f ca="1">IFERROR(__xludf.DUMMYFUNCTION("IMPORTRANGE(""https://docs.google.com/spreadsheets/d/1fJJCVBkBnhriyv0Cp5ZFMr0I_yrfdEITNpb4zILJgUQ/edit?usp=sharing"",""ปทุมธานี!J719"")"),0)</f>
        <v>0</v>
      </c>
      <c r="AR61" s="181">
        <f ca="1">IFERROR(__xludf.DUMMYFUNCTION("IMPORTRANGE(""https://docs.google.com/spreadsheets/d/1fJJCVBkBnhriyv0Cp5ZFMr0I_yrfdEITNpb4zILJgUQ/edit?usp=sharing"",""ปทุมธานี!J720"")"),0)</f>
        <v>0</v>
      </c>
      <c r="AS61" s="186">
        <f t="shared" ca="1" si="14"/>
        <v>0</v>
      </c>
      <c r="AT61" s="181">
        <f ca="1">IFERROR(__xludf.DUMMYFUNCTION("IMPORTRANGE(""https://docs.google.com/spreadsheets/d/1fJJCVBkBnhriyv0Cp5ZFMr0I_yrfdEITNpb4zILJgUQ/edit?usp=sharing"",""ปทุมธานี!I721"")"),60)</f>
        <v>60</v>
      </c>
      <c r="AU61" s="181">
        <f ca="1">IFERROR(__xludf.DUMMYFUNCTION("IMPORTRANGE(""https://docs.google.com/spreadsheets/d/1fJJCVBkBnhriyv0Cp5ZFMr0I_yrfdEITNpb4zILJgUQ/edit?usp=sharing"",""ปทุมธานี!I722"")"),730)</f>
        <v>730</v>
      </c>
      <c r="AV61" s="181">
        <f ca="1">IFERROR(__xludf.DUMMYFUNCTION("IMPORTRANGE(""https://docs.google.com/spreadsheets/d/1fJJCVBkBnhriyv0Cp5ZFMr0I_yrfdEITNpb4zILJgUQ/edit?usp=sharing"",""ปทุมธานี!J721"")"),1)</f>
        <v>1</v>
      </c>
      <c r="AW61" s="186">
        <f t="shared" ca="1" si="16"/>
        <v>1.6666666666666667</v>
      </c>
      <c r="AX61" s="181">
        <f ca="1">IFERROR(__xludf.DUMMYFUNCTION("IMPORTRANGE(""https://docs.google.com/spreadsheets/d/1fJJCVBkBnhriyv0Cp5ZFMr0I_yrfdEITNpb4zILJgUQ/edit?usp=sharing"",""ปทุมธานี!J722"")"),23.97)</f>
        <v>23.97</v>
      </c>
      <c r="AY61" s="186">
        <f t="shared" ca="1" si="17"/>
        <v>3.2835616438356166</v>
      </c>
      <c r="AZ61" s="181">
        <f ca="1">IFERROR(__xludf.DUMMYFUNCTION("IMPORTRANGE(""https://docs.google.com/spreadsheets/d/1fJJCVBkBnhriyv0Cp5ZFMr0I_yrfdEITNpb4zILJgUQ/edit?usp=sharing"",""ปทุมธานี!I723"")"),30)</f>
        <v>30</v>
      </c>
      <c r="BA61" s="181">
        <f ca="1">IFERROR(__xludf.DUMMYFUNCTION("IMPORTRANGE(""https://docs.google.com/spreadsheets/d/1fJJCVBkBnhriyv0Cp5ZFMr0I_yrfdEITNpb4zILJgUQ/edit?usp=sharing"",""ปทุมธานี!I725"")"),410)</f>
        <v>410</v>
      </c>
      <c r="BB61" s="181">
        <f ca="1">IFERROR(__xludf.DUMMYFUNCTION("IMPORTRANGE(""https://docs.google.com/spreadsheets/d/1fJJCVBkBnhriyv0Cp5ZFMr0I_yrfdEITNpb4zILJgUQ/edit?usp=sharing"",""ปทุมธานี!J723"")"),1)</f>
        <v>1</v>
      </c>
      <c r="BC61" s="181">
        <f ca="1">IFERROR(__xludf.DUMMYFUNCTION("IMPORTRANGE(""https://docs.google.com/spreadsheets/d/1fJJCVBkBnhriyv0Cp5ZFMr0I_yrfdEITNpb4zILJgUQ/edit?usp=sharing"",""ปทุมธานี!J724"")"),1)</f>
        <v>1</v>
      </c>
      <c r="BD61" s="181">
        <f ca="1">IFERROR(__xludf.DUMMYFUNCTION("IMPORTRANGE(""https://docs.google.com/spreadsheets/d/1fJJCVBkBnhriyv0Cp5ZFMr0I_yrfdEITNpb4zILJgUQ/edit?usp=sharing"",""ปทุมธานี!J725"")"),23.97)</f>
        <v>23.97</v>
      </c>
      <c r="BE61" s="181">
        <f ca="1">IFERROR(__xludf.DUMMYFUNCTION("IMPORTRANGE(""https://docs.google.com/spreadsheets/d/1fJJCVBkBnhriyv0Cp5ZFMr0I_yrfdEITNpb4zILJgUQ/edit?usp=sharing"",""ปทุมธานี!I726"")"),30)</f>
        <v>30</v>
      </c>
      <c r="BF61" s="181">
        <f ca="1">IFERROR(__xludf.DUMMYFUNCTION("IMPORTRANGE(""https://docs.google.com/spreadsheets/d/1fJJCVBkBnhriyv0Cp5ZFMr0I_yrfdEITNpb4zILJgUQ/edit?usp=sharing"",""ปทุมธานี!I728"")"),320)</f>
        <v>320</v>
      </c>
      <c r="BG61" s="181">
        <f ca="1">IFERROR(__xludf.DUMMYFUNCTION("IMPORTRANGE(""https://docs.google.com/spreadsheets/d/1fJJCVBkBnhriyv0Cp5ZFMr0I_yrfdEITNpb4zILJgUQ/edit?usp=sharing"",""ปทุมธานี!J726"")"),0)</f>
        <v>0</v>
      </c>
      <c r="BH61" s="181">
        <f ca="1">IFERROR(__xludf.DUMMYFUNCTION("IMPORTRANGE(""https://docs.google.com/spreadsheets/d/1fJJCVBkBnhriyv0Cp5ZFMr0I_yrfdEITNpb4zILJgUQ/edit?usp=sharing"",""ปทุมธานี!J727"")"),0)</f>
        <v>0</v>
      </c>
      <c r="BI61" s="181">
        <f ca="1">IFERROR(__xludf.DUMMYFUNCTION("IMPORTRANGE(""https://docs.google.com/spreadsheets/d/1fJJCVBkBnhriyv0Cp5ZFMr0I_yrfdEITNpb4zILJgUQ/edit?usp=sharing"",""ปทุมธานี!J728"")"),0)</f>
        <v>0</v>
      </c>
      <c r="BJ61" s="181">
        <f ca="1">IFERROR(__xludf.DUMMYFUNCTION("IMPORTRANGE(""https://docs.google.com/spreadsheets/d/1fJJCVBkBnhriyv0Cp5ZFMr0I_yrfdEITNpb4zILJgUQ/edit?usp=sharing"",""ปทุมธานี!I729"")"),50)</f>
        <v>50</v>
      </c>
      <c r="BK61" s="181">
        <f ca="1">IFERROR(__xludf.DUMMYFUNCTION("IMPORTRANGE(""https://docs.google.com/spreadsheets/d/1fJJCVBkBnhriyv0Cp5ZFMr0I_yrfdEITNpb4zILJgUQ/edit?usp=sharing"",""ปทุมธานี!J729"")"),0)</f>
        <v>0</v>
      </c>
      <c r="BL61" s="186">
        <f t="shared" ca="1" si="19"/>
        <v>0</v>
      </c>
      <c r="BM61" s="181">
        <f ca="1">IFERROR(__xludf.DUMMYFUNCTION("IMPORTRANGE(""https://docs.google.com/spreadsheets/d/1fJJCVBkBnhriyv0Cp5ZFMr0I_yrfdEITNpb4zILJgUQ/edit?usp=sharing"",""ปทุมธานี!J730"")"),0)</f>
        <v>0</v>
      </c>
      <c r="BN61" s="181">
        <f ca="1">IFERROR(__xludf.DUMMYFUNCTION("IMPORTRANGE(""https://docs.google.com/spreadsheets/d/1fJJCVBkBnhriyv0Cp5ZFMr0I_yrfdEITNpb4zILJgUQ/edit?usp=sharing"",""ปทุมธานี!J731"")"),0)</f>
        <v>0</v>
      </c>
      <c r="BO61" s="181">
        <f ca="1">IFERROR(__xludf.DUMMYFUNCTION("IMPORTRANGE(""https://docs.google.com/spreadsheets/d/1fJJCVBkBnhriyv0Cp5ZFMr0I_yrfdEITNpb4zILJgUQ/edit?usp=sharing"",""ปทุมธานี!J732"")"),0)</f>
        <v>0</v>
      </c>
      <c r="BP61" s="181">
        <f ca="1">IFERROR(__xludf.DUMMYFUNCTION("IMPORTRANGE(""https://docs.google.com/spreadsheets/d/1fJJCVBkBnhriyv0Cp5ZFMr0I_yrfdEITNpb4zILJgUQ/edit?usp=sharing"",""ปทุมธานี!J733"")"),0)</f>
        <v>0</v>
      </c>
      <c r="BQ61" s="181">
        <f ca="1">IFERROR(__xludf.DUMMYFUNCTION("IMPORTRANGE(""https://docs.google.com/spreadsheets/d/1fJJCVBkBnhriyv0Cp5ZFMr0I_yrfdEITNpb4zILJgUQ/edit?usp=sharing"",""ปทุมธานี!J734"")"),0)</f>
        <v>0</v>
      </c>
      <c r="BR61" s="181">
        <f ca="1">IFERROR(__xludf.DUMMYFUNCTION("IMPORTRANGE(""https://docs.google.com/spreadsheets/d/1fJJCVBkBnhriyv0Cp5ZFMr0I_yrfdEITNpb4zILJgUQ/edit?usp=sharing"",""ปทุมธานี!J735"")"),0)</f>
        <v>0</v>
      </c>
    </row>
    <row r="62" spans="1:70" ht="21" customHeight="1" x14ac:dyDescent="0.3">
      <c r="A62" s="178">
        <v>10</v>
      </c>
      <c r="B62" s="179" t="s">
        <v>79</v>
      </c>
      <c r="C62" s="180">
        <f t="shared" ca="1" si="70"/>
        <v>0</v>
      </c>
      <c r="D62" s="206">
        <f ca="1">IFERROR(__xludf.DUMMYFUNCTION("IMPORTRANGE(""https://docs.google.com/spreadsheets/d/1W5Jj_S0gYw6wSO7QcMI02YgyOBDKYgmm0NSUk-AQEac/edit?usp=sharing"",""ประจวบคีรีขันธ์!L690"")"),0)</f>
        <v>0</v>
      </c>
      <c r="E62" s="187">
        <f ca="1">IFERROR(__xludf.DUMMYFUNCTION("IMPORTRANGE(""https://docs.google.com/spreadsheets/d/1W5Jj_S0gYw6wSO7QcMI02YgyOBDKYgmm0NSUk-AQEac/edit?usp=sharing"",""ประจวบคีรีขันธ์!L697"")"),0)</f>
        <v>0</v>
      </c>
      <c r="F62" s="182">
        <f t="shared" ca="1" si="1"/>
        <v>0</v>
      </c>
      <c r="G62" s="183">
        <f t="shared" ca="1" si="2"/>
        <v>0</v>
      </c>
      <c r="H62" s="184">
        <f t="shared" ca="1" si="71"/>
        <v>0</v>
      </c>
      <c r="I62" s="187">
        <f ca="1">IFERROR(__xludf.DUMMYFUNCTION("IMPORTRANGE(""https://docs.google.com/spreadsheets/d/1W5Jj_S0gYw6wSO7QcMI02YgyOBDKYgmm0NSUk-AQEac/edit?usp=sharing"",""ประจวบคีรีขันธ์!N691"")"),0)</f>
        <v>0</v>
      </c>
      <c r="J62" s="187">
        <f ca="1">IFERROR(__xludf.DUMMYFUNCTION("IMPORTRANGE(""https://docs.google.com/spreadsheets/d/1W5Jj_S0gYw6wSO7QcMI02YgyOBDKYgmm0NSUk-AQEac/edit?usp=sharing"",""ประจวบคีรีขันธ์!N692"")"),0)</f>
        <v>0</v>
      </c>
      <c r="K62" s="187">
        <f ca="1">IFERROR(__xludf.DUMMYFUNCTION("IMPORTRANGE(""https://docs.google.com/spreadsheets/d/1W5Jj_S0gYw6wSO7QcMI02YgyOBDKYgmm0NSUk-AQEac/edit?usp=sharing"",""ประจวบคีรีขันธ์!N693"")"),0)</f>
        <v>0</v>
      </c>
      <c r="L62" s="187">
        <f ca="1">IFERROR(__xludf.DUMMYFUNCTION("IMPORTRANGE(""https://docs.google.com/spreadsheets/d/1W5Jj_S0gYw6wSO7QcMI02YgyOBDKYgmm0NSUk-AQEac/edit?usp=sharing"",""ประจวบคีรีขันธ์!N694"")"),0)</f>
        <v>0</v>
      </c>
      <c r="M62" s="185">
        <f ca="1">IFERROR(__xludf.DUMMYFUNCTION("IMPORTRANGE(""https://docs.google.com/spreadsheets/d/1W5Jj_S0gYw6wSO7QcMI02YgyOBDKYgmm0NSUk-AQEac/edit?usp=sharing"",""ประจวบคีรีขันธ์!N697"")"),0)</f>
        <v>0</v>
      </c>
      <c r="N62" s="185">
        <f t="shared" ca="1" si="37"/>
        <v>0</v>
      </c>
      <c r="O62" s="181">
        <f ca="1">IFERROR(__xludf.DUMMYFUNCTION("IMPORTRANGE(""https://docs.google.com/spreadsheets/d/1W5Jj_S0gYw6wSO7QcMI02YgyOBDKYgmm0NSUk-AQEac/edit?usp=sharing"",""ประจวบคีรีขันธ์!I699"")"),0)</f>
        <v>0</v>
      </c>
      <c r="P62" s="181">
        <f ca="1">IFERROR(__xludf.DUMMYFUNCTION("IMPORTRANGE(""https://docs.google.com/spreadsheets/d/1W5Jj_S0gYw6wSO7QcMI02YgyOBDKYgmm0NSUk-AQEac/edit?usp=sharing"",""ประจวบคีรีขันธ์!J699"")"),0)</f>
        <v>0</v>
      </c>
      <c r="Q62" s="186">
        <f t="shared" ca="1" si="31"/>
        <v>0</v>
      </c>
      <c r="R62" s="181">
        <f ca="1">IFERROR(__xludf.DUMMYFUNCTION("IMPORTRANGE(""https://docs.google.com/spreadsheets/d/1W5Jj_S0gYw6wSO7QcMI02YgyOBDKYgmm0NSUk-AQEac/edit?usp=sharing"",""ประจวบคีรีขันธ์!I700"")"),0)</f>
        <v>0</v>
      </c>
      <c r="S62" s="181">
        <f ca="1">IFERROR(__xludf.DUMMYFUNCTION("IMPORTRANGE(""https://docs.google.com/spreadsheets/d/1W5Jj_S0gYw6wSO7QcMI02YgyOBDKYgmm0NSUk-AQEac/edit?usp=sharing"",""ประจวบคีรีขันธ์!J700"")"),0)</f>
        <v>0</v>
      </c>
      <c r="T62" s="186">
        <f t="shared" ca="1" si="32"/>
        <v>0</v>
      </c>
      <c r="U62" s="181">
        <f ca="1">IFERROR(__xludf.DUMMYFUNCTION("IMPORTRANGE(""https://docs.google.com/spreadsheets/d/1W5Jj_S0gYw6wSO7QcMI02YgyOBDKYgmm0NSUk-AQEac/edit?usp=sharing"",""ประจวบคีรีขันธ์!I701"")"),0)</f>
        <v>0</v>
      </c>
      <c r="V62" s="181">
        <f ca="1">IFERROR(__xludf.DUMMYFUNCTION("IMPORTRANGE(""https://docs.google.com/spreadsheets/d/1W5Jj_S0gYw6wSO7QcMI02YgyOBDKYgmm0NSUk-AQEac/edit?usp=sharing"",""ประจวบคีรีขันธ์!J701"")"),0)</f>
        <v>0</v>
      </c>
      <c r="W62" s="186">
        <f t="shared" ca="1" si="33"/>
        <v>0</v>
      </c>
      <c r="X62" s="186">
        <f ca="1">IFERROR(__xludf.DUMMYFUNCTION("IMPORTRANGE(""https://docs.google.com/spreadsheets/d/1W5Jj_S0gYw6wSO7QcMI02YgyOBDKYgmm0NSUk-AQEac/edit?usp=sharing"",""ประจวบคีรีขันธ์!J702"")"),0)</f>
        <v>0</v>
      </c>
      <c r="Y62" s="186">
        <f ca="1">IFERROR(__xludf.DUMMYFUNCTION("IMPORTRANGE(""https://docs.google.com/spreadsheets/d/1W5Jj_S0gYw6wSO7QcMI02YgyOBDKYgmm0NSUk-AQEac/edit?usp=sharing"",""ประจวบคีรีขันธ์!J703"")"),0)</f>
        <v>0</v>
      </c>
      <c r="Z62" s="186">
        <f ca="1">IFERROR(__xludf.DUMMYFUNCTION("IMPORTRANGE(""https://docs.google.com/spreadsheets/d/1W5Jj_S0gYw6wSO7QcMI02YgyOBDKYgmm0NSUk-AQEac/edit?usp=sharing"",""ประจวบคีรีขันธ์!J704"")"),0)</f>
        <v>0</v>
      </c>
      <c r="AA62" s="186">
        <f ca="1">IFERROR(__xludf.DUMMYFUNCTION("IMPORTRANGE(""https://docs.google.com/spreadsheets/d/1W5Jj_S0gYw6wSO7QcMI02YgyOBDKYgmm0NSUk-AQEac/edit?usp=sharing"",""ประจวบคีรีขันธ์!J705"")"),0)</f>
        <v>0</v>
      </c>
      <c r="AB62" s="186">
        <f ca="1">IFERROR(__xludf.DUMMYFUNCTION("IMPORTRANGE(""https://docs.google.com/spreadsheets/d/1W5Jj_S0gYw6wSO7QcMI02YgyOBDKYgmm0NSUk-AQEac/edit?usp=sharing"",""ประจวบคีรีขันธ์!J706"")"),0)</f>
        <v>0</v>
      </c>
      <c r="AC62" s="186">
        <f ca="1">IFERROR(__xludf.DUMMYFUNCTION("IMPORTRANGE(""https://docs.google.com/spreadsheets/d/1W5Jj_S0gYw6wSO7QcMI02YgyOBDKYgmm0NSUk-AQEac/edit?usp=sharing"",""ประจวบคีรีขันธ์!J707"")"),0)</f>
        <v>0</v>
      </c>
      <c r="AD62" s="181">
        <f ca="1">IFERROR(__xludf.DUMMYFUNCTION("IMPORTRANGE(""https://docs.google.com/spreadsheets/d/1W5Jj_S0gYw6wSO7QcMI02YgyOBDKYgmm0NSUk-AQEac/edit?usp=sharing"",""ประจวบคีรีขันธ์!I708"")"),0)</f>
        <v>0</v>
      </c>
      <c r="AE62" s="181">
        <f ca="1">IFERROR(__xludf.DUMMYFUNCTION("IMPORTRANGE(""https://docs.google.com/spreadsheets/d/1W5Jj_S0gYw6wSO7QcMI02YgyOBDKYgmm0NSUk-AQEac/edit?usp=sharing"",""ประจวบคีรีขันธ์!J708"")"),0)</f>
        <v>0</v>
      </c>
      <c r="AF62" s="186">
        <f t="shared" ca="1" si="34"/>
        <v>0</v>
      </c>
      <c r="AG62" s="181">
        <f ca="1">IFERROR(__xludf.DUMMYFUNCTION("IMPORTRANGE(""https://docs.google.com/spreadsheets/d/1W5Jj_S0gYw6wSO7QcMI02YgyOBDKYgmm0NSUk-AQEac/edit?usp=sharing"",""ประจวบคีรีขันธ์!J709"")"),0)</f>
        <v>0</v>
      </c>
      <c r="AH62" s="181">
        <f ca="1">IFERROR(__xludf.DUMMYFUNCTION("IMPORTRANGE(""https://docs.google.com/spreadsheets/d/1W5Jj_S0gYw6wSO7QcMI02YgyOBDKYgmm0NSUk-AQEac/edit?usp=sharing"",""ประจวบคีรีขันธ์!J710"")"),0)</f>
        <v>0</v>
      </c>
      <c r="AI62" s="181">
        <f ca="1">IFERROR(__xludf.DUMMYFUNCTION("IMPORTRANGE(""https://docs.google.com/spreadsheets/d/1W5Jj_S0gYw6wSO7QcMI02YgyOBDKYgmm0NSUk-AQEac/edit?usp=sharing"",""ประจวบคีรีขันธ์!J712"")"),0)</f>
        <v>0</v>
      </c>
      <c r="AJ62" s="181">
        <f ca="1">IFERROR(__xludf.DUMMYFUNCTION("IMPORTRANGE(""https://docs.google.com/spreadsheets/d/1W5Jj_S0gYw6wSO7QcMI02YgyOBDKYgmm0NSUk-AQEac/edit?usp=sharing"",""ประจวบคีรีขันธ์!J713"")"),0)</f>
        <v>0</v>
      </c>
      <c r="AK62" s="181">
        <f ca="1">IFERROR(__xludf.DUMMYFUNCTION("IMPORTRANGE(""https://docs.google.com/spreadsheets/d/1W5Jj_S0gYw6wSO7QcMI02YgyOBDKYgmm0NSUk-AQEac/edit?usp=sharing"",""ประจวบคีรีขันธ์!J714"")"),0)</f>
        <v>0</v>
      </c>
      <c r="AL62" s="181">
        <f ca="1">IFERROR(__xludf.DUMMYFUNCTION("IMPORTRANGE(""https://docs.google.com/spreadsheets/d/1W5Jj_S0gYw6wSO7QcMI02YgyOBDKYgmm0NSUk-AQEac/edit?usp=sharing"",""ประจวบคีรีขันธ์!J715"")"),0)</f>
        <v>0</v>
      </c>
      <c r="AM62" s="181">
        <f ca="1">IFERROR(__xludf.DUMMYFUNCTION("IMPORTRANGE(""https://docs.google.com/spreadsheets/d/1W5Jj_S0gYw6wSO7QcMI02YgyOBDKYgmm0NSUk-AQEac/edit?usp=sharing"",""ประจวบคีรีขันธ์!J716"")"),0)</f>
        <v>0</v>
      </c>
      <c r="AN62" s="181">
        <f ca="1">IFERROR(__xludf.DUMMYFUNCTION("IMPORTRANGE(""https://docs.google.com/spreadsheets/d/1W5Jj_S0gYw6wSO7QcMI02YgyOBDKYgmm0NSUk-AQEac/edit?usp=sharing"",""ประจวบคีรีขันธ์!J717"")"),0)</f>
        <v>0</v>
      </c>
      <c r="AO62" s="181">
        <f ca="1">IFERROR(__xludf.DUMMYFUNCTION("IMPORTRANGE(""https://docs.google.com/spreadsheets/d/1W5Jj_S0gYw6wSO7QcMI02YgyOBDKYgmm0NSUk-AQEac/edit?usp=sharing"",""ประจวบคีรีขันธ์!I720"")"),0)</f>
        <v>0</v>
      </c>
      <c r="AP62" s="181">
        <f ca="1">IFERROR(__xludf.DUMMYFUNCTION("IMPORTRANGE(""https://docs.google.com/spreadsheets/d/1W5Jj_S0gYw6wSO7QcMI02YgyOBDKYgmm0NSUk-AQEac/edit?usp=sharing"",""ประจวบคีรีขันธ์!J718"")"),0)</f>
        <v>0</v>
      </c>
      <c r="AQ62" s="181">
        <f ca="1">IFERROR(__xludf.DUMMYFUNCTION("IMPORTRANGE(""https://docs.google.com/spreadsheets/d/1W5Jj_S0gYw6wSO7QcMI02YgyOBDKYgmm0NSUk-AQEac/edit?usp=sharing"",""ประจวบคีรีขันธ์!J719"")"),0)</f>
        <v>0</v>
      </c>
      <c r="AR62" s="181">
        <f ca="1">IFERROR(__xludf.DUMMYFUNCTION("IMPORTRANGE(""https://docs.google.com/spreadsheets/d/1W5Jj_S0gYw6wSO7QcMI02YgyOBDKYgmm0NSUk-AQEac/edit?usp=sharing"",""ประจวบคีรีขันธ์!J720"")"),0)</f>
        <v>0</v>
      </c>
      <c r="AS62" s="186">
        <f t="shared" ca="1" si="14"/>
        <v>0</v>
      </c>
      <c r="AT62" s="181">
        <f ca="1">IFERROR(__xludf.DUMMYFUNCTION("IMPORTRANGE(""https://docs.google.com/spreadsheets/d/1W5Jj_S0gYw6wSO7QcMI02YgyOBDKYgmm0NSUk-AQEac/edit?usp=sharing"",""ประจวบคีรีขันธ์!I721"")"),0)</f>
        <v>0</v>
      </c>
      <c r="AU62" s="181">
        <f ca="1">IFERROR(__xludf.DUMMYFUNCTION("IMPORTRANGE(""https://docs.google.com/spreadsheets/d/1W5Jj_S0gYw6wSO7QcMI02YgyOBDKYgmm0NSUk-AQEac/edit?usp=sharing"",""ประจวบคีรีขันธ์!I722"")"),0)</f>
        <v>0</v>
      </c>
      <c r="AV62" s="181">
        <f ca="1">IFERROR(__xludf.DUMMYFUNCTION("IMPORTRANGE(""https://docs.google.com/spreadsheets/d/1W5Jj_S0gYw6wSO7QcMI02YgyOBDKYgmm0NSUk-AQEac/edit?usp=sharing"",""ประจวบคีรีขันธ์!J721"")"),0)</f>
        <v>0</v>
      </c>
      <c r="AW62" s="186">
        <f t="shared" ca="1" si="16"/>
        <v>0</v>
      </c>
      <c r="AX62" s="181">
        <f ca="1">IFERROR(__xludf.DUMMYFUNCTION("IMPORTRANGE(""https://docs.google.com/spreadsheets/d/1W5Jj_S0gYw6wSO7QcMI02YgyOBDKYgmm0NSUk-AQEac/edit?usp=sharing"",""ประจวบคีรีขันธ์!J722"")"),0)</f>
        <v>0</v>
      </c>
      <c r="AY62" s="186">
        <f t="shared" ca="1" si="17"/>
        <v>0</v>
      </c>
      <c r="AZ62" s="181">
        <f ca="1">IFERROR(__xludf.DUMMYFUNCTION("IMPORTRANGE(""https://docs.google.com/spreadsheets/d/1W5Jj_S0gYw6wSO7QcMI02YgyOBDKYgmm0NSUk-AQEac/edit?usp=sharing"",""ประจวบคีรีขันธ์!I723"")"),0)</f>
        <v>0</v>
      </c>
      <c r="BA62" s="181">
        <f ca="1">IFERROR(__xludf.DUMMYFUNCTION("IMPORTRANGE(""https://docs.google.com/spreadsheets/d/1W5Jj_S0gYw6wSO7QcMI02YgyOBDKYgmm0NSUk-AQEac/edit?usp=sharing"",""ประจวบคีรีขันธ์!I725"")"),0)</f>
        <v>0</v>
      </c>
      <c r="BB62" s="181">
        <f ca="1">IFERROR(__xludf.DUMMYFUNCTION("IMPORTRANGE(""https://docs.google.com/spreadsheets/d/1W5Jj_S0gYw6wSO7QcMI02YgyOBDKYgmm0NSUk-AQEac/edit?usp=sharing"",""ประจวบคีรีขันธ์!J723"")"),0)</f>
        <v>0</v>
      </c>
      <c r="BC62" s="181">
        <f ca="1">IFERROR(__xludf.DUMMYFUNCTION("IMPORTRANGE(""https://docs.google.com/spreadsheets/d/1W5Jj_S0gYw6wSO7QcMI02YgyOBDKYgmm0NSUk-AQEac/edit?usp=sharing"",""ประจวบคีรีขันธ์!J724"")"),0)</f>
        <v>0</v>
      </c>
      <c r="BD62" s="181">
        <f ca="1">IFERROR(__xludf.DUMMYFUNCTION("IMPORTRANGE(""https://docs.google.com/spreadsheets/d/1W5Jj_S0gYw6wSO7QcMI02YgyOBDKYgmm0NSUk-AQEac/edit?usp=sharing"",""ประจวบคีรีขันธ์!J725"")"),0)</f>
        <v>0</v>
      </c>
      <c r="BE62" s="181">
        <f ca="1">IFERROR(__xludf.DUMMYFUNCTION("IMPORTRANGE(""https://docs.google.com/spreadsheets/d/1W5Jj_S0gYw6wSO7QcMI02YgyOBDKYgmm0NSUk-AQEac/edit?usp=sharing"",""ประจวบคีรีขันธ์!I726"")"),0)</f>
        <v>0</v>
      </c>
      <c r="BF62" s="181">
        <f ca="1">IFERROR(__xludf.DUMMYFUNCTION("IMPORTRANGE(""https://docs.google.com/spreadsheets/d/1W5Jj_S0gYw6wSO7QcMI02YgyOBDKYgmm0NSUk-AQEac/edit?usp=sharing"",""ประจวบคีรีขันธ์!I728"")"),0)</f>
        <v>0</v>
      </c>
      <c r="BG62" s="181">
        <f ca="1">IFERROR(__xludf.DUMMYFUNCTION("IMPORTRANGE(""https://docs.google.com/spreadsheets/d/1W5Jj_S0gYw6wSO7QcMI02YgyOBDKYgmm0NSUk-AQEac/edit?usp=sharing"",""ประจวบคีรีขันธ์!J726"")"),0)</f>
        <v>0</v>
      </c>
      <c r="BH62" s="181">
        <f ca="1">IFERROR(__xludf.DUMMYFUNCTION("IMPORTRANGE(""https://docs.google.com/spreadsheets/d/1W5Jj_S0gYw6wSO7QcMI02YgyOBDKYgmm0NSUk-AQEac/edit?usp=sharing"",""ประจวบคีรีขันธ์!J727"")"),0)</f>
        <v>0</v>
      </c>
      <c r="BI62" s="181">
        <f ca="1">IFERROR(__xludf.DUMMYFUNCTION("IMPORTRANGE(""https://docs.google.com/spreadsheets/d/1W5Jj_S0gYw6wSO7QcMI02YgyOBDKYgmm0NSUk-AQEac/edit?usp=sharing"",""ประจวบคีรีขันธ์!J728"")"),0)</f>
        <v>0</v>
      </c>
      <c r="BJ62" s="181">
        <f ca="1">IFERROR(__xludf.DUMMYFUNCTION("IMPORTRANGE(""https://docs.google.com/spreadsheets/d/1W5Jj_S0gYw6wSO7QcMI02YgyOBDKYgmm0NSUk-AQEac/edit?usp=sharing"",""ประจวบคีรีขันธ์!I729"")"),0)</f>
        <v>0</v>
      </c>
      <c r="BK62" s="181">
        <f ca="1">IFERROR(__xludf.DUMMYFUNCTION("IMPORTRANGE(""https://docs.google.com/spreadsheets/d/1W5Jj_S0gYw6wSO7QcMI02YgyOBDKYgmm0NSUk-AQEac/edit?usp=sharing"",""ประจวบคีรีขันธ์!J729"")"),0)</f>
        <v>0</v>
      </c>
      <c r="BL62" s="186">
        <f t="shared" ca="1" si="19"/>
        <v>0</v>
      </c>
      <c r="BM62" s="181">
        <f ca="1">IFERROR(__xludf.DUMMYFUNCTION("IMPORTRANGE(""https://docs.google.com/spreadsheets/d/1W5Jj_S0gYw6wSO7QcMI02YgyOBDKYgmm0NSUk-AQEac/edit?usp=sharing"",""ประจวบคีรีขันธ์!J730"")"),0)</f>
        <v>0</v>
      </c>
      <c r="BN62" s="181">
        <f ca="1">IFERROR(__xludf.DUMMYFUNCTION("IMPORTRANGE(""https://docs.google.com/spreadsheets/d/1W5Jj_S0gYw6wSO7QcMI02YgyOBDKYgmm0NSUk-AQEac/edit?usp=sharing"",""ประจวบคีรีขันธ์!J731"")"),0)</f>
        <v>0</v>
      </c>
      <c r="BO62" s="181">
        <f ca="1">IFERROR(__xludf.DUMMYFUNCTION("IMPORTRANGE(""https://docs.google.com/spreadsheets/d/1W5Jj_S0gYw6wSO7QcMI02YgyOBDKYgmm0NSUk-AQEac/edit?usp=sharing"",""ประจวบคีรีขันธ์!J732"")"),0)</f>
        <v>0</v>
      </c>
      <c r="BP62" s="181">
        <f ca="1">IFERROR(__xludf.DUMMYFUNCTION("IMPORTRANGE(""https://docs.google.com/spreadsheets/d/1W5Jj_S0gYw6wSO7QcMI02YgyOBDKYgmm0NSUk-AQEac/edit?usp=sharing"",""ประจวบคีรีขันธ์!J733"")"),0)</f>
        <v>0</v>
      </c>
      <c r="BQ62" s="181">
        <f ca="1">IFERROR(__xludf.DUMMYFUNCTION("IMPORTRANGE(""https://docs.google.com/spreadsheets/d/1W5Jj_S0gYw6wSO7QcMI02YgyOBDKYgmm0NSUk-AQEac/edit?usp=sharing"",""ประจวบคีรีขันธ์!J734"")"),0)</f>
        <v>0</v>
      </c>
      <c r="BR62" s="181">
        <f ca="1">IFERROR(__xludf.DUMMYFUNCTION("IMPORTRANGE(""https://docs.google.com/spreadsheets/d/1W5Jj_S0gYw6wSO7QcMI02YgyOBDKYgmm0NSUk-AQEac/edit?usp=sharing"",""ประจวบคีรีขันธ์!J735"")"),0)</f>
        <v>0</v>
      </c>
    </row>
    <row r="63" spans="1:70" ht="21" customHeight="1" x14ac:dyDescent="0.3">
      <c r="A63" s="178">
        <v>11</v>
      </c>
      <c r="B63" s="179" t="s">
        <v>80</v>
      </c>
      <c r="C63" s="180">
        <f t="shared" ca="1" si="70"/>
        <v>6280</v>
      </c>
      <c r="D63" s="181">
        <f ca="1">IFERROR(__xludf.DUMMYFUNCTION("IMPORTRANGE(""https://docs.google.com/spreadsheets/d/1nYxRXgnCfTXtqUY1otYuTlnrzE0Tn-Y0YRsW5pkRVqo/edit?usp=sharing"",""ปราจีนบุรี!L690"")"),6280)</f>
        <v>6280</v>
      </c>
      <c r="E63" s="187">
        <f ca="1">IFERROR(__xludf.DUMMYFUNCTION("IMPORTRANGE(""https://docs.google.com/spreadsheets/d/1nYxRXgnCfTXtqUY1otYuTlnrzE0Tn-Y0YRsW5pkRVqo/edit?usp=sharing"",""ปราจีนบุรี!L697"")"),0)</f>
        <v>0</v>
      </c>
      <c r="F63" s="182">
        <f t="shared" ca="1" si="1"/>
        <v>0</v>
      </c>
      <c r="G63" s="183">
        <f t="shared" ca="1" si="2"/>
        <v>0</v>
      </c>
      <c r="H63" s="184">
        <f t="shared" ca="1" si="71"/>
        <v>0</v>
      </c>
      <c r="I63" s="187">
        <f ca="1">IFERROR(__xludf.DUMMYFUNCTION("IMPORTRANGE(""https://docs.google.com/spreadsheets/d/1nYxRXgnCfTXtqUY1otYuTlnrzE0Tn-Y0YRsW5pkRVqo/edit?usp=sharing"",""ปราจีนบุรี!N691"")"),0)</f>
        <v>0</v>
      </c>
      <c r="J63" s="187">
        <f ca="1">IFERROR(__xludf.DUMMYFUNCTION("IMPORTRANGE(""https://docs.google.com/spreadsheets/d/1nYxRXgnCfTXtqUY1otYuTlnrzE0Tn-Y0YRsW5pkRVqo/edit?usp=sharing"",""ปราจีนบุรี!N692"")"),0)</f>
        <v>0</v>
      </c>
      <c r="K63" s="187">
        <f ca="1">IFERROR(__xludf.DUMMYFUNCTION("IMPORTRANGE(""https://docs.google.com/spreadsheets/d/1nYxRXgnCfTXtqUY1otYuTlnrzE0Tn-Y0YRsW5pkRVqo/edit?usp=sharing"",""ปราจีนบุรี!N693"")"),0)</f>
        <v>0</v>
      </c>
      <c r="L63" s="187">
        <f ca="1">IFERROR(__xludf.DUMMYFUNCTION("IMPORTRANGE(""https://docs.google.com/spreadsheets/d/1nYxRXgnCfTXtqUY1otYuTlnrzE0Tn-Y0YRsW5pkRVqo/edit?usp=sharing"",""ปราจีนบุรี!N694"")"),0)</f>
        <v>0</v>
      </c>
      <c r="M63" s="185">
        <f ca="1">IFERROR(__xludf.DUMMYFUNCTION("IMPORTRANGE(""https://docs.google.com/spreadsheets/d/1nYxRXgnCfTXtqUY1otYuTlnrzE0Tn-Y0YRsW5pkRVqo/edit?usp=sharing"",""ปราจีนบุรี!N697"")"),0)</f>
        <v>0</v>
      </c>
      <c r="N63" s="185">
        <f t="shared" ca="1" si="37"/>
        <v>0</v>
      </c>
      <c r="O63" s="181">
        <f ca="1">IFERROR(__xludf.DUMMYFUNCTION("IMPORTRANGE(""https://docs.google.com/spreadsheets/d/1nYxRXgnCfTXtqUY1otYuTlnrzE0Tn-Y0YRsW5pkRVqo/edit?usp=sharing"",""ปราจีนบุรี!I699"")"),0)</f>
        <v>0</v>
      </c>
      <c r="P63" s="181">
        <f ca="1">IFERROR(__xludf.DUMMYFUNCTION("IMPORTRANGE(""https://docs.google.com/spreadsheets/d/1nYxRXgnCfTXtqUY1otYuTlnrzE0Tn-Y0YRsW5pkRVqo/edit?usp=sharing"",""ปราจีนบุรี!J699"")"),0)</f>
        <v>0</v>
      </c>
      <c r="Q63" s="186">
        <f t="shared" ca="1" si="31"/>
        <v>0</v>
      </c>
      <c r="R63" s="181">
        <f ca="1">IFERROR(__xludf.DUMMYFUNCTION("IMPORTRANGE(""https://docs.google.com/spreadsheets/d/1nYxRXgnCfTXtqUY1otYuTlnrzE0Tn-Y0YRsW5pkRVqo/edit?usp=sharing"",""ปราจีนบุรี!I700"")"),31)</f>
        <v>31</v>
      </c>
      <c r="S63" s="181">
        <f ca="1">IFERROR(__xludf.DUMMYFUNCTION("IMPORTRANGE(""https://docs.google.com/spreadsheets/d/1nYxRXgnCfTXtqUY1otYuTlnrzE0Tn-Y0YRsW5pkRVqo/edit?usp=sharing"",""ปราจีนบุรี!J700"")"),0)</f>
        <v>0</v>
      </c>
      <c r="T63" s="186">
        <f t="shared" ca="1" si="32"/>
        <v>0</v>
      </c>
      <c r="U63" s="181">
        <f ca="1">IFERROR(__xludf.DUMMYFUNCTION("IMPORTRANGE(""https://docs.google.com/spreadsheets/d/1nYxRXgnCfTXtqUY1otYuTlnrzE0Tn-Y0YRsW5pkRVqo/edit?usp=sharing"",""ปราจีนบุรี!I701"")"),0)</f>
        <v>0</v>
      </c>
      <c r="V63" s="181">
        <f ca="1">IFERROR(__xludf.DUMMYFUNCTION("IMPORTRANGE(""https://docs.google.com/spreadsheets/d/1nYxRXgnCfTXtqUY1otYuTlnrzE0Tn-Y0YRsW5pkRVqo/edit?usp=sharing"",""ปราจีนบุรี!J701"")"),0)</f>
        <v>0</v>
      </c>
      <c r="W63" s="186">
        <f t="shared" ca="1" si="33"/>
        <v>0</v>
      </c>
      <c r="X63" s="186">
        <f ca="1">IFERROR(__xludf.DUMMYFUNCTION("IMPORTRANGE(""https://docs.google.com/spreadsheets/d/1nYxRXgnCfTXtqUY1otYuTlnrzE0Tn-Y0YRsW5pkRVqo/edit?usp=sharing"",""ปราจีนบุรี!J702"")"),0)</f>
        <v>0</v>
      </c>
      <c r="Y63" s="186">
        <f ca="1">IFERROR(__xludf.DUMMYFUNCTION("IMPORTRANGE(""https://docs.google.com/spreadsheets/d/1nYxRXgnCfTXtqUY1otYuTlnrzE0Tn-Y0YRsW5pkRVqo/edit?usp=sharing"",""ปราจีนบุรี!J703"")"),0)</f>
        <v>0</v>
      </c>
      <c r="Z63" s="186">
        <f ca="1">IFERROR(__xludf.DUMMYFUNCTION("IMPORTRANGE(""https://docs.google.com/spreadsheets/d/1nYxRXgnCfTXtqUY1otYuTlnrzE0Tn-Y0YRsW5pkRVqo/edit?usp=sharing"",""ปราจีนบุรี!J704"")"),0)</f>
        <v>0</v>
      </c>
      <c r="AA63" s="186">
        <f ca="1">IFERROR(__xludf.DUMMYFUNCTION("IMPORTRANGE(""https://docs.google.com/spreadsheets/d/1nYxRXgnCfTXtqUY1otYuTlnrzE0Tn-Y0YRsW5pkRVqo/edit?usp=sharing"",""ปราจีนบุรี!J705"")"),0)</f>
        <v>0</v>
      </c>
      <c r="AB63" s="186">
        <f ca="1">IFERROR(__xludf.DUMMYFUNCTION("IMPORTRANGE(""https://docs.google.com/spreadsheets/d/1nYxRXgnCfTXtqUY1otYuTlnrzE0Tn-Y0YRsW5pkRVqo/edit?usp=sharing"",""ปราจีนบุรี!J706"")"),0)</f>
        <v>0</v>
      </c>
      <c r="AC63" s="186">
        <f ca="1">IFERROR(__xludf.DUMMYFUNCTION("IMPORTRANGE(""https://docs.google.com/spreadsheets/d/1nYxRXgnCfTXtqUY1otYuTlnrzE0Tn-Y0YRsW5pkRVqo/edit?usp=sharing"",""ปราจีนบุรี!J707"")"),0)</f>
        <v>0</v>
      </c>
      <c r="AD63" s="181">
        <f ca="1">IFERROR(__xludf.DUMMYFUNCTION("IMPORTRANGE(""https://docs.google.com/spreadsheets/d/1nYxRXgnCfTXtqUY1otYuTlnrzE0Tn-Y0YRsW5pkRVqo/edit?usp=sharing"",""ปราจีนบุรี!I708"")"),0)</f>
        <v>0</v>
      </c>
      <c r="AE63" s="181">
        <f ca="1">IFERROR(__xludf.DUMMYFUNCTION("IMPORTRANGE(""https://docs.google.com/spreadsheets/d/1nYxRXgnCfTXtqUY1otYuTlnrzE0Tn-Y0YRsW5pkRVqo/edit?usp=sharing"",""ปราจีนบุรี!J708"")"),0)</f>
        <v>0</v>
      </c>
      <c r="AF63" s="186">
        <f t="shared" ca="1" si="34"/>
        <v>0</v>
      </c>
      <c r="AG63" s="181">
        <f ca="1">IFERROR(__xludf.DUMMYFUNCTION("IMPORTRANGE(""https://docs.google.com/spreadsheets/d/1nYxRXgnCfTXtqUY1otYuTlnrzE0Tn-Y0YRsW5pkRVqo/edit?usp=sharing"",""ปราจีนบุรี!J709"")"),0)</f>
        <v>0</v>
      </c>
      <c r="AH63" s="181">
        <f ca="1">IFERROR(__xludf.DUMMYFUNCTION("IMPORTRANGE(""https://docs.google.com/spreadsheets/d/1nYxRXgnCfTXtqUY1otYuTlnrzE0Tn-Y0YRsW5pkRVqo/edit?usp=sharing"",""ปราจีนบุรี!J710"")"),0)</f>
        <v>0</v>
      </c>
      <c r="AI63" s="181">
        <f ca="1">IFERROR(__xludf.DUMMYFUNCTION("IMPORTRANGE(""https://docs.google.com/spreadsheets/d/1nYxRXgnCfTXtqUY1otYuTlnrzE0Tn-Y0YRsW5pkRVqo/edit?usp=sharing"",""ปราจีนบุรี!J712"")"),0)</f>
        <v>0</v>
      </c>
      <c r="AJ63" s="181">
        <f ca="1">IFERROR(__xludf.DUMMYFUNCTION("IMPORTRANGE(""https://docs.google.com/spreadsheets/d/1nYxRXgnCfTXtqUY1otYuTlnrzE0Tn-Y0YRsW5pkRVqo/edit?usp=sharing"",""ปราจีนบุรี!J713"")"),0)</f>
        <v>0</v>
      </c>
      <c r="AK63" s="181">
        <f ca="1">IFERROR(__xludf.DUMMYFUNCTION("IMPORTRANGE(""https://docs.google.com/spreadsheets/d/1nYxRXgnCfTXtqUY1otYuTlnrzE0Tn-Y0YRsW5pkRVqo/edit?usp=sharing"",""ปราจีนบุรี!J714"")"),0)</f>
        <v>0</v>
      </c>
      <c r="AL63" s="181">
        <f ca="1">IFERROR(__xludf.DUMMYFUNCTION("IMPORTRANGE(""https://docs.google.com/spreadsheets/d/1nYxRXgnCfTXtqUY1otYuTlnrzE0Tn-Y0YRsW5pkRVqo/edit?usp=sharing"",""ปราจีนบุรี!J715"")"),0)</f>
        <v>0</v>
      </c>
      <c r="AM63" s="181">
        <f ca="1">IFERROR(__xludf.DUMMYFUNCTION("IMPORTRANGE(""https://docs.google.com/spreadsheets/d/1nYxRXgnCfTXtqUY1otYuTlnrzE0Tn-Y0YRsW5pkRVqo/edit?usp=sharing"",""ปราจีนบุรี!J716"")"),0)</f>
        <v>0</v>
      </c>
      <c r="AN63" s="181">
        <f ca="1">IFERROR(__xludf.DUMMYFUNCTION("IMPORTRANGE(""https://docs.google.com/spreadsheets/d/1nYxRXgnCfTXtqUY1otYuTlnrzE0Tn-Y0YRsW5pkRVqo/edit?usp=sharing"",""ปราจีนบุรี!J717"")"),0)</f>
        <v>0</v>
      </c>
      <c r="AO63" s="181">
        <f ca="1">IFERROR(__xludf.DUMMYFUNCTION("IMPORTRANGE(""https://docs.google.com/spreadsheets/d/1nYxRXgnCfTXtqUY1otYuTlnrzE0Tn-Y0YRsW5pkRVqo/edit?usp=sharing"",""ปราจีนบุรี!I720"")"),0)</f>
        <v>0</v>
      </c>
      <c r="AP63" s="181">
        <f ca="1">IFERROR(__xludf.DUMMYFUNCTION("IMPORTRANGE(""https://docs.google.com/spreadsheets/d/1nYxRXgnCfTXtqUY1otYuTlnrzE0Tn-Y0YRsW5pkRVqo/edit?usp=sharing"",""ปราจีนบุรี!J718"")"),0)</f>
        <v>0</v>
      </c>
      <c r="AQ63" s="181">
        <f ca="1">IFERROR(__xludf.DUMMYFUNCTION("IMPORTRANGE(""https://docs.google.com/spreadsheets/d/1nYxRXgnCfTXtqUY1otYuTlnrzE0Tn-Y0YRsW5pkRVqo/edit?usp=sharing"",""ปราจีนบุรี!J719"")"),0)</f>
        <v>0</v>
      </c>
      <c r="AR63" s="181">
        <f ca="1">IFERROR(__xludf.DUMMYFUNCTION("IMPORTRANGE(""https://docs.google.com/spreadsheets/d/1nYxRXgnCfTXtqUY1otYuTlnrzE0Tn-Y0YRsW5pkRVqo/edit?usp=sharing"",""ปราจีนบุรี!J720"")"),0)</f>
        <v>0</v>
      </c>
      <c r="AS63" s="186">
        <f t="shared" ca="1" si="14"/>
        <v>0</v>
      </c>
      <c r="AT63" s="181">
        <f ca="1">IFERROR(__xludf.DUMMYFUNCTION("IMPORTRANGE(""https://docs.google.com/spreadsheets/d/1nYxRXgnCfTXtqUY1otYuTlnrzE0Tn-Y0YRsW5pkRVqo/edit?usp=sharing"",""ปราจีนบุรี!I721"")"),8)</f>
        <v>8</v>
      </c>
      <c r="AU63" s="181">
        <f ca="1">IFERROR(__xludf.DUMMYFUNCTION("IMPORTRANGE(""https://docs.google.com/spreadsheets/d/1nYxRXgnCfTXtqUY1otYuTlnrzE0Tn-Y0YRsW5pkRVqo/edit?usp=sharing"",""ปราจีนบุรี!I722"")"),16)</f>
        <v>16</v>
      </c>
      <c r="AV63" s="181">
        <f ca="1">IFERROR(__xludf.DUMMYFUNCTION("IMPORTRANGE(""https://docs.google.com/spreadsheets/d/1nYxRXgnCfTXtqUY1otYuTlnrzE0Tn-Y0YRsW5pkRVqo/edit?usp=sharing"",""ปราจีนบุรี!J721"")"),0)</f>
        <v>0</v>
      </c>
      <c r="AW63" s="186">
        <f t="shared" ca="1" si="16"/>
        <v>0</v>
      </c>
      <c r="AX63" s="181">
        <f ca="1">IFERROR(__xludf.DUMMYFUNCTION("IMPORTRANGE(""https://docs.google.com/spreadsheets/d/1nYxRXgnCfTXtqUY1otYuTlnrzE0Tn-Y0YRsW5pkRVqo/edit?usp=sharing"",""ปราจีนบุรี!J722"")"),0)</f>
        <v>0</v>
      </c>
      <c r="AY63" s="186">
        <f t="shared" ca="1" si="17"/>
        <v>0</v>
      </c>
      <c r="AZ63" s="181">
        <f ca="1">IFERROR(__xludf.DUMMYFUNCTION("IMPORTRANGE(""https://docs.google.com/spreadsheets/d/1nYxRXgnCfTXtqUY1otYuTlnrzE0Tn-Y0YRsW5pkRVqo/edit?usp=sharing"",""ปราจีนบุรี!I723"")"),5)</f>
        <v>5</v>
      </c>
      <c r="BA63" s="181">
        <f ca="1">IFERROR(__xludf.DUMMYFUNCTION("IMPORTRANGE(""https://docs.google.com/spreadsheets/d/1nYxRXgnCfTXtqUY1otYuTlnrzE0Tn-Y0YRsW5pkRVqo/edit?usp=sharing"",""ปราจีนบุรี!I725"")"),10)</f>
        <v>10</v>
      </c>
      <c r="BB63" s="181">
        <f ca="1">IFERROR(__xludf.DUMMYFUNCTION("IMPORTRANGE(""https://docs.google.com/spreadsheets/d/1nYxRXgnCfTXtqUY1otYuTlnrzE0Tn-Y0YRsW5pkRVqo/edit?usp=sharing"",""ปราจีนบุรี!J723"")"),0)</f>
        <v>0</v>
      </c>
      <c r="BC63" s="181">
        <f ca="1">IFERROR(__xludf.DUMMYFUNCTION("IMPORTRANGE(""https://docs.google.com/spreadsheets/d/1nYxRXgnCfTXtqUY1otYuTlnrzE0Tn-Y0YRsW5pkRVqo/edit?usp=sharing"",""ปราจีนบุรี!J724"")"),0)</f>
        <v>0</v>
      </c>
      <c r="BD63" s="181">
        <f ca="1">IFERROR(__xludf.DUMMYFUNCTION("IMPORTRANGE(""https://docs.google.com/spreadsheets/d/1nYxRXgnCfTXtqUY1otYuTlnrzE0Tn-Y0YRsW5pkRVqo/edit?usp=sharing"",""ปราจีนบุรี!J725"")"),0)</f>
        <v>0</v>
      </c>
      <c r="BE63" s="181">
        <f ca="1">IFERROR(__xludf.DUMMYFUNCTION("IMPORTRANGE(""https://docs.google.com/spreadsheets/d/1nYxRXgnCfTXtqUY1otYuTlnrzE0Tn-Y0YRsW5pkRVqo/edit?usp=sharing"",""ปราจีนบุรี!I726"")"),3)</f>
        <v>3</v>
      </c>
      <c r="BF63" s="181">
        <f ca="1">IFERROR(__xludf.DUMMYFUNCTION("IMPORTRANGE(""https://docs.google.com/spreadsheets/d/1nYxRXgnCfTXtqUY1otYuTlnrzE0Tn-Y0YRsW5pkRVqo/edit?usp=sharing"",""ปราจีนบุรี!I728"")"),6)</f>
        <v>6</v>
      </c>
      <c r="BG63" s="181">
        <f ca="1">IFERROR(__xludf.DUMMYFUNCTION("IMPORTRANGE(""https://docs.google.com/spreadsheets/d/1nYxRXgnCfTXtqUY1otYuTlnrzE0Tn-Y0YRsW5pkRVqo/edit?usp=sharing"",""ปราจีนบุรี!J726"")"),0)</f>
        <v>0</v>
      </c>
      <c r="BH63" s="181">
        <f ca="1">IFERROR(__xludf.DUMMYFUNCTION("IMPORTRANGE(""https://docs.google.com/spreadsheets/d/1nYxRXgnCfTXtqUY1otYuTlnrzE0Tn-Y0YRsW5pkRVqo/edit?usp=sharing"",""ปราจีนบุรี!J727"")"),0)</f>
        <v>0</v>
      </c>
      <c r="BI63" s="181">
        <f ca="1">IFERROR(__xludf.DUMMYFUNCTION("IMPORTRANGE(""https://docs.google.com/spreadsheets/d/1nYxRXgnCfTXtqUY1otYuTlnrzE0Tn-Y0YRsW5pkRVqo/edit?usp=sharing"",""ปราจีนบุรี!J728"")"),0)</f>
        <v>0</v>
      </c>
      <c r="BJ63" s="181">
        <f ca="1">IFERROR(__xludf.DUMMYFUNCTION("IMPORTRANGE(""https://docs.google.com/spreadsheets/d/1nYxRXgnCfTXtqUY1otYuTlnrzE0Tn-Y0YRsW5pkRVqo/edit?usp=sharing"",""ปราจีนบุรี!I729"")"),0)</f>
        <v>0</v>
      </c>
      <c r="BK63" s="181">
        <f ca="1">IFERROR(__xludf.DUMMYFUNCTION("IMPORTRANGE(""https://docs.google.com/spreadsheets/d/1nYxRXgnCfTXtqUY1otYuTlnrzE0Tn-Y0YRsW5pkRVqo/edit?usp=sharing"",""ปราจีนบุรี!J729"")"),0)</f>
        <v>0</v>
      </c>
      <c r="BL63" s="186">
        <f t="shared" ca="1" si="19"/>
        <v>0</v>
      </c>
      <c r="BM63" s="181">
        <f ca="1">IFERROR(__xludf.DUMMYFUNCTION("IMPORTRANGE(""https://docs.google.com/spreadsheets/d/1nYxRXgnCfTXtqUY1otYuTlnrzE0Tn-Y0YRsW5pkRVqo/edit?usp=sharing"",""ปราจีนบุรี!J730"")"),0)</f>
        <v>0</v>
      </c>
      <c r="BN63" s="181">
        <f ca="1">IFERROR(__xludf.DUMMYFUNCTION("IMPORTRANGE(""https://docs.google.com/spreadsheets/d/1nYxRXgnCfTXtqUY1otYuTlnrzE0Tn-Y0YRsW5pkRVqo/edit?usp=sharing"",""ปราจีนบุรี!J731"")"),0)</f>
        <v>0</v>
      </c>
      <c r="BO63" s="181">
        <f ca="1">IFERROR(__xludf.DUMMYFUNCTION("IMPORTRANGE(""https://docs.google.com/spreadsheets/d/1nYxRXgnCfTXtqUY1otYuTlnrzE0Tn-Y0YRsW5pkRVqo/edit?usp=sharing"",""ปราจีนบุรี!J732"")"),0)</f>
        <v>0</v>
      </c>
      <c r="BP63" s="181">
        <f ca="1">IFERROR(__xludf.DUMMYFUNCTION("IMPORTRANGE(""https://docs.google.com/spreadsheets/d/1nYxRXgnCfTXtqUY1otYuTlnrzE0Tn-Y0YRsW5pkRVqo/edit?usp=sharing"",""ปราจีนบุรี!J733"")"),0)</f>
        <v>0</v>
      </c>
      <c r="BQ63" s="181">
        <f ca="1">IFERROR(__xludf.DUMMYFUNCTION("IMPORTRANGE(""https://docs.google.com/spreadsheets/d/1nYxRXgnCfTXtqUY1otYuTlnrzE0Tn-Y0YRsW5pkRVqo/edit?usp=sharing"",""ปราจีนบุรี!J734"")"),0)</f>
        <v>0</v>
      </c>
      <c r="BR63" s="181">
        <f ca="1">IFERROR(__xludf.DUMMYFUNCTION("IMPORTRANGE(""https://docs.google.com/spreadsheets/d/1nYxRXgnCfTXtqUY1otYuTlnrzE0Tn-Y0YRsW5pkRVqo/edit?usp=sharing"",""ปราจีนบุรี!J735"")"),0)</f>
        <v>0</v>
      </c>
    </row>
    <row r="64" spans="1:70" ht="21" customHeight="1" x14ac:dyDescent="0.3">
      <c r="A64" s="178">
        <v>12</v>
      </c>
      <c r="B64" s="179" t="s">
        <v>81</v>
      </c>
      <c r="C64" s="180">
        <f t="shared" ca="1" si="70"/>
        <v>41600</v>
      </c>
      <c r="D64" s="181">
        <f ca="1">IFERROR(__xludf.DUMMYFUNCTION("IMPORTRANGE(""https://docs.google.com/spreadsheets/d/1nNHCLO8ZAXOMfQvxux7cf_hrzPAh8FAvaHq_ClKbZNo/edit?usp=sharing"",""พระนครศรีอยุธยา!L690"")"),41600)</f>
        <v>41600</v>
      </c>
      <c r="E64" s="187">
        <f ca="1">IFERROR(__xludf.DUMMYFUNCTION("IMPORTRANGE(""https://docs.google.com/spreadsheets/d/1nNHCLO8ZAXOMfQvxux7cf_hrzPAh8FAvaHq_ClKbZNo/edit?usp=sharing"",""พระนครศรีอยุธยา!L697"")"),0)</f>
        <v>0</v>
      </c>
      <c r="F64" s="182">
        <f t="shared" ca="1" si="1"/>
        <v>0</v>
      </c>
      <c r="G64" s="183">
        <f t="shared" ca="1" si="2"/>
        <v>0</v>
      </c>
      <c r="H64" s="184">
        <f t="shared" ca="1" si="71"/>
        <v>0</v>
      </c>
      <c r="I64" s="187">
        <f ca="1">IFERROR(__xludf.DUMMYFUNCTION("IMPORTRANGE(""https://docs.google.com/spreadsheets/d/1nNHCLO8ZAXOMfQvxux7cf_hrzPAh8FAvaHq_ClKbZNo/edit?usp=sharing"",""พระนครศรีอยุธยา!N691"")"),0)</f>
        <v>0</v>
      </c>
      <c r="J64" s="187">
        <f ca="1">IFERROR(__xludf.DUMMYFUNCTION("IMPORTRANGE(""https://docs.google.com/spreadsheets/d/1nNHCLO8ZAXOMfQvxux7cf_hrzPAh8FAvaHq_ClKbZNo/edit?usp=sharing"",""พระนครศรีอยุธยา!N692"")"),0)</f>
        <v>0</v>
      </c>
      <c r="K64" s="187">
        <f ca="1">IFERROR(__xludf.DUMMYFUNCTION("IMPORTRANGE(""https://docs.google.com/spreadsheets/d/1nNHCLO8ZAXOMfQvxux7cf_hrzPAh8FAvaHq_ClKbZNo/edit?usp=sharing"",""พระนครศรีอยุธยา!N693"")"),0)</f>
        <v>0</v>
      </c>
      <c r="L64" s="187">
        <f ca="1">IFERROR(__xludf.DUMMYFUNCTION("IMPORTRANGE(""https://docs.google.com/spreadsheets/d/1nNHCLO8ZAXOMfQvxux7cf_hrzPAh8FAvaHq_ClKbZNo/edit?usp=sharing"",""พระนครศรีอยุธยา!N694"")"),0)</f>
        <v>0</v>
      </c>
      <c r="M64" s="185">
        <f ca="1">IFERROR(__xludf.DUMMYFUNCTION("IMPORTRANGE(""https://docs.google.com/spreadsheets/d/1nNHCLO8ZAXOMfQvxux7cf_hrzPAh8FAvaHq_ClKbZNo/edit?usp=sharing"",""พระนครศรีอยุธยา!N697"")"),0)</f>
        <v>0</v>
      </c>
      <c r="N64" s="185">
        <f t="shared" ca="1" si="37"/>
        <v>0</v>
      </c>
      <c r="O64" s="181">
        <f ca="1">IFERROR(__xludf.DUMMYFUNCTION("IMPORTRANGE(""https://docs.google.com/spreadsheets/d/1nNHCLO8ZAXOMfQvxux7cf_hrzPAh8FAvaHq_ClKbZNo/edit?usp=sharing"",""พระนครศรีอยุธยา!I699"")"),0)</f>
        <v>0</v>
      </c>
      <c r="P64" s="181">
        <f ca="1">IFERROR(__xludf.DUMMYFUNCTION("IMPORTRANGE(""https://docs.google.com/spreadsheets/d/1nNHCLO8ZAXOMfQvxux7cf_hrzPAh8FAvaHq_ClKbZNo/edit?usp=sharing"",""พระนครศรีอยุธยา!J699"")"),0)</f>
        <v>0</v>
      </c>
      <c r="Q64" s="186">
        <f t="shared" ca="1" si="31"/>
        <v>0</v>
      </c>
      <c r="R64" s="181">
        <f ca="1">IFERROR(__xludf.DUMMYFUNCTION("IMPORTRANGE(""https://docs.google.com/spreadsheets/d/1nNHCLO8ZAXOMfQvxux7cf_hrzPAh8FAvaHq_ClKbZNo/edit?usp=sharing"",""พระนครศรีอยุธยา!I700"")"),45)</f>
        <v>45</v>
      </c>
      <c r="S64" s="181">
        <f ca="1">IFERROR(__xludf.DUMMYFUNCTION("IMPORTRANGE(""https://docs.google.com/spreadsheets/d/1nNHCLO8ZAXOMfQvxux7cf_hrzPAh8FAvaHq_ClKbZNo/edit?usp=sharing"",""พระนครศรีอยุธยา!J700"")"),0)</f>
        <v>0</v>
      </c>
      <c r="T64" s="186">
        <f t="shared" ca="1" si="32"/>
        <v>0</v>
      </c>
      <c r="U64" s="181">
        <f ca="1">IFERROR(__xludf.DUMMYFUNCTION("IMPORTRANGE(""https://docs.google.com/spreadsheets/d/1nNHCLO8ZAXOMfQvxux7cf_hrzPAh8FAvaHq_ClKbZNo/edit?usp=sharing"",""พระนครศรีอยุธยา!I701"")"),0)</f>
        <v>0</v>
      </c>
      <c r="V64" s="181">
        <f ca="1">IFERROR(__xludf.DUMMYFUNCTION("IMPORTRANGE(""https://docs.google.com/spreadsheets/d/1nNHCLO8ZAXOMfQvxux7cf_hrzPAh8FAvaHq_ClKbZNo/edit?usp=sharing"",""พระนครศรีอยุธยา!J701"")"),0)</f>
        <v>0</v>
      </c>
      <c r="W64" s="186">
        <f t="shared" ca="1" si="33"/>
        <v>0</v>
      </c>
      <c r="X64" s="186">
        <f ca="1">IFERROR(__xludf.DUMMYFUNCTION("IMPORTRANGE(""https://docs.google.com/spreadsheets/d/1nNHCLO8ZAXOMfQvxux7cf_hrzPAh8FAvaHq_ClKbZNo/edit?usp=sharing"",""พระนครศรีอยุธยา!J702"")"),0)</f>
        <v>0</v>
      </c>
      <c r="Y64" s="186">
        <f ca="1">IFERROR(__xludf.DUMMYFUNCTION("IMPORTRANGE(""https://docs.google.com/spreadsheets/d/1nNHCLO8ZAXOMfQvxux7cf_hrzPAh8FAvaHq_ClKbZNo/edit?usp=sharing"",""พระนครศรีอยุธยา!J703"")"),0)</f>
        <v>0</v>
      </c>
      <c r="Z64" s="186">
        <f ca="1">IFERROR(__xludf.DUMMYFUNCTION("IMPORTRANGE(""https://docs.google.com/spreadsheets/d/1nNHCLO8ZAXOMfQvxux7cf_hrzPAh8FAvaHq_ClKbZNo/edit?usp=sharing"",""พระนครศรีอยุธยา!J704"")"),0)</f>
        <v>0</v>
      </c>
      <c r="AA64" s="186">
        <f ca="1">IFERROR(__xludf.DUMMYFUNCTION("IMPORTRANGE(""https://docs.google.com/spreadsheets/d/1nNHCLO8ZAXOMfQvxux7cf_hrzPAh8FAvaHq_ClKbZNo/edit?usp=sharing"",""พระนครศรีอยุธยา!J705"")"),0)</f>
        <v>0</v>
      </c>
      <c r="AB64" s="186">
        <f ca="1">IFERROR(__xludf.DUMMYFUNCTION("IMPORTRANGE(""https://docs.google.com/spreadsheets/d/1nNHCLO8ZAXOMfQvxux7cf_hrzPAh8FAvaHq_ClKbZNo/edit?usp=sharing"",""พระนครศรีอยุธยา!J706"")"),0)</f>
        <v>0</v>
      </c>
      <c r="AC64" s="186">
        <f ca="1">IFERROR(__xludf.DUMMYFUNCTION("IMPORTRANGE(""https://docs.google.com/spreadsheets/d/1nNHCLO8ZAXOMfQvxux7cf_hrzPAh8FAvaHq_ClKbZNo/edit?usp=sharing"",""พระนครศรีอยุธยา!J707"")"),0)</f>
        <v>0</v>
      </c>
      <c r="AD64" s="181">
        <f ca="1">IFERROR(__xludf.DUMMYFUNCTION("IMPORTRANGE(""https://docs.google.com/spreadsheets/d/1nNHCLO8ZAXOMfQvxux7cf_hrzPAh8FAvaHq_ClKbZNo/edit?usp=sharing"",""พระนครศรีอยุธยา!I708"")"),25)</f>
        <v>25</v>
      </c>
      <c r="AE64" s="181">
        <f ca="1">IFERROR(__xludf.DUMMYFUNCTION("IMPORTRANGE(""https://docs.google.com/spreadsheets/d/1nNHCLO8ZAXOMfQvxux7cf_hrzPAh8FAvaHq_ClKbZNo/edit?usp=sharing"",""พระนครศรีอยุธยา!J708"")"),0)</f>
        <v>0</v>
      </c>
      <c r="AF64" s="186">
        <f t="shared" ca="1" si="34"/>
        <v>0</v>
      </c>
      <c r="AG64" s="181">
        <f ca="1">IFERROR(__xludf.DUMMYFUNCTION("IMPORTRANGE(""https://docs.google.com/spreadsheets/d/1nNHCLO8ZAXOMfQvxux7cf_hrzPAh8FAvaHq_ClKbZNo/edit?usp=sharing"",""พระนครศรีอยุธยา!J709"")"),0)</f>
        <v>0</v>
      </c>
      <c r="AH64" s="181">
        <f ca="1">IFERROR(__xludf.DUMMYFUNCTION("IMPORTRANGE(""https://docs.google.com/spreadsheets/d/1nNHCLO8ZAXOMfQvxux7cf_hrzPAh8FAvaHq_ClKbZNo/edit?usp=sharing"",""พระนครศรีอยุธยา!J710"")"),0)</f>
        <v>0</v>
      </c>
      <c r="AI64" s="181">
        <f ca="1">IFERROR(__xludf.DUMMYFUNCTION("IMPORTRANGE(""https://docs.google.com/spreadsheets/d/1nNHCLO8ZAXOMfQvxux7cf_hrzPAh8FAvaHq_ClKbZNo/edit?usp=sharing"",""พระนครศรีอยุธยา!J712"")"),0)</f>
        <v>0</v>
      </c>
      <c r="AJ64" s="181">
        <f ca="1">IFERROR(__xludf.DUMMYFUNCTION("IMPORTRANGE(""https://docs.google.com/spreadsheets/d/1nNHCLO8ZAXOMfQvxux7cf_hrzPAh8FAvaHq_ClKbZNo/edit?usp=sharing"",""พระนครศรีอยุธยา!J713"")"),0)</f>
        <v>0</v>
      </c>
      <c r="AK64" s="181">
        <f ca="1">IFERROR(__xludf.DUMMYFUNCTION("IMPORTRANGE(""https://docs.google.com/spreadsheets/d/1nNHCLO8ZAXOMfQvxux7cf_hrzPAh8FAvaHq_ClKbZNo/edit?usp=sharing"",""พระนครศรีอยุธยา!J714"")"),0)</f>
        <v>0</v>
      </c>
      <c r="AL64" s="181">
        <f ca="1">IFERROR(__xludf.DUMMYFUNCTION("IMPORTRANGE(""https://docs.google.com/spreadsheets/d/1nNHCLO8ZAXOMfQvxux7cf_hrzPAh8FAvaHq_ClKbZNo/edit?usp=sharing"",""พระนครศรีอยุธยา!J715"")"),0)</f>
        <v>0</v>
      </c>
      <c r="AM64" s="181">
        <f ca="1">IFERROR(__xludf.DUMMYFUNCTION("IMPORTRANGE(""https://docs.google.com/spreadsheets/d/1nNHCLO8ZAXOMfQvxux7cf_hrzPAh8FAvaHq_ClKbZNo/edit?usp=sharing"",""พระนครศรีอยุธยา!J716"")"),0)</f>
        <v>0</v>
      </c>
      <c r="AN64" s="181">
        <f ca="1">IFERROR(__xludf.DUMMYFUNCTION("IMPORTRANGE(""https://docs.google.com/spreadsheets/d/1nNHCLO8ZAXOMfQvxux7cf_hrzPAh8FAvaHq_ClKbZNo/edit?usp=sharing"",""พระนครศรีอยุธยา!J717"")"),0)</f>
        <v>0</v>
      </c>
      <c r="AO64" s="181">
        <f ca="1">IFERROR(__xludf.DUMMYFUNCTION("IMPORTRANGE(""https://docs.google.com/spreadsheets/d/1nNHCLO8ZAXOMfQvxux7cf_hrzPAh8FAvaHq_ClKbZNo/edit?usp=sharing"",""พระนครศรีอยุธยา!I720"")"),400)</f>
        <v>400</v>
      </c>
      <c r="AP64" s="181">
        <f ca="1">IFERROR(__xludf.DUMMYFUNCTION("IMPORTRANGE(""https://docs.google.com/spreadsheets/d/1nNHCLO8ZAXOMfQvxux7cf_hrzPAh8FAvaHq_ClKbZNo/edit?usp=sharing"",""พระนครศรีอยุธยา!J718"")"),0)</f>
        <v>0</v>
      </c>
      <c r="AQ64" s="181">
        <f ca="1">IFERROR(__xludf.DUMMYFUNCTION("IMPORTRANGE(""https://docs.google.com/spreadsheets/d/1nNHCLO8ZAXOMfQvxux7cf_hrzPAh8FAvaHq_ClKbZNo/edit?usp=sharing"",""พระนครศรีอยุธยา!J719"")"),0)</f>
        <v>0</v>
      </c>
      <c r="AR64" s="181">
        <f ca="1">IFERROR(__xludf.DUMMYFUNCTION("IMPORTRANGE(""https://docs.google.com/spreadsheets/d/1nNHCLO8ZAXOMfQvxux7cf_hrzPAh8FAvaHq_ClKbZNo/edit?usp=sharing"",""พระนครศรีอยุธยา!J720"")"),0)</f>
        <v>0</v>
      </c>
      <c r="AS64" s="186">
        <f t="shared" ca="1" si="14"/>
        <v>0</v>
      </c>
      <c r="AT64" s="181">
        <f ca="1">IFERROR(__xludf.DUMMYFUNCTION("IMPORTRANGE(""https://docs.google.com/spreadsheets/d/1nNHCLO8ZAXOMfQvxux7cf_hrzPAh8FAvaHq_ClKbZNo/edit?usp=sharing"",""พระนครศรีอยุธยา!I721"")"),35)</f>
        <v>35</v>
      </c>
      <c r="AU64" s="181">
        <f ca="1">IFERROR(__xludf.DUMMYFUNCTION("IMPORTRANGE(""https://docs.google.com/spreadsheets/d/1nNHCLO8ZAXOMfQvxux7cf_hrzPAh8FAvaHq_ClKbZNo/edit?usp=sharing"",""พระนครศรีอยุธยา!I722"")"),386)</f>
        <v>386</v>
      </c>
      <c r="AV64" s="181">
        <f ca="1">IFERROR(__xludf.DUMMYFUNCTION("IMPORTRANGE(""https://docs.google.com/spreadsheets/d/1nNHCLO8ZAXOMfQvxux7cf_hrzPAh8FAvaHq_ClKbZNo/edit?usp=sharing"",""พระนครศรีอยุธยา!J721"")"),9)</f>
        <v>9</v>
      </c>
      <c r="AW64" s="186">
        <f t="shared" ca="1" si="16"/>
        <v>25.714285714285715</v>
      </c>
      <c r="AX64" s="181">
        <f ca="1">IFERROR(__xludf.DUMMYFUNCTION("IMPORTRANGE(""https://docs.google.com/spreadsheets/d/1nNHCLO8ZAXOMfQvxux7cf_hrzPAh8FAvaHq_ClKbZNo/edit?usp=sharing"",""พระนครศรีอยุธยา!J722"")"),68.56)</f>
        <v>68.56</v>
      </c>
      <c r="AY64" s="186">
        <f t="shared" ca="1" si="17"/>
        <v>17.761658031088082</v>
      </c>
      <c r="AZ64" s="181">
        <f ca="1">IFERROR(__xludf.DUMMYFUNCTION("IMPORTRANGE(""https://docs.google.com/spreadsheets/d/1nNHCLO8ZAXOMfQvxux7cf_hrzPAh8FAvaHq_ClKbZNo/edit?usp=sharing"",""พระนครศรีอยุธยา!I723"")"),35)</f>
        <v>35</v>
      </c>
      <c r="BA64" s="181">
        <f ca="1">IFERROR(__xludf.DUMMYFUNCTION("IMPORTRANGE(""https://docs.google.com/spreadsheets/d/1nNHCLO8ZAXOMfQvxux7cf_hrzPAh8FAvaHq_ClKbZNo/edit?usp=sharing"",""พระนครศรีอยุธยา!I725"")"),386)</f>
        <v>386</v>
      </c>
      <c r="BB64" s="181">
        <f ca="1">IFERROR(__xludf.DUMMYFUNCTION("IMPORTRANGE(""https://docs.google.com/spreadsheets/d/1nNHCLO8ZAXOMfQvxux7cf_hrzPAh8FAvaHq_ClKbZNo/edit?usp=sharing"",""พระนครศรีอยุธยา!J723"")"),9)</f>
        <v>9</v>
      </c>
      <c r="BC64" s="181">
        <f ca="1">IFERROR(__xludf.DUMMYFUNCTION("IMPORTRANGE(""https://docs.google.com/spreadsheets/d/1nNHCLO8ZAXOMfQvxux7cf_hrzPAh8FAvaHq_ClKbZNo/edit?usp=sharing"",""พระนครศรีอยุธยา!J724"")"),9)</f>
        <v>9</v>
      </c>
      <c r="BD64" s="181">
        <f ca="1">IFERROR(__xludf.DUMMYFUNCTION("IMPORTRANGE(""https://docs.google.com/spreadsheets/d/1nNHCLO8ZAXOMfQvxux7cf_hrzPAh8FAvaHq_ClKbZNo/edit?usp=sharing"",""พระนครศรีอยุธยา!J725"")"),68.56)</f>
        <v>68.56</v>
      </c>
      <c r="BE64" s="181">
        <f ca="1">IFERROR(__xludf.DUMMYFUNCTION("IMPORTRANGE(""https://docs.google.com/spreadsheets/d/1nNHCLO8ZAXOMfQvxux7cf_hrzPAh8FAvaHq_ClKbZNo/edit?usp=sharing"",""พระนครศรีอยุธยา!I726"")"),0)</f>
        <v>0</v>
      </c>
      <c r="BF64" s="181">
        <f ca="1">IFERROR(__xludf.DUMMYFUNCTION("IMPORTRANGE(""https://docs.google.com/spreadsheets/d/1nNHCLO8ZAXOMfQvxux7cf_hrzPAh8FAvaHq_ClKbZNo/edit?usp=sharing"",""พระนครศรีอยุธยา!I728"")"),0)</f>
        <v>0</v>
      </c>
      <c r="BG64" s="181">
        <f ca="1">IFERROR(__xludf.DUMMYFUNCTION("IMPORTRANGE(""https://docs.google.com/spreadsheets/d/1nNHCLO8ZAXOMfQvxux7cf_hrzPAh8FAvaHq_ClKbZNo/edit?usp=sharing"",""พระนครศรีอยุธยา!J726"")"),0)</f>
        <v>0</v>
      </c>
      <c r="BH64" s="181">
        <f ca="1">IFERROR(__xludf.DUMMYFUNCTION("IMPORTRANGE(""https://docs.google.com/spreadsheets/d/1nNHCLO8ZAXOMfQvxux7cf_hrzPAh8FAvaHq_ClKbZNo/edit?usp=sharing"",""พระนครศรีอยุธยา!J727"")"),0)</f>
        <v>0</v>
      </c>
      <c r="BI64" s="181">
        <f ca="1">IFERROR(__xludf.DUMMYFUNCTION("IMPORTRANGE(""https://docs.google.com/spreadsheets/d/1nNHCLO8ZAXOMfQvxux7cf_hrzPAh8FAvaHq_ClKbZNo/edit?usp=sharing"",""พระนครศรีอยุธยา!J728"")"),0)</f>
        <v>0</v>
      </c>
      <c r="BJ64" s="181">
        <f ca="1">IFERROR(__xludf.DUMMYFUNCTION("IMPORTRANGE(""https://docs.google.com/spreadsheets/d/1nNHCLO8ZAXOMfQvxux7cf_hrzPAh8FAvaHq_ClKbZNo/edit?usp=sharing"",""พระนครศรีอยุธยา!I729"")"),185)</f>
        <v>185</v>
      </c>
      <c r="BK64" s="181">
        <f ca="1">IFERROR(__xludf.DUMMYFUNCTION("IMPORTRANGE(""https://docs.google.com/spreadsheets/d/1nNHCLO8ZAXOMfQvxux7cf_hrzPAh8FAvaHq_ClKbZNo/edit?usp=sharing"",""พระนครศรีอยุธยา!J729"")"),36)</f>
        <v>36</v>
      </c>
      <c r="BL64" s="186">
        <f t="shared" ca="1" si="19"/>
        <v>19.45945945945946</v>
      </c>
      <c r="BM64" s="181">
        <f ca="1">IFERROR(__xludf.DUMMYFUNCTION("IMPORTRANGE(""https://docs.google.com/spreadsheets/d/1nNHCLO8ZAXOMfQvxux7cf_hrzPAh8FAvaHq_ClKbZNo/edit?usp=sharing"",""พระนครศรีอยุธยา!J730"")"),2)</f>
        <v>2</v>
      </c>
      <c r="BN64" s="181">
        <f ca="1">IFERROR(__xludf.DUMMYFUNCTION("IMPORTRANGE(""https://docs.google.com/spreadsheets/d/1nNHCLO8ZAXOMfQvxux7cf_hrzPAh8FAvaHq_ClKbZNo/edit?usp=sharing"",""พระนครศรีอยุธยา!J731"")"),1)</f>
        <v>1</v>
      </c>
      <c r="BO64" s="181">
        <f ca="1">IFERROR(__xludf.DUMMYFUNCTION("IMPORTRANGE(""https://docs.google.com/spreadsheets/d/1nNHCLO8ZAXOMfQvxux7cf_hrzPAh8FAvaHq_ClKbZNo/edit?usp=sharing"",""พระนครศรีอยุธยา!J732"")"),12)</f>
        <v>12</v>
      </c>
      <c r="BP64" s="181">
        <f ca="1">IFERROR(__xludf.DUMMYFUNCTION("IMPORTRANGE(""https://docs.google.com/spreadsheets/d/1nNHCLO8ZAXOMfQvxux7cf_hrzPAh8FAvaHq_ClKbZNo/edit?usp=sharing"",""พระนครศรีอยุธยา!J733"")"),3)</f>
        <v>3</v>
      </c>
      <c r="BQ64" s="181">
        <f ca="1">IFERROR(__xludf.DUMMYFUNCTION("IMPORTRANGE(""https://docs.google.com/spreadsheets/d/1nNHCLO8ZAXOMfQvxux7cf_hrzPAh8FAvaHq_ClKbZNo/edit?usp=sharing"",""พระนครศรีอยุธยา!J734"")"),5)</f>
        <v>5</v>
      </c>
      <c r="BR64" s="181">
        <f ca="1">IFERROR(__xludf.DUMMYFUNCTION("IMPORTRANGE(""https://docs.google.com/spreadsheets/d/1nNHCLO8ZAXOMfQvxux7cf_hrzPAh8FAvaHq_ClKbZNo/edit?usp=sharing"",""พระนครศรีอยุธยา!J735"")"),24)</f>
        <v>24</v>
      </c>
    </row>
    <row r="65" spans="1:70" ht="21" customHeight="1" x14ac:dyDescent="0.3">
      <c r="A65" s="178">
        <v>13</v>
      </c>
      <c r="B65" s="179" t="s">
        <v>82</v>
      </c>
      <c r="C65" s="180">
        <f t="shared" ca="1" si="70"/>
        <v>12720</v>
      </c>
      <c r="D65" s="181">
        <f ca="1">IFERROR(__xludf.DUMMYFUNCTION("IMPORTRANGE(""https://docs.google.com/spreadsheets/d/1CdNicvf3i6yt4tJlCePe3V1Va76wYqW0QzMzTsaGRrA/edit?usp=sharing"",""เพชรบุรี!L690"")"),12720)</f>
        <v>12720</v>
      </c>
      <c r="E65" s="187">
        <f ca="1">IFERROR(__xludf.DUMMYFUNCTION("IMPORTRANGE(""https://docs.google.com/spreadsheets/d/1CdNicvf3i6yt4tJlCePe3V1Va76wYqW0QzMzTsaGRrA/edit?usp=sharing"",""เพชรบุรี!L697"")"),0)</f>
        <v>0</v>
      </c>
      <c r="F65" s="182">
        <f t="shared" ca="1" si="1"/>
        <v>0</v>
      </c>
      <c r="G65" s="183">
        <f t="shared" ca="1" si="2"/>
        <v>0</v>
      </c>
      <c r="H65" s="184">
        <f t="shared" ca="1" si="71"/>
        <v>0</v>
      </c>
      <c r="I65" s="187">
        <f ca="1">IFERROR(__xludf.DUMMYFUNCTION("IMPORTRANGE(""https://docs.google.com/spreadsheets/d/1CdNicvf3i6yt4tJlCePe3V1Va76wYqW0QzMzTsaGRrA/edit?usp=sharing"",""เพชรบุรี!N691"")"),0)</f>
        <v>0</v>
      </c>
      <c r="J65" s="187">
        <f ca="1">IFERROR(__xludf.DUMMYFUNCTION("IMPORTRANGE(""https://docs.google.com/spreadsheets/d/1CdNicvf3i6yt4tJlCePe3V1Va76wYqW0QzMzTsaGRrA/edit?usp=sharing"",""เพชรบุรี!N692"")"),0)</f>
        <v>0</v>
      </c>
      <c r="K65" s="187">
        <f ca="1">IFERROR(__xludf.DUMMYFUNCTION("IMPORTRANGE(""https://docs.google.com/spreadsheets/d/1CdNicvf3i6yt4tJlCePe3V1Va76wYqW0QzMzTsaGRrA/edit?usp=sharing"",""เพชรบุรี!N693"")"),0)</f>
        <v>0</v>
      </c>
      <c r="L65" s="187">
        <f ca="1">IFERROR(__xludf.DUMMYFUNCTION("IMPORTRANGE(""https://docs.google.com/spreadsheets/d/1CdNicvf3i6yt4tJlCePe3V1Va76wYqW0QzMzTsaGRrA/edit?usp=sharing"",""เพชรบุรี!N694"")"),0)</f>
        <v>0</v>
      </c>
      <c r="M65" s="185">
        <f ca="1">IFERROR(__xludf.DUMMYFUNCTION("IMPORTRANGE(""https://docs.google.com/spreadsheets/d/1CdNicvf3i6yt4tJlCePe3V1Va76wYqW0QzMzTsaGRrA/edit?usp=sharing"",""เพชรบุรี!N697"")"),0)</f>
        <v>0</v>
      </c>
      <c r="N65" s="185">
        <f t="shared" ca="1" si="37"/>
        <v>0</v>
      </c>
      <c r="O65" s="181">
        <f ca="1">IFERROR(__xludf.DUMMYFUNCTION("IMPORTRANGE(""https://docs.google.com/spreadsheets/d/1CdNicvf3i6yt4tJlCePe3V1Va76wYqW0QzMzTsaGRrA/edit?usp=sharing"",""เพชรบุรี!I699"")"),0)</f>
        <v>0</v>
      </c>
      <c r="P65" s="181">
        <f ca="1">IFERROR(__xludf.DUMMYFUNCTION("IMPORTRANGE(""https://docs.google.com/spreadsheets/d/1CdNicvf3i6yt4tJlCePe3V1Va76wYqW0QzMzTsaGRrA/edit?usp=sharing"",""เพชรบุรี!J699"")"),0)</f>
        <v>0</v>
      </c>
      <c r="Q65" s="186">
        <f t="shared" ca="1" si="31"/>
        <v>0</v>
      </c>
      <c r="R65" s="181">
        <f ca="1">IFERROR(__xludf.DUMMYFUNCTION("IMPORTRANGE(""https://docs.google.com/spreadsheets/d/1CdNicvf3i6yt4tJlCePe3V1Va76wYqW0QzMzTsaGRrA/edit?usp=sharing"",""เพชรบุรี!I700"")"),35)</f>
        <v>35</v>
      </c>
      <c r="S65" s="181">
        <f ca="1">IFERROR(__xludf.DUMMYFUNCTION("IMPORTRANGE(""https://docs.google.com/spreadsheets/d/1CdNicvf3i6yt4tJlCePe3V1Va76wYqW0QzMzTsaGRrA/edit?usp=sharing"",""เพชรบุรี!J700"")"),2)</f>
        <v>2</v>
      </c>
      <c r="T65" s="186">
        <f t="shared" ca="1" si="32"/>
        <v>5.7142857142857144</v>
      </c>
      <c r="U65" s="181">
        <f ca="1">IFERROR(__xludf.DUMMYFUNCTION("IMPORTRANGE(""https://docs.google.com/spreadsheets/d/1CdNicvf3i6yt4tJlCePe3V1Va76wYqW0QzMzTsaGRrA/edit?usp=sharing"",""เพชรบุรี!I701"")"),0)</f>
        <v>0</v>
      </c>
      <c r="V65" s="181">
        <f ca="1">IFERROR(__xludf.DUMMYFUNCTION("IMPORTRANGE(""https://docs.google.com/spreadsheets/d/1CdNicvf3i6yt4tJlCePe3V1Va76wYqW0QzMzTsaGRrA/edit?usp=sharing"",""เพชรบุรี!J701"")"),0)</f>
        <v>0</v>
      </c>
      <c r="W65" s="186">
        <f t="shared" ca="1" si="33"/>
        <v>0</v>
      </c>
      <c r="X65" s="186">
        <f ca="1">IFERROR(__xludf.DUMMYFUNCTION("IMPORTRANGE(""https://docs.google.com/spreadsheets/d/1CdNicvf3i6yt4tJlCePe3V1Va76wYqW0QzMzTsaGRrA/edit?usp=sharing"",""เพชรบุรี!J702"")"),0)</f>
        <v>0</v>
      </c>
      <c r="Y65" s="186">
        <f ca="1">IFERROR(__xludf.DUMMYFUNCTION("IMPORTRANGE(""https://docs.google.com/spreadsheets/d/1CdNicvf3i6yt4tJlCePe3V1Va76wYqW0QzMzTsaGRrA/edit?usp=sharing"",""เพชรบุรี!J703"")"),0)</f>
        <v>0</v>
      </c>
      <c r="Z65" s="186">
        <f ca="1">IFERROR(__xludf.DUMMYFUNCTION("IMPORTRANGE(""https://docs.google.com/spreadsheets/d/1CdNicvf3i6yt4tJlCePe3V1Va76wYqW0QzMzTsaGRrA/edit?usp=sharing"",""เพชรบุรี!J704"")"),0)</f>
        <v>0</v>
      </c>
      <c r="AA65" s="186">
        <f ca="1">IFERROR(__xludf.DUMMYFUNCTION("IMPORTRANGE(""https://docs.google.com/spreadsheets/d/1CdNicvf3i6yt4tJlCePe3V1Va76wYqW0QzMzTsaGRrA/edit?usp=sharing"",""เพชรบุรี!J705"")"),0)</f>
        <v>0</v>
      </c>
      <c r="AB65" s="186">
        <f ca="1">IFERROR(__xludf.DUMMYFUNCTION("IMPORTRANGE(""https://docs.google.com/spreadsheets/d/1CdNicvf3i6yt4tJlCePe3V1Va76wYqW0QzMzTsaGRrA/edit?usp=sharing"",""เพชรบุรี!J706"")"),0)</f>
        <v>0</v>
      </c>
      <c r="AC65" s="186">
        <f ca="1">IFERROR(__xludf.DUMMYFUNCTION("IMPORTRANGE(""https://docs.google.com/spreadsheets/d/1CdNicvf3i6yt4tJlCePe3V1Va76wYqW0QzMzTsaGRrA/edit?usp=sharing"",""เพชรบุรี!J707"")"),0)</f>
        <v>0</v>
      </c>
      <c r="AD65" s="181">
        <f ca="1">IFERROR(__xludf.DUMMYFUNCTION("IMPORTRANGE(""https://docs.google.com/spreadsheets/d/1CdNicvf3i6yt4tJlCePe3V1Va76wYqW0QzMzTsaGRrA/edit?usp=sharing"",""เพชรบุรี!I708"")"),0)</f>
        <v>0</v>
      </c>
      <c r="AE65" s="181">
        <f ca="1">IFERROR(__xludf.DUMMYFUNCTION("IMPORTRANGE(""https://docs.google.com/spreadsheets/d/1CdNicvf3i6yt4tJlCePe3V1Va76wYqW0QzMzTsaGRrA/edit?usp=sharing"",""เพชรบุรี!J708"")"),0)</f>
        <v>0</v>
      </c>
      <c r="AF65" s="186">
        <f t="shared" ca="1" si="34"/>
        <v>0</v>
      </c>
      <c r="AG65" s="181">
        <f ca="1">IFERROR(__xludf.DUMMYFUNCTION("IMPORTRANGE(""https://docs.google.com/spreadsheets/d/1CdNicvf3i6yt4tJlCePe3V1Va76wYqW0QzMzTsaGRrA/edit?usp=sharing"",""เพชรบุรี!J709"")"),0)</f>
        <v>0</v>
      </c>
      <c r="AH65" s="181">
        <f ca="1">IFERROR(__xludf.DUMMYFUNCTION("IMPORTRANGE(""https://docs.google.com/spreadsheets/d/1CdNicvf3i6yt4tJlCePe3V1Va76wYqW0QzMzTsaGRrA/edit?usp=sharing"",""เพชรบุรี!J710"")"),0)</f>
        <v>0</v>
      </c>
      <c r="AI65" s="181">
        <f ca="1">IFERROR(__xludf.DUMMYFUNCTION("IMPORTRANGE(""https://docs.google.com/spreadsheets/d/1CdNicvf3i6yt4tJlCePe3V1Va76wYqW0QzMzTsaGRrA/edit?usp=sharing"",""เพชรบุรี!J712"")"),0)</f>
        <v>0</v>
      </c>
      <c r="AJ65" s="181">
        <f ca="1">IFERROR(__xludf.DUMMYFUNCTION("IMPORTRANGE(""https://docs.google.com/spreadsheets/d/1CdNicvf3i6yt4tJlCePe3V1Va76wYqW0QzMzTsaGRrA/edit?usp=sharing"",""เพชรบุรี!J713"")"),0)</f>
        <v>0</v>
      </c>
      <c r="AK65" s="181">
        <f ca="1">IFERROR(__xludf.DUMMYFUNCTION("IMPORTRANGE(""https://docs.google.com/spreadsheets/d/1CdNicvf3i6yt4tJlCePe3V1Va76wYqW0QzMzTsaGRrA/edit?usp=sharing"",""เพชรบุรี!J714"")"),0)</f>
        <v>0</v>
      </c>
      <c r="AL65" s="181">
        <f ca="1">IFERROR(__xludf.DUMMYFUNCTION("IMPORTRANGE(""https://docs.google.com/spreadsheets/d/1CdNicvf3i6yt4tJlCePe3V1Va76wYqW0QzMzTsaGRrA/edit?usp=sharing"",""เพชรบุรี!J715"")"),0)</f>
        <v>0</v>
      </c>
      <c r="AM65" s="181">
        <f ca="1">IFERROR(__xludf.DUMMYFUNCTION("IMPORTRANGE(""https://docs.google.com/spreadsheets/d/1CdNicvf3i6yt4tJlCePe3V1Va76wYqW0QzMzTsaGRrA/edit?usp=sharing"",""เพชรบุรี!J716"")"),0)</f>
        <v>0</v>
      </c>
      <c r="AN65" s="181">
        <f ca="1">IFERROR(__xludf.DUMMYFUNCTION("IMPORTRANGE(""https://docs.google.com/spreadsheets/d/1CdNicvf3i6yt4tJlCePe3V1Va76wYqW0QzMzTsaGRrA/edit?usp=sharing"",""เพชรบุรี!J717"")"),0)</f>
        <v>0</v>
      </c>
      <c r="AO65" s="181">
        <f ca="1">IFERROR(__xludf.DUMMYFUNCTION("IMPORTRANGE(""https://docs.google.com/spreadsheets/d/1CdNicvf3i6yt4tJlCePe3V1Va76wYqW0QzMzTsaGRrA/edit?usp=sharing"",""เพชรบุรี!I720"")"),0)</f>
        <v>0</v>
      </c>
      <c r="AP65" s="181">
        <f ca="1">IFERROR(__xludf.DUMMYFUNCTION("IMPORTRANGE(""https://docs.google.com/spreadsheets/d/1CdNicvf3i6yt4tJlCePe3V1Va76wYqW0QzMzTsaGRrA/edit?usp=sharing"",""เพชรบุรี!J718"")"),0)</f>
        <v>0</v>
      </c>
      <c r="AQ65" s="181">
        <f ca="1">IFERROR(__xludf.DUMMYFUNCTION("IMPORTRANGE(""https://docs.google.com/spreadsheets/d/1CdNicvf3i6yt4tJlCePe3V1Va76wYqW0QzMzTsaGRrA/edit?usp=sharing"",""เพชรบุรี!J719"")"),0)</f>
        <v>0</v>
      </c>
      <c r="AR65" s="181">
        <f ca="1">IFERROR(__xludf.DUMMYFUNCTION("IMPORTRANGE(""https://docs.google.com/spreadsheets/d/1CdNicvf3i6yt4tJlCePe3V1Va76wYqW0QzMzTsaGRrA/edit?usp=sharing"",""เพชรบุรี!J720"")"),0)</f>
        <v>0</v>
      </c>
      <c r="AS65" s="186">
        <f t="shared" ca="1" si="14"/>
        <v>0</v>
      </c>
      <c r="AT65" s="181">
        <f ca="1">IFERROR(__xludf.DUMMYFUNCTION("IMPORTRANGE(""https://docs.google.com/spreadsheets/d/1CdNicvf3i6yt4tJlCePe3V1Va76wYqW0QzMzTsaGRrA/edit?usp=sharing"",""เพชรบุรี!I721"")"),16)</f>
        <v>16</v>
      </c>
      <c r="AU65" s="181">
        <f ca="1">IFERROR(__xludf.DUMMYFUNCTION("IMPORTRANGE(""https://docs.google.com/spreadsheets/d/1CdNicvf3i6yt4tJlCePe3V1Va76wYqW0QzMzTsaGRrA/edit?usp=sharing"",""เพชรบุรี!I722"")"),224)</f>
        <v>224</v>
      </c>
      <c r="AV65" s="181">
        <f ca="1">IFERROR(__xludf.DUMMYFUNCTION("IMPORTRANGE(""https://docs.google.com/spreadsheets/d/1CdNicvf3i6yt4tJlCePe3V1Va76wYqW0QzMzTsaGRrA/edit?usp=sharing"",""เพชรบุรี!J721"")"),0)</f>
        <v>0</v>
      </c>
      <c r="AW65" s="186">
        <f t="shared" ca="1" si="16"/>
        <v>0</v>
      </c>
      <c r="AX65" s="181">
        <f ca="1">IFERROR(__xludf.DUMMYFUNCTION("IMPORTRANGE(""https://docs.google.com/spreadsheets/d/1CdNicvf3i6yt4tJlCePe3V1Va76wYqW0QzMzTsaGRrA/edit?usp=sharing"",""เพชรบุรี!J722"")"),0)</f>
        <v>0</v>
      </c>
      <c r="AY65" s="186">
        <f t="shared" ca="1" si="17"/>
        <v>0</v>
      </c>
      <c r="AZ65" s="181">
        <f ca="1">IFERROR(__xludf.DUMMYFUNCTION("IMPORTRANGE(""https://docs.google.com/spreadsheets/d/1CdNicvf3i6yt4tJlCePe3V1Va76wYqW0QzMzTsaGRrA/edit?usp=sharing"",""เพชรบุรี!I723"")"),12)</f>
        <v>12</v>
      </c>
      <c r="BA65" s="181">
        <f ca="1">IFERROR(__xludf.DUMMYFUNCTION("IMPORTRANGE(""https://docs.google.com/spreadsheets/d/1CdNicvf3i6yt4tJlCePe3V1Va76wYqW0QzMzTsaGRrA/edit?usp=sharing"",""เพชรบุรี!I725"")"),168)</f>
        <v>168</v>
      </c>
      <c r="BB65" s="181">
        <f ca="1">IFERROR(__xludf.DUMMYFUNCTION("IMPORTRANGE(""https://docs.google.com/spreadsheets/d/1CdNicvf3i6yt4tJlCePe3V1Va76wYqW0QzMzTsaGRrA/edit?usp=sharing"",""เพชรบุรี!J723"")"),0)</f>
        <v>0</v>
      </c>
      <c r="BC65" s="181">
        <f ca="1">IFERROR(__xludf.DUMMYFUNCTION("IMPORTRANGE(""https://docs.google.com/spreadsheets/d/1CdNicvf3i6yt4tJlCePe3V1Va76wYqW0QzMzTsaGRrA/edit?usp=sharing"",""เพชรบุรี!J724"")"),0)</f>
        <v>0</v>
      </c>
      <c r="BD65" s="181">
        <f ca="1">IFERROR(__xludf.DUMMYFUNCTION("IMPORTRANGE(""https://docs.google.com/spreadsheets/d/1CdNicvf3i6yt4tJlCePe3V1Va76wYqW0QzMzTsaGRrA/edit?usp=sharing"",""เพชรบุรี!J725"")"),0)</f>
        <v>0</v>
      </c>
      <c r="BE65" s="181">
        <f ca="1">IFERROR(__xludf.DUMMYFUNCTION("IMPORTRANGE(""https://docs.google.com/spreadsheets/d/1CdNicvf3i6yt4tJlCePe3V1Va76wYqW0QzMzTsaGRrA/edit?usp=sharing"",""เพชรบุรี!I726"")"),4)</f>
        <v>4</v>
      </c>
      <c r="BF65" s="181">
        <f ca="1">IFERROR(__xludf.DUMMYFUNCTION("IMPORTRANGE(""https://docs.google.com/spreadsheets/d/1CdNicvf3i6yt4tJlCePe3V1Va76wYqW0QzMzTsaGRrA/edit?usp=sharing"",""เพชรบุรี!I728"")"),56)</f>
        <v>56</v>
      </c>
      <c r="BG65" s="181">
        <f ca="1">IFERROR(__xludf.DUMMYFUNCTION("IMPORTRANGE(""https://docs.google.com/spreadsheets/d/1CdNicvf3i6yt4tJlCePe3V1Va76wYqW0QzMzTsaGRrA/edit?usp=sharing"",""เพชรบุรี!J726"")"),0)</f>
        <v>0</v>
      </c>
      <c r="BH65" s="181">
        <f ca="1">IFERROR(__xludf.DUMMYFUNCTION("IMPORTRANGE(""https://docs.google.com/spreadsheets/d/1CdNicvf3i6yt4tJlCePe3V1Va76wYqW0QzMzTsaGRrA/edit?usp=sharing"",""เพชรบุรี!J727"")"),0)</f>
        <v>0</v>
      </c>
      <c r="BI65" s="181">
        <f ca="1">IFERROR(__xludf.DUMMYFUNCTION("IMPORTRANGE(""https://docs.google.com/spreadsheets/d/1CdNicvf3i6yt4tJlCePe3V1Va76wYqW0QzMzTsaGRrA/edit?usp=sharing"",""เพชรบุรี!J728"")"),0)</f>
        <v>0</v>
      </c>
      <c r="BJ65" s="181">
        <f ca="1">IFERROR(__xludf.DUMMYFUNCTION("IMPORTRANGE(""https://docs.google.com/spreadsheets/d/1CdNicvf3i6yt4tJlCePe3V1Va76wYqW0QzMzTsaGRrA/edit?usp=sharing"",""เพชรบุรี!I729"")"),0)</f>
        <v>0</v>
      </c>
      <c r="BK65" s="181">
        <f ca="1">IFERROR(__xludf.DUMMYFUNCTION("IMPORTRANGE(""https://docs.google.com/spreadsheets/d/1CdNicvf3i6yt4tJlCePe3V1Va76wYqW0QzMzTsaGRrA/edit?usp=sharing"",""เพชรบุรี!J729"")"),0)</f>
        <v>0</v>
      </c>
      <c r="BL65" s="186">
        <f t="shared" ca="1" si="19"/>
        <v>0</v>
      </c>
      <c r="BM65" s="181">
        <f ca="1">IFERROR(__xludf.DUMMYFUNCTION("IMPORTRANGE(""https://docs.google.com/spreadsheets/d/1CdNicvf3i6yt4tJlCePe3V1Va76wYqW0QzMzTsaGRrA/edit?usp=sharing"",""เพชรบุรี!J730"")"),0)</f>
        <v>0</v>
      </c>
      <c r="BN65" s="181">
        <f ca="1">IFERROR(__xludf.DUMMYFUNCTION("IMPORTRANGE(""https://docs.google.com/spreadsheets/d/1CdNicvf3i6yt4tJlCePe3V1Va76wYqW0QzMzTsaGRrA/edit?usp=sharing"",""เพชรบุรี!J731"")"),0)</f>
        <v>0</v>
      </c>
      <c r="BO65" s="181">
        <f ca="1">IFERROR(__xludf.DUMMYFUNCTION("IMPORTRANGE(""https://docs.google.com/spreadsheets/d/1CdNicvf3i6yt4tJlCePe3V1Va76wYqW0QzMzTsaGRrA/edit?usp=sharing"",""เพชรบุรี!J732"")"),0)</f>
        <v>0</v>
      </c>
      <c r="BP65" s="181">
        <f ca="1">IFERROR(__xludf.DUMMYFUNCTION("IMPORTRANGE(""https://docs.google.com/spreadsheets/d/1CdNicvf3i6yt4tJlCePe3V1Va76wYqW0QzMzTsaGRrA/edit?usp=sharing"",""เพชรบุรี!J733"")"),0)</f>
        <v>0</v>
      </c>
      <c r="BQ65" s="181">
        <f ca="1">IFERROR(__xludf.DUMMYFUNCTION("IMPORTRANGE(""https://docs.google.com/spreadsheets/d/1CdNicvf3i6yt4tJlCePe3V1Va76wYqW0QzMzTsaGRrA/edit?usp=sharing"",""เพชรบุรี!J734"")"),0)</f>
        <v>0</v>
      </c>
      <c r="BR65" s="181">
        <f ca="1">IFERROR(__xludf.DUMMYFUNCTION("IMPORTRANGE(""https://docs.google.com/spreadsheets/d/1CdNicvf3i6yt4tJlCePe3V1Va76wYqW0QzMzTsaGRrA/edit?usp=sharing"",""เพชรบุรี!J735"")"),0)</f>
        <v>0</v>
      </c>
    </row>
    <row r="66" spans="1:70" ht="21" customHeight="1" x14ac:dyDescent="0.3">
      <c r="A66" s="178">
        <v>14</v>
      </c>
      <c r="B66" s="179" t="s">
        <v>83</v>
      </c>
      <c r="C66" s="180">
        <f t="shared" ca="1" si="70"/>
        <v>0</v>
      </c>
      <c r="D66" s="206">
        <f ca="1">IFERROR(__xludf.DUMMYFUNCTION("IMPORTRANGE(""https://docs.google.com/spreadsheets/d/1XiF77UIVHV0Kjc6xbXuOuJ10WgJYxd4p_22ngKVV5oM/edit?usp=sharing"",""ระยอง!L690"")"),0)</f>
        <v>0</v>
      </c>
      <c r="E66" s="187">
        <f ca="1">IFERROR(__xludf.DUMMYFUNCTION("IMPORTRANGE(""https://docs.google.com/spreadsheets/d/1XiF77UIVHV0Kjc6xbXuOuJ10WgJYxd4p_22ngKVV5oM/edit?usp=sharing"",""ระยอง!L697"")"),0)</f>
        <v>0</v>
      </c>
      <c r="F66" s="182">
        <f t="shared" ca="1" si="1"/>
        <v>0</v>
      </c>
      <c r="G66" s="183">
        <f t="shared" ca="1" si="2"/>
        <v>0</v>
      </c>
      <c r="H66" s="184">
        <f t="shared" ca="1" si="71"/>
        <v>0</v>
      </c>
      <c r="I66" s="187">
        <f ca="1">IFERROR(__xludf.DUMMYFUNCTION("IMPORTRANGE(""https://docs.google.com/spreadsheets/d/1XiF77UIVHV0Kjc6xbXuOuJ10WgJYxd4p_22ngKVV5oM/edit?usp=sharing"",""ระยอง!N691"")"),0)</f>
        <v>0</v>
      </c>
      <c r="J66" s="187">
        <f ca="1">IFERROR(__xludf.DUMMYFUNCTION("IMPORTRANGE(""https://docs.google.com/spreadsheets/d/1XiF77UIVHV0Kjc6xbXuOuJ10WgJYxd4p_22ngKVV5oM/edit?usp=sharing"",""ระยอง!N692"")"),0)</f>
        <v>0</v>
      </c>
      <c r="K66" s="187">
        <f ca="1">IFERROR(__xludf.DUMMYFUNCTION("IMPORTRANGE(""https://docs.google.com/spreadsheets/d/1XiF77UIVHV0Kjc6xbXuOuJ10WgJYxd4p_22ngKVV5oM/edit?usp=sharing"",""ระยอง!N693"")"),0)</f>
        <v>0</v>
      </c>
      <c r="L66" s="187">
        <f ca="1">IFERROR(__xludf.DUMMYFUNCTION("IMPORTRANGE(""https://docs.google.com/spreadsheets/d/1XiF77UIVHV0Kjc6xbXuOuJ10WgJYxd4p_22ngKVV5oM/edit?usp=sharing"",""ระยอง!N694"")"),0)</f>
        <v>0</v>
      </c>
      <c r="M66" s="185">
        <f ca="1">IFERROR(__xludf.DUMMYFUNCTION("IMPORTRANGE(""https://docs.google.com/spreadsheets/d/1XiF77UIVHV0Kjc6xbXuOuJ10WgJYxd4p_22ngKVV5oM/edit?usp=sharing"",""ระยอง!N697"")"),0)</f>
        <v>0</v>
      </c>
      <c r="N66" s="185">
        <f t="shared" ca="1" si="37"/>
        <v>0</v>
      </c>
      <c r="O66" s="181">
        <f ca="1">IFERROR(__xludf.DUMMYFUNCTION("IMPORTRANGE(""https://docs.google.com/spreadsheets/d/1XiF77UIVHV0Kjc6xbXuOuJ10WgJYxd4p_22ngKVV5oM/edit?usp=sharing"",""ระยอง!I699"")"),0)</f>
        <v>0</v>
      </c>
      <c r="P66" s="181">
        <f ca="1">IFERROR(__xludf.DUMMYFUNCTION("IMPORTRANGE(""https://docs.google.com/spreadsheets/d/1XiF77UIVHV0Kjc6xbXuOuJ10WgJYxd4p_22ngKVV5oM/edit?usp=sharing"",""ระยอง!J699"")"),0)</f>
        <v>0</v>
      </c>
      <c r="Q66" s="186">
        <f t="shared" ca="1" si="31"/>
        <v>0</v>
      </c>
      <c r="R66" s="181">
        <f ca="1">IFERROR(__xludf.DUMMYFUNCTION("IMPORTRANGE(""https://docs.google.com/spreadsheets/d/1XiF77UIVHV0Kjc6xbXuOuJ10WgJYxd4p_22ngKVV5oM/edit?usp=sharing"",""ระยอง!I700"")"),0)</f>
        <v>0</v>
      </c>
      <c r="S66" s="181">
        <f ca="1">IFERROR(__xludf.DUMMYFUNCTION("IMPORTRANGE(""https://docs.google.com/spreadsheets/d/1XiF77UIVHV0Kjc6xbXuOuJ10WgJYxd4p_22ngKVV5oM/edit?usp=sharing"",""ระยอง!J700"")"),0)</f>
        <v>0</v>
      </c>
      <c r="T66" s="186">
        <f t="shared" ca="1" si="32"/>
        <v>0</v>
      </c>
      <c r="U66" s="181">
        <f ca="1">IFERROR(__xludf.DUMMYFUNCTION("IMPORTRANGE(""https://docs.google.com/spreadsheets/d/1XiF77UIVHV0Kjc6xbXuOuJ10WgJYxd4p_22ngKVV5oM/edit?usp=sharing"",""ระยอง!I701"")"),0)</f>
        <v>0</v>
      </c>
      <c r="V66" s="181">
        <f ca="1">IFERROR(__xludf.DUMMYFUNCTION("IMPORTRANGE(""https://docs.google.com/spreadsheets/d/1XiF77UIVHV0Kjc6xbXuOuJ10WgJYxd4p_22ngKVV5oM/edit?usp=sharing"",""ระยอง!J701"")"),0)</f>
        <v>0</v>
      </c>
      <c r="W66" s="186">
        <f t="shared" ca="1" si="33"/>
        <v>0</v>
      </c>
      <c r="X66" s="186">
        <f ca="1">IFERROR(__xludf.DUMMYFUNCTION("IMPORTRANGE(""https://docs.google.com/spreadsheets/d/1XiF77UIVHV0Kjc6xbXuOuJ10WgJYxd4p_22ngKVV5oM/edit?usp=sharing"",""ระยอง!J702"")"),0)</f>
        <v>0</v>
      </c>
      <c r="Y66" s="186">
        <f ca="1">IFERROR(__xludf.DUMMYFUNCTION("IMPORTRANGE(""https://docs.google.com/spreadsheets/d/1XiF77UIVHV0Kjc6xbXuOuJ10WgJYxd4p_22ngKVV5oM/edit?usp=sharing"",""ระยอง!J703"")"),0)</f>
        <v>0</v>
      </c>
      <c r="Z66" s="186">
        <f ca="1">IFERROR(__xludf.DUMMYFUNCTION("IMPORTRANGE(""https://docs.google.com/spreadsheets/d/1XiF77UIVHV0Kjc6xbXuOuJ10WgJYxd4p_22ngKVV5oM/edit?usp=sharing"",""ระยอง!J704"")"),0)</f>
        <v>0</v>
      </c>
      <c r="AA66" s="186">
        <f ca="1">IFERROR(__xludf.DUMMYFUNCTION("IMPORTRANGE(""https://docs.google.com/spreadsheets/d/1XiF77UIVHV0Kjc6xbXuOuJ10WgJYxd4p_22ngKVV5oM/edit?usp=sharing"",""ระยอง!J705"")"),0)</f>
        <v>0</v>
      </c>
      <c r="AB66" s="186">
        <f ca="1">IFERROR(__xludf.DUMMYFUNCTION("IMPORTRANGE(""https://docs.google.com/spreadsheets/d/1XiF77UIVHV0Kjc6xbXuOuJ10WgJYxd4p_22ngKVV5oM/edit?usp=sharing"",""ระยอง!J706"")"),0)</f>
        <v>0</v>
      </c>
      <c r="AC66" s="186">
        <f ca="1">IFERROR(__xludf.DUMMYFUNCTION("IMPORTRANGE(""https://docs.google.com/spreadsheets/d/1XiF77UIVHV0Kjc6xbXuOuJ10WgJYxd4p_22ngKVV5oM/edit?usp=sharing"",""ระยอง!J707"")"),0)</f>
        <v>0</v>
      </c>
      <c r="AD66" s="181">
        <f ca="1">IFERROR(__xludf.DUMMYFUNCTION("IMPORTRANGE(""https://docs.google.com/spreadsheets/d/1XiF77UIVHV0Kjc6xbXuOuJ10WgJYxd4p_22ngKVV5oM/edit?usp=sharing"",""ระยอง!I708"")"),0)</f>
        <v>0</v>
      </c>
      <c r="AE66" s="181">
        <f ca="1">IFERROR(__xludf.DUMMYFUNCTION("IMPORTRANGE(""https://docs.google.com/spreadsheets/d/1XiF77UIVHV0Kjc6xbXuOuJ10WgJYxd4p_22ngKVV5oM/edit?usp=sharing"",""ระยอง!J708"")"),0)</f>
        <v>0</v>
      </c>
      <c r="AF66" s="186">
        <f t="shared" ca="1" si="34"/>
        <v>0</v>
      </c>
      <c r="AG66" s="181">
        <f ca="1">IFERROR(__xludf.DUMMYFUNCTION("IMPORTRANGE(""https://docs.google.com/spreadsheets/d/1XiF77UIVHV0Kjc6xbXuOuJ10WgJYxd4p_22ngKVV5oM/edit?usp=sharing"",""ระยอง!J709"")"),0)</f>
        <v>0</v>
      </c>
      <c r="AH66" s="181">
        <f ca="1">IFERROR(__xludf.DUMMYFUNCTION("IMPORTRANGE(""https://docs.google.com/spreadsheets/d/1XiF77UIVHV0Kjc6xbXuOuJ10WgJYxd4p_22ngKVV5oM/edit?usp=sharing"",""ระยอง!J710"")"),0)</f>
        <v>0</v>
      </c>
      <c r="AI66" s="181">
        <f ca="1">IFERROR(__xludf.DUMMYFUNCTION("IMPORTRANGE(""https://docs.google.com/spreadsheets/d/1XiF77UIVHV0Kjc6xbXuOuJ10WgJYxd4p_22ngKVV5oM/edit?usp=sharing"",""ระยอง!J712"")"),0)</f>
        <v>0</v>
      </c>
      <c r="AJ66" s="181">
        <f ca="1">IFERROR(__xludf.DUMMYFUNCTION("IMPORTRANGE(""https://docs.google.com/spreadsheets/d/1XiF77UIVHV0Kjc6xbXuOuJ10WgJYxd4p_22ngKVV5oM/edit?usp=sharing"",""ระยอง!J713"")"),0)</f>
        <v>0</v>
      </c>
      <c r="AK66" s="181">
        <f ca="1">IFERROR(__xludf.DUMMYFUNCTION("IMPORTRANGE(""https://docs.google.com/spreadsheets/d/1XiF77UIVHV0Kjc6xbXuOuJ10WgJYxd4p_22ngKVV5oM/edit?usp=sharing"",""ระยอง!J714"")"),0)</f>
        <v>0</v>
      </c>
      <c r="AL66" s="181">
        <f ca="1">IFERROR(__xludf.DUMMYFUNCTION("IMPORTRANGE(""https://docs.google.com/spreadsheets/d/1XiF77UIVHV0Kjc6xbXuOuJ10WgJYxd4p_22ngKVV5oM/edit?usp=sharing"",""ระยอง!J715"")"),0)</f>
        <v>0</v>
      </c>
      <c r="AM66" s="181">
        <f ca="1">IFERROR(__xludf.DUMMYFUNCTION("IMPORTRANGE(""https://docs.google.com/spreadsheets/d/1XiF77UIVHV0Kjc6xbXuOuJ10WgJYxd4p_22ngKVV5oM/edit?usp=sharing"",""ระยอง!J716"")"),0)</f>
        <v>0</v>
      </c>
      <c r="AN66" s="181">
        <f ca="1">IFERROR(__xludf.DUMMYFUNCTION("IMPORTRANGE(""https://docs.google.com/spreadsheets/d/1XiF77UIVHV0Kjc6xbXuOuJ10WgJYxd4p_22ngKVV5oM/edit?usp=sharing"",""ระยอง!J717"")"),0)</f>
        <v>0</v>
      </c>
      <c r="AO66" s="181">
        <f ca="1">IFERROR(__xludf.DUMMYFUNCTION("IMPORTRANGE(""https://docs.google.com/spreadsheets/d/1XiF77UIVHV0Kjc6xbXuOuJ10WgJYxd4p_22ngKVV5oM/edit?usp=sharing"",""ระยอง!I720"")"),0)</f>
        <v>0</v>
      </c>
      <c r="AP66" s="181">
        <f ca="1">IFERROR(__xludf.DUMMYFUNCTION("IMPORTRANGE(""https://docs.google.com/spreadsheets/d/1XiF77UIVHV0Kjc6xbXuOuJ10WgJYxd4p_22ngKVV5oM/edit?usp=sharing"",""ระยอง!J718"")"),0)</f>
        <v>0</v>
      </c>
      <c r="AQ66" s="181">
        <f ca="1">IFERROR(__xludf.DUMMYFUNCTION("IMPORTRANGE(""https://docs.google.com/spreadsheets/d/1XiF77UIVHV0Kjc6xbXuOuJ10WgJYxd4p_22ngKVV5oM/edit?usp=sharing"",""ระยอง!J719"")"),0)</f>
        <v>0</v>
      </c>
      <c r="AR66" s="181">
        <f ca="1">IFERROR(__xludf.DUMMYFUNCTION("IMPORTRANGE(""https://docs.google.com/spreadsheets/d/1XiF77UIVHV0Kjc6xbXuOuJ10WgJYxd4p_22ngKVV5oM/edit?usp=sharing"",""ระยอง!J720"")"),0)</f>
        <v>0</v>
      </c>
      <c r="AS66" s="186">
        <f t="shared" ca="1" si="14"/>
        <v>0</v>
      </c>
      <c r="AT66" s="181">
        <f ca="1">IFERROR(__xludf.DUMMYFUNCTION("IMPORTRANGE(""https://docs.google.com/spreadsheets/d/1XiF77UIVHV0Kjc6xbXuOuJ10WgJYxd4p_22ngKVV5oM/edit?usp=sharing"",""ระยอง!I721"")"),0)</f>
        <v>0</v>
      </c>
      <c r="AU66" s="181">
        <f ca="1">IFERROR(__xludf.DUMMYFUNCTION("IMPORTRANGE(""https://docs.google.com/spreadsheets/d/1XiF77UIVHV0Kjc6xbXuOuJ10WgJYxd4p_22ngKVV5oM/edit?usp=sharing"",""ระยอง!I722"")"),0)</f>
        <v>0</v>
      </c>
      <c r="AV66" s="181">
        <f ca="1">IFERROR(__xludf.DUMMYFUNCTION("IMPORTRANGE(""https://docs.google.com/spreadsheets/d/1XiF77UIVHV0Kjc6xbXuOuJ10WgJYxd4p_22ngKVV5oM/edit?usp=sharing"",""ระยอง!J721"")"),0)</f>
        <v>0</v>
      </c>
      <c r="AW66" s="186">
        <f t="shared" ca="1" si="16"/>
        <v>0</v>
      </c>
      <c r="AX66" s="181">
        <f ca="1">IFERROR(__xludf.DUMMYFUNCTION("IMPORTRANGE(""https://docs.google.com/spreadsheets/d/1XiF77UIVHV0Kjc6xbXuOuJ10WgJYxd4p_22ngKVV5oM/edit?usp=sharing"",""ระยอง!J722"")"),0)</f>
        <v>0</v>
      </c>
      <c r="AY66" s="186">
        <f t="shared" ca="1" si="17"/>
        <v>0</v>
      </c>
      <c r="AZ66" s="181">
        <f ca="1">IFERROR(__xludf.DUMMYFUNCTION("IMPORTRANGE(""https://docs.google.com/spreadsheets/d/1XiF77UIVHV0Kjc6xbXuOuJ10WgJYxd4p_22ngKVV5oM/edit?usp=sharing"",""ระยอง!I723"")"),0)</f>
        <v>0</v>
      </c>
      <c r="BA66" s="181">
        <f ca="1">IFERROR(__xludf.DUMMYFUNCTION("IMPORTRANGE(""https://docs.google.com/spreadsheets/d/1XiF77UIVHV0Kjc6xbXuOuJ10WgJYxd4p_22ngKVV5oM/edit?usp=sharing"",""ระยอง!I725"")"),0)</f>
        <v>0</v>
      </c>
      <c r="BB66" s="181">
        <f ca="1">IFERROR(__xludf.DUMMYFUNCTION("IMPORTRANGE(""https://docs.google.com/spreadsheets/d/1XiF77UIVHV0Kjc6xbXuOuJ10WgJYxd4p_22ngKVV5oM/edit?usp=sharing"",""ระยอง!J723"")"),0)</f>
        <v>0</v>
      </c>
      <c r="BC66" s="181">
        <f ca="1">IFERROR(__xludf.DUMMYFUNCTION("IMPORTRANGE(""https://docs.google.com/spreadsheets/d/1XiF77UIVHV0Kjc6xbXuOuJ10WgJYxd4p_22ngKVV5oM/edit?usp=sharing"",""ระยอง!J724"")"),0)</f>
        <v>0</v>
      </c>
      <c r="BD66" s="181">
        <f ca="1">IFERROR(__xludf.DUMMYFUNCTION("IMPORTRANGE(""https://docs.google.com/spreadsheets/d/1XiF77UIVHV0Kjc6xbXuOuJ10WgJYxd4p_22ngKVV5oM/edit?usp=sharing"",""ระยอง!J725"")"),0)</f>
        <v>0</v>
      </c>
      <c r="BE66" s="181">
        <f ca="1">IFERROR(__xludf.DUMMYFUNCTION("IMPORTRANGE(""https://docs.google.com/spreadsheets/d/1XiF77UIVHV0Kjc6xbXuOuJ10WgJYxd4p_22ngKVV5oM/edit?usp=sharing"",""ระยอง!I726"")"),0)</f>
        <v>0</v>
      </c>
      <c r="BF66" s="181">
        <f ca="1">IFERROR(__xludf.DUMMYFUNCTION("IMPORTRANGE(""https://docs.google.com/spreadsheets/d/1XiF77UIVHV0Kjc6xbXuOuJ10WgJYxd4p_22ngKVV5oM/edit?usp=sharing"",""ระยอง!I728"")"),0)</f>
        <v>0</v>
      </c>
      <c r="BG66" s="181">
        <f ca="1">IFERROR(__xludf.DUMMYFUNCTION("IMPORTRANGE(""https://docs.google.com/spreadsheets/d/1XiF77UIVHV0Kjc6xbXuOuJ10WgJYxd4p_22ngKVV5oM/edit?usp=sharing"",""ระยอง!J726"")"),0)</f>
        <v>0</v>
      </c>
      <c r="BH66" s="181">
        <f ca="1">IFERROR(__xludf.DUMMYFUNCTION("IMPORTRANGE(""https://docs.google.com/spreadsheets/d/1XiF77UIVHV0Kjc6xbXuOuJ10WgJYxd4p_22ngKVV5oM/edit?usp=sharing"",""ระยอง!J727"")"),0)</f>
        <v>0</v>
      </c>
      <c r="BI66" s="181">
        <f ca="1">IFERROR(__xludf.DUMMYFUNCTION("IMPORTRANGE(""https://docs.google.com/spreadsheets/d/1XiF77UIVHV0Kjc6xbXuOuJ10WgJYxd4p_22ngKVV5oM/edit?usp=sharing"",""ระยอง!J728"")"),0)</f>
        <v>0</v>
      </c>
      <c r="BJ66" s="181">
        <f ca="1">IFERROR(__xludf.DUMMYFUNCTION("IMPORTRANGE(""https://docs.google.com/spreadsheets/d/1XiF77UIVHV0Kjc6xbXuOuJ10WgJYxd4p_22ngKVV5oM/edit?usp=sharing"",""ระยอง!I729"")"),0)</f>
        <v>0</v>
      </c>
      <c r="BK66" s="181">
        <f ca="1">IFERROR(__xludf.DUMMYFUNCTION("IMPORTRANGE(""https://docs.google.com/spreadsheets/d/1XiF77UIVHV0Kjc6xbXuOuJ10WgJYxd4p_22ngKVV5oM/edit?usp=sharing"",""ระยอง!J729"")"),0)</f>
        <v>0</v>
      </c>
      <c r="BL66" s="186">
        <f t="shared" ca="1" si="19"/>
        <v>0</v>
      </c>
      <c r="BM66" s="181">
        <f ca="1">IFERROR(__xludf.DUMMYFUNCTION("IMPORTRANGE(""https://docs.google.com/spreadsheets/d/1XiF77UIVHV0Kjc6xbXuOuJ10WgJYxd4p_22ngKVV5oM/edit?usp=sharing"",""ระยอง!J730"")"),0)</f>
        <v>0</v>
      </c>
      <c r="BN66" s="181">
        <f ca="1">IFERROR(__xludf.DUMMYFUNCTION("IMPORTRANGE(""https://docs.google.com/spreadsheets/d/1XiF77UIVHV0Kjc6xbXuOuJ10WgJYxd4p_22ngKVV5oM/edit?usp=sharing"",""ระยอง!J731"")"),0)</f>
        <v>0</v>
      </c>
      <c r="BO66" s="181">
        <f ca="1">IFERROR(__xludf.DUMMYFUNCTION("IMPORTRANGE(""https://docs.google.com/spreadsheets/d/1XiF77UIVHV0Kjc6xbXuOuJ10WgJYxd4p_22ngKVV5oM/edit?usp=sharing"",""ระยอง!J732"")"),0)</f>
        <v>0</v>
      </c>
      <c r="BP66" s="181">
        <f ca="1">IFERROR(__xludf.DUMMYFUNCTION("IMPORTRANGE(""https://docs.google.com/spreadsheets/d/1XiF77UIVHV0Kjc6xbXuOuJ10WgJYxd4p_22ngKVV5oM/edit?usp=sharing"",""ระยอง!J733"")"),0)</f>
        <v>0</v>
      </c>
      <c r="BQ66" s="181">
        <f ca="1">IFERROR(__xludf.DUMMYFUNCTION("IMPORTRANGE(""https://docs.google.com/spreadsheets/d/1XiF77UIVHV0Kjc6xbXuOuJ10WgJYxd4p_22ngKVV5oM/edit?usp=sharing"",""ระยอง!J734"")"),0)</f>
        <v>0</v>
      </c>
      <c r="BR66" s="181">
        <f ca="1">IFERROR(__xludf.DUMMYFUNCTION("IMPORTRANGE(""https://docs.google.com/spreadsheets/d/1XiF77UIVHV0Kjc6xbXuOuJ10WgJYxd4p_22ngKVV5oM/edit?usp=sharing"",""ระยอง!J735"")"),0)</f>
        <v>0</v>
      </c>
    </row>
    <row r="67" spans="1:70" ht="21" customHeight="1" x14ac:dyDescent="0.3">
      <c r="A67" s="178">
        <v>15</v>
      </c>
      <c r="B67" s="179" t="s">
        <v>84</v>
      </c>
      <c r="C67" s="180">
        <f t="shared" ca="1" si="70"/>
        <v>7500</v>
      </c>
      <c r="D67" s="181">
        <f ca="1">IFERROR(__xludf.DUMMYFUNCTION("IMPORTRANGE(""https://docs.google.com/spreadsheets/d/1qU-W_9MCQD1pgIVXGEOjCFo9QqlmJywuebyGgaN92r8/edit?usp=sharing"",""ราชบุรี!L690"")"),7500)</f>
        <v>7500</v>
      </c>
      <c r="E67" s="187">
        <f ca="1">IFERROR(__xludf.DUMMYFUNCTION("IMPORTRANGE(""https://docs.google.com/spreadsheets/d/1qU-W_9MCQD1pgIVXGEOjCFo9QqlmJywuebyGgaN92r8/edit?usp=sharing"",""ราชบุรี!L697"")"),0)</f>
        <v>0</v>
      </c>
      <c r="F67" s="182">
        <f t="shared" ca="1" si="1"/>
        <v>3471.12</v>
      </c>
      <c r="G67" s="183">
        <f t="shared" ca="1" si="2"/>
        <v>46.281599999999997</v>
      </c>
      <c r="H67" s="184">
        <f t="shared" ca="1" si="71"/>
        <v>3471.12</v>
      </c>
      <c r="I67" s="187">
        <f ca="1">IFERROR(__xludf.DUMMYFUNCTION("IMPORTRANGE(""https://docs.google.com/spreadsheets/d/1qU-W_9MCQD1pgIVXGEOjCFo9QqlmJywuebyGgaN92r8/edit?usp=sharing"",""ราชบุรี!N691"")"),0)</f>
        <v>0</v>
      </c>
      <c r="J67" s="187">
        <f ca="1">IFERROR(__xludf.DUMMYFUNCTION("IMPORTRANGE(""https://docs.google.com/spreadsheets/d/1qU-W_9MCQD1pgIVXGEOjCFo9QqlmJywuebyGgaN92r8/edit?usp=sharing"",""ราชบุรี!N692"")"),0)</f>
        <v>0</v>
      </c>
      <c r="K67" s="187">
        <f ca="1">IFERROR(__xludf.DUMMYFUNCTION("IMPORTRANGE(""https://docs.google.com/spreadsheets/d/1qU-W_9MCQD1pgIVXGEOjCFo9QqlmJywuebyGgaN92r8/edit?usp=sharing"",""ราชบุรี!N693"")"),0)</f>
        <v>0</v>
      </c>
      <c r="L67" s="187">
        <f ca="1">IFERROR(__xludf.DUMMYFUNCTION("IMPORTRANGE(""https://docs.google.com/spreadsheets/d/1qU-W_9MCQD1pgIVXGEOjCFo9QqlmJywuebyGgaN92r8/edit?usp=sharing"",""ราชบุรี!N694"")"),3471.12)</f>
        <v>3471.12</v>
      </c>
      <c r="M67" s="185">
        <f ca="1">IFERROR(__xludf.DUMMYFUNCTION("IMPORTRANGE(""https://docs.google.com/spreadsheets/d/1qU-W_9MCQD1pgIVXGEOjCFo9QqlmJywuebyGgaN92r8/edit?usp=sharing"",""ราชบุรี!N697"")"),0)</f>
        <v>0</v>
      </c>
      <c r="N67" s="185">
        <f t="shared" ca="1" si="37"/>
        <v>0</v>
      </c>
      <c r="O67" s="181">
        <f ca="1">IFERROR(__xludf.DUMMYFUNCTION("IMPORTRANGE(""https://docs.google.com/spreadsheets/d/1qU-W_9MCQD1pgIVXGEOjCFo9QqlmJywuebyGgaN92r8/edit?usp=sharing"",""ราชบุรี!I699"")"),50)</f>
        <v>50</v>
      </c>
      <c r="P67" s="181">
        <f ca="1">IFERROR(__xludf.DUMMYFUNCTION("IMPORTRANGE(""https://docs.google.com/spreadsheets/d/1qU-W_9MCQD1pgIVXGEOjCFo9QqlmJywuebyGgaN92r8/edit?usp=sharing"",""ราชบุรี!J699"")"),0)</f>
        <v>0</v>
      </c>
      <c r="Q67" s="186">
        <f t="shared" ca="1" si="31"/>
        <v>0</v>
      </c>
      <c r="R67" s="181">
        <f ca="1">IFERROR(__xludf.DUMMYFUNCTION("IMPORTRANGE(""https://docs.google.com/spreadsheets/d/1qU-W_9MCQD1pgIVXGEOjCFo9QqlmJywuebyGgaN92r8/edit?usp=sharing"",""ราชบุรี!I700"")"),2)</f>
        <v>2</v>
      </c>
      <c r="S67" s="181">
        <f ca="1">IFERROR(__xludf.DUMMYFUNCTION("IMPORTRANGE(""https://docs.google.com/spreadsheets/d/1qU-W_9MCQD1pgIVXGEOjCFo9QqlmJywuebyGgaN92r8/edit?usp=sharing"",""ราชบุรี!J700"")"),0)</f>
        <v>0</v>
      </c>
      <c r="T67" s="186">
        <f t="shared" ca="1" si="32"/>
        <v>0</v>
      </c>
      <c r="U67" s="181">
        <f ca="1">IFERROR(__xludf.DUMMYFUNCTION("IMPORTRANGE(""https://docs.google.com/spreadsheets/d/1qU-W_9MCQD1pgIVXGEOjCFo9QqlmJywuebyGgaN92r8/edit?usp=sharing"",""ราชบุรี!I701"")"),12)</f>
        <v>12</v>
      </c>
      <c r="V67" s="181">
        <f ca="1">IFERROR(__xludf.DUMMYFUNCTION("IMPORTRANGE(""https://docs.google.com/spreadsheets/d/1qU-W_9MCQD1pgIVXGEOjCFo9QqlmJywuebyGgaN92r8/edit?usp=sharing"",""ราชบุรี!J701"")"),0)</f>
        <v>0</v>
      </c>
      <c r="W67" s="186">
        <f t="shared" ca="1" si="33"/>
        <v>0</v>
      </c>
      <c r="X67" s="186">
        <f ca="1">IFERROR(__xludf.DUMMYFUNCTION("IMPORTRANGE(""https://docs.google.com/spreadsheets/d/1qU-W_9MCQD1pgIVXGEOjCFo9QqlmJywuebyGgaN92r8/edit?usp=sharing"",""ราชบุรี!J702"")"),0)</f>
        <v>0</v>
      </c>
      <c r="Y67" s="186">
        <f ca="1">IFERROR(__xludf.DUMMYFUNCTION("IMPORTRANGE(""https://docs.google.com/spreadsheets/d/1qU-W_9MCQD1pgIVXGEOjCFo9QqlmJywuebyGgaN92r8/edit?usp=sharing"",""ราชบุรี!J703"")"),0)</f>
        <v>0</v>
      </c>
      <c r="Z67" s="186">
        <f ca="1">IFERROR(__xludf.DUMMYFUNCTION("IMPORTRANGE(""https://docs.google.com/spreadsheets/d/1qU-W_9MCQD1pgIVXGEOjCFo9QqlmJywuebyGgaN92r8/edit?usp=sharing"",""ราชบุรี!J704"")"),0)</f>
        <v>0</v>
      </c>
      <c r="AA67" s="186">
        <f ca="1">IFERROR(__xludf.DUMMYFUNCTION("IMPORTRANGE(""https://docs.google.com/spreadsheets/d/1qU-W_9MCQD1pgIVXGEOjCFo9QqlmJywuebyGgaN92r8/edit?usp=sharing"",""ราชบุรี!J705"")"),0)</f>
        <v>0</v>
      </c>
      <c r="AB67" s="186">
        <f ca="1">IFERROR(__xludf.DUMMYFUNCTION("IMPORTRANGE(""https://docs.google.com/spreadsheets/d/1qU-W_9MCQD1pgIVXGEOjCFo9QqlmJywuebyGgaN92r8/edit?usp=sharing"",""ราชบุรี!J706"")"),0)</f>
        <v>0</v>
      </c>
      <c r="AC67" s="186">
        <f ca="1">IFERROR(__xludf.DUMMYFUNCTION("IMPORTRANGE(""https://docs.google.com/spreadsheets/d/1qU-W_9MCQD1pgIVXGEOjCFo9QqlmJywuebyGgaN92r8/edit?usp=sharing"",""ราชบุรี!J707"")"),0)</f>
        <v>0</v>
      </c>
      <c r="AD67" s="181">
        <f ca="1">IFERROR(__xludf.DUMMYFUNCTION("IMPORTRANGE(""https://docs.google.com/spreadsheets/d/1qU-W_9MCQD1pgIVXGEOjCFo9QqlmJywuebyGgaN92r8/edit?usp=sharing"",""ราชบุรี!I708"")"),0)</f>
        <v>0</v>
      </c>
      <c r="AE67" s="181">
        <f ca="1">IFERROR(__xludf.DUMMYFUNCTION("IMPORTRANGE(""https://docs.google.com/spreadsheets/d/1qU-W_9MCQD1pgIVXGEOjCFo9QqlmJywuebyGgaN92r8/edit?usp=sharing"",""ราชบุรี!J708"")"),0)</f>
        <v>0</v>
      </c>
      <c r="AF67" s="186">
        <f t="shared" ca="1" si="34"/>
        <v>0</v>
      </c>
      <c r="AG67" s="181">
        <f ca="1">IFERROR(__xludf.DUMMYFUNCTION("IMPORTRANGE(""https://docs.google.com/spreadsheets/d/1qU-W_9MCQD1pgIVXGEOjCFo9QqlmJywuebyGgaN92r8/edit?usp=sharing"",""ราชบุรี!J709"")"),0)</f>
        <v>0</v>
      </c>
      <c r="AH67" s="181">
        <f ca="1">IFERROR(__xludf.DUMMYFUNCTION("IMPORTRANGE(""https://docs.google.com/spreadsheets/d/1qU-W_9MCQD1pgIVXGEOjCFo9QqlmJywuebyGgaN92r8/edit?usp=sharing"",""ราชบุรี!J710"")"),0)</f>
        <v>0</v>
      </c>
      <c r="AI67" s="181">
        <f ca="1">IFERROR(__xludf.DUMMYFUNCTION("IMPORTRANGE(""https://docs.google.com/spreadsheets/d/1qU-W_9MCQD1pgIVXGEOjCFo9QqlmJywuebyGgaN92r8/edit?usp=sharing"",""ราชบุรี!J712"")"),0)</f>
        <v>0</v>
      </c>
      <c r="AJ67" s="181">
        <f ca="1">IFERROR(__xludf.DUMMYFUNCTION("IMPORTRANGE(""https://docs.google.com/spreadsheets/d/1qU-W_9MCQD1pgIVXGEOjCFo9QqlmJywuebyGgaN92r8/edit?usp=sharing"",""ราชบุรี!J713"")"),0)</f>
        <v>0</v>
      </c>
      <c r="AK67" s="181">
        <f ca="1">IFERROR(__xludf.DUMMYFUNCTION("IMPORTRANGE(""https://docs.google.com/spreadsheets/d/1qU-W_9MCQD1pgIVXGEOjCFo9QqlmJywuebyGgaN92r8/edit?usp=sharing"",""ราชบุรี!J714"")"),0)</f>
        <v>0</v>
      </c>
      <c r="AL67" s="181">
        <f ca="1">IFERROR(__xludf.DUMMYFUNCTION("IMPORTRANGE(""https://docs.google.com/spreadsheets/d/1qU-W_9MCQD1pgIVXGEOjCFo9QqlmJywuebyGgaN92r8/edit?usp=sharing"",""ราชบุรี!J715"")"),0)</f>
        <v>0</v>
      </c>
      <c r="AM67" s="181">
        <f ca="1">IFERROR(__xludf.DUMMYFUNCTION("IMPORTRANGE(""https://docs.google.com/spreadsheets/d/1qU-W_9MCQD1pgIVXGEOjCFo9QqlmJywuebyGgaN92r8/edit?usp=sharing"",""ราชบุรี!J716"")"),0)</f>
        <v>0</v>
      </c>
      <c r="AN67" s="181">
        <f ca="1">IFERROR(__xludf.DUMMYFUNCTION("IMPORTRANGE(""https://docs.google.com/spreadsheets/d/1qU-W_9MCQD1pgIVXGEOjCFo9QqlmJywuebyGgaN92r8/edit?usp=sharing"",""ราชบุรี!J717"")"),0)</f>
        <v>0</v>
      </c>
      <c r="AO67" s="181">
        <f ca="1">IFERROR(__xludf.DUMMYFUNCTION("IMPORTRANGE(""https://docs.google.com/spreadsheets/d/1qU-W_9MCQD1pgIVXGEOjCFo9QqlmJywuebyGgaN92r8/edit?usp=sharing"",""ราชบุรี!I720"")"),30)</f>
        <v>30</v>
      </c>
      <c r="AP67" s="181">
        <f ca="1">IFERROR(__xludf.DUMMYFUNCTION("IMPORTRANGE(""https://docs.google.com/spreadsheets/d/1qU-W_9MCQD1pgIVXGEOjCFo9QqlmJywuebyGgaN92r8/edit?usp=sharing"",""ราชบุรี!J718"")"),0)</f>
        <v>0</v>
      </c>
      <c r="AQ67" s="181">
        <f ca="1">IFERROR(__xludf.DUMMYFUNCTION("IMPORTRANGE(""https://docs.google.com/spreadsheets/d/1qU-W_9MCQD1pgIVXGEOjCFo9QqlmJywuebyGgaN92r8/edit?usp=sharing"",""ราชบุรี!J719"")"),0)</f>
        <v>0</v>
      </c>
      <c r="AR67" s="181">
        <f ca="1">IFERROR(__xludf.DUMMYFUNCTION("IMPORTRANGE(""https://docs.google.com/spreadsheets/d/1qU-W_9MCQD1pgIVXGEOjCFo9QqlmJywuebyGgaN92r8/edit?usp=sharing"",""ราชบุรี!J720"")"),0)</f>
        <v>0</v>
      </c>
      <c r="AS67" s="186">
        <f t="shared" ca="1" si="14"/>
        <v>0</v>
      </c>
      <c r="AT67" s="181">
        <f ca="1">IFERROR(__xludf.DUMMYFUNCTION("IMPORTRANGE(""https://docs.google.com/spreadsheets/d/1qU-W_9MCQD1pgIVXGEOjCFo9QqlmJywuebyGgaN92r8/edit?usp=sharing"",""ราชบุรี!I721"")"),1)</f>
        <v>1</v>
      </c>
      <c r="AU67" s="181">
        <f ca="1">IFERROR(__xludf.DUMMYFUNCTION("IMPORTRANGE(""https://docs.google.com/spreadsheets/d/1qU-W_9MCQD1pgIVXGEOjCFo9QqlmJywuebyGgaN92r8/edit?usp=sharing"",""ราชบุรี!I722"")"),10)</f>
        <v>10</v>
      </c>
      <c r="AV67" s="181">
        <f ca="1">IFERROR(__xludf.DUMMYFUNCTION("IMPORTRANGE(""https://docs.google.com/spreadsheets/d/1qU-W_9MCQD1pgIVXGEOjCFo9QqlmJywuebyGgaN92r8/edit?usp=sharing"",""ราชบุรี!J721"")"),0)</f>
        <v>0</v>
      </c>
      <c r="AW67" s="186">
        <f t="shared" ca="1" si="16"/>
        <v>0</v>
      </c>
      <c r="AX67" s="181">
        <f ca="1">IFERROR(__xludf.DUMMYFUNCTION("IMPORTRANGE(""https://docs.google.com/spreadsheets/d/1qU-W_9MCQD1pgIVXGEOjCFo9QqlmJywuebyGgaN92r8/edit?usp=sharing"",""ราชบุรี!J722"")"),0)</f>
        <v>0</v>
      </c>
      <c r="AY67" s="186">
        <f t="shared" ca="1" si="17"/>
        <v>0</v>
      </c>
      <c r="AZ67" s="181">
        <f ca="1">IFERROR(__xludf.DUMMYFUNCTION("IMPORTRANGE(""https://docs.google.com/spreadsheets/d/1qU-W_9MCQD1pgIVXGEOjCFo9QqlmJywuebyGgaN92r8/edit?usp=sharing"",""ราชบุรี!I723"")"),1)</f>
        <v>1</v>
      </c>
      <c r="BA67" s="181">
        <f ca="1">IFERROR(__xludf.DUMMYFUNCTION("IMPORTRANGE(""https://docs.google.com/spreadsheets/d/1qU-W_9MCQD1pgIVXGEOjCFo9QqlmJywuebyGgaN92r8/edit?usp=sharing"",""ราชบุรี!I725"")"),10)</f>
        <v>10</v>
      </c>
      <c r="BB67" s="181">
        <f ca="1">IFERROR(__xludf.DUMMYFUNCTION("IMPORTRANGE(""https://docs.google.com/spreadsheets/d/1qU-W_9MCQD1pgIVXGEOjCFo9QqlmJywuebyGgaN92r8/edit?usp=sharing"",""ราชบุรี!J723"")"),0)</f>
        <v>0</v>
      </c>
      <c r="BC67" s="181">
        <f ca="1">IFERROR(__xludf.DUMMYFUNCTION("IMPORTRANGE(""https://docs.google.com/spreadsheets/d/1qU-W_9MCQD1pgIVXGEOjCFo9QqlmJywuebyGgaN92r8/edit?usp=sharing"",""ราชบุรี!J724"")"),0)</f>
        <v>0</v>
      </c>
      <c r="BD67" s="181">
        <f ca="1">IFERROR(__xludf.DUMMYFUNCTION("IMPORTRANGE(""https://docs.google.com/spreadsheets/d/1qU-W_9MCQD1pgIVXGEOjCFo9QqlmJywuebyGgaN92r8/edit?usp=sharing"",""ราชบุรี!J725"")"),0)</f>
        <v>0</v>
      </c>
      <c r="BE67" s="181">
        <f ca="1">IFERROR(__xludf.DUMMYFUNCTION("IMPORTRANGE(""https://docs.google.com/spreadsheets/d/1qU-W_9MCQD1pgIVXGEOjCFo9QqlmJywuebyGgaN92r8/edit?usp=sharing"",""ราชบุรี!I726"")"),0)</f>
        <v>0</v>
      </c>
      <c r="BF67" s="181">
        <f ca="1">IFERROR(__xludf.DUMMYFUNCTION("IMPORTRANGE(""https://docs.google.com/spreadsheets/d/1qU-W_9MCQD1pgIVXGEOjCFo9QqlmJywuebyGgaN92r8/edit?usp=sharing"",""ราชบุรี!I728"")"),0)</f>
        <v>0</v>
      </c>
      <c r="BG67" s="181">
        <f ca="1">IFERROR(__xludf.DUMMYFUNCTION("IMPORTRANGE(""https://docs.google.com/spreadsheets/d/1qU-W_9MCQD1pgIVXGEOjCFo9QqlmJywuebyGgaN92r8/edit?usp=sharing"",""ราชบุรี!J726"")"),0)</f>
        <v>0</v>
      </c>
      <c r="BH67" s="181">
        <f ca="1">IFERROR(__xludf.DUMMYFUNCTION("IMPORTRANGE(""https://docs.google.com/spreadsheets/d/1qU-W_9MCQD1pgIVXGEOjCFo9QqlmJywuebyGgaN92r8/edit?usp=sharing"",""ราชบุรี!J727"")"),0)</f>
        <v>0</v>
      </c>
      <c r="BI67" s="181">
        <f ca="1">IFERROR(__xludf.DUMMYFUNCTION("IMPORTRANGE(""https://docs.google.com/spreadsheets/d/1qU-W_9MCQD1pgIVXGEOjCFo9QqlmJywuebyGgaN92r8/edit?usp=sharing"",""ราชบุรี!J728"")"),0)</f>
        <v>0</v>
      </c>
      <c r="BJ67" s="181">
        <f ca="1">IFERROR(__xludf.DUMMYFUNCTION("IMPORTRANGE(""https://docs.google.com/spreadsheets/d/1qU-W_9MCQD1pgIVXGEOjCFo9QqlmJywuebyGgaN92r8/edit?usp=sharing"",""ราชบุรี!I729"")"),0)</f>
        <v>0</v>
      </c>
      <c r="BK67" s="181">
        <f ca="1">IFERROR(__xludf.DUMMYFUNCTION("IMPORTRANGE(""https://docs.google.com/spreadsheets/d/1qU-W_9MCQD1pgIVXGEOjCFo9QqlmJywuebyGgaN92r8/edit?usp=sharing"",""ราชบุรี!J729"")"),0)</f>
        <v>0</v>
      </c>
      <c r="BL67" s="186">
        <f t="shared" ca="1" si="19"/>
        <v>0</v>
      </c>
      <c r="BM67" s="181">
        <f ca="1">IFERROR(__xludf.DUMMYFUNCTION("IMPORTRANGE(""https://docs.google.com/spreadsheets/d/1qU-W_9MCQD1pgIVXGEOjCFo9QqlmJywuebyGgaN92r8/edit?usp=sharing"",""ราชบุรี!J730"")"),0)</f>
        <v>0</v>
      </c>
      <c r="BN67" s="181">
        <f ca="1">IFERROR(__xludf.DUMMYFUNCTION("IMPORTRANGE(""https://docs.google.com/spreadsheets/d/1qU-W_9MCQD1pgIVXGEOjCFo9QqlmJywuebyGgaN92r8/edit?usp=sharing"",""ราชบุรี!J731"")"),0)</f>
        <v>0</v>
      </c>
      <c r="BO67" s="181">
        <f ca="1">IFERROR(__xludf.DUMMYFUNCTION("IMPORTRANGE(""https://docs.google.com/spreadsheets/d/1qU-W_9MCQD1pgIVXGEOjCFo9QqlmJywuebyGgaN92r8/edit?usp=sharing"",""ราชบุรี!J732"")"),0)</f>
        <v>0</v>
      </c>
      <c r="BP67" s="181">
        <f ca="1">IFERROR(__xludf.DUMMYFUNCTION("IMPORTRANGE(""https://docs.google.com/spreadsheets/d/1qU-W_9MCQD1pgIVXGEOjCFo9QqlmJywuebyGgaN92r8/edit?usp=sharing"",""ราชบุรี!J733"")"),0)</f>
        <v>0</v>
      </c>
      <c r="BQ67" s="181">
        <f ca="1">IFERROR(__xludf.DUMMYFUNCTION("IMPORTRANGE(""https://docs.google.com/spreadsheets/d/1qU-W_9MCQD1pgIVXGEOjCFo9QqlmJywuebyGgaN92r8/edit?usp=sharing"",""ราชบุรี!J734"")"),0)</f>
        <v>0</v>
      </c>
      <c r="BR67" s="181">
        <f ca="1">IFERROR(__xludf.DUMMYFUNCTION("IMPORTRANGE(""https://docs.google.com/spreadsheets/d/1qU-W_9MCQD1pgIVXGEOjCFo9QqlmJywuebyGgaN92r8/edit?usp=sharing"",""ราชบุรี!J735"")"),0)</f>
        <v>0</v>
      </c>
    </row>
    <row r="68" spans="1:70" ht="24" customHeight="1" x14ac:dyDescent="0.3">
      <c r="A68" s="178">
        <v>16</v>
      </c>
      <c r="B68" s="179" t="s">
        <v>85</v>
      </c>
      <c r="C68" s="180">
        <f t="shared" ca="1" si="70"/>
        <v>21820</v>
      </c>
      <c r="D68" s="181">
        <f ca="1">IFERROR(__xludf.DUMMYFUNCTION("IMPORTRANGE(""https://docs.google.com/spreadsheets/d/1xYFIxIM_CspAP5Q-5Zx_V0T_Ut3cjryrjd2hss28vGk/edit?usp=sharing"",""ลพบุรี!L690"")"),21820)</f>
        <v>21820</v>
      </c>
      <c r="E68" s="187">
        <f ca="1">IFERROR(__xludf.DUMMYFUNCTION("IMPORTRANGE(""https://docs.google.com/spreadsheets/d/1xYFIxIM_CspAP5Q-5Zx_V0T_Ut3cjryrjd2hss28vGk/edit?usp=sharing"",""ลพบุรี!L697"")"),0)</f>
        <v>0</v>
      </c>
      <c r="F68" s="182">
        <f t="shared" ca="1" si="1"/>
        <v>0</v>
      </c>
      <c r="G68" s="183">
        <f t="shared" ca="1" si="2"/>
        <v>0</v>
      </c>
      <c r="H68" s="184">
        <f t="shared" ca="1" si="71"/>
        <v>0</v>
      </c>
      <c r="I68" s="187">
        <f ca="1">IFERROR(__xludf.DUMMYFUNCTION("IMPORTRANGE(""https://docs.google.com/spreadsheets/d/1xYFIxIM_CspAP5Q-5Zx_V0T_Ut3cjryrjd2hss28vGk/edit?usp=sharing"",""ลพบุรี!N691"")"),0)</f>
        <v>0</v>
      </c>
      <c r="J68" s="187">
        <f ca="1">IFERROR(__xludf.DUMMYFUNCTION("IMPORTRANGE(""https://docs.google.com/spreadsheets/d/1xYFIxIM_CspAP5Q-5Zx_V0T_Ut3cjryrjd2hss28vGk/edit?usp=sharing"",""ลพบุรี!N692"")"),0)</f>
        <v>0</v>
      </c>
      <c r="K68" s="187">
        <f ca="1">IFERROR(__xludf.DUMMYFUNCTION("IMPORTRANGE(""https://docs.google.com/spreadsheets/d/1xYFIxIM_CspAP5Q-5Zx_V0T_Ut3cjryrjd2hss28vGk/edit?usp=sharing"",""ลพบุรี!N693"")"),0)</f>
        <v>0</v>
      </c>
      <c r="L68" s="187">
        <f ca="1">IFERROR(__xludf.DUMMYFUNCTION("IMPORTRANGE(""https://docs.google.com/spreadsheets/d/1xYFIxIM_CspAP5Q-5Zx_V0T_Ut3cjryrjd2hss28vGk/edit?usp=sharing"",""ลพบุรี!N694"")"),0)</f>
        <v>0</v>
      </c>
      <c r="M68" s="185">
        <f ca="1">IFERROR(__xludf.DUMMYFUNCTION("IMPORTRANGE(""https://docs.google.com/spreadsheets/d/1xYFIxIM_CspAP5Q-5Zx_V0T_Ut3cjryrjd2hss28vGk/edit?usp=sharing"",""ลพบุรี!N697"")"),0)</f>
        <v>0</v>
      </c>
      <c r="N68" s="185">
        <f t="shared" ca="1" si="37"/>
        <v>0</v>
      </c>
      <c r="O68" s="181">
        <f ca="1">IFERROR(__xludf.DUMMYFUNCTION("IMPORTRANGE(""https://docs.google.com/spreadsheets/d/1xYFIxIM_CspAP5Q-5Zx_V0T_Ut3cjryrjd2hss28vGk/edit?usp=sharing"",""ลพบุรี!I699"")"),10)</f>
        <v>10</v>
      </c>
      <c r="P68" s="181">
        <f ca="1">IFERROR(__xludf.DUMMYFUNCTION("IMPORTRANGE(""https://docs.google.com/spreadsheets/d/1xYFIxIM_CspAP5Q-5Zx_V0T_Ut3cjryrjd2hss28vGk/edit?usp=sharing"",""ลพบุรี!J699"")"),0)</f>
        <v>0</v>
      </c>
      <c r="Q68" s="186">
        <f t="shared" ca="1" si="31"/>
        <v>0</v>
      </c>
      <c r="R68" s="181">
        <f ca="1">IFERROR(__xludf.DUMMYFUNCTION("IMPORTRANGE(""https://docs.google.com/spreadsheets/d/1xYFIxIM_CspAP5Q-5Zx_V0T_Ut3cjryrjd2hss28vGk/edit?usp=sharing"",""ลพบุรี!I700"")"),1)</f>
        <v>1</v>
      </c>
      <c r="S68" s="181">
        <f ca="1">IFERROR(__xludf.DUMMYFUNCTION("IMPORTRANGE(""https://docs.google.com/spreadsheets/d/1xYFIxIM_CspAP5Q-5Zx_V0T_Ut3cjryrjd2hss28vGk/edit?usp=sharing"",""ลพบุรี!J700"")"),0)</f>
        <v>0</v>
      </c>
      <c r="T68" s="186">
        <f t="shared" ca="1" si="32"/>
        <v>0</v>
      </c>
      <c r="U68" s="181">
        <f ca="1">IFERROR(__xludf.DUMMYFUNCTION("IMPORTRANGE(""https://docs.google.com/spreadsheets/d/1xYFIxIM_CspAP5Q-5Zx_V0T_Ut3cjryrjd2hss28vGk/edit?usp=sharing"",""ลพบุรี!I701"")"),550)</f>
        <v>550</v>
      </c>
      <c r="V68" s="181">
        <f ca="1">IFERROR(__xludf.DUMMYFUNCTION("IMPORTRANGE(""https://docs.google.com/spreadsheets/d/1xYFIxIM_CspAP5Q-5Zx_V0T_Ut3cjryrjd2hss28vGk/edit?usp=sharing"",""ลพบุรี!J701"")"),21)</f>
        <v>21</v>
      </c>
      <c r="W68" s="186">
        <f t="shared" ca="1" si="33"/>
        <v>3.8181818181818183</v>
      </c>
      <c r="X68" s="186">
        <f ca="1">IFERROR(__xludf.DUMMYFUNCTION("IMPORTRANGE(""https://docs.google.com/spreadsheets/d/1xYFIxIM_CspAP5Q-5Zx_V0T_Ut3cjryrjd2hss28vGk/edit?usp=sharing"",""ลพบุรี!J702"")"),3)</f>
        <v>3</v>
      </c>
      <c r="Y68" s="186">
        <f ca="1">IFERROR(__xludf.DUMMYFUNCTION("IMPORTRANGE(""https://docs.google.com/spreadsheets/d/1xYFIxIM_CspAP5Q-5Zx_V0T_Ut3cjryrjd2hss28vGk/edit?usp=sharing"",""ลพบุรี!J703"")"),3)</f>
        <v>3</v>
      </c>
      <c r="Z68" s="186">
        <f ca="1">IFERROR(__xludf.DUMMYFUNCTION("IMPORTRANGE(""https://docs.google.com/spreadsheets/d/1xYFIxIM_CspAP5Q-5Zx_V0T_Ut3cjryrjd2hss28vGk/edit?usp=sharing"",""ลพบุรี!J704"")"),21)</f>
        <v>21</v>
      </c>
      <c r="AA68" s="186">
        <f ca="1">IFERROR(__xludf.DUMMYFUNCTION("IMPORTRANGE(""https://docs.google.com/spreadsheets/d/1xYFIxIM_CspAP5Q-5Zx_V0T_Ut3cjryrjd2hss28vGk/edit?usp=sharing"",""ลพบุรี!J705"")"),0)</f>
        <v>0</v>
      </c>
      <c r="AB68" s="186">
        <f ca="1">IFERROR(__xludf.DUMMYFUNCTION("IMPORTRANGE(""https://docs.google.com/spreadsheets/d/1xYFIxIM_CspAP5Q-5Zx_V0T_Ut3cjryrjd2hss28vGk/edit?usp=sharing"",""ลพบุรี!J706"")"),0)</f>
        <v>0</v>
      </c>
      <c r="AC68" s="186">
        <f ca="1">IFERROR(__xludf.DUMMYFUNCTION("IMPORTRANGE(""https://docs.google.com/spreadsheets/d/1xYFIxIM_CspAP5Q-5Zx_V0T_Ut3cjryrjd2hss28vGk/edit?usp=sharing"",""ลพบุรี!J707"")"),0)</f>
        <v>0</v>
      </c>
      <c r="AD68" s="181">
        <f ca="1">IFERROR(__xludf.DUMMYFUNCTION("IMPORTRANGE(""https://docs.google.com/spreadsheets/d/1xYFIxIM_CspAP5Q-5Zx_V0T_Ut3cjryrjd2hss28vGk/edit?usp=sharing"",""ลพบุรี!I708"")"),100)</f>
        <v>100</v>
      </c>
      <c r="AE68" s="181">
        <f ca="1">IFERROR(__xludf.DUMMYFUNCTION("IMPORTRANGE(""https://docs.google.com/spreadsheets/d/1xYFIxIM_CspAP5Q-5Zx_V0T_Ut3cjryrjd2hss28vGk/edit?usp=sharing"",""ลพบุรี!J708"")"),0)</f>
        <v>0</v>
      </c>
      <c r="AF68" s="186">
        <f t="shared" ca="1" si="34"/>
        <v>0</v>
      </c>
      <c r="AG68" s="181">
        <f ca="1">IFERROR(__xludf.DUMMYFUNCTION("IMPORTRANGE(""https://docs.google.com/spreadsheets/d/1xYFIxIM_CspAP5Q-5Zx_V0T_Ut3cjryrjd2hss28vGk/edit?usp=sharing"",""ลพบุรี!J709"")"),1)</f>
        <v>1</v>
      </c>
      <c r="AH68" s="181">
        <f ca="1">IFERROR(__xludf.DUMMYFUNCTION("IMPORTRANGE(""https://docs.google.com/spreadsheets/d/1xYFIxIM_CspAP5Q-5Zx_V0T_Ut3cjryrjd2hss28vGk/edit?usp=sharing"",""ลพบุรี!J710"")"),85)</f>
        <v>85</v>
      </c>
      <c r="AI68" s="181">
        <f ca="1">IFERROR(__xludf.DUMMYFUNCTION("IMPORTRANGE(""https://docs.google.com/spreadsheets/d/1xYFIxIM_CspAP5Q-5Zx_V0T_Ut3cjryrjd2hss28vGk/edit?usp=sharing"",""ลพบุรี!J712"")"),0)</f>
        <v>0</v>
      </c>
      <c r="AJ68" s="181">
        <f ca="1">IFERROR(__xludf.DUMMYFUNCTION("IMPORTRANGE(""https://docs.google.com/spreadsheets/d/1xYFIxIM_CspAP5Q-5Zx_V0T_Ut3cjryrjd2hss28vGk/edit?usp=sharing"",""ลพบุรี!J713"")"),0)</f>
        <v>0</v>
      </c>
      <c r="AK68" s="181">
        <f ca="1">IFERROR(__xludf.DUMMYFUNCTION("IMPORTRANGE(""https://docs.google.com/spreadsheets/d/1xYFIxIM_CspAP5Q-5Zx_V0T_Ut3cjryrjd2hss28vGk/edit?usp=sharing"",""ลพบุรี!J714"")"),0)</f>
        <v>0</v>
      </c>
      <c r="AL68" s="181">
        <f ca="1">IFERROR(__xludf.DUMMYFUNCTION("IMPORTRANGE(""https://docs.google.com/spreadsheets/d/1xYFIxIM_CspAP5Q-5Zx_V0T_Ut3cjryrjd2hss28vGk/edit?usp=sharing"",""ลพบุรี!J715"")"),0)</f>
        <v>0</v>
      </c>
      <c r="AM68" s="181">
        <f ca="1">IFERROR(__xludf.DUMMYFUNCTION("IMPORTRANGE(""https://docs.google.com/spreadsheets/d/1xYFIxIM_CspAP5Q-5Zx_V0T_Ut3cjryrjd2hss28vGk/edit?usp=sharing"",""ลพบุรี!J716"")"),0)</f>
        <v>0</v>
      </c>
      <c r="AN68" s="181">
        <f ca="1">IFERROR(__xludf.DUMMYFUNCTION("IMPORTRANGE(""https://docs.google.com/spreadsheets/d/1xYFIxIM_CspAP5Q-5Zx_V0T_Ut3cjryrjd2hss28vGk/edit?usp=sharing"",""ลพบุรี!J717"")"),0)</f>
        <v>0</v>
      </c>
      <c r="AO68" s="181">
        <f ca="1">IFERROR(__xludf.DUMMYFUNCTION("IMPORTRANGE(""https://docs.google.com/spreadsheets/d/1xYFIxIM_CspAP5Q-5Zx_V0T_Ut3cjryrjd2hss28vGk/edit?usp=sharing"",""ลพบุรี!I720"")"),150)</f>
        <v>150</v>
      </c>
      <c r="AP68" s="181">
        <f ca="1">IFERROR(__xludf.DUMMYFUNCTION("IMPORTRANGE(""https://docs.google.com/spreadsheets/d/1xYFIxIM_CspAP5Q-5Zx_V0T_Ut3cjryrjd2hss28vGk/edit?usp=sharing"",""ลพบุรี!J718"")"),0)</f>
        <v>0</v>
      </c>
      <c r="AQ68" s="181">
        <f ca="1">IFERROR(__xludf.DUMMYFUNCTION("IMPORTRANGE(""https://docs.google.com/spreadsheets/d/1xYFIxIM_CspAP5Q-5Zx_V0T_Ut3cjryrjd2hss28vGk/edit?usp=sharing"",""ลพบุรี!J719"")"),0)</f>
        <v>0</v>
      </c>
      <c r="AR68" s="181">
        <f ca="1">IFERROR(__xludf.DUMMYFUNCTION("IMPORTRANGE(""https://docs.google.com/spreadsheets/d/1xYFIxIM_CspAP5Q-5Zx_V0T_Ut3cjryrjd2hss28vGk/edit?usp=sharing"",""ลพบุรี!J720"")"),0)</f>
        <v>0</v>
      </c>
      <c r="AS68" s="186">
        <f t="shared" ca="1" si="14"/>
        <v>0</v>
      </c>
      <c r="AT68" s="181">
        <f ca="1">IFERROR(__xludf.DUMMYFUNCTION("IMPORTRANGE(""https://docs.google.com/spreadsheets/d/1xYFIxIM_CspAP5Q-5Zx_V0T_Ut3cjryrjd2hss28vGk/edit?usp=sharing"",""ลพบุรี!I721"")"),10)</f>
        <v>10</v>
      </c>
      <c r="AU68" s="181">
        <f ca="1">IFERROR(__xludf.DUMMYFUNCTION("IMPORTRANGE(""https://docs.google.com/spreadsheets/d/1xYFIxIM_CspAP5Q-5Zx_V0T_Ut3cjryrjd2hss28vGk/edit?usp=sharing"",""ลพบุรี!I722"")"),50)</f>
        <v>50</v>
      </c>
      <c r="AV68" s="181">
        <f ca="1">IFERROR(__xludf.DUMMYFUNCTION("IMPORTRANGE(""https://docs.google.com/spreadsheets/d/1xYFIxIM_CspAP5Q-5Zx_V0T_Ut3cjryrjd2hss28vGk/edit?usp=sharing"",""ลพบุรี!J721"")"),0)</f>
        <v>0</v>
      </c>
      <c r="AW68" s="186">
        <f t="shared" ca="1" si="16"/>
        <v>0</v>
      </c>
      <c r="AX68" s="181">
        <f ca="1">IFERROR(__xludf.DUMMYFUNCTION("IMPORTRANGE(""https://docs.google.com/spreadsheets/d/1xYFIxIM_CspAP5Q-5Zx_V0T_Ut3cjryrjd2hss28vGk/edit?usp=sharing"",""ลพบุรี!J722"")"),0)</f>
        <v>0</v>
      </c>
      <c r="AY68" s="186">
        <f t="shared" ca="1" si="17"/>
        <v>0</v>
      </c>
      <c r="AZ68" s="181">
        <f ca="1">IFERROR(__xludf.DUMMYFUNCTION("IMPORTRANGE(""https://docs.google.com/spreadsheets/d/1xYFIxIM_CspAP5Q-5Zx_V0T_Ut3cjryrjd2hss28vGk/edit?usp=sharing"",""ลพบุรี!I723"")"),10)</f>
        <v>10</v>
      </c>
      <c r="BA68" s="181">
        <f ca="1">IFERROR(__xludf.DUMMYFUNCTION("IMPORTRANGE(""https://docs.google.com/spreadsheets/d/1xYFIxIM_CspAP5Q-5Zx_V0T_Ut3cjryrjd2hss28vGk/edit?usp=sharing"",""ลพบุรี!I725"")"),50)</f>
        <v>50</v>
      </c>
      <c r="BB68" s="181">
        <f ca="1">IFERROR(__xludf.DUMMYFUNCTION("IMPORTRANGE(""https://docs.google.com/spreadsheets/d/1xYFIxIM_CspAP5Q-5Zx_V0T_Ut3cjryrjd2hss28vGk/edit?usp=sharing"",""ลพบุรี!J723"")"),0)</f>
        <v>0</v>
      </c>
      <c r="BC68" s="181">
        <f ca="1">IFERROR(__xludf.DUMMYFUNCTION("IMPORTRANGE(""https://docs.google.com/spreadsheets/d/1xYFIxIM_CspAP5Q-5Zx_V0T_Ut3cjryrjd2hss28vGk/edit?usp=sharing"",""ลพบุรี!J724"")"),0)</f>
        <v>0</v>
      </c>
      <c r="BD68" s="181">
        <f ca="1">IFERROR(__xludf.DUMMYFUNCTION("IMPORTRANGE(""https://docs.google.com/spreadsheets/d/1xYFIxIM_CspAP5Q-5Zx_V0T_Ut3cjryrjd2hss28vGk/edit?usp=sharing"",""ลพบุรี!J725"")"),0)</f>
        <v>0</v>
      </c>
      <c r="BE68" s="181">
        <f ca="1">IFERROR(__xludf.DUMMYFUNCTION("IMPORTRANGE(""https://docs.google.com/spreadsheets/d/1xYFIxIM_CspAP5Q-5Zx_V0T_Ut3cjryrjd2hss28vGk/edit?usp=sharing"",""ลพบุรี!I726"")"),0)</f>
        <v>0</v>
      </c>
      <c r="BF68" s="181">
        <f ca="1">IFERROR(__xludf.DUMMYFUNCTION("IMPORTRANGE(""https://docs.google.com/spreadsheets/d/1xYFIxIM_CspAP5Q-5Zx_V0T_Ut3cjryrjd2hss28vGk/edit?usp=sharing"",""ลพบุรี!I728"")"),0)</f>
        <v>0</v>
      </c>
      <c r="BG68" s="181">
        <f ca="1">IFERROR(__xludf.DUMMYFUNCTION("IMPORTRANGE(""https://docs.google.com/spreadsheets/d/1xYFIxIM_CspAP5Q-5Zx_V0T_Ut3cjryrjd2hss28vGk/edit?usp=sharing"",""ลพบุรี!J726"")"),0)</f>
        <v>0</v>
      </c>
      <c r="BH68" s="181">
        <f ca="1">IFERROR(__xludf.DUMMYFUNCTION("IMPORTRANGE(""https://docs.google.com/spreadsheets/d/1xYFIxIM_CspAP5Q-5Zx_V0T_Ut3cjryrjd2hss28vGk/edit?usp=sharing"",""ลพบุรี!J727"")"),0)</f>
        <v>0</v>
      </c>
      <c r="BI68" s="181">
        <f ca="1">IFERROR(__xludf.DUMMYFUNCTION("IMPORTRANGE(""https://docs.google.com/spreadsheets/d/1xYFIxIM_CspAP5Q-5Zx_V0T_Ut3cjryrjd2hss28vGk/edit?usp=sharing"",""ลพบุรี!J728"")"),0)</f>
        <v>0</v>
      </c>
      <c r="BJ68" s="181">
        <f ca="1">IFERROR(__xludf.DUMMYFUNCTION("IMPORTRANGE(""https://docs.google.com/spreadsheets/d/1xYFIxIM_CspAP5Q-5Zx_V0T_Ut3cjryrjd2hss28vGk/edit?usp=sharing"",""ลพบุรี!I729"")"),10)</f>
        <v>10</v>
      </c>
      <c r="BK68" s="181">
        <f ca="1">IFERROR(__xludf.DUMMYFUNCTION("IMPORTRANGE(""https://docs.google.com/spreadsheets/d/1xYFIxIM_CspAP5Q-5Zx_V0T_Ut3cjryrjd2hss28vGk/edit?usp=sharing"",""ลพบุรี!J729"")"),30)</f>
        <v>30</v>
      </c>
      <c r="BL68" s="186">
        <f t="shared" ca="1" si="19"/>
        <v>300</v>
      </c>
      <c r="BM68" s="181">
        <f ca="1">IFERROR(__xludf.DUMMYFUNCTION("IMPORTRANGE(""https://docs.google.com/spreadsheets/d/1xYFIxIM_CspAP5Q-5Zx_V0T_Ut3cjryrjd2hss28vGk/edit?usp=sharing"",""ลพบุรี!J730"")"),0)</f>
        <v>0</v>
      </c>
      <c r="BN68" s="181">
        <f ca="1">IFERROR(__xludf.DUMMYFUNCTION("IMPORTRANGE(""https://docs.google.com/spreadsheets/d/1xYFIxIM_CspAP5Q-5Zx_V0T_Ut3cjryrjd2hss28vGk/edit?usp=sharing"",""ลพบุรี!J731"")"),0)</f>
        <v>0</v>
      </c>
      <c r="BO68" s="181">
        <f ca="1">IFERROR(__xludf.DUMMYFUNCTION("IMPORTRANGE(""https://docs.google.com/spreadsheets/d/1xYFIxIM_CspAP5Q-5Zx_V0T_Ut3cjryrjd2hss28vGk/edit?usp=sharing"",""ลพบุรี!J732"")"),0)</f>
        <v>0</v>
      </c>
      <c r="BP68" s="181">
        <f ca="1">IFERROR(__xludf.DUMMYFUNCTION("IMPORTRANGE(""https://docs.google.com/spreadsheets/d/1xYFIxIM_CspAP5Q-5Zx_V0T_Ut3cjryrjd2hss28vGk/edit?usp=sharing"",""ลพบุรี!J733"")"),5)</f>
        <v>5</v>
      </c>
      <c r="BQ68" s="181">
        <f ca="1">IFERROR(__xludf.DUMMYFUNCTION("IMPORTRANGE(""https://docs.google.com/spreadsheets/d/1xYFIxIM_CspAP5Q-5Zx_V0T_Ut3cjryrjd2hss28vGk/edit?usp=sharing"",""ลพบุรี!J734"")"),3)</f>
        <v>3</v>
      </c>
      <c r="BR68" s="181">
        <f ca="1">IFERROR(__xludf.DUMMYFUNCTION("IMPORTRANGE(""https://docs.google.com/spreadsheets/d/1xYFIxIM_CspAP5Q-5Zx_V0T_Ut3cjryrjd2hss28vGk/edit?usp=sharing"",""ลพบุรี!J735"")"),30)</f>
        <v>30</v>
      </c>
    </row>
    <row r="69" spans="1:70" ht="21" customHeight="1" x14ac:dyDescent="0.3">
      <c r="A69" s="178">
        <v>17</v>
      </c>
      <c r="B69" s="179" t="s">
        <v>86</v>
      </c>
      <c r="C69" s="180">
        <f t="shared" ca="1" si="70"/>
        <v>0</v>
      </c>
      <c r="D69" s="181">
        <f ca="1">IFERROR(__xludf.DUMMYFUNCTION("IMPORTRANGE(""https://docs.google.com/spreadsheets/d/11s9m3tKsCBdPWq6syhZm27eBGbKneDLZc75co106bio/edit?usp=sharing"",""สระแก้ว!L690"")"),0)</f>
        <v>0</v>
      </c>
      <c r="E69" s="187">
        <f ca="1">IFERROR(__xludf.DUMMYFUNCTION("IMPORTRANGE(""https://docs.google.com/spreadsheets/d/11s9m3tKsCBdPWq6syhZm27eBGbKneDLZc75co106bio/edit?usp=sharing"",""สระแก้ว!L697"")"),0)</f>
        <v>0</v>
      </c>
      <c r="F69" s="182">
        <f t="shared" ca="1" si="1"/>
        <v>0</v>
      </c>
      <c r="G69" s="183">
        <f t="shared" ca="1" si="2"/>
        <v>0</v>
      </c>
      <c r="H69" s="184">
        <f t="shared" ca="1" si="71"/>
        <v>0</v>
      </c>
      <c r="I69" s="187">
        <f ca="1">IFERROR(__xludf.DUMMYFUNCTION("IMPORTRANGE(""https://docs.google.com/spreadsheets/d/11s9m3tKsCBdPWq6syhZm27eBGbKneDLZc75co106bio/edit?usp=sharing"",""สระแก้ว!N691"")"),0)</f>
        <v>0</v>
      </c>
      <c r="J69" s="187">
        <f ca="1">IFERROR(__xludf.DUMMYFUNCTION("IMPORTRANGE(""https://docs.google.com/spreadsheets/d/11s9m3tKsCBdPWq6syhZm27eBGbKneDLZc75co106bio/edit?usp=sharing"",""สระแก้ว!N692"")"),0)</f>
        <v>0</v>
      </c>
      <c r="K69" s="187">
        <f ca="1">IFERROR(__xludf.DUMMYFUNCTION("IMPORTRANGE(""https://docs.google.com/spreadsheets/d/11s9m3tKsCBdPWq6syhZm27eBGbKneDLZc75co106bio/edit?usp=sharing"",""สระแก้ว!N693"")"),0)</f>
        <v>0</v>
      </c>
      <c r="L69" s="187">
        <f ca="1">IFERROR(__xludf.DUMMYFUNCTION("IMPORTRANGE(""https://docs.google.com/spreadsheets/d/11s9m3tKsCBdPWq6syhZm27eBGbKneDLZc75co106bio/edit?usp=sharing"",""สระแก้ว!N694"")"),0)</f>
        <v>0</v>
      </c>
      <c r="M69" s="185">
        <f ca="1">IFERROR(__xludf.DUMMYFUNCTION("IMPORTRANGE(""https://docs.google.com/spreadsheets/d/11s9m3tKsCBdPWq6syhZm27eBGbKneDLZc75co106bio/edit?usp=sharing"",""สระแก้ว!N697"")"),0)</f>
        <v>0</v>
      </c>
      <c r="N69" s="185">
        <f t="shared" ca="1" si="37"/>
        <v>0</v>
      </c>
      <c r="O69" s="181">
        <f ca="1">IFERROR(__xludf.DUMMYFUNCTION("IMPORTRANGE(""https://docs.google.com/spreadsheets/d/11s9m3tKsCBdPWq6syhZm27eBGbKneDLZc75co106bio/edit?usp=sharing"",""สระแก้ว!I699"")"),0)</f>
        <v>0</v>
      </c>
      <c r="P69" s="181">
        <f ca="1">IFERROR(__xludf.DUMMYFUNCTION("IMPORTRANGE(""https://docs.google.com/spreadsheets/d/11s9m3tKsCBdPWq6syhZm27eBGbKneDLZc75co106bio/edit?usp=sharing"",""สระแก้ว!J699"")"),0)</f>
        <v>0</v>
      </c>
      <c r="Q69" s="186">
        <f t="shared" ca="1" si="31"/>
        <v>0</v>
      </c>
      <c r="R69" s="181">
        <f ca="1">IFERROR(__xludf.DUMMYFUNCTION("IMPORTRANGE(""https://docs.google.com/spreadsheets/d/11s9m3tKsCBdPWq6syhZm27eBGbKneDLZc75co106bio/edit?usp=sharing"",""สระแก้ว!I700"")"),0)</f>
        <v>0</v>
      </c>
      <c r="S69" s="181">
        <f ca="1">IFERROR(__xludf.DUMMYFUNCTION("IMPORTRANGE(""https://docs.google.com/spreadsheets/d/11s9m3tKsCBdPWq6syhZm27eBGbKneDLZc75co106bio/edit?usp=sharing"",""สระแก้ว!J700"")"),0)</f>
        <v>0</v>
      </c>
      <c r="T69" s="186">
        <f t="shared" ca="1" si="32"/>
        <v>0</v>
      </c>
      <c r="U69" s="181">
        <f ca="1">IFERROR(__xludf.DUMMYFUNCTION("IMPORTRANGE(""https://docs.google.com/spreadsheets/d/11s9m3tKsCBdPWq6syhZm27eBGbKneDLZc75co106bio/edit?usp=sharing"",""สระแก้ว!I701"")"),0)</f>
        <v>0</v>
      </c>
      <c r="V69" s="181">
        <f ca="1">IFERROR(__xludf.DUMMYFUNCTION("IMPORTRANGE(""https://docs.google.com/spreadsheets/d/11s9m3tKsCBdPWq6syhZm27eBGbKneDLZc75co106bio/edit?usp=sharing"",""สระแก้ว!J701"")"),0)</f>
        <v>0</v>
      </c>
      <c r="W69" s="186">
        <f t="shared" ca="1" si="33"/>
        <v>0</v>
      </c>
      <c r="X69" s="186">
        <f ca="1">IFERROR(__xludf.DUMMYFUNCTION("IMPORTRANGE(""https://docs.google.com/spreadsheets/d/11s9m3tKsCBdPWq6syhZm27eBGbKneDLZc75co106bio/edit?usp=sharing"",""สระแก้ว!J702"")"),0)</f>
        <v>0</v>
      </c>
      <c r="Y69" s="186">
        <f ca="1">IFERROR(__xludf.DUMMYFUNCTION("IMPORTRANGE(""https://docs.google.com/spreadsheets/d/11s9m3tKsCBdPWq6syhZm27eBGbKneDLZc75co106bio/edit?usp=sharing"",""สระแก้ว!J703"")"),0)</f>
        <v>0</v>
      </c>
      <c r="Z69" s="186">
        <f ca="1">IFERROR(__xludf.DUMMYFUNCTION("IMPORTRANGE(""https://docs.google.com/spreadsheets/d/11s9m3tKsCBdPWq6syhZm27eBGbKneDLZc75co106bio/edit?usp=sharing"",""สระแก้ว!J704"")"),0)</f>
        <v>0</v>
      </c>
      <c r="AA69" s="186">
        <f ca="1">IFERROR(__xludf.DUMMYFUNCTION("IMPORTRANGE(""https://docs.google.com/spreadsheets/d/11s9m3tKsCBdPWq6syhZm27eBGbKneDLZc75co106bio/edit?usp=sharing"",""สระแก้ว!J705"")"),0)</f>
        <v>0</v>
      </c>
      <c r="AB69" s="186">
        <f ca="1">IFERROR(__xludf.DUMMYFUNCTION("IMPORTRANGE(""https://docs.google.com/spreadsheets/d/11s9m3tKsCBdPWq6syhZm27eBGbKneDLZc75co106bio/edit?usp=sharing"",""สระแก้ว!J706"")"),0)</f>
        <v>0</v>
      </c>
      <c r="AC69" s="186">
        <f ca="1">IFERROR(__xludf.DUMMYFUNCTION("IMPORTRANGE(""https://docs.google.com/spreadsheets/d/11s9m3tKsCBdPWq6syhZm27eBGbKneDLZc75co106bio/edit?usp=sharing"",""สระแก้ว!J707"")"),0)</f>
        <v>0</v>
      </c>
      <c r="AD69" s="181">
        <f ca="1">IFERROR(__xludf.DUMMYFUNCTION("IMPORTRANGE(""https://docs.google.com/spreadsheets/d/11s9m3tKsCBdPWq6syhZm27eBGbKneDLZc75co106bio/edit?usp=sharing"",""สระแก้ว!I708"")"),0)</f>
        <v>0</v>
      </c>
      <c r="AE69" s="181">
        <f ca="1">IFERROR(__xludf.DUMMYFUNCTION("IMPORTRANGE(""https://docs.google.com/spreadsheets/d/11s9m3tKsCBdPWq6syhZm27eBGbKneDLZc75co106bio/edit?usp=sharing"",""สระแก้ว!J708"")"),0)</f>
        <v>0</v>
      </c>
      <c r="AF69" s="186">
        <f t="shared" ca="1" si="34"/>
        <v>0</v>
      </c>
      <c r="AG69" s="181">
        <f ca="1">IFERROR(__xludf.DUMMYFUNCTION("IMPORTRANGE(""https://docs.google.com/spreadsheets/d/11s9m3tKsCBdPWq6syhZm27eBGbKneDLZc75co106bio/edit?usp=sharing"",""สระแก้ว!J709"")"),0)</f>
        <v>0</v>
      </c>
      <c r="AH69" s="181">
        <f ca="1">IFERROR(__xludf.DUMMYFUNCTION("IMPORTRANGE(""https://docs.google.com/spreadsheets/d/11s9m3tKsCBdPWq6syhZm27eBGbKneDLZc75co106bio/edit?usp=sharing"",""สระแก้ว!J710"")"),0)</f>
        <v>0</v>
      </c>
      <c r="AI69" s="181">
        <f ca="1">IFERROR(__xludf.DUMMYFUNCTION("IMPORTRANGE(""https://docs.google.com/spreadsheets/d/11s9m3tKsCBdPWq6syhZm27eBGbKneDLZc75co106bio/edit?usp=sharing"",""สระแก้ว!J712"")"),0)</f>
        <v>0</v>
      </c>
      <c r="AJ69" s="181">
        <f ca="1">IFERROR(__xludf.DUMMYFUNCTION("IMPORTRANGE(""https://docs.google.com/spreadsheets/d/11s9m3tKsCBdPWq6syhZm27eBGbKneDLZc75co106bio/edit?usp=sharing"",""สระแก้ว!J713"")"),0)</f>
        <v>0</v>
      </c>
      <c r="AK69" s="181">
        <f ca="1">IFERROR(__xludf.DUMMYFUNCTION("IMPORTRANGE(""https://docs.google.com/spreadsheets/d/11s9m3tKsCBdPWq6syhZm27eBGbKneDLZc75co106bio/edit?usp=sharing"",""สระแก้ว!J714"")"),0)</f>
        <v>0</v>
      </c>
      <c r="AL69" s="181">
        <f ca="1">IFERROR(__xludf.DUMMYFUNCTION("IMPORTRANGE(""https://docs.google.com/spreadsheets/d/11s9m3tKsCBdPWq6syhZm27eBGbKneDLZc75co106bio/edit?usp=sharing"",""สระแก้ว!J715"")"),0)</f>
        <v>0</v>
      </c>
      <c r="AM69" s="181">
        <f ca="1">IFERROR(__xludf.DUMMYFUNCTION("IMPORTRANGE(""https://docs.google.com/spreadsheets/d/11s9m3tKsCBdPWq6syhZm27eBGbKneDLZc75co106bio/edit?usp=sharing"",""สระแก้ว!J716"")"),0)</f>
        <v>0</v>
      </c>
      <c r="AN69" s="181">
        <f ca="1">IFERROR(__xludf.DUMMYFUNCTION("IMPORTRANGE(""https://docs.google.com/spreadsheets/d/11s9m3tKsCBdPWq6syhZm27eBGbKneDLZc75co106bio/edit?usp=sharing"",""สระแก้ว!J717"")"),0)</f>
        <v>0</v>
      </c>
      <c r="AO69" s="181">
        <f ca="1">IFERROR(__xludf.DUMMYFUNCTION("IMPORTRANGE(""https://docs.google.com/spreadsheets/d/11s9m3tKsCBdPWq6syhZm27eBGbKneDLZc75co106bio/edit?usp=sharing"",""สระแก้ว!I720"")"),0)</f>
        <v>0</v>
      </c>
      <c r="AP69" s="181">
        <f ca="1">IFERROR(__xludf.DUMMYFUNCTION("IMPORTRANGE(""https://docs.google.com/spreadsheets/d/11s9m3tKsCBdPWq6syhZm27eBGbKneDLZc75co106bio/edit?usp=sharing"",""สระแก้ว!J718"")"),0)</f>
        <v>0</v>
      </c>
      <c r="AQ69" s="181">
        <f ca="1">IFERROR(__xludf.DUMMYFUNCTION("IMPORTRANGE(""https://docs.google.com/spreadsheets/d/11s9m3tKsCBdPWq6syhZm27eBGbKneDLZc75co106bio/edit?usp=sharing"",""สระแก้ว!J719"")"),0)</f>
        <v>0</v>
      </c>
      <c r="AR69" s="181">
        <f ca="1">IFERROR(__xludf.DUMMYFUNCTION("IMPORTRANGE(""https://docs.google.com/spreadsheets/d/11s9m3tKsCBdPWq6syhZm27eBGbKneDLZc75co106bio/edit?usp=sharing"",""สระแก้ว!J720"")"),0)</f>
        <v>0</v>
      </c>
      <c r="AS69" s="186">
        <f t="shared" ca="1" si="14"/>
        <v>0</v>
      </c>
      <c r="AT69" s="181">
        <f ca="1">IFERROR(__xludf.DUMMYFUNCTION("IMPORTRANGE(""https://docs.google.com/spreadsheets/d/11s9m3tKsCBdPWq6syhZm27eBGbKneDLZc75co106bio/edit?usp=sharing"",""สระแก้ว!I721"")"),0)</f>
        <v>0</v>
      </c>
      <c r="AU69" s="181">
        <f ca="1">IFERROR(__xludf.DUMMYFUNCTION("IMPORTRANGE(""https://docs.google.com/spreadsheets/d/11s9m3tKsCBdPWq6syhZm27eBGbKneDLZc75co106bio/edit?usp=sharing"",""สระแก้ว!I722"")"),0)</f>
        <v>0</v>
      </c>
      <c r="AV69" s="181">
        <f ca="1">IFERROR(__xludf.DUMMYFUNCTION("IMPORTRANGE(""https://docs.google.com/spreadsheets/d/11s9m3tKsCBdPWq6syhZm27eBGbKneDLZc75co106bio/edit?usp=sharing"",""สระแก้ว!J721"")"),0)</f>
        <v>0</v>
      </c>
      <c r="AW69" s="186">
        <f t="shared" ca="1" si="16"/>
        <v>0</v>
      </c>
      <c r="AX69" s="181">
        <f ca="1">IFERROR(__xludf.DUMMYFUNCTION("IMPORTRANGE(""https://docs.google.com/spreadsheets/d/11s9m3tKsCBdPWq6syhZm27eBGbKneDLZc75co106bio/edit?usp=sharing"",""สระแก้ว!J722"")"),0)</f>
        <v>0</v>
      </c>
      <c r="AY69" s="186">
        <f t="shared" ca="1" si="17"/>
        <v>0</v>
      </c>
      <c r="AZ69" s="181">
        <f ca="1">IFERROR(__xludf.DUMMYFUNCTION("IMPORTRANGE(""https://docs.google.com/spreadsheets/d/11s9m3tKsCBdPWq6syhZm27eBGbKneDLZc75co106bio/edit?usp=sharing"",""สระแก้ว!I723"")"),0)</f>
        <v>0</v>
      </c>
      <c r="BA69" s="181">
        <f ca="1">IFERROR(__xludf.DUMMYFUNCTION("IMPORTRANGE(""https://docs.google.com/spreadsheets/d/11s9m3tKsCBdPWq6syhZm27eBGbKneDLZc75co106bio/edit?usp=sharing"",""สระแก้ว!I725"")"),0)</f>
        <v>0</v>
      </c>
      <c r="BB69" s="181">
        <f ca="1">IFERROR(__xludf.DUMMYFUNCTION("IMPORTRANGE(""https://docs.google.com/spreadsheets/d/11s9m3tKsCBdPWq6syhZm27eBGbKneDLZc75co106bio/edit?usp=sharing"",""สระแก้ว!J723"")"),0)</f>
        <v>0</v>
      </c>
      <c r="BC69" s="181">
        <f ca="1">IFERROR(__xludf.DUMMYFUNCTION("IMPORTRANGE(""https://docs.google.com/spreadsheets/d/11s9m3tKsCBdPWq6syhZm27eBGbKneDLZc75co106bio/edit?usp=sharing"",""สระแก้ว!J724"")"),0)</f>
        <v>0</v>
      </c>
      <c r="BD69" s="181">
        <f ca="1">IFERROR(__xludf.DUMMYFUNCTION("IMPORTRANGE(""https://docs.google.com/spreadsheets/d/11s9m3tKsCBdPWq6syhZm27eBGbKneDLZc75co106bio/edit?usp=sharing"",""สระแก้ว!J725"")"),0)</f>
        <v>0</v>
      </c>
      <c r="BE69" s="181">
        <f ca="1">IFERROR(__xludf.DUMMYFUNCTION("IMPORTRANGE(""https://docs.google.com/spreadsheets/d/11s9m3tKsCBdPWq6syhZm27eBGbKneDLZc75co106bio/edit?usp=sharing"",""สระแก้ว!I726"")"),0)</f>
        <v>0</v>
      </c>
      <c r="BF69" s="181">
        <f ca="1">IFERROR(__xludf.DUMMYFUNCTION("IMPORTRANGE(""https://docs.google.com/spreadsheets/d/11s9m3tKsCBdPWq6syhZm27eBGbKneDLZc75co106bio/edit?usp=sharing"",""สระแก้ว!I728"")"),0)</f>
        <v>0</v>
      </c>
      <c r="BG69" s="181">
        <f ca="1">IFERROR(__xludf.DUMMYFUNCTION("IMPORTRANGE(""https://docs.google.com/spreadsheets/d/11s9m3tKsCBdPWq6syhZm27eBGbKneDLZc75co106bio/edit?usp=sharing"",""สระแก้ว!J726"")"),0)</f>
        <v>0</v>
      </c>
      <c r="BH69" s="181">
        <f ca="1">IFERROR(__xludf.DUMMYFUNCTION("IMPORTRANGE(""https://docs.google.com/spreadsheets/d/11s9m3tKsCBdPWq6syhZm27eBGbKneDLZc75co106bio/edit?usp=sharing"",""สระแก้ว!J727"")"),0)</f>
        <v>0</v>
      </c>
      <c r="BI69" s="181">
        <f ca="1">IFERROR(__xludf.DUMMYFUNCTION("IMPORTRANGE(""https://docs.google.com/spreadsheets/d/11s9m3tKsCBdPWq6syhZm27eBGbKneDLZc75co106bio/edit?usp=sharing"",""สระแก้ว!J728"")"),0)</f>
        <v>0</v>
      </c>
      <c r="BJ69" s="181">
        <f ca="1">IFERROR(__xludf.DUMMYFUNCTION("IMPORTRANGE(""https://docs.google.com/spreadsheets/d/11s9m3tKsCBdPWq6syhZm27eBGbKneDLZc75co106bio/edit?usp=sharing"",""สระแก้ว!I729"")"),0)</f>
        <v>0</v>
      </c>
      <c r="BK69" s="181">
        <f ca="1">IFERROR(__xludf.DUMMYFUNCTION("IMPORTRANGE(""https://docs.google.com/spreadsheets/d/11s9m3tKsCBdPWq6syhZm27eBGbKneDLZc75co106bio/edit?usp=sharing"",""สระแก้ว!J729"")"),0)</f>
        <v>0</v>
      </c>
      <c r="BL69" s="186">
        <f t="shared" ca="1" si="19"/>
        <v>0</v>
      </c>
      <c r="BM69" s="181">
        <f ca="1">IFERROR(__xludf.DUMMYFUNCTION("IMPORTRANGE(""https://docs.google.com/spreadsheets/d/11s9m3tKsCBdPWq6syhZm27eBGbKneDLZc75co106bio/edit?usp=sharing"",""สระแก้ว!J730"")"),0)</f>
        <v>0</v>
      </c>
      <c r="BN69" s="181">
        <f ca="1">IFERROR(__xludf.DUMMYFUNCTION("IMPORTRANGE(""https://docs.google.com/spreadsheets/d/11s9m3tKsCBdPWq6syhZm27eBGbKneDLZc75co106bio/edit?usp=sharing"",""สระแก้ว!J731"")"),0)</f>
        <v>0</v>
      </c>
      <c r="BO69" s="181">
        <f ca="1">IFERROR(__xludf.DUMMYFUNCTION("IMPORTRANGE(""https://docs.google.com/spreadsheets/d/11s9m3tKsCBdPWq6syhZm27eBGbKneDLZc75co106bio/edit?usp=sharing"",""สระแก้ว!J732"")"),0)</f>
        <v>0</v>
      </c>
      <c r="BP69" s="181">
        <f ca="1">IFERROR(__xludf.DUMMYFUNCTION("IMPORTRANGE(""https://docs.google.com/spreadsheets/d/11s9m3tKsCBdPWq6syhZm27eBGbKneDLZc75co106bio/edit?usp=sharing"",""สระแก้ว!J733"")"),0)</f>
        <v>0</v>
      </c>
      <c r="BQ69" s="181">
        <f ca="1">IFERROR(__xludf.DUMMYFUNCTION("IMPORTRANGE(""https://docs.google.com/spreadsheets/d/11s9m3tKsCBdPWq6syhZm27eBGbKneDLZc75co106bio/edit?usp=sharing"",""สระแก้ว!J734"")"),0)</f>
        <v>0</v>
      </c>
      <c r="BR69" s="181">
        <f ca="1">IFERROR(__xludf.DUMMYFUNCTION("IMPORTRANGE(""https://docs.google.com/spreadsheets/d/11s9m3tKsCBdPWq6syhZm27eBGbKneDLZc75co106bio/edit?usp=sharing"",""สระแก้ว!J735"")"),0)</f>
        <v>0</v>
      </c>
    </row>
    <row r="70" spans="1:70" ht="21" customHeight="1" x14ac:dyDescent="0.3">
      <c r="A70" s="178">
        <v>18</v>
      </c>
      <c r="B70" s="179" t="s">
        <v>87</v>
      </c>
      <c r="C70" s="180">
        <f t="shared" ca="1" si="70"/>
        <v>9260</v>
      </c>
      <c r="D70" s="181">
        <f ca="1">IFERROR(__xludf.DUMMYFUNCTION("IMPORTRANGE(""https://docs.google.com/spreadsheets/d/1Nn1EvsFPtXldgpgVb3Rcng2K2cls68LFQsBh2FyW0Bg/edit?usp=sharing"",""สระบุรี!L690"")"),9260)</f>
        <v>9260</v>
      </c>
      <c r="E70" s="187">
        <f ca="1">IFERROR(__xludf.DUMMYFUNCTION("IMPORTRANGE(""https://docs.google.com/spreadsheets/d/1Nn1EvsFPtXldgpgVb3Rcng2K2cls68LFQsBh2FyW0Bg/edit?usp=sharing"",""สระบุรี!L697"")"),0)</f>
        <v>0</v>
      </c>
      <c r="F70" s="182">
        <f t="shared" ca="1" si="1"/>
        <v>0</v>
      </c>
      <c r="G70" s="183">
        <f t="shared" ca="1" si="2"/>
        <v>0</v>
      </c>
      <c r="H70" s="184">
        <f t="shared" ca="1" si="71"/>
        <v>0</v>
      </c>
      <c r="I70" s="187">
        <f ca="1">IFERROR(__xludf.DUMMYFUNCTION("IMPORTRANGE(""https://docs.google.com/spreadsheets/d/1Nn1EvsFPtXldgpgVb3Rcng2K2cls68LFQsBh2FyW0Bg/edit?usp=sharing"",""สระบุรี!N691"")"),0)</f>
        <v>0</v>
      </c>
      <c r="J70" s="187">
        <f ca="1">IFERROR(__xludf.DUMMYFUNCTION("IMPORTRANGE(""https://docs.google.com/spreadsheets/d/1Nn1EvsFPtXldgpgVb3Rcng2K2cls68LFQsBh2FyW0Bg/edit?usp=sharing"",""สระบุรี!N692"")"),0)</f>
        <v>0</v>
      </c>
      <c r="K70" s="187">
        <f ca="1">IFERROR(__xludf.DUMMYFUNCTION("IMPORTRANGE(""https://docs.google.com/spreadsheets/d/1Nn1EvsFPtXldgpgVb3Rcng2K2cls68LFQsBh2FyW0Bg/edit?usp=sharing"",""สระบุรี!N693"")"),0)</f>
        <v>0</v>
      </c>
      <c r="L70" s="187">
        <f ca="1">IFERROR(__xludf.DUMMYFUNCTION("IMPORTRANGE(""https://docs.google.com/spreadsheets/d/1Nn1EvsFPtXldgpgVb3Rcng2K2cls68LFQsBh2FyW0Bg/edit?usp=sharing"",""สระบุรี!N694"")"),0)</f>
        <v>0</v>
      </c>
      <c r="M70" s="185">
        <f ca="1">IFERROR(__xludf.DUMMYFUNCTION("IMPORTRANGE(""https://docs.google.com/spreadsheets/d/1Nn1EvsFPtXldgpgVb3Rcng2K2cls68LFQsBh2FyW0Bg/edit?usp=sharing"",""สระบุรี!N697"")"),0)</f>
        <v>0</v>
      </c>
      <c r="N70" s="185">
        <f t="shared" ca="1" si="37"/>
        <v>0</v>
      </c>
      <c r="O70" s="181">
        <f ca="1">IFERROR(__xludf.DUMMYFUNCTION("IMPORTRANGE(""https://docs.google.com/spreadsheets/d/1Nn1EvsFPtXldgpgVb3Rcng2K2cls68LFQsBh2FyW0Bg/edit?usp=sharing"",""สระบุรี!I699"")"),0)</f>
        <v>0</v>
      </c>
      <c r="P70" s="181">
        <f ca="1">IFERROR(__xludf.DUMMYFUNCTION("IMPORTRANGE(""https://docs.google.com/spreadsheets/d/1Nn1EvsFPtXldgpgVb3Rcng2K2cls68LFQsBh2FyW0Bg/edit?usp=sharing"",""สระบุรี!J699"")"),0)</f>
        <v>0</v>
      </c>
      <c r="Q70" s="186">
        <f t="shared" ca="1" si="31"/>
        <v>0</v>
      </c>
      <c r="R70" s="181">
        <f ca="1">IFERROR(__xludf.DUMMYFUNCTION("IMPORTRANGE(""https://docs.google.com/spreadsheets/d/1Nn1EvsFPtXldgpgVb3Rcng2K2cls68LFQsBh2FyW0Bg/edit?usp=sharing"",""สระบุรี!I700"")"),0)</f>
        <v>0</v>
      </c>
      <c r="S70" s="181">
        <f ca="1">IFERROR(__xludf.DUMMYFUNCTION("IMPORTRANGE(""https://docs.google.com/spreadsheets/d/1Nn1EvsFPtXldgpgVb3Rcng2K2cls68LFQsBh2FyW0Bg/edit?usp=sharing"",""สระบุรี!J700"")"),0)</f>
        <v>0</v>
      </c>
      <c r="T70" s="186">
        <f t="shared" ca="1" si="32"/>
        <v>0</v>
      </c>
      <c r="U70" s="181">
        <f ca="1">IFERROR(__xludf.DUMMYFUNCTION("IMPORTRANGE(""https://docs.google.com/spreadsheets/d/1Nn1EvsFPtXldgpgVb3Rcng2K2cls68LFQsBh2FyW0Bg/edit?usp=sharing"",""สระบุรี!I701"")"),23)</f>
        <v>23</v>
      </c>
      <c r="V70" s="181">
        <f ca="1">IFERROR(__xludf.DUMMYFUNCTION("IMPORTRANGE(""https://docs.google.com/spreadsheets/d/1Nn1EvsFPtXldgpgVb3Rcng2K2cls68LFQsBh2FyW0Bg/edit?usp=sharing"",""สระบุรี!J701"")"),0)</f>
        <v>0</v>
      </c>
      <c r="W70" s="186">
        <f t="shared" ca="1" si="33"/>
        <v>0</v>
      </c>
      <c r="X70" s="186">
        <f ca="1">IFERROR(__xludf.DUMMYFUNCTION("IMPORTRANGE(""https://docs.google.com/spreadsheets/d/1Nn1EvsFPtXldgpgVb3Rcng2K2cls68LFQsBh2FyW0Bg/edit?usp=sharing"",""สระบุรี!J702"")"),0)</f>
        <v>0</v>
      </c>
      <c r="Y70" s="186">
        <f ca="1">IFERROR(__xludf.DUMMYFUNCTION("IMPORTRANGE(""https://docs.google.com/spreadsheets/d/1Nn1EvsFPtXldgpgVb3Rcng2K2cls68LFQsBh2FyW0Bg/edit?usp=sharing"",""สระบุรี!J703"")"),0)</f>
        <v>0</v>
      </c>
      <c r="Z70" s="186">
        <f ca="1">IFERROR(__xludf.DUMMYFUNCTION("IMPORTRANGE(""https://docs.google.com/spreadsheets/d/1Nn1EvsFPtXldgpgVb3Rcng2K2cls68LFQsBh2FyW0Bg/edit?usp=sharing"",""สระบุรี!J704"")"),0)</f>
        <v>0</v>
      </c>
      <c r="AA70" s="186">
        <f ca="1">IFERROR(__xludf.DUMMYFUNCTION("IMPORTRANGE(""https://docs.google.com/spreadsheets/d/1Nn1EvsFPtXldgpgVb3Rcng2K2cls68LFQsBh2FyW0Bg/edit?usp=sharing"",""สระบุรี!J705"")"),0)</f>
        <v>0</v>
      </c>
      <c r="AB70" s="186">
        <f ca="1">IFERROR(__xludf.DUMMYFUNCTION("IMPORTRANGE(""https://docs.google.com/spreadsheets/d/1Nn1EvsFPtXldgpgVb3Rcng2K2cls68LFQsBh2FyW0Bg/edit?usp=sharing"",""สระบุรี!J706"")"),0)</f>
        <v>0</v>
      </c>
      <c r="AC70" s="186">
        <f ca="1">IFERROR(__xludf.DUMMYFUNCTION("IMPORTRANGE(""https://docs.google.com/spreadsheets/d/1Nn1EvsFPtXldgpgVb3Rcng2K2cls68LFQsBh2FyW0Bg/edit?usp=sharing"",""สระบุรี!J707"")"),0)</f>
        <v>0</v>
      </c>
      <c r="AD70" s="181">
        <f ca="1">IFERROR(__xludf.DUMMYFUNCTION("IMPORTRANGE(""https://docs.google.com/spreadsheets/d/1Nn1EvsFPtXldgpgVb3Rcng2K2cls68LFQsBh2FyW0Bg/edit?usp=sharing"",""สระบุรี!I708"")"),0)</f>
        <v>0</v>
      </c>
      <c r="AE70" s="181">
        <f ca="1">IFERROR(__xludf.DUMMYFUNCTION("IMPORTRANGE(""https://docs.google.com/spreadsheets/d/1Nn1EvsFPtXldgpgVb3Rcng2K2cls68LFQsBh2FyW0Bg/edit?usp=sharing"",""สระบุรี!J708"")"),0)</f>
        <v>0</v>
      </c>
      <c r="AF70" s="186">
        <f t="shared" ca="1" si="34"/>
        <v>0</v>
      </c>
      <c r="AG70" s="181">
        <f ca="1">IFERROR(__xludf.DUMMYFUNCTION("IMPORTRANGE(""https://docs.google.com/spreadsheets/d/1Nn1EvsFPtXldgpgVb3Rcng2K2cls68LFQsBh2FyW0Bg/edit?usp=sharing"",""สระบุรี!J709"")"),0)</f>
        <v>0</v>
      </c>
      <c r="AH70" s="181">
        <f ca="1">IFERROR(__xludf.DUMMYFUNCTION("IMPORTRANGE(""https://docs.google.com/spreadsheets/d/1Nn1EvsFPtXldgpgVb3Rcng2K2cls68LFQsBh2FyW0Bg/edit?usp=sharing"",""สระบุรี!J710"")"),0)</f>
        <v>0</v>
      </c>
      <c r="AI70" s="181">
        <f ca="1">IFERROR(__xludf.DUMMYFUNCTION("IMPORTRANGE(""https://docs.google.com/spreadsheets/d/1Nn1EvsFPtXldgpgVb3Rcng2K2cls68LFQsBh2FyW0Bg/edit?usp=sharing"",""สระบุรี!J712"")"),0)</f>
        <v>0</v>
      </c>
      <c r="AJ70" s="181">
        <f ca="1">IFERROR(__xludf.DUMMYFUNCTION("IMPORTRANGE(""https://docs.google.com/spreadsheets/d/1Nn1EvsFPtXldgpgVb3Rcng2K2cls68LFQsBh2FyW0Bg/edit?usp=sharing"",""สระบุรี!J713"")"),0)</f>
        <v>0</v>
      </c>
      <c r="AK70" s="181">
        <f ca="1">IFERROR(__xludf.DUMMYFUNCTION("IMPORTRANGE(""https://docs.google.com/spreadsheets/d/1Nn1EvsFPtXldgpgVb3Rcng2K2cls68LFQsBh2FyW0Bg/edit?usp=sharing"",""สระบุรี!J714"")"),0)</f>
        <v>0</v>
      </c>
      <c r="AL70" s="181">
        <f ca="1">IFERROR(__xludf.DUMMYFUNCTION("IMPORTRANGE(""https://docs.google.com/spreadsheets/d/1Nn1EvsFPtXldgpgVb3Rcng2K2cls68LFQsBh2FyW0Bg/edit?usp=sharing"",""สระบุรี!J715"")"),0)</f>
        <v>0</v>
      </c>
      <c r="AM70" s="181">
        <f ca="1">IFERROR(__xludf.DUMMYFUNCTION("IMPORTRANGE(""https://docs.google.com/spreadsheets/d/1Nn1EvsFPtXldgpgVb3Rcng2K2cls68LFQsBh2FyW0Bg/edit?usp=sharing"",""สระบุรี!J716"")"),0)</f>
        <v>0</v>
      </c>
      <c r="AN70" s="181">
        <f ca="1">IFERROR(__xludf.DUMMYFUNCTION("IMPORTRANGE(""https://docs.google.com/spreadsheets/d/1Nn1EvsFPtXldgpgVb3Rcng2K2cls68LFQsBh2FyW0Bg/edit?usp=sharing"",""สระบุรี!J717"")"),0)</f>
        <v>0</v>
      </c>
      <c r="AO70" s="181">
        <f ca="1">IFERROR(__xludf.DUMMYFUNCTION("IMPORTRANGE(""https://docs.google.com/spreadsheets/d/1Nn1EvsFPtXldgpgVb3Rcng2K2cls68LFQsBh2FyW0Bg/edit?usp=sharing"",""สระบุรี!I720"")"),200)</f>
        <v>200</v>
      </c>
      <c r="AP70" s="181">
        <f ca="1">IFERROR(__xludf.DUMMYFUNCTION("IMPORTRANGE(""https://docs.google.com/spreadsheets/d/1Nn1EvsFPtXldgpgVb3Rcng2K2cls68LFQsBh2FyW0Bg/edit?usp=sharing"",""สระบุรี!J718"")"),0)</f>
        <v>0</v>
      </c>
      <c r="AQ70" s="181">
        <f ca="1">IFERROR(__xludf.DUMMYFUNCTION("IMPORTRANGE(""https://docs.google.com/spreadsheets/d/1Nn1EvsFPtXldgpgVb3Rcng2K2cls68LFQsBh2FyW0Bg/edit?usp=sharing"",""สระบุรี!J719"")"),0)</f>
        <v>0</v>
      </c>
      <c r="AR70" s="181">
        <f ca="1">IFERROR(__xludf.DUMMYFUNCTION("IMPORTRANGE(""https://docs.google.com/spreadsheets/d/1Nn1EvsFPtXldgpgVb3Rcng2K2cls68LFQsBh2FyW0Bg/edit?usp=sharing"",""สระบุรี!J720"")"),0)</f>
        <v>0</v>
      </c>
      <c r="AS70" s="186">
        <f t="shared" ca="1" si="14"/>
        <v>0</v>
      </c>
      <c r="AT70" s="181">
        <f ca="1">IFERROR(__xludf.DUMMYFUNCTION("IMPORTRANGE(""https://docs.google.com/spreadsheets/d/1Nn1EvsFPtXldgpgVb3Rcng2K2cls68LFQsBh2FyW0Bg/edit?usp=sharing"",""สระบุรี!I721"")"),15)</f>
        <v>15</v>
      </c>
      <c r="AU70" s="181">
        <f ca="1">IFERROR(__xludf.DUMMYFUNCTION("IMPORTRANGE(""https://docs.google.com/spreadsheets/d/1Nn1EvsFPtXldgpgVb3Rcng2K2cls68LFQsBh2FyW0Bg/edit?usp=sharing"",""สระบุรี!I722"")"),150)</f>
        <v>150</v>
      </c>
      <c r="AV70" s="181">
        <f ca="1">IFERROR(__xludf.DUMMYFUNCTION("IMPORTRANGE(""https://docs.google.com/spreadsheets/d/1Nn1EvsFPtXldgpgVb3Rcng2K2cls68LFQsBh2FyW0Bg/edit?usp=sharing"",""สระบุรี!J721"")"),0)</f>
        <v>0</v>
      </c>
      <c r="AW70" s="186">
        <f t="shared" ca="1" si="16"/>
        <v>0</v>
      </c>
      <c r="AX70" s="181">
        <f ca="1">IFERROR(__xludf.DUMMYFUNCTION("IMPORTRANGE(""https://docs.google.com/spreadsheets/d/1Nn1EvsFPtXldgpgVb3Rcng2K2cls68LFQsBh2FyW0Bg/edit?usp=sharing"",""สระบุรี!J722"")"),0)</f>
        <v>0</v>
      </c>
      <c r="AY70" s="186">
        <f t="shared" ca="1" si="17"/>
        <v>0</v>
      </c>
      <c r="AZ70" s="181">
        <f ca="1">IFERROR(__xludf.DUMMYFUNCTION("IMPORTRANGE(""https://docs.google.com/spreadsheets/d/1Nn1EvsFPtXldgpgVb3Rcng2K2cls68LFQsBh2FyW0Bg/edit?usp=sharing"",""สระบุรี!I723"")"),15)</f>
        <v>15</v>
      </c>
      <c r="BA70" s="181">
        <f ca="1">IFERROR(__xludf.DUMMYFUNCTION("IMPORTRANGE(""https://docs.google.com/spreadsheets/d/1Nn1EvsFPtXldgpgVb3Rcng2K2cls68LFQsBh2FyW0Bg/edit?usp=sharing"",""สระบุรี!I725"")"),150)</f>
        <v>150</v>
      </c>
      <c r="BB70" s="181">
        <f ca="1">IFERROR(__xludf.DUMMYFUNCTION("IMPORTRANGE(""https://docs.google.com/spreadsheets/d/1Nn1EvsFPtXldgpgVb3Rcng2K2cls68LFQsBh2FyW0Bg/edit?usp=sharing"",""สระบุรี!J723"")"),0)</f>
        <v>0</v>
      </c>
      <c r="BC70" s="181">
        <f ca="1">IFERROR(__xludf.DUMMYFUNCTION("IMPORTRANGE(""https://docs.google.com/spreadsheets/d/1Nn1EvsFPtXldgpgVb3Rcng2K2cls68LFQsBh2FyW0Bg/edit?usp=sharing"",""สระบุรี!J724"")"),0)</f>
        <v>0</v>
      </c>
      <c r="BD70" s="181">
        <f ca="1">IFERROR(__xludf.DUMMYFUNCTION("IMPORTRANGE(""https://docs.google.com/spreadsheets/d/1Nn1EvsFPtXldgpgVb3Rcng2K2cls68LFQsBh2FyW0Bg/edit?usp=sharing"",""สระบุรี!J725"")"),0)</f>
        <v>0</v>
      </c>
      <c r="BE70" s="181">
        <f ca="1">IFERROR(__xludf.DUMMYFUNCTION("IMPORTRANGE(""https://docs.google.com/spreadsheets/d/1Nn1EvsFPtXldgpgVb3Rcng2K2cls68LFQsBh2FyW0Bg/edit?usp=sharing"",""สระบุรี!I726"")"),0)</f>
        <v>0</v>
      </c>
      <c r="BF70" s="181">
        <f ca="1">IFERROR(__xludf.DUMMYFUNCTION("IMPORTRANGE(""https://docs.google.com/spreadsheets/d/1Nn1EvsFPtXldgpgVb3Rcng2K2cls68LFQsBh2FyW0Bg/edit?usp=sharing"",""สระบุรี!I728"")"),0)</f>
        <v>0</v>
      </c>
      <c r="BG70" s="181">
        <f ca="1">IFERROR(__xludf.DUMMYFUNCTION("IMPORTRANGE(""https://docs.google.com/spreadsheets/d/1Nn1EvsFPtXldgpgVb3Rcng2K2cls68LFQsBh2FyW0Bg/edit?usp=sharing"",""สระบุรี!J726"")"),0)</f>
        <v>0</v>
      </c>
      <c r="BH70" s="181">
        <f ca="1">IFERROR(__xludf.DUMMYFUNCTION("IMPORTRANGE(""https://docs.google.com/spreadsheets/d/1Nn1EvsFPtXldgpgVb3Rcng2K2cls68LFQsBh2FyW0Bg/edit?usp=sharing"",""สระบุรี!J727"")"),0)</f>
        <v>0</v>
      </c>
      <c r="BI70" s="181">
        <f ca="1">IFERROR(__xludf.DUMMYFUNCTION("IMPORTRANGE(""https://docs.google.com/spreadsheets/d/1Nn1EvsFPtXldgpgVb3Rcng2K2cls68LFQsBh2FyW0Bg/edit?usp=sharing"",""สระบุรี!J728"")"),0)</f>
        <v>0</v>
      </c>
      <c r="BJ70" s="181">
        <f ca="1">IFERROR(__xludf.DUMMYFUNCTION("IMPORTRANGE(""https://docs.google.com/spreadsheets/d/1Nn1EvsFPtXldgpgVb3Rcng2K2cls68LFQsBh2FyW0Bg/edit?usp=sharing"",""สระบุรี!I729"")"),0)</f>
        <v>0</v>
      </c>
      <c r="BK70" s="181">
        <f ca="1">IFERROR(__xludf.DUMMYFUNCTION("IMPORTRANGE(""https://docs.google.com/spreadsheets/d/1Nn1EvsFPtXldgpgVb3Rcng2K2cls68LFQsBh2FyW0Bg/edit?usp=sharing"",""สระบุรี!J729"")"),0)</f>
        <v>0</v>
      </c>
      <c r="BL70" s="186">
        <f t="shared" ca="1" si="19"/>
        <v>0</v>
      </c>
      <c r="BM70" s="181">
        <f ca="1">IFERROR(__xludf.DUMMYFUNCTION("IMPORTRANGE(""https://docs.google.com/spreadsheets/d/1Nn1EvsFPtXldgpgVb3Rcng2K2cls68LFQsBh2FyW0Bg/edit?usp=sharing"",""สระบุรี!J730"")"),0)</f>
        <v>0</v>
      </c>
      <c r="BN70" s="181">
        <f ca="1">IFERROR(__xludf.DUMMYFUNCTION("IMPORTRANGE(""https://docs.google.com/spreadsheets/d/1Nn1EvsFPtXldgpgVb3Rcng2K2cls68LFQsBh2FyW0Bg/edit?usp=sharing"",""สระบุรี!J731"")"),0)</f>
        <v>0</v>
      </c>
      <c r="BO70" s="181">
        <f ca="1">IFERROR(__xludf.DUMMYFUNCTION("IMPORTRANGE(""https://docs.google.com/spreadsheets/d/1Nn1EvsFPtXldgpgVb3Rcng2K2cls68LFQsBh2FyW0Bg/edit?usp=sharing"",""สระบุรี!J732"")"),0)</f>
        <v>0</v>
      </c>
      <c r="BP70" s="181">
        <f ca="1">IFERROR(__xludf.DUMMYFUNCTION("IMPORTRANGE(""https://docs.google.com/spreadsheets/d/1Nn1EvsFPtXldgpgVb3Rcng2K2cls68LFQsBh2FyW0Bg/edit?usp=sharing"",""สระบุรี!J733"")"),0)</f>
        <v>0</v>
      </c>
      <c r="BQ70" s="181">
        <f ca="1">IFERROR(__xludf.DUMMYFUNCTION("IMPORTRANGE(""https://docs.google.com/spreadsheets/d/1Nn1EvsFPtXldgpgVb3Rcng2K2cls68LFQsBh2FyW0Bg/edit?usp=sharing"",""สระบุรี!J734"")"),0)</f>
        <v>0</v>
      </c>
      <c r="BR70" s="181">
        <f ca="1">IFERROR(__xludf.DUMMYFUNCTION("IMPORTRANGE(""https://docs.google.com/spreadsheets/d/1Nn1EvsFPtXldgpgVb3Rcng2K2cls68LFQsBh2FyW0Bg/edit?usp=sharing"",""สระบุรี!J735"")"),0)</f>
        <v>0</v>
      </c>
    </row>
    <row r="71" spans="1:70" ht="21" customHeight="1" x14ac:dyDescent="0.3">
      <c r="A71" s="178">
        <v>19</v>
      </c>
      <c r="B71" s="179" t="s">
        <v>88</v>
      </c>
      <c r="C71" s="180">
        <f t="shared" ca="1" si="70"/>
        <v>1240</v>
      </c>
      <c r="D71" s="181">
        <f ca="1">IFERROR(__xludf.DUMMYFUNCTION("IMPORTRANGE(""https://docs.google.com/spreadsheets/d/149xufxukrnEciK3WPbNpHwUK8BKEJxp3UcBG3Al6dA4/edit?usp=sharing"",""สิงห์บุรี!L690"")"),1240)</f>
        <v>1240</v>
      </c>
      <c r="E71" s="187">
        <f ca="1">IFERROR(__xludf.DUMMYFUNCTION("IMPORTRANGE(""https://docs.google.com/spreadsheets/d/149xufxukrnEciK3WPbNpHwUK8BKEJxp3UcBG3Al6dA4/edit?usp=sharing"",""สิงห์บุรี!L697"")"),0)</f>
        <v>0</v>
      </c>
      <c r="F71" s="182">
        <f t="shared" ca="1" si="1"/>
        <v>0</v>
      </c>
      <c r="G71" s="183">
        <f t="shared" ca="1" si="2"/>
        <v>0</v>
      </c>
      <c r="H71" s="184">
        <f t="shared" ca="1" si="71"/>
        <v>0</v>
      </c>
      <c r="I71" s="187">
        <f ca="1">IFERROR(__xludf.DUMMYFUNCTION("IMPORTRANGE(""https://docs.google.com/spreadsheets/d/149xufxukrnEciK3WPbNpHwUK8BKEJxp3UcBG3Al6dA4/edit?usp=sharing"",""สิงห์บุรี!N691"")"),0)</f>
        <v>0</v>
      </c>
      <c r="J71" s="187">
        <f ca="1">IFERROR(__xludf.DUMMYFUNCTION("IMPORTRANGE(""https://docs.google.com/spreadsheets/d/149xufxukrnEciK3WPbNpHwUK8BKEJxp3UcBG3Al6dA4/edit?usp=sharing"",""สิงห์บุรี!N692"")"),0)</f>
        <v>0</v>
      </c>
      <c r="K71" s="187">
        <f ca="1">IFERROR(__xludf.DUMMYFUNCTION("IMPORTRANGE(""https://docs.google.com/spreadsheets/d/149xufxukrnEciK3WPbNpHwUK8BKEJxp3UcBG3Al6dA4/edit?usp=sharing"",""สิงห์บุรี!N693"")"),0)</f>
        <v>0</v>
      </c>
      <c r="L71" s="187">
        <f ca="1">IFERROR(__xludf.DUMMYFUNCTION("IMPORTRANGE(""https://docs.google.com/spreadsheets/d/149xufxukrnEciK3WPbNpHwUK8BKEJxp3UcBG3Al6dA4/edit?usp=sharing"",""สิงห์บุรี!N694"")"),0)</f>
        <v>0</v>
      </c>
      <c r="M71" s="185">
        <f ca="1">IFERROR(__xludf.DUMMYFUNCTION("IMPORTRANGE(""https://docs.google.com/spreadsheets/d/149xufxukrnEciK3WPbNpHwUK8BKEJxp3UcBG3Al6dA4/edit?usp=sharing"",""สิงห์บุรี!N697"")"),0)</f>
        <v>0</v>
      </c>
      <c r="N71" s="185">
        <f t="shared" ca="1" si="37"/>
        <v>0</v>
      </c>
      <c r="O71" s="181">
        <f ca="1">IFERROR(__xludf.DUMMYFUNCTION("IMPORTRANGE(""https://docs.google.com/spreadsheets/d/149xufxukrnEciK3WPbNpHwUK8BKEJxp3UcBG3Al6dA4/edit?usp=sharing"",""สิงห์บุรี!I699"")"),0)</f>
        <v>0</v>
      </c>
      <c r="P71" s="181">
        <f ca="1">IFERROR(__xludf.DUMMYFUNCTION("IMPORTRANGE(""https://docs.google.com/spreadsheets/d/149xufxukrnEciK3WPbNpHwUK8BKEJxp3UcBG3Al6dA4/edit?usp=sharing"",""สิงห์บุรี!J699"")"),0)</f>
        <v>0</v>
      </c>
      <c r="Q71" s="186">
        <f t="shared" ca="1" si="31"/>
        <v>0</v>
      </c>
      <c r="R71" s="181">
        <f ca="1">IFERROR(__xludf.DUMMYFUNCTION("IMPORTRANGE(""https://docs.google.com/spreadsheets/d/149xufxukrnEciK3WPbNpHwUK8BKEJxp3UcBG3Al6dA4/edit?usp=sharing"",""สิงห์บุรี!I700"")"),1)</f>
        <v>1</v>
      </c>
      <c r="S71" s="181">
        <f ca="1">IFERROR(__xludf.DUMMYFUNCTION("IMPORTRANGE(""https://docs.google.com/spreadsheets/d/149xufxukrnEciK3WPbNpHwUK8BKEJxp3UcBG3Al6dA4/edit?usp=sharing"",""สิงห์บุรี!J700"")"),0)</f>
        <v>0</v>
      </c>
      <c r="T71" s="186">
        <f t="shared" ca="1" si="32"/>
        <v>0</v>
      </c>
      <c r="U71" s="181">
        <f ca="1">IFERROR(__xludf.DUMMYFUNCTION("IMPORTRANGE(""https://docs.google.com/spreadsheets/d/149xufxukrnEciK3WPbNpHwUK8BKEJxp3UcBG3Al6dA4/edit?usp=sharing"",""สิงห์บุรี!I701"")"),0)</f>
        <v>0</v>
      </c>
      <c r="V71" s="181">
        <f ca="1">IFERROR(__xludf.DUMMYFUNCTION("IMPORTRANGE(""https://docs.google.com/spreadsheets/d/149xufxukrnEciK3WPbNpHwUK8BKEJxp3UcBG3Al6dA4/edit?usp=sharing"",""สิงห์บุรี!J701"")"),0)</f>
        <v>0</v>
      </c>
      <c r="W71" s="186">
        <f t="shared" ca="1" si="33"/>
        <v>0</v>
      </c>
      <c r="X71" s="186">
        <f ca="1">IFERROR(__xludf.DUMMYFUNCTION("IMPORTRANGE(""https://docs.google.com/spreadsheets/d/149xufxukrnEciK3WPbNpHwUK8BKEJxp3UcBG3Al6dA4/edit?usp=sharing"",""สิงห์บุรี!J702"")"),0)</f>
        <v>0</v>
      </c>
      <c r="Y71" s="186">
        <f ca="1">IFERROR(__xludf.DUMMYFUNCTION("IMPORTRANGE(""https://docs.google.com/spreadsheets/d/149xufxukrnEciK3WPbNpHwUK8BKEJxp3UcBG3Al6dA4/edit?usp=sharing"",""สิงห์บุรี!J703"")"),0)</f>
        <v>0</v>
      </c>
      <c r="Z71" s="186">
        <f ca="1">IFERROR(__xludf.DUMMYFUNCTION("IMPORTRANGE(""https://docs.google.com/spreadsheets/d/149xufxukrnEciK3WPbNpHwUK8BKEJxp3UcBG3Al6dA4/edit?usp=sharing"",""สิงห์บุรี!J704"")"),0)</f>
        <v>0</v>
      </c>
      <c r="AA71" s="186">
        <f ca="1">IFERROR(__xludf.DUMMYFUNCTION("IMPORTRANGE(""https://docs.google.com/spreadsheets/d/149xufxukrnEciK3WPbNpHwUK8BKEJxp3UcBG3Al6dA4/edit?usp=sharing"",""สิงห์บุรี!J705"")"),0)</f>
        <v>0</v>
      </c>
      <c r="AB71" s="186">
        <f ca="1">IFERROR(__xludf.DUMMYFUNCTION("IMPORTRANGE(""https://docs.google.com/spreadsheets/d/149xufxukrnEciK3WPbNpHwUK8BKEJxp3UcBG3Al6dA4/edit?usp=sharing"",""สิงห์บุรี!J706"")"),0)</f>
        <v>0</v>
      </c>
      <c r="AC71" s="186">
        <f ca="1">IFERROR(__xludf.DUMMYFUNCTION("IMPORTRANGE(""https://docs.google.com/spreadsheets/d/149xufxukrnEciK3WPbNpHwUK8BKEJxp3UcBG3Al6dA4/edit?usp=sharing"",""สิงห์บุรี!J707"")"),0)</f>
        <v>0</v>
      </c>
      <c r="AD71" s="181">
        <f ca="1">IFERROR(__xludf.DUMMYFUNCTION("IMPORTRANGE(""https://docs.google.com/spreadsheets/d/149xufxukrnEciK3WPbNpHwUK8BKEJxp3UcBG3Al6dA4/edit?usp=sharing"",""สิงห์บุรี!I708"")"),0)</f>
        <v>0</v>
      </c>
      <c r="AE71" s="181">
        <f ca="1">IFERROR(__xludf.DUMMYFUNCTION("IMPORTRANGE(""https://docs.google.com/spreadsheets/d/149xufxukrnEciK3WPbNpHwUK8BKEJxp3UcBG3Al6dA4/edit?usp=sharing"",""สิงห์บุรี!J708"")"),0)</f>
        <v>0</v>
      </c>
      <c r="AF71" s="186">
        <f t="shared" ca="1" si="34"/>
        <v>0</v>
      </c>
      <c r="AG71" s="181">
        <f ca="1">IFERROR(__xludf.DUMMYFUNCTION("IMPORTRANGE(""https://docs.google.com/spreadsheets/d/149xufxukrnEciK3WPbNpHwUK8BKEJxp3UcBG3Al6dA4/edit?usp=sharing"",""สิงห์บุรี!J709"")"),0)</f>
        <v>0</v>
      </c>
      <c r="AH71" s="181">
        <f ca="1">IFERROR(__xludf.DUMMYFUNCTION("IMPORTRANGE(""https://docs.google.com/spreadsheets/d/149xufxukrnEciK3WPbNpHwUK8BKEJxp3UcBG3Al6dA4/edit?usp=sharing"",""สิงห์บุรี!J710"")"),0)</f>
        <v>0</v>
      </c>
      <c r="AI71" s="181">
        <f ca="1">IFERROR(__xludf.DUMMYFUNCTION("IMPORTRANGE(""https://docs.google.com/spreadsheets/d/149xufxukrnEciK3WPbNpHwUK8BKEJxp3UcBG3Al6dA4/edit?usp=sharing"",""สิงห์บุรี!J712"")"),0)</f>
        <v>0</v>
      </c>
      <c r="AJ71" s="181">
        <f ca="1">IFERROR(__xludf.DUMMYFUNCTION("IMPORTRANGE(""https://docs.google.com/spreadsheets/d/149xufxukrnEciK3WPbNpHwUK8BKEJxp3UcBG3Al6dA4/edit?usp=sharing"",""สิงห์บุรี!J713"")"),0)</f>
        <v>0</v>
      </c>
      <c r="AK71" s="181">
        <f ca="1">IFERROR(__xludf.DUMMYFUNCTION("IMPORTRANGE(""https://docs.google.com/spreadsheets/d/149xufxukrnEciK3WPbNpHwUK8BKEJxp3UcBG3Al6dA4/edit?usp=sharing"",""สิงห์บุรี!J714"")"),0)</f>
        <v>0</v>
      </c>
      <c r="AL71" s="181">
        <f ca="1">IFERROR(__xludf.DUMMYFUNCTION("IMPORTRANGE(""https://docs.google.com/spreadsheets/d/149xufxukrnEciK3WPbNpHwUK8BKEJxp3UcBG3Al6dA4/edit?usp=sharing"",""สิงห์บุรี!J715"")"),0)</f>
        <v>0</v>
      </c>
      <c r="AM71" s="181">
        <f ca="1">IFERROR(__xludf.DUMMYFUNCTION("IMPORTRANGE(""https://docs.google.com/spreadsheets/d/149xufxukrnEciK3WPbNpHwUK8BKEJxp3UcBG3Al6dA4/edit?usp=sharing"",""สิงห์บุรี!J716"")"),0)</f>
        <v>0</v>
      </c>
      <c r="AN71" s="181">
        <f ca="1">IFERROR(__xludf.DUMMYFUNCTION("IMPORTRANGE(""https://docs.google.com/spreadsheets/d/149xufxukrnEciK3WPbNpHwUK8BKEJxp3UcBG3Al6dA4/edit?usp=sharing"",""สิงห์บุรี!J717"")"),0)</f>
        <v>0</v>
      </c>
      <c r="AO71" s="181">
        <f ca="1">IFERROR(__xludf.DUMMYFUNCTION("IMPORTRANGE(""https://docs.google.com/spreadsheets/d/149xufxukrnEciK3WPbNpHwUK8BKEJxp3UcBG3Al6dA4/edit?usp=sharing"",""สิงห์บุรี!I720"")"),0)</f>
        <v>0</v>
      </c>
      <c r="AP71" s="181">
        <f ca="1">IFERROR(__xludf.DUMMYFUNCTION("IMPORTRANGE(""https://docs.google.com/spreadsheets/d/149xufxukrnEciK3WPbNpHwUK8BKEJxp3UcBG3Al6dA4/edit?usp=sharing"",""สิงห์บุรี!J718"")"),0)</f>
        <v>0</v>
      </c>
      <c r="AQ71" s="181">
        <f ca="1">IFERROR(__xludf.DUMMYFUNCTION("IMPORTRANGE(""https://docs.google.com/spreadsheets/d/149xufxukrnEciK3WPbNpHwUK8BKEJxp3UcBG3Al6dA4/edit?usp=sharing"",""สิงห์บุรี!J719"")"),0)</f>
        <v>0</v>
      </c>
      <c r="AR71" s="181">
        <f ca="1">IFERROR(__xludf.DUMMYFUNCTION("IMPORTRANGE(""https://docs.google.com/spreadsheets/d/149xufxukrnEciK3WPbNpHwUK8BKEJxp3UcBG3Al6dA4/edit?usp=sharing"",""สิงห์บุรี!J720"")"),0)</f>
        <v>0</v>
      </c>
      <c r="AS71" s="186">
        <f t="shared" ca="1" si="14"/>
        <v>0</v>
      </c>
      <c r="AT71" s="181">
        <f ca="1">IFERROR(__xludf.DUMMYFUNCTION("IMPORTRANGE(""https://docs.google.com/spreadsheets/d/149xufxukrnEciK3WPbNpHwUK8BKEJxp3UcBG3Al6dA4/edit?usp=sharing"",""สิงห์บุรี!I721"")"),1)</f>
        <v>1</v>
      </c>
      <c r="AU71" s="181">
        <f ca="1">IFERROR(__xludf.DUMMYFUNCTION("IMPORTRANGE(""https://docs.google.com/spreadsheets/d/149xufxukrnEciK3WPbNpHwUK8BKEJxp3UcBG3Al6dA4/edit?usp=sharing"",""สิงห์บุรี!I722"")"),15)</f>
        <v>15</v>
      </c>
      <c r="AV71" s="181">
        <f ca="1">IFERROR(__xludf.DUMMYFUNCTION("IMPORTRANGE(""https://docs.google.com/spreadsheets/d/149xufxukrnEciK3WPbNpHwUK8BKEJxp3UcBG3Al6dA4/edit?usp=sharing"",""สิงห์บุรี!J721"")"),0)</f>
        <v>0</v>
      </c>
      <c r="AW71" s="186">
        <f t="shared" ca="1" si="16"/>
        <v>0</v>
      </c>
      <c r="AX71" s="181">
        <f ca="1">IFERROR(__xludf.DUMMYFUNCTION("IMPORTRANGE(""https://docs.google.com/spreadsheets/d/149xufxukrnEciK3WPbNpHwUK8BKEJxp3UcBG3Al6dA4/edit?usp=sharing"",""สิงห์บุรี!J722"")"),0)</f>
        <v>0</v>
      </c>
      <c r="AY71" s="186">
        <f t="shared" ca="1" si="17"/>
        <v>0</v>
      </c>
      <c r="AZ71" s="181">
        <f ca="1">IFERROR(__xludf.DUMMYFUNCTION("IMPORTRANGE(""https://docs.google.com/spreadsheets/d/149xufxukrnEciK3WPbNpHwUK8BKEJxp3UcBG3Al6dA4/edit?usp=sharing"",""สิงห์บุรี!I723"")"),1)</f>
        <v>1</v>
      </c>
      <c r="BA71" s="181">
        <f ca="1">IFERROR(__xludf.DUMMYFUNCTION("IMPORTRANGE(""https://docs.google.com/spreadsheets/d/149xufxukrnEciK3WPbNpHwUK8BKEJxp3UcBG3Al6dA4/edit?usp=sharing"",""สิงห์บุรี!I725"")"),15)</f>
        <v>15</v>
      </c>
      <c r="BB71" s="181">
        <f ca="1">IFERROR(__xludf.DUMMYFUNCTION("IMPORTRANGE(""https://docs.google.com/spreadsheets/d/149xufxukrnEciK3WPbNpHwUK8BKEJxp3UcBG3Al6dA4/edit?usp=sharing"",""สิงห์บุรี!J723"")"),0)</f>
        <v>0</v>
      </c>
      <c r="BC71" s="181">
        <f ca="1">IFERROR(__xludf.DUMMYFUNCTION("IMPORTRANGE(""https://docs.google.com/spreadsheets/d/149xufxukrnEciK3WPbNpHwUK8BKEJxp3UcBG3Al6dA4/edit?usp=sharing"",""สิงห์บุรี!J724"")"),0)</f>
        <v>0</v>
      </c>
      <c r="BD71" s="181">
        <f ca="1">IFERROR(__xludf.DUMMYFUNCTION("IMPORTRANGE(""https://docs.google.com/spreadsheets/d/149xufxukrnEciK3WPbNpHwUK8BKEJxp3UcBG3Al6dA4/edit?usp=sharing"",""สิงห์บุรี!J725"")"),0)</f>
        <v>0</v>
      </c>
      <c r="BE71" s="181">
        <f ca="1">IFERROR(__xludf.DUMMYFUNCTION("IMPORTRANGE(""https://docs.google.com/spreadsheets/d/149xufxukrnEciK3WPbNpHwUK8BKEJxp3UcBG3Al6dA4/edit?usp=sharing"",""สิงห์บุรี!I726"")"),0)</f>
        <v>0</v>
      </c>
      <c r="BF71" s="181">
        <f ca="1">IFERROR(__xludf.DUMMYFUNCTION("IMPORTRANGE(""https://docs.google.com/spreadsheets/d/149xufxukrnEciK3WPbNpHwUK8BKEJxp3UcBG3Al6dA4/edit?usp=sharing"",""สิงห์บุรี!I728"")"),0)</f>
        <v>0</v>
      </c>
      <c r="BG71" s="181">
        <f ca="1">IFERROR(__xludf.DUMMYFUNCTION("IMPORTRANGE(""https://docs.google.com/spreadsheets/d/149xufxukrnEciK3WPbNpHwUK8BKEJxp3UcBG3Al6dA4/edit?usp=sharing"",""สิงห์บุรี!J726"")"),0)</f>
        <v>0</v>
      </c>
      <c r="BH71" s="181">
        <f ca="1">IFERROR(__xludf.DUMMYFUNCTION("IMPORTRANGE(""https://docs.google.com/spreadsheets/d/149xufxukrnEciK3WPbNpHwUK8BKEJxp3UcBG3Al6dA4/edit?usp=sharing"",""สิงห์บุรี!J727"")"),0)</f>
        <v>0</v>
      </c>
      <c r="BI71" s="181">
        <f ca="1">IFERROR(__xludf.DUMMYFUNCTION("IMPORTRANGE(""https://docs.google.com/spreadsheets/d/149xufxukrnEciK3WPbNpHwUK8BKEJxp3UcBG3Al6dA4/edit?usp=sharing"",""สิงห์บุรี!J728"")"),0)</f>
        <v>0</v>
      </c>
      <c r="BJ71" s="181">
        <f ca="1">IFERROR(__xludf.DUMMYFUNCTION("IMPORTRANGE(""https://docs.google.com/spreadsheets/d/149xufxukrnEciK3WPbNpHwUK8BKEJxp3UcBG3Al6dA4/edit?usp=sharing"",""สิงห์บุรี!I729"")"),0)</f>
        <v>0</v>
      </c>
      <c r="BK71" s="181">
        <f ca="1">IFERROR(__xludf.DUMMYFUNCTION("IMPORTRANGE(""https://docs.google.com/spreadsheets/d/149xufxukrnEciK3WPbNpHwUK8BKEJxp3UcBG3Al6dA4/edit?usp=sharing"",""สิงห์บุรี!J729"")"),0)</f>
        <v>0</v>
      </c>
      <c r="BL71" s="186">
        <f t="shared" ca="1" si="19"/>
        <v>0</v>
      </c>
      <c r="BM71" s="181">
        <f ca="1">IFERROR(__xludf.DUMMYFUNCTION("IMPORTRANGE(""https://docs.google.com/spreadsheets/d/149xufxukrnEciK3WPbNpHwUK8BKEJxp3UcBG3Al6dA4/edit?usp=sharing"",""สิงห์บุรี!J730"")"),0)</f>
        <v>0</v>
      </c>
      <c r="BN71" s="181">
        <f ca="1">IFERROR(__xludf.DUMMYFUNCTION("IMPORTRANGE(""https://docs.google.com/spreadsheets/d/149xufxukrnEciK3WPbNpHwUK8BKEJxp3UcBG3Al6dA4/edit?usp=sharing"",""สิงห์บุรี!J731"")"),0)</f>
        <v>0</v>
      </c>
      <c r="BO71" s="181">
        <f ca="1">IFERROR(__xludf.DUMMYFUNCTION("IMPORTRANGE(""https://docs.google.com/spreadsheets/d/149xufxukrnEciK3WPbNpHwUK8BKEJxp3UcBG3Al6dA4/edit?usp=sharing"",""สิงห์บุรี!J732"")"),0)</f>
        <v>0</v>
      </c>
      <c r="BP71" s="181">
        <f ca="1">IFERROR(__xludf.DUMMYFUNCTION("IMPORTRANGE(""https://docs.google.com/spreadsheets/d/149xufxukrnEciK3WPbNpHwUK8BKEJxp3UcBG3Al6dA4/edit?usp=sharing"",""สิงห์บุรี!J733"")"),0)</f>
        <v>0</v>
      </c>
      <c r="BQ71" s="181">
        <f ca="1">IFERROR(__xludf.DUMMYFUNCTION("IMPORTRANGE(""https://docs.google.com/spreadsheets/d/149xufxukrnEciK3WPbNpHwUK8BKEJxp3UcBG3Al6dA4/edit?usp=sharing"",""สิงห์บุรี!J734"")"),0)</f>
        <v>0</v>
      </c>
      <c r="BR71" s="181">
        <f ca="1">IFERROR(__xludf.DUMMYFUNCTION("IMPORTRANGE(""https://docs.google.com/spreadsheets/d/149xufxukrnEciK3WPbNpHwUK8BKEJxp3UcBG3Al6dA4/edit?usp=sharing"",""สิงห์บุรี!J735"")"),0)</f>
        <v>0</v>
      </c>
    </row>
    <row r="72" spans="1:70" ht="21" customHeight="1" x14ac:dyDescent="0.3">
      <c r="A72" s="178">
        <v>20</v>
      </c>
      <c r="B72" s="179" t="s">
        <v>89</v>
      </c>
      <c r="C72" s="180">
        <f t="shared" ca="1" si="70"/>
        <v>24580</v>
      </c>
      <c r="D72" s="181">
        <f ca="1">IFERROR(__xludf.DUMMYFUNCTION("IMPORTRANGE(""https://docs.google.com/spreadsheets/d/132g-zJpz2uMKimp17uOIx8A7o3w1Z25zwJyXnwsB56c/edit?usp=sharing"",""สุพรรณบุรี!L690"")"),24580)</f>
        <v>24580</v>
      </c>
      <c r="E72" s="187">
        <f ca="1">IFERROR(__xludf.DUMMYFUNCTION("IMPORTRANGE(""https://docs.google.com/spreadsheets/d/132g-zJpz2uMKimp17uOIx8A7o3w1Z25zwJyXnwsB56c/edit?usp=sharing"",""สุพรรณบุรี!L697"")"),0)</f>
        <v>0</v>
      </c>
      <c r="F72" s="182">
        <f t="shared" ca="1" si="1"/>
        <v>0</v>
      </c>
      <c r="G72" s="183">
        <f t="shared" ca="1" si="2"/>
        <v>0</v>
      </c>
      <c r="H72" s="184">
        <f t="shared" ca="1" si="71"/>
        <v>0</v>
      </c>
      <c r="I72" s="187">
        <f ca="1">IFERROR(__xludf.DUMMYFUNCTION("IMPORTRANGE(""https://docs.google.com/spreadsheets/d/132g-zJpz2uMKimp17uOIx8A7o3w1Z25zwJyXnwsB56c/edit?usp=sharing"",""สุพรรณบุรี!N691"")"),0)</f>
        <v>0</v>
      </c>
      <c r="J72" s="187">
        <f ca="1">IFERROR(__xludf.DUMMYFUNCTION("IMPORTRANGE(""https://docs.google.com/spreadsheets/d/132g-zJpz2uMKimp17uOIx8A7o3w1Z25zwJyXnwsB56c/edit?usp=sharing"",""สุพรรณบุรี!N692"")"),0)</f>
        <v>0</v>
      </c>
      <c r="K72" s="187">
        <f ca="1">IFERROR(__xludf.DUMMYFUNCTION("IMPORTRANGE(""https://docs.google.com/spreadsheets/d/132g-zJpz2uMKimp17uOIx8A7o3w1Z25zwJyXnwsB56c/edit?usp=sharing"",""สุพรรณบุรี!N693"")"),0)</f>
        <v>0</v>
      </c>
      <c r="L72" s="187">
        <f ca="1">IFERROR(__xludf.DUMMYFUNCTION("IMPORTRANGE(""https://docs.google.com/spreadsheets/d/132g-zJpz2uMKimp17uOIx8A7o3w1Z25zwJyXnwsB56c/edit?usp=sharing"",""สุพรรณบุรี!N694"")"),0)</f>
        <v>0</v>
      </c>
      <c r="M72" s="185">
        <f ca="1">IFERROR(__xludf.DUMMYFUNCTION("IMPORTRANGE(""https://docs.google.com/spreadsheets/d/132g-zJpz2uMKimp17uOIx8A7o3w1Z25zwJyXnwsB56c/edit?usp=sharing"",""สุพรรณบุรี!N697"")"),0)</f>
        <v>0</v>
      </c>
      <c r="N72" s="185">
        <f t="shared" ca="1" si="37"/>
        <v>0</v>
      </c>
      <c r="O72" s="181">
        <f ca="1">IFERROR(__xludf.DUMMYFUNCTION("IMPORTRANGE(""https://docs.google.com/spreadsheets/d/132g-zJpz2uMKimp17uOIx8A7o3w1Z25zwJyXnwsB56c/edit?usp=sharing"",""สุพรรณบุรี!I699"")"),0)</f>
        <v>0</v>
      </c>
      <c r="P72" s="181">
        <f ca="1">IFERROR(__xludf.DUMMYFUNCTION("IMPORTRANGE(""https://docs.google.com/spreadsheets/d/132g-zJpz2uMKimp17uOIx8A7o3w1Z25zwJyXnwsB56c/edit?usp=sharing"",""สุพรรณบุรี!J699"")"),0)</f>
        <v>0</v>
      </c>
      <c r="Q72" s="186">
        <f t="shared" ca="1" si="31"/>
        <v>0</v>
      </c>
      <c r="R72" s="181">
        <f ca="1">IFERROR(__xludf.DUMMYFUNCTION("IMPORTRANGE(""https://docs.google.com/spreadsheets/d/132g-zJpz2uMKimp17uOIx8A7o3w1Z25zwJyXnwsB56c/edit?usp=sharing"",""สุพรรณบุรี!I700"")"),0)</f>
        <v>0</v>
      </c>
      <c r="S72" s="181">
        <f ca="1">IFERROR(__xludf.DUMMYFUNCTION("IMPORTRANGE(""https://docs.google.com/spreadsheets/d/132g-zJpz2uMKimp17uOIx8A7o3w1Z25zwJyXnwsB56c/edit?usp=sharing"",""สุพรรณบุรี!J700"")"),0)</f>
        <v>0</v>
      </c>
      <c r="T72" s="186">
        <f t="shared" ca="1" si="32"/>
        <v>0</v>
      </c>
      <c r="U72" s="181">
        <f ca="1">IFERROR(__xludf.DUMMYFUNCTION("IMPORTRANGE(""https://docs.google.com/spreadsheets/d/132g-zJpz2uMKimp17uOIx8A7o3w1Z25zwJyXnwsB56c/edit?usp=sharing"",""สุพรรณบุรี!I701"")"),30)</f>
        <v>30</v>
      </c>
      <c r="V72" s="181">
        <f ca="1">IFERROR(__xludf.DUMMYFUNCTION("IMPORTRANGE(""https://docs.google.com/spreadsheets/d/132g-zJpz2uMKimp17uOIx8A7o3w1Z25zwJyXnwsB56c/edit?usp=sharing"",""สุพรรณบุรี!J701"")"),0)</f>
        <v>0</v>
      </c>
      <c r="W72" s="186">
        <f t="shared" ca="1" si="33"/>
        <v>0</v>
      </c>
      <c r="X72" s="186">
        <f ca="1">IFERROR(__xludf.DUMMYFUNCTION("IMPORTRANGE(""https://docs.google.com/spreadsheets/d/132g-zJpz2uMKimp17uOIx8A7o3w1Z25zwJyXnwsB56c/edit?usp=sharing"",""สุพรรณบุรี!J702"")"),0)</f>
        <v>0</v>
      </c>
      <c r="Y72" s="186">
        <f ca="1">IFERROR(__xludf.DUMMYFUNCTION("IMPORTRANGE(""https://docs.google.com/spreadsheets/d/132g-zJpz2uMKimp17uOIx8A7o3w1Z25zwJyXnwsB56c/edit?usp=sharing"",""สุพรรณบุรี!J703"")"),0)</f>
        <v>0</v>
      </c>
      <c r="Z72" s="186">
        <f ca="1">IFERROR(__xludf.DUMMYFUNCTION("IMPORTRANGE(""https://docs.google.com/spreadsheets/d/132g-zJpz2uMKimp17uOIx8A7o3w1Z25zwJyXnwsB56c/edit?usp=sharing"",""สุพรรณบุรี!J704"")"),0)</f>
        <v>0</v>
      </c>
      <c r="AA72" s="186">
        <f ca="1">IFERROR(__xludf.DUMMYFUNCTION("IMPORTRANGE(""https://docs.google.com/spreadsheets/d/132g-zJpz2uMKimp17uOIx8A7o3w1Z25zwJyXnwsB56c/edit?usp=sharing"",""สุพรรณบุรี!J705"")"),0)</f>
        <v>0</v>
      </c>
      <c r="AB72" s="186">
        <f ca="1">IFERROR(__xludf.DUMMYFUNCTION("IMPORTRANGE(""https://docs.google.com/spreadsheets/d/132g-zJpz2uMKimp17uOIx8A7o3w1Z25zwJyXnwsB56c/edit?usp=sharing"",""สุพรรณบุรี!J706"")"),0)</f>
        <v>0</v>
      </c>
      <c r="AC72" s="186">
        <f ca="1">IFERROR(__xludf.DUMMYFUNCTION("IMPORTRANGE(""https://docs.google.com/spreadsheets/d/132g-zJpz2uMKimp17uOIx8A7o3w1Z25zwJyXnwsB56c/edit?usp=sharing"",""สุพรรณบุรี!J707"")"),0)</f>
        <v>0</v>
      </c>
      <c r="AD72" s="181">
        <f ca="1">IFERROR(__xludf.DUMMYFUNCTION("IMPORTRANGE(""https://docs.google.com/spreadsheets/d/132g-zJpz2uMKimp17uOIx8A7o3w1Z25zwJyXnwsB56c/edit?usp=sharing"",""สุพรรณบุรี!I708"")"),120)</f>
        <v>120</v>
      </c>
      <c r="AE72" s="181">
        <f ca="1">IFERROR(__xludf.DUMMYFUNCTION("IMPORTRANGE(""https://docs.google.com/spreadsheets/d/132g-zJpz2uMKimp17uOIx8A7o3w1Z25zwJyXnwsB56c/edit?usp=sharing"",""สุพรรณบุรี!J708"")"),0)</f>
        <v>0</v>
      </c>
      <c r="AF72" s="186">
        <f t="shared" ca="1" si="34"/>
        <v>0</v>
      </c>
      <c r="AG72" s="181">
        <f ca="1">IFERROR(__xludf.DUMMYFUNCTION("IMPORTRANGE(""https://docs.google.com/spreadsheets/d/132g-zJpz2uMKimp17uOIx8A7o3w1Z25zwJyXnwsB56c/edit?usp=sharing"",""สุพรรณบุรี!J709"")"),0)</f>
        <v>0</v>
      </c>
      <c r="AH72" s="181">
        <f ca="1">IFERROR(__xludf.DUMMYFUNCTION("IMPORTRANGE(""https://docs.google.com/spreadsheets/d/132g-zJpz2uMKimp17uOIx8A7o3w1Z25zwJyXnwsB56c/edit?usp=sharing"",""สุพรรณบุรี!J710"")"),0)</f>
        <v>0</v>
      </c>
      <c r="AI72" s="181">
        <f ca="1">IFERROR(__xludf.DUMMYFUNCTION("IMPORTRANGE(""https://docs.google.com/spreadsheets/d/132g-zJpz2uMKimp17uOIx8A7o3w1Z25zwJyXnwsB56c/edit?usp=sharing"",""สุพรรณบุรี!J712"")"),0)</f>
        <v>0</v>
      </c>
      <c r="AJ72" s="181">
        <f ca="1">IFERROR(__xludf.DUMMYFUNCTION("IMPORTRANGE(""https://docs.google.com/spreadsheets/d/132g-zJpz2uMKimp17uOIx8A7o3w1Z25zwJyXnwsB56c/edit?usp=sharing"",""สุพรรณบุรี!J713"")"),0)</f>
        <v>0</v>
      </c>
      <c r="AK72" s="181">
        <f ca="1">IFERROR(__xludf.DUMMYFUNCTION("IMPORTRANGE(""https://docs.google.com/spreadsheets/d/132g-zJpz2uMKimp17uOIx8A7o3w1Z25zwJyXnwsB56c/edit?usp=sharing"",""สุพรรณบุรี!J714"")"),0)</f>
        <v>0</v>
      </c>
      <c r="AL72" s="181">
        <f ca="1">IFERROR(__xludf.DUMMYFUNCTION("IMPORTRANGE(""https://docs.google.com/spreadsheets/d/132g-zJpz2uMKimp17uOIx8A7o3w1Z25zwJyXnwsB56c/edit?usp=sharing"",""สุพรรณบุรี!J715"")"),0)</f>
        <v>0</v>
      </c>
      <c r="AM72" s="181">
        <f ca="1">IFERROR(__xludf.DUMMYFUNCTION("IMPORTRANGE(""https://docs.google.com/spreadsheets/d/132g-zJpz2uMKimp17uOIx8A7o3w1Z25zwJyXnwsB56c/edit?usp=sharing"",""สุพรรณบุรี!J716"")"),0)</f>
        <v>0</v>
      </c>
      <c r="AN72" s="181">
        <f ca="1">IFERROR(__xludf.DUMMYFUNCTION("IMPORTRANGE(""https://docs.google.com/spreadsheets/d/132g-zJpz2uMKimp17uOIx8A7o3w1Z25zwJyXnwsB56c/edit?usp=sharing"",""สุพรรณบุรี!J717"")"),0)</f>
        <v>0</v>
      </c>
      <c r="AO72" s="181">
        <f ca="1">IFERROR(__xludf.DUMMYFUNCTION("IMPORTRANGE(""https://docs.google.com/spreadsheets/d/132g-zJpz2uMKimp17uOIx8A7o3w1Z25zwJyXnwsB56c/edit?usp=sharing"",""สุพรรณบุรี!I720"")"),170)</f>
        <v>170</v>
      </c>
      <c r="AP72" s="181">
        <f ca="1">IFERROR(__xludf.DUMMYFUNCTION("IMPORTRANGE(""https://docs.google.com/spreadsheets/d/132g-zJpz2uMKimp17uOIx8A7o3w1Z25zwJyXnwsB56c/edit?usp=sharing"",""สุพรรณบุรี!J718"")"),0)</f>
        <v>0</v>
      </c>
      <c r="AQ72" s="181">
        <f ca="1">IFERROR(__xludf.DUMMYFUNCTION("IMPORTRANGE(""https://docs.google.com/spreadsheets/d/132g-zJpz2uMKimp17uOIx8A7o3w1Z25zwJyXnwsB56c/edit?usp=sharing"",""สุพรรณบุรี!J719"")"),0)</f>
        <v>0</v>
      </c>
      <c r="AR72" s="181">
        <f ca="1">IFERROR(__xludf.DUMMYFUNCTION("IMPORTRANGE(""https://docs.google.com/spreadsheets/d/132g-zJpz2uMKimp17uOIx8A7o3w1Z25zwJyXnwsB56c/edit?usp=sharing"",""สุพรรณบุรี!J720"")"),0)</f>
        <v>0</v>
      </c>
      <c r="AS72" s="186">
        <f t="shared" ca="1" si="14"/>
        <v>0</v>
      </c>
      <c r="AT72" s="181">
        <f ca="1">IFERROR(__xludf.DUMMYFUNCTION("IMPORTRANGE(""https://docs.google.com/spreadsheets/d/132g-zJpz2uMKimp17uOIx8A7o3w1Z25zwJyXnwsB56c/edit?usp=sharing"",""สุพรรณบุรี!I721"")"),29)</f>
        <v>29</v>
      </c>
      <c r="AU72" s="181">
        <f ca="1">IFERROR(__xludf.DUMMYFUNCTION("IMPORTRANGE(""https://docs.google.com/spreadsheets/d/132g-zJpz2uMKimp17uOIx8A7o3w1Z25zwJyXnwsB56c/edit?usp=sharing"",""สุพรรณบุรี!I722"")"),300)</f>
        <v>300</v>
      </c>
      <c r="AV72" s="181">
        <f ca="1">IFERROR(__xludf.DUMMYFUNCTION("IMPORTRANGE(""https://docs.google.com/spreadsheets/d/132g-zJpz2uMKimp17uOIx8A7o3w1Z25zwJyXnwsB56c/edit?usp=sharing"",""สุพรรณบุรี!J721"")"),1)</f>
        <v>1</v>
      </c>
      <c r="AW72" s="186">
        <f t="shared" ca="1" si="16"/>
        <v>3.4482758620689653</v>
      </c>
      <c r="AX72" s="181">
        <f ca="1">IFERROR(__xludf.DUMMYFUNCTION("IMPORTRANGE(""https://docs.google.com/spreadsheets/d/132g-zJpz2uMKimp17uOIx8A7o3w1Z25zwJyXnwsB56c/edit?usp=sharing"",""สุพรรณบุรี!J722"")"),11)</f>
        <v>11</v>
      </c>
      <c r="AY72" s="186">
        <f t="shared" ca="1" si="17"/>
        <v>3.6666666666666665</v>
      </c>
      <c r="AZ72" s="181">
        <f ca="1">IFERROR(__xludf.DUMMYFUNCTION("IMPORTRANGE(""https://docs.google.com/spreadsheets/d/132g-zJpz2uMKimp17uOIx8A7o3w1Z25zwJyXnwsB56c/edit?usp=sharing"",""สุพรรณบุรี!I723"")"),20)</f>
        <v>20</v>
      </c>
      <c r="BA72" s="181">
        <f ca="1">IFERROR(__xludf.DUMMYFUNCTION("IMPORTRANGE(""https://docs.google.com/spreadsheets/d/132g-zJpz2uMKimp17uOIx8A7o3w1Z25zwJyXnwsB56c/edit?usp=sharing"",""สุพรรณบุรี!I725"")"),200)</f>
        <v>200</v>
      </c>
      <c r="BB72" s="181">
        <f ca="1">IFERROR(__xludf.DUMMYFUNCTION("IMPORTRANGE(""https://docs.google.com/spreadsheets/d/132g-zJpz2uMKimp17uOIx8A7o3w1Z25zwJyXnwsB56c/edit?usp=sharing"",""สุพรรณบุรี!J723"")"),1)</f>
        <v>1</v>
      </c>
      <c r="BC72" s="181">
        <f ca="1">IFERROR(__xludf.DUMMYFUNCTION("IMPORTRANGE(""https://docs.google.com/spreadsheets/d/132g-zJpz2uMKimp17uOIx8A7o3w1Z25zwJyXnwsB56c/edit?usp=sharing"",""สุพรรณบุรี!J724"")"),1)</f>
        <v>1</v>
      </c>
      <c r="BD72" s="181">
        <f ca="1">IFERROR(__xludf.DUMMYFUNCTION("IMPORTRANGE(""https://docs.google.com/spreadsheets/d/132g-zJpz2uMKimp17uOIx8A7o3w1Z25zwJyXnwsB56c/edit?usp=sharing"",""สุพรรณบุรี!J725"")"),11)</f>
        <v>11</v>
      </c>
      <c r="BE72" s="181">
        <f ca="1">IFERROR(__xludf.DUMMYFUNCTION("IMPORTRANGE(""https://docs.google.com/spreadsheets/d/132g-zJpz2uMKimp17uOIx8A7o3w1Z25zwJyXnwsB56c/edit?usp=sharing"",""สุพรรณบุรี!I726"")"),9)</f>
        <v>9</v>
      </c>
      <c r="BF72" s="181">
        <f ca="1">IFERROR(__xludf.DUMMYFUNCTION("IMPORTRANGE(""https://docs.google.com/spreadsheets/d/132g-zJpz2uMKimp17uOIx8A7o3w1Z25zwJyXnwsB56c/edit?usp=sharing"",""สุพรรณบุรี!I728"")"),100)</f>
        <v>100</v>
      </c>
      <c r="BG72" s="181">
        <f ca="1">IFERROR(__xludf.DUMMYFUNCTION("IMPORTRANGE(""https://docs.google.com/spreadsheets/d/132g-zJpz2uMKimp17uOIx8A7o3w1Z25zwJyXnwsB56c/edit?usp=sharing"",""สุพรรณบุรี!J726"")"),0)</f>
        <v>0</v>
      </c>
      <c r="BH72" s="181">
        <f ca="1">IFERROR(__xludf.DUMMYFUNCTION("IMPORTRANGE(""https://docs.google.com/spreadsheets/d/132g-zJpz2uMKimp17uOIx8A7o3w1Z25zwJyXnwsB56c/edit?usp=sharing"",""สุพรรณบุรี!J727"")"),0)</f>
        <v>0</v>
      </c>
      <c r="BI72" s="181">
        <f ca="1">IFERROR(__xludf.DUMMYFUNCTION("IMPORTRANGE(""https://docs.google.com/spreadsheets/d/132g-zJpz2uMKimp17uOIx8A7o3w1Z25zwJyXnwsB56c/edit?usp=sharing"",""สุพรรณบุรี!J728"")"),0)</f>
        <v>0</v>
      </c>
      <c r="BJ72" s="181">
        <f ca="1">IFERROR(__xludf.DUMMYFUNCTION("IMPORTRANGE(""https://docs.google.com/spreadsheets/d/132g-zJpz2uMKimp17uOIx8A7o3w1Z25zwJyXnwsB56c/edit?usp=sharing"",""สุพรรณบุรี!I729"")"),20)</f>
        <v>20</v>
      </c>
      <c r="BK72" s="181">
        <f ca="1">IFERROR(__xludf.DUMMYFUNCTION("IMPORTRANGE(""https://docs.google.com/spreadsheets/d/132g-zJpz2uMKimp17uOIx8A7o3w1Z25zwJyXnwsB56c/edit?usp=sharing"",""สุพรรณบุรี!J729"")"),0)</f>
        <v>0</v>
      </c>
      <c r="BL72" s="186">
        <f t="shared" ca="1" si="19"/>
        <v>0</v>
      </c>
      <c r="BM72" s="181">
        <f ca="1">IFERROR(__xludf.DUMMYFUNCTION("IMPORTRANGE(""https://docs.google.com/spreadsheets/d/132g-zJpz2uMKimp17uOIx8A7o3w1Z25zwJyXnwsB56c/edit?usp=sharing"",""สุพรรณบุรี!J730"")"),0)</f>
        <v>0</v>
      </c>
      <c r="BN72" s="181">
        <f ca="1">IFERROR(__xludf.DUMMYFUNCTION("IMPORTRANGE(""https://docs.google.com/spreadsheets/d/132g-zJpz2uMKimp17uOIx8A7o3w1Z25zwJyXnwsB56c/edit?usp=sharing"",""สุพรรณบุรี!J731"")"),0)</f>
        <v>0</v>
      </c>
      <c r="BO72" s="181">
        <f ca="1">IFERROR(__xludf.DUMMYFUNCTION("IMPORTRANGE(""https://docs.google.com/spreadsheets/d/132g-zJpz2uMKimp17uOIx8A7o3w1Z25zwJyXnwsB56c/edit?usp=sharing"",""สุพรรณบุรี!J732"")"),0)</f>
        <v>0</v>
      </c>
      <c r="BP72" s="181">
        <f ca="1">IFERROR(__xludf.DUMMYFUNCTION("IMPORTRANGE(""https://docs.google.com/spreadsheets/d/132g-zJpz2uMKimp17uOIx8A7o3w1Z25zwJyXnwsB56c/edit?usp=sharing"",""สุพรรณบุรี!J733"")"),0)</f>
        <v>0</v>
      </c>
      <c r="BQ72" s="181">
        <f ca="1">IFERROR(__xludf.DUMMYFUNCTION("IMPORTRANGE(""https://docs.google.com/spreadsheets/d/132g-zJpz2uMKimp17uOIx8A7o3w1Z25zwJyXnwsB56c/edit?usp=sharing"",""สุพรรณบุรี!J734"")"),0)</f>
        <v>0</v>
      </c>
      <c r="BR72" s="181">
        <f ca="1">IFERROR(__xludf.DUMMYFUNCTION("IMPORTRANGE(""https://docs.google.com/spreadsheets/d/132g-zJpz2uMKimp17uOIx8A7o3w1Z25zwJyXnwsB56c/edit?usp=sharing"",""สุพรรณบุรี!J735"")"),0)</f>
        <v>0</v>
      </c>
    </row>
    <row r="73" spans="1:70" ht="21" customHeight="1" x14ac:dyDescent="0.3">
      <c r="A73" s="192">
        <v>21</v>
      </c>
      <c r="B73" s="193" t="s">
        <v>90</v>
      </c>
      <c r="C73" s="204">
        <f t="shared" ca="1" si="70"/>
        <v>13060</v>
      </c>
      <c r="D73" s="202">
        <f ca="1">IFERROR(__xludf.DUMMYFUNCTION("IMPORTRANGE(""https://docs.google.com/spreadsheets/d/12Q_U0nVnFdxDFwa0pej9xvx8ZvLC9Dpi_vRro_aiG5g/edit?usp=sharing"",""อ่างทอง!L690"")"),13060)</f>
        <v>13060</v>
      </c>
      <c r="E73" s="200">
        <f ca="1">IFERROR(__xludf.DUMMYFUNCTION("IMPORTRANGE(""https://docs.google.com/spreadsheets/d/12Q_U0nVnFdxDFwa0pej9xvx8ZvLC9Dpi_vRro_aiG5g/edit?usp=sharing"",""อ่างทอง!L697"")"),0)</f>
        <v>0</v>
      </c>
      <c r="F73" s="197">
        <f t="shared" ca="1" si="1"/>
        <v>0</v>
      </c>
      <c r="G73" s="205">
        <f t="shared" ca="1" si="2"/>
        <v>0</v>
      </c>
      <c r="H73" s="199">
        <f t="shared" ca="1" si="71"/>
        <v>0</v>
      </c>
      <c r="I73" s="200">
        <f ca="1">IFERROR(__xludf.DUMMYFUNCTION("IMPORTRANGE(""https://docs.google.com/spreadsheets/d/12Q_U0nVnFdxDFwa0pej9xvx8ZvLC9Dpi_vRro_aiG5g/edit?usp=sharing"",""อ่างทอง!N691"")"),0)</f>
        <v>0</v>
      </c>
      <c r="J73" s="200">
        <f ca="1">IFERROR(__xludf.DUMMYFUNCTION("IMPORTRANGE(""https://docs.google.com/spreadsheets/d/12Q_U0nVnFdxDFwa0pej9xvx8ZvLC9Dpi_vRro_aiG5g/edit?usp=sharing"",""อ่างทอง!N692"")"),0)</f>
        <v>0</v>
      </c>
      <c r="K73" s="200">
        <f ca="1">IFERROR(__xludf.DUMMYFUNCTION("IMPORTRANGE(""https://docs.google.com/spreadsheets/d/12Q_U0nVnFdxDFwa0pej9xvx8ZvLC9Dpi_vRro_aiG5g/edit?usp=sharing"",""อ่างทอง!N693"")"),0)</f>
        <v>0</v>
      </c>
      <c r="L73" s="200">
        <f ca="1">IFERROR(__xludf.DUMMYFUNCTION("IMPORTRANGE(""https://docs.google.com/spreadsheets/d/12Q_U0nVnFdxDFwa0pej9xvx8ZvLC9Dpi_vRro_aiG5g/edit?usp=sharing"",""อ่างทอง!N694"")"),0)</f>
        <v>0</v>
      </c>
      <c r="M73" s="201">
        <f ca="1">IFERROR(__xludf.DUMMYFUNCTION("IMPORTRANGE(""https://docs.google.com/spreadsheets/d/12Q_U0nVnFdxDFwa0pej9xvx8ZvLC9Dpi_vRro_aiG5g/edit?usp=sharing"",""อ่างทอง!N697"")"),0)</f>
        <v>0</v>
      </c>
      <c r="N73" s="201">
        <f t="shared" ca="1" si="37"/>
        <v>0</v>
      </c>
      <c r="O73" s="202">
        <f ca="1">IFERROR(__xludf.DUMMYFUNCTION("IMPORTRANGE(""https://docs.google.com/spreadsheets/d/12Q_U0nVnFdxDFwa0pej9xvx8ZvLC9Dpi_vRro_aiG5g/edit?usp=sharing"",""อ่างทอง!I699"")"),80)</f>
        <v>80</v>
      </c>
      <c r="P73" s="202">
        <f ca="1">IFERROR(__xludf.DUMMYFUNCTION("IMPORTRANGE(""https://docs.google.com/spreadsheets/d/12Q_U0nVnFdxDFwa0pej9xvx8ZvLC9Dpi_vRro_aiG5g/edit?usp=sharing"",""อ่างทอง!J699"")"),0)</f>
        <v>0</v>
      </c>
      <c r="Q73" s="203">
        <f t="shared" ca="1" si="31"/>
        <v>0</v>
      </c>
      <c r="R73" s="202">
        <f ca="1">IFERROR(__xludf.DUMMYFUNCTION("IMPORTRANGE(""https://docs.google.com/spreadsheets/d/12Q_U0nVnFdxDFwa0pej9xvx8ZvLC9Dpi_vRro_aiG5g/edit?usp=sharing"",""อ่างทอง!I700"")"),16)</f>
        <v>16</v>
      </c>
      <c r="S73" s="202">
        <f ca="1">IFERROR(__xludf.DUMMYFUNCTION("IMPORTRANGE(""https://docs.google.com/spreadsheets/d/12Q_U0nVnFdxDFwa0pej9xvx8ZvLC9Dpi_vRro_aiG5g/edit?usp=sharing"",""อ่างทอง!J700"")"),0)</f>
        <v>0</v>
      </c>
      <c r="T73" s="203">
        <f t="shared" ca="1" si="32"/>
        <v>0</v>
      </c>
      <c r="U73" s="202">
        <f ca="1">IFERROR(__xludf.DUMMYFUNCTION("IMPORTRANGE(""https://docs.google.com/spreadsheets/d/12Q_U0nVnFdxDFwa0pej9xvx8ZvLC9Dpi_vRro_aiG5g/edit?usp=sharing"",""อ่างทอง!I701"")"),15)</f>
        <v>15</v>
      </c>
      <c r="V73" s="202">
        <f ca="1">IFERROR(__xludf.DUMMYFUNCTION("IMPORTRANGE(""https://docs.google.com/spreadsheets/d/12Q_U0nVnFdxDFwa0pej9xvx8ZvLC9Dpi_vRro_aiG5g/edit?usp=sharing"",""อ่างทอง!J701"")"),0)</f>
        <v>0</v>
      </c>
      <c r="W73" s="203">
        <f t="shared" ca="1" si="33"/>
        <v>0</v>
      </c>
      <c r="X73" s="203">
        <f ca="1">IFERROR(__xludf.DUMMYFUNCTION("IMPORTRANGE(""https://docs.google.com/spreadsheets/d/12Q_U0nVnFdxDFwa0pej9xvx8ZvLC9Dpi_vRro_aiG5g/edit?usp=sharing"",""อ่างทอง!J702"")"),0)</f>
        <v>0</v>
      </c>
      <c r="Y73" s="203">
        <f ca="1">IFERROR(__xludf.DUMMYFUNCTION("IMPORTRANGE(""https://docs.google.com/spreadsheets/d/12Q_U0nVnFdxDFwa0pej9xvx8ZvLC9Dpi_vRro_aiG5g/edit?usp=sharing"",""อ่างทอง!J703"")"),0)</f>
        <v>0</v>
      </c>
      <c r="Z73" s="203">
        <f ca="1">IFERROR(__xludf.DUMMYFUNCTION("IMPORTRANGE(""https://docs.google.com/spreadsheets/d/12Q_U0nVnFdxDFwa0pej9xvx8ZvLC9Dpi_vRro_aiG5g/edit?usp=sharing"",""อ่างทอง!J704"")"),0)</f>
        <v>0</v>
      </c>
      <c r="AA73" s="203">
        <f ca="1">IFERROR(__xludf.DUMMYFUNCTION("IMPORTRANGE(""https://docs.google.com/spreadsheets/d/12Q_U0nVnFdxDFwa0pej9xvx8ZvLC9Dpi_vRro_aiG5g/edit?usp=sharing"",""อ่างทอง!J705"")"),0)</f>
        <v>0</v>
      </c>
      <c r="AB73" s="203">
        <f ca="1">IFERROR(__xludf.DUMMYFUNCTION("IMPORTRANGE(""https://docs.google.com/spreadsheets/d/12Q_U0nVnFdxDFwa0pej9xvx8ZvLC9Dpi_vRro_aiG5g/edit?usp=sharing"",""อ่างทอง!J706"")"),0)</f>
        <v>0</v>
      </c>
      <c r="AC73" s="203">
        <f ca="1">IFERROR(__xludf.DUMMYFUNCTION("IMPORTRANGE(""https://docs.google.com/spreadsheets/d/12Q_U0nVnFdxDFwa0pej9xvx8ZvLC9Dpi_vRro_aiG5g/edit?usp=sharing"",""อ่างทอง!J707"")"),0)</f>
        <v>0</v>
      </c>
      <c r="AD73" s="202">
        <f ca="1">IFERROR(__xludf.DUMMYFUNCTION("IMPORTRANGE(""https://docs.google.com/spreadsheets/d/12Q_U0nVnFdxDFwa0pej9xvx8ZvLC9Dpi_vRro_aiG5g/edit?usp=sharing"",""อ่างทอง!I708"")"),80)</f>
        <v>80</v>
      </c>
      <c r="AE73" s="202">
        <f ca="1">IFERROR(__xludf.DUMMYFUNCTION("IMPORTRANGE(""https://docs.google.com/spreadsheets/d/12Q_U0nVnFdxDFwa0pej9xvx8ZvLC9Dpi_vRro_aiG5g/edit?usp=sharing"",""อ่างทอง!J708"")"),0)</f>
        <v>0</v>
      </c>
      <c r="AF73" s="203">
        <f t="shared" ca="1" si="34"/>
        <v>0</v>
      </c>
      <c r="AG73" s="202">
        <f ca="1">IFERROR(__xludf.DUMMYFUNCTION("IMPORTRANGE(""https://docs.google.com/spreadsheets/d/12Q_U0nVnFdxDFwa0pej9xvx8ZvLC9Dpi_vRro_aiG5g/edit?usp=sharing"",""อ่างทอง!J709"")"),0)</f>
        <v>0</v>
      </c>
      <c r="AH73" s="202">
        <f ca="1">IFERROR(__xludf.DUMMYFUNCTION("IMPORTRANGE(""https://docs.google.com/spreadsheets/d/12Q_U0nVnFdxDFwa0pej9xvx8ZvLC9Dpi_vRro_aiG5g/edit?usp=sharing"",""อ่างทอง!J710"")"),0)</f>
        <v>0</v>
      </c>
      <c r="AI73" s="202">
        <f ca="1">IFERROR(__xludf.DUMMYFUNCTION("IMPORTRANGE(""https://docs.google.com/spreadsheets/d/12Q_U0nVnFdxDFwa0pej9xvx8ZvLC9Dpi_vRro_aiG5g/edit?usp=sharing"",""อ่างทอง!J712"")"),0)</f>
        <v>0</v>
      </c>
      <c r="AJ73" s="202">
        <f ca="1">IFERROR(__xludf.DUMMYFUNCTION("IMPORTRANGE(""https://docs.google.com/spreadsheets/d/12Q_U0nVnFdxDFwa0pej9xvx8ZvLC9Dpi_vRro_aiG5g/edit?usp=sharing"",""อ่างทอง!J713"")"),0)</f>
        <v>0</v>
      </c>
      <c r="AK73" s="202">
        <f ca="1">IFERROR(__xludf.DUMMYFUNCTION("IMPORTRANGE(""https://docs.google.com/spreadsheets/d/12Q_U0nVnFdxDFwa0pej9xvx8ZvLC9Dpi_vRro_aiG5g/edit?usp=sharing"",""อ่างทอง!J714"")"),0)</f>
        <v>0</v>
      </c>
      <c r="AL73" s="202">
        <f ca="1">IFERROR(__xludf.DUMMYFUNCTION("IMPORTRANGE(""https://docs.google.com/spreadsheets/d/12Q_U0nVnFdxDFwa0pej9xvx8ZvLC9Dpi_vRro_aiG5g/edit?usp=sharing"",""อ่างทอง!J715"")"),0)</f>
        <v>0</v>
      </c>
      <c r="AM73" s="202">
        <f ca="1">IFERROR(__xludf.DUMMYFUNCTION("IMPORTRANGE(""https://docs.google.com/spreadsheets/d/12Q_U0nVnFdxDFwa0pej9xvx8ZvLC9Dpi_vRro_aiG5g/edit?usp=sharing"",""อ่างทอง!J716"")"),0)</f>
        <v>0</v>
      </c>
      <c r="AN73" s="202">
        <f ca="1">IFERROR(__xludf.DUMMYFUNCTION("IMPORTRANGE(""https://docs.google.com/spreadsheets/d/12Q_U0nVnFdxDFwa0pej9xvx8ZvLC9Dpi_vRro_aiG5g/edit?usp=sharing"",""อ่างทอง!J717"")"),0)</f>
        <v>0</v>
      </c>
      <c r="AO73" s="202">
        <f ca="1">IFERROR(__xludf.DUMMYFUNCTION("IMPORTRANGE(""https://docs.google.com/spreadsheets/d/12Q_U0nVnFdxDFwa0pej9xvx8ZvLC9Dpi_vRro_aiG5g/edit?usp=sharing"",""อ่างทอง!I720"")"),0)</f>
        <v>0</v>
      </c>
      <c r="AP73" s="202">
        <f ca="1">IFERROR(__xludf.DUMMYFUNCTION("IMPORTRANGE(""https://docs.google.com/spreadsheets/d/12Q_U0nVnFdxDFwa0pej9xvx8ZvLC9Dpi_vRro_aiG5g/edit?usp=sharing"",""อ่างทอง!J718"")"),0)</f>
        <v>0</v>
      </c>
      <c r="AQ73" s="202">
        <f ca="1">IFERROR(__xludf.DUMMYFUNCTION("IMPORTRANGE(""https://docs.google.com/spreadsheets/d/12Q_U0nVnFdxDFwa0pej9xvx8ZvLC9Dpi_vRro_aiG5g/edit?usp=sharing"",""อ่างทอง!J719"")"),0)</f>
        <v>0</v>
      </c>
      <c r="AR73" s="202">
        <f ca="1">IFERROR(__xludf.DUMMYFUNCTION("IMPORTRANGE(""https://docs.google.com/spreadsheets/d/12Q_U0nVnFdxDFwa0pej9xvx8ZvLC9Dpi_vRro_aiG5g/edit?usp=sharing"",""อ่างทอง!J720"")"),0)</f>
        <v>0</v>
      </c>
      <c r="AS73" s="203">
        <f t="shared" ca="1" si="14"/>
        <v>0</v>
      </c>
      <c r="AT73" s="202">
        <f ca="1">IFERROR(__xludf.DUMMYFUNCTION("IMPORTRANGE(""https://docs.google.com/spreadsheets/d/12Q_U0nVnFdxDFwa0pej9xvx8ZvLC9Dpi_vRro_aiG5g/edit?usp=sharing"",""อ่างทอง!I721"")"),2)</f>
        <v>2</v>
      </c>
      <c r="AU73" s="202">
        <f ca="1">IFERROR(__xludf.DUMMYFUNCTION("IMPORTRANGE(""https://docs.google.com/spreadsheets/d/12Q_U0nVnFdxDFwa0pej9xvx8ZvLC9Dpi_vRro_aiG5g/edit?usp=sharing"",""อ่างทอง!I722"")"),10)</f>
        <v>10</v>
      </c>
      <c r="AV73" s="202">
        <f ca="1">IFERROR(__xludf.DUMMYFUNCTION("IMPORTRANGE(""https://docs.google.com/spreadsheets/d/12Q_U0nVnFdxDFwa0pej9xvx8ZvLC9Dpi_vRro_aiG5g/edit?usp=sharing"",""อ่างทอง!J721"")"),0)</f>
        <v>0</v>
      </c>
      <c r="AW73" s="203">
        <f t="shared" ca="1" si="16"/>
        <v>0</v>
      </c>
      <c r="AX73" s="202">
        <f ca="1">IFERROR(__xludf.DUMMYFUNCTION("IMPORTRANGE(""https://docs.google.com/spreadsheets/d/12Q_U0nVnFdxDFwa0pej9xvx8ZvLC9Dpi_vRro_aiG5g/edit?usp=sharing"",""อ่างทอง!J722"")"),0)</f>
        <v>0</v>
      </c>
      <c r="AY73" s="203">
        <f t="shared" ca="1" si="17"/>
        <v>0</v>
      </c>
      <c r="AZ73" s="202">
        <f ca="1">IFERROR(__xludf.DUMMYFUNCTION("IMPORTRANGE(""https://docs.google.com/spreadsheets/d/12Q_U0nVnFdxDFwa0pej9xvx8ZvLC9Dpi_vRro_aiG5g/edit?usp=sharing"",""อ่างทอง!I723"")"),2)</f>
        <v>2</v>
      </c>
      <c r="BA73" s="202">
        <f ca="1">IFERROR(__xludf.DUMMYFUNCTION("IMPORTRANGE(""https://docs.google.com/spreadsheets/d/12Q_U0nVnFdxDFwa0pej9xvx8ZvLC9Dpi_vRro_aiG5g/edit?usp=sharing"",""อ่างทอง!I725"")"),10)</f>
        <v>10</v>
      </c>
      <c r="BB73" s="202">
        <f ca="1">IFERROR(__xludf.DUMMYFUNCTION("IMPORTRANGE(""https://docs.google.com/spreadsheets/d/12Q_U0nVnFdxDFwa0pej9xvx8ZvLC9Dpi_vRro_aiG5g/edit?usp=sharing"",""อ่างทอง!J723"")"),0)</f>
        <v>0</v>
      </c>
      <c r="BC73" s="202">
        <f ca="1">IFERROR(__xludf.DUMMYFUNCTION("IMPORTRANGE(""https://docs.google.com/spreadsheets/d/12Q_U0nVnFdxDFwa0pej9xvx8ZvLC9Dpi_vRro_aiG5g/edit?usp=sharing"",""อ่างทอง!J724"")"),0)</f>
        <v>0</v>
      </c>
      <c r="BD73" s="202">
        <f ca="1">IFERROR(__xludf.DUMMYFUNCTION("IMPORTRANGE(""https://docs.google.com/spreadsheets/d/12Q_U0nVnFdxDFwa0pej9xvx8ZvLC9Dpi_vRro_aiG5g/edit?usp=sharing"",""อ่างทอง!J725"")"),0)</f>
        <v>0</v>
      </c>
      <c r="BE73" s="202">
        <f ca="1">IFERROR(__xludf.DUMMYFUNCTION("IMPORTRANGE(""https://docs.google.com/spreadsheets/d/12Q_U0nVnFdxDFwa0pej9xvx8ZvLC9Dpi_vRro_aiG5g/edit?usp=sharing"",""อ่างทอง!I726"")"),0)</f>
        <v>0</v>
      </c>
      <c r="BF73" s="202">
        <f ca="1">IFERROR(__xludf.DUMMYFUNCTION("IMPORTRANGE(""https://docs.google.com/spreadsheets/d/12Q_U0nVnFdxDFwa0pej9xvx8ZvLC9Dpi_vRro_aiG5g/edit?usp=sharing"",""อ่างทอง!I728"")"),0)</f>
        <v>0</v>
      </c>
      <c r="BG73" s="202">
        <f ca="1">IFERROR(__xludf.DUMMYFUNCTION("IMPORTRANGE(""https://docs.google.com/spreadsheets/d/12Q_U0nVnFdxDFwa0pej9xvx8ZvLC9Dpi_vRro_aiG5g/edit?usp=sharing"",""อ่างทอง!J726"")"),0)</f>
        <v>0</v>
      </c>
      <c r="BH73" s="202">
        <f ca="1">IFERROR(__xludf.DUMMYFUNCTION("IMPORTRANGE(""https://docs.google.com/spreadsheets/d/12Q_U0nVnFdxDFwa0pej9xvx8ZvLC9Dpi_vRro_aiG5g/edit?usp=sharing"",""อ่างทอง!J727"")"),0)</f>
        <v>0</v>
      </c>
      <c r="BI73" s="202">
        <f ca="1">IFERROR(__xludf.DUMMYFUNCTION("IMPORTRANGE(""https://docs.google.com/spreadsheets/d/12Q_U0nVnFdxDFwa0pej9xvx8ZvLC9Dpi_vRro_aiG5g/edit?usp=sharing"",""อ่างทอง!J728"")"),0)</f>
        <v>0</v>
      </c>
      <c r="BJ73" s="202">
        <f ca="1">IFERROR(__xludf.DUMMYFUNCTION("IMPORTRANGE(""https://docs.google.com/spreadsheets/d/12Q_U0nVnFdxDFwa0pej9xvx8ZvLC9Dpi_vRro_aiG5g/edit?usp=sharing"",""อ่างทอง!I729"")"),0)</f>
        <v>0</v>
      </c>
      <c r="BK73" s="202">
        <f ca="1">IFERROR(__xludf.DUMMYFUNCTION("IMPORTRANGE(""https://docs.google.com/spreadsheets/d/12Q_U0nVnFdxDFwa0pej9xvx8ZvLC9Dpi_vRro_aiG5g/edit?usp=sharing"",""อ่างทอง!J729"")"),0)</f>
        <v>0</v>
      </c>
      <c r="BL73" s="203">
        <f t="shared" ca="1" si="19"/>
        <v>0</v>
      </c>
      <c r="BM73" s="202">
        <f ca="1">IFERROR(__xludf.DUMMYFUNCTION("IMPORTRANGE(""https://docs.google.com/spreadsheets/d/12Q_U0nVnFdxDFwa0pej9xvx8ZvLC9Dpi_vRro_aiG5g/edit?usp=sharing"",""อ่างทอง!J730"")"),0)</f>
        <v>0</v>
      </c>
      <c r="BN73" s="202">
        <f ca="1">IFERROR(__xludf.DUMMYFUNCTION("IMPORTRANGE(""https://docs.google.com/spreadsheets/d/12Q_U0nVnFdxDFwa0pej9xvx8ZvLC9Dpi_vRro_aiG5g/edit?usp=sharing"",""อ่างทอง!J731"")"),0)</f>
        <v>0</v>
      </c>
      <c r="BO73" s="202">
        <f ca="1">IFERROR(__xludf.DUMMYFUNCTION("IMPORTRANGE(""https://docs.google.com/spreadsheets/d/12Q_U0nVnFdxDFwa0pej9xvx8ZvLC9Dpi_vRro_aiG5g/edit?usp=sharing"",""อ่างทอง!J732"")"),0)</f>
        <v>0</v>
      </c>
      <c r="BP73" s="202">
        <f ca="1">IFERROR(__xludf.DUMMYFUNCTION("IMPORTRANGE(""https://docs.google.com/spreadsheets/d/12Q_U0nVnFdxDFwa0pej9xvx8ZvLC9Dpi_vRro_aiG5g/edit?usp=sharing"",""อ่างทอง!J733"")"),0)</f>
        <v>0</v>
      </c>
      <c r="BQ73" s="202">
        <f ca="1">IFERROR(__xludf.DUMMYFUNCTION("IMPORTRANGE(""https://docs.google.com/spreadsheets/d/12Q_U0nVnFdxDFwa0pej9xvx8ZvLC9Dpi_vRro_aiG5g/edit?usp=sharing"",""อ่างทอง!J734"")"),0)</f>
        <v>0</v>
      </c>
      <c r="BR73" s="202">
        <f ca="1">IFERROR(__xludf.DUMMYFUNCTION("IMPORTRANGE(""https://docs.google.com/spreadsheets/d/12Q_U0nVnFdxDFwa0pej9xvx8ZvLC9Dpi_vRro_aiG5g/edit?usp=sharing"",""อ่างทอง!J735"")"),0)</f>
        <v>0</v>
      </c>
    </row>
    <row r="74" spans="1:70" ht="21" customHeight="1" x14ac:dyDescent="0.3">
      <c r="A74" s="338" t="s">
        <v>91</v>
      </c>
      <c r="B74" s="339"/>
      <c r="C74" s="265">
        <f t="shared" ref="C74:E74" ca="1" si="72">SUM(C75:C88)</f>
        <v>63040</v>
      </c>
      <c r="D74" s="159">
        <f t="shared" ca="1" si="72"/>
        <v>63040</v>
      </c>
      <c r="E74" s="159">
        <f t="shared" ca="1" si="72"/>
        <v>0</v>
      </c>
      <c r="F74" s="159">
        <f t="shared" ca="1" si="1"/>
        <v>2000</v>
      </c>
      <c r="G74" s="253">
        <f t="shared" ca="1" si="2"/>
        <v>3.1725888324873095</v>
      </c>
      <c r="H74" s="159">
        <f t="shared" ref="H74:M74" ca="1" si="73">SUM(H75:H88)</f>
        <v>2000</v>
      </c>
      <c r="I74" s="159">
        <f t="shared" ca="1" si="73"/>
        <v>0</v>
      </c>
      <c r="J74" s="159">
        <f t="shared" ca="1" si="73"/>
        <v>0</v>
      </c>
      <c r="K74" s="159">
        <f t="shared" ca="1" si="73"/>
        <v>0</v>
      </c>
      <c r="L74" s="159">
        <f t="shared" ca="1" si="73"/>
        <v>2000</v>
      </c>
      <c r="M74" s="161">
        <f t="shared" ca="1" si="73"/>
        <v>0</v>
      </c>
      <c r="N74" s="161">
        <f t="shared" ca="1" si="37"/>
        <v>0</v>
      </c>
      <c r="O74" s="159">
        <f t="shared" ref="O74:P74" ca="1" si="74">SUM(O75:O88)</f>
        <v>248</v>
      </c>
      <c r="P74" s="159">
        <f t="shared" ca="1" si="74"/>
        <v>0</v>
      </c>
      <c r="Q74" s="162">
        <f t="shared" ca="1" si="31"/>
        <v>0</v>
      </c>
      <c r="R74" s="159">
        <f t="shared" ref="R74:S74" ca="1" si="75">SUM(R75:R88)</f>
        <v>57</v>
      </c>
      <c r="S74" s="159">
        <f t="shared" ca="1" si="75"/>
        <v>0</v>
      </c>
      <c r="T74" s="162">
        <f t="shared" ca="1" si="32"/>
        <v>0</v>
      </c>
      <c r="U74" s="159">
        <f t="shared" ref="U74:V74" ca="1" si="76">SUM(U75:U88)</f>
        <v>50</v>
      </c>
      <c r="V74" s="159">
        <f t="shared" ca="1" si="76"/>
        <v>0</v>
      </c>
      <c r="W74" s="162">
        <f t="shared" ca="1" si="33"/>
        <v>0</v>
      </c>
      <c r="X74" s="162">
        <f t="shared" ref="X74:AE74" ca="1" si="77">SUM(X75:X88)</f>
        <v>0</v>
      </c>
      <c r="Y74" s="162">
        <f t="shared" ca="1" si="77"/>
        <v>0</v>
      </c>
      <c r="Z74" s="162">
        <f t="shared" ca="1" si="77"/>
        <v>0</v>
      </c>
      <c r="AA74" s="162">
        <f t="shared" ca="1" si="77"/>
        <v>0</v>
      </c>
      <c r="AB74" s="162">
        <f t="shared" ca="1" si="77"/>
        <v>0</v>
      </c>
      <c r="AC74" s="162">
        <f t="shared" ca="1" si="77"/>
        <v>0</v>
      </c>
      <c r="AD74" s="159">
        <f t="shared" ca="1" si="77"/>
        <v>0</v>
      </c>
      <c r="AE74" s="159">
        <f t="shared" ca="1" si="77"/>
        <v>0</v>
      </c>
      <c r="AF74" s="162">
        <f t="shared" ca="1" si="34"/>
        <v>0</v>
      </c>
      <c r="AG74" s="159">
        <f t="shared" ref="AG74:AR74" ca="1" si="78">SUM(AG75:AG88)</f>
        <v>0</v>
      </c>
      <c r="AH74" s="159">
        <f t="shared" ca="1" si="78"/>
        <v>0</v>
      </c>
      <c r="AI74" s="159">
        <f t="shared" ca="1" si="78"/>
        <v>0</v>
      </c>
      <c r="AJ74" s="159">
        <f t="shared" ca="1" si="78"/>
        <v>0</v>
      </c>
      <c r="AK74" s="159">
        <f t="shared" ca="1" si="78"/>
        <v>0</v>
      </c>
      <c r="AL74" s="159">
        <f t="shared" ca="1" si="78"/>
        <v>0</v>
      </c>
      <c r="AM74" s="159">
        <f t="shared" ca="1" si="78"/>
        <v>0</v>
      </c>
      <c r="AN74" s="159">
        <f t="shared" ca="1" si="78"/>
        <v>0</v>
      </c>
      <c r="AO74" s="159">
        <f t="shared" ca="1" si="78"/>
        <v>0</v>
      </c>
      <c r="AP74" s="159">
        <f t="shared" ca="1" si="78"/>
        <v>0</v>
      </c>
      <c r="AQ74" s="159">
        <f t="shared" ca="1" si="78"/>
        <v>0</v>
      </c>
      <c r="AR74" s="159">
        <f t="shared" ca="1" si="78"/>
        <v>0</v>
      </c>
      <c r="AS74" s="162">
        <f t="shared" ca="1" si="14"/>
        <v>0</v>
      </c>
      <c r="AT74" s="159">
        <f t="shared" ref="AT74:AV74" ca="1" si="79">SUM(AT75:AT88)</f>
        <v>87</v>
      </c>
      <c r="AU74" s="159">
        <f t="shared" ca="1" si="79"/>
        <v>332</v>
      </c>
      <c r="AV74" s="159">
        <f t="shared" ca="1" si="79"/>
        <v>0</v>
      </c>
      <c r="AW74" s="162">
        <f t="shared" ca="1" si="16"/>
        <v>0</v>
      </c>
      <c r="AX74" s="159">
        <f ca="1">SUM(AX75:AX88)</f>
        <v>0</v>
      </c>
      <c r="AY74" s="162">
        <f t="shared" ca="1" si="17"/>
        <v>0</v>
      </c>
      <c r="AZ74" s="159">
        <f t="shared" ref="AZ74:BK74" ca="1" si="80">SUM(AZ75:AZ88)</f>
        <v>50</v>
      </c>
      <c r="BA74" s="159">
        <f t="shared" ca="1" si="80"/>
        <v>212</v>
      </c>
      <c r="BB74" s="159">
        <f t="shared" ca="1" si="80"/>
        <v>0</v>
      </c>
      <c r="BC74" s="159">
        <f t="shared" ca="1" si="80"/>
        <v>0</v>
      </c>
      <c r="BD74" s="159">
        <f t="shared" ca="1" si="80"/>
        <v>0</v>
      </c>
      <c r="BE74" s="159">
        <f t="shared" ca="1" si="80"/>
        <v>37</v>
      </c>
      <c r="BF74" s="159">
        <f t="shared" ca="1" si="80"/>
        <v>120</v>
      </c>
      <c r="BG74" s="159">
        <f t="shared" ca="1" si="80"/>
        <v>0</v>
      </c>
      <c r="BH74" s="159">
        <f t="shared" ca="1" si="80"/>
        <v>0</v>
      </c>
      <c r="BI74" s="159">
        <f t="shared" ca="1" si="80"/>
        <v>0</v>
      </c>
      <c r="BJ74" s="159">
        <f t="shared" ca="1" si="80"/>
        <v>0</v>
      </c>
      <c r="BK74" s="159">
        <f t="shared" ca="1" si="80"/>
        <v>0</v>
      </c>
      <c r="BL74" s="162">
        <f t="shared" ca="1" si="19"/>
        <v>0</v>
      </c>
      <c r="BM74" s="159">
        <f t="shared" ref="BM74:BR74" ca="1" si="81">SUM(BM75:BM88)</f>
        <v>0</v>
      </c>
      <c r="BN74" s="159">
        <f t="shared" ca="1" si="81"/>
        <v>0</v>
      </c>
      <c r="BO74" s="159">
        <f t="shared" ca="1" si="81"/>
        <v>0</v>
      </c>
      <c r="BP74" s="159">
        <f t="shared" ca="1" si="81"/>
        <v>0</v>
      </c>
      <c r="BQ74" s="159">
        <f t="shared" ca="1" si="81"/>
        <v>0</v>
      </c>
      <c r="BR74" s="159">
        <f t="shared" ca="1" si="81"/>
        <v>0</v>
      </c>
    </row>
    <row r="75" spans="1:70" ht="21" customHeight="1" x14ac:dyDescent="0.3">
      <c r="A75" s="178">
        <v>1</v>
      </c>
      <c r="B75" s="179" t="s">
        <v>92</v>
      </c>
      <c r="C75" s="180">
        <f t="shared" ref="C75:C88" ca="1" si="82">D75+E75</f>
        <v>0</v>
      </c>
      <c r="D75" s="181">
        <f ca="1">IFERROR(__xludf.DUMMYFUNCTION("IMPORTRANGE(""https://docs.google.com/spreadsheets/d/1kC41EOXpGBFOW658Fs3oD8beYlym0-zO54WY-2Qnp9I/edit?usp=sharing"",""กระบี่!L690"")"),0)</f>
        <v>0</v>
      </c>
      <c r="E75" s="187">
        <f ca="1">IFERROR(__xludf.DUMMYFUNCTION("IMPORTRANGE(""https://docs.google.com/spreadsheets/d/1kC41EOXpGBFOW658Fs3oD8beYlym0-zO54WY-2Qnp9I/edit?usp=sharing"",""กระบี่!L697"")"),0)</f>
        <v>0</v>
      </c>
      <c r="F75" s="182">
        <f t="shared" ca="1" si="1"/>
        <v>0</v>
      </c>
      <c r="G75" s="183">
        <f t="shared" ca="1" si="2"/>
        <v>0</v>
      </c>
      <c r="H75" s="184">
        <f t="shared" ref="H75:H88" ca="1" si="83">I75+J75+K75+L75</f>
        <v>0</v>
      </c>
      <c r="I75" s="187">
        <f ca="1">IFERROR(__xludf.DUMMYFUNCTION("IMPORTRANGE(""https://docs.google.com/spreadsheets/d/1kC41EOXpGBFOW658Fs3oD8beYlym0-zO54WY-2Qnp9I/edit?usp=sharing"",""กระบี่!N691"")"),0)</f>
        <v>0</v>
      </c>
      <c r="J75" s="187">
        <f ca="1">IFERROR(__xludf.DUMMYFUNCTION("IMPORTRANGE(""https://docs.google.com/spreadsheets/d/1kC41EOXpGBFOW658Fs3oD8beYlym0-zO54WY-2Qnp9I/edit?usp=sharing"",""กระบี่!N692"")"),0)</f>
        <v>0</v>
      </c>
      <c r="K75" s="187">
        <f ca="1">IFERROR(__xludf.DUMMYFUNCTION("IMPORTRANGE(""https://docs.google.com/spreadsheets/d/1kC41EOXpGBFOW658Fs3oD8beYlym0-zO54WY-2Qnp9I/edit?usp=sharing"",""กระบี่!N693"")"),0)</f>
        <v>0</v>
      </c>
      <c r="L75" s="187">
        <f ca="1">IFERROR(__xludf.DUMMYFUNCTION("IMPORTRANGE(""https://docs.google.com/spreadsheets/d/1kC41EOXpGBFOW658Fs3oD8beYlym0-zO54WY-2Qnp9I/edit?usp=sharing"",""กระบี่!N694"")"),0)</f>
        <v>0</v>
      </c>
      <c r="M75" s="185">
        <f ca="1">IFERROR(__xludf.DUMMYFUNCTION("IMPORTRANGE(""https://docs.google.com/spreadsheets/d/1kC41EOXpGBFOW658Fs3oD8beYlym0-zO54WY-2Qnp9I/edit?usp=sharing"",""กระบี่!N697"")"),0)</f>
        <v>0</v>
      </c>
      <c r="N75" s="185">
        <f t="shared" ca="1" si="37"/>
        <v>0</v>
      </c>
      <c r="O75" s="181">
        <f ca="1">IFERROR(__xludf.DUMMYFUNCTION("IMPORTRANGE(""https://docs.google.com/spreadsheets/d/1kC41EOXpGBFOW658Fs3oD8beYlym0-zO54WY-2Qnp9I/edit?usp=sharing"",""กระบี่!I699"")"),0)</f>
        <v>0</v>
      </c>
      <c r="P75" s="181">
        <f ca="1">IFERROR(__xludf.DUMMYFUNCTION("IMPORTRANGE(""https://docs.google.com/spreadsheets/d/1kC41EOXpGBFOW658Fs3oD8beYlym0-zO54WY-2Qnp9I/edit?usp=sharing"",""กระบี่!J699"")"),0)</f>
        <v>0</v>
      </c>
      <c r="Q75" s="186">
        <f t="shared" ca="1" si="31"/>
        <v>0</v>
      </c>
      <c r="R75" s="181">
        <f ca="1">IFERROR(__xludf.DUMMYFUNCTION("IMPORTRANGE(""https://docs.google.com/spreadsheets/d/1kC41EOXpGBFOW658Fs3oD8beYlym0-zO54WY-2Qnp9I/edit?usp=sharing"",""กระบี่!I700"")"),0)</f>
        <v>0</v>
      </c>
      <c r="S75" s="181">
        <f ca="1">IFERROR(__xludf.DUMMYFUNCTION("IMPORTRANGE(""https://docs.google.com/spreadsheets/d/1kC41EOXpGBFOW658Fs3oD8beYlym0-zO54WY-2Qnp9I/edit?usp=sharing"",""กระบี่!J700"")"),0)</f>
        <v>0</v>
      </c>
      <c r="T75" s="186">
        <f t="shared" ca="1" si="32"/>
        <v>0</v>
      </c>
      <c r="U75" s="181">
        <f ca="1">IFERROR(__xludf.DUMMYFUNCTION("IMPORTRANGE(""https://docs.google.com/spreadsheets/d/1kC41EOXpGBFOW658Fs3oD8beYlym0-zO54WY-2Qnp9I/edit?usp=sharing"",""กระบี่!I701"")"),0)</f>
        <v>0</v>
      </c>
      <c r="V75" s="181">
        <f ca="1">IFERROR(__xludf.DUMMYFUNCTION("IMPORTRANGE(""https://docs.google.com/spreadsheets/d/1kC41EOXpGBFOW658Fs3oD8beYlym0-zO54WY-2Qnp9I/edit?usp=sharing"",""กระบี่!J701"")"),0)</f>
        <v>0</v>
      </c>
      <c r="W75" s="186">
        <f t="shared" ca="1" si="33"/>
        <v>0</v>
      </c>
      <c r="X75" s="186">
        <f ca="1">IFERROR(__xludf.DUMMYFUNCTION("IMPORTRANGE(""https://docs.google.com/spreadsheets/d/1kC41EOXpGBFOW658Fs3oD8beYlym0-zO54WY-2Qnp9I/edit?usp=sharing"",""กระบี่!J702"")"),0)</f>
        <v>0</v>
      </c>
      <c r="Y75" s="186">
        <f ca="1">IFERROR(__xludf.DUMMYFUNCTION("IMPORTRANGE(""https://docs.google.com/spreadsheets/d/1kC41EOXpGBFOW658Fs3oD8beYlym0-zO54WY-2Qnp9I/edit?usp=sharing"",""กระบี่!J703"")"),0)</f>
        <v>0</v>
      </c>
      <c r="Z75" s="186">
        <f ca="1">IFERROR(__xludf.DUMMYFUNCTION("IMPORTRANGE(""https://docs.google.com/spreadsheets/d/1kC41EOXpGBFOW658Fs3oD8beYlym0-zO54WY-2Qnp9I/edit?usp=sharing"",""กระบี่!J704"")"),0)</f>
        <v>0</v>
      </c>
      <c r="AA75" s="186">
        <f ca="1">IFERROR(__xludf.DUMMYFUNCTION("IMPORTRANGE(""https://docs.google.com/spreadsheets/d/1kC41EOXpGBFOW658Fs3oD8beYlym0-zO54WY-2Qnp9I/edit?usp=sharing"",""กระบี่!J705"")"),0)</f>
        <v>0</v>
      </c>
      <c r="AB75" s="186">
        <f ca="1">IFERROR(__xludf.DUMMYFUNCTION("IMPORTRANGE(""https://docs.google.com/spreadsheets/d/1kC41EOXpGBFOW658Fs3oD8beYlym0-zO54WY-2Qnp9I/edit?usp=sharing"",""กระบี่!J706"")"),0)</f>
        <v>0</v>
      </c>
      <c r="AC75" s="186">
        <f ca="1">IFERROR(__xludf.DUMMYFUNCTION("IMPORTRANGE(""https://docs.google.com/spreadsheets/d/1kC41EOXpGBFOW658Fs3oD8beYlym0-zO54WY-2Qnp9I/edit?usp=sharing"",""กระบี่!J707"")"),0)</f>
        <v>0</v>
      </c>
      <c r="AD75" s="181">
        <f ca="1">IFERROR(__xludf.DUMMYFUNCTION("IMPORTRANGE(""https://docs.google.com/spreadsheets/d/1kC41EOXpGBFOW658Fs3oD8beYlym0-zO54WY-2Qnp9I/edit?usp=sharing"",""กระบี่!I708"")"),0)</f>
        <v>0</v>
      </c>
      <c r="AE75" s="181">
        <f ca="1">IFERROR(__xludf.DUMMYFUNCTION("IMPORTRANGE(""https://docs.google.com/spreadsheets/d/1kC41EOXpGBFOW658Fs3oD8beYlym0-zO54WY-2Qnp9I/edit?usp=sharing"",""กระบี่!J708"")"),0)</f>
        <v>0</v>
      </c>
      <c r="AF75" s="186">
        <f t="shared" ca="1" si="34"/>
        <v>0</v>
      </c>
      <c r="AG75" s="181">
        <f ca="1">IFERROR(__xludf.DUMMYFUNCTION("IMPORTRANGE(""https://docs.google.com/spreadsheets/d/1kC41EOXpGBFOW658Fs3oD8beYlym0-zO54WY-2Qnp9I/edit?usp=sharing"",""กระบี่!J709"")"),0)</f>
        <v>0</v>
      </c>
      <c r="AH75" s="181">
        <f ca="1">IFERROR(__xludf.DUMMYFUNCTION("IMPORTRANGE(""https://docs.google.com/spreadsheets/d/1kC41EOXpGBFOW658Fs3oD8beYlym0-zO54WY-2Qnp9I/edit?usp=sharing"",""กระบี่!J710"")"),0)</f>
        <v>0</v>
      </c>
      <c r="AI75" s="181">
        <f ca="1">IFERROR(__xludf.DUMMYFUNCTION("IMPORTRANGE(""https://docs.google.com/spreadsheets/d/1kC41EOXpGBFOW658Fs3oD8beYlym0-zO54WY-2Qnp9I/edit?usp=sharing"",""กระบี่!J712"")"),0)</f>
        <v>0</v>
      </c>
      <c r="AJ75" s="181">
        <f ca="1">IFERROR(__xludf.DUMMYFUNCTION("IMPORTRANGE(""https://docs.google.com/spreadsheets/d/1kC41EOXpGBFOW658Fs3oD8beYlym0-zO54WY-2Qnp9I/edit?usp=sharing"",""กระบี่!J713"")"),0)</f>
        <v>0</v>
      </c>
      <c r="AK75" s="181">
        <f ca="1">IFERROR(__xludf.DUMMYFUNCTION("IMPORTRANGE(""https://docs.google.com/spreadsheets/d/1kC41EOXpGBFOW658Fs3oD8beYlym0-zO54WY-2Qnp9I/edit?usp=sharing"",""กระบี่!J714"")"),0)</f>
        <v>0</v>
      </c>
      <c r="AL75" s="181">
        <f ca="1">IFERROR(__xludf.DUMMYFUNCTION("IMPORTRANGE(""https://docs.google.com/spreadsheets/d/1kC41EOXpGBFOW658Fs3oD8beYlym0-zO54WY-2Qnp9I/edit?usp=sharing"",""กระบี่!J715"")"),0)</f>
        <v>0</v>
      </c>
      <c r="AM75" s="181">
        <f ca="1">IFERROR(__xludf.DUMMYFUNCTION("IMPORTRANGE(""https://docs.google.com/spreadsheets/d/1kC41EOXpGBFOW658Fs3oD8beYlym0-zO54WY-2Qnp9I/edit?usp=sharing"",""กระบี่!J716"")"),0)</f>
        <v>0</v>
      </c>
      <c r="AN75" s="181">
        <f ca="1">IFERROR(__xludf.DUMMYFUNCTION("IMPORTRANGE(""https://docs.google.com/spreadsheets/d/1kC41EOXpGBFOW658Fs3oD8beYlym0-zO54WY-2Qnp9I/edit?usp=sharing"",""กระบี่!J717"")"),0)</f>
        <v>0</v>
      </c>
      <c r="AO75" s="181">
        <f ca="1">IFERROR(__xludf.DUMMYFUNCTION("IMPORTRANGE(""https://docs.google.com/spreadsheets/d/1kC41EOXpGBFOW658Fs3oD8beYlym0-zO54WY-2Qnp9I/edit?usp=sharing"",""กระบี่!I720"")"),0)</f>
        <v>0</v>
      </c>
      <c r="AP75" s="181">
        <f ca="1">IFERROR(__xludf.DUMMYFUNCTION("IMPORTRANGE(""https://docs.google.com/spreadsheets/d/1kC41EOXpGBFOW658Fs3oD8beYlym0-zO54WY-2Qnp9I/edit?usp=sharing"",""กระบี่!J718"")"),0)</f>
        <v>0</v>
      </c>
      <c r="AQ75" s="181">
        <f ca="1">IFERROR(__xludf.DUMMYFUNCTION("IMPORTRANGE(""https://docs.google.com/spreadsheets/d/1kC41EOXpGBFOW658Fs3oD8beYlym0-zO54WY-2Qnp9I/edit?usp=sharing"",""กระบี่!J719"")"),0)</f>
        <v>0</v>
      </c>
      <c r="AR75" s="181">
        <f ca="1">IFERROR(__xludf.DUMMYFUNCTION("IMPORTRANGE(""https://docs.google.com/spreadsheets/d/1kC41EOXpGBFOW658Fs3oD8beYlym0-zO54WY-2Qnp9I/edit?usp=sharing"",""กระบี่!J720"")"),0)</f>
        <v>0</v>
      </c>
      <c r="AS75" s="186">
        <f t="shared" ca="1" si="14"/>
        <v>0</v>
      </c>
      <c r="AT75" s="181">
        <f ca="1">IFERROR(__xludf.DUMMYFUNCTION("IMPORTRANGE(""https://docs.google.com/spreadsheets/d/1kC41EOXpGBFOW658Fs3oD8beYlym0-zO54WY-2Qnp9I/edit?usp=sharing"",""กระบี่!I721"")"),0)</f>
        <v>0</v>
      </c>
      <c r="AU75" s="181">
        <f ca="1">IFERROR(__xludf.DUMMYFUNCTION("IMPORTRANGE(""https://docs.google.com/spreadsheets/d/1kC41EOXpGBFOW658Fs3oD8beYlym0-zO54WY-2Qnp9I/edit?usp=sharing"",""กระบี่!I722"")"),0)</f>
        <v>0</v>
      </c>
      <c r="AV75" s="181">
        <f ca="1">IFERROR(__xludf.DUMMYFUNCTION("IMPORTRANGE(""https://docs.google.com/spreadsheets/d/1kC41EOXpGBFOW658Fs3oD8beYlym0-zO54WY-2Qnp9I/edit?usp=sharing"",""กระบี่!J721"")"),0)</f>
        <v>0</v>
      </c>
      <c r="AW75" s="186">
        <f t="shared" ca="1" si="16"/>
        <v>0</v>
      </c>
      <c r="AX75" s="181">
        <f ca="1">IFERROR(__xludf.DUMMYFUNCTION("IMPORTRANGE(""https://docs.google.com/spreadsheets/d/1kC41EOXpGBFOW658Fs3oD8beYlym0-zO54WY-2Qnp9I/edit?usp=sharing"",""กระบี่!J722"")"),0)</f>
        <v>0</v>
      </c>
      <c r="AY75" s="186">
        <f t="shared" ca="1" si="17"/>
        <v>0</v>
      </c>
      <c r="AZ75" s="181">
        <f ca="1">IFERROR(__xludf.DUMMYFUNCTION("IMPORTRANGE(""https://docs.google.com/spreadsheets/d/1kC41EOXpGBFOW658Fs3oD8beYlym0-zO54WY-2Qnp9I/edit?usp=sharing"",""กระบี่!I723"")"),0)</f>
        <v>0</v>
      </c>
      <c r="BA75" s="181">
        <f ca="1">IFERROR(__xludf.DUMMYFUNCTION("IMPORTRANGE(""https://docs.google.com/spreadsheets/d/1kC41EOXpGBFOW658Fs3oD8beYlym0-zO54WY-2Qnp9I/edit?usp=sharing"",""กระบี่!I725"")"),0)</f>
        <v>0</v>
      </c>
      <c r="BB75" s="181">
        <f ca="1">IFERROR(__xludf.DUMMYFUNCTION("IMPORTRANGE(""https://docs.google.com/spreadsheets/d/1kC41EOXpGBFOW658Fs3oD8beYlym0-zO54WY-2Qnp9I/edit?usp=sharing"",""กระบี่!J723"")"),0)</f>
        <v>0</v>
      </c>
      <c r="BC75" s="181">
        <f ca="1">IFERROR(__xludf.DUMMYFUNCTION("IMPORTRANGE(""https://docs.google.com/spreadsheets/d/1kC41EOXpGBFOW658Fs3oD8beYlym0-zO54WY-2Qnp9I/edit?usp=sharing"",""กระบี่!J724"")"),0)</f>
        <v>0</v>
      </c>
      <c r="BD75" s="181">
        <f ca="1">IFERROR(__xludf.DUMMYFUNCTION("IMPORTRANGE(""https://docs.google.com/spreadsheets/d/1kC41EOXpGBFOW658Fs3oD8beYlym0-zO54WY-2Qnp9I/edit?usp=sharing"",""กระบี่!J725"")"),0)</f>
        <v>0</v>
      </c>
      <c r="BE75" s="181">
        <f ca="1">IFERROR(__xludf.DUMMYFUNCTION("IMPORTRANGE(""https://docs.google.com/spreadsheets/d/1kC41EOXpGBFOW658Fs3oD8beYlym0-zO54WY-2Qnp9I/edit?usp=sharing"",""กระบี่!I726"")"),0)</f>
        <v>0</v>
      </c>
      <c r="BF75" s="181">
        <f ca="1">IFERROR(__xludf.DUMMYFUNCTION("IMPORTRANGE(""https://docs.google.com/spreadsheets/d/1kC41EOXpGBFOW658Fs3oD8beYlym0-zO54WY-2Qnp9I/edit?usp=sharing"",""กระบี่!I728"")"),0)</f>
        <v>0</v>
      </c>
      <c r="BG75" s="181">
        <f ca="1">IFERROR(__xludf.DUMMYFUNCTION("IMPORTRANGE(""https://docs.google.com/spreadsheets/d/1kC41EOXpGBFOW658Fs3oD8beYlym0-zO54WY-2Qnp9I/edit?usp=sharing"",""กระบี่!J726"")"),0)</f>
        <v>0</v>
      </c>
      <c r="BH75" s="181">
        <f ca="1">IFERROR(__xludf.DUMMYFUNCTION("IMPORTRANGE(""https://docs.google.com/spreadsheets/d/1kC41EOXpGBFOW658Fs3oD8beYlym0-zO54WY-2Qnp9I/edit?usp=sharing"",""กระบี่!J727"")"),0)</f>
        <v>0</v>
      </c>
      <c r="BI75" s="181">
        <f ca="1">IFERROR(__xludf.DUMMYFUNCTION("IMPORTRANGE(""https://docs.google.com/spreadsheets/d/1kC41EOXpGBFOW658Fs3oD8beYlym0-zO54WY-2Qnp9I/edit?usp=sharing"",""กระบี่!J728"")"),0)</f>
        <v>0</v>
      </c>
      <c r="BJ75" s="181">
        <f ca="1">IFERROR(__xludf.DUMMYFUNCTION("IMPORTRANGE(""https://docs.google.com/spreadsheets/d/1kC41EOXpGBFOW658Fs3oD8beYlym0-zO54WY-2Qnp9I/edit?usp=sharing"",""กระบี่!I729"")"),0)</f>
        <v>0</v>
      </c>
      <c r="BK75" s="181">
        <f ca="1">IFERROR(__xludf.DUMMYFUNCTION("IMPORTRANGE(""https://docs.google.com/spreadsheets/d/1kC41EOXpGBFOW658Fs3oD8beYlym0-zO54WY-2Qnp9I/edit?usp=sharing"",""กระบี่!J729"")"),0)</f>
        <v>0</v>
      </c>
      <c r="BL75" s="186">
        <f t="shared" ca="1" si="19"/>
        <v>0</v>
      </c>
      <c r="BM75" s="181">
        <f ca="1">IFERROR(__xludf.DUMMYFUNCTION("IMPORTRANGE(""https://docs.google.com/spreadsheets/d/1kC41EOXpGBFOW658Fs3oD8beYlym0-zO54WY-2Qnp9I/edit?usp=sharing"",""กระบี่!J730"")"),0)</f>
        <v>0</v>
      </c>
      <c r="BN75" s="181">
        <f ca="1">IFERROR(__xludf.DUMMYFUNCTION("IMPORTRANGE(""https://docs.google.com/spreadsheets/d/1kC41EOXpGBFOW658Fs3oD8beYlym0-zO54WY-2Qnp9I/edit?usp=sharing"",""กระบี่!J731"")"),0)</f>
        <v>0</v>
      </c>
      <c r="BO75" s="181">
        <f ca="1">IFERROR(__xludf.DUMMYFUNCTION("IMPORTRANGE(""https://docs.google.com/spreadsheets/d/1kC41EOXpGBFOW658Fs3oD8beYlym0-zO54WY-2Qnp9I/edit?usp=sharing"",""กระบี่!J732"")"),0)</f>
        <v>0</v>
      </c>
      <c r="BP75" s="181">
        <f ca="1">IFERROR(__xludf.DUMMYFUNCTION("IMPORTRANGE(""https://docs.google.com/spreadsheets/d/1kC41EOXpGBFOW658Fs3oD8beYlym0-zO54WY-2Qnp9I/edit?usp=sharing"",""กระบี่!J733"")"),0)</f>
        <v>0</v>
      </c>
      <c r="BQ75" s="181">
        <f ca="1">IFERROR(__xludf.DUMMYFUNCTION("IMPORTRANGE(""https://docs.google.com/spreadsheets/d/1kC41EOXpGBFOW658Fs3oD8beYlym0-zO54WY-2Qnp9I/edit?usp=sharing"",""กระบี่!J734"")"),0)</f>
        <v>0</v>
      </c>
      <c r="BR75" s="181">
        <f ca="1">IFERROR(__xludf.DUMMYFUNCTION("IMPORTRANGE(""https://docs.google.com/spreadsheets/d/1kC41EOXpGBFOW658Fs3oD8beYlym0-zO54WY-2Qnp9I/edit?usp=sharing"",""กระบี่!J735"")"),0)</f>
        <v>0</v>
      </c>
    </row>
    <row r="76" spans="1:70" ht="21" customHeight="1" x14ac:dyDescent="0.3">
      <c r="A76" s="178">
        <v>2</v>
      </c>
      <c r="B76" s="179" t="s">
        <v>93</v>
      </c>
      <c r="C76" s="180">
        <f t="shared" ca="1" si="82"/>
        <v>0</v>
      </c>
      <c r="D76" s="181">
        <f ca="1">IFERROR(__xludf.DUMMYFUNCTION("IMPORTRANGE(""https://docs.google.com/spreadsheets/d/1FbzMZY_f3MDiEuK7RpCQKrilJ_kpX0Wm7QBZ1L7EjIU/edit?usp=sharing"",""ชุมพร!L690"")"),0)</f>
        <v>0</v>
      </c>
      <c r="E76" s="187">
        <f ca="1">IFERROR(__xludf.DUMMYFUNCTION("IMPORTRANGE(""https://docs.google.com/spreadsheets/d/1FbzMZY_f3MDiEuK7RpCQKrilJ_kpX0Wm7QBZ1L7EjIU/edit?usp=sharing"",""ชุมพร!L697"")"),0)</f>
        <v>0</v>
      </c>
      <c r="F76" s="182">
        <f t="shared" ca="1" si="1"/>
        <v>0</v>
      </c>
      <c r="G76" s="183">
        <f t="shared" ca="1" si="2"/>
        <v>0</v>
      </c>
      <c r="H76" s="184">
        <f t="shared" ca="1" si="83"/>
        <v>0</v>
      </c>
      <c r="I76" s="187">
        <f ca="1">IFERROR(__xludf.DUMMYFUNCTION("IMPORTRANGE(""https://docs.google.com/spreadsheets/d/1FbzMZY_f3MDiEuK7RpCQKrilJ_kpX0Wm7QBZ1L7EjIU/edit?usp=sharing"",""ชุมพร!N691"")"),0)</f>
        <v>0</v>
      </c>
      <c r="J76" s="187">
        <f ca="1">IFERROR(__xludf.DUMMYFUNCTION("IMPORTRANGE(""https://docs.google.com/spreadsheets/d/1FbzMZY_f3MDiEuK7RpCQKrilJ_kpX0Wm7QBZ1L7EjIU/edit?usp=sharing"",""ชุมพร!N692"")"),0)</f>
        <v>0</v>
      </c>
      <c r="K76" s="187">
        <f ca="1">IFERROR(__xludf.DUMMYFUNCTION("IMPORTRANGE(""https://docs.google.com/spreadsheets/d/1FbzMZY_f3MDiEuK7RpCQKrilJ_kpX0Wm7QBZ1L7EjIU/edit?usp=sharing"",""ชุมพร!N693"")"),0)</f>
        <v>0</v>
      </c>
      <c r="L76" s="187">
        <f ca="1">IFERROR(__xludf.DUMMYFUNCTION("IMPORTRANGE(""https://docs.google.com/spreadsheets/d/1FbzMZY_f3MDiEuK7RpCQKrilJ_kpX0Wm7QBZ1L7EjIU/edit?usp=sharing"",""ชุมพร!N694"")"),0)</f>
        <v>0</v>
      </c>
      <c r="M76" s="185">
        <f ca="1">IFERROR(__xludf.DUMMYFUNCTION("IMPORTRANGE(""https://docs.google.com/spreadsheets/d/1FbzMZY_f3MDiEuK7RpCQKrilJ_kpX0Wm7QBZ1L7EjIU/edit?usp=sharing"",""ชุมพร!N697"")"),0)</f>
        <v>0</v>
      </c>
      <c r="N76" s="185">
        <f t="shared" ca="1" si="37"/>
        <v>0</v>
      </c>
      <c r="O76" s="181">
        <f ca="1">IFERROR(__xludf.DUMMYFUNCTION("IMPORTRANGE(""https://docs.google.com/spreadsheets/d/1FbzMZY_f3MDiEuK7RpCQKrilJ_kpX0Wm7QBZ1L7EjIU/edit?usp=sharing"",""ชุมพร!I699"")"),0)</f>
        <v>0</v>
      </c>
      <c r="P76" s="181">
        <f ca="1">IFERROR(__xludf.DUMMYFUNCTION("IMPORTRANGE(""https://docs.google.com/spreadsheets/d/1FbzMZY_f3MDiEuK7RpCQKrilJ_kpX0Wm7QBZ1L7EjIU/edit?usp=sharing"",""ชุมพร!J699"")"),0)</f>
        <v>0</v>
      </c>
      <c r="Q76" s="186">
        <f t="shared" ca="1" si="31"/>
        <v>0</v>
      </c>
      <c r="R76" s="181">
        <f ca="1">IFERROR(__xludf.DUMMYFUNCTION("IMPORTRANGE(""https://docs.google.com/spreadsheets/d/1FbzMZY_f3MDiEuK7RpCQKrilJ_kpX0Wm7QBZ1L7EjIU/edit?usp=sharing"",""ชุมพร!I700"")"),0)</f>
        <v>0</v>
      </c>
      <c r="S76" s="181">
        <f ca="1">IFERROR(__xludf.DUMMYFUNCTION("IMPORTRANGE(""https://docs.google.com/spreadsheets/d/1FbzMZY_f3MDiEuK7RpCQKrilJ_kpX0Wm7QBZ1L7EjIU/edit?usp=sharing"",""ชุมพร!J700"")"),0)</f>
        <v>0</v>
      </c>
      <c r="T76" s="186">
        <f t="shared" ca="1" si="32"/>
        <v>0</v>
      </c>
      <c r="U76" s="181">
        <f ca="1">IFERROR(__xludf.DUMMYFUNCTION("IMPORTRANGE(""https://docs.google.com/spreadsheets/d/1FbzMZY_f3MDiEuK7RpCQKrilJ_kpX0Wm7QBZ1L7EjIU/edit?usp=sharing"",""ชุมพร!I701"")"),0)</f>
        <v>0</v>
      </c>
      <c r="V76" s="181">
        <f ca="1">IFERROR(__xludf.DUMMYFUNCTION("IMPORTRANGE(""https://docs.google.com/spreadsheets/d/1FbzMZY_f3MDiEuK7RpCQKrilJ_kpX0Wm7QBZ1L7EjIU/edit?usp=sharing"",""ชุมพร!J701"")"),0)</f>
        <v>0</v>
      </c>
      <c r="W76" s="186">
        <f t="shared" ca="1" si="33"/>
        <v>0</v>
      </c>
      <c r="X76" s="186">
        <f ca="1">IFERROR(__xludf.DUMMYFUNCTION("IMPORTRANGE(""https://docs.google.com/spreadsheets/d/1FbzMZY_f3MDiEuK7RpCQKrilJ_kpX0Wm7QBZ1L7EjIU/edit?usp=sharing"",""ชุมพร!J702"")"),0)</f>
        <v>0</v>
      </c>
      <c r="Y76" s="186">
        <f ca="1">IFERROR(__xludf.DUMMYFUNCTION("IMPORTRANGE(""https://docs.google.com/spreadsheets/d/1FbzMZY_f3MDiEuK7RpCQKrilJ_kpX0Wm7QBZ1L7EjIU/edit?usp=sharing"",""ชุมพร!J703"")"),0)</f>
        <v>0</v>
      </c>
      <c r="Z76" s="186">
        <f ca="1">IFERROR(__xludf.DUMMYFUNCTION("IMPORTRANGE(""https://docs.google.com/spreadsheets/d/1FbzMZY_f3MDiEuK7RpCQKrilJ_kpX0Wm7QBZ1L7EjIU/edit?usp=sharing"",""ชุมพร!J704"")"),0)</f>
        <v>0</v>
      </c>
      <c r="AA76" s="186">
        <f ca="1">IFERROR(__xludf.DUMMYFUNCTION("IMPORTRANGE(""https://docs.google.com/spreadsheets/d/1FbzMZY_f3MDiEuK7RpCQKrilJ_kpX0Wm7QBZ1L7EjIU/edit?usp=sharing"",""ชุมพร!J705"")"),0)</f>
        <v>0</v>
      </c>
      <c r="AB76" s="186">
        <f ca="1">IFERROR(__xludf.DUMMYFUNCTION("IMPORTRANGE(""https://docs.google.com/spreadsheets/d/1FbzMZY_f3MDiEuK7RpCQKrilJ_kpX0Wm7QBZ1L7EjIU/edit?usp=sharing"",""ชุมพร!J706"")"),0)</f>
        <v>0</v>
      </c>
      <c r="AC76" s="186">
        <f ca="1">IFERROR(__xludf.DUMMYFUNCTION("IMPORTRANGE(""https://docs.google.com/spreadsheets/d/1FbzMZY_f3MDiEuK7RpCQKrilJ_kpX0Wm7QBZ1L7EjIU/edit?usp=sharing"",""ชุมพร!J707"")"),0)</f>
        <v>0</v>
      </c>
      <c r="AD76" s="181">
        <f ca="1">IFERROR(__xludf.DUMMYFUNCTION("IMPORTRANGE(""https://docs.google.com/spreadsheets/d/1FbzMZY_f3MDiEuK7RpCQKrilJ_kpX0Wm7QBZ1L7EjIU/edit?usp=sharing"",""ชุมพร!I708"")"),0)</f>
        <v>0</v>
      </c>
      <c r="AE76" s="181">
        <f ca="1">IFERROR(__xludf.DUMMYFUNCTION("IMPORTRANGE(""https://docs.google.com/spreadsheets/d/1FbzMZY_f3MDiEuK7RpCQKrilJ_kpX0Wm7QBZ1L7EjIU/edit?usp=sharing"",""ชุมพร!J708"")"),0)</f>
        <v>0</v>
      </c>
      <c r="AF76" s="186">
        <f t="shared" ca="1" si="34"/>
        <v>0</v>
      </c>
      <c r="AG76" s="181">
        <f ca="1">IFERROR(__xludf.DUMMYFUNCTION("IMPORTRANGE(""https://docs.google.com/spreadsheets/d/1FbzMZY_f3MDiEuK7RpCQKrilJ_kpX0Wm7QBZ1L7EjIU/edit?usp=sharing"",""ชุมพร!J709"")"),0)</f>
        <v>0</v>
      </c>
      <c r="AH76" s="181">
        <f ca="1">IFERROR(__xludf.DUMMYFUNCTION("IMPORTRANGE(""https://docs.google.com/spreadsheets/d/1FbzMZY_f3MDiEuK7RpCQKrilJ_kpX0Wm7QBZ1L7EjIU/edit?usp=sharing"",""ชุมพร!J710"")"),0)</f>
        <v>0</v>
      </c>
      <c r="AI76" s="181">
        <f ca="1">IFERROR(__xludf.DUMMYFUNCTION("IMPORTRANGE(""https://docs.google.com/spreadsheets/d/1FbzMZY_f3MDiEuK7RpCQKrilJ_kpX0Wm7QBZ1L7EjIU/edit?usp=sharing"",""ชุมพร!J712"")"),0)</f>
        <v>0</v>
      </c>
      <c r="AJ76" s="181">
        <f ca="1">IFERROR(__xludf.DUMMYFUNCTION("IMPORTRANGE(""https://docs.google.com/spreadsheets/d/1FbzMZY_f3MDiEuK7RpCQKrilJ_kpX0Wm7QBZ1L7EjIU/edit?usp=sharing"",""ชุมพร!J713"")"),0)</f>
        <v>0</v>
      </c>
      <c r="AK76" s="181">
        <f ca="1">IFERROR(__xludf.DUMMYFUNCTION("IMPORTRANGE(""https://docs.google.com/spreadsheets/d/1FbzMZY_f3MDiEuK7RpCQKrilJ_kpX0Wm7QBZ1L7EjIU/edit?usp=sharing"",""ชุมพร!J714"")"),0)</f>
        <v>0</v>
      </c>
      <c r="AL76" s="181">
        <f ca="1">IFERROR(__xludf.DUMMYFUNCTION("IMPORTRANGE(""https://docs.google.com/spreadsheets/d/1FbzMZY_f3MDiEuK7RpCQKrilJ_kpX0Wm7QBZ1L7EjIU/edit?usp=sharing"",""ชุมพร!J715"")"),0)</f>
        <v>0</v>
      </c>
      <c r="AM76" s="181">
        <f ca="1">IFERROR(__xludf.DUMMYFUNCTION("IMPORTRANGE(""https://docs.google.com/spreadsheets/d/1FbzMZY_f3MDiEuK7RpCQKrilJ_kpX0Wm7QBZ1L7EjIU/edit?usp=sharing"",""ชุมพร!J716"")"),0)</f>
        <v>0</v>
      </c>
      <c r="AN76" s="181">
        <f ca="1">IFERROR(__xludf.DUMMYFUNCTION("IMPORTRANGE(""https://docs.google.com/spreadsheets/d/1FbzMZY_f3MDiEuK7RpCQKrilJ_kpX0Wm7QBZ1L7EjIU/edit?usp=sharing"",""ชุมพร!J717"")"),0)</f>
        <v>0</v>
      </c>
      <c r="AO76" s="181">
        <f ca="1">IFERROR(__xludf.DUMMYFUNCTION("IMPORTRANGE(""https://docs.google.com/spreadsheets/d/1FbzMZY_f3MDiEuK7RpCQKrilJ_kpX0Wm7QBZ1L7EjIU/edit?usp=sharing"",""ชุมพร!I720"")"),0)</f>
        <v>0</v>
      </c>
      <c r="AP76" s="181">
        <f ca="1">IFERROR(__xludf.DUMMYFUNCTION("IMPORTRANGE(""https://docs.google.com/spreadsheets/d/1FbzMZY_f3MDiEuK7RpCQKrilJ_kpX0Wm7QBZ1L7EjIU/edit?usp=sharing"",""ชุมพร!J718"")"),0)</f>
        <v>0</v>
      </c>
      <c r="AQ76" s="181">
        <f ca="1">IFERROR(__xludf.DUMMYFUNCTION("IMPORTRANGE(""https://docs.google.com/spreadsheets/d/1FbzMZY_f3MDiEuK7RpCQKrilJ_kpX0Wm7QBZ1L7EjIU/edit?usp=sharing"",""ชุมพร!J719"")"),0)</f>
        <v>0</v>
      </c>
      <c r="AR76" s="181">
        <f ca="1">IFERROR(__xludf.DUMMYFUNCTION("IMPORTRANGE(""https://docs.google.com/spreadsheets/d/1FbzMZY_f3MDiEuK7RpCQKrilJ_kpX0Wm7QBZ1L7EjIU/edit?usp=sharing"",""ชุมพร!J720"")"),0)</f>
        <v>0</v>
      </c>
      <c r="AS76" s="186">
        <f t="shared" ca="1" si="14"/>
        <v>0</v>
      </c>
      <c r="AT76" s="181">
        <f ca="1">IFERROR(__xludf.DUMMYFUNCTION("IMPORTRANGE(""https://docs.google.com/spreadsheets/d/1FbzMZY_f3MDiEuK7RpCQKrilJ_kpX0Wm7QBZ1L7EjIU/edit?usp=sharing"",""ชุมพร!I721"")"),0)</f>
        <v>0</v>
      </c>
      <c r="AU76" s="181">
        <f ca="1">IFERROR(__xludf.DUMMYFUNCTION("IMPORTRANGE(""https://docs.google.com/spreadsheets/d/1FbzMZY_f3MDiEuK7RpCQKrilJ_kpX0Wm7QBZ1L7EjIU/edit?usp=sharing"",""ชุมพร!I722"")"),0)</f>
        <v>0</v>
      </c>
      <c r="AV76" s="181">
        <f ca="1">IFERROR(__xludf.DUMMYFUNCTION("IMPORTRANGE(""https://docs.google.com/spreadsheets/d/1FbzMZY_f3MDiEuK7RpCQKrilJ_kpX0Wm7QBZ1L7EjIU/edit?usp=sharing"",""ชุมพร!J721"")"),0)</f>
        <v>0</v>
      </c>
      <c r="AW76" s="186">
        <f t="shared" ca="1" si="16"/>
        <v>0</v>
      </c>
      <c r="AX76" s="181">
        <f ca="1">IFERROR(__xludf.DUMMYFUNCTION("IMPORTRANGE(""https://docs.google.com/spreadsheets/d/1FbzMZY_f3MDiEuK7RpCQKrilJ_kpX0Wm7QBZ1L7EjIU/edit?usp=sharing"",""ชุมพร!J722"")"),0)</f>
        <v>0</v>
      </c>
      <c r="AY76" s="186">
        <f t="shared" ca="1" si="17"/>
        <v>0</v>
      </c>
      <c r="AZ76" s="181">
        <f ca="1">IFERROR(__xludf.DUMMYFUNCTION("IMPORTRANGE(""https://docs.google.com/spreadsheets/d/1FbzMZY_f3MDiEuK7RpCQKrilJ_kpX0Wm7QBZ1L7EjIU/edit?usp=sharing"",""ชุมพร!I723"")"),0)</f>
        <v>0</v>
      </c>
      <c r="BA76" s="181">
        <f ca="1">IFERROR(__xludf.DUMMYFUNCTION("IMPORTRANGE(""https://docs.google.com/spreadsheets/d/1FbzMZY_f3MDiEuK7RpCQKrilJ_kpX0Wm7QBZ1L7EjIU/edit?usp=sharing"",""ชุมพร!I725"")"),0)</f>
        <v>0</v>
      </c>
      <c r="BB76" s="181">
        <f ca="1">IFERROR(__xludf.DUMMYFUNCTION("IMPORTRANGE(""https://docs.google.com/spreadsheets/d/1FbzMZY_f3MDiEuK7RpCQKrilJ_kpX0Wm7QBZ1L7EjIU/edit?usp=sharing"",""ชุมพร!J723"")"),0)</f>
        <v>0</v>
      </c>
      <c r="BC76" s="181">
        <f ca="1">IFERROR(__xludf.DUMMYFUNCTION("IMPORTRANGE(""https://docs.google.com/spreadsheets/d/1FbzMZY_f3MDiEuK7RpCQKrilJ_kpX0Wm7QBZ1L7EjIU/edit?usp=sharing"",""ชุมพร!J724"")"),0)</f>
        <v>0</v>
      </c>
      <c r="BD76" s="181">
        <f ca="1">IFERROR(__xludf.DUMMYFUNCTION("IMPORTRANGE(""https://docs.google.com/spreadsheets/d/1FbzMZY_f3MDiEuK7RpCQKrilJ_kpX0Wm7QBZ1L7EjIU/edit?usp=sharing"",""ชุมพร!J725"")"),0)</f>
        <v>0</v>
      </c>
      <c r="BE76" s="181">
        <f ca="1">IFERROR(__xludf.DUMMYFUNCTION("IMPORTRANGE(""https://docs.google.com/spreadsheets/d/1FbzMZY_f3MDiEuK7RpCQKrilJ_kpX0Wm7QBZ1L7EjIU/edit?usp=sharing"",""ชุมพร!I726"")"),0)</f>
        <v>0</v>
      </c>
      <c r="BF76" s="181">
        <f ca="1">IFERROR(__xludf.DUMMYFUNCTION("IMPORTRANGE(""https://docs.google.com/spreadsheets/d/1FbzMZY_f3MDiEuK7RpCQKrilJ_kpX0Wm7QBZ1L7EjIU/edit?usp=sharing"",""ชุมพร!I728"")"),0)</f>
        <v>0</v>
      </c>
      <c r="BG76" s="181">
        <f ca="1">IFERROR(__xludf.DUMMYFUNCTION("IMPORTRANGE(""https://docs.google.com/spreadsheets/d/1FbzMZY_f3MDiEuK7RpCQKrilJ_kpX0Wm7QBZ1L7EjIU/edit?usp=sharing"",""ชุมพร!J726"")"),0)</f>
        <v>0</v>
      </c>
      <c r="BH76" s="181">
        <f ca="1">IFERROR(__xludf.DUMMYFUNCTION("IMPORTRANGE(""https://docs.google.com/spreadsheets/d/1FbzMZY_f3MDiEuK7RpCQKrilJ_kpX0Wm7QBZ1L7EjIU/edit?usp=sharing"",""ชุมพร!J727"")"),0)</f>
        <v>0</v>
      </c>
      <c r="BI76" s="181">
        <f ca="1">IFERROR(__xludf.DUMMYFUNCTION("IMPORTRANGE(""https://docs.google.com/spreadsheets/d/1FbzMZY_f3MDiEuK7RpCQKrilJ_kpX0Wm7QBZ1L7EjIU/edit?usp=sharing"",""ชุมพร!J728"")"),0)</f>
        <v>0</v>
      </c>
      <c r="BJ76" s="181">
        <f ca="1">IFERROR(__xludf.DUMMYFUNCTION("IMPORTRANGE(""https://docs.google.com/spreadsheets/d/1FbzMZY_f3MDiEuK7RpCQKrilJ_kpX0Wm7QBZ1L7EjIU/edit?usp=sharing"",""ชุมพร!I729"")"),0)</f>
        <v>0</v>
      </c>
      <c r="BK76" s="181">
        <f ca="1">IFERROR(__xludf.DUMMYFUNCTION("IMPORTRANGE(""https://docs.google.com/spreadsheets/d/1FbzMZY_f3MDiEuK7RpCQKrilJ_kpX0Wm7QBZ1L7EjIU/edit?usp=sharing"",""ชุมพร!J729"")"),0)</f>
        <v>0</v>
      </c>
      <c r="BL76" s="186">
        <f t="shared" ca="1" si="19"/>
        <v>0</v>
      </c>
      <c r="BM76" s="181">
        <f ca="1">IFERROR(__xludf.DUMMYFUNCTION("IMPORTRANGE(""https://docs.google.com/spreadsheets/d/1FbzMZY_f3MDiEuK7RpCQKrilJ_kpX0Wm7QBZ1L7EjIU/edit?usp=sharing"",""ชุมพร!J730"")"),0)</f>
        <v>0</v>
      </c>
      <c r="BN76" s="181">
        <f ca="1">IFERROR(__xludf.DUMMYFUNCTION("IMPORTRANGE(""https://docs.google.com/spreadsheets/d/1FbzMZY_f3MDiEuK7RpCQKrilJ_kpX0Wm7QBZ1L7EjIU/edit?usp=sharing"",""ชุมพร!J731"")"),0)</f>
        <v>0</v>
      </c>
      <c r="BO76" s="181">
        <f ca="1">IFERROR(__xludf.DUMMYFUNCTION("IMPORTRANGE(""https://docs.google.com/spreadsheets/d/1FbzMZY_f3MDiEuK7RpCQKrilJ_kpX0Wm7QBZ1L7EjIU/edit?usp=sharing"",""ชุมพร!J732"")"),0)</f>
        <v>0</v>
      </c>
      <c r="BP76" s="181">
        <f ca="1">IFERROR(__xludf.DUMMYFUNCTION("IMPORTRANGE(""https://docs.google.com/spreadsheets/d/1FbzMZY_f3MDiEuK7RpCQKrilJ_kpX0Wm7QBZ1L7EjIU/edit?usp=sharing"",""ชุมพร!J733"")"),0)</f>
        <v>0</v>
      </c>
      <c r="BQ76" s="181">
        <f ca="1">IFERROR(__xludf.DUMMYFUNCTION("IMPORTRANGE(""https://docs.google.com/spreadsheets/d/1FbzMZY_f3MDiEuK7RpCQKrilJ_kpX0Wm7QBZ1L7EjIU/edit?usp=sharing"",""ชุมพร!J734"")"),0)</f>
        <v>0</v>
      </c>
      <c r="BR76" s="181">
        <f ca="1">IFERROR(__xludf.DUMMYFUNCTION("IMPORTRANGE(""https://docs.google.com/spreadsheets/d/1FbzMZY_f3MDiEuK7RpCQKrilJ_kpX0Wm7QBZ1L7EjIU/edit?usp=sharing"",""ชุมพร!J735"")"),0)</f>
        <v>0</v>
      </c>
    </row>
    <row r="77" spans="1:70" ht="21" customHeight="1" x14ac:dyDescent="0.3">
      <c r="A77" s="178">
        <v>3</v>
      </c>
      <c r="B77" s="179" t="s">
        <v>94</v>
      </c>
      <c r="C77" s="180">
        <f t="shared" ca="1" si="82"/>
        <v>0</v>
      </c>
      <c r="D77" s="181">
        <f ca="1">IFERROR(__xludf.DUMMYFUNCTION("IMPORTRANGE(""https://docs.google.com/spreadsheets/d/1v5sN-00LrXuhBxw4dkh2GrG_z4l5oAqOdJRBCsUyMaM/edit?usp=sharing"",""ตรัง!L690"")"),0)</f>
        <v>0</v>
      </c>
      <c r="E77" s="187">
        <f ca="1">IFERROR(__xludf.DUMMYFUNCTION("IMPORTRANGE(""https://docs.google.com/spreadsheets/d/1v5sN-00LrXuhBxw4dkh2GrG_z4l5oAqOdJRBCsUyMaM/edit?usp=sharing"",""ตรัง!L697"")"),0)</f>
        <v>0</v>
      </c>
      <c r="F77" s="182">
        <f t="shared" ca="1" si="1"/>
        <v>0</v>
      </c>
      <c r="G77" s="183">
        <f t="shared" ca="1" si="2"/>
        <v>0</v>
      </c>
      <c r="H77" s="184">
        <f t="shared" ca="1" si="83"/>
        <v>0</v>
      </c>
      <c r="I77" s="187">
        <f ca="1">IFERROR(__xludf.DUMMYFUNCTION("IMPORTRANGE(""https://docs.google.com/spreadsheets/d/1v5sN-00LrXuhBxw4dkh2GrG_z4l5oAqOdJRBCsUyMaM/edit?usp=sharing"",""ตรัง!N691"")"),0)</f>
        <v>0</v>
      </c>
      <c r="J77" s="187">
        <f ca="1">IFERROR(__xludf.DUMMYFUNCTION("IMPORTRANGE(""https://docs.google.com/spreadsheets/d/1v5sN-00LrXuhBxw4dkh2GrG_z4l5oAqOdJRBCsUyMaM/edit?usp=sharing"",""ตรัง!N692"")"),0)</f>
        <v>0</v>
      </c>
      <c r="K77" s="187">
        <f ca="1">IFERROR(__xludf.DUMMYFUNCTION("IMPORTRANGE(""https://docs.google.com/spreadsheets/d/1v5sN-00LrXuhBxw4dkh2GrG_z4l5oAqOdJRBCsUyMaM/edit?usp=sharing"",""ตรัง!N693"")"),0)</f>
        <v>0</v>
      </c>
      <c r="L77" s="187">
        <f ca="1">IFERROR(__xludf.DUMMYFUNCTION("IMPORTRANGE(""https://docs.google.com/spreadsheets/d/1v5sN-00LrXuhBxw4dkh2GrG_z4l5oAqOdJRBCsUyMaM/edit?usp=sharing"",""ตรัง!N694"")"),0)</f>
        <v>0</v>
      </c>
      <c r="M77" s="185">
        <f ca="1">IFERROR(__xludf.DUMMYFUNCTION("IMPORTRANGE(""https://docs.google.com/spreadsheets/d/1v5sN-00LrXuhBxw4dkh2GrG_z4l5oAqOdJRBCsUyMaM/edit?usp=sharing"",""ตรัง!N697"")"),0)</f>
        <v>0</v>
      </c>
      <c r="N77" s="185">
        <f t="shared" ca="1" si="37"/>
        <v>0</v>
      </c>
      <c r="O77" s="181">
        <f ca="1">IFERROR(__xludf.DUMMYFUNCTION("IMPORTRANGE(""https://docs.google.com/spreadsheets/d/1v5sN-00LrXuhBxw4dkh2GrG_z4l5oAqOdJRBCsUyMaM/edit?usp=sharing"",""ตรัง!I699"")"),0)</f>
        <v>0</v>
      </c>
      <c r="P77" s="181">
        <f ca="1">IFERROR(__xludf.DUMMYFUNCTION("IMPORTRANGE(""https://docs.google.com/spreadsheets/d/1v5sN-00LrXuhBxw4dkh2GrG_z4l5oAqOdJRBCsUyMaM/edit?usp=sharing"",""ตรัง!J699"")"),0)</f>
        <v>0</v>
      </c>
      <c r="Q77" s="186">
        <f t="shared" ca="1" si="31"/>
        <v>0</v>
      </c>
      <c r="R77" s="181">
        <f ca="1">IFERROR(__xludf.DUMMYFUNCTION("IMPORTRANGE(""https://docs.google.com/spreadsheets/d/1v5sN-00LrXuhBxw4dkh2GrG_z4l5oAqOdJRBCsUyMaM/edit?usp=sharing"",""ตรัง!I700"")"),0)</f>
        <v>0</v>
      </c>
      <c r="S77" s="181">
        <f ca="1">IFERROR(__xludf.DUMMYFUNCTION("IMPORTRANGE(""https://docs.google.com/spreadsheets/d/1v5sN-00LrXuhBxw4dkh2GrG_z4l5oAqOdJRBCsUyMaM/edit?usp=sharing"",""ตรัง!J700"")"),0)</f>
        <v>0</v>
      </c>
      <c r="T77" s="186">
        <f t="shared" ca="1" si="32"/>
        <v>0</v>
      </c>
      <c r="U77" s="181">
        <f ca="1">IFERROR(__xludf.DUMMYFUNCTION("IMPORTRANGE(""https://docs.google.com/spreadsheets/d/1v5sN-00LrXuhBxw4dkh2GrG_z4l5oAqOdJRBCsUyMaM/edit?usp=sharing"",""ตรัง!I701"")"),0)</f>
        <v>0</v>
      </c>
      <c r="V77" s="181">
        <f ca="1">IFERROR(__xludf.DUMMYFUNCTION("IMPORTRANGE(""https://docs.google.com/spreadsheets/d/1v5sN-00LrXuhBxw4dkh2GrG_z4l5oAqOdJRBCsUyMaM/edit?usp=sharing"",""ตรัง!J701"")"),0)</f>
        <v>0</v>
      </c>
      <c r="W77" s="186">
        <f t="shared" ca="1" si="33"/>
        <v>0</v>
      </c>
      <c r="X77" s="186">
        <f ca="1">IFERROR(__xludf.DUMMYFUNCTION("IMPORTRANGE(""https://docs.google.com/spreadsheets/d/1v5sN-00LrXuhBxw4dkh2GrG_z4l5oAqOdJRBCsUyMaM/edit?usp=sharing"",""ตรัง!J702"")"),0)</f>
        <v>0</v>
      </c>
      <c r="Y77" s="186">
        <f ca="1">IFERROR(__xludf.DUMMYFUNCTION("IMPORTRANGE(""https://docs.google.com/spreadsheets/d/1v5sN-00LrXuhBxw4dkh2GrG_z4l5oAqOdJRBCsUyMaM/edit?usp=sharing"",""ตรัง!J703"")"),0)</f>
        <v>0</v>
      </c>
      <c r="Z77" s="186">
        <f ca="1">IFERROR(__xludf.DUMMYFUNCTION("IMPORTRANGE(""https://docs.google.com/spreadsheets/d/1v5sN-00LrXuhBxw4dkh2GrG_z4l5oAqOdJRBCsUyMaM/edit?usp=sharing"",""ตรัง!J704"")"),0)</f>
        <v>0</v>
      </c>
      <c r="AA77" s="186">
        <f ca="1">IFERROR(__xludf.DUMMYFUNCTION("IMPORTRANGE(""https://docs.google.com/spreadsheets/d/1v5sN-00LrXuhBxw4dkh2GrG_z4l5oAqOdJRBCsUyMaM/edit?usp=sharing"",""ตรัง!J705"")"),0)</f>
        <v>0</v>
      </c>
      <c r="AB77" s="186">
        <f ca="1">IFERROR(__xludf.DUMMYFUNCTION("IMPORTRANGE(""https://docs.google.com/spreadsheets/d/1v5sN-00LrXuhBxw4dkh2GrG_z4l5oAqOdJRBCsUyMaM/edit?usp=sharing"",""ตรัง!J706"")"),0)</f>
        <v>0</v>
      </c>
      <c r="AC77" s="186">
        <f ca="1">IFERROR(__xludf.DUMMYFUNCTION("IMPORTRANGE(""https://docs.google.com/spreadsheets/d/1v5sN-00LrXuhBxw4dkh2GrG_z4l5oAqOdJRBCsUyMaM/edit?usp=sharing"",""ตรัง!J707"")"),0)</f>
        <v>0</v>
      </c>
      <c r="AD77" s="181">
        <f ca="1">IFERROR(__xludf.DUMMYFUNCTION("IMPORTRANGE(""https://docs.google.com/spreadsheets/d/1v5sN-00LrXuhBxw4dkh2GrG_z4l5oAqOdJRBCsUyMaM/edit?usp=sharing"",""ตรัง!I708"")"),0)</f>
        <v>0</v>
      </c>
      <c r="AE77" s="181">
        <f ca="1">IFERROR(__xludf.DUMMYFUNCTION("IMPORTRANGE(""https://docs.google.com/spreadsheets/d/1v5sN-00LrXuhBxw4dkh2GrG_z4l5oAqOdJRBCsUyMaM/edit?usp=sharing"",""ตรัง!J708"")"),0)</f>
        <v>0</v>
      </c>
      <c r="AF77" s="186">
        <f t="shared" ca="1" si="34"/>
        <v>0</v>
      </c>
      <c r="AG77" s="181">
        <f ca="1">IFERROR(__xludf.DUMMYFUNCTION("IMPORTRANGE(""https://docs.google.com/spreadsheets/d/1v5sN-00LrXuhBxw4dkh2GrG_z4l5oAqOdJRBCsUyMaM/edit?usp=sharing"",""ตรัง!J709"")"),0)</f>
        <v>0</v>
      </c>
      <c r="AH77" s="181">
        <f ca="1">IFERROR(__xludf.DUMMYFUNCTION("IMPORTRANGE(""https://docs.google.com/spreadsheets/d/1v5sN-00LrXuhBxw4dkh2GrG_z4l5oAqOdJRBCsUyMaM/edit?usp=sharing"",""ตรัง!J710"")"),0)</f>
        <v>0</v>
      </c>
      <c r="AI77" s="181">
        <f ca="1">IFERROR(__xludf.DUMMYFUNCTION("IMPORTRANGE(""https://docs.google.com/spreadsheets/d/1v5sN-00LrXuhBxw4dkh2GrG_z4l5oAqOdJRBCsUyMaM/edit?usp=sharing"",""ตรัง!J712"")"),0)</f>
        <v>0</v>
      </c>
      <c r="AJ77" s="181">
        <f ca="1">IFERROR(__xludf.DUMMYFUNCTION("IMPORTRANGE(""https://docs.google.com/spreadsheets/d/1v5sN-00LrXuhBxw4dkh2GrG_z4l5oAqOdJRBCsUyMaM/edit?usp=sharing"",""ตรัง!J713"")"),0)</f>
        <v>0</v>
      </c>
      <c r="AK77" s="181">
        <f ca="1">IFERROR(__xludf.DUMMYFUNCTION("IMPORTRANGE(""https://docs.google.com/spreadsheets/d/1v5sN-00LrXuhBxw4dkh2GrG_z4l5oAqOdJRBCsUyMaM/edit?usp=sharing"",""ตรัง!J714"")"),0)</f>
        <v>0</v>
      </c>
      <c r="AL77" s="181">
        <f ca="1">IFERROR(__xludf.DUMMYFUNCTION("IMPORTRANGE(""https://docs.google.com/spreadsheets/d/1v5sN-00LrXuhBxw4dkh2GrG_z4l5oAqOdJRBCsUyMaM/edit?usp=sharing"",""ตรัง!J715"")"),0)</f>
        <v>0</v>
      </c>
      <c r="AM77" s="181">
        <f ca="1">IFERROR(__xludf.DUMMYFUNCTION("IMPORTRANGE(""https://docs.google.com/spreadsheets/d/1v5sN-00LrXuhBxw4dkh2GrG_z4l5oAqOdJRBCsUyMaM/edit?usp=sharing"",""ตรัง!J716"")"),0)</f>
        <v>0</v>
      </c>
      <c r="AN77" s="181">
        <f ca="1">IFERROR(__xludf.DUMMYFUNCTION("IMPORTRANGE(""https://docs.google.com/spreadsheets/d/1v5sN-00LrXuhBxw4dkh2GrG_z4l5oAqOdJRBCsUyMaM/edit?usp=sharing"",""ตรัง!J717"")"),0)</f>
        <v>0</v>
      </c>
      <c r="AO77" s="181">
        <f ca="1">IFERROR(__xludf.DUMMYFUNCTION("IMPORTRANGE(""https://docs.google.com/spreadsheets/d/1v5sN-00LrXuhBxw4dkh2GrG_z4l5oAqOdJRBCsUyMaM/edit?usp=sharing"",""ตรัง!I720"")"),0)</f>
        <v>0</v>
      </c>
      <c r="AP77" s="181">
        <f ca="1">IFERROR(__xludf.DUMMYFUNCTION("IMPORTRANGE(""https://docs.google.com/spreadsheets/d/1v5sN-00LrXuhBxw4dkh2GrG_z4l5oAqOdJRBCsUyMaM/edit?usp=sharing"",""ตรัง!J718"")"),0)</f>
        <v>0</v>
      </c>
      <c r="AQ77" s="181">
        <f ca="1">IFERROR(__xludf.DUMMYFUNCTION("IMPORTRANGE(""https://docs.google.com/spreadsheets/d/1v5sN-00LrXuhBxw4dkh2GrG_z4l5oAqOdJRBCsUyMaM/edit?usp=sharing"",""ตรัง!J719"")"),0)</f>
        <v>0</v>
      </c>
      <c r="AR77" s="181">
        <f ca="1">IFERROR(__xludf.DUMMYFUNCTION("IMPORTRANGE(""https://docs.google.com/spreadsheets/d/1v5sN-00LrXuhBxw4dkh2GrG_z4l5oAqOdJRBCsUyMaM/edit?usp=sharing"",""ตรัง!J720"")"),0)</f>
        <v>0</v>
      </c>
      <c r="AS77" s="186">
        <f t="shared" ca="1" si="14"/>
        <v>0</v>
      </c>
      <c r="AT77" s="181">
        <f ca="1">IFERROR(__xludf.DUMMYFUNCTION("IMPORTRANGE(""https://docs.google.com/spreadsheets/d/1v5sN-00LrXuhBxw4dkh2GrG_z4l5oAqOdJRBCsUyMaM/edit?usp=sharing"",""ตรัง!I721"")"),0)</f>
        <v>0</v>
      </c>
      <c r="AU77" s="181">
        <f ca="1">IFERROR(__xludf.DUMMYFUNCTION("IMPORTRANGE(""https://docs.google.com/spreadsheets/d/1v5sN-00LrXuhBxw4dkh2GrG_z4l5oAqOdJRBCsUyMaM/edit?usp=sharing"",""ตรัง!I722"")"),0)</f>
        <v>0</v>
      </c>
      <c r="AV77" s="181">
        <f ca="1">IFERROR(__xludf.DUMMYFUNCTION("IMPORTRANGE(""https://docs.google.com/spreadsheets/d/1v5sN-00LrXuhBxw4dkh2GrG_z4l5oAqOdJRBCsUyMaM/edit?usp=sharing"",""ตรัง!J721"")"),0)</f>
        <v>0</v>
      </c>
      <c r="AW77" s="186">
        <f t="shared" ca="1" si="16"/>
        <v>0</v>
      </c>
      <c r="AX77" s="181">
        <f ca="1">IFERROR(__xludf.DUMMYFUNCTION("IMPORTRANGE(""https://docs.google.com/spreadsheets/d/1v5sN-00LrXuhBxw4dkh2GrG_z4l5oAqOdJRBCsUyMaM/edit?usp=sharing"",""ตรัง!J722"")"),0)</f>
        <v>0</v>
      </c>
      <c r="AY77" s="186">
        <f t="shared" ca="1" si="17"/>
        <v>0</v>
      </c>
      <c r="AZ77" s="181">
        <f ca="1">IFERROR(__xludf.DUMMYFUNCTION("IMPORTRANGE(""https://docs.google.com/spreadsheets/d/1v5sN-00LrXuhBxw4dkh2GrG_z4l5oAqOdJRBCsUyMaM/edit?usp=sharing"",""ตรัง!I723"")"),0)</f>
        <v>0</v>
      </c>
      <c r="BA77" s="181">
        <f ca="1">IFERROR(__xludf.DUMMYFUNCTION("IMPORTRANGE(""https://docs.google.com/spreadsheets/d/1v5sN-00LrXuhBxw4dkh2GrG_z4l5oAqOdJRBCsUyMaM/edit?usp=sharing"",""ตรัง!I725"")"),0)</f>
        <v>0</v>
      </c>
      <c r="BB77" s="181">
        <f ca="1">IFERROR(__xludf.DUMMYFUNCTION("IMPORTRANGE(""https://docs.google.com/spreadsheets/d/1v5sN-00LrXuhBxw4dkh2GrG_z4l5oAqOdJRBCsUyMaM/edit?usp=sharing"",""ตรัง!J723"")"),0)</f>
        <v>0</v>
      </c>
      <c r="BC77" s="181">
        <f ca="1">IFERROR(__xludf.DUMMYFUNCTION("IMPORTRANGE(""https://docs.google.com/spreadsheets/d/1v5sN-00LrXuhBxw4dkh2GrG_z4l5oAqOdJRBCsUyMaM/edit?usp=sharing"",""ตรัง!J724"")"),0)</f>
        <v>0</v>
      </c>
      <c r="BD77" s="181">
        <f ca="1">IFERROR(__xludf.DUMMYFUNCTION("IMPORTRANGE(""https://docs.google.com/spreadsheets/d/1v5sN-00LrXuhBxw4dkh2GrG_z4l5oAqOdJRBCsUyMaM/edit?usp=sharing"",""ตรัง!J725"")"),0)</f>
        <v>0</v>
      </c>
      <c r="BE77" s="181">
        <f ca="1">IFERROR(__xludf.DUMMYFUNCTION("IMPORTRANGE(""https://docs.google.com/spreadsheets/d/1v5sN-00LrXuhBxw4dkh2GrG_z4l5oAqOdJRBCsUyMaM/edit?usp=sharing"",""ตรัง!I726"")"),0)</f>
        <v>0</v>
      </c>
      <c r="BF77" s="181">
        <f ca="1">IFERROR(__xludf.DUMMYFUNCTION("IMPORTRANGE(""https://docs.google.com/spreadsheets/d/1v5sN-00LrXuhBxw4dkh2GrG_z4l5oAqOdJRBCsUyMaM/edit?usp=sharing"",""ตรัง!I728"")"),0)</f>
        <v>0</v>
      </c>
      <c r="BG77" s="181">
        <f ca="1">IFERROR(__xludf.DUMMYFUNCTION("IMPORTRANGE(""https://docs.google.com/spreadsheets/d/1v5sN-00LrXuhBxw4dkh2GrG_z4l5oAqOdJRBCsUyMaM/edit?usp=sharing"",""ตรัง!J726"")"),0)</f>
        <v>0</v>
      </c>
      <c r="BH77" s="181">
        <f ca="1">IFERROR(__xludf.DUMMYFUNCTION("IMPORTRANGE(""https://docs.google.com/spreadsheets/d/1v5sN-00LrXuhBxw4dkh2GrG_z4l5oAqOdJRBCsUyMaM/edit?usp=sharing"",""ตรัง!J727"")"),0)</f>
        <v>0</v>
      </c>
      <c r="BI77" s="181">
        <f ca="1">IFERROR(__xludf.DUMMYFUNCTION("IMPORTRANGE(""https://docs.google.com/spreadsheets/d/1v5sN-00LrXuhBxw4dkh2GrG_z4l5oAqOdJRBCsUyMaM/edit?usp=sharing"",""ตรัง!J728"")"),0)</f>
        <v>0</v>
      </c>
      <c r="BJ77" s="181">
        <f ca="1">IFERROR(__xludf.DUMMYFUNCTION("IMPORTRANGE(""https://docs.google.com/spreadsheets/d/1v5sN-00LrXuhBxw4dkh2GrG_z4l5oAqOdJRBCsUyMaM/edit?usp=sharing"",""ตรัง!I729"")"),0)</f>
        <v>0</v>
      </c>
      <c r="BK77" s="181">
        <f ca="1">IFERROR(__xludf.DUMMYFUNCTION("IMPORTRANGE(""https://docs.google.com/spreadsheets/d/1v5sN-00LrXuhBxw4dkh2GrG_z4l5oAqOdJRBCsUyMaM/edit?usp=sharing"",""ตรัง!J729"")"),0)</f>
        <v>0</v>
      </c>
      <c r="BL77" s="186">
        <f t="shared" ca="1" si="19"/>
        <v>0</v>
      </c>
      <c r="BM77" s="181">
        <f ca="1">IFERROR(__xludf.DUMMYFUNCTION("IMPORTRANGE(""https://docs.google.com/spreadsheets/d/1v5sN-00LrXuhBxw4dkh2GrG_z4l5oAqOdJRBCsUyMaM/edit?usp=sharing"",""ตรัง!J730"")"),0)</f>
        <v>0</v>
      </c>
      <c r="BN77" s="181">
        <f ca="1">IFERROR(__xludf.DUMMYFUNCTION("IMPORTRANGE(""https://docs.google.com/spreadsheets/d/1v5sN-00LrXuhBxw4dkh2GrG_z4l5oAqOdJRBCsUyMaM/edit?usp=sharing"",""ตรัง!J731"")"),0)</f>
        <v>0</v>
      </c>
      <c r="BO77" s="181">
        <f ca="1">IFERROR(__xludf.DUMMYFUNCTION("IMPORTRANGE(""https://docs.google.com/spreadsheets/d/1v5sN-00LrXuhBxw4dkh2GrG_z4l5oAqOdJRBCsUyMaM/edit?usp=sharing"",""ตรัง!J732"")"),0)</f>
        <v>0</v>
      </c>
      <c r="BP77" s="181">
        <f ca="1">IFERROR(__xludf.DUMMYFUNCTION("IMPORTRANGE(""https://docs.google.com/spreadsheets/d/1v5sN-00LrXuhBxw4dkh2GrG_z4l5oAqOdJRBCsUyMaM/edit?usp=sharing"",""ตรัง!J733"")"),0)</f>
        <v>0</v>
      </c>
      <c r="BQ77" s="181">
        <f ca="1">IFERROR(__xludf.DUMMYFUNCTION("IMPORTRANGE(""https://docs.google.com/spreadsheets/d/1v5sN-00LrXuhBxw4dkh2GrG_z4l5oAqOdJRBCsUyMaM/edit?usp=sharing"",""ตรัง!J734"")"),0)</f>
        <v>0</v>
      </c>
      <c r="BR77" s="181">
        <f ca="1">IFERROR(__xludf.DUMMYFUNCTION("IMPORTRANGE(""https://docs.google.com/spreadsheets/d/1v5sN-00LrXuhBxw4dkh2GrG_z4l5oAqOdJRBCsUyMaM/edit?usp=sharing"",""ตรัง!J735"")"),0)</f>
        <v>0</v>
      </c>
    </row>
    <row r="78" spans="1:70" ht="21" customHeight="1" x14ac:dyDescent="0.3">
      <c r="A78" s="178">
        <v>4</v>
      </c>
      <c r="B78" s="179" t="s">
        <v>95</v>
      </c>
      <c r="C78" s="180">
        <f t="shared" ca="1" si="82"/>
        <v>0</v>
      </c>
      <c r="D78" s="181">
        <f ca="1">IFERROR(__xludf.DUMMYFUNCTION("IMPORTRANGE(""https://docs.google.com/spreadsheets/d/1T5rRTzFc79aSIvqnzkZNvwPstq829QYz_xALlO1Z0s8/edit?usp=sharing"",""นครศรีธรรมราช!L690"")"),0)</f>
        <v>0</v>
      </c>
      <c r="E78" s="187">
        <f ca="1">IFERROR(__xludf.DUMMYFUNCTION("IMPORTRANGE(""https://docs.google.com/spreadsheets/d/1T5rRTzFc79aSIvqnzkZNvwPstq829QYz_xALlO1Z0s8/edit?usp=sharing"",""นครศรีธรรมราช!L697"")"),0)</f>
        <v>0</v>
      </c>
      <c r="F78" s="182">
        <f t="shared" ca="1" si="1"/>
        <v>0</v>
      </c>
      <c r="G78" s="183">
        <f t="shared" ca="1" si="2"/>
        <v>0</v>
      </c>
      <c r="H78" s="184">
        <f t="shared" ca="1" si="83"/>
        <v>0</v>
      </c>
      <c r="I78" s="187">
        <f ca="1">IFERROR(__xludf.DUMMYFUNCTION("IMPORTRANGE(""https://docs.google.com/spreadsheets/d/1T5rRTzFc79aSIvqnzkZNvwPstq829QYz_xALlO1Z0s8/edit?usp=sharing"",""นครศรีธรรมราช!N691"")"),0)</f>
        <v>0</v>
      </c>
      <c r="J78" s="187">
        <f ca="1">IFERROR(__xludf.DUMMYFUNCTION("IMPORTRANGE(""https://docs.google.com/spreadsheets/d/1T5rRTzFc79aSIvqnzkZNvwPstq829QYz_xALlO1Z0s8/edit?usp=sharing"",""นครศรีธรรมราช!N692"")"),0)</f>
        <v>0</v>
      </c>
      <c r="K78" s="187">
        <f ca="1">IFERROR(__xludf.DUMMYFUNCTION("IMPORTRANGE(""https://docs.google.com/spreadsheets/d/1T5rRTzFc79aSIvqnzkZNvwPstq829QYz_xALlO1Z0s8/edit?usp=sharing"",""นครศรีธรรมราช!N693"")"),0)</f>
        <v>0</v>
      </c>
      <c r="L78" s="187">
        <f ca="1">IFERROR(__xludf.DUMMYFUNCTION("IMPORTRANGE(""https://docs.google.com/spreadsheets/d/1T5rRTzFc79aSIvqnzkZNvwPstq829QYz_xALlO1Z0s8/edit?usp=sharing"",""นครศรีธรรมราช!N694"")"),0)</f>
        <v>0</v>
      </c>
      <c r="M78" s="185">
        <f ca="1">IFERROR(__xludf.DUMMYFUNCTION("IMPORTRANGE(""https://docs.google.com/spreadsheets/d/1T5rRTzFc79aSIvqnzkZNvwPstq829QYz_xALlO1Z0s8/edit?usp=sharing"",""นครศรีธรรมราช!N697"")"),0)</f>
        <v>0</v>
      </c>
      <c r="N78" s="185">
        <f t="shared" ca="1" si="37"/>
        <v>0</v>
      </c>
      <c r="O78" s="181">
        <f ca="1">IFERROR(__xludf.DUMMYFUNCTION("IMPORTRANGE(""https://docs.google.com/spreadsheets/d/1T5rRTzFc79aSIvqnzkZNvwPstq829QYz_xALlO1Z0s8/edit?usp=sharing"",""นครศรีธรรมราช!I699"")"),0)</f>
        <v>0</v>
      </c>
      <c r="P78" s="181">
        <f ca="1">IFERROR(__xludf.DUMMYFUNCTION("IMPORTRANGE(""https://docs.google.com/spreadsheets/d/1T5rRTzFc79aSIvqnzkZNvwPstq829QYz_xALlO1Z0s8/edit?usp=sharing"",""นครศรีธรรมราช!J699"")"),0)</f>
        <v>0</v>
      </c>
      <c r="Q78" s="186">
        <f t="shared" ca="1" si="31"/>
        <v>0</v>
      </c>
      <c r="R78" s="181">
        <f ca="1">IFERROR(__xludf.DUMMYFUNCTION("IMPORTRANGE(""https://docs.google.com/spreadsheets/d/1T5rRTzFc79aSIvqnzkZNvwPstq829QYz_xALlO1Z0s8/edit?usp=sharing"",""นครศรีธรรมราช!I700"")"),0)</f>
        <v>0</v>
      </c>
      <c r="S78" s="181">
        <f ca="1">IFERROR(__xludf.DUMMYFUNCTION("IMPORTRANGE(""https://docs.google.com/spreadsheets/d/1T5rRTzFc79aSIvqnzkZNvwPstq829QYz_xALlO1Z0s8/edit?usp=sharing"",""นครศรีธรรมราช!J700"")"),0)</f>
        <v>0</v>
      </c>
      <c r="T78" s="186">
        <f t="shared" ca="1" si="32"/>
        <v>0</v>
      </c>
      <c r="U78" s="181">
        <f ca="1">IFERROR(__xludf.DUMMYFUNCTION("IMPORTRANGE(""https://docs.google.com/spreadsheets/d/1T5rRTzFc79aSIvqnzkZNvwPstq829QYz_xALlO1Z0s8/edit?usp=sharing"",""นครศรีธรรมราช!I701"")"),0)</f>
        <v>0</v>
      </c>
      <c r="V78" s="181">
        <f ca="1">IFERROR(__xludf.DUMMYFUNCTION("IMPORTRANGE(""https://docs.google.com/spreadsheets/d/1T5rRTzFc79aSIvqnzkZNvwPstq829QYz_xALlO1Z0s8/edit?usp=sharing"",""นครศรีธรรมราช!J701"")"),0)</f>
        <v>0</v>
      </c>
      <c r="W78" s="186">
        <f t="shared" ca="1" si="33"/>
        <v>0</v>
      </c>
      <c r="X78" s="186">
        <f ca="1">IFERROR(__xludf.DUMMYFUNCTION("IMPORTRANGE(""https://docs.google.com/spreadsheets/d/1T5rRTzFc79aSIvqnzkZNvwPstq829QYz_xALlO1Z0s8/edit?usp=sharing"",""นครศรีธรรมราช!J702"")"),0)</f>
        <v>0</v>
      </c>
      <c r="Y78" s="186">
        <f ca="1">IFERROR(__xludf.DUMMYFUNCTION("IMPORTRANGE(""https://docs.google.com/spreadsheets/d/1T5rRTzFc79aSIvqnzkZNvwPstq829QYz_xALlO1Z0s8/edit?usp=sharing"",""นครศรีธรรมราช!J703"")"),0)</f>
        <v>0</v>
      </c>
      <c r="Z78" s="186">
        <f ca="1">IFERROR(__xludf.DUMMYFUNCTION("IMPORTRANGE(""https://docs.google.com/spreadsheets/d/1T5rRTzFc79aSIvqnzkZNvwPstq829QYz_xALlO1Z0s8/edit?usp=sharing"",""นครศรีธรรมราช!J704"")"),0)</f>
        <v>0</v>
      </c>
      <c r="AA78" s="186">
        <f ca="1">IFERROR(__xludf.DUMMYFUNCTION("IMPORTRANGE(""https://docs.google.com/spreadsheets/d/1T5rRTzFc79aSIvqnzkZNvwPstq829QYz_xALlO1Z0s8/edit?usp=sharing"",""นครศรีธรรมราช!J705"")"),0)</f>
        <v>0</v>
      </c>
      <c r="AB78" s="186">
        <f ca="1">IFERROR(__xludf.DUMMYFUNCTION("IMPORTRANGE(""https://docs.google.com/spreadsheets/d/1T5rRTzFc79aSIvqnzkZNvwPstq829QYz_xALlO1Z0s8/edit?usp=sharing"",""นครศรีธรรมราช!J706"")"),0)</f>
        <v>0</v>
      </c>
      <c r="AC78" s="186">
        <f ca="1">IFERROR(__xludf.DUMMYFUNCTION("IMPORTRANGE(""https://docs.google.com/spreadsheets/d/1T5rRTzFc79aSIvqnzkZNvwPstq829QYz_xALlO1Z0s8/edit?usp=sharing"",""นครศรีธรรมราช!J707"")"),0)</f>
        <v>0</v>
      </c>
      <c r="AD78" s="181">
        <f ca="1">IFERROR(__xludf.DUMMYFUNCTION("IMPORTRANGE(""https://docs.google.com/spreadsheets/d/1T5rRTzFc79aSIvqnzkZNvwPstq829QYz_xALlO1Z0s8/edit?usp=sharing"",""นครศรีธรรมราช!I708"")"),0)</f>
        <v>0</v>
      </c>
      <c r="AE78" s="181">
        <f ca="1">IFERROR(__xludf.DUMMYFUNCTION("IMPORTRANGE(""https://docs.google.com/spreadsheets/d/1T5rRTzFc79aSIvqnzkZNvwPstq829QYz_xALlO1Z0s8/edit?usp=sharing"",""นครศรีธรรมราช!J708"")"),0)</f>
        <v>0</v>
      </c>
      <c r="AF78" s="186">
        <f t="shared" ca="1" si="34"/>
        <v>0</v>
      </c>
      <c r="AG78" s="181">
        <f ca="1">IFERROR(__xludf.DUMMYFUNCTION("IMPORTRANGE(""https://docs.google.com/spreadsheets/d/1T5rRTzFc79aSIvqnzkZNvwPstq829QYz_xALlO1Z0s8/edit?usp=sharing"",""นครศรีธรรมราช!J709"")"),0)</f>
        <v>0</v>
      </c>
      <c r="AH78" s="181">
        <f ca="1">IFERROR(__xludf.DUMMYFUNCTION("IMPORTRANGE(""https://docs.google.com/spreadsheets/d/1T5rRTzFc79aSIvqnzkZNvwPstq829QYz_xALlO1Z0s8/edit?usp=sharing"",""นครศรีธรรมราช!J710"")"),0)</f>
        <v>0</v>
      </c>
      <c r="AI78" s="181">
        <f ca="1">IFERROR(__xludf.DUMMYFUNCTION("IMPORTRANGE(""https://docs.google.com/spreadsheets/d/1T5rRTzFc79aSIvqnzkZNvwPstq829QYz_xALlO1Z0s8/edit?usp=sharing"",""นครศรีธรรมราช!J712"")"),0)</f>
        <v>0</v>
      </c>
      <c r="AJ78" s="181">
        <f ca="1">IFERROR(__xludf.DUMMYFUNCTION("IMPORTRANGE(""https://docs.google.com/spreadsheets/d/1T5rRTzFc79aSIvqnzkZNvwPstq829QYz_xALlO1Z0s8/edit?usp=sharing"",""นครศรีธรรมราช!J713"")"),0)</f>
        <v>0</v>
      </c>
      <c r="AK78" s="181">
        <f ca="1">IFERROR(__xludf.DUMMYFUNCTION("IMPORTRANGE(""https://docs.google.com/spreadsheets/d/1T5rRTzFc79aSIvqnzkZNvwPstq829QYz_xALlO1Z0s8/edit?usp=sharing"",""นครศรีธรรมราช!J714"")"),0)</f>
        <v>0</v>
      </c>
      <c r="AL78" s="181">
        <f ca="1">IFERROR(__xludf.DUMMYFUNCTION("IMPORTRANGE(""https://docs.google.com/spreadsheets/d/1T5rRTzFc79aSIvqnzkZNvwPstq829QYz_xALlO1Z0s8/edit?usp=sharing"",""นครศรีธรรมราช!J715"")"),0)</f>
        <v>0</v>
      </c>
      <c r="AM78" s="181">
        <f ca="1">IFERROR(__xludf.DUMMYFUNCTION("IMPORTRANGE(""https://docs.google.com/spreadsheets/d/1T5rRTzFc79aSIvqnzkZNvwPstq829QYz_xALlO1Z0s8/edit?usp=sharing"",""นครศรีธรรมราช!J716"")"),0)</f>
        <v>0</v>
      </c>
      <c r="AN78" s="181">
        <f ca="1">IFERROR(__xludf.DUMMYFUNCTION("IMPORTRANGE(""https://docs.google.com/spreadsheets/d/1T5rRTzFc79aSIvqnzkZNvwPstq829QYz_xALlO1Z0s8/edit?usp=sharing"",""นครศรีธรรมราช!J717"")"),0)</f>
        <v>0</v>
      </c>
      <c r="AO78" s="181">
        <f ca="1">IFERROR(__xludf.DUMMYFUNCTION("IMPORTRANGE(""https://docs.google.com/spreadsheets/d/1T5rRTzFc79aSIvqnzkZNvwPstq829QYz_xALlO1Z0s8/edit?usp=sharing"",""นครศรีธรรมราช!I720"")"),0)</f>
        <v>0</v>
      </c>
      <c r="AP78" s="181">
        <f ca="1">IFERROR(__xludf.DUMMYFUNCTION("IMPORTRANGE(""https://docs.google.com/spreadsheets/d/1T5rRTzFc79aSIvqnzkZNvwPstq829QYz_xALlO1Z0s8/edit?usp=sharing"",""นครศรีธรรมราช!J718"")"),0)</f>
        <v>0</v>
      </c>
      <c r="AQ78" s="181">
        <f ca="1">IFERROR(__xludf.DUMMYFUNCTION("IMPORTRANGE(""https://docs.google.com/spreadsheets/d/1T5rRTzFc79aSIvqnzkZNvwPstq829QYz_xALlO1Z0s8/edit?usp=sharing"",""นครศรีธรรมราช!J719"")"),0)</f>
        <v>0</v>
      </c>
      <c r="AR78" s="181">
        <f ca="1">IFERROR(__xludf.DUMMYFUNCTION("IMPORTRANGE(""https://docs.google.com/spreadsheets/d/1T5rRTzFc79aSIvqnzkZNvwPstq829QYz_xALlO1Z0s8/edit?usp=sharing"",""นครศรีธรรมราช!J720"")"),0)</f>
        <v>0</v>
      </c>
      <c r="AS78" s="186">
        <f t="shared" ca="1" si="14"/>
        <v>0</v>
      </c>
      <c r="AT78" s="181">
        <f ca="1">IFERROR(__xludf.DUMMYFUNCTION("IMPORTRANGE(""https://docs.google.com/spreadsheets/d/1T5rRTzFc79aSIvqnzkZNvwPstq829QYz_xALlO1Z0s8/edit?usp=sharing"",""นครศรีธรรมราช!I721"")"),0)</f>
        <v>0</v>
      </c>
      <c r="AU78" s="181">
        <f ca="1">IFERROR(__xludf.DUMMYFUNCTION("IMPORTRANGE(""https://docs.google.com/spreadsheets/d/1T5rRTzFc79aSIvqnzkZNvwPstq829QYz_xALlO1Z0s8/edit?usp=sharing"",""นครศรีธรรมราช!I722"")"),0)</f>
        <v>0</v>
      </c>
      <c r="AV78" s="181">
        <f ca="1">IFERROR(__xludf.DUMMYFUNCTION("IMPORTRANGE(""https://docs.google.com/spreadsheets/d/1T5rRTzFc79aSIvqnzkZNvwPstq829QYz_xALlO1Z0s8/edit?usp=sharing"",""นครศรีธรรมราช!J721"")"),0)</f>
        <v>0</v>
      </c>
      <c r="AW78" s="186">
        <f t="shared" ca="1" si="16"/>
        <v>0</v>
      </c>
      <c r="AX78" s="181">
        <f ca="1">IFERROR(__xludf.DUMMYFUNCTION("IMPORTRANGE(""https://docs.google.com/spreadsheets/d/1T5rRTzFc79aSIvqnzkZNvwPstq829QYz_xALlO1Z0s8/edit?usp=sharing"",""นครศรีธรรมราช!J722"")"),0)</f>
        <v>0</v>
      </c>
      <c r="AY78" s="186">
        <f t="shared" ca="1" si="17"/>
        <v>0</v>
      </c>
      <c r="AZ78" s="181">
        <f ca="1">IFERROR(__xludf.DUMMYFUNCTION("IMPORTRANGE(""https://docs.google.com/spreadsheets/d/1T5rRTzFc79aSIvqnzkZNvwPstq829QYz_xALlO1Z0s8/edit?usp=sharing"",""นครศรีธรรมราช!I723"")"),0)</f>
        <v>0</v>
      </c>
      <c r="BA78" s="181">
        <f ca="1">IFERROR(__xludf.DUMMYFUNCTION("IMPORTRANGE(""https://docs.google.com/spreadsheets/d/1T5rRTzFc79aSIvqnzkZNvwPstq829QYz_xALlO1Z0s8/edit?usp=sharing"",""นครศรีธรรมราช!I725"")"),0)</f>
        <v>0</v>
      </c>
      <c r="BB78" s="181">
        <f ca="1">IFERROR(__xludf.DUMMYFUNCTION("IMPORTRANGE(""https://docs.google.com/spreadsheets/d/1T5rRTzFc79aSIvqnzkZNvwPstq829QYz_xALlO1Z0s8/edit?usp=sharing"",""นครศรีธรรมราช!J723"")"),0)</f>
        <v>0</v>
      </c>
      <c r="BC78" s="181">
        <f ca="1">IFERROR(__xludf.DUMMYFUNCTION("IMPORTRANGE(""https://docs.google.com/spreadsheets/d/1T5rRTzFc79aSIvqnzkZNvwPstq829QYz_xALlO1Z0s8/edit?usp=sharing"",""นครศรีธรรมราช!J724"")"),0)</f>
        <v>0</v>
      </c>
      <c r="BD78" s="181">
        <f ca="1">IFERROR(__xludf.DUMMYFUNCTION("IMPORTRANGE(""https://docs.google.com/spreadsheets/d/1T5rRTzFc79aSIvqnzkZNvwPstq829QYz_xALlO1Z0s8/edit?usp=sharing"",""นครศรีธรรมราช!J725"")"),0)</f>
        <v>0</v>
      </c>
      <c r="BE78" s="181">
        <f ca="1">IFERROR(__xludf.DUMMYFUNCTION("IMPORTRANGE(""https://docs.google.com/spreadsheets/d/1T5rRTzFc79aSIvqnzkZNvwPstq829QYz_xALlO1Z0s8/edit?usp=sharing"",""นครศรีธรรมราช!I726"")"),0)</f>
        <v>0</v>
      </c>
      <c r="BF78" s="181">
        <f ca="1">IFERROR(__xludf.DUMMYFUNCTION("IMPORTRANGE(""https://docs.google.com/spreadsheets/d/1T5rRTzFc79aSIvqnzkZNvwPstq829QYz_xALlO1Z0s8/edit?usp=sharing"",""นครศรีธรรมราช!I728"")"),0)</f>
        <v>0</v>
      </c>
      <c r="BG78" s="181">
        <f ca="1">IFERROR(__xludf.DUMMYFUNCTION("IMPORTRANGE(""https://docs.google.com/spreadsheets/d/1T5rRTzFc79aSIvqnzkZNvwPstq829QYz_xALlO1Z0s8/edit?usp=sharing"",""นครศรีธรรมราช!J726"")"),0)</f>
        <v>0</v>
      </c>
      <c r="BH78" s="181">
        <f ca="1">IFERROR(__xludf.DUMMYFUNCTION("IMPORTRANGE(""https://docs.google.com/spreadsheets/d/1T5rRTzFc79aSIvqnzkZNvwPstq829QYz_xALlO1Z0s8/edit?usp=sharing"",""นครศรีธรรมราช!J727"")"),0)</f>
        <v>0</v>
      </c>
      <c r="BI78" s="181">
        <f ca="1">IFERROR(__xludf.DUMMYFUNCTION("IMPORTRANGE(""https://docs.google.com/spreadsheets/d/1T5rRTzFc79aSIvqnzkZNvwPstq829QYz_xALlO1Z0s8/edit?usp=sharing"",""นครศรีธรรมราช!J728"")"),0)</f>
        <v>0</v>
      </c>
      <c r="BJ78" s="181">
        <f ca="1">IFERROR(__xludf.DUMMYFUNCTION("IMPORTRANGE(""https://docs.google.com/spreadsheets/d/1T5rRTzFc79aSIvqnzkZNvwPstq829QYz_xALlO1Z0s8/edit?usp=sharing"",""นครศรีธรรมราช!I729"")"),0)</f>
        <v>0</v>
      </c>
      <c r="BK78" s="181">
        <f ca="1">IFERROR(__xludf.DUMMYFUNCTION("IMPORTRANGE(""https://docs.google.com/spreadsheets/d/1T5rRTzFc79aSIvqnzkZNvwPstq829QYz_xALlO1Z0s8/edit?usp=sharing"",""นครศรีธรรมราช!J729"")"),0)</f>
        <v>0</v>
      </c>
      <c r="BL78" s="186">
        <f t="shared" ca="1" si="19"/>
        <v>0</v>
      </c>
      <c r="BM78" s="181">
        <f ca="1">IFERROR(__xludf.DUMMYFUNCTION("IMPORTRANGE(""https://docs.google.com/spreadsheets/d/1T5rRTzFc79aSIvqnzkZNvwPstq829QYz_xALlO1Z0s8/edit?usp=sharing"",""นครศรีธรรมราช!J730"")"),0)</f>
        <v>0</v>
      </c>
      <c r="BN78" s="181">
        <f ca="1">IFERROR(__xludf.DUMMYFUNCTION("IMPORTRANGE(""https://docs.google.com/spreadsheets/d/1T5rRTzFc79aSIvqnzkZNvwPstq829QYz_xALlO1Z0s8/edit?usp=sharing"",""นครศรีธรรมราช!J731"")"),0)</f>
        <v>0</v>
      </c>
      <c r="BO78" s="181">
        <f ca="1">IFERROR(__xludf.DUMMYFUNCTION("IMPORTRANGE(""https://docs.google.com/spreadsheets/d/1T5rRTzFc79aSIvqnzkZNvwPstq829QYz_xALlO1Z0s8/edit?usp=sharing"",""นครศรีธรรมราช!J732"")"),0)</f>
        <v>0</v>
      </c>
      <c r="BP78" s="181">
        <f ca="1">IFERROR(__xludf.DUMMYFUNCTION("IMPORTRANGE(""https://docs.google.com/spreadsheets/d/1T5rRTzFc79aSIvqnzkZNvwPstq829QYz_xALlO1Z0s8/edit?usp=sharing"",""นครศรีธรรมราช!J733"")"),0)</f>
        <v>0</v>
      </c>
      <c r="BQ78" s="181">
        <f ca="1">IFERROR(__xludf.DUMMYFUNCTION("IMPORTRANGE(""https://docs.google.com/spreadsheets/d/1T5rRTzFc79aSIvqnzkZNvwPstq829QYz_xALlO1Z0s8/edit?usp=sharing"",""นครศรีธรรมราช!J734"")"),0)</f>
        <v>0</v>
      </c>
      <c r="BR78" s="181">
        <f ca="1">IFERROR(__xludf.DUMMYFUNCTION("IMPORTRANGE(""https://docs.google.com/spreadsheets/d/1T5rRTzFc79aSIvqnzkZNvwPstq829QYz_xALlO1Z0s8/edit?usp=sharing"",""นครศรีธรรมราช!J735"")"),0)</f>
        <v>0</v>
      </c>
    </row>
    <row r="79" spans="1:70" ht="21" customHeight="1" x14ac:dyDescent="0.3">
      <c r="A79" s="178">
        <v>5</v>
      </c>
      <c r="B79" s="179" t="s">
        <v>96</v>
      </c>
      <c r="C79" s="180">
        <f t="shared" ca="1" si="82"/>
        <v>37480</v>
      </c>
      <c r="D79" s="181">
        <f ca="1">IFERROR(__xludf.DUMMYFUNCTION("IMPORTRANGE(""https://docs.google.com/spreadsheets/d/1BeghqumK0IvCmRd2QOy6_afsZq7ZtAGrSnVJy2u7WmY/edit?usp=sharing"",""นราธิวาส!L690"")"),37480)</f>
        <v>37480</v>
      </c>
      <c r="E79" s="187">
        <f ca="1">IFERROR(__xludf.DUMMYFUNCTION("IMPORTRANGE(""https://docs.google.com/spreadsheets/d/1BeghqumK0IvCmRd2QOy6_afsZq7ZtAGrSnVJy2u7WmY/edit?usp=sharing"",""นราธิวาส!L697"")"),0)</f>
        <v>0</v>
      </c>
      <c r="F79" s="182">
        <f t="shared" ca="1" si="1"/>
        <v>1000</v>
      </c>
      <c r="G79" s="183">
        <f t="shared" ca="1" si="2"/>
        <v>2.6680896478121663</v>
      </c>
      <c r="H79" s="184">
        <f t="shared" ca="1" si="83"/>
        <v>1000</v>
      </c>
      <c r="I79" s="187">
        <f ca="1">IFERROR(__xludf.DUMMYFUNCTION("IMPORTRANGE(""https://docs.google.com/spreadsheets/d/1BeghqumK0IvCmRd2QOy6_afsZq7ZtAGrSnVJy2u7WmY/edit?usp=sharing"",""นราธิวาส!N691"")"),0)</f>
        <v>0</v>
      </c>
      <c r="J79" s="187">
        <f ca="1">IFERROR(__xludf.DUMMYFUNCTION("IMPORTRANGE(""https://docs.google.com/spreadsheets/d/1BeghqumK0IvCmRd2QOy6_afsZq7ZtAGrSnVJy2u7WmY/edit?usp=sharing"",""นราธิวาส!N692"")"),0)</f>
        <v>0</v>
      </c>
      <c r="K79" s="187">
        <f ca="1">IFERROR(__xludf.DUMMYFUNCTION("IMPORTRANGE(""https://docs.google.com/spreadsheets/d/1BeghqumK0IvCmRd2QOy6_afsZq7ZtAGrSnVJy2u7WmY/edit?usp=sharing"",""นราธิวาส!N693"")"),0)</f>
        <v>0</v>
      </c>
      <c r="L79" s="187">
        <f ca="1">IFERROR(__xludf.DUMMYFUNCTION("IMPORTRANGE(""https://docs.google.com/spreadsheets/d/1BeghqumK0IvCmRd2QOy6_afsZq7ZtAGrSnVJy2u7WmY/edit?usp=sharing"",""นราธิวาส!N694"")"),1000)</f>
        <v>1000</v>
      </c>
      <c r="M79" s="185">
        <f ca="1">IFERROR(__xludf.DUMMYFUNCTION("IMPORTRANGE(""https://docs.google.com/spreadsheets/d/1BeghqumK0IvCmRd2QOy6_afsZq7ZtAGrSnVJy2u7WmY/edit?usp=sharing"",""นราธิวาส!N697"")"),0)</f>
        <v>0</v>
      </c>
      <c r="N79" s="185">
        <f t="shared" ca="1" si="37"/>
        <v>0</v>
      </c>
      <c r="O79" s="181">
        <f ca="1">IFERROR(__xludf.DUMMYFUNCTION("IMPORTRANGE(""https://docs.google.com/spreadsheets/d/1BeghqumK0IvCmRd2QOy6_afsZq7ZtAGrSnVJy2u7WmY/edit?usp=sharing"",""นราธิวาส!I699"")"),248)</f>
        <v>248</v>
      </c>
      <c r="P79" s="181">
        <f ca="1">IFERROR(__xludf.DUMMYFUNCTION("IMPORTRANGE(""https://docs.google.com/spreadsheets/d/1BeghqumK0IvCmRd2QOy6_afsZq7ZtAGrSnVJy2u7WmY/edit?usp=sharing"",""นราธิวาส!J699"")"),0)</f>
        <v>0</v>
      </c>
      <c r="Q79" s="186">
        <f t="shared" ca="1" si="31"/>
        <v>0</v>
      </c>
      <c r="R79" s="181">
        <f ca="1">IFERROR(__xludf.DUMMYFUNCTION("IMPORTRANGE(""https://docs.google.com/spreadsheets/d/1BeghqumK0IvCmRd2QOy6_afsZq7ZtAGrSnVJy2u7WmY/edit?usp=sharing"",""นราธิวาส!I700"")"),56)</f>
        <v>56</v>
      </c>
      <c r="S79" s="181">
        <f ca="1">IFERROR(__xludf.DUMMYFUNCTION("IMPORTRANGE(""https://docs.google.com/spreadsheets/d/1BeghqumK0IvCmRd2QOy6_afsZq7ZtAGrSnVJy2u7WmY/edit?usp=sharing"",""นราธิวาส!J700"")"),0)</f>
        <v>0</v>
      </c>
      <c r="T79" s="186">
        <f t="shared" ca="1" si="32"/>
        <v>0</v>
      </c>
      <c r="U79" s="181">
        <f ca="1">IFERROR(__xludf.DUMMYFUNCTION("IMPORTRANGE(""https://docs.google.com/spreadsheets/d/1BeghqumK0IvCmRd2QOy6_afsZq7ZtAGrSnVJy2u7WmY/edit?usp=sharing"",""นราธิวาส!I701"")"),0)</f>
        <v>0</v>
      </c>
      <c r="V79" s="181">
        <f ca="1">IFERROR(__xludf.DUMMYFUNCTION("IMPORTRANGE(""https://docs.google.com/spreadsheets/d/1BeghqumK0IvCmRd2QOy6_afsZq7ZtAGrSnVJy2u7WmY/edit?usp=sharing"",""นราธิวาส!J701"")"),0)</f>
        <v>0</v>
      </c>
      <c r="W79" s="186">
        <f t="shared" ca="1" si="33"/>
        <v>0</v>
      </c>
      <c r="X79" s="186">
        <f ca="1">IFERROR(__xludf.DUMMYFUNCTION("IMPORTRANGE(""https://docs.google.com/spreadsheets/d/1BeghqumK0IvCmRd2QOy6_afsZq7ZtAGrSnVJy2u7WmY/edit?usp=sharing"",""นราธิวาส!J702"")"),0)</f>
        <v>0</v>
      </c>
      <c r="Y79" s="186">
        <f ca="1">IFERROR(__xludf.DUMMYFUNCTION("IMPORTRANGE(""https://docs.google.com/spreadsheets/d/1BeghqumK0IvCmRd2QOy6_afsZq7ZtAGrSnVJy2u7WmY/edit?usp=sharing"",""นราธิวาส!J703"")"),0)</f>
        <v>0</v>
      </c>
      <c r="Z79" s="186">
        <f ca="1">IFERROR(__xludf.DUMMYFUNCTION("IMPORTRANGE(""https://docs.google.com/spreadsheets/d/1BeghqumK0IvCmRd2QOy6_afsZq7ZtAGrSnVJy2u7WmY/edit?usp=sharing"",""นราธิวาส!J704"")"),0)</f>
        <v>0</v>
      </c>
      <c r="AA79" s="186">
        <f ca="1">IFERROR(__xludf.DUMMYFUNCTION("IMPORTRANGE(""https://docs.google.com/spreadsheets/d/1BeghqumK0IvCmRd2QOy6_afsZq7ZtAGrSnVJy2u7WmY/edit?usp=sharing"",""นราธิวาส!J705"")"),0)</f>
        <v>0</v>
      </c>
      <c r="AB79" s="186">
        <f ca="1">IFERROR(__xludf.DUMMYFUNCTION("IMPORTRANGE(""https://docs.google.com/spreadsheets/d/1BeghqumK0IvCmRd2QOy6_afsZq7ZtAGrSnVJy2u7WmY/edit?usp=sharing"",""นราธิวาส!J706"")"),0)</f>
        <v>0</v>
      </c>
      <c r="AC79" s="186">
        <f ca="1">IFERROR(__xludf.DUMMYFUNCTION("IMPORTRANGE(""https://docs.google.com/spreadsheets/d/1BeghqumK0IvCmRd2QOy6_afsZq7ZtAGrSnVJy2u7WmY/edit?usp=sharing"",""นราธิวาส!J707"")"),0)</f>
        <v>0</v>
      </c>
      <c r="AD79" s="181">
        <f ca="1">IFERROR(__xludf.DUMMYFUNCTION("IMPORTRANGE(""https://docs.google.com/spreadsheets/d/1BeghqumK0IvCmRd2QOy6_afsZq7ZtAGrSnVJy2u7WmY/edit?usp=sharing"",""นราธิวาส!I708"")"),0)</f>
        <v>0</v>
      </c>
      <c r="AE79" s="181">
        <f ca="1">IFERROR(__xludf.DUMMYFUNCTION("IMPORTRANGE(""https://docs.google.com/spreadsheets/d/1BeghqumK0IvCmRd2QOy6_afsZq7ZtAGrSnVJy2u7WmY/edit?usp=sharing"",""นราธิวาส!J708"")"),0)</f>
        <v>0</v>
      </c>
      <c r="AF79" s="186">
        <f t="shared" ca="1" si="34"/>
        <v>0</v>
      </c>
      <c r="AG79" s="181">
        <f ca="1">IFERROR(__xludf.DUMMYFUNCTION("IMPORTRANGE(""https://docs.google.com/spreadsheets/d/1BeghqumK0IvCmRd2QOy6_afsZq7ZtAGrSnVJy2u7WmY/edit?usp=sharing"",""นราธิวาส!J709"")"),0)</f>
        <v>0</v>
      </c>
      <c r="AH79" s="181">
        <f ca="1">IFERROR(__xludf.DUMMYFUNCTION("IMPORTRANGE(""https://docs.google.com/spreadsheets/d/1BeghqumK0IvCmRd2QOy6_afsZq7ZtAGrSnVJy2u7WmY/edit?usp=sharing"",""นราธิวาส!J710"")"),0)</f>
        <v>0</v>
      </c>
      <c r="AI79" s="181">
        <f ca="1">IFERROR(__xludf.DUMMYFUNCTION("IMPORTRANGE(""https://docs.google.com/spreadsheets/d/1BeghqumK0IvCmRd2QOy6_afsZq7ZtAGrSnVJy2u7WmY/edit?usp=sharing"",""นราธิวาส!J712"")"),0)</f>
        <v>0</v>
      </c>
      <c r="AJ79" s="181">
        <f ca="1">IFERROR(__xludf.DUMMYFUNCTION("IMPORTRANGE(""https://docs.google.com/spreadsheets/d/1BeghqumK0IvCmRd2QOy6_afsZq7ZtAGrSnVJy2u7WmY/edit?usp=sharing"",""นราธิวาส!J713"")"),0)</f>
        <v>0</v>
      </c>
      <c r="AK79" s="181">
        <f ca="1">IFERROR(__xludf.DUMMYFUNCTION("IMPORTRANGE(""https://docs.google.com/spreadsheets/d/1BeghqumK0IvCmRd2QOy6_afsZq7ZtAGrSnVJy2u7WmY/edit?usp=sharing"",""นราธิวาส!J714"")"),0)</f>
        <v>0</v>
      </c>
      <c r="AL79" s="181">
        <f ca="1">IFERROR(__xludf.DUMMYFUNCTION("IMPORTRANGE(""https://docs.google.com/spreadsheets/d/1BeghqumK0IvCmRd2QOy6_afsZq7ZtAGrSnVJy2u7WmY/edit?usp=sharing"",""นราธิวาส!J715"")"),0)</f>
        <v>0</v>
      </c>
      <c r="AM79" s="181">
        <f ca="1">IFERROR(__xludf.DUMMYFUNCTION("IMPORTRANGE(""https://docs.google.com/spreadsheets/d/1BeghqumK0IvCmRd2QOy6_afsZq7ZtAGrSnVJy2u7WmY/edit?usp=sharing"",""นราธิวาส!J716"")"),0)</f>
        <v>0</v>
      </c>
      <c r="AN79" s="181">
        <f ca="1">IFERROR(__xludf.DUMMYFUNCTION("IMPORTRANGE(""https://docs.google.com/spreadsheets/d/1BeghqumK0IvCmRd2QOy6_afsZq7ZtAGrSnVJy2u7WmY/edit?usp=sharing"",""นราธิวาส!J717"")"),0)</f>
        <v>0</v>
      </c>
      <c r="AO79" s="181">
        <f ca="1">IFERROR(__xludf.DUMMYFUNCTION("IMPORTRANGE(""https://docs.google.com/spreadsheets/d/1BeghqumK0IvCmRd2QOy6_afsZq7ZtAGrSnVJy2u7WmY/edit?usp=sharing"",""นราธิวาส!I720"")"),0)</f>
        <v>0</v>
      </c>
      <c r="AP79" s="181">
        <f ca="1">IFERROR(__xludf.DUMMYFUNCTION("IMPORTRANGE(""https://docs.google.com/spreadsheets/d/1BeghqumK0IvCmRd2QOy6_afsZq7ZtAGrSnVJy2u7WmY/edit?usp=sharing"",""นราธิวาส!J718"")"),0)</f>
        <v>0</v>
      </c>
      <c r="AQ79" s="181">
        <f ca="1">IFERROR(__xludf.DUMMYFUNCTION("IMPORTRANGE(""https://docs.google.com/spreadsheets/d/1BeghqumK0IvCmRd2QOy6_afsZq7ZtAGrSnVJy2u7WmY/edit?usp=sharing"",""นราธิวาส!J719"")"),0)</f>
        <v>0</v>
      </c>
      <c r="AR79" s="181">
        <f ca="1">IFERROR(__xludf.DUMMYFUNCTION("IMPORTRANGE(""https://docs.google.com/spreadsheets/d/1BeghqumK0IvCmRd2QOy6_afsZq7ZtAGrSnVJy2u7WmY/edit?usp=sharing"",""นราธิวาส!J720"")"),0)</f>
        <v>0</v>
      </c>
      <c r="AS79" s="186">
        <f t="shared" ca="1" si="14"/>
        <v>0</v>
      </c>
      <c r="AT79" s="181">
        <f ca="1">IFERROR(__xludf.DUMMYFUNCTION("IMPORTRANGE(""https://docs.google.com/spreadsheets/d/1BeghqumK0IvCmRd2QOy6_afsZq7ZtAGrSnVJy2u7WmY/edit?usp=sharing"",""นราธิวาส!I721"")"),0)</f>
        <v>0</v>
      </c>
      <c r="AU79" s="181">
        <f ca="1">IFERROR(__xludf.DUMMYFUNCTION("IMPORTRANGE(""https://docs.google.com/spreadsheets/d/1BeghqumK0IvCmRd2QOy6_afsZq7ZtAGrSnVJy2u7WmY/edit?usp=sharing"",""นราธิวาส!I722"")"),0)</f>
        <v>0</v>
      </c>
      <c r="AV79" s="181">
        <f ca="1">IFERROR(__xludf.DUMMYFUNCTION("IMPORTRANGE(""https://docs.google.com/spreadsheets/d/1BeghqumK0IvCmRd2QOy6_afsZq7ZtAGrSnVJy2u7WmY/edit?usp=sharing"",""นราธิวาส!J721"")"),0)</f>
        <v>0</v>
      </c>
      <c r="AW79" s="186">
        <f t="shared" ca="1" si="16"/>
        <v>0</v>
      </c>
      <c r="AX79" s="181">
        <f ca="1">IFERROR(__xludf.DUMMYFUNCTION("IMPORTRANGE(""https://docs.google.com/spreadsheets/d/1BeghqumK0IvCmRd2QOy6_afsZq7ZtAGrSnVJy2u7WmY/edit?usp=sharing"",""นราธิวาส!J722"")"),0)</f>
        <v>0</v>
      </c>
      <c r="AY79" s="186">
        <f t="shared" ca="1" si="17"/>
        <v>0</v>
      </c>
      <c r="AZ79" s="181">
        <f ca="1">IFERROR(__xludf.DUMMYFUNCTION("IMPORTRANGE(""https://docs.google.com/spreadsheets/d/1BeghqumK0IvCmRd2QOy6_afsZq7ZtAGrSnVJy2u7WmY/edit?usp=sharing"",""นราธิวาส!I723"")"),0)</f>
        <v>0</v>
      </c>
      <c r="BA79" s="181">
        <f ca="1">IFERROR(__xludf.DUMMYFUNCTION("IMPORTRANGE(""https://docs.google.com/spreadsheets/d/1BeghqumK0IvCmRd2QOy6_afsZq7ZtAGrSnVJy2u7WmY/edit?usp=sharing"",""นราธิวาส!I725"")"),0)</f>
        <v>0</v>
      </c>
      <c r="BB79" s="181">
        <f ca="1">IFERROR(__xludf.DUMMYFUNCTION("IMPORTRANGE(""https://docs.google.com/spreadsheets/d/1BeghqumK0IvCmRd2QOy6_afsZq7ZtAGrSnVJy2u7WmY/edit?usp=sharing"",""นราธิวาส!J723"")"),0)</f>
        <v>0</v>
      </c>
      <c r="BC79" s="181">
        <f ca="1">IFERROR(__xludf.DUMMYFUNCTION("IMPORTRANGE(""https://docs.google.com/spreadsheets/d/1BeghqumK0IvCmRd2QOy6_afsZq7ZtAGrSnVJy2u7WmY/edit?usp=sharing"",""นราธิวาส!J724"")"),0)</f>
        <v>0</v>
      </c>
      <c r="BD79" s="181">
        <f ca="1">IFERROR(__xludf.DUMMYFUNCTION("IMPORTRANGE(""https://docs.google.com/spreadsheets/d/1BeghqumK0IvCmRd2QOy6_afsZq7ZtAGrSnVJy2u7WmY/edit?usp=sharing"",""นราธิวาส!J725"")"),0)</f>
        <v>0</v>
      </c>
      <c r="BE79" s="181">
        <f ca="1">IFERROR(__xludf.DUMMYFUNCTION("IMPORTRANGE(""https://docs.google.com/spreadsheets/d/1BeghqumK0IvCmRd2QOy6_afsZq7ZtAGrSnVJy2u7WmY/edit?usp=sharing"",""นราธิวาส!I726"")"),0)</f>
        <v>0</v>
      </c>
      <c r="BF79" s="181">
        <f ca="1">IFERROR(__xludf.DUMMYFUNCTION("IMPORTRANGE(""https://docs.google.com/spreadsheets/d/1BeghqumK0IvCmRd2QOy6_afsZq7ZtAGrSnVJy2u7WmY/edit?usp=sharing"",""นราธิวาส!I728"")"),0)</f>
        <v>0</v>
      </c>
      <c r="BG79" s="181">
        <f ca="1">IFERROR(__xludf.DUMMYFUNCTION("IMPORTRANGE(""https://docs.google.com/spreadsheets/d/1BeghqumK0IvCmRd2QOy6_afsZq7ZtAGrSnVJy2u7WmY/edit?usp=sharing"",""นราธิวาส!J726"")"),0)</f>
        <v>0</v>
      </c>
      <c r="BH79" s="181">
        <f ca="1">IFERROR(__xludf.DUMMYFUNCTION("IMPORTRANGE(""https://docs.google.com/spreadsheets/d/1BeghqumK0IvCmRd2QOy6_afsZq7ZtAGrSnVJy2u7WmY/edit?usp=sharing"",""นราธิวาส!J727"")"),0)</f>
        <v>0</v>
      </c>
      <c r="BI79" s="181">
        <f ca="1">IFERROR(__xludf.DUMMYFUNCTION("IMPORTRANGE(""https://docs.google.com/spreadsheets/d/1BeghqumK0IvCmRd2QOy6_afsZq7ZtAGrSnVJy2u7WmY/edit?usp=sharing"",""นราธิวาส!J728"")"),0)</f>
        <v>0</v>
      </c>
      <c r="BJ79" s="181">
        <f ca="1">IFERROR(__xludf.DUMMYFUNCTION("IMPORTRANGE(""https://docs.google.com/spreadsheets/d/1BeghqumK0IvCmRd2QOy6_afsZq7ZtAGrSnVJy2u7WmY/edit?usp=sharing"",""นราธิวาส!I729"")"),0)</f>
        <v>0</v>
      </c>
      <c r="BK79" s="181">
        <f ca="1">IFERROR(__xludf.DUMMYFUNCTION("IMPORTRANGE(""https://docs.google.com/spreadsheets/d/1BeghqumK0IvCmRd2QOy6_afsZq7ZtAGrSnVJy2u7WmY/edit?usp=sharing"",""นราธิวาส!J729"")"),0)</f>
        <v>0</v>
      </c>
      <c r="BL79" s="186">
        <f t="shared" ca="1" si="19"/>
        <v>0</v>
      </c>
      <c r="BM79" s="181">
        <f ca="1">IFERROR(__xludf.DUMMYFUNCTION("IMPORTRANGE(""https://docs.google.com/spreadsheets/d/1BeghqumK0IvCmRd2QOy6_afsZq7ZtAGrSnVJy2u7WmY/edit?usp=sharing"",""นราธิวาส!J730"")"),0)</f>
        <v>0</v>
      </c>
      <c r="BN79" s="181">
        <f ca="1">IFERROR(__xludf.DUMMYFUNCTION("IMPORTRANGE(""https://docs.google.com/spreadsheets/d/1BeghqumK0IvCmRd2QOy6_afsZq7ZtAGrSnVJy2u7WmY/edit?usp=sharing"",""นราธิวาส!J731"")"),0)</f>
        <v>0</v>
      </c>
      <c r="BO79" s="181">
        <f ca="1">IFERROR(__xludf.DUMMYFUNCTION("IMPORTRANGE(""https://docs.google.com/spreadsheets/d/1BeghqumK0IvCmRd2QOy6_afsZq7ZtAGrSnVJy2u7WmY/edit?usp=sharing"",""นราธิวาส!J732"")"),0)</f>
        <v>0</v>
      </c>
      <c r="BP79" s="181">
        <f ca="1">IFERROR(__xludf.DUMMYFUNCTION("IMPORTRANGE(""https://docs.google.com/spreadsheets/d/1BeghqumK0IvCmRd2QOy6_afsZq7ZtAGrSnVJy2u7WmY/edit?usp=sharing"",""นราธิวาส!J733"")"),0)</f>
        <v>0</v>
      </c>
      <c r="BQ79" s="181">
        <f ca="1">IFERROR(__xludf.DUMMYFUNCTION("IMPORTRANGE(""https://docs.google.com/spreadsheets/d/1BeghqumK0IvCmRd2QOy6_afsZq7ZtAGrSnVJy2u7WmY/edit?usp=sharing"",""นราธิวาส!J734"")"),0)</f>
        <v>0</v>
      </c>
      <c r="BR79" s="181">
        <f ca="1">IFERROR(__xludf.DUMMYFUNCTION("IMPORTRANGE(""https://docs.google.com/spreadsheets/d/1BeghqumK0IvCmRd2QOy6_afsZq7ZtAGrSnVJy2u7WmY/edit?usp=sharing"",""นราธิวาส!J735"")"),0)</f>
        <v>0</v>
      </c>
    </row>
    <row r="80" spans="1:70" ht="21" customHeight="1" x14ac:dyDescent="0.3">
      <c r="A80" s="178">
        <v>6</v>
      </c>
      <c r="B80" s="179" t="s">
        <v>97</v>
      </c>
      <c r="C80" s="180">
        <f t="shared" ca="1" si="82"/>
        <v>23560</v>
      </c>
      <c r="D80" s="181">
        <f ca="1">IFERROR(__xludf.DUMMYFUNCTION("IMPORTRANGE(""https://docs.google.com/spreadsheets/d/1IwnW3-jjRf74MCLW-6PiFwMUffRQXZwZA7YM609NmRc/edit?usp=sharing"",""ปัตตานี!L690"")"),23560)</f>
        <v>23560</v>
      </c>
      <c r="E80" s="187">
        <f ca="1">IFERROR(__xludf.DUMMYFUNCTION("IMPORTRANGE(""https://docs.google.com/spreadsheets/d/1IwnW3-jjRf74MCLW-6PiFwMUffRQXZwZA7YM609NmRc/edit?usp=sharing"",""ปัตตานี!L697"")"),0)</f>
        <v>0</v>
      </c>
      <c r="F80" s="182">
        <f t="shared" ca="1" si="1"/>
        <v>1000</v>
      </c>
      <c r="G80" s="183">
        <f t="shared" ca="1" si="2"/>
        <v>4.2444821731748723</v>
      </c>
      <c r="H80" s="184">
        <f t="shared" ca="1" si="83"/>
        <v>1000</v>
      </c>
      <c r="I80" s="187">
        <f ca="1">IFERROR(__xludf.DUMMYFUNCTION("IMPORTRANGE(""https://docs.google.com/spreadsheets/d/1IwnW3-jjRf74MCLW-6PiFwMUffRQXZwZA7YM609NmRc/edit?usp=sharing"",""ปัตตานี!N691"")"),0)</f>
        <v>0</v>
      </c>
      <c r="J80" s="187">
        <f ca="1">IFERROR(__xludf.DUMMYFUNCTION("IMPORTRANGE(""https://docs.google.com/spreadsheets/d/1IwnW3-jjRf74MCLW-6PiFwMUffRQXZwZA7YM609NmRc/edit?usp=sharing"",""ปัตตานี!N692"")"),0)</f>
        <v>0</v>
      </c>
      <c r="K80" s="187">
        <f ca="1">IFERROR(__xludf.DUMMYFUNCTION("IMPORTRANGE(""https://docs.google.com/spreadsheets/d/1IwnW3-jjRf74MCLW-6PiFwMUffRQXZwZA7YM609NmRc/edit?usp=sharing"",""ปัตตานี!N693"")"),0)</f>
        <v>0</v>
      </c>
      <c r="L80" s="187">
        <f ca="1">IFERROR(__xludf.DUMMYFUNCTION("IMPORTRANGE(""https://docs.google.com/spreadsheets/d/1IwnW3-jjRf74MCLW-6PiFwMUffRQXZwZA7YM609NmRc/edit?usp=sharing"",""ปัตตานี!N694"")"),1000)</f>
        <v>1000</v>
      </c>
      <c r="M80" s="185">
        <f ca="1">IFERROR(__xludf.DUMMYFUNCTION("IMPORTRANGE(""https://docs.google.com/spreadsheets/d/1IwnW3-jjRf74MCLW-6PiFwMUffRQXZwZA7YM609NmRc/edit?usp=sharing"",""ปัตตานี!N697"")"),0)</f>
        <v>0</v>
      </c>
      <c r="N80" s="185">
        <f t="shared" ca="1" si="37"/>
        <v>0</v>
      </c>
      <c r="O80" s="181">
        <f ca="1">IFERROR(__xludf.DUMMYFUNCTION("IMPORTRANGE(""https://docs.google.com/spreadsheets/d/1IwnW3-jjRf74MCLW-6PiFwMUffRQXZwZA7YM609NmRc/edit?usp=sharing"",""ปัตตานี!I699"")"),0)</f>
        <v>0</v>
      </c>
      <c r="P80" s="181">
        <f ca="1">IFERROR(__xludf.DUMMYFUNCTION("IMPORTRANGE(""https://docs.google.com/spreadsheets/d/1IwnW3-jjRf74MCLW-6PiFwMUffRQXZwZA7YM609NmRc/edit?usp=sharing"",""ปัตตานี!J699"")"),0)</f>
        <v>0</v>
      </c>
      <c r="Q80" s="186">
        <f t="shared" ca="1" si="31"/>
        <v>0</v>
      </c>
      <c r="R80" s="181">
        <f ca="1">IFERROR(__xludf.DUMMYFUNCTION("IMPORTRANGE(""https://docs.google.com/spreadsheets/d/1IwnW3-jjRf74MCLW-6PiFwMUffRQXZwZA7YM609NmRc/edit?usp=sharing"",""ปัตตานี!I700"")"),1)</f>
        <v>1</v>
      </c>
      <c r="S80" s="181">
        <f ca="1">IFERROR(__xludf.DUMMYFUNCTION("IMPORTRANGE(""https://docs.google.com/spreadsheets/d/1IwnW3-jjRf74MCLW-6PiFwMUffRQXZwZA7YM609NmRc/edit?usp=sharing"",""ปัตตานี!J700"")"),0)</f>
        <v>0</v>
      </c>
      <c r="T80" s="186">
        <f t="shared" ca="1" si="32"/>
        <v>0</v>
      </c>
      <c r="U80" s="181">
        <f ca="1">IFERROR(__xludf.DUMMYFUNCTION("IMPORTRANGE(""https://docs.google.com/spreadsheets/d/1IwnW3-jjRf74MCLW-6PiFwMUffRQXZwZA7YM609NmRc/edit?usp=sharing"",""ปัตตานี!I701"")"),0)</f>
        <v>0</v>
      </c>
      <c r="V80" s="181">
        <f ca="1">IFERROR(__xludf.DUMMYFUNCTION("IMPORTRANGE(""https://docs.google.com/spreadsheets/d/1IwnW3-jjRf74MCLW-6PiFwMUffRQXZwZA7YM609NmRc/edit?usp=sharing"",""ปัตตานี!J701"")"),0)</f>
        <v>0</v>
      </c>
      <c r="W80" s="186">
        <f t="shared" ca="1" si="33"/>
        <v>0</v>
      </c>
      <c r="X80" s="186">
        <f ca="1">IFERROR(__xludf.DUMMYFUNCTION("IMPORTRANGE(""https://docs.google.com/spreadsheets/d/1IwnW3-jjRf74MCLW-6PiFwMUffRQXZwZA7YM609NmRc/edit?usp=sharing"",""ปัตตานี!J702"")"),0)</f>
        <v>0</v>
      </c>
      <c r="Y80" s="186">
        <f ca="1">IFERROR(__xludf.DUMMYFUNCTION("IMPORTRANGE(""https://docs.google.com/spreadsheets/d/1IwnW3-jjRf74MCLW-6PiFwMUffRQXZwZA7YM609NmRc/edit?usp=sharing"",""ปัตตานี!J703"")"),0)</f>
        <v>0</v>
      </c>
      <c r="Z80" s="186">
        <f ca="1">IFERROR(__xludf.DUMMYFUNCTION("IMPORTRANGE(""https://docs.google.com/spreadsheets/d/1IwnW3-jjRf74MCLW-6PiFwMUffRQXZwZA7YM609NmRc/edit?usp=sharing"",""ปัตตานี!J704"")"),0)</f>
        <v>0</v>
      </c>
      <c r="AA80" s="186">
        <f ca="1">IFERROR(__xludf.DUMMYFUNCTION("IMPORTRANGE(""https://docs.google.com/spreadsheets/d/1IwnW3-jjRf74MCLW-6PiFwMUffRQXZwZA7YM609NmRc/edit?usp=sharing"",""ปัตตานี!J705"")"),0)</f>
        <v>0</v>
      </c>
      <c r="AB80" s="186">
        <f ca="1">IFERROR(__xludf.DUMMYFUNCTION("IMPORTRANGE(""https://docs.google.com/spreadsheets/d/1IwnW3-jjRf74MCLW-6PiFwMUffRQXZwZA7YM609NmRc/edit?usp=sharing"",""ปัตตานี!J706"")"),0)</f>
        <v>0</v>
      </c>
      <c r="AC80" s="186">
        <f ca="1">IFERROR(__xludf.DUMMYFUNCTION("IMPORTRANGE(""https://docs.google.com/spreadsheets/d/1IwnW3-jjRf74MCLW-6PiFwMUffRQXZwZA7YM609NmRc/edit?usp=sharing"",""ปัตตานี!J707"")"),0)</f>
        <v>0</v>
      </c>
      <c r="AD80" s="181">
        <f ca="1">IFERROR(__xludf.DUMMYFUNCTION("IMPORTRANGE(""https://docs.google.com/spreadsheets/d/1IwnW3-jjRf74MCLW-6PiFwMUffRQXZwZA7YM609NmRc/edit?usp=sharing"",""ปัตตานี!I708"")"),0)</f>
        <v>0</v>
      </c>
      <c r="AE80" s="181">
        <f ca="1">IFERROR(__xludf.DUMMYFUNCTION("IMPORTRANGE(""https://docs.google.com/spreadsheets/d/1IwnW3-jjRf74MCLW-6PiFwMUffRQXZwZA7YM609NmRc/edit?usp=sharing"",""ปัตตานี!J708"")"),0)</f>
        <v>0</v>
      </c>
      <c r="AF80" s="186">
        <f t="shared" ca="1" si="34"/>
        <v>0</v>
      </c>
      <c r="AG80" s="181">
        <f ca="1">IFERROR(__xludf.DUMMYFUNCTION("IMPORTRANGE(""https://docs.google.com/spreadsheets/d/1IwnW3-jjRf74MCLW-6PiFwMUffRQXZwZA7YM609NmRc/edit?usp=sharing"",""ปัตตานี!J709"")"),0)</f>
        <v>0</v>
      </c>
      <c r="AH80" s="181">
        <f ca="1">IFERROR(__xludf.DUMMYFUNCTION("IMPORTRANGE(""https://docs.google.com/spreadsheets/d/1IwnW3-jjRf74MCLW-6PiFwMUffRQXZwZA7YM609NmRc/edit?usp=sharing"",""ปัตตานี!J710"")"),0)</f>
        <v>0</v>
      </c>
      <c r="AI80" s="181">
        <f ca="1">IFERROR(__xludf.DUMMYFUNCTION("IMPORTRANGE(""https://docs.google.com/spreadsheets/d/1IwnW3-jjRf74MCLW-6PiFwMUffRQXZwZA7YM609NmRc/edit?usp=sharing"",""ปัตตานี!J712"")"),0)</f>
        <v>0</v>
      </c>
      <c r="AJ80" s="181">
        <f ca="1">IFERROR(__xludf.DUMMYFUNCTION("IMPORTRANGE(""https://docs.google.com/spreadsheets/d/1IwnW3-jjRf74MCLW-6PiFwMUffRQXZwZA7YM609NmRc/edit?usp=sharing"",""ปัตตานี!J713"")"),0)</f>
        <v>0</v>
      </c>
      <c r="AK80" s="181">
        <f ca="1">IFERROR(__xludf.DUMMYFUNCTION("IMPORTRANGE(""https://docs.google.com/spreadsheets/d/1IwnW3-jjRf74MCLW-6PiFwMUffRQXZwZA7YM609NmRc/edit?usp=sharing"",""ปัตตานี!J714"")"),0)</f>
        <v>0</v>
      </c>
      <c r="AL80" s="181">
        <f ca="1">IFERROR(__xludf.DUMMYFUNCTION("IMPORTRANGE(""https://docs.google.com/spreadsheets/d/1IwnW3-jjRf74MCLW-6PiFwMUffRQXZwZA7YM609NmRc/edit?usp=sharing"",""ปัตตานี!J715"")"),0)</f>
        <v>0</v>
      </c>
      <c r="AM80" s="181">
        <f ca="1">IFERROR(__xludf.DUMMYFUNCTION("IMPORTRANGE(""https://docs.google.com/spreadsheets/d/1IwnW3-jjRf74MCLW-6PiFwMUffRQXZwZA7YM609NmRc/edit?usp=sharing"",""ปัตตานี!J716"")"),0)</f>
        <v>0</v>
      </c>
      <c r="AN80" s="181">
        <f ca="1">IFERROR(__xludf.DUMMYFUNCTION("IMPORTRANGE(""https://docs.google.com/spreadsheets/d/1IwnW3-jjRf74MCLW-6PiFwMUffRQXZwZA7YM609NmRc/edit?usp=sharing"",""ปัตตานี!J717"")"),0)</f>
        <v>0</v>
      </c>
      <c r="AO80" s="181">
        <f ca="1">IFERROR(__xludf.DUMMYFUNCTION("IMPORTRANGE(""https://docs.google.com/spreadsheets/d/1IwnW3-jjRf74MCLW-6PiFwMUffRQXZwZA7YM609NmRc/edit?usp=sharing"",""ปัตตานี!I720"")"),0)</f>
        <v>0</v>
      </c>
      <c r="AP80" s="181">
        <f ca="1">IFERROR(__xludf.DUMMYFUNCTION("IMPORTRANGE(""https://docs.google.com/spreadsheets/d/1IwnW3-jjRf74MCLW-6PiFwMUffRQXZwZA7YM609NmRc/edit?usp=sharing"",""ปัตตานี!J718"")"),0)</f>
        <v>0</v>
      </c>
      <c r="AQ80" s="181">
        <f ca="1">IFERROR(__xludf.DUMMYFUNCTION("IMPORTRANGE(""https://docs.google.com/spreadsheets/d/1IwnW3-jjRf74MCLW-6PiFwMUffRQXZwZA7YM609NmRc/edit?usp=sharing"",""ปัตตานี!J719"")"),0)</f>
        <v>0</v>
      </c>
      <c r="AR80" s="181">
        <f ca="1">IFERROR(__xludf.DUMMYFUNCTION("IMPORTRANGE(""https://docs.google.com/spreadsheets/d/1IwnW3-jjRf74MCLW-6PiFwMUffRQXZwZA7YM609NmRc/edit?usp=sharing"",""ปัตตานี!J720"")"),0)</f>
        <v>0</v>
      </c>
      <c r="AS80" s="186">
        <f t="shared" ca="1" si="14"/>
        <v>0</v>
      </c>
      <c r="AT80" s="181">
        <f ca="1">IFERROR(__xludf.DUMMYFUNCTION("IMPORTRANGE(""https://docs.google.com/spreadsheets/d/1IwnW3-jjRf74MCLW-6PiFwMUffRQXZwZA7YM609NmRc/edit?usp=sharing"",""ปัตตานี!I721"")"),87)</f>
        <v>87</v>
      </c>
      <c r="AU80" s="181">
        <f ca="1">IFERROR(__xludf.DUMMYFUNCTION("IMPORTRANGE(""https://docs.google.com/spreadsheets/d/1IwnW3-jjRf74MCLW-6PiFwMUffRQXZwZA7YM609NmRc/edit?usp=sharing"",""ปัตตานี!I722"")"),332)</f>
        <v>332</v>
      </c>
      <c r="AV80" s="181">
        <f ca="1">IFERROR(__xludf.DUMMYFUNCTION("IMPORTRANGE(""https://docs.google.com/spreadsheets/d/1IwnW3-jjRf74MCLW-6PiFwMUffRQXZwZA7YM609NmRc/edit?usp=sharing"",""ปัตตานี!J721"")"),0)</f>
        <v>0</v>
      </c>
      <c r="AW80" s="186">
        <f t="shared" ca="1" si="16"/>
        <v>0</v>
      </c>
      <c r="AX80" s="181">
        <f ca="1">IFERROR(__xludf.DUMMYFUNCTION("IMPORTRANGE(""https://docs.google.com/spreadsheets/d/1IwnW3-jjRf74MCLW-6PiFwMUffRQXZwZA7YM609NmRc/edit?usp=sharing"",""ปัตตานี!J722"")"),0)</f>
        <v>0</v>
      </c>
      <c r="AY80" s="186">
        <f t="shared" ca="1" si="17"/>
        <v>0</v>
      </c>
      <c r="AZ80" s="181">
        <f ca="1">IFERROR(__xludf.DUMMYFUNCTION("IMPORTRANGE(""https://docs.google.com/spreadsheets/d/1IwnW3-jjRf74MCLW-6PiFwMUffRQXZwZA7YM609NmRc/edit?usp=sharing"",""ปัตตานี!I723"")"),50)</f>
        <v>50</v>
      </c>
      <c r="BA80" s="181">
        <f ca="1">IFERROR(__xludf.DUMMYFUNCTION("IMPORTRANGE(""https://docs.google.com/spreadsheets/d/1IwnW3-jjRf74MCLW-6PiFwMUffRQXZwZA7YM609NmRc/edit?usp=sharing"",""ปัตตานี!I725"")"),212)</f>
        <v>212</v>
      </c>
      <c r="BB80" s="181">
        <f ca="1">IFERROR(__xludf.DUMMYFUNCTION("IMPORTRANGE(""https://docs.google.com/spreadsheets/d/1IwnW3-jjRf74MCLW-6PiFwMUffRQXZwZA7YM609NmRc/edit?usp=sharing"",""ปัตตานี!J723"")"),0)</f>
        <v>0</v>
      </c>
      <c r="BC80" s="181">
        <f ca="1">IFERROR(__xludf.DUMMYFUNCTION("IMPORTRANGE(""https://docs.google.com/spreadsheets/d/1IwnW3-jjRf74MCLW-6PiFwMUffRQXZwZA7YM609NmRc/edit?usp=sharing"",""ปัตตานี!J724"")"),0)</f>
        <v>0</v>
      </c>
      <c r="BD80" s="181">
        <f ca="1">IFERROR(__xludf.DUMMYFUNCTION("IMPORTRANGE(""https://docs.google.com/spreadsheets/d/1IwnW3-jjRf74MCLW-6PiFwMUffRQXZwZA7YM609NmRc/edit?usp=sharing"",""ปัตตานี!J725"")"),0)</f>
        <v>0</v>
      </c>
      <c r="BE80" s="181">
        <f ca="1">IFERROR(__xludf.DUMMYFUNCTION("IMPORTRANGE(""https://docs.google.com/spreadsheets/d/1IwnW3-jjRf74MCLW-6PiFwMUffRQXZwZA7YM609NmRc/edit?usp=sharing"",""ปัตตานี!I726"")"),37)</f>
        <v>37</v>
      </c>
      <c r="BF80" s="181">
        <f ca="1">IFERROR(__xludf.DUMMYFUNCTION("IMPORTRANGE(""https://docs.google.com/spreadsheets/d/1IwnW3-jjRf74MCLW-6PiFwMUffRQXZwZA7YM609NmRc/edit?usp=sharing"",""ปัตตานี!I728"")"),120)</f>
        <v>120</v>
      </c>
      <c r="BG80" s="181">
        <f ca="1">IFERROR(__xludf.DUMMYFUNCTION("IMPORTRANGE(""https://docs.google.com/spreadsheets/d/1IwnW3-jjRf74MCLW-6PiFwMUffRQXZwZA7YM609NmRc/edit?usp=sharing"",""ปัตตานี!J726"")"),0)</f>
        <v>0</v>
      </c>
      <c r="BH80" s="181">
        <f ca="1">IFERROR(__xludf.DUMMYFUNCTION("IMPORTRANGE(""https://docs.google.com/spreadsheets/d/1IwnW3-jjRf74MCLW-6PiFwMUffRQXZwZA7YM609NmRc/edit?usp=sharing"",""ปัตตานี!J727"")"),0)</f>
        <v>0</v>
      </c>
      <c r="BI80" s="181">
        <f ca="1">IFERROR(__xludf.DUMMYFUNCTION("IMPORTRANGE(""https://docs.google.com/spreadsheets/d/1IwnW3-jjRf74MCLW-6PiFwMUffRQXZwZA7YM609NmRc/edit?usp=sharing"",""ปัตตานี!J728"")"),0)</f>
        <v>0</v>
      </c>
      <c r="BJ80" s="181">
        <f ca="1">IFERROR(__xludf.DUMMYFUNCTION("IMPORTRANGE(""https://docs.google.com/spreadsheets/d/1IwnW3-jjRf74MCLW-6PiFwMUffRQXZwZA7YM609NmRc/edit?usp=sharing"",""ปัตตานี!I729"")"),0)</f>
        <v>0</v>
      </c>
      <c r="BK80" s="181">
        <f ca="1">IFERROR(__xludf.DUMMYFUNCTION("IMPORTRANGE(""https://docs.google.com/spreadsheets/d/1IwnW3-jjRf74MCLW-6PiFwMUffRQXZwZA7YM609NmRc/edit?usp=sharing"",""ปัตตานี!J729"")"),0)</f>
        <v>0</v>
      </c>
      <c r="BL80" s="186">
        <f t="shared" ca="1" si="19"/>
        <v>0</v>
      </c>
      <c r="BM80" s="181">
        <f ca="1">IFERROR(__xludf.DUMMYFUNCTION("IMPORTRANGE(""https://docs.google.com/spreadsheets/d/1IwnW3-jjRf74MCLW-6PiFwMUffRQXZwZA7YM609NmRc/edit?usp=sharing"",""ปัตตานี!J730"")"),0)</f>
        <v>0</v>
      </c>
      <c r="BN80" s="181">
        <f ca="1">IFERROR(__xludf.DUMMYFUNCTION("IMPORTRANGE(""https://docs.google.com/spreadsheets/d/1IwnW3-jjRf74MCLW-6PiFwMUffRQXZwZA7YM609NmRc/edit?usp=sharing"",""ปัตตานี!J731"")"),0)</f>
        <v>0</v>
      </c>
      <c r="BO80" s="181">
        <f ca="1">IFERROR(__xludf.DUMMYFUNCTION("IMPORTRANGE(""https://docs.google.com/spreadsheets/d/1IwnW3-jjRf74MCLW-6PiFwMUffRQXZwZA7YM609NmRc/edit?usp=sharing"",""ปัตตานี!J732"")"),0)</f>
        <v>0</v>
      </c>
      <c r="BP80" s="181">
        <f ca="1">IFERROR(__xludf.DUMMYFUNCTION("IMPORTRANGE(""https://docs.google.com/spreadsheets/d/1IwnW3-jjRf74MCLW-6PiFwMUffRQXZwZA7YM609NmRc/edit?usp=sharing"",""ปัตตานี!J733"")"),0)</f>
        <v>0</v>
      </c>
      <c r="BQ80" s="181">
        <f ca="1">IFERROR(__xludf.DUMMYFUNCTION("IMPORTRANGE(""https://docs.google.com/spreadsheets/d/1IwnW3-jjRf74MCLW-6PiFwMUffRQXZwZA7YM609NmRc/edit?usp=sharing"",""ปัตตานี!J734"")"),0)</f>
        <v>0</v>
      </c>
      <c r="BR80" s="181">
        <f ca="1">IFERROR(__xludf.DUMMYFUNCTION("IMPORTRANGE(""https://docs.google.com/spreadsheets/d/1IwnW3-jjRf74MCLW-6PiFwMUffRQXZwZA7YM609NmRc/edit?usp=sharing"",""ปัตตานี!J735"")"),0)</f>
        <v>0</v>
      </c>
    </row>
    <row r="81" spans="1:70" ht="21" customHeight="1" x14ac:dyDescent="0.3">
      <c r="A81" s="178">
        <v>7</v>
      </c>
      <c r="B81" s="179" t="s">
        <v>98</v>
      </c>
      <c r="C81" s="180">
        <f t="shared" ca="1" si="82"/>
        <v>2000</v>
      </c>
      <c r="D81" s="181">
        <f ca="1">IFERROR(__xludf.DUMMYFUNCTION("IMPORTRANGE(""https://docs.google.com/spreadsheets/d/1vl4QWbWdFruual5o_wdo6ZSqXZ_it806oja4CctTLKs/edit?usp=sharing"",""พังงา!L690"")"),2000)</f>
        <v>2000</v>
      </c>
      <c r="E81" s="187">
        <f ca="1">IFERROR(__xludf.DUMMYFUNCTION("IMPORTRANGE(""https://docs.google.com/spreadsheets/d/1vl4QWbWdFruual5o_wdo6ZSqXZ_it806oja4CctTLKs/edit?usp=sharing"",""พังงา!L697"")"),0)</f>
        <v>0</v>
      </c>
      <c r="F81" s="182">
        <f t="shared" ca="1" si="1"/>
        <v>0</v>
      </c>
      <c r="G81" s="183">
        <f t="shared" ca="1" si="2"/>
        <v>0</v>
      </c>
      <c r="H81" s="184">
        <f t="shared" ca="1" si="83"/>
        <v>0</v>
      </c>
      <c r="I81" s="187">
        <f ca="1">IFERROR(__xludf.DUMMYFUNCTION("IMPORTRANGE(""https://docs.google.com/spreadsheets/d/1vl4QWbWdFruual5o_wdo6ZSqXZ_it806oja4CctTLKs/edit?usp=sharing"",""พังงา!N691"")"),0)</f>
        <v>0</v>
      </c>
      <c r="J81" s="187">
        <f ca="1">IFERROR(__xludf.DUMMYFUNCTION("IMPORTRANGE(""https://docs.google.com/spreadsheets/d/1vl4QWbWdFruual5o_wdo6ZSqXZ_it806oja4CctTLKs/edit?usp=sharing"",""พังงา!N692"")"),0)</f>
        <v>0</v>
      </c>
      <c r="K81" s="187">
        <f ca="1">IFERROR(__xludf.DUMMYFUNCTION("IMPORTRANGE(""https://docs.google.com/spreadsheets/d/1vl4QWbWdFruual5o_wdo6ZSqXZ_it806oja4CctTLKs/edit?usp=sharing"",""พังงา!N693"")"),0)</f>
        <v>0</v>
      </c>
      <c r="L81" s="187">
        <f ca="1">IFERROR(__xludf.DUMMYFUNCTION("IMPORTRANGE(""https://docs.google.com/spreadsheets/d/1vl4QWbWdFruual5o_wdo6ZSqXZ_it806oja4CctTLKs/edit?usp=sharing"",""พังงา!N694"")"),0)</f>
        <v>0</v>
      </c>
      <c r="M81" s="185">
        <f ca="1">IFERROR(__xludf.DUMMYFUNCTION("IMPORTRANGE(""https://docs.google.com/spreadsheets/d/1vl4QWbWdFruual5o_wdo6ZSqXZ_it806oja4CctTLKs/edit?usp=sharing"",""พังงา!N697"")"),0)</f>
        <v>0</v>
      </c>
      <c r="N81" s="185">
        <f t="shared" ca="1" si="37"/>
        <v>0</v>
      </c>
      <c r="O81" s="181">
        <f ca="1">IFERROR(__xludf.DUMMYFUNCTION("IMPORTRANGE(""https://docs.google.com/spreadsheets/d/1vl4QWbWdFruual5o_wdo6ZSqXZ_it806oja4CctTLKs/edit?usp=sharing"",""พังงา!I699"")"),0)</f>
        <v>0</v>
      </c>
      <c r="P81" s="181">
        <f ca="1">IFERROR(__xludf.DUMMYFUNCTION("IMPORTRANGE(""https://docs.google.com/spreadsheets/d/1vl4QWbWdFruual5o_wdo6ZSqXZ_it806oja4CctTLKs/edit?usp=sharing"",""พังงา!J699"")"),0)</f>
        <v>0</v>
      </c>
      <c r="Q81" s="186">
        <f t="shared" ca="1" si="31"/>
        <v>0</v>
      </c>
      <c r="R81" s="181">
        <f ca="1">IFERROR(__xludf.DUMMYFUNCTION("IMPORTRANGE(""https://docs.google.com/spreadsheets/d/1vl4QWbWdFruual5o_wdo6ZSqXZ_it806oja4CctTLKs/edit?usp=sharing"",""พังงา!I700"")"),0)</f>
        <v>0</v>
      </c>
      <c r="S81" s="181">
        <f ca="1">IFERROR(__xludf.DUMMYFUNCTION("IMPORTRANGE(""https://docs.google.com/spreadsheets/d/1vl4QWbWdFruual5o_wdo6ZSqXZ_it806oja4CctTLKs/edit?usp=sharing"",""พังงา!J700"")"),0)</f>
        <v>0</v>
      </c>
      <c r="T81" s="186">
        <f t="shared" ca="1" si="32"/>
        <v>0</v>
      </c>
      <c r="U81" s="181">
        <f ca="1">IFERROR(__xludf.DUMMYFUNCTION("IMPORTRANGE(""https://docs.google.com/spreadsheets/d/1vl4QWbWdFruual5o_wdo6ZSqXZ_it806oja4CctTLKs/edit?usp=sharing"",""พังงา!I701"")"),50)</f>
        <v>50</v>
      </c>
      <c r="V81" s="181">
        <f ca="1">IFERROR(__xludf.DUMMYFUNCTION("IMPORTRANGE(""https://docs.google.com/spreadsheets/d/1vl4QWbWdFruual5o_wdo6ZSqXZ_it806oja4CctTLKs/edit?usp=sharing"",""พังงา!J701"")"),0)</f>
        <v>0</v>
      </c>
      <c r="W81" s="186">
        <f t="shared" ca="1" si="33"/>
        <v>0</v>
      </c>
      <c r="X81" s="186">
        <f ca="1">IFERROR(__xludf.DUMMYFUNCTION("IMPORTRANGE(""https://docs.google.com/spreadsheets/d/1vl4QWbWdFruual5o_wdo6ZSqXZ_it806oja4CctTLKs/edit?usp=sharing"",""พังงา!J702"")"),0)</f>
        <v>0</v>
      </c>
      <c r="Y81" s="186">
        <f ca="1">IFERROR(__xludf.DUMMYFUNCTION("IMPORTRANGE(""https://docs.google.com/spreadsheets/d/1vl4QWbWdFruual5o_wdo6ZSqXZ_it806oja4CctTLKs/edit?usp=sharing"",""พังงา!J703"")"),0)</f>
        <v>0</v>
      </c>
      <c r="Z81" s="186">
        <f ca="1">IFERROR(__xludf.DUMMYFUNCTION("IMPORTRANGE(""https://docs.google.com/spreadsheets/d/1vl4QWbWdFruual5o_wdo6ZSqXZ_it806oja4CctTLKs/edit?usp=sharing"",""พังงา!J704"")"),0)</f>
        <v>0</v>
      </c>
      <c r="AA81" s="186">
        <f ca="1">IFERROR(__xludf.DUMMYFUNCTION("IMPORTRANGE(""https://docs.google.com/spreadsheets/d/1vl4QWbWdFruual5o_wdo6ZSqXZ_it806oja4CctTLKs/edit?usp=sharing"",""พังงา!J705"")"),0)</f>
        <v>0</v>
      </c>
      <c r="AB81" s="186">
        <f ca="1">IFERROR(__xludf.DUMMYFUNCTION("IMPORTRANGE(""https://docs.google.com/spreadsheets/d/1vl4QWbWdFruual5o_wdo6ZSqXZ_it806oja4CctTLKs/edit?usp=sharing"",""พังงา!J706"")"),0)</f>
        <v>0</v>
      </c>
      <c r="AC81" s="186">
        <f ca="1">IFERROR(__xludf.DUMMYFUNCTION("IMPORTRANGE(""https://docs.google.com/spreadsheets/d/1vl4QWbWdFruual5o_wdo6ZSqXZ_it806oja4CctTLKs/edit?usp=sharing"",""พังงา!J707"")"),0)</f>
        <v>0</v>
      </c>
      <c r="AD81" s="181">
        <f ca="1">IFERROR(__xludf.DUMMYFUNCTION("IMPORTRANGE(""https://docs.google.com/spreadsheets/d/1vl4QWbWdFruual5o_wdo6ZSqXZ_it806oja4CctTLKs/edit?usp=sharing"",""พังงา!I708"")"),0)</f>
        <v>0</v>
      </c>
      <c r="AE81" s="181">
        <f ca="1">IFERROR(__xludf.DUMMYFUNCTION("IMPORTRANGE(""https://docs.google.com/spreadsheets/d/1vl4QWbWdFruual5o_wdo6ZSqXZ_it806oja4CctTLKs/edit?usp=sharing"",""พังงา!J708"")"),0)</f>
        <v>0</v>
      </c>
      <c r="AF81" s="186">
        <f t="shared" ca="1" si="34"/>
        <v>0</v>
      </c>
      <c r="AG81" s="181">
        <f ca="1">IFERROR(__xludf.DUMMYFUNCTION("IMPORTRANGE(""https://docs.google.com/spreadsheets/d/1vl4QWbWdFruual5o_wdo6ZSqXZ_it806oja4CctTLKs/edit?usp=sharing"",""พังงา!J709"")"),0)</f>
        <v>0</v>
      </c>
      <c r="AH81" s="181">
        <f ca="1">IFERROR(__xludf.DUMMYFUNCTION("IMPORTRANGE(""https://docs.google.com/spreadsheets/d/1vl4QWbWdFruual5o_wdo6ZSqXZ_it806oja4CctTLKs/edit?usp=sharing"",""พังงา!J710"")"),0)</f>
        <v>0</v>
      </c>
      <c r="AI81" s="181">
        <f ca="1">IFERROR(__xludf.DUMMYFUNCTION("IMPORTRANGE(""https://docs.google.com/spreadsheets/d/1vl4QWbWdFruual5o_wdo6ZSqXZ_it806oja4CctTLKs/edit?usp=sharing"",""พังงา!J712"")"),0)</f>
        <v>0</v>
      </c>
      <c r="AJ81" s="181">
        <f ca="1">IFERROR(__xludf.DUMMYFUNCTION("IMPORTRANGE(""https://docs.google.com/spreadsheets/d/1vl4QWbWdFruual5o_wdo6ZSqXZ_it806oja4CctTLKs/edit?usp=sharing"",""พังงา!J713"")"),0)</f>
        <v>0</v>
      </c>
      <c r="AK81" s="181">
        <f ca="1">IFERROR(__xludf.DUMMYFUNCTION("IMPORTRANGE(""https://docs.google.com/spreadsheets/d/1vl4QWbWdFruual5o_wdo6ZSqXZ_it806oja4CctTLKs/edit?usp=sharing"",""พังงา!J714"")"),0)</f>
        <v>0</v>
      </c>
      <c r="AL81" s="181">
        <f ca="1">IFERROR(__xludf.DUMMYFUNCTION("IMPORTRANGE(""https://docs.google.com/spreadsheets/d/1vl4QWbWdFruual5o_wdo6ZSqXZ_it806oja4CctTLKs/edit?usp=sharing"",""พังงา!J715"")"),0)</f>
        <v>0</v>
      </c>
      <c r="AM81" s="181">
        <f ca="1">IFERROR(__xludf.DUMMYFUNCTION("IMPORTRANGE(""https://docs.google.com/spreadsheets/d/1vl4QWbWdFruual5o_wdo6ZSqXZ_it806oja4CctTLKs/edit?usp=sharing"",""พังงา!J716"")"),0)</f>
        <v>0</v>
      </c>
      <c r="AN81" s="181">
        <f ca="1">IFERROR(__xludf.DUMMYFUNCTION("IMPORTRANGE(""https://docs.google.com/spreadsheets/d/1vl4QWbWdFruual5o_wdo6ZSqXZ_it806oja4CctTLKs/edit?usp=sharing"",""พังงา!J717"")"),0)</f>
        <v>0</v>
      </c>
      <c r="AO81" s="181">
        <f ca="1">IFERROR(__xludf.DUMMYFUNCTION("IMPORTRANGE(""https://docs.google.com/spreadsheets/d/1vl4QWbWdFruual5o_wdo6ZSqXZ_it806oja4CctTLKs/edit?usp=sharing"",""พังงา!I720"")"),0)</f>
        <v>0</v>
      </c>
      <c r="AP81" s="181">
        <f ca="1">IFERROR(__xludf.DUMMYFUNCTION("IMPORTRANGE(""https://docs.google.com/spreadsheets/d/1vl4QWbWdFruual5o_wdo6ZSqXZ_it806oja4CctTLKs/edit?usp=sharing"",""พังงา!J718"")"),0)</f>
        <v>0</v>
      </c>
      <c r="AQ81" s="181">
        <f ca="1">IFERROR(__xludf.DUMMYFUNCTION("IMPORTRANGE(""https://docs.google.com/spreadsheets/d/1vl4QWbWdFruual5o_wdo6ZSqXZ_it806oja4CctTLKs/edit?usp=sharing"",""พังงา!J719"")"),0)</f>
        <v>0</v>
      </c>
      <c r="AR81" s="181">
        <f ca="1">IFERROR(__xludf.DUMMYFUNCTION("IMPORTRANGE(""https://docs.google.com/spreadsheets/d/1vl4QWbWdFruual5o_wdo6ZSqXZ_it806oja4CctTLKs/edit?usp=sharing"",""พังงา!J720"")"),0)</f>
        <v>0</v>
      </c>
      <c r="AS81" s="186">
        <f t="shared" ca="1" si="14"/>
        <v>0</v>
      </c>
      <c r="AT81" s="181">
        <f ca="1">IFERROR(__xludf.DUMMYFUNCTION("IMPORTRANGE(""https://docs.google.com/spreadsheets/d/1vl4QWbWdFruual5o_wdo6ZSqXZ_it806oja4CctTLKs/edit?usp=sharing"",""พังงา!I721"")"),0)</f>
        <v>0</v>
      </c>
      <c r="AU81" s="181">
        <f ca="1">IFERROR(__xludf.DUMMYFUNCTION("IMPORTRANGE(""https://docs.google.com/spreadsheets/d/1vl4QWbWdFruual5o_wdo6ZSqXZ_it806oja4CctTLKs/edit?usp=sharing"",""พังงา!I722"")"),0)</f>
        <v>0</v>
      </c>
      <c r="AV81" s="181">
        <f ca="1">IFERROR(__xludf.DUMMYFUNCTION("IMPORTRANGE(""https://docs.google.com/spreadsheets/d/1vl4QWbWdFruual5o_wdo6ZSqXZ_it806oja4CctTLKs/edit?usp=sharing"",""พังงา!J721"")"),0)</f>
        <v>0</v>
      </c>
      <c r="AW81" s="186">
        <f t="shared" ca="1" si="16"/>
        <v>0</v>
      </c>
      <c r="AX81" s="181">
        <f ca="1">IFERROR(__xludf.DUMMYFUNCTION("IMPORTRANGE(""https://docs.google.com/spreadsheets/d/1vl4QWbWdFruual5o_wdo6ZSqXZ_it806oja4CctTLKs/edit?usp=sharing"",""พังงา!J722"")"),0)</f>
        <v>0</v>
      </c>
      <c r="AY81" s="186">
        <f t="shared" ca="1" si="17"/>
        <v>0</v>
      </c>
      <c r="AZ81" s="181">
        <f ca="1">IFERROR(__xludf.DUMMYFUNCTION("IMPORTRANGE(""https://docs.google.com/spreadsheets/d/1vl4QWbWdFruual5o_wdo6ZSqXZ_it806oja4CctTLKs/edit?usp=sharing"",""พังงา!I723"")"),0)</f>
        <v>0</v>
      </c>
      <c r="BA81" s="181">
        <f ca="1">IFERROR(__xludf.DUMMYFUNCTION("IMPORTRANGE(""https://docs.google.com/spreadsheets/d/1vl4QWbWdFruual5o_wdo6ZSqXZ_it806oja4CctTLKs/edit?usp=sharing"",""พังงา!I725"")"),0)</f>
        <v>0</v>
      </c>
      <c r="BB81" s="181">
        <f ca="1">IFERROR(__xludf.DUMMYFUNCTION("IMPORTRANGE(""https://docs.google.com/spreadsheets/d/1vl4QWbWdFruual5o_wdo6ZSqXZ_it806oja4CctTLKs/edit?usp=sharing"",""พังงา!J723"")"),0)</f>
        <v>0</v>
      </c>
      <c r="BC81" s="181">
        <f ca="1">IFERROR(__xludf.DUMMYFUNCTION("IMPORTRANGE(""https://docs.google.com/spreadsheets/d/1vl4QWbWdFruual5o_wdo6ZSqXZ_it806oja4CctTLKs/edit?usp=sharing"",""พังงา!J724"")"),0)</f>
        <v>0</v>
      </c>
      <c r="BD81" s="181">
        <f ca="1">IFERROR(__xludf.DUMMYFUNCTION("IMPORTRANGE(""https://docs.google.com/spreadsheets/d/1vl4QWbWdFruual5o_wdo6ZSqXZ_it806oja4CctTLKs/edit?usp=sharing"",""พังงา!J725"")"),0)</f>
        <v>0</v>
      </c>
      <c r="BE81" s="181">
        <f ca="1">IFERROR(__xludf.DUMMYFUNCTION("IMPORTRANGE(""https://docs.google.com/spreadsheets/d/1vl4QWbWdFruual5o_wdo6ZSqXZ_it806oja4CctTLKs/edit?usp=sharing"",""พังงา!I726"")"),0)</f>
        <v>0</v>
      </c>
      <c r="BF81" s="181">
        <f ca="1">IFERROR(__xludf.DUMMYFUNCTION("IMPORTRANGE(""https://docs.google.com/spreadsheets/d/1vl4QWbWdFruual5o_wdo6ZSqXZ_it806oja4CctTLKs/edit?usp=sharing"",""พังงา!I728"")"),0)</f>
        <v>0</v>
      </c>
      <c r="BG81" s="181">
        <f ca="1">IFERROR(__xludf.DUMMYFUNCTION("IMPORTRANGE(""https://docs.google.com/spreadsheets/d/1vl4QWbWdFruual5o_wdo6ZSqXZ_it806oja4CctTLKs/edit?usp=sharing"",""พังงา!J726"")"),0)</f>
        <v>0</v>
      </c>
      <c r="BH81" s="181">
        <f ca="1">IFERROR(__xludf.DUMMYFUNCTION("IMPORTRANGE(""https://docs.google.com/spreadsheets/d/1vl4QWbWdFruual5o_wdo6ZSqXZ_it806oja4CctTLKs/edit?usp=sharing"",""พังงา!J727"")"),0)</f>
        <v>0</v>
      </c>
      <c r="BI81" s="181">
        <f ca="1">IFERROR(__xludf.DUMMYFUNCTION("IMPORTRANGE(""https://docs.google.com/spreadsheets/d/1vl4QWbWdFruual5o_wdo6ZSqXZ_it806oja4CctTLKs/edit?usp=sharing"",""พังงา!J728"")"),0)</f>
        <v>0</v>
      </c>
      <c r="BJ81" s="181">
        <f ca="1">IFERROR(__xludf.DUMMYFUNCTION("IMPORTRANGE(""https://docs.google.com/spreadsheets/d/1vl4QWbWdFruual5o_wdo6ZSqXZ_it806oja4CctTLKs/edit?usp=sharing"",""พังงา!I729"")"),0)</f>
        <v>0</v>
      </c>
      <c r="BK81" s="181">
        <f ca="1">IFERROR(__xludf.DUMMYFUNCTION("IMPORTRANGE(""https://docs.google.com/spreadsheets/d/1vl4QWbWdFruual5o_wdo6ZSqXZ_it806oja4CctTLKs/edit?usp=sharing"",""พังงา!J729"")"),0)</f>
        <v>0</v>
      </c>
      <c r="BL81" s="186">
        <f t="shared" ca="1" si="19"/>
        <v>0</v>
      </c>
      <c r="BM81" s="181">
        <f ca="1">IFERROR(__xludf.DUMMYFUNCTION("IMPORTRANGE(""https://docs.google.com/spreadsheets/d/1vl4QWbWdFruual5o_wdo6ZSqXZ_it806oja4CctTLKs/edit?usp=sharing"",""พังงา!J730"")"),0)</f>
        <v>0</v>
      </c>
      <c r="BN81" s="181">
        <f ca="1">IFERROR(__xludf.DUMMYFUNCTION("IMPORTRANGE(""https://docs.google.com/spreadsheets/d/1vl4QWbWdFruual5o_wdo6ZSqXZ_it806oja4CctTLKs/edit?usp=sharing"",""พังงา!J731"")"),0)</f>
        <v>0</v>
      </c>
      <c r="BO81" s="181">
        <f ca="1">IFERROR(__xludf.DUMMYFUNCTION("IMPORTRANGE(""https://docs.google.com/spreadsheets/d/1vl4QWbWdFruual5o_wdo6ZSqXZ_it806oja4CctTLKs/edit?usp=sharing"",""พังงา!J732"")"),0)</f>
        <v>0</v>
      </c>
      <c r="BP81" s="181">
        <f ca="1">IFERROR(__xludf.DUMMYFUNCTION("IMPORTRANGE(""https://docs.google.com/spreadsheets/d/1vl4QWbWdFruual5o_wdo6ZSqXZ_it806oja4CctTLKs/edit?usp=sharing"",""พังงา!J733"")"),0)</f>
        <v>0</v>
      </c>
      <c r="BQ81" s="181">
        <f ca="1">IFERROR(__xludf.DUMMYFUNCTION("IMPORTRANGE(""https://docs.google.com/spreadsheets/d/1vl4QWbWdFruual5o_wdo6ZSqXZ_it806oja4CctTLKs/edit?usp=sharing"",""พังงา!J734"")"),0)</f>
        <v>0</v>
      </c>
      <c r="BR81" s="181">
        <f ca="1">IFERROR(__xludf.DUMMYFUNCTION("IMPORTRANGE(""https://docs.google.com/spreadsheets/d/1vl4QWbWdFruual5o_wdo6ZSqXZ_it806oja4CctTLKs/edit?usp=sharing"",""พังงา!J735"")"),0)</f>
        <v>0</v>
      </c>
    </row>
    <row r="82" spans="1:70" ht="21" customHeight="1" x14ac:dyDescent="0.3">
      <c r="A82" s="178">
        <v>8</v>
      </c>
      <c r="B82" s="179" t="s">
        <v>99</v>
      </c>
      <c r="C82" s="180">
        <f t="shared" ca="1" si="82"/>
        <v>0</v>
      </c>
      <c r="D82" s="181">
        <f ca="1">IFERROR(__xludf.DUMMYFUNCTION("IMPORTRANGE(""https://docs.google.com/spreadsheets/d/1b6QssHQp2FoAPSMKHOy273KNzAomaIKhtdlvuZ_zDNE/edit?usp=sharing"",""พัทลุง!L690"")"),0)</f>
        <v>0</v>
      </c>
      <c r="E82" s="187">
        <f ca="1">IFERROR(__xludf.DUMMYFUNCTION("IMPORTRANGE(""https://docs.google.com/spreadsheets/d/1b6QssHQp2FoAPSMKHOy273KNzAomaIKhtdlvuZ_zDNE/edit?usp=sharing"",""พัทลุง!L697"")"),0)</f>
        <v>0</v>
      </c>
      <c r="F82" s="182">
        <f t="shared" ca="1" si="1"/>
        <v>0</v>
      </c>
      <c r="G82" s="183">
        <f t="shared" ca="1" si="2"/>
        <v>0</v>
      </c>
      <c r="H82" s="184">
        <f t="shared" ca="1" si="83"/>
        <v>0</v>
      </c>
      <c r="I82" s="187">
        <f ca="1">IFERROR(__xludf.DUMMYFUNCTION("IMPORTRANGE(""https://docs.google.com/spreadsheets/d/1b6QssHQp2FoAPSMKHOy273KNzAomaIKhtdlvuZ_zDNE/edit?usp=sharing"",""พัทลุง!N691"")"),0)</f>
        <v>0</v>
      </c>
      <c r="J82" s="187">
        <f ca="1">IFERROR(__xludf.DUMMYFUNCTION("IMPORTRANGE(""https://docs.google.com/spreadsheets/d/1b6QssHQp2FoAPSMKHOy273KNzAomaIKhtdlvuZ_zDNE/edit?usp=sharing"",""พัทลุง!N692"")"),0)</f>
        <v>0</v>
      </c>
      <c r="K82" s="187">
        <f ca="1">IFERROR(__xludf.DUMMYFUNCTION("IMPORTRANGE(""https://docs.google.com/spreadsheets/d/1b6QssHQp2FoAPSMKHOy273KNzAomaIKhtdlvuZ_zDNE/edit?usp=sharing"",""พัทลุง!N693"")"),0)</f>
        <v>0</v>
      </c>
      <c r="L82" s="187">
        <f ca="1">IFERROR(__xludf.DUMMYFUNCTION("IMPORTRANGE(""https://docs.google.com/spreadsheets/d/1b6QssHQp2FoAPSMKHOy273KNzAomaIKhtdlvuZ_zDNE/edit?usp=sharing"",""พัทลุง!N694"")"),0)</f>
        <v>0</v>
      </c>
      <c r="M82" s="185">
        <f ca="1">IFERROR(__xludf.DUMMYFUNCTION("IMPORTRANGE(""https://docs.google.com/spreadsheets/d/1b6QssHQp2FoAPSMKHOy273KNzAomaIKhtdlvuZ_zDNE/edit?usp=sharing"",""พัทลุง!N697"")"),0)</f>
        <v>0</v>
      </c>
      <c r="N82" s="185">
        <f t="shared" ca="1" si="37"/>
        <v>0</v>
      </c>
      <c r="O82" s="181">
        <f ca="1">IFERROR(__xludf.DUMMYFUNCTION("IMPORTRANGE(""https://docs.google.com/spreadsheets/d/1b6QssHQp2FoAPSMKHOy273KNzAomaIKhtdlvuZ_zDNE/edit?usp=sharing"",""พัทลุง!I699"")"),0)</f>
        <v>0</v>
      </c>
      <c r="P82" s="181">
        <f ca="1">IFERROR(__xludf.DUMMYFUNCTION("IMPORTRANGE(""https://docs.google.com/spreadsheets/d/1b6QssHQp2FoAPSMKHOy273KNzAomaIKhtdlvuZ_zDNE/edit?usp=sharing"",""พัทลุง!J699"")"),0)</f>
        <v>0</v>
      </c>
      <c r="Q82" s="186">
        <f t="shared" ca="1" si="31"/>
        <v>0</v>
      </c>
      <c r="R82" s="181">
        <f ca="1">IFERROR(__xludf.DUMMYFUNCTION("IMPORTRANGE(""https://docs.google.com/spreadsheets/d/1b6QssHQp2FoAPSMKHOy273KNzAomaIKhtdlvuZ_zDNE/edit?usp=sharing"",""พัทลุง!I700"")"),0)</f>
        <v>0</v>
      </c>
      <c r="S82" s="181">
        <f ca="1">IFERROR(__xludf.DUMMYFUNCTION("IMPORTRANGE(""https://docs.google.com/spreadsheets/d/1b6QssHQp2FoAPSMKHOy273KNzAomaIKhtdlvuZ_zDNE/edit?usp=sharing"",""พัทลุง!J700"")"),0)</f>
        <v>0</v>
      </c>
      <c r="T82" s="186">
        <f t="shared" ca="1" si="32"/>
        <v>0</v>
      </c>
      <c r="U82" s="181">
        <f ca="1">IFERROR(__xludf.DUMMYFUNCTION("IMPORTRANGE(""https://docs.google.com/spreadsheets/d/1b6QssHQp2FoAPSMKHOy273KNzAomaIKhtdlvuZ_zDNE/edit?usp=sharing"",""พัทลุง!I701"")"),0)</f>
        <v>0</v>
      </c>
      <c r="V82" s="181">
        <f ca="1">IFERROR(__xludf.DUMMYFUNCTION("IMPORTRANGE(""https://docs.google.com/spreadsheets/d/1b6QssHQp2FoAPSMKHOy273KNzAomaIKhtdlvuZ_zDNE/edit?usp=sharing"",""พัทลุง!J701"")"),0)</f>
        <v>0</v>
      </c>
      <c r="W82" s="186">
        <f t="shared" ca="1" si="33"/>
        <v>0</v>
      </c>
      <c r="X82" s="186">
        <f ca="1">IFERROR(__xludf.DUMMYFUNCTION("IMPORTRANGE(""https://docs.google.com/spreadsheets/d/1b6QssHQp2FoAPSMKHOy273KNzAomaIKhtdlvuZ_zDNE/edit?usp=sharing"",""พัทลุง!J702"")"),0)</f>
        <v>0</v>
      </c>
      <c r="Y82" s="186">
        <f ca="1">IFERROR(__xludf.DUMMYFUNCTION("IMPORTRANGE(""https://docs.google.com/spreadsheets/d/1b6QssHQp2FoAPSMKHOy273KNzAomaIKhtdlvuZ_zDNE/edit?usp=sharing"",""พัทลุง!J703"")"),0)</f>
        <v>0</v>
      </c>
      <c r="Z82" s="186">
        <f ca="1">IFERROR(__xludf.DUMMYFUNCTION("IMPORTRANGE(""https://docs.google.com/spreadsheets/d/1b6QssHQp2FoAPSMKHOy273KNzAomaIKhtdlvuZ_zDNE/edit?usp=sharing"",""พัทลุง!J704"")"),0)</f>
        <v>0</v>
      </c>
      <c r="AA82" s="186">
        <f ca="1">IFERROR(__xludf.DUMMYFUNCTION("IMPORTRANGE(""https://docs.google.com/spreadsheets/d/1b6QssHQp2FoAPSMKHOy273KNzAomaIKhtdlvuZ_zDNE/edit?usp=sharing"",""พัทลุง!J705"")"),0)</f>
        <v>0</v>
      </c>
      <c r="AB82" s="186">
        <f ca="1">IFERROR(__xludf.DUMMYFUNCTION("IMPORTRANGE(""https://docs.google.com/spreadsheets/d/1b6QssHQp2FoAPSMKHOy273KNzAomaIKhtdlvuZ_zDNE/edit?usp=sharing"",""พัทลุง!J706"")"),0)</f>
        <v>0</v>
      </c>
      <c r="AC82" s="186">
        <f ca="1">IFERROR(__xludf.DUMMYFUNCTION("IMPORTRANGE(""https://docs.google.com/spreadsheets/d/1b6QssHQp2FoAPSMKHOy273KNzAomaIKhtdlvuZ_zDNE/edit?usp=sharing"",""พัทลุง!J707"")"),0)</f>
        <v>0</v>
      </c>
      <c r="AD82" s="181">
        <f ca="1">IFERROR(__xludf.DUMMYFUNCTION("IMPORTRANGE(""https://docs.google.com/spreadsheets/d/1b6QssHQp2FoAPSMKHOy273KNzAomaIKhtdlvuZ_zDNE/edit?usp=sharing"",""พัทลุง!I708"")"),0)</f>
        <v>0</v>
      </c>
      <c r="AE82" s="181">
        <f ca="1">IFERROR(__xludf.DUMMYFUNCTION("IMPORTRANGE(""https://docs.google.com/spreadsheets/d/1b6QssHQp2FoAPSMKHOy273KNzAomaIKhtdlvuZ_zDNE/edit?usp=sharing"",""พัทลุง!J708"")"),0)</f>
        <v>0</v>
      </c>
      <c r="AF82" s="186">
        <f t="shared" ca="1" si="34"/>
        <v>0</v>
      </c>
      <c r="AG82" s="181">
        <f ca="1">IFERROR(__xludf.DUMMYFUNCTION("IMPORTRANGE(""https://docs.google.com/spreadsheets/d/1b6QssHQp2FoAPSMKHOy273KNzAomaIKhtdlvuZ_zDNE/edit?usp=sharing"",""พัทลุง!J709"")"),0)</f>
        <v>0</v>
      </c>
      <c r="AH82" s="181">
        <f ca="1">IFERROR(__xludf.DUMMYFUNCTION("IMPORTRANGE(""https://docs.google.com/spreadsheets/d/1b6QssHQp2FoAPSMKHOy273KNzAomaIKhtdlvuZ_zDNE/edit?usp=sharing"",""พัทลุง!J710"")"),0)</f>
        <v>0</v>
      </c>
      <c r="AI82" s="181">
        <f ca="1">IFERROR(__xludf.DUMMYFUNCTION("IMPORTRANGE(""https://docs.google.com/spreadsheets/d/1b6QssHQp2FoAPSMKHOy273KNzAomaIKhtdlvuZ_zDNE/edit?usp=sharing"",""พัทลุง!J712"")"),0)</f>
        <v>0</v>
      </c>
      <c r="AJ82" s="181">
        <f ca="1">IFERROR(__xludf.DUMMYFUNCTION("IMPORTRANGE(""https://docs.google.com/spreadsheets/d/1b6QssHQp2FoAPSMKHOy273KNzAomaIKhtdlvuZ_zDNE/edit?usp=sharing"",""พัทลุง!J713"")"),0)</f>
        <v>0</v>
      </c>
      <c r="AK82" s="181">
        <f ca="1">IFERROR(__xludf.DUMMYFUNCTION("IMPORTRANGE(""https://docs.google.com/spreadsheets/d/1b6QssHQp2FoAPSMKHOy273KNzAomaIKhtdlvuZ_zDNE/edit?usp=sharing"",""พัทลุง!J714"")"),0)</f>
        <v>0</v>
      </c>
      <c r="AL82" s="181">
        <f ca="1">IFERROR(__xludf.DUMMYFUNCTION("IMPORTRANGE(""https://docs.google.com/spreadsheets/d/1b6QssHQp2FoAPSMKHOy273KNzAomaIKhtdlvuZ_zDNE/edit?usp=sharing"",""พัทลุง!J715"")"),0)</f>
        <v>0</v>
      </c>
      <c r="AM82" s="181">
        <f ca="1">IFERROR(__xludf.DUMMYFUNCTION("IMPORTRANGE(""https://docs.google.com/spreadsheets/d/1b6QssHQp2FoAPSMKHOy273KNzAomaIKhtdlvuZ_zDNE/edit?usp=sharing"",""พัทลุง!J716"")"),0)</f>
        <v>0</v>
      </c>
      <c r="AN82" s="181">
        <f ca="1">IFERROR(__xludf.DUMMYFUNCTION("IMPORTRANGE(""https://docs.google.com/spreadsheets/d/1b6QssHQp2FoAPSMKHOy273KNzAomaIKhtdlvuZ_zDNE/edit?usp=sharing"",""พัทลุง!J717"")"),0)</f>
        <v>0</v>
      </c>
      <c r="AO82" s="181">
        <f ca="1">IFERROR(__xludf.DUMMYFUNCTION("IMPORTRANGE(""https://docs.google.com/spreadsheets/d/1b6QssHQp2FoAPSMKHOy273KNzAomaIKhtdlvuZ_zDNE/edit?usp=sharing"",""พัทลุง!I720"")"),0)</f>
        <v>0</v>
      </c>
      <c r="AP82" s="181">
        <f ca="1">IFERROR(__xludf.DUMMYFUNCTION("IMPORTRANGE(""https://docs.google.com/spreadsheets/d/1b6QssHQp2FoAPSMKHOy273KNzAomaIKhtdlvuZ_zDNE/edit?usp=sharing"",""พัทลุง!J718"")"),0)</f>
        <v>0</v>
      </c>
      <c r="AQ82" s="181">
        <f ca="1">IFERROR(__xludf.DUMMYFUNCTION("IMPORTRANGE(""https://docs.google.com/spreadsheets/d/1b6QssHQp2FoAPSMKHOy273KNzAomaIKhtdlvuZ_zDNE/edit?usp=sharing"",""พัทลุง!J719"")"),0)</f>
        <v>0</v>
      </c>
      <c r="AR82" s="181">
        <f ca="1">IFERROR(__xludf.DUMMYFUNCTION("IMPORTRANGE(""https://docs.google.com/spreadsheets/d/1b6QssHQp2FoAPSMKHOy273KNzAomaIKhtdlvuZ_zDNE/edit?usp=sharing"",""พัทลุง!J720"")"),0)</f>
        <v>0</v>
      </c>
      <c r="AS82" s="186">
        <f t="shared" ca="1" si="14"/>
        <v>0</v>
      </c>
      <c r="AT82" s="181">
        <f ca="1">IFERROR(__xludf.DUMMYFUNCTION("IMPORTRANGE(""https://docs.google.com/spreadsheets/d/1b6QssHQp2FoAPSMKHOy273KNzAomaIKhtdlvuZ_zDNE/edit?usp=sharing"",""พัทลุง!I721"")"),0)</f>
        <v>0</v>
      </c>
      <c r="AU82" s="181">
        <f ca="1">IFERROR(__xludf.DUMMYFUNCTION("IMPORTRANGE(""https://docs.google.com/spreadsheets/d/1b6QssHQp2FoAPSMKHOy273KNzAomaIKhtdlvuZ_zDNE/edit?usp=sharing"",""พัทลุง!I722"")"),0)</f>
        <v>0</v>
      </c>
      <c r="AV82" s="181">
        <f ca="1">IFERROR(__xludf.DUMMYFUNCTION("IMPORTRANGE(""https://docs.google.com/spreadsheets/d/1b6QssHQp2FoAPSMKHOy273KNzAomaIKhtdlvuZ_zDNE/edit?usp=sharing"",""พัทลุง!J721"")"),0)</f>
        <v>0</v>
      </c>
      <c r="AW82" s="186">
        <f t="shared" ca="1" si="16"/>
        <v>0</v>
      </c>
      <c r="AX82" s="181">
        <f ca="1">IFERROR(__xludf.DUMMYFUNCTION("IMPORTRANGE(""https://docs.google.com/spreadsheets/d/1b6QssHQp2FoAPSMKHOy273KNzAomaIKhtdlvuZ_zDNE/edit?usp=sharing"",""พัทลุง!J722"")"),0)</f>
        <v>0</v>
      </c>
      <c r="AY82" s="186">
        <f t="shared" ca="1" si="17"/>
        <v>0</v>
      </c>
      <c r="AZ82" s="181">
        <f ca="1">IFERROR(__xludf.DUMMYFUNCTION("IMPORTRANGE(""https://docs.google.com/spreadsheets/d/1b6QssHQp2FoAPSMKHOy273KNzAomaIKhtdlvuZ_zDNE/edit?usp=sharing"",""พัทลุง!I723"")"),0)</f>
        <v>0</v>
      </c>
      <c r="BA82" s="181">
        <f ca="1">IFERROR(__xludf.DUMMYFUNCTION("IMPORTRANGE(""https://docs.google.com/spreadsheets/d/1b6QssHQp2FoAPSMKHOy273KNzAomaIKhtdlvuZ_zDNE/edit?usp=sharing"",""พัทลุง!I725"")"),0)</f>
        <v>0</v>
      </c>
      <c r="BB82" s="181">
        <f ca="1">IFERROR(__xludf.DUMMYFUNCTION("IMPORTRANGE(""https://docs.google.com/spreadsheets/d/1b6QssHQp2FoAPSMKHOy273KNzAomaIKhtdlvuZ_zDNE/edit?usp=sharing"",""พัทลุง!J723"")"),0)</f>
        <v>0</v>
      </c>
      <c r="BC82" s="181">
        <f ca="1">IFERROR(__xludf.DUMMYFUNCTION("IMPORTRANGE(""https://docs.google.com/spreadsheets/d/1b6QssHQp2FoAPSMKHOy273KNzAomaIKhtdlvuZ_zDNE/edit?usp=sharing"",""พัทลุง!J724"")"),0)</f>
        <v>0</v>
      </c>
      <c r="BD82" s="181">
        <f ca="1">IFERROR(__xludf.DUMMYFUNCTION("IMPORTRANGE(""https://docs.google.com/spreadsheets/d/1b6QssHQp2FoAPSMKHOy273KNzAomaIKhtdlvuZ_zDNE/edit?usp=sharing"",""พัทลุง!J725"")"),0)</f>
        <v>0</v>
      </c>
      <c r="BE82" s="181">
        <f ca="1">IFERROR(__xludf.DUMMYFUNCTION("IMPORTRANGE(""https://docs.google.com/spreadsheets/d/1b6QssHQp2FoAPSMKHOy273KNzAomaIKhtdlvuZ_zDNE/edit?usp=sharing"",""พัทลุง!I726"")"),0)</f>
        <v>0</v>
      </c>
      <c r="BF82" s="181">
        <f ca="1">IFERROR(__xludf.DUMMYFUNCTION("IMPORTRANGE(""https://docs.google.com/spreadsheets/d/1b6QssHQp2FoAPSMKHOy273KNzAomaIKhtdlvuZ_zDNE/edit?usp=sharing"",""พัทลุง!I728"")"),0)</f>
        <v>0</v>
      </c>
      <c r="BG82" s="181">
        <f ca="1">IFERROR(__xludf.DUMMYFUNCTION("IMPORTRANGE(""https://docs.google.com/spreadsheets/d/1b6QssHQp2FoAPSMKHOy273KNzAomaIKhtdlvuZ_zDNE/edit?usp=sharing"",""พัทลุง!J726"")"),0)</f>
        <v>0</v>
      </c>
      <c r="BH82" s="181">
        <f ca="1">IFERROR(__xludf.DUMMYFUNCTION("IMPORTRANGE(""https://docs.google.com/spreadsheets/d/1b6QssHQp2FoAPSMKHOy273KNzAomaIKhtdlvuZ_zDNE/edit?usp=sharing"",""พัทลุง!J727"")"),0)</f>
        <v>0</v>
      </c>
      <c r="BI82" s="181">
        <f ca="1">IFERROR(__xludf.DUMMYFUNCTION("IMPORTRANGE(""https://docs.google.com/spreadsheets/d/1b6QssHQp2FoAPSMKHOy273KNzAomaIKhtdlvuZ_zDNE/edit?usp=sharing"",""พัทลุง!J728"")"),0)</f>
        <v>0</v>
      </c>
      <c r="BJ82" s="181">
        <f ca="1">IFERROR(__xludf.DUMMYFUNCTION("IMPORTRANGE(""https://docs.google.com/spreadsheets/d/1b6QssHQp2FoAPSMKHOy273KNzAomaIKhtdlvuZ_zDNE/edit?usp=sharing"",""พัทลุง!I729"")"),0)</f>
        <v>0</v>
      </c>
      <c r="BK82" s="181">
        <f ca="1">IFERROR(__xludf.DUMMYFUNCTION("IMPORTRANGE(""https://docs.google.com/spreadsheets/d/1b6QssHQp2FoAPSMKHOy273KNzAomaIKhtdlvuZ_zDNE/edit?usp=sharing"",""พัทลุง!J729"")"),0)</f>
        <v>0</v>
      </c>
      <c r="BL82" s="186">
        <f t="shared" ca="1" si="19"/>
        <v>0</v>
      </c>
      <c r="BM82" s="181">
        <f ca="1">IFERROR(__xludf.DUMMYFUNCTION("IMPORTRANGE(""https://docs.google.com/spreadsheets/d/1b6QssHQp2FoAPSMKHOy273KNzAomaIKhtdlvuZ_zDNE/edit?usp=sharing"",""พัทลุง!J730"")"),0)</f>
        <v>0</v>
      </c>
      <c r="BN82" s="181">
        <f ca="1">IFERROR(__xludf.DUMMYFUNCTION("IMPORTRANGE(""https://docs.google.com/spreadsheets/d/1b6QssHQp2FoAPSMKHOy273KNzAomaIKhtdlvuZ_zDNE/edit?usp=sharing"",""พัทลุง!J731"")"),0)</f>
        <v>0</v>
      </c>
      <c r="BO82" s="181">
        <f ca="1">IFERROR(__xludf.DUMMYFUNCTION("IMPORTRANGE(""https://docs.google.com/spreadsheets/d/1b6QssHQp2FoAPSMKHOy273KNzAomaIKhtdlvuZ_zDNE/edit?usp=sharing"",""พัทลุง!J732"")"),0)</f>
        <v>0</v>
      </c>
      <c r="BP82" s="181">
        <f ca="1">IFERROR(__xludf.DUMMYFUNCTION("IMPORTRANGE(""https://docs.google.com/spreadsheets/d/1b6QssHQp2FoAPSMKHOy273KNzAomaIKhtdlvuZ_zDNE/edit?usp=sharing"",""พัทลุง!J733"")"),0)</f>
        <v>0</v>
      </c>
      <c r="BQ82" s="181">
        <f ca="1">IFERROR(__xludf.DUMMYFUNCTION("IMPORTRANGE(""https://docs.google.com/spreadsheets/d/1b6QssHQp2FoAPSMKHOy273KNzAomaIKhtdlvuZ_zDNE/edit?usp=sharing"",""พัทลุง!J734"")"),0)</f>
        <v>0</v>
      </c>
      <c r="BR82" s="181">
        <f ca="1">IFERROR(__xludf.DUMMYFUNCTION("IMPORTRANGE(""https://docs.google.com/spreadsheets/d/1b6QssHQp2FoAPSMKHOy273KNzAomaIKhtdlvuZ_zDNE/edit?usp=sharing"",""พัทลุง!J735"")"),0)</f>
        <v>0</v>
      </c>
    </row>
    <row r="83" spans="1:70" ht="21" customHeight="1" x14ac:dyDescent="0.3">
      <c r="A83" s="178">
        <v>9</v>
      </c>
      <c r="B83" s="179" t="s">
        <v>100</v>
      </c>
      <c r="C83" s="180">
        <f t="shared" ca="1" si="82"/>
        <v>0</v>
      </c>
      <c r="D83" s="181">
        <f ca="1">IFERROR(__xludf.DUMMYFUNCTION("IMPORTRANGE(""https://docs.google.com/spreadsheets/d/1o7UZe4_OqlqtLDHrj01Z2YFRSZDf1DMy1n3XViHaxRc/edit?usp=sharing"",""ภูเก็ต!L690"")"),0)</f>
        <v>0</v>
      </c>
      <c r="E83" s="187">
        <f ca="1">IFERROR(__xludf.DUMMYFUNCTION("IMPORTRANGE(""https://docs.google.com/spreadsheets/d/1o7UZe4_OqlqtLDHrj01Z2YFRSZDf1DMy1n3XViHaxRc/edit?usp=sharing"",""ภูเก็ต!L697"")"),0)</f>
        <v>0</v>
      </c>
      <c r="F83" s="182">
        <f t="shared" ca="1" si="1"/>
        <v>0</v>
      </c>
      <c r="G83" s="183">
        <f t="shared" ca="1" si="2"/>
        <v>0</v>
      </c>
      <c r="H83" s="184">
        <f t="shared" ca="1" si="83"/>
        <v>0</v>
      </c>
      <c r="I83" s="187">
        <f ca="1">IFERROR(__xludf.DUMMYFUNCTION("IMPORTRANGE(""https://docs.google.com/spreadsheets/d/1o7UZe4_OqlqtLDHrj01Z2YFRSZDf1DMy1n3XViHaxRc/edit?usp=sharing"",""ภูเก็ต!N691"")"),0)</f>
        <v>0</v>
      </c>
      <c r="J83" s="187">
        <f ca="1">IFERROR(__xludf.DUMMYFUNCTION("IMPORTRANGE(""https://docs.google.com/spreadsheets/d/1o7UZe4_OqlqtLDHrj01Z2YFRSZDf1DMy1n3XViHaxRc/edit?usp=sharing"",""ภูเก็ต!N692"")"),0)</f>
        <v>0</v>
      </c>
      <c r="K83" s="187">
        <f ca="1">IFERROR(__xludf.DUMMYFUNCTION("IMPORTRANGE(""https://docs.google.com/spreadsheets/d/1o7UZe4_OqlqtLDHrj01Z2YFRSZDf1DMy1n3XViHaxRc/edit?usp=sharing"",""ภูเก็ต!N693"")"),0)</f>
        <v>0</v>
      </c>
      <c r="L83" s="187">
        <f ca="1">IFERROR(__xludf.DUMMYFUNCTION("IMPORTRANGE(""https://docs.google.com/spreadsheets/d/1o7UZe4_OqlqtLDHrj01Z2YFRSZDf1DMy1n3XViHaxRc/edit?usp=sharing"",""ภูเก็ต!N694"")"),0)</f>
        <v>0</v>
      </c>
      <c r="M83" s="185">
        <f ca="1">IFERROR(__xludf.DUMMYFUNCTION("IMPORTRANGE(""https://docs.google.com/spreadsheets/d/1o7UZe4_OqlqtLDHrj01Z2YFRSZDf1DMy1n3XViHaxRc/edit?usp=sharing"",""ภูเก็ต!N697"")"),0)</f>
        <v>0</v>
      </c>
      <c r="N83" s="185">
        <f t="shared" ca="1" si="37"/>
        <v>0</v>
      </c>
      <c r="O83" s="181">
        <f ca="1">IFERROR(__xludf.DUMMYFUNCTION("IMPORTRANGE(""https://docs.google.com/spreadsheets/d/1o7UZe4_OqlqtLDHrj01Z2YFRSZDf1DMy1n3XViHaxRc/edit?usp=sharing"",""ภูเก็ต!I699"")"),0)</f>
        <v>0</v>
      </c>
      <c r="P83" s="181">
        <f ca="1">IFERROR(__xludf.DUMMYFUNCTION("IMPORTRANGE(""https://docs.google.com/spreadsheets/d/1o7UZe4_OqlqtLDHrj01Z2YFRSZDf1DMy1n3XViHaxRc/edit?usp=sharing"",""ภูเก็ต!J699"")"),0)</f>
        <v>0</v>
      </c>
      <c r="Q83" s="186">
        <f t="shared" ca="1" si="31"/>
        <v>0</v>
      </c>
      <c r="R83" s="181">
        <f ca="1">IFERROR(__xludf.DUMMYFUNCTION("IMPORTRANGE(""https://docs.google.com/spreadsheets/d/1o7UZe4_OqlqtLDHrj01Z2YFRSZDf1DMy1n3XViHaxRc/edit?usp=sharing"",""ภูเก็ต!I700"")"),0)</f>
        <v>0</v>
      </c>
      <c r="S83" s="181">
        <f ca="1">IFERROR(__xludf.DUMMYFUNCTION("IMPORTRANGE(""https://docs.google.com/spreadsheets/d/1o7UZe4_OqlqtLDHrj01Z2YFRSZDf1DMy1n3XViHaxRc/edit?usp=sharing"",""ภูเก็ต!J700"")"),0)</f>
        <v>0</v>
      </c>
      <c r="T83" s="186">
        <f t="shared" ca="1" si="32"/>
        <v>0</v>
      </c>
      <c r="U83" s="181">
        <f ca="1">IFERROR(__xludf.DUMMYFUNCTION("IMPORTRANGE(""https://docs.google.com/spreadsheets/d/1o7UZe4_OqlqtLDHrj01Z2YFRSZDf1DMy1n3XViHaxRc/edit?usp=sharing"",""ภูเก็ต!I701"")"),0)</f>
        <v>0</v>
      </c>
      <c r="V83" s="181">
        <f ca="1">IFERROR(__xludf.DUMMYFUNCTION("IMPORTRANGE(""https://docs.google.com/spreadsheets/d/1o7UZe4_OqlqtLDHrj01Z2YFRSZDf1DMy1n3XViHaxRc/edit?usp=sharing"",""ภูเก็ต!J701"")"),0)</f>
        <v>0</v>
      </c>
      <c r="W83" s="186">
        <f t="shared" ca="1" si="33"/>
        <v>0</v>
      </c>
      <c r="X83" s="186">
        <f ca="1">IFERROR(__xludf.DUMMYFUNCTION("IMPORTRANGE(""https://docs.google.com/spreadsheets/d/1o7UZe4_OqlqtLDHrj01Z2YFRSZDf1DMy1n3XViHaxRc/edit?usp=sharing"",""ภูเก็ต!J702"")"),0)</f>
        <v>0</v>
      </c>
      <c r="Y83" s="186">
        <f ca="1">IFERROR(__xludf.DUMMYFUNCTION("IMPORTRANGE(""https://docs.google.com/spreadsheets/d/1o7UZe4_OqlqtLDHrj01Z2YFRSZDf1DMy1n3XViHaxRc/edit?usp=sharing"",""ภูเก็ต!J703"")"),0)</f>
        <v>0</v>
      </c>
      <c r="Z83" s="186">
        <f ca="1">IFERROR(__xludf.DUMMYFUNCTION("IMPORTRANGE(""https://docs.google.com/spreadsheets/d/1o7UZe4_OqlqtLDHrj01Z2YFRSZDf1DMy1n3XViHaxRc/edit?usp=sharing"",""ภูเก็ต!J704"")"),0)</f>
        <v>0</v>
      </c>
      <c r="AA83" s="186">
        <f ca="1">IFERROR(__xludf.DUMMYFUNCTION("IMPORTRANGE(""https://docs.google.com/spreadsheets/d/1o7UZe4_OqlqtLDHrj01Z2YFRSZDf1DMy1n3XViHaxRc/edit?usp=sharing"",""ภูเก็ต!J705"")"),0)</f>
        <v>0</v>
      </c>
      <c r="AB83" s="186">
        <f ca="1">IFERROR(__xludf.DUMMYFUNCTION("IMPORTRANGE(""https://docs.google.com/spreadsheets/d/1o7UZe4_OqlqtLDHrj01Z2YFRSZDf1DMy1n3XViHaxRc/edit?usp=sharing"",""ภูเก็ต!J706"")"),0)</f>
        <v>0</v>
      </c>
      <c r="AC83" s="186">
        <f ca="1">IFERROR(__xludf.DUMMYFUNCTION("IMPORTRANGE(""https://docs.google.com/spreadsheets/d/1o7UZe4_OqlqtLDHrj01Z2YFRSZDf1DMy1n3XViHaxRc/edit?usp=sharing"",""ภูเก็ต!J707"")"),0)</f>
        <v>0</v>
      </c>
      <c r="AD83" s="181">
        <f ca="1">IFERROR(__xludf.DUMMYFUNCTION("IMPORTRANGE(""https://docs.google.com/spreadsheets/d/1o7UZe4_OqlqtLDHrj01Z2YFRSZDf1DMy1n3XViHaxRc/edit?usp=sharing"",""ภูเก็ต!I708"")"),0)</f>
        <v>0</v>
      </c>
      <c r="AE83" s="181">
        <f ca="1">IFERROR(__xludf.DUMMYFUNCTION("IMPORTRANGE(""https://docs.google.com/spreadsheets/d/1o7UZe4_OqlqtLDHrj01Z2YFRSZDf1DMy1n3XViHaxRc/edit?usp=sharing"",""ภูเก็ต!J708"")"),0)</f>
        <v>0</v>
      </c>
      <c r="AF83" s="186">
        <f t="shared" ca="1" si="34"/>
        <v>0</v>
      </c>
      <c r="AG83" s="181">
        <f ca="1">IFERROR(__xludf.DUMMYFUNCTION("IMPORTRANGE(""https://docs.google.com/spreadsheets/d/1o7UZe4_OqlqtLDHrj01Z2YFRSZDf1DMy1n3XViHaxRc/edit?usp=sharing"",""ภูเก็ต!J709"")"),0)</f>
        <v>0</v>
      </c>
      <c r="AH83" s="181">
        <f ca="1">IFERROR(__xludf.DUMMYFUNCTION("IMPORTRANGE(""https://docs.google.com/spreadsheets/d/1o7UZe4_OqlqtLDHrj01Z2YFRSZDf1DMy1n3XViHaxRc/edit?usp=sharing"",""ภูเก็ต!J710"")"),0)</f>
        <v>0</v>
      </c>
      <c r="AI83" s="181">
        <f ca="1">IFERROR(__xludf.DUMMYFUNCTION("IMPORTRANGE(""https://docs.google.com/spreadsheets/d/1o7UZe4_OqlqtLDHrj01Z2YFRSZDf1DMy1n3XViHaxRc/edit?usp=sharing"",""ภูเก็ต!J712"")"),0)</f>
        <v>0</v>
      </c>
      <c r="AJ83" s="181">
        <f ca="1">IFERROR(__xludf.DUMMYFUNCTION("IMPORTRANGE(""https://docs.google.com/spreadsheets/d/1o7UZe4_OqlqtLDHrj01Z2YFRSZDf1DMy1n3XViHaxRc/edit?usp=sharing"",""ภูเก็ต!J713"")"),0)</f>
        <v>0</v>
      </c>
      <c r="AK83" s="181">
        <f ca="1">IFERROR(__xludf.DUMMYFUNCTION("IMPORTRANGE(""https://docs.google.com/spreadsheets/d/1o7UZe4_OqlqtLDHrj01Z2YFRSZDf1DMy1n3XViHaxRc/edit?usp=sharing"",""ภูเก็ต!J714"")"),0)</f>
        <v>0</v>
      </c>
      <c r="AL83" s="181">
        <f ca="1">IFERROR(__xludf.DUMMYFUNCTION("IMPORTRANGE(""https://docs.google.com/spreadsheets/d/1o7UZe4_OqlqtLDHrj01Z2YFRSZDf1DMy1n3XViHaxRc/edit?usp=sharing"",""ภูเก็ต!J715"")"),0)</f>
        <v>0</v>
      </c>
      <c r="AM83" s="181">
        <f ca="1">IFERROR(__xludf.DUMMYFUNCTION("IMPORTRANGE(""https://docs.google.com/spreadsheets/d/1o7UZe4_OqlqtLDHrj01Z2YFRSZDf1DMy1n3XViHaxRc/edit?usp=sharing"",""ภูเก็ต!J716"")"),0)</f>
        <v>0</v>
      </c>
      <c r="AN83" s="181">
        <f ca="1">IFERROR(__xludf.DUMMYFUNCTION("IMPORTRANGE(""https://docs.google.com/spreadsheets/d/1o7UZe4_OqlqtLDHrj01Z2YFRSZDf1DMy1n3XViHaxRc/edit?usp=sharing"",""ภูเก็ต!J717"")"),0)</f>
        <v>0</v>
      </c>
      <c r="AO83" s="181">
        <f ca="1">IFERROR(__xludf.DUMMYFUNCTION("IMPORTRANGE(""https://docs.google.com/spreadsheets/d/1o7UZe4_OqlqtLDHrj01Z2YFRSZDf1DMy1n3XViHaxRc/edit?usp=sharing"",""ภูเก็ต!I720"")"),0)</f>
        <v>0</v>
      </c>
      <c r="AP83" s="181">
        <f ca="1">IFERROR(__xludf.DUMMYFUNCTION("IMPORTRANGE(""https://docs.google.com/spreadsheets/d/1o7UZe4_OqlqtLDHrj01Z2YFRSZDf1DMy1n3XViHaxRc/edit?usp=sharing"",""ภูเก็ต!J718"")"),0)</f>
        <v>0</v>
      </c>
      <c r="AQ83" s="181">
        <f ca="1">IFERROR(__xludf.DUMMYFUNCTION("IMPORTRANGE(""https://docs.google.com/spreadsheets/d/1o7UZe4_OqlqtLDHrj01Z2YFRSZDf1DMy1n3XViHaxRc/edit?usp=sharing"",""ภูเก็ต!J719"")"),0)</f>
        <v>0</v>
      </c>
      <c r="AR83" s="181">
        <f ca="1">IFERROR(__xludf.DUMMYFUNCTION("IMPORTRANGE(""https://docs.google.com/spreadsheets/d/1o7UZe4_OqlqtLDHrj01Z2YFRSZDf1DMy1n3XViHaxRc/edit?usp=sharing"",""ภูเก็ต!J720"")"),0)</f>
        <v>0</v>
      </c>
      <c r="AS83" s="186">
        <f t="shared" ca="1" si="14"/>
        <v>0</v>
      </c>
      <c r="AT83" s="181">
        <f ca="1">IFERROR(__xludf.DUMMYFUNCTION("IMPORTRANGE(""https://docs.google.com/spreadsheets/d/1o7UZe4_OqlqtLDHrj01Z2YFRSZDf1DMy1n3XViHaxRc/edit?usp=sharing"",""ภูเก็ต!I721"")"),0)</f>
        <v>0</v>
      </c>
      <c r="AU83" s="181">
        <f ca="1">IFERROR(__xludf.DUMMYFUNCTION("IMPORTRANGE(""https://docs.google.com/spreadsheets/d/1o7UZe4_OqlqtLDHrj01Z2YFRSZDf1DMy1n3XViHaxRc/edit?usp=sharing"",""ภูเก็ต!I722"")"),0)</f>
        <v>0</v>
      </c>
      <c r="AV83" s="181">
        <f ca="1">IFERROR(__xludf.DUMMYFUNCTION("IMPORTRANGE(""https://docs.google.com/spreadsheets/d/1o7UZe4_OqlqtLDHrj01Z2YFRSZDf1DMy1n3XViHaxRc/edit?usp=sharing"",""ภูเก็ต!J721"")"),0)</f>
        <v>0</v>
      </c>
      <c r="AW83" s="186">
        <f t="shared" ca="1" si="16"/>
        <v>0</v>
      </c>
      <c r="AX83" s="181">
        <f ca="1">IFERROR(__xludf.DUMMYFUNCTION("IMPORTRANGE(""https://docs.google.com/spreadsheets/d/1o7UZe4_OqlqtLDHrj01Z2YFRSZDf1DMy1n3XViHaxRc/edit?usp=sharing"",""ภูเก็ต!J722"")"),0)</f>
        <v>0</v>
      </c>
      <c r="AY83" s="186">
        <f t="shared" ca="1" si="17"/>
        <v>0</v>
      </c>
      <c r="AZ83" s="181">
        <f ca="1">IFERROR(__xludf.DUMMYFUNCTION("IMPORTRANGE(""https://docs.google.com/spreadsheets/d/1o7UZe4_OqlqtLDHrj01Z2YFRSZDf1DMy1n3XViHaxRc/edit?usp=sharing"",""ภูเก็ต!I723"")"),0)</f>
        <v>0</v>
      </c>
      <c r="BA83" s="181">
        <f ca="1">IFERROR(__xludf.DUMMYFUNCTION("IMPORTRANGE(""https://docs.google.com/spreadsheets/d/1o7UZe4_OqlqtLDHrj01Z2YFRSZDf1DMy1n3XViHaxRc/edit?usp=sharing"",""ภูเก็ต!I725"")"),0)</f>
        <v>0</v>
      </c>
      <c r="BB83" s="181">
        <f ca="1">IFERROR(__xludf.DUMMYFUNCTION("IMPORTRANGE(""https://docs.google.com/spreadsheets/d/1o7UZe4_OqlqtLDHrj01Z2YFRSZDf1DMy1n3XViHaxRc/edit?usp=sharing"",""ภูเก็ต!J723"")"),0)</f>
        <v>0</v>
      </c>
      <c r="BC83" s="181">
        <f ca="1">IFERROR(__xludf.DUMMYFUNCTION("IMPORTRANGE(""https://docs.google.com/spreadsheets/d/1o7UZe4_OqlqtLDHrj01Z2YFRSZDf1DMy1n3XViHaxRc/edit?usp=sharing"",""ภูเก็ต!J724"")"),0)</f>
        <v>0</v>
      </c>
      <c r="BD83" s="181">
        <f ca="1">IFERROR(__xludf.DUMMYFUNCTION("IMPORTRANGE(""https://docs.google.com/spreadsheets/d/1o7UZe4_OqlqtLDHrj01Z2YFRSZDf1DMy1n3XViHaxRc/edit?usp=sharing"",""ภูเก็ต!J725"")"),0)</f>
        <v>0</v>
      </c>
      <c r="BE83" s="181">
        <f ca="1">IFERROR(__xludf.DUMMYFUNCTION("IMPORTRANGE(""https://docs.google.com/spreadsheets/d/1o7UZe4_OqlqtLDHrj01Z2YFRSZDf1DMy1n3XViHaxRc/edit?usp=sharing"",""ภูเก็ต!I726"")"),0)</f>
        <v>0</v>
      </c>
      <c r="BF83" s="181">
        <f ca="1">IFERROR(__xludf.DUMMYFUNCTION("IMPORTRANGE(""https://docs.google.com/spreadsheets/d/1o7UZe4_OqlqtLDHrj01Z2YFRSZDf1DMy1n3XViHaxRc/edit?usp=sharing"",""ภูเก็ต!I728"")"),0)</f>
        <v>0</v>
      </c>
      <c r="BG83" s="181">
        <f ca="1">IFERROR(__xludf.DUMMYFUNCTION("IMPORTRANGE(""https://docs.google.com/spreadsheets/d/1o7UZe4_OqlqtLDHrj01Z2YFRSZDf1DMy1n3XViHaxRc/edit?usp=sharing"",""ภูเก็ต!J726"")"),0)</f>
        <v>0</v>
      </c>
      <c r="BH83" s="181">
        <f ca="1">IFERROR(__xludf.DUMMYFUNCTION("IMPORTRANGE(""https://docs.google.com/spreadsheets/d/1o7UZe4_OqlqtLDHrj01Z2YFRSZDf1DMy1n3XViHaxRc/edit?usp=sharing"",""ภูเก็ต!J727"")"),0)</f>
        <v>0</v>
      </c>
      <c r="BI83" s="181">
        <f ca="1">IFERROR(__xludf.DUMMYFUNCTION("IMPORTRANGE(""https://docs.google.com/spreadsheets/d/1o7UZe4_OqlqtLDHrj01Z2YFRSZDf1DMy1n3XViHaxRc/edit?usp=sharing"",""ภูเก็ต!J728"")"),0)</f>
        <v>0</v>
      </c>
      <c r="BJ83" s="181">
        <f ca="1">IFERROR(__xludf.DUMMYFUNCTION("IMPORTRANGE(""https://docs.google.com/spreadsheets/d/1o7UZe4_OqlqtLDHrj01Z2YFRSZDf1DMy1n3XViHaxRc/edit?usp=sharing"",""ภูเก็ต!I729"")"),0)</f>
        <v>0</v>
      </c>
      <c r="BK83" s="181">
        <f ca="1">IFERROR(__xludf.DUMMYFUNCTION("IMPORTRANGE(""https://docs.google.com/spreadsheets/d/1o7UZe4_OqlqtLDHrj01Z2YFRSZDf1DMy1n3XViHaxRc/edit?usp=sharing"",""ภูเก็ต!J729"")"),0)</f>
        <v>0</v>
      </c>
      <c r="BL83" s="186">
        <f t="shared" ca="1" si="19"/>
        <v>0</v>
      </c>
      <c r="BM83" s="181">
        <f ca="1">IFERROR(__xludf.DUMMYFUNCTION("IMPORTRANGE(""https://docs.google.com/spreadsheets/d/1o7UZe4_OqlqtLDHrj01Z2YFRSZDf1DMy1n3XViHaxRc/edit?usp=sharing"",""ภูเก็ต!J730"")"),0)</f>
        <v>0</v>
      </c>
      <c r="BN83" s="181">
        <f ca="1">IFERROR(__xludf.DUMMYFUNCTION("IMPORTRANGE(""https://docs.google.com/spreadsheets/d/1o7UZe4_OqlqtLDHrj01Z2YFRSZDf1DMy1n3XViHaxRc/edit?usp=sharing"",""ภูเก็ต!J731"")"),0)</f>
        <v>0</v>
      </c>
      <c r="BO83" s="181">
        <f ca="1">IFERROR(__xludf.DUMMYFUNCTION("IMPORTRANGE(""https://docs.google.com/spreadsheets/d/1o7UZe4_OqlqtLDHrj01Z2YFRSZDf1DMy1n3XViHaxRc/edit?usp=sharing"",""ภูเก็ต!J732"")"),0)</f>
        <v>0</v>
      </c>
      <c r="BP83" s="181">
        <f ca="1">IFERROR(__xludf.DUMMYFUNCTION("IMPORTRANGE(""https://docs.google.com/spreadsheets/d/1o7UZe4_OqlqtLDHrj01Z2YFRSZDf1DMy1n3XViHaxRc/edit?usp=sharing"",""ภูเก็ต!J733"")"),0)</f>
        <v>0</v>
      </c>
      <c r="BQ83" s="181">
        <f ca="1">IFERROR(__xludf.DUMMYFUNCTION("IMPORTRANGE(""https://docs.google.com/spreadsheets/d/1o7UZe4_OqlqtLDHrj01Z2YFRSZDf1DMy1n3XViHaxRc/edit?usp=sharing"",""ภูเก็ต!J734"")"),0)</f>
        <v>0</v>
      </c>
      <c r="BR83" s="181">
        <f ca="1">IFERROR(__xludf.DUMMYFUNCTION("IMPORTRANGE(""https://docs.google.com/spreadsheets/d/1o7UZe4_OqlqtLDHrj01Z2YFRSZDf1DMy1n3XViHaxRc/edit?usp=sharing"",""ภูเก็ต!J735"")"),0)</f>
        <v>0</v>
      </c>
    </row>
    <row r="84" spans="1:70" ht="21" customHeight="1" x14ac:dyDescent="0.3">
      <c r="A84" s="178">
        <v>10</v>
      </c>
      <c r="B84" s="179" t="s">
        <v>101</v>
      </c>
      <c r="C84" s="180">
        <f t="shared" ca="1" si="82"/>
        <v>0</v>
      </c>
      <c r="D84" s="181">
        <f ca="1">IFERROR(__xludf.DUMMYFUNCTION("IMPORTRANGE(""https://docs.google.com/spreadsheets/d/1ctPm1vUzcUCPuOj9-eoHUD85PqINFqUB0TjdSWmR5-c/edit?usp=sharing"",""ยะลา!L690"")"),0)</f>
        <v>0</v>
      </c>
      <c r="E84" s="187">
        <f ca="1">IFERROR(__xludf.DUMMYFUNCTION("IMPORTRANGE(""https://docs.google.com/spreadsheets/d/1ctPm1vUzcUCPuOj9-eoHUD85PqINFqUB0TjdSWmR5-c/edit?usp=sharing"",""ยะลา!L697"")"),0)</f>
        <v>0</v>
      </c>
      <c r="F84" s="182">
        <f t="shared" ca="1" si="1"/>
        <v>0</v>
      </c>
      <c r="G84" s="183">
        <f t="shared" ca="1" si="2"/>
        <v>0</v>
      </c>
      <c r="H84" s="184">
        <f t="shared" ca="1" si="83"/>
        <v>0</v>
      </c>
      <c r="I84" s="187">
        <f ca="1">IFERROR(__xludf.DUMMYFUNCTION("IMPORTRANGE(""https://docs.google.com/spreadsheets/d/1ctPm1vUzcUCPuOj9-eoHUD85PqINFqUB0TjdSWmR5-c/edit?usp=sharing"",""ยะลา!N691"")"),0)</f>
        <v>0</v>
      </c>
      <c r="J84" s="187">
        <f ca="1">IFERROR(__xludf.DUMMYFUNCTION("IMPORTRANGE(""https://docs.google.com/spreadsheets/d/1ctPm1vUzcUCPuOj9-eoHUD85PqINFqUB0TjdSWmR5-c/edit?usp=sharing"",""ยะลา!N692"")"),0)</f>
        <v>0</v>
      </c>
      <c r="K84" s="187">
        <f ca="1">IFERROR(__xludf.DUMMYFUNCTION("IMPORTRANGE(""https://docs.google.com/spreadsheets/d/1ctPm1vUzcUCPuOj9-eoHUD85PqINFqUB0TjdSWmR5-c/edit?usp=sharing"",""ยะลา!N693"")"),0)</f>
        <v>0</v>
      </c>
      <c r="L84" s="187">
        <f ca="1">IFERROR(__xludf.DUMMYFUNCTION("IMPORTRANGE(""https://docs.google.com/spreadsheets/d/1ctPm1vUzcUCPuOj9-eoHUD85PqINFqUB0TjdSWmR5-c/edit?usp=sharing"",""ยะลา!N694"")"),0)</f>
        <v>0</v>
      </c>
      <c r="M84" s="185">
        <f ca="1">IFERROR(__xludf.DUMMYFUNCTION("IMPORTRANGE(""https://docs.google.com/spreadsheets/d/1ctPm1vUzcUCPuOj9-eoHUD85PqINFqUB0TjdSWmR5-c/edit?usp=sharing"",""ยะลา!N697"")"),0)</f>
        <v>0</v>
      </c>
      <c r="N84" s="185">
        <f t="shared" ca="1" si="37"/>
        <v>0</v>
      </c>
      <c r="O84" s="181">
        <f ca="1">IFERROR(__xludf.DUMMYFUNCTION("IMPORTRANGE(""https://docs.google.com/spreadsheets/d/1ctPm1vUzcUCPuOj9-eoHUD85PqINFqUB0TjdSWmR5-c/edit?usp=sharing"",""ยะลา!I699"")"),0)</f>
        <v>0</v>
      </c>
      <c r="P84" s="181">
        <f ca="1">IFERROR(__xludf.DUMMYFUNCTION("IMPORTRANGE(""https://docs.google.com/spreadsheets/d/1ctPm1vUzcUCPuOj9-eoHUD85PqINFqUB0TjdSWmR5-c/edit?usp=sharing"",""ยะลา!J699"")"),0)</f>
        <v>0</v>
      </c>
      <c r="Q84" s="186">
        <f t="shared" ca="1" si="31"/>
        <v>0</v>
      </c>
      <c r="R84" s="181">
        <f ca="1">IFERROR(__xludf.DUMMYFUNCTION("IMPORTRANGE(""https://docs.google.com/spreadsheets/d/1ctPm1vUzcUCPuOj9-eoHUD85PqINFqUB0TjdSWmR5-c/edit?usp=sharing"",""ยะลา!I700"")"),0)</f>
        <v>0</v>
      </c>
      <c r="S84" s="181">
        <f ca="1">IFERROR(__xludf.DUMMYFUNCTION("IMPORTRANGE(""https://docs.google.com/spreadsheets/d/1ctPm1vUzcUCPuOj9-eoHUD85PqINFqUB0TjdSWmR5-c/edit?usp=sharing"",""ยะลา!J700"")"),0)</f>
        <v>0</v>
      </c>
      <c r="T84" s="186">
        <f t="shared" ca="1" si="32"/>
        <v>0</v>
      </c>
      <c r="U84" s="181">
        <f ca="1">IFERROR(__xludf.DUMMYFUNCTION("IMPORTRANGE(""https://docs.google.com/spreadsheets/d/1ctPm1vUzcUCPuOj9-eoHUD85PqINFqUB0TjdSWmR5-c/edit?usp=sharing"",""ยะลา!I701"")"),0)</f>
        <v>0</v>
      </c>
      <c r="V84" s="181">
        <f ca="1">IFERROR(__xludf.DUMMYFUNCTION("IMPORTRANGE(""https://docs.google.com/spreadsheets/d/1ctPm1vUzcUCPuOj9-eoHUD85PqINFqUB0TjdSWmR5-c/edit?usp=sharing"",""ยะลา!J701"")"),0)</f>
        <v>0</v>
      </c>
      <c r="W84" s="186">
        <f t="shared" ca="1" si="33"/>
        <v>0</v>
      </c>
      <c r="X84" s="186">
        <f ca="1">IFERROR(__xludf.DUMMYFUNCTION("IMPORTRANGE(""https://docs.google.com/spreadsheets/d/1ctPm1vUzcUCPuOj9-eoHUD85PqINFqUB0TjdSWmR5-c/edit?usp=sharing"",""ยะลา!J702"")"),0)</f>
        <v>0</v>
      </c>
      <c r="Y84" s="186">
        <f ca="1">IFERROR(__xludf.DUMMYFUNCTION("IMPORTRANGE(""https://docs.google.com/spreadsheets/d/1ctPm1vUzcUCPuOj9-eoHUD85PqINFqUB0TjdSWmR5-c/edit?usp=sharing"",""ยะลา!J703"")"),0)</f>
        <v>0</v>
      </c>
      <c r="Z84" s="186">
        <f ca="1">IFERROR(__xludf.DUMMYFUNCTION("IMPORTRANGE(""https://docs.google.com/spreadsheets/d/1ctPm1vUzcUCPuOj9-eoHUD85PqINFqUB0TjdSWmR5-c/edit?usp=sharing"",""ยะลา!J704"")"),0)</f>
        <v>0</v>
      </c>
      <c r="AA84" s="186">
        <f ca="1">IFERROR(__xludf.DUMMYFUNCTION("IMPORTRANGE(""https://docs.google.com/spreadsheets/d/1ctPm1vUzcUCPuOj9-eoHUD85PqINFqUB0TjdSWmR5-c/edit?usp=sharing"",""ยะลา!J705"")"),0)</f>
        <v>0</v>
      </c>
      <c r="AB84" s="186">
        <f ca="1">IFERROR(__xludf.DUMMYFUNCTION("IMPORTRANGE(""https://docs.google.com/spreadsheets/d/1ctPm1vUzcUCPuOj9-eoHUD85PqINFqUB0TjdSWmR5-c/edit?usp=sharing"",""ยะลา!J706"")"),0)</f>
        <v>0</v>
      </c>
      <c r="AC84" s="186">
        <f ca="1">IFERROR(__xludf.DUMMYFUNCTION("IMPORTRANGE(""https://docs.google.com/spreadsheets/d/1ctPm1vUzcUCPuOj9-eoHUD85PqINFqUB0TjdSWmR5-c/edit?usp=sharing"",""ยะลา!J707"")"),0)</f>
        <v>0</v>
      </c>
      <c r="AD84" s="181">
        <f ca="1">IFERROR(__xludf.DUMMYFUNCTION("IMPORTRANGE(""https://docs.google.com/spreadsheets/d/1ctPm1vUzcUCPuOj9-eoHUD85PqINFqUB0TjdSWmR5-c/edit?usp=sharing"",""ยะลา!I708"")"),0)</f>
        <v>0</v>
      </c>
      <c r="AE84" s="181">
        <f ca="1">IFERROR(__xludf.DUMMYFUNCTION("IMPORTRANGE(""https://docs.google.com/spreadsheets/d/1ctPm1vUzcUCPuOj9-eoHUD85PqINFqUB0TjdSWmR5-c/edit?usp=sharing"",""ยะลา!J708"")"),0)</f>
        <v>0</v>
      </c>
      <c r="AF84" s="186">
        <f t="shared" ca="1" si="34"/>
        <v>0</v>
      </c>
      <c r="AG84" s="181">
        <f ca="1">IFERROR(__xludf.DUMMYFUNCTION("IMPORTRANGE(""https://docs.google.com/spreadsheets/d/1ctPm1vUzcUCPuOj9-eoHUD85PqINFqUB0TjdSWmR5-c/edit?usp=sharing"",""ยะลา!J709"")"),0)</f>
        <v>0</v>
      </c>
      <c r="AH84" s="181">
        <f ca="1">IFERROR(__xludf.DUMMYFUNCTION("IMPORTRANGE(""https://docs.google.com/spreadsheets/d/1ctPm1vUzcUCPuOj9-eoHUD85PqINFqUB0TjdSWmR5-c/edit?usp=sharing"",""ยะลา!J710"")"),0)</f>
        <v>0</v>
      </c>
      <c r="AI84" s="181">
        <f ca="1">IFERROR(__xludf.DUMMYFUNCTION("IMPORTRANGE(""https://docs.google.com/spreadsheets/d/1ctPm1vUzcUCPuOj9-eoHUD85PqINFqUB0TjdSWmR5-c/edit?usp=sharing"",""ยะลา!J712"")"),0)</f>
        <v>0</v>
      </c>
      <c r="AJ84" s="181">
        <f ca="1">IFERROR(__xludf.DUMMYFUNCTION("IMPORTRANGE(""https://docs.google.com/spreadsheets/d/1ctPm1vUzcUCPuOj9-eoHUD85PqINFqUB0TjdSWmR5-c/edit?usp=sharing"",""ยะลา!J713"")"),0)</f>
        <v>0</v>
      </c>
      <c r="AK84" s="181">
        <f ca="1">IFERROR(__xludf.DUMMYFUNCTION("IMPORTRANGE(""https://docs.google.com/spreadsheets/d/1ctPm1vUzcUCPuOj9-eoHUD85PqINFqUB0TjdSWmR5-c/edit?usp=sharing"",""ยะลา!J714"")"),0)</f>
        <v>0</v>
      </c>
      <c r="AL84" s="181">
        <f ca="1">IFERROR(__xludf.DUMMYFUNCTION("IMPORTRANGE(""https://docs.google.com/spreadsheets/d/1ctPm1vUzcUCPuOj9-eoHUD85PqINFqUB0TjdSWmR5-c/edit?usp=sharing"",""ยะลา!J715"")"),0)</f>
        <v>0</v>
      </c>
      <c r="AM84" s="181">
        <f ca="1">IFERROR(__xludf.DUMMYFUNCTION("IMPORTRANGE(""https://docs.google.com/spreadsheets/d/1ctPm1vUzcUCPuOj9-eoHUD85PqINFqUB0TjdSWmR5-c/edit?usp=sharing"",""ยะลา!J716"")"),0)</f>
        <v>0</v>
      </c>
      <c r="AN84" s="181">
        <f ca="1">IFERROR(__xludf.DUMMYFUNCTION("IMPORTRANGE(""https://docs.google.com/spreadsheets/d/1ctPm1vUzcUCPuOj9-eoHUD85PqINFqUB0TjdSWmR5-c/edit?usp=sharing"",""ยะลา!J717"")"),0)</f>
        <v>0</v>
      </c>
      <c r="AO84" s="181">
        <f ca="1">IFERROR(__xludf.DUMMYFUNCTION("IMPORTRANGE(""https://docs.google.com/spreadsheets/d/1ctPm1vUzcUCPuOj9-eoHUD85PqINFqUB0TjdSWmR5-c/edit?usp=sharing"",""ยะลา!I720"")"),0)</f>
        <v>0</v>
      </c>
      <c r="AP84" s="181">
        <f ca="1">IFERROR(__xludf.DUMMYFUNCTION("IMPORTRANGE(""https://docs.google.com/spreadsheets/d/1ctPm1vUzcUCPuOj9-eoHUD85PqINFqUB0TjdSWmR5-c/edit?usp=sharing"",""ยะลา!J718"")"),0)</f>
        <v>0</v>
      </c>
      <c r="AQ84" s="181">
        <f ca="1">IFERROR(__xludf.DUMMYFUNCTION("IMPORTRANGE(""https://docs.google.com/spreadsheets/d/1ctPm1vUzcUCPuOj9-eoHUD85PqINFqUB0TjdSWmR5-c/edit?usp=sharing"",""ยะลา!J719"")"),0)</f>
        <v>0</v>
      </c>
      <c r="AR84" s="181">
        <f ca="1">IFERROR(__xludf.DUMMYFUNCTION("IMPORTRANGE(""https://docs.google.com/spreadsheets/d/1ctPm1vUzcUCPuOj9-eoHUD85PqINFqUB0TjdSWmR5-c/edit?usp=sharing"",""ยะลา!J720"")"),0)</f>
        <v>0</v>
      </c>
      <c r="AS84" s="186">
        <f t="shared" ca="1" si="14"/>
        <v>0</v>
      </c>
      <c r="AT84" s="181">
        <f ca="1">IFERROR(__xludf.DUMMYFUNCTION("IMPORTRANGE(""https://docs.google.com/spreadsheets/d/1ctPm1vUzcUCPuOj9-eoHUD85PqINFqUB0TjdSWmR5-c/edit?usp=sharing"",""ยะลา!I721"")"),0)</f>
        <v>0</v>
      </c>
      <c r="AU84" s="181">
        <f ca="1">IFERROR(__xludf.DUMMYFUNCTION("IMPORTRANGE(""https://docs.google.com/spreadsheets/d/1ctPm1vUzcUCPuOj9-eoHUD85PqINFqUB0TjdSWmR5-c/edit?usp=sharing"",""ยะลา!I722"")"),0)</f>
        <v>0</v>
      </c>
      <c r="AV84" s="181">
        <f ca="1">IFERROR(__xludf.DUMMYFUNCTION("IMPORTRANGE(""https://docs.google.com/spreadsheets/d/1ctPm1vUzcUCPuOj9-eoHUD85PqINFqUB0TjdSWmR5-c/edit?usp=sharing"",""ยะลา!J721"")"),0)</f>
        <v>0</v>
      </c>
      <c r="AW84" s="186">
        <f t="shared" ca="1" si="16"/>
        <v>0</v>
      </c>
      <c r="AX84" s="181">
        <f ca="1">IFERROR(__xludf.DUMMYFUNCTION("IMPORTRANGE(""https://docs.google.com/spreadsheets/d/1ctPm1vUzcUCPuOj9-eoHUD85PqINFqUB0TjdSWmR5-c/edit?usp=sharing"",""ยะลา!J722"")"),0)</f>
        <v>0</v>
      </c>
      <c r="AY84" s="186">
        <f t="shared" ca="1" si="17"/>
        <v>0</v>
      </c>
      <c r="AZ84" s="181">
        <f ca="1">IFERROR(__xludf.DUMMYFUNCTION("IMPORTRANGE(""https://docs.google.com/spreadsheets/d/1ctPm1vUzcUCPuOj9-eoHUD85PqINFqUB0TjdSWmR5-c/edit?usp=sharing"",""ยะลา!I723"")"),0)</f>
        <v>0</v>
      </c>
      <c r="BA84" s="181">
        <f ca="1">IFERROR(__xludf.DUMMYFUNCTION("IMPORTRANGE(""https://docs.google.com/spreadsheets/d/1ctPm1vUzcUCPuOj9-eoHUD85PqINFqUB0TjdSWmR5-c/edit?usp=sharing"",""ยะลา!I725"")"),0)</f>
        <v>0</v>
      </c>
      <c r="BB84" s="181">
        <f ca="1">IFERROR(__xludf.DUMMYFUNCTION("IMPORTRANGE(""https://docs.google.com/spreadsheets/d/1ctPm1vUzcUCPuOj9-eoHUD85PqINFqUB0TjdSWmR5-c/edit?usp=sharing"",""ยะลา!J723"")"),0)</f>
        <v>0</v>
      </c>
      <c r="BC84" s="181">
        <f ca="1">IFERROR(__xludf.DUMMYFUNCTION("IMPORTRANGE(""https://docs.google.com/spreadsheets/d/1ctPm1vUzcUCPuOj9-eoHUD85PqINFqUB0TjdSWmR5-c/edit?usp=sharing"",""ยะลา!J724"")"),0)</f>
        <v>0</v>
      </c>
      <c r="BD84" s="181">
        <f ca="1">IFERROR(__xludf.DUMMYFUNCTION("IMPORTRANGE(""https://docs.google.com/spreadsheets/d/1ctPm1vUzcUCPuOj9-eoHUD85PqINFqUB0TjdSWmR5-c/edit?usp=sharing"",""ยะลา!J725"")"),0)</f>
        <v>0</v>
      </c>
      <c r="BE84" s="181">
        <f ca="1">IFERROR(__xludf.DUMMYFUNCTION("IMPORTRANGE(""https://docs.google.com/spreadsheets/d/1ctPm1vUzcUCPuOj9-eoHUD85PqINFqUB0TjdSWmR5-c/edit?usp=sharing"",""ยะลา!I726"")"),0)</f>
        <v>0</v>
      </c>
      <c r="BF84" s="181">
        <f ca="1">IFERROR(__xludf.DUMMYFUNCTION("IMPORTRANGE(""https://docs.google.com/spreadsheets/d/1ctPm1vUzcUCPuOj9-eoHUD85PqINFqUB0TjdSWmR5-c/edit?usp=sharing"",""ยะลา!I728"")"),0)</f>
        <v>0</v>
      </c>
      <c r="BG84" s="181">
        <f ca="1">IFERROR(__xludf.DUMMYFUNCTION("IMPORTRANGE(""https://docs.google.com/spreadsheets/d/1ctPm1vUzcUCPuOj9-eoHUD85PqINFqUB0TjdSWmR5-c/edit?usp=sharing"",""ยะลา!J726"")"),0)</f>
        <v>0</v>
      </c>
      <c r="BH84" s="181">
        <f ca="1">IFERROR(__xludf.DUMMYFUNCTION("IMPORTRANGE(""https://docs.google.com/spreadsheets/d/1ctPm1vUzcUCPuOj9-eoHUD85PqINFqUB0TjdSWmR5-c/edit?usp=sharing"",""ยะลา!J727"")"),0)</f>
        <v>0</v>
      </c>
      <c r="BI84" s="181">
        <f ca="1">IFERROR(__xludf.DUMMYFUNCTION("IMPORTRANGE(""https://docs.google.com/spreadsheets/d/1ctPm1vUzcUCPuOj9-eoHUD85PqINFqUB0TjdSWmR5-c/edit?usp=sharing"",""ยะลา!J728"")"),0)</f>
        <v>0</v>
      </c>
      <c r="BJ84" s="181">
        <f ca="1">IFERROR(__xludf.DUMMYFUNCTION("IMPORTRANGE(""https://docs.google.com/spreadsheets/d/1ctPm1vUzcUCPuOj9-eoHUD85PqINFqUB0TjdSWmR5-c/edit?usp=sharing"",""ยะลา!I729"")"),0)</f>
        <v>0</v>
      </c>
      <c r="BK84" s="181">
        <f ca="1">IFERROR(__xludf.DUMMYFUNCTION("IMPORTRANGE(""https://docs.google.com/spreadsheets/d/1ctPm1vUzcUCPuOj9-eoHUD85PqINFqUB0TjdSWmR5-c/edit?usp=sharing"",""ยะลา!J729"")"),0)</f>
        <v>0</v>
      </c>
      <c r="BL84" s="186">
        <f t="shared" ca="1" si="19"/>
        <v>0</v>
      </c>
      <c r="BM84" s="181">
        <f ca="1">IFERROR(__xludf.DUMMYFUNCTION("IMPORTRANGE(""https://docs.google.com/spreadsheets/d/1ctPm1vUzcUCPuOj9-eoHUD85PqINFqUB0TjdSWmR5-c/edit?usp=sharing"",""ยะลา!J730"")"),0)</f>
        <v>0</v>
      </c>
      <c r="BN84" s="181">
        <f ca="1">IFERROR(__xludf.DUMMYFUNCTION("IMPORTRANGE(""https://docs.google.com/spreadsheets/d/1ctPm1vUzcUCPuOj9-eoHUD85PqINFqUB0TjdSWmR5-c/edit?usp=sharing"",""ยะลา!J731"")"),0)</f>
        <v>0</v>
      </c>
      <c r="BO84" s="181">
        <f ca="1">IFERROR(__xludf.DUMMYFUNCTION("IMPORTRANGE(""https://docs.google.com/spreadsheets/d/1ctPm1vUzcUCPuOj9-eoHUD85PqINFqUB0TjdSWmR5-c/edit?usp=sharing"",""ยะลา!J732"")"),0)</f>
        <v>0</v>
      </c>
      <c r="BP84" s="181">
        <f ca="1">IFERROR(__xludf.DUMMYFUNCTION("IMPORTRANGE(""https://docs.google.com/spreadsheets/d/1ctPm1vUzcUCPuOj9-eoHUD85PqINFqUB0TjdSWmR5-c/edit?usp=sharing"",""ยะลา!J733"")"),0)</f>
        <v>0</v>
      </c>
      <c r="BQ84" s="181">
        <f ca="1">IFERROR(__xludf.DUMMYFUNCTION("IMPORTRANGE(""https://docs.google.com/spreadsheets/d/1ctPm1vUzcUCPuOj9-eoHUD85PqINFqUB0TjdSWmR5-c/edit?usp=sharing"",""ยะลา!J734"")"),0)</f>
        <v>0</v>
      </c>
      <c r="BR84" s="181">
        <f ca="1">IFERROR(__xludf.DUMMYFUNCTION("IMPORTRANGE(""https://docs.google.com/spreadsheets/d/1ctPm1vUzcUCPuOj9-eoHUD85PqINFqUB0TjdSWmR5-c/edit?usp=sharing"",""ยะลา!J735"")"),0)</f>
        <v>0</v>
      </c>
    </row>
    <row r="85" spans="1:70" ht="21" customHeight="1" x14ac:dyDescent="0.3">
      <c r="A85" s="178">
        <v>11</v>
      </c>
      <c r="B85" s="179" t="s">
        <v>102</v>
      </c>
      <c r="C85" s="180">
        <f t="shared" ca="1" si="82"/>
        <v>0</v>
      </c>
      <c r="D85" s="181">
        <f ca="1">IFERROR(__xludf.DUMMYFUNCTION("IMPORTRANGE(""https://docs.google.com/spreadsheets/d/1YiDIE7Klmt8osgdapRqYWNr7iPGFSsiJqq46S7PYRE0/edit?usp=sharing"",""ระนอง!L690"")"),0)</f>
        <v>0</v>
      </c>
      <c r="E85" s="187">
        <f ca="1">IFERROR(__xludf.DUMMYFUNCTION("IMPORTRANGE(""https://docs.google.com/spreadsheets/d/1YiDIE7Klmt8osgdapRqYWNr7iPGFSsiJqq46S7PYRE0/edit?usp=sharing"",""ระนอง!L697"")"),0)</f>
        <v>0</v>
      </c>
      <c r="F85" s="182">
        <f t="shared" ca="1" si="1"/>
        <v>0</v>
      </c>
      <c r="G85" s="183">
        <f t="shared" ca="1" si="2"/>
        <v>0</v>
      </c>
      <c r="H85" s="184">
        <f t="shared" ca="1" si="83"/>
        <v>0</v>
      </c>
      <c r="I85" s="187">
        <f ca="1">IFERROR(__xludf.DUMMYFUNCTION("IMPORTRANGE(""https://docs.google.com/spreadsheets/d/1YiDIE7Klmt8osgdapRqYWNr7iPGFSsiJqq46S7PYRE0/edit?usp=sharing"",""ระนอง!N691"")"),0)</f>
        <v>0</v>
      </c>
      <c r="J85" s="187">
        <f ca="1">IFERROR(__xludf.DUMMYFUNCTION("IMPORTRANGE(""https://docs.google.com/spreadsheets/d/1YiDIE7Klmt8osgdapRqYWNr7iPGFSsiJqq46S7PYRE0/edit?usp=sharing"",""ระนอง!N692"")"),0)</f>
        <v>0</v>
      </c>
      <c r="K85" s="187">
        <f ca="1">IFERROR(__xludf.DUMMYFUNCTION("IMPORTRANGE(""https://docs.google.com/spreadsheets/d/1YiDIE7Klmt8osgdapRqYWNr7iPGFSsiJqq46S7PYRE0/edit?usp=sharing"",""ระนอง!N693"")"),0)</f>
        <v>0</v>
      </c>
      <c r="L85" s="187">
        <f ca="1">IFERROR(__xludf.DUMMYFUNCTION("IMPORTRANGE(""https://docs.google.com/spreadsheets/d/1YiDIE7Klmt8osgdapRqYWNr7iPGFSsiJqq46S7PYRE0/edit?usp=sharing"",""ระนอง!N694"")"),0)</f>
        <v>0</v>
      </c>
      <c r="M85" s="185">
        <f ca="1">IFERROR(__xludf.DUMMYFUNCTION("IMPORTRANGE(""https://docs.google.com/spreadsheets/d/1YiDIE7Klmt8osgdapRqYWNr7iPGFSsiJqq46S7PYRE0/edit?usp=sharing"",""ระนอง!N697"")"),0)</f>
        <v>0</v>
      </c>
      <c r="N85" s="185">
        <f t="shared" ca="1" si="37"/>
        <v>0</v>
      </c>
      <c r="O85" s="181">
        <f ca="1">IFERROR(__xludf.DUMMYFUNCTION("IMPORTRANGE(""https://docs.google.com/spreadsheets/d/1YiDIE7Klmt8osgdapRqYWNr7iPGFSsiJqq46S7PYRE0/edit?usp=sharing"",""ระนอง!I699"")"),0)</f>
        <v>0</v>
      </c>
      <c r="P85" s="181">
        <f ca="1">IFERROR(__xludf.DUMMYFUNCTION("IMPORTRANGE(""https://docs.google.com/spreadsheets/d/1YiDIE7Klmt8osgdapRqYWNr7iPGFSsiJqq46S7PYRE0/edit?usp=sharing"",""ระนอง!J699"")"),0)</f>
        <v>0</v>
      </c>
      <c r="Q85" s="186">
        <f t="shared" ca="1" si="31"/>
        <v>0</v>
      </c>
      <c r="R85" s="181">
        <f ca="1">IFERROR(__xludf.DUMMYFUNCTION("IMPORTRANGE(""https://docs.google.com/spreadsheets/d/1YiDIE7Klmt8osgdapRqYWNr7iPGFSsiJqq46S7PYRE0/edit?usp=sharing"",""ระนอง!I700"")"),0)</f>
        <v>0</v>
      </c>
      <c r="S85" s="181">
        <f ca="1">IFERROR(__xludf.DUMMYFUNCTION("IMPORTRANGE(""https://docs.google.com/spreadsheets/d/1YiDIE7Klmt8osgdapRqYWNr7iPGFSsiJqq46S7PYRE0/edit?usp=sharing"",""ระนอง!J700"")"),0)</f>
        <v>0</v>
      </c>
      <c r="T85" s="186">
        <f t="shared" ca="1" si="32"/>
        <v>0</v>
      </c>
      <c r="U85" s="181">
        <f ca="1">IFERROR(__xludf.DUMMYFUNCTION("IMPORTRANGE(""https://docs.google.com/spreadsheets/d/1YiDIE7Klmt8osgdapRqYWNr7iPGFSsiJqq46S7PYRE0/edit?usp=sharing"",""ระนอง!I701"")"),0)</f>
        <v>0</v>
      </c>
      <c r="V85" s="181">
        <f ca="1">IFERROR(__xludf.DUMMYFUNCTION("IMPORTRANGE(""https://docs.google.com/spreadsheets/d/1YiDIE7Klmt8osgdapRqYWNr7iPGFSsiJqq46S7PYRE0/edit?usp=sharing"",""ระนอง!J701"")"),0)</f>
        <v>0</v>
      </c>
      <c r="W85" s="186">
        <f t="shared" ca="1" si="33"/>
        <v>0</v>
      </c>
      <c r="X85" s="186">
        <f ca="1">IFERROR(__xludf.DUMMYFUNCTION("IMPORTRANGE(""https://docs.google.com/spreadsheets/d/1YiDIE7Klmt8osgdapRqYWNr7iPGFSsiJqq46S7PYRE0/edit?usp=sharing"",""ระนอง!J702"")"),0)</f>
        <v>0</v>
      </c>
      <c r="Y85" s="186">
        <f ca="1">IFERROR(__xludf.DUMMYFUNCTION("IMPORTRANGE(""https://docs.google.com/spreadsheets/d/1YiDIE7Klmt8osgdapRqYWNr7iPGFSsiJqq46S7PYRE0/edit?usp=sharing"",""ระนอง!J703"")"),0)</f>
        <v>0</v>
      </c>
      <c r="Z85" s="186">
        <f ca="1">IFERROR(__xludf.DUMMYFUNCTION("IMPORTRANGE(""https://docs.google.com/spreadsheets/d/1YiDIE7Klmt8osgdapRqYWNr7iPGFSsiJqq46S7PYRE0/edit?usp=sharing"",""ระนอง!J704"")"),0)</f>
        <v>0</v>
      </c>
      <c r="AA85" s="186">
        <f ca="1">IFERROR(__xludf.DUMMYFUNCTION("IMPORTRANGE(""https://docs.google.com/spreadsheets/d/1YiDIE7Klmt8osgdapRqYWNr7iPGFSsiJqq46S7PYRE0/edit?usp=sharing"",""ระนอง!J705"")"),0)</f>
        <v>0</v>
      </c>
      <c r="AB85" s="186">
        <f ca="1">IFERROR(__xludf.DUMMYFUNCTION("IMPORTRANGE(""https://docs.google.com/spreadsheets/d/1YiDIE7Klmt8osgdapRqYWNr7iPGFSsiJqq46S7PYRE0/edit?usp=sharing"",""ระนอง!J706"")"),0)</f>
        <v>0</v>
      </c>
      <c r="AC85" s="186">
        <f ca="1">IFERROR(__xludf.DUMMYFUNCTION("IMPORTRANGE(""https://docs.google.com/spreadsheets/d/1YiDIE7Klmt8osgdapRqYWNr7iPGFSsiJqq46S7PYRE0/edit?usp=sharing"",""ระนอง!J707"")"),0)</f>
        <v>0</v>
      </c>
      <c r="AD85" s="181">
        <f ca="1">IFERROR(__xludf.DUMMYFUNCTION("IMPORTRANGE(""https://docs.google.com/spreadsheets/d/1YiDIE7Klmt8osgdapRqYWNr7iPGFSsiJqq46S7PYRE0/edit?usp=sharing"",""ระนอง!I708"")"),0)</f>
        <v>0</v>
      </c>
      <c r="AE85" s="181">
        <f ca="1">IFERROR(__xludf.DUMMYFUNCTION("IMPORTRANGE(""https://docs.google.com/spreadsheets/d/1YiDIE7Klmt8osgdapRqYWNr7iPGFSsiJqq46S7PYRE0/edit?usp=sharing"",""ระนอง!J708"")"),0)</f>
        <v>0</v>
      </c>
      <c r="AF85" s="186">
        <f t="shared" ca="1" si="34"/>
        <v>0</v>
      </c>
      <c r="AG85" s="181">
        <f ca="1">IFERROR(__xludf.DUMMYFUNCTION("IMPORTRANGE(""https://docs.google.com/spreadsheets/d/1YiDIE7Klmt8osgdapRqYWNr7iPGFSsiJqq46S7PYRE0/edit?usp=sharing"",""ระนอง!J709"")"),0)</f>
        <v>0</v>
      </c>
      <c r="AH85" s="181">
        <f ca="1">IFERROR(__xludf.DUMMYFUNCTION("IMPORTRANGE(""https://docs.google.com/spreadsheets/d/1YiDIE7Klmt8osgdapRqYWNr7iPGFSsiJqq46S7PYRE0/edit?usp=sharing"",""ระนอง!J710"")"),0)</f>
        <v>0</v>
      </c>
      <c r="AI85" s="181">
        <f ca="1">IFERROR(__xludf.DUMMYFUNCTION("IMPORTRANGE(""https://docs.google.com/spreadsheets/d/1YiDIE7Klmt8osgdapRqYWNr7iPGFSsiJqq46S7PYRE0/edit?usp=sharing"",""ระนอง!J712"")"),0)</f>
        <v>0</v>
      </c>
      <c r="AJ85" s="181">
        <f ca="1">IFERROR(__xludf.DUMMYFUNCTION("IMPORTRANGE(""https://docs.google.com/spreadsheets/d/1YiDIE7Klmt8osgdapRqYWNr7iPGFSsiJqq46S7PYRE0/edit?usp=sharing"",""ระนอง!J713"")"),0)</f>
        <v>0</v>
      </c>
      <c r="AK85" s="181">
        <f ca="1">IFERROR(__xludf.DUMMYFUNCTION("IMPORTRANGE(""https://docs.google.com/spreadsheets/d/1YiDIE7Klmt8osgdapRqYWNr7iPGFSsiJqq46S7PYRE0/edit?usp=sharing"",""ระนอง!J714"")"),0)</f>
        <v>0</v>
      </c>
      <c r="AL85" s="181">
        <f ca="1">IFERROR(__xludf.DUMMYFUNCTION("IMPORTRANGE(""https://docs.google.com/spreadsheets/d/1YiDIE7Klmt8osgdapRqYWNr7iPGFSsiJqq46S7PYRE0/edit?usp=sharing"",""ระนอง!J715"")"),0)</f>
        <v>0</v>
      </c>
      <c r="AM85" s="181">
        <f ca="1">IFERROR(__xludf.DUMMYFUNCTION("IMPORTRANGE(""https://docs.google.com/spreadsheets/d/1YiDIE7Klmt8osgdapRqYWNr7iPGFSsiJqq46S7PYRE0/edit?usp=sharing"",""ระนอง!J716"")"),0)</f>
        <v>0</v>
      </c>
      <c r="AN85" s="181">
        <f ca="1">IFERROR(__xludf.DUMMYFUNCTION("IMPORTRANGE(""https://docs.google.com/spreadsheets/d/1YiDIE7Klmt8osgdapRqYWNr7iPGFSsiJqq46S7PYRE0/edit?usp=sharing"",""ระนอง!J717"")"),0)</f>
        <v>0</v>
      </c>
      <c r="AO85" s="181">
        <f ca="1">IFERROR(__xludf.DUMMYFUNCTION("IMPORTRANGE(""https://docs.google.com/spreadsheets/d/1YiDIE7Klmt8osgdapRqYWNr7iPGFSsiJqq46S7PYRE0/edit?usp=sharing"",""ระนอง!I720"")"),0)</f>
        <v>0</v>
      </c>
      <c r="AP85" s="181">
        <f ca="1">IFERROR(__xludf.DUMMYFUNCTION("IMPORTRANGE(""https://docs.google.com/spreadsheets/d/1YiDIE7Klmt8osgdapRqYWNr7iPGFSsiJqq46S7PYRE0/edit?usp=sharing"",""ระนอง!J718"")"),0)</f>
        <v>0</v>
      </c>
      <c r="AQ85" s="181">
        <f ca="1">IFERROR(__xludf.DUMMYFUNCTION("IMPORTRANGE(""https://docs.google.com/spreadsheets/d/1YiDIE7Klmt8osgdapRqYWNr7iPGFSsiJqq46S7PYRE0/edit?usp=sharing"",""ระนอง!J719"")"),0)</f>
        <v>0</v>
      </c>
      <c r="AR85" s="181">
        <f ca="1">IFERROR(__xludf.DUMMYFUNCTION("IMPORTRANGE(""https://docs.google.com/spreadsheets/d/1YiDIE7Klmt8osgdapRqYWNr7iPGFSsiJqq46S7PYRE0/edit?usp=sharing"",""ระนอง!J720"")"),0)</f>
        <v>0</v>
      </c>
      <c r="AS85" s="186">
        <f t="shared" ca="1" si="14"/>
        <v>0</v>
      </c>
      <c r="AT85" s="181">
        <f ca="1">IFERROR(__xludf.DUMMYFUNCTION("IMPORTRANGE(""https://docs.google.com/spreadsheets/d/1YiDIE7Klmt8osgdapRqYWNr7iPGFSsiJqq46S7PYRE0/edit?usp=sharing"",""ระนอง!I721"")"),0)</f>
        <v>0</v>
      </c>
      <c r="AU85" s="181">
        <f ca="1">IFERROR(__xludf.DUMMYFUNCTION("IMPORTRANGE(""https://docs.google.com/spreadsheets/d/1YiDIE7Klmt8osgdapRqYWNr7iPGFSsiJqq46S7PYRE0/edit?usp=sharing"",""ระนอง!I722"")"),0)</f>
        <v>0</v>
      </c>
      <c r="AV85" s="181">
        <f ca="1">IFERROR(__xludf.DUMMYFUNCTION("IMPORTRANGE(""https://docs.google.com/spreadsheets/d/1YiDIE7Klmt8osgdapRqYWNr7iPGFSsiJqq46S7PYRE0/edit?usp=sharing"",""ระนอง!J721"")"),0)</f>
        <v>0</v>
      </c>
      <c r="AW85" s="186">
        <f t="shared" ca="1" si="16"/>
        <v>0</v>
      </c>
      <c r="AX85" s="181">
        <f ca="1">IFERROR(__xludf.DUMMYFUNCTION("IMPORTRANGE(""https://docs.google.com/spreadsheets/d/1YiDIE7Klmt8osgdapRqYWNr7iPGFSsiJqq46S7PYRE0/edit?usp=sharing"",""ระนอง!J722"")"),0)</f>
        <v>0</v>
      </c>
      <c r="AY85" s="186">
        <f t="shared" ca="1" si="17"/>
        <v>0</v>
      </c>
      <c r="AZ85" s="181">
        <f ca="1">IFERROR(__xludf.DUMMYFUNCTION("IMPORTRANGE(""https://docs.google.com/spreadsheets/d/1YiDIE7Klmt8osgdapRqYWNr7iPGFSsiJqq46S7PYRE0/edit?usp=sharing"",""ระนอง!I723"")"),0)</f>
        <v>0</v>
      </c>
      <c r="BA85" s="181">
        <f ca="1">IFERROR(__xludf.DUMMYFUNCTION("IMPORTRANGE(""https://docs.google.com/spreadsheets/d/1YiDIE7Klmt8osgdapRqYWNr7iPGFSsiJqq46S7PYRE0/edit?usp=sharing"",""ระนอง!I725"")"),0)</f>
        <v>0</v>
      </c>
      <c r="BB85" s="181">
        <f ca="1">IFERROR(__xludf.DUMMYFUNCTION("IMPORTRANGE(""https://docs.google.com/spreadsheets/d/1YiDIE7Klmt8osgdapRqYWNr7iPGFSsiJqq46S7PYRE0/edit?usp=sharing"",""ระนอง!J723"")"),0)</f>
        <v>0</v>
      </c>
      <c r="BC85" s="181">
        <f ca="1">IFERROR(__xludf.DUMMYFUNCTION("IMPORTRANGE(""https://docs.google.com/spreadsheets/d/1YiDIE7Klmt8osgdapRqYWNr7iPGFSsiJqq46S7PYRE0/edit?usp=sharing"",""ระนอง!J724"")"),0)</f>
        <v>0</v>
      </c>
      <c r="BD85" s="181">
        <f ca="1">IFERROR(__xludf.DUMMYFUNCTION("IMPORTRANGE(""https://docs.google.com/spreadsheets/d/1YiDIE7Klmt8osgdapRqYWNr7iPGFSsiJqq46S7PYRE0/edit?usp=sharing"",""ระนอง!J725"")"),0)</f>
        <v>0</v>
      </c>
      <c r="BE85" s="181">
        <f ca="1">IFERROR(__xludf.DUMMYFUNCTION("IMPORTRANGE(""https://docs.google.com/spreadsheets/d/1YiDIE7Klmt8osgdapRqYWNr7iPGFSsiJqq46S7PYRE0/edit?usp=sharing"",""ระนอง!I726"")"),0)</f>
        <v>0</v>
      </c>
      <c r="BF85" s="181">
        <f ca="1">IFERROR(__xludf.DUMMYFUNCTION("IMPORTRANGE(""https://docs.google.com/spreadsheets/d/1YiDIE7Klmt8osgdapRqYWNr7iPGFSsiJqq46S7PYRE0/edit?usp=sharing"",""ระนอง!I728"")"),0)</f>
        <v>0</v>
      </c>
      <c r="BG85" s="181">
        <f ca="1">IFERROR(__xludf.DUMMYFUNCTION("IMPORTRANGE(""https://docs.google.com/spreadsheets/d/1YiDIE7Klmt8osgdapRqYWNr7iPGFSsiJqq46S7PYRE0/edit?usp=sharing"",""ระนอง!J726"")"),0)</f>
        <v>0</v>
      </c>
      <c r="BH85" s="181">
        <f ca="1">IFERROR(__xludf.DUMMYFUNCTION("IMPORTRANGE(""https://docs.google.com/spreadsheets/d/1YiDIE7Klmt8osgdapRqYWNr7iPGFSsiJqq46S7PYRE0/edit?usp=sharing"",""ระนอง!J727"")"),0)</f>
        <v>0</v>
      </c>
      <c r="BI85" s="181">
        <f ca="1">IFERROR(__xludf.DUMMYFUNCTION("IMPORTRANGE(""https://docs.google.com/spreadsheets/d/1YiDIE7Klmt8osgdapRqYWNr7iPGFSsiJqq46S7PYRE0/edit?usp=sharing"",""ระนอง!J728"")"),0)</f>
        <v>0</v>
      </c>
      <c r="BJ85" s="181">
        <f ca="1">IFERROR(__xludf.DUMMYFUNCTION("IMPORTRANGE(""https://docs.google.com/spreadsheets/d/1YiDIE7Klmt8osgdapRqYWNr7iPGFSsiJqq46S7PYRE0/edit?usp=sharing"",""ระนอง!I729"")"),0)</f>
        <v>0</v>
      </c>
      <c r="BK85" s="181">
        <f ca="1">IFERROR(__xludf.DUMMYFUNCTION("IMPORTRANGE(""https://docs.google.com/spreadsheets/d/1YiDIE7Klmt8osgdapRqYWNr7iPGFSsiJqq46S7PYRE0/edit?usp=sharing"",""ระนอง!J729"")"),0)</f>
        <v>0</v>
      </c>
      <c r="BL85" s="186">
        <f t="shared" ca="1" si="19"/>
        <v>0</v>
      </c>
      <c r="BM85" s="181">
        <f ca="1">IFERROR(__xludf.DUMMYFUNCTION("IMPORTRANGE(""https://docs.google.com/spreadsheets/d/1YiDIE7Klmt8osgdapRqYWNr7iPGFSsiJqq46S7PYRE0/edit?usp=sharing"",""ระนอง!J730"")"),0)</f>
        <v>0</v>
      </c>
      <c r="BN85" s="181">
        <f ca="1">IFERROR(__xludf.DUMMYFUNCTION("IMPORTRANGE(""https://docs.google.com/spreadsheets/d/1YiDIE7Klmt8osgdapRqYWNr7iPGFSsiJqq46S7PYRE0/edit?usp=sharing"",""ระนอง!J731"")"),0)</f>
        <v>0</v>
      </c>
      <c r="BO85" s="181">
        <f ca="1">IFERROR(__xludf.DUMMYFUNCTION("IMPORTRANGE(""https://docs.google.com/spreadsheets/d/1YiDIE7Klmt8osgdapRqYWNr7iPGFSsiJqq46S7PYRE0/edit?usp=sharing"",""ระนอง!J732"")"),0)</f>
        <v>0</v>
      </c>
      <c r="BP85" s="181">
        <f ca="1">IFERROR(__xludf.DUMMYFUNCTION("IMPORTRANGE(""https://docs.google.com/spreadsheets/d/1YiDIE7Klmt8osgdapRqYWNr7iPGFSsiJqq46S7PYRE0/edit?usp=sharing"",""ระนอง!J733"")"),0)</f>
        <v>0</v>
      </c>
      <c r="BQ85" s="181">
        <f ca="1">IFERROR(__xludf.DUMMYFUNCTION("IMPORTRANGE(""https://docs.google.com/spreadsheets/d/1YiDIE7Klmt8osgdapRqYWNr7iPGFSsiJqq46S7PYRE0/edit?usp=sharing"",""ระนอง!J734"")"),0)</f>
        <v>0</v>
      </c>
      <c r="BR85" s="181">
        <f ca="1">IFERROR(__xludf.DUMMYFUNCTION("IMPORTRANGE(""https://docs.google.com/spreadsheets/d/1YiDIE7Klmt8osgdapRqYWNr7iPGFSsiJqq46S7PYRE0/edit?usp=sharing"",""ระนอง!J735"")"),0)</f>
        <v>0</v>
      </c>
    </row>
    <row r="86" spans="1:70" ht="24" customHeight="1" x14ac:dyDescent="0.3">
      <c r="A86" s="178">
        <v>12</v>
      </c>
      <c r="B86" s="179" t="s">
        <v>103</v>
      </c>
      <c r="C86" s="180">
        <f t="shared" ca="1" si="82"/>
        <v>0</v>
      </c>
      <c r="D86" s="181">
        <f ca="1">IFERROR(__xludf.DUMMYFUNCTION("IMPORTRANGE(""https://docs.google.com/spreadsheets/d/16o_4B-V7AWw_6E93bSpXj_XxVv1oVQctk-B6z1dNEWU/edit?usp=sharing"",""สงขลา!L690"")"),0)</f>
        <v>0</v>
      </c>
      <c r="E86" s="187">
        <f ca="1">IFERROR(__xludf.DUMMYFUNCTION("IMPORTRANGE(""https://docs.google.com/spreadsheets/d/16o_4B-V7AWw_6E93bSpXj_XxVv1oVQctk-B6z1dNEWU/edit?usp=sharing"",""สงขลา!L697"")"),0)</f>
        <v>0</v>
      </c>
      <c r="F86" s="182">
        <f t="shared" ca="1" si="1"/>
        <v>0</v>
      </c>
      <c r="G86" s="183">
        <f t="shared" ca="1" si="2"/>
        <v>0</v>
      </c>
      <c r="H86" s="184">
        <f t="shared" ca="1" si="83"/>
        <v>0</v>
      </c>
      <c r="I86" s="187">
        <f ca="1">IFERROR(__xludf.DUMMYFUNCTION("IMPORTRANGE(""https://docs.google.com/spreadsheets/d/16o_4B-V7AWw_6E93bSpXj_XxVv1oVQctk-B6z1dNEWU/edit?usp=sharing"",""สงขลา!N691"")"),0)</f>
        <v>0</v>
      </c>
      <c r="J86" s="187">
        <f ca="1">IFERROR(__xludf.DUMMYFUNCTION("IMPORTRANGE(""https://docs.google.com/spreadsheets/d/16o_4B-V7AWw_6E93bSpXj_XxVv1oVQctk-B6z1dNEWU/edit?usp=sharing"",""สงขลา!N692"")"),0)</f>
        <v>0</v>
      </c>
      <c r="K86" s="187">
        <f ca="1">IFERROR(__xludf.DUMMYFUNCTION("IMPORTRANGE(""https://docs.google.com/spreadsheets/d/16o_4B-V7AWw_6E93bSpXj_XxVv1oVQctk-B6z1dNEWU/edit?usp=sharing"",""สงขลา!N693"")"),0)</f>
        <v>0</v>
      </c>
      <c r="L86" s="187">
        <f ca="1">IFERROR(__xludf.DUMMYFUNCTION("IMPORTRANGE(""https://docs.google.com/spreadsheets/d/16o_4B-V7AWw_6E93bSpXj_XxVv1oVQctk-B6z1dNEWU/edit?usp=sharing"",""สงขลา!N694"")"),0)</f>
        <v>0</v>
      </c>
      <c r="M86" s="185">
        <f ca="1">IFERROR(__xludf.DUMMYFUNCTION("IMPORTRANGE(""https://docs.google.com/spreadsheets/d/16o_4B-V7AWw_6E93bSpXj_XxVv1oVQctk-B6z1dNEWU/edit?usp=sharing"",""สงขลา!N697"")"),0)</f>
        <v>0</v>
      </c>
      <c r="N86" s="185">
        <f t="shared" ca="1" si="37"/>
        <v>0</v>
      </c>
      <c r="O86" s="181">
        <f ca="1">IFERROR(__xludf.DUMMYFUNCTION("IMPORTRANGE(""https://docs.google.com/spreadsheets/d/16o_4B-V7AWw_6E93bSpXj_XxVv1oVQctk-B6z1dNEWU/edit?usp=sharing"",""สงขลา!I699"")"),0)</f>
        <v>0</v>
      </c>
      <c r="P86" s="181">
        <f ca="1">IFERROR(__xludf.DUMMYFUNCTION("IMPORTRANGE(""https://docs.google.com/spreadsheets/d/16o_4B-V7AWw_6E93bSpXj_XxVv1oVQctk-B6z1dNEWU/edit?usp=sharing"",""สงขลา!J699"")"),0)</f>
        <v>0</v>
      </c>
      <c r="Q86" s="186">
        <f t="shared" ca="1" si="31"/>
        <v>0</v>
      </c>
      <c r="R86" s="181">
        <f ca="1">IFERROR(__xludf.DUMMYFUNCTION("IMPORTRANGE(""https://docs.google.com/spreadsheets/d/16o_4B-V7AWw_6E93bSpXj_XxVv1oVQctk-B6z1dNEWU/edit?usp=sharing"",""สงขลา!I700"")"),0)</f>
        <v>0</v>
      </c>
      <c r="S86" s="181">
        <f ca="1">IFERROR(__xludf.DUMMYFUNCTION("IMPORTRANGE(""https://docs.google.com/spreadsheets/d/16o_4B-V7AWw_6E93bSpXj_XxVv1oVQctk-B6z1dNEWU/edit?usp=sharing"",""สงขลา!J700"")"),0)</f>
        <v>0</v>
      </c>
      <c r="T86" s="186">
        <f t="shared" ca="1" si="32"/>
        <v>0</v>
      </c>
      <c r="U86" s="181">
        <f ca="1">IFERROR(__xludf.DUMMYFUNCTION("IMPORTRANGE(""https://docs.google.com/spreadsheets/d/16o_4B-V7AWw_6E93bSpXj_XxVv1oVQctk-B6z1dNEWU/edit?usp=sharing"",""สงขลา!I701"")"),0)</f>
        <v>0</v>
      </c>
      <c r="V86" s="181">
        <f ca="1">IFERROR(__xludf.DUMMYFUNCTION("IMPORTRANGE(""https://docs.google.com/spreadsheets/d/16o_4B-V7AWw_6E93bSpXj_XxVv1oVQctk-B6z1dNEWU/edit?usp=sharing"",""สงขลา!J701"")"),0)</f>
        <v>0</v>
      </c>
      <c r="W86" s="186">
        <f t="shared" ca="1" si="33"/>
        <v>0</v>
      </c>
      <c r="X86" s="186">
        <f ca="1">IFERROR(__xludf.DUMMYFUNCTION("IMPORTRANGE(""https://docs.google.com/spreadsheets/d/16o_4B-V7AWw_6E93bSpXj_XxVv1oVQctk-B6z1dNEWU/edit?usp=sharing"",""สงขลา!J702"")"),0)</f>
        <v>0</v>
      </c>
      <c r="Y86" s="186">
        <f ca="1">IFERROR(__xludf.DUMMYFUNCTION("IMPORTRANGE(""https://docs.google.com/spreadsheets/d/16o_4B-V7AWw_6E93bSpXj_XxVv1oVQctk-B6z1dNEWU/edit?usp=sharing"",""สงขลา!J703"")"),0)</f>
        <v>0</v>
      </c>
      <c r="Z86" s="186">
        <f ca="1">IFERROR(__xludf.DUMMYFUNCTION("IMPORTRANGE(""https://docs.google.com/spreadsheets/d/16o_4B-V7AWw_6E93bSpXj_XxVv1oVQctk-B6z1dNEWU/edit?usp=sharing"",""สงขลา!J704"")"),0)</f>
        <v>0</v>
      </c>
      <c r="AA86" s="186">
        <f ca="1">IFERROR(__xludf.DUMMYFUNCTION("IMPORTRANGE(""https://docs.google.com/spreadsheets/d/16o_4B-V7AWw_6E93bSpXj_XxVv1oVQctk-B6z1dNEWU/edit?usp=sharing"",""สงขลา!J705"")"),0)</f>
        <v>0</v>
      </c>
      <c r="AB86" s="186">
        <f ca="1">IFERROR(__xludf.DUMMYFUNCTION("IMPORTRANGE(""https://docs.google.com/spreadsheets/d/16o_4B-V7AWw_6E93bSpXj_XxVv1oVQctk-B6z1dNEWU/edit?usp=sharing"",""สงขลา!J706"")"),0)</f>
        <v>0</v>
      </c>
      <c r="AC86" s="186">
        <f ca="1">IFERROR(__xludf.DUMMYFUNCTION("IMPORTRANGE(""https://docs.google.com/spreadsheets/d/16o_4B-V7AWw_6E93bSpXj_XxVv1oVQctk-B6z1dNEWU/edit?usp=sharing"",""สงขลา!J707"")"),0)</f>
        <v>0</v>
      </c>
      <c r="AD86" s="181">
        <f ca="1">IFERROR(__xludf.DUMMYFUNCTION("IMPORTRANGE(""https://docs.google.com/spreadsheets/d/16o_4B-V7AWw_6E93bSpXj_XxVv1oVQctk-B6z1dNEWU/edit?usp=sharing"",""สงขลา!I708"")"),0)</f>
        <v>0</v>
      </c>
      <c r="AE86" s="181">
        <f ca="1">IFERROR(__xludf.DUMMYFUNCTION("IMPORTRANGE(""https://docs.google.com/spreadsheets/d/16o_4B-V7AWw_6E93bSpXj_XxVv1oVQctk-B6z1dNEWU/edit?usp=sharing"",""สงขลา!J708"")"),0)</f>
        <v>0</v>
      </c>
      <c r="AF86" s="186">
        <f t="shared" ca="1" si="34"/>
        <v>0</v>
      </c>
      <c r="AG86" s="181">
        <f ca="1">IFERROR(__xludf.DUMMYFUNCTION("IMPORTRANGE(""https://docs.google.com/spreadsheets/d/16o_4B-V7AWw_6E93bSpXj_XxVv1oVQctk-B6z1dNEWU/edit?usp=sharing"",""สงขลา!J709"")"),0)</f>
        <v>0</v>
      </c>
      <c r="AH86" s="181">
        <f ca="1">IFERROR(__xludf.DUMMYFUNCTION("IMPORTRANGE(""https://docs.google.com/spreadsheets/d/16o_4B-V7AWw_6E93bSpXj_XxVv1oVQctk-B6z1dNEWU/edit?usp=sharing"",""สงขลา!J710"")"),0)</f>
        <v>0</v>
      </c>
      <c r="AI86" s="181">
        <f ca="1">IFERROR(__xludf.DUMMYFUNCTION("IMPORTRANGE(""https://docs.google.com/spreadsheets/d/16o_4B-V7AWw_6E93bSpXj_XxVv1oVQctk-B6z1dNEWU/edit?usp=sharing"",""สงขลา!J712"")"),0)</f>
        <v>0</v>
      </c>
      <c r="AJ86" s="181">
        <f ca="1">IFERROR(__xludf.DUMMYFUNCTION("IMPORTRANGE(""https://docs.google.com/spreadsheets/d/16o_4B-V7AWw_6E93bSpXj_XxVv1oVQctk-B6z1dNEWU/edit?usp=sharing"",""สงขลา!J713"")"),0)</f>
        <v>0</v>
      </c>
      <c r="AK86" s="181">
        <f ca="1">IFERROR(__xludf.DUMMYFUNCTION("IMPORTRANGE(""https://docs.google.com/spreadsheets/d/16o_4B-V7AWw_6E93bSpXj_XxVv1oVQctk-B6z1dNEWU/edit?usp=sharing"",""สงขลา!J714"")"),0)</f>
        <v>0</v>
      </c>
      <c r="AL86" s="181">
        <f ca="1">IFERROR(__xludf.DUMMYFUNCTION("IMPORTRANGE(""https://docs.google.com/spreadsheets/d/16o_4B-V7AWw_6E93bSpXj_XxVv1oVQctk-B6z1dNEWU/edit?usp=sharing"",""สงขลา!J715"")"),0)</f>
        <v>0</v>
      </c>
      <c r="AM86" s="181">
        <f ca="1">IFERROR(__xludf.DUMMYFUNCTION("IMPORTRANGE(""https://docs.google.com/spreadsheets/d/16o_4B-V7AWw_6E93bSpXj_XxVv1oVQctk-B6z1dNEWU/edit?usp=sharing"",""สงขลา!J716"")"),0)</f>
        <v>0</v>
      </c>
      <c r="AN86" s="181">
        <f ca="1">IFERROR(__xludf.DUMMYFUNCTION("IMPORTRANGE(""https://docs.google.com/spreadsheets/d/16o_4B-V7AWw_6E93bSpXj_XxVv1oVQctk-B6z1dNEWU/edit?usp=sharing"",""สงขลา!J717"")"),0)</f>
        <v>0</v>
      </c>
      <c r="AO86" s="181">
        <f ca="1">IFERROR(__xludf.DUMMYFUNCTION("IMPORTRANGE(""https://docs.google.com/spreadsheets/d/16o_4B-V7AWw_6E93bSpXj_XxVv1oVQctk-B6z1dNEWU/edit?usp=sharing"",""สงขลา!I720"")"),0)</f>
        <v>0</v>
      </c>
      <c r="AP86" s="181">
        <f ca="1">IFERROR(__xludf.DUMMYFUNCTION("IMPORTRANGE(""https://docs.google.com/spreadsheets/d/16o_4B-V7AWw_6E93bSpXj_XxVv1oVQctk-B6z1dNEWU/edit?usp=sharing"",""สงขลา!J718"")"),0)</f>
        <v>0</v>
      </c>
      <c r="AQ86" s="181">
        <f ca="1">IFERROR(__xludf.DUMMYFUNCTION("IMPORTRANGE(""https://docs.google.com/spreadsheets/d/16o_4B-V7AWw_6E93bSpXj_XxVv1oVQctk-B6z1dNEWU/edit?usp=sharing"",""สงขลา!J719"")"),0)</f>
        <v>0</v>
      </c>
      <c r="AR86" s="181">
        <f ca="1">IFERROR(__xludf.DUMMYFUNCTION("IMPORTRANGE(""https://docs.google.com/spreadsheets/d/16o_4B-V7AWw_6E93bSpXj_XxVv1oVQctk-B6z1dNEWU/edit?usp=sharing"",""สงขลา!J720"")"),0)</f>
        <v>0</v>
      </c>
      <c r="AS86" s="186">
        <f t="shared" ca="1" si="14"/>
        <v>0</v>
      </c>
      <c r="AT86" s="181">
        <f ca="1">IFERROR(__xludf.DUMMYFUNCTION("IMPORTRANGE(""https://docs.google.com/spreadsheets/d/16o_4B-V7AWw_6E93bSpXj_XxVv1oVQctk-B6z1dNEWU/edit?usp=sharing"",""สงขลา!I721"")"),0)</f>
        <v>0</v>
      </c>
      <c r="AU86" s="181">
        <f ca="1">IFERROR(__xludf.DUMMYFUNCTION("IMPORTRANGE(""https://docs.google.com/spreadsheets/d/16o_4B-V7AWw_6E93bSpXj_XxVv1oVQctk-B6z1dNEWU/edit?usp=sharing"",""สงขลา!I722"")"),0)</f>
        <v>0</v>
      </c>
      <c r="AV86" s="181">
        <f ca="1">IFERROR(__xludf.DUMMYFUNCTION("IMPORTRANGE(""https://docs.google.com/spreadsheets/d/16o_4B-V7AWw_6E93bSpXj_XxVv1oVQctk-B6z1dNEWU/edit?usp=sharing"",""สงขลา!J721"")"),0)</f>
        <v>0</v>
      </c>
      <c r="AW86" s="186">
        <f t="shared" ca="1" si="16"/>
        <v>0</v>
      </c>
      <c r="AX86" s="181">
        <f ca="1">IFERROR(__xludf.DUMMYFUNCTION("IMPORTRANGE(""https://docs.google.com/spreadsheets/d/16o_4B-V7AWw_6E93bSpXj_XxVv1oVQctk-B6z1dNEWU/edit?usp=sharing"",""สงขลา!J722"")"),0)</f>
        <v>0</v>
      </c>
      <c r="AY86" s="186">
        <f t="shared" ca="1" si="17"/>
        <v>0</v>
      </c>
      <c r="AZ86" s="181">
        <f ca="1">IFERROR(__xludf.DUMMYFUNCTION("IMPORTRANGE(""https://docs.google.com/spreadsheets/d/16o_4B-V7AWw_6E93bSpXj_XxVv1oVQctk-B6z1dNEWU/edit?usp=sharing"",""สงขลา!I723"")"),0)</f>
        <v>0</v>
      </c>
      <c r="BA86" s="181">
        <f ca="1">IFERROR(__xludf.DUMMYFUNCTION("IMPORTRANGE(""https://docs.google.com/spreadsheets/d/16o_4B-V7AWw_6E93bSpXj_XxVv1oVQctk-B6z1dNEWU/edit?usp=sharing"",""สงขลา!I725"")"),0)</f>
        <v>0</v>
      </c>
      <c r="BB86" s="181">
        <f ca="1">IFERROR(__xludf.DUMMYFUNCTION("IMPORTRANGE(""https://docs.google.com/spreadsheets/d/16o_4B-V7AWw_6E93bSpXj_XxVv1oVQctk-B6z1dNEWU/edit?usp=sharing"",""สงขลา!J723"")"),0)</f>
        <v>0</v>
      </c>
      <c r="BC86" s="181">
        <f ca="1">IFERROR(__xludf.DUMMYFUNCTION("IMPORTRANGE(""https://docs.google.com/spreadsheets/d/16o_4B-V7AWw_6E93bSpXj_XxVv1oVQctk-B6z1dNEWU/edit?usp=sharing"",""สงขลา!J724"")"),0)</f>
        <v>0</v>
      </c>
      <c r="BD86" s="181">
        <f ca="1">IFERROR(__xludf.DUMMYFUNCTION("IMPORTRANGE(""https://docs.google.com/spreadsheets/d/16o_4B-V7AWw_6E93bSpXj_XxVv1oVQctk-B6z1dNEWU/edit?usp=sharing"",""สงขลา!J725"")"),0)</f>
        <v>0</v>
      </c>
      <c r="BE86" s="181">
        <f ca="1">IFERROR(__xludf.DUMMYFUNCTION("IMPORTRANGE(""https://docs.google.com/spreadsheets/d/16o_4B-V7AWw_6E93bSpXj_XxVv1oVQctk-B6z1dNEWU/edit?usp=sharing"",""สงขลา!I726"")"),0)</f>
        <v>0</v>
      </c>
      <c r="BF86" s="181">
        <f ca="1">IFERROR(__xludf.DUMMYFUNCTION("IMPORTRANGE(""https://docs.google.com/spreadsheets/d/16o_4B-V7AWw_6E93bSpXj_XxVv1oVQctk-B6z1dNEWU/edit?usp=sharing"",""สงขลา!I728"")"),0)</f>
        <v>0</v>
      </c>
      <c r="BG86" s="181">
        <f ca="1">IFERROR(__xludf.DUMMYFUNCTION("IMPORTRANGE(""https://docs.google.com/spreadsheets/d/16o_4B-V7AWw_6E93bSpXj_XxVv1oVQctk-B6z1dNEWU/edit?usp=sharing"",""สงขลา!J726"")"),0)</f>
        <v>0</v>
      </c>
      <c r="BH86" s="181">
        <f ca="1">IFERROR(__xludf.DUMMYFUNCTION("IMPORTRANGE(""https://docs.google.com/spreadsheets/d/16o_4B-V7AWw_6E93bSpXj_XxVv1oVQctk-B6z1dNEWU/edit?usp=sharing"",""สงขลา!J727"")"),0)</f>
        <v>0</v>
      </c>
      <c r="BI86" s="181">
        <f ca="1">IFERROR(__xludf.DUMMYFUNCTION("IMPORTRANGE(""https://docs.google.com/spreadsheets/d/16o_4B-V7AWw_6E93bSpXj_XxVv1oVQctk-B6z1dNEWU/edit?usp=sharing"",""สงขลา!J728"")"),0)</f>
        <v>0</v>
      </c>
      <c r="BJ86" s="181">
        <f ca="1">IFERROR(__xludf.DUMMYFUNCTION("IMPORTRANGE(""https://docs.google.com/spreadsheets/d/16o_4B-V7AWw_6E93bSpXj_XxVv1oVQctk-B6z1dNEWU/edit?usp=sharing"",""สงขลา!I729"")"),0)</f>
        <v>0</v>
      </c>
      <c r="BK86" s="181">
        <f ca="1">IFERROR(__xludf.DUMMYFUNCTION("IMPORTRANGE(""https://docs.google.com/spreadsheets/d/16o_4B-V7AWw_6E93bSpXj_XxVv1oVQctk-B6z1dNEWU/edit?usp=sharing"",""สงขลา!J729"")"),0)</f>
        <v>0</v>
      </c>
      <c r="BL86" s="186">
        <f t="shared" ca="1" si="19"/>
        <v>0</v>
      </c>
      <c r="BM86" s="181">
        <f ca="1">IFERROR(__xludf.DUMMYFUNCTION("IMPORTRANGE(""https://docs.google.com/spreadsheets/d/16o_4B-V7AWw_6E93bSpXj_XxVv1oVQctk-B6z1dNEWU/edit?usp=sharing"",""สงขลา!J730"")"),0)</f>
        <v>0</v>
      </c>
      <c r="BN86" s="181">
        <f ca="1">IFERROR(__xludf.DUMMYFUNCTION("IMPORTRANGE(""https://docs.google.com/spreadsheets/d/16o_4B-V7AWw_6E93bSpXj_XxVv1oVQctk-B6z1dNEWU/edit?usp=sharing"",""สงขลา!J731"")"),0)</f>
        <v>0</v>
      </c>
      <c r="BO86" s="181">
        <f ca="1">IFERROR(__xludf.DUMMYFUNCTION("IMPORTRANGE(""https://docs.google.com/spreadsheets/d/16o_4B-V7AWw_6E93bSpXj_XxVv1oVQctk-B6z1dNEWU/edit?usp=sharing"",""สงขลา!J732"")"),0)</f>
        <v>0</v>
      </c>
      <c r="BP86" s="181">
        <f ca="1">IFERROR(__xludf.DUMMYFUNCTION("IMPORTRANGE(""https://docs.google.com/spreadsheets/d/16o_4B-V7AWw_6E93bSpXj_XxVv1oVQctk-B6z1dNEWU/edit?usp=sharing"",""สงขลา!J733"")"),0)</f>
        <v>0</v>
      </c>
      <c r="BQ86" s="181">
        <f ca="1">IFERROR(__xludf.DUMMYFUNCTION("IMPORTRANGE(""https://docs.google.com/spreadsheets/d/16o_4B-V7AWw_6E93bSpXj_XxVv1oVQctk-B6z1dNEWU/edit?usp=sharing"",""สงขลา!J734"")"),0)</f>
        <v>0</v>
      </c>
      <c r="BR86" s="181">
        <f ca="1">IFERROR(__xludf.DUMMYFUNCTION("IMPORTRANGE(""https://docs.google.com/spreadsheets/d/16o_4B-V7AWw_6E93bSpXj_XxVv1oVQctk-B6z1dNEWU/edit?usp=sharing"",""สงขลา!J735"")"),0)</f>
        <v>0</v>
      </c>
    </row>
    <row r="87" spans="1:70" ht="24" customHeight="1" x14ac:dyDescent="0.3">
      <c r="A87" s="178">
        <v>13</v>
      </c>
      <c r="B87" s="179" t="s">
        <v>104</v>
      </c>
      <c r="C87" s="180">
        <f t="shared" ca="1" si="82"/>
        <v>0</v>
      </c>
      <c r="D87" s="181">
        <f ca="1">IFERROR(__xludf.DUMMYFUNCTION("IMPORTRANGE(""https://docs.google.com/spreadsheets/d/16cywr71Fj4fA5OGRHsZh30ZG2gwJhMAQv69oVBzYHv0/edit?usp=sharing"",""สตูล!L690"")"),0)</f>
        <v>0</v>
      </c>
      <c r="E87" s="187">
        <f ca="1">IFERROR(__xludf.DUMMYFUNCTION("IMPORTRANGE(""https://docs.google.com/spreadsheets/d/16cywr71Fj4fA5OGRHsZh30ZG2gwJhMAQv69oVBzYHv0/edit?usp=sharing"",""สตูล!L697"")"),0)</f>
        <v>0</v>
      </c>
      <c r="F87" s="182">
        <f t="shared" ca="1" si="1"/>
        <v>0</v>
      </c>
      <c r="G87" s="183">
        <f t="shared" ca="1" si="2"/>
        <v>0</v>
      </c>
      <c r="H87" s="184">
        <f t="shared" ca="1" si="83"/>
        <v>0</v>
      </c>
      <c r="I87" s="187">
        <f ca="1">IFERROR(__xludf.DUMMYFUNCTION("IMPORTRANGE(""https://docs.google.com/spreadsheets/d/16cywr71Fj4fA5OGRHsZh30ZG2gwJhMAQv69oVBzYHv0/edit?usp=sharing"",""สตูล!N691"")"),0)</f>
        <v>0</v>
      </c>
      <c r="J87" s="187">
        <f ca="1">IFERROR(__xludf.DUMMYFUNCTION("IMPORTRANGE(""https://docs.google.com/spreadsheets/d/16cywr71Fj4fA5OGRHsZh30ZG2gwJhMAQv69oVBzYHv0/edit?usp=sharing"",""สตูล!N692"")"),0)</f>
        <v>0</v>
      </c>
      <c r="K87" s="187">
        <f ca="1">IFERROR(__xludf.DUMMYFUNCTION("IMPORTRANGE(""https://docs.google.com/spreadsheets/d/16cywr71Fj4fA5OGRHsZh30ZG2gwJhMAQv69oVBzYHv0/edit?usp=sharing"",""สตูล!N693"")"),0)</f>
        <v>0</v>
      </c>
      <c r="L87" s="187">
        <f ca="1">IFERROR(__xludf.DUMMYFUNCTION("IMPORTRANGE(""https://docs.google.com/spreadsheets/d/16cywr71Fj4fA5OGRHsZh30ZG2gwJhMAQv69oVBzYHv0/edit?usp=sharing"",""สตูล!N694"")"),0)</f>
        <v>0</v>
      </c>
      <c r="M87" s="185">
        <f ca="1">IFERROR(__xludf.DUMMYFUNCTION("IMPORTRANGE(""https://docs.google.com/spreadsheets/d/16cywr71Fj4fA5OGRHsZh30ZG2gwJhMAQv69oVBzYHv0/edit?usp=sharing"",""สตูล!N697"")"),0)</f>
        <v>0</v>
      </c>
      <c r="N87" s="185">
        <f t="shared" ca="1" si="37"/>
        <v>0</v>
      </c>
      <c r="O87" s="181">
        <f ca="1">IFERROR(__xludf.DUMMYFUNCTION("IMPORTRANGE(""https://docs.google.com/spreadsheets/d/16cywr71Fj4fA5OGRHsZh30ZG2gwJhMAQv69oVBzYHv0/edit?usp=sharing"",""สตูล!I699"")"),0)</f>
        <v>0</v>
      </c>
      <c r="P87" s="181">
        <f ca="1">IFERROR(__xludf.DUMMYFUNCTION("IMPORTRANGE(""https://docs.google.com/spreadsheets/d/16cywr71Fj4fA5OGRHsZh30ZG2gwJhMAQv69oVBzYHv0/edit?usp=sharing"",""สตูล!J699"")"),0)</f>
        <v>0</v>
      </c>
      <c r="Q87" s="186">
        <f t="shared" ca="1" si="31"/>
        <v>0</v>
      </c>
      <c r="R87" s="181">
        <f ca="1">IFERROR(__xludf.DUMMYFUNCTION("IMPORTRANGE(""https://docs.google.com/spreadsheets/d/16cywr71Fj4fA5OGRHsZh30ZG2gwJhMAQv69oVBzYHv0/edit?usp=sharing"",""สตูล!I700"")"),0)</f>
        <v>0</v>
      </c>
      <c r="S87" s="181">
        <f ca="1">IFERROR(__xludf.DUMMYFUNCTION("IMPORTRANGE(""https://docs.google.com/spreadsheets/d/16cywr71Fj4fA5OGRHsZh30ZG2gwJhMAQv69oVBzYHv0/edit?usp=sharing"",""สตูล!J700"")"),0)</f>
        <v>0</v>
      </c>
      <c r="T87" s="186">
        <f t="shared" ca="1" si="32"/>
        <v>0</v>
      </c>
      <c r="U87" s="181">
        <f ca="1">IFERROR(__xludf.DUMMYFUNCTION("IMPORTRANGE(""https://docs.google.com/spreadsheets/d/16cywr71Fj4fA5OGRHsZh30ZG2gwJhMAQv69oVBzYHv0/edit?usp=sharing"",""สตูล!I701"")"),0)</f>
        <v>0</v>
      </c>
      <c r="V87" s="181">
        <f ca="1">IFERROR(__xludf.DUMMYFUNCTION("IMPORTRANGE(""https://docs.google.com/spreadsheets/d/16cywr71Fj4fA5OGRHsZh30ZG2gwJhMAQv69oVBzYHv0/edit?usp=sharing"",""สตูล!J701"")"),0)</f>
        <v>0</v>
      </c>
      <c r="W87" s="186">
        <f t="shared" ca="1" si="33"/>
        <v>0</v>
      </c>
      <c r="X87" s="186">
        <f ca="1">IFERROR(__xludf.DUMMYFUNCTION("IMPORTRANGE(""https://docs.google.com/spreadsheets/d/16cywr71Fj4fA5OGRHsZh30ZG2gwJhMAQv69oVBzYHv0/edit?usp=sharing"",""สตูล!J702"")"),0)</f>
        <v>0</v>
      </c>
      <c r="Y87" s="186">
        <f ca="1">IFERROR(__xludf.DUMMYFUNCTION("IMPORTRANGE(""https://docs.google.com/spreadsheets/d/16cywr71Fj4fA5OGRHsZh30ZG2gwJhMAQv69oVBzYHv0/edit?usp=sharing"",""สตูล!J703"")"),0)</f>
        <v>0</v>
      </c>
      <c r="Z87" s="186">
        <f ca="1">IFERROR(__xludf.DUMMYFUNCTION("IMPORTRANGE(""https://docs.google.com/spreadsheets/d/16cywr71Fj4fA5OGRHsZh30ZG2gwJhMAQv69oVBzYHv0/edit?usp=sharing"",""สตูล!J704"")"),0)</f>
        <v>0</v>
      </c>
      <c r="AA87" s="186">
        <f ca="1">IFERROR(__xludf.DUMMYFUNCTION("IMPORTRANGE(""https://docs.google.com/spreadsheets/d/16cywr71Fj4fA5OGRHsZh30ZG2gwJhMAQv69oVBzYHv0/edit?usp=sharing"",""สตูล!J705"")"),0)</f>
        <v>0</v>
      </c>
      <c r="AB87" s="186">
        <f ca="1">IFERROR(__xludf.DUMMYFUNCTION("IMPORTRANGE(""https://docs.google.com/spreadsheets/d/16cywr71Fj4fA5OGRHsZh30ZG2gwJhMAQv69oVBzYHv0/edit?usp=sharing"",""สตูล!J706"")"),0)</f>
        <v>0</v>
      </c>
      <c r="AC87" s="186">
        <f ca="1">IFERROR(__xludf.DUMMYFUNCTION("IMPORTRANGE(""https://docs.google.com/spreadsheets/d/16cywr71Fj4fA5OGRHsZh30ZG2gwJhMAQv69oVBzYHv0/edit?usp=sharing"",""สตูล!J707"")"),0)</f>
        <v>0</v>
      </c>
      <c r="AD87" s="181">
        <f ca="1">IFERROR(__xludf.DUMMYFUNCTION("IMPORTRANGE(""https://docs.google.com/spreadsheets/d/16cywr71Fj4fA5OGRHsZh30ZG2gwJhMAQv69oVBzYHv0/edit?usp=sharing"",""สตูล!I708"")"),0)</f>
        <v>0</v>
      </c>
      <c r="AE87" s="181">
        <f ca="1">IFERROR(__xludf.DUMMYFUNCTION("IMPORTRANGE(""https://docs.google.com/spreadsheets/d/16cywr71Fj4fA5OGRHsZh30ZG2gwJhMAQv69oVBzYHv0/edit?usp=sharing"",""สตูล!J708"")"),0)</f>
        <v>0</v>
      </c>
      <c r="AF87" s="186">
        <f t="shared" ca="1" si="34"/>
        <v>0</v>
      </c>
      <c r="AG87" s="181">
        <f ca="1">IFERROR(__xludf.DUMMYFUNCTION("IMPORTRANGE(""https://docs.google.com/spreadsheets/d/16cywr71Fj4fA5OGRHsZh30ZG2gwJhMAQv69oVBzYHv0/edit?usp=sharing"",""สตูล!J709"")"),0)</f>
        <v>0</v>
      </c>
      <c r="AH87" s="181">
        <f ca="1">IFERROR(__xludf.DUMMYFUNCTION("IMPORTRANGE(""https://docs.google.com/spreadsheets/d/16cywr71Fj4fA5OGRHsZh30ZG2gwJhMAQv69oVBzYHv0/edit?usp=sharing"",""สตูล!J710"")"),0)</f>
        <v>0</v>
      </c>
      <c r="AI87" s="181">
        <f ca="1">IFERROR(__xludf.DUMMYFUNCTION("IMPORTRANGE(""https://docs.google.com/spreadsheets/d/16cywr71Fj4fA5OGRHsZh30ZG2gwJhMAQv69oVBzYHv0/edit?usp=sharing"",""สตูล!J712"")"),0)</f>
        <v>0</v>
      </c>
      <c r="AJ87" s="181">
        <f ca="1">IFERROR(__xludf.DUMMYFUNCTION("IMPORTRANGE(""https://docs.google.com/spreadsheets/d/16cywr71Fj4fA5OGRHsZh30ZG2gwJhMAQv69oVBzYHv0/edit?usp=sharing"",""สตูล!J713"")"),0)</f>
        <v>0</v>
      </c>
      <c r="AK87" s="181">
        <f ca="1">IFERROR(__xludf.DUMMYFUNCTION("IMPORTRANGE(""https://docs.google.com/spreadsheets/d/16cywr71Fj4fA5OGRHsZh30ZG2gwJhMAQv69oVBzYHv0/edit?usp=sharing"",""สตูล!J714"")"),0)</f>
        <v>0</v>
      </c>
      <c r="AL87" s="181">
        <f ca="1">IFERROR(__xludf.DUMMYFUNCTION("IMPORTRANGE(""https://docs.google.com/spreadsheets/d/16cywr71Fj4fA5OGRHsZh30ZG2gwJhMAQv69oVBzYHv0/edit?usp=sharing"",""สตูล!J715"")"),0)</f>
        <v>0</v>
      </c>
      <c r="AM87" s="181">
        <f ca="1">IFERROR(__xludf.DUMMYFUNCTION("IMPORTRANGE(""https://docs.google.com/spreadsheets/d/16cywr71Fj4fA5OGRHsZh30ZG2gwJhMAQv69oVBzYHv0/edit?usp=sharing"",""สตูล!J716"")"),0)</f>
        <v>0</v>
      </c>
      <c r="AN87" s="181">
        <f ca="1">IFERROR(__xludf.DUMMYFUNCTION("IMPORTRANGE(""https://docs.google.com/spreadsheets/d/16cywr71Fj4fA5OGRHsZh30ZG2gwJhMAQv69oVBzYHv0/edit?usp=sharing"",""สตูล!J717"")"),0)</f>
        <v>0</v>
      </c>
      <c r="AO87" s="181">
        <f ca="1">IFERROR(__xludf.DUMMYFUNCTION("IMPORTRANGE(""https://docs.google.com/spreadsheets/d/16cywr71Fj4fA5OGRHsZh30ZG2gwJhMAQv69oVBzYHv0/edit?usp=sharing"",""สตูล!I720"")"),0)</f>
        <v>0</v>
      </c>
      <c r="AP87" s="181">
        <f ca="1">IFERROR(__xludf.DUMMYFUNCTION("IMPORTRANGE(""https://docs.google.com/spreadsheets/d/16cywr71Fj4fA5OGRHsZh30ZG2gwJhMAQv69oVBzYHv0/edit?usp=sharing"",""สตูล!J718"")"),0)</f>
        <v>0</v>
      </c>
      <c r="AQ87" s="181">
        <f ca="1">IFERROR(__xludf.DUMMYFUNCTION("IMPORTRANGE(""https://docs.google.com/spreadsheets/d/16cywr71Fj4fA5OGRHsZh30ZG2gwJhMAQv69oVBzYHv0/edit?usp=sharing"",""สตูล!J719"")"),0)</f>
        <v>0</v>
      </c>
      <c r="AR87" s="181">
        <f ca="1">IFERROR(__xludf.DUMMYFUNCTION("IMPORTRANGE(""https://docs.google.com/spreadsheets/d/16cywr71Fj4fA5OGRHsZh30ZG2gwJhMAQv69oVBzYHv0/edit?usp=sharing"",""สตูล!J720"")"),0)</f>
        <v>0</v>
      </c>
      <c r="AS87" s="186">
        <f t="shared" ca="1" si="14"/>
        <v>0</v>
      </c>
      <c r="AT87" s="181">
        <f ca="1">IFERROR(__xludf.DUMMYFUNCTION("IMPORTRANGE(""https://docs.google.com/spreadsheets/d/16cywr71Fj4fA5OGRHsZh30ZG2gwJhMAQv69oVBzYHv0/edit?usp=sharing"",""สตูล!I721"")"),0)</f>
        <v>0</v>
      </c>
      <c r="AU87" s="181">
        <f ca="1">IFERROR(__xludf.DUMMYFUNCTION("IMPORTRANGE(""https://docs.google.com/spreadsheets/d/16cywr71Fj4fA5OGRHsZh30ZG2gwJhMAQv69oVBzYHv0/edit?usp=sharing"",""สตูล!I722"")"),0)</f>
        <v>0</v>
      </c>
      <c r="AV87" s="181">
        <f ca="1">IFERROR(__xludf.DUMMYFUNCTION("IMPORTRANGE(""https://docs.google.com/spreadsheets/d/16cywr71Fj4fA5OGRHsZh30ZG2gwJhMAQv69oVBzYHv0/edit?usp=sharing"",""สตูล!J721"")"),0)</f>
        <v>0</v>
      </c>
      <c r="AW87" s="186">
        <f t="shared" ca="1" si="16"/>
        <v>0</v>
      </c>
      <c r="AX87" s="181">
        <f ca="1">IFERROR(__xludf.DUMMYFUNCTION("IMPORTRANGE(""https://docs.google.com/spreadsheets/d/16cywr71Fj4fA5OGRHsZh30ZG2gwJhMAQv69oVBzYHv0/edit?usp=sharing"",""สตูล!J722"")"),0)</f>
        <v>0</v>
      </c>
      <c r="AY87" s="186">
        <f t="shared" ca="1" si="17"/>
        <v>0</v>
      </c>
      <c r="AZ87" s="181">
        <f ca="1">IFERROR(__xludf.DUMMYFUNCTION("IMPORTRANGE(""https://docs.google.com/spreadsheets/d/16cywr71Fj4fA5OGRHsZh30ZG2gwJhMAQv69oVBzYHv0/edit?usp=sharing"",""สตูล!I723"")"),0)</f>
        <v>0</v>
      </c>
      <c r="BA87" s="181">
        <f ca="1">IFERROR(__xludf.DUMMYFUNCTION("IMPORTRANGE(""https://docs.google.com/spreadsheets/d/16cywr71Fj4fA5OGRHsZh30ZG2gwJhMAQv69oVBzYHv0/edit?usp=sharing"",""สตูล!I725"")"),0)</f>
        <v>0</v>
      </c>
      <c r="BB87" s="181">
        <f ca="1">IFERROR(__xludf.DUMMYFUNCTION("IMPORTRANGE(""https://docs.google.com/spreadsheets/d/16cywr71Fj4fA5OGRHsZh30ZG2gwJhMAQv69oVBzYHv0/edit?usp=sharing"",""สตูล!J723"")"),0)</f>
        <v>0</v>
      </c>
      <c r="BC87" s="181">
        <f ca="1">IFERROR(__xludf.DUMMYFUNCTION("IMPORTRANGE(""https://docs.google.com/spreadsheets/d/16cywr71Fj4fA5OGRHsZh30ZG2gwJhMAQv69oVBzYHv0/edit?usp=sharing"",""สตูล!J724"")"),0)</f>
        <v>0</v>
      </c>
      <c r="BD87" s="181">
        <f ca="1">IFERROR(__xludf.DUMMYFUNCTION("IMPORTRANGE(""https://docs.google.com/spreadsheets/d/16cywr71Fj4fA5OGRHsZh30ZG2gwJhMAQv69oVBzYHv0/edit?usp=sharing"",""สตูล!J725"")"),0)</f>
        <v>0</v>
      </c>
      <c r="BE87" s="181">
        <f ca="1">IFERROR(__xludf.DUMMYFUNCTION("IMPORTRANGE(""https://docs.google.com/spreadsheets/d/16cywr71Fj4fA5OGRHsZh30ZG2gwJhMAQv69oVBzYHv0/edit?usp=sharing"",""สตูล!I726"")"),0)</f>
        <v>0</v>
      </c>
      <c r="BF87" s="181">
        <f ca="1">IFERROR(__xludf.DUMMYFUNCTION("IMPORTRANGE(""https://docs.google.com/spreadsheets/d/16cywr71Fj4fA5OGRHsZh30ZG2gwJhMAQv69oVBzYHv0/edit?usp=sharing"",""สตูล!I728"")"),0)</f>
        <v>0</v>
      </c>
      <c r="BG87" s="181">
        <f ca="1">IFERROR(__xludf.DUMMYFUNCTION("IMPORTRANGE(""https://docs.google.com/spreadsheets/d/16cywr71Fj4fA5OGRHsZh30ZG2gwJhMAQv69oVBzYHv0/edit?usp=sharing"",""สตูล!J726"")"),0)</f>
        <v>0</v>
      </c>
      <c r="BH87" s="181">
        <f ca="1">IFERROR(__xludf.DUMMYFUNCTION("IMPORTRANGE(""https://docs.google.com/spreadsheets/d/16cywr71Fj4fA5OGRHsZh30ZG2gwJhMAQv69oVBzYHv0/edit?usp=sharing"",""สตูล!J727"")"),0)</f>
        <v>0</v>
      </c>
      <c r="BI87" s="181">
        <f ca="1">IFERROR(__xludf.DUMMYFUNCTION("IMPORTRANGE(""https://docs.google.com/spreadsheets/d/16cywr71Fj4fA5OGRHsZh30ZG2gwJhMAQv69oVBzYHv0/edit?usp=sharing"",""สตูล!J728"")"),0)</f>
        <v>0</v>
      </c>
      <c r="BJ87" s="181">
        <f ca="1">IFERROR(__xludf.DUMMYFUNCTION("IMPORTRANGE(""https://docs.google.com/spreadsheets/d/16cywr71Fj4fA5OGRHsZh30ZG2gwJhMAQv69oVBzYHv0/edit?usp=sharing"",""สตูล!I729"")"),0)</f>
        <v>0</v>
      </c>
      <c r="BK87" s="181">
        <f ca="1">IFERROR(__xludf.DUMMYFUNCTION("IMPORTRANGE(""https://docs.google.com/spreadsheets/d/16cywr71Fj4fA5OGRHsZh30ZG2gwJhMAQv69oVBzYHv0/edit?usp=sharing"",""สตูล!J729"")"),0)</f>
        <v>0</v>
      </c>
      <c r="BL87" s="186">
        <f t="shared" ca="1" si="19"/>
        <v>0</v>
      </c>
      <c r="BM87" s="181">
        <f ca="1">IFERROR(__xludf.DUMMYFUNCTION("IMPORTRANGE(""https://docs.google.com/spreadsheets/d/16cywr71Fj4fA5OGRHsZh30ZG2gwJhMAQv69oVBzYHv0/edit?usp=sharing"",""สตูล!J730"")"),0)</f>
        <v>0</v>
      </c>
      <c r="BN87" s="181">
        <f ca="1">IFERROR(__xludf.DUMMYFUNCTION("IMPORTRANGE(""https://docs.google.com/spreadsheets/d/16cywr71Fj4fA5OGRHsZh30ZG2gwJhMAQv69oVBzYHv0/edit?usp=sharing"",""สตูล!J731"")"),0)</f>
        <v>0</v>
      </c>
      <c r="BO87" s="181">
        <f ca="1">IFERROR(__xludf.DUMMYFUNCTION("IMPORTRANGE(""https://docs.google.com/spreadsheets/d/16cywr71Fj4fA5OGRHsZh30ZG2gwJhMAQv69oVBzYHv0/edit?usp=sharing"",""สตูล!J732"")"),0)</f>
        <v>0</v>
      </c>
      <c r="BP87" s="181">
        <f ca="1">IFERROR(__xludf.DUMMYFUNCTION("IMPORTRANGE(""https://docs.google.com/spreadsheets/d/16cywr71Fj4fA5OGRHsZh30ZG2gwJhMAQv69oVBzYHv0/edit?usp=sharing"",""สตูล!J733"")"),0)</f>
        <v>0</v>
      </c>
      <c r="BQ87" s="181">
        <f ca="1">IFERROR(__xludf.DUMMYFUNCTION("IMPORTRANGE(""https://docs.google.com/spreadsheets/d/16cywr71Fj4fA5OGRHsZh30ZG2gwJhMAQv69oVBzYHv0/edit?usp=sharing"",""สตูล!J734"")"),0)</f>
        <v>0</v>
      </c>
      <c r="BR87" s="181">
        <f ca="1">IFERROR(__xludf.DUMMYFUNCTION("IMPORTRANGE(""https://docs.google.com/spreadsheets/d/16cywr71Fj4fA5OGRHsZh30ZG2gwJhMAQv69oVBzYHv0/edit?usp=sharing"",""สตูล!J735"")"),0)</f>
        <v>0</v>
      </c>
    </row>
    <row r="88" spans="1:70" ht="24" customHeight="1" x14ac:dyDescent="0.3">
      <c r="A88" s="192">
        <v>14</v>
      </c>
      <c r="B88" s="193" t="s">
        <v>105</v>
      </c>
      <c r="C88" s="204">
        <f t="shared" ca="1" si="82"/>
        <v>0</v>
      </c>
      <c r="D88" s="202">
        <f ca="1">IFERROR(__xludf.DUMMYFUNCTION("IMPORTRANGE(""https://docs.google.com/spreadsheets/d/1vO9Sws6kMtrVtyvrAJptINXjK8TFBoX9xLYOVK_C8bQ/edit?usp=sharing"",""สุราษฎร์ธานี!L690"")"),0)</f>
        <v>0</v>
      </c>
      <c r="E88" s="200">
        <f ca="1">IFERROR(__xludf.DUMMYFUNCTION("IMPORTRANGE(""https://docs.google.com/spreadsheets/d/1vO9Sws6kMtrVtyvrAJptINXjK8TFBoX9xLYOVK_C8bQ/edit?usp=sharing"",""สุราษฎร์ธานี!L697"")"),0)</f>
        <v>0</v>
      </c>
      <c r="F88" s="197">
        <f t="shared" ca="1" si="1"/>
        <v>0</v>
      </c>
      <c r="G88" s="205">
        <f t="shared" ca="1" si="2"/>
        <v>0</v>
      </c>
      <c r="H88" s="199">
        <f t="shared" ca="1" si="83"/>
        <v>0</v>
      </c>
      <c r="I88" s="200">
        <f ca="1">IFERROR(__xludf.DUMMYFUNCTION("IMPORTRANGE(""https://docs.google.com/spreadsheets/d/1vO9Sws6kMtrVtyvrAJptINXjK8TFBoX9xLYOVK_C8bQ/edit?usp=sharing"",""สุราษฎร์ธานี!N691"")"),0)</f>
        <v>0</v>
      </c>
      <c r="J88" s="200">
        <f ca="1">IFERROR(__xludf.DUMMYFUNCTION("IMPORTRANGE(""https://docs.google.com/spreadsheets/d/1vO9Sws6kMtrVtyvrAJptINXjK8TFBoX9xLYOVK_C8bQ/edit?usp=sharing"",""สุราษฎร์ธานี!N692"")"),0)</f>
        <v>0</v>
      </c>
      <c r="K88" s="200">
        <f ca="1">IFERROR(__xludf.DUMMYFUNCTION("IMPORTRANGE(""https://docs.google.com/spreadsheets/d/1vO9Sws6kMtrVtyvrAJptINXjK8TFBoX9xLYOVK_C8bQ/edit?usp=sharing"",""สุราษฎร์ธานี!N693"")"),0)</f>
        <v>0</v>
      </c>
      <c r="L88" s="200">
        <f ca="1">IFERROR(__xludf.DUMMYFUNCTION("IMPORTRANGE(""https://docs.google.com/spreadsheets/d/1vO9Sws6kMtrVtyvrAJptINXjK8TFBoX9xLYOVK_C8bQ/edit?usp=sharing"",""สุราษฎร์ธานี!N694"")"),0)</f>
        <v>0</v>
      </c>
      <c r="M88" s="201">
        <f ca="1">IFERROR(__xludf.DUMMYFUNCTION("IMPORTRANGE(""https://docs.google.com/spreadsheets/d/1vO9Sws6kMtrVtyvrAJptINXjK8TFBoX9xLYOVK_C8bQ/edit?usp=sharing"",""สุราษฎร์ธานี!N697"")"),0)</f>
        <v>0</v>
      </c>
      <c r="N88" s="201">
        <f t="shared" ca="1" si="37"/>
        <v>0</v>
      </c>
      <c r="O88" s="202">
        <f ca="1">IFERROR(__xludf.DUMMYFUNCTION("IMPORTRANGE(""https://docs.google.com/spreadsheets/d/1vO9Sws6kMtrVtyvrAJptINXjK8TFBoX9xLYOVK_C8bQ/edit?usp=sharing"",""สุราษฎร์ธานี!I699"")"),0)</f>
        <v>0</v>
      </c>
      <c r="P88" s="202">
        <f ca="1">IFERROR(__xludf.DUMMYFUNCTION("IMPORTRANGE(""https://docs.google.com/spreadsheets/d/1vO9Sws6kMtrVtyvrAJptINXjK8TFBoX9xLYOVK_C8bQ/edit?usp=sharing"",""สุราษฎร์ธานี!J699"")"),0)</f>
        <v>0</v>
      </c>
      <c r="Q88" s="203">
        <f t="shared" ca="1" si="31"/>
        <v>0</v>
      </c>
      <c r="R88" s="202">
        <f ca="1">IFERROR(__xludf.DUMMYFUNCTION("IMPORTRANGE(""https://docs.google.com/spreadsheets/d/1vO9Sws6kMtrVtyvrAJptINXjK8TFBoX9xLYOVK_C8bQ/edit?usp=sharing"",""สุราษฎร์ธานี!I700"")"),0)</f>
        <v>0</v>
      </c>
      <c r="S88" s="202">
        <f ca="1">IFERROR(__xludf.DUMMYFUNCTION("IMPORTRANGE(""https://docs.google.com/spreadsheets/d/1vO9Sws6kMtrVtyvrAJptINXjK8TFBoX9xLYOVK_C8bQ/edit?usp=sharing"",""สุราษฎร์ธานี!J700"")"),0)</f>
        <v>0</v>
      </c>
      <c r="T88" s="203">
        <f t="shared" ca="1" si="32"/>
        <v>0</v>
      </c>
      <c r="U88" s="202">
        <f ca="1">IFERROR(__xludf.DUMMYFUNCTION("IMPORTRANGE(""https://docs.google.com/spreadsheets/d/1vO9Sws6kMtrVtyvrAJptINXjK8TFBoX9xLYOVK_C8bQ/edit?usp=sharing"",""สุราษฎร์ธานี!I701"")"),0)</f>
        <v>0</v>
      </c>
      <c r="V88" s="202">
        <f ca="1">IFERROR(__xludf.DUMMYFUNCTION("IMPORTRANGE(""https://docs.google.com/spreadsheets/d/1vO9Sws6kMtrVtyvrAJptINXjK8TFBoX9xLYOVK_C8bQ/edit?usp=sharing"",""สุราษฎร์ธานี!J701"")"),0)</f>
        <v>0</v>
      </c>
      <c r="W88" s="203">
        <f t="shared" ca="1" si="33"/>
        <v>0</v>
      </c>
      <c r="X88" s="203">
        <f ca="1">IFERROR(__xludf.DUMMYFUNCTION("IMPORTRANGE(""https://docs.google.com/spreadsheets/d/1vO9Sws6kMtrVtyvrAJptINXjK8TFBoX9xLYOVK_C8bQ/edit?usp=sharing"",""สุราษฎร์ธานี!J702"")"),0)</f>
        <v>0</v>
      </c>
      <c r="Y88" s="203">
        <f ca="1">IFERROR(__xludf.DUMMYFUNCTION("IMPORTRANGE(""https://docs.google.com/spreadsheets/d/1vO9Sws6kMtrVtyvrAJptINXjK8TFBoX9xLYOVK_C8bQ/edit?usp=sharing"",""สุราษฎร์ธานี!J703"")"),0)</f>
        <v>0</v>
      </c>
      <c r="Z88" s="203">
        <f ca="1">IFERROR(__xludf.DUMMYFUNCTION("IMPORTRANGE(""https://docs.google.com/spreadsheets/d/1vO9Sws6kMtrVtyvrAJptINXjK8TFBoX9xLYOVK_C8bQ/edit?usp=sharing"",""สุราษฎร์ธานี!J704"")"),0)</f>
        <v>0</v>
      </c>
      <c r="AA88" s="203">
        <f ca="1">IFERROR(__xludf.DUMMYFUNCTION("IMPORTRANGE(""https://docs.google.com/spreadsheets/d/1vO9Sws6kMtrVtyvrAJptINXjK8TFBoX9xLYOVK_C8bQ/edit?usp=sharing"",""สุราษฎร์ธานี!J705"")"),0)</f>
        <v>0</v>
      </c>
      <c r="AB88" s="203">
        <f ca="1">IFERROR(__xludf.DUMMYFUNCTION("IMPORTRANGE(""https://docs.google.com/spreadsheets/d/1vO9Sws6kMtrVtyvrAJptINXjK8TFBoX9xLYOVK_C8bQ/edit?usp=sharing"",""สุราษฎร์ธานี!J706"")"),0)</f>
        <v>0</v>
      </c>
      <c r="AC88" s="203">
        <f ca="1">IFERROR(__xludf.DUMMYFUNCTION("IMPORTRANGE(""https://docs.google.com/spreadsheets/d/1vO9Sws6kMtrVtyvrAJptINXjK8TFBoX9xLYOVK_C8bQ/edit?usp=sharing"",""สุราษฎร์ธานี!J707"")"),0)</f>
        <v>0</v>
      </c>
      <c r="AD88" s="202">
        <f ca="1">IFERROR(__xludf.DUMMYFUNCTION("IMPORTRANGE(""https://docs.google.com/spreadsheets/d/1vO9Sws6kMtrVtyvrAJptINXjK8TFBoX9xLYOVK_C8bQ/edit?usp=sharing"",""สุราษฎร์ธานี!I708"")"),0)</f>
        <v>0</v>
      </c>
      <c r="AE88" s="202">
        <f ca="1">IFERROR(__xludf.DUMMYFUNCTION("IMPORTRANGE(""https://docs.google.com/spreadsheets/d/1vO9Sws6kMtrVtyvrAJptINXjK8TFBoX9xLYOVK_C8bQ/edit?usp=sharing"",""สุราษฎร์ธานี!J708"")"),0)</f>
        <v>0</v>
      </c>
      <c r="AF88" s="203">
        <f t="shared" ca="1" si="34"/>
        <v>0</v>
      </c>
      <c r="AG88" s="202">
        <f ca="1">IFERROR(__xludf.DUMMYFUNCTION("IMPORTRANGE(""https://docs.google.com/spreadsheets/d/1vO9Sws6kMtrVtyvrAJptINXjK8TFBoX9xLYOVK_C8bQ/edit?usp=sharing"",""สุราษฎร์ธานี!J709"")"),0)</f>
        <v>0</v>
      </c>
      <c r="AH88" s="202">
        <f ca="1">IFERROR(__xludf.DUMMYFUNCTION("IMPORTRANGE(""https://docs.google.com/spreadsheets/d/1vO9Sws6kMtrVtyvrAJptINXjK8TFBoX9xLYOVK_C8bQ/edit?usp=sharing"",""สุราษฎร์ธานี!J710"")"),0)</f>
        <v>0</v>
      </c>
      <c r="AI88" s="202">
        <f ca="1">IFERROR(__xludf.DUMMYFUNCTION("IMPORTRANGE(""https://docs.google.com/spreadsheets/d/1vO9Sws6kMtrVtyvrAJptINXjK8TFBoX9xLYOVK_C8bQ/edit?usp=sharing"",""สุราษฎร์ธานี!J712"")"),0)</f>
        <v>0</v>
      </c>
      <c r="AJ88" s="202">
        <f ca="1">IFERROR(__xludf.DUMMYFUNCTION("IMPORTRANGE(""https://docs.google.com/spreadsheets/d/1vO9Sws6kMtrVtyvrAJptINXjK8TFBoX9xLYOVK_C8bQ/edit?usp=sharing"",""สุราษฎร์ธานี!J713"")"),0)</f>
        <v>0</v>
      </c>
      <c r="AK88" s="202">
        <f ca="1">IFERROR(__xludf.DUMMYFUNCTION("IMPORTRANGE(""https://docs.google.com/spreadsheets/d/1vO9Sws6kMtrVtyvrAJptINXjK8TFBoX9xLYOVK_C8bQ/edit?usp=sharing"",""สุราษฎร์ธานี!J714"")"),0)</f>
        <v>0</v>
      </c>
      <c r="AL88" s="202">
        <f ca="1">IFERROR(__xludf.DUMMYFUNCTION("IMPORTRANGE(""https://docs.google.com/spreadsheets/d/1vO9Sws6kMtrVtyvrAJptINXjK8TFBoX9xLYOVK_C8bQ/edit?usp=sharing"",""สุราษฎร์ธานี!J715"")"),0)</f>
        <v>0</v>
      </c>
      <c r="AM88" s="202">
        <f ca="1">IFERROR(__xludf.DUMMYFUNCTION("IMPORTRANGE(""https://docs.google.com/spreadsheets/d/1vO9Sws6kMtrVtyvrAJptINXjK8TFBoX9xLYOVK_C8bQ/edit?usp=sharing"",""สุราษฎร์ธานี!J716"")"),0)</f>
        <v>0</v>
      </c>
      <c r="AN88" s="202">
        <f ca="1">IFERROR(__xludf.DUMMYFUNCTION("IMPORTRANGE(""https://docs.google.com/spreadsheets/d/1vO9Sws6kMtrVtyvrAJptINXjK8TFBoX9xLYOVK_C8bQ/edit?usp=sharing"",""สุราษฎร์ธานี!J717"")"),0)</f>
        <v>0</v>
      </c>
      <c r="AO88" s="202">
        <f ca="1">IFERROR(__xludf.DUMMYFUNCTION("IMPORTRANGE(""https://docs.google.com/spreadsheets/d/1vO9Sws6kMtrVtyvrAJptINXjK8TFBoX9xLYOVK_C8bQ/edit?usp=sharing"",""สุราษฎร์ธานี!I720"")"),0)</f>
        <v>0</v>
      </c>
      <c r="AP88" s="202">
        <f ca="1">IFERROR(__xludf.DUMMYFUNCTION("IMPORTRANGE(""https://docs.google.com/spreadsheets/d/1vO9Sws6kMtrVtyvrAJptINXjK8TFBoX9xLYOVK_C8bQ/edit?usp=sharing"",""สุราษฎร์ธานี!J718"")"),0)</f>
        <v>0</v>
      </c>
      <c r="AQ88" s="202">
        <f ca="1">IFERROR(__xludf.DUMMYFUNCTION("IMPORTRANGE(""https://docs.google.com/spreadsheets/d/1vO9Sws6kMtrVtyvrAJptINXjK8TFBoX9xLYOVK_C8bQ/edit?usp=sharing"",""สุราษฎร์ธานี!J719"")"),0)</f>
        <v>0</v>
      </c>
      <c r="AR88" s="202">
        <f ca="1">IFERROR(__xludf.DUMMYFUNCTION("IMPORTRANGE(""https://docs.google.com/spreadsheets/d/1vO9Sws6kMtrVtyvrAJptINXjK8TFBoX9xLYOVK_C8bQ/edit?usp=sharing"",""สุราษฎร์ธานี!J720"")"),0)</f>
        <v>0</v>
      </c>
      <c r="AS88" s="203">
        <f t="shared" ca="1" si="14"/>
        <v>0</v>
      </c>
      <c r="AT88" s="202">
        <f ca="1">IFERROR(__xludf.DUMMYFUNCTION("IMPORTRANGE(""https://docs.google.com/spreadsheets/d/1vO9Sws6kMtrVtyvrAJptINXjK8TFBoX9xLYOVK_C8bQ/edit?usp=sharing"",""สุราษฎร์ธานี!I721"")"),0)</f>
        <v>0</v>
      </c>
      <c r="AU88" s="202">
        <f ca="1">IFERROR(__xludf.DUMMYFUNCTION("IMPORTRANGE(""https://docs.google.com/spreadsheets/d/1vO9Sws6kMtrVtyvrAJptINXjK8TFBoX9xLYOVK_C8bQ/edit?usp=sharing"",""สุราษฎร์ธานี!I722"")"),0)</f>
        <v>0</v>
      </c>
      <c r="AV88" s="202">
        <f ca="1">IFERROR(__xludf.DUMMYFUNCTION("IMPORTRANGE(""https://docs.google.com/spreadsheets/d/1vO9Sws6kMtrVtyvrAJptINXjK8TFBoX9xLYOVK_C8bQ/edit?usp=sharing"",""สุราษฎร์ธานี!J721"")"),0)</f>
        <v>0</v>
      </c>
      <c r="AW88" s="203">
        <f t="shared" ca="1" si="16"/>
        <v>0</v>
      </c>
      <c r="AX88" s="202">
        <f ca="1">IFERROR(__xludf.DUMMYFUNCTION("IMPORTRANGE(""https://docs.google.com/spreadsheets/d/1vO9Sws6kMtrVtyvrAJptINXjK8TFBoX9xLYOVK_C8bQ/edit?usp=sharing"",""สุราษฎร์ธานี!J722"")"),0)</f>
        <v>0</v>
      </c>
      <c r="AY88" s="203">
        <f t="shared" ca="1" si="17"/>
        <v>0</v>
      </c>
      <c r="AZ88" s="202">
        <f ca="1">IFERROR(__xludf.DUMMYFUNCTION("IMPORTRANGE(""https://docs.google.com/spreadsheets/d/1vO9Sws6kMtrVtyvrAJptINXjK8TFBoX9xLYOVK_C8bQ/edit?usp=sharing"",""สุราษฎร์ธานี!I723"")"),0)</f>
        <v>0</v>
      </c>
      <c r="BA88" s="202">
        <f ca="1">IFERROR(__xludf.DUMMYFUNCTION("IMPORTRANGE(""https://docs.google.com/spreadsheets/d/1vO9Sws6kMtrVtyvrAJptINXjK8TFBoX9xLYOVK_C8bQ/edit?usp=sharing"",""สุราษฎร์ธานี!I725"")"),0)</f>
        <v>0</v>
      </c>
      <c r="BB88" s="202">
        <f ca="1">IFERROR(__xludf.DUMMYFUNCTION("IMPORTRANGE(""https://docs.google.com/spreadsheets/d/1vO9Sws6kMtrVtyvrAJptINXjK8TFBoX9xLYOVK_C8bQ/edit?usp=sharing"",""สุราษฎร์ธานี!J723"")"),0)</f>
        <v>0</v>
      </c>
      <c r="BC88" s="202">
        <f ca="1">IFERROR(__xludf.DUMMYFUNCTION("IMPORTRANGE(""https://docs.google.com/spreadsheets/d/1vO9Sws6kMtrVtyvrAJptINXjK8TFBoX9xLYOVK_C8bQ/edit?usp=sharing"",""สุราษฎร์ธานี!J724"")"),0)</f>
        <v>0</v>
      </c>
      <c r="BD88" s="202">
        <f ca="1">IFERROR(__xludf.DUMMYFUNCTION("IMPORTRANGE(""https://docs.google.com/spreadsheets/d/1vO9Sws6kMtrVtyvrAJptINXjK8TFBoX9xLYOVK_C8bQ/edit?usp=sharing"",""สุราษฎร์ธานี!J725"")"),0)</f>
        <v>0</v>
      </c>
      <c r="BE88" s="202">
        <f ca="1">IFERROR(__xludf.DUMMYFUNCTION("IMPORTRANGE(""https://docs.google.com/spreadsheets/d/1vO9Sws6kMtrVtyvrAJptINXjK8TFBoX9xLYOVK_C8bQ/edit?usp=sharing"",""สุราษฎร์ธานี!I726"")"),0)</f>
        <v>0</v>
      </c>
      <c r="BF88" s="202">
        <f ca="1">IFERROR(__xludf.DUMMYFUNCTION("IMPORTRANGE(""https://docs.google.com/spreadsheets/d/1vO9Sws6kMtrVtyvrAJptINXjK8TFBoX9xLYOVK_C8bQ/edit?usp=sharing"",""สุราษฎร์ธานี!I728"")"),0)</f>
        <v>0</v>
      </c>
      <c r="BG88" s="202">
        <f ca="1">IFERROR(__xludf.DUMMYFUNCTION("IMPORTRANGE(""https://docs.google.com/spreadsheets/d/1vO9Sws6kMtrVtyvrAJptINXjK8TFBoX9xLYOVK_C8bQ/edit?usp=sharing"",""สุราษฎร์ธานี!J726"")"),0)</f>
        <v>0</v>
      </c>
      <c r="BH88" s="202">
        <f ca="1">IFERROR(__xludf.DUMMYFUNCTION("IMPORTRANGE(""https://docs.google.com/spreadsheets/d/1vO9Sws6kMtrVtyvrAJptINXjK8TFBoX9xLYOVK_C8bQ/edit?usp=sharing"",""สุราษฎร์ธานี!J727"")"),0)</f>
        <v>0</v>
      </c>
      <c r="BI88" s="202">
        <f ca="1">IFERROR(__xludf.DUMMYFUNCTION("IMPORTRANGE(""https://docs.google.com/spreadsheets/d/1vO9Sws6kMtrVtyvrAJptINXjK8TFBoX9xLYOVK_C8bQ/edit?usp=sharing"",""สุราษฎร์ธานี!J728"")"),0)</f>
        <v>0</v>
      </c>
      <c r="BJ88" s="202">
        <f ca="1">IFERROR(__xludf.DUMMYFUNCTION("IMPORTRANGE(""https://docs.google.com/spreadsheets/d/1vO9Sws6kMtrVtyvrAJptINXjK8TFBoX9xLYOVK_C8bQ/edit?usp=sharing"",""สุราษฎร์ธานี!I729"")"),0)</f>
        <v>0</v>
      </c>
      <c r="BK88" s="202">
        <f ca="1">IFERROR(__xludf.DUMMYFUNCTION("IMPORTRANGE(""https://docs.google.com/spreadsheets/d/1vO9Sws6kMtrVtyvrAJptINXjK8TFBoX9xLYOVK_C8bQ/edit?usp=sharing"",""สุราษฎร์ธานี!J729"")"),0)</f>
        <v>0</v>
      </c>
      <c r="BL88" s="203">
        <f t="shared" ca="1" si="19"/>
        <v>0</v>
      </c>
      <c r="BM88" s="202">
        <f ca="1">IFERROR(__xludf.DUMMYFUNCTION("IMPORTRANGE(""https://docs.google.com/spreadsheets/d/1vO9Sws6kMtrVtyvrAJptINXjK8TFBoX9xLYOVK_C8bQ/edit?usp=sharing"",""สุราษฎร์ธานี!J730"")"),0)</f>
        <v>0</v>
      </c>
      <c r="BN88" s="202">
        <f ca="1">IFERROR(__xludf.DUMMYFUNCTION("IMPORTRANGE(""https://docs.google.com/spreadsheets/d/1vO9Sws6kMtrVtyvrAJptINXjK8TFBoX9xLYOVK_C8bQ/edit?usp=sharing"",""สุราษฎร์ธานี!J731"")"),0)</f>
        <v>0</v>
      </c>
      <c r="BO88" s="202">
        <f ca="1">IFERROR(__xludf.DUMMYFUNCTION("IMPORTRANGE(""https://docs.google.com/spreadsheets/d/1vO9Sws6kMtrVtyvrAJptINXjK8TFBoX9xLYOVK_C8bQ/edit?usp=sharing"",""สุราษฎร์ธานี!J732"")"),0)</f>
        <v>0</v>
      </c>
      <c r="BP88" s="202">
        <f ca="1">IFERROR(__xludf.DUMMYFUNCTION("IMPORTRANGE(""https://docs.google.com/spreadsheets/d/1vO9Sws6kMtrVtyvrAJptINXjK8TFBoX9xLYOVK_C8bQ/edit?usp=sharing"",""สุราษฎร์ธานี!J733"")"),0)</f>
        <v>0</v>
      </c>
      <c r="BQ88" s="202">
        <f ca="1">IFERROR(__xludf.DUMMYFUNCTION("IMPORTRANGE(""https://docs.google.com/spreadsheets/d/1vO9Sws6kMtrVtyvrAJptINXjK8TFBoX9xLYOVK_C8bQ/edit?usp=sharing"",""สุราษฎร์ธานี!J734"")"),0)</f>
        <v>0</v>
      </c>
      <c r="BR88" s="202">
        <f ca="1">IFERROR(__xludf.DUMMYFUNCTION("IMPORTRANGE(""https://docs.google.com/spreadsheets/d/1vO9Sws6kMtrVtyvrAJptINXjK8TFBoX9xLYOVK_C8bQ/edit?usp=sharing"",""สุราษฎร์ธานี!J735"")"),0)</f>
        <v>0</v>
      </c>
    </row>
    <row r="89" spans="1:70" ht="21" hidden="1" customHeight="1" x14ac:dyDescent="0.3">
      <c r="A89" s="341" t="s">
        <v>106</v>
      </c>
      <c r="B89" s="339"/>
      <c r="C89" s="207">
        <f>+C90+C91+C92+C93+C94+C95+C96+C97+C98+C99+C100+C101+C102+C103</f>
        <v>0</v>
      </c>
      <c r="D89" s="166"/>
      <c r="E89" s="166"/>
      <c r="F89" s="165">
        <f t="shared" si="1"/>
        <v>0</v>
      </c>
      <c r="G89" s="167">
        <f t="shared" si="2"/>
        <v>0</v>
      </c>
      <c r="H89" s="165">
        <f>+H90+H91+H92+H93+H94+H95+H96+H97+H98+H99+H100+H101+H102+H103</f>
        <v>0</v>
      </c>
      <c r="I89" s="166"/>
      <c r="J89" s="166"/>
      <c r="K89" s="166"/>
      <c r="L89" s="166"/>
      <c r="M89" s="168"/>
      <c r="N89" s="168">
        <f t="shared" si="37"/>
        <v>0</v>
      </c>
      <c r="O89" s="166"/>
      <c r="P89" s="166"/>
      <c r="Q89" s="170"/>
      <c r="R89" s="166"/>
      <c r="S89" s="166"/>
      <c r="T89" s="170"/>
      <c r="U89" s="166"/>
      <c r="V89" s="166"/>
      <c r="W89" s="170"/>
      <c r="X89" s="166"/>
      <c r="Y89" s="166"/>
      <c r="Z89" s="170"/>
      <c r="AA89" s="166"/>
      <c r="AB89" s="170"/>
      <c r="AC89" s="166"/>
      <c r="AD89" s="166"/>
      <c r="AE89" s="166"/>
      <c r="AF89" s="170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70"/>
      <c r="AT89" s="166"/>
      <c r="AU89" s="166"/>
      <c r="AV89" s="166"/>
      <c r="AW89" s="170"/>
      <c r="AX89" s="166"/>
      <c r="AY89" s="170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70"/>
      <c r="BM89" s="166"/>
      <c r="BN89" s="166"/>
      <c r="BO89" s="166"/>
      <c r="BP89" s="166"/>
      <c r="BQ89" s="166"/>
      <c r="BR89" s="166"/>
    </row>
    <row r="90" spans="1:70" ht="24" hidden="1" customHeight="1" x14ac:dyDescent="0.3">
      <c r="A90" s="178">
        <v>1</v>
      </c>
      <c r="B90" s="179" t="s">
        <v>107</v>
      </c>
      <c r="C90" s="180">
        <f t="shared" ref="C90:C103" si="84">D90+E90</f>
        <v>0</v>
      </c>
      <c r="D90" s="181">
        <v>0</v>
      </c>
      <c r="E90" s="187">
        <v>0</v>
      </c>
      <c r="F90" s="182">
        <f t="shared" si="1"/>
        <v>0</v>
      </c>
      <c r="G90" s="183">
        <f t="shared" si="2"/>
        <v>0</v>
      </c>
      <c r="H90" s="184">
        <f t="shared" ref="H90:H103" si="85">I90+J90+K90+L90</f>
        <v>0</v>
      </c>
      <c r="I90" s="187">
        <v>0</v>
      </c>
      <c r="J90" s="187">
        <v>0</v>
      </c>
      <c r="K90" s="187">
        <v>0</v>
      </c>
      <c r="L90" s="187">
        <v>0</v>
      </c>
      <c r="M90" s="185">
        <v>0</v>
      </c>
      <c r="N90" s="185">
        <f t="shared" si="37"/>
        <v>0</v>
      </c>
      <c r="O90" s="208"/>
      <c r="P90" s="208"/>
      <c r="Q90" s="209"/>
      <c r="R90" s="208"/>
      <c r="S90" s="208"/>
      <c r="T90" s="209"/>
      <c r="U90" s="208"/>
      <c r="V90" s="208"/>
      <c r="W90" s="209"/>
      <c r="X90" s="208"/>
      <c r="Y90" s="208"/>
      <c r="Z90" s="209"/>
      <c r="AA90" s="208"/>
      <c r="AB90" s="209"/>
      <c r="AC90" s="208"/>
      <c r="AD90" s="208"/>
      <c r="AE90" s="208"/>
      <c r="AF90" s="209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9"/>
      <c r="AT90" s="208"/>
      <c r="AU90" s="208"/>
      <c r="AV90" s="208"/>
      <c r="AW90" s="209"/>
      <c r="AX90" s="208"/>
      <c r="AY90" s="209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9"/>
      <c r="BM90" s="208"/>
      <c r="BN90" s="208"/>
      <c r="BO90" s="208"/>
      <c r="BP90" s="208"/>
      <c r="BQ90" s="208"/>
      <c r="BR90" s="208"/>
    </row>
    <row r="91" spans="1:70" ht="24" hidden="1" customHeight="1" x14ac:dyDescent="0.3">
      <c r="A91" s="178">
        <v>2</v>
      </c>
      <c r="B91" s="179" t="s">
        <v>108</v>
      </c>
      <c r="C91" s="180">
        <f t="shared" si="84"/>
        <v>0</v>
      </c>
      <c r="D91" s="181">
        <v>0</v>
      </c>
      <c r="E91" s="187">
        <v>0</v>
      </c>
      <c r="F91" s="182">
        <f t="shared" si="1"/>
        <v>0</v>
      </c>
      <c r="G91" s="183">
        <f t="shared" si="2"/>
        <v>0</v>
      </c>
      <c r="H91" s="184">
        <f t="shared" si="85"/>
        <v>0</v>
      </c>
      <c r="I91" s="187">
        <v>0</v>
      </c>
      <c r="J91" s="187">
        <v>0</v>
      </c>
      <c r="K91" s="187">
        <v>0</v>
      </c>
      <c r="L91" s="187">
        <v>0</v>
      </c>
      <c r="M91" s="185">
        <v>0</v>
      </c>
      <c r="N91" s="185">
        <f t="shared" si="37"/>
        <v>0</v>
      </c>
      <c r="O91" s="208"/>
      <c r="P91" s="208"/>
      <c r="Q91" s="209"/>
      <c r="R91" s="208"/>
      <c r="S91" s="208"/>
      <c r="T91" s="209"/>
      <c r="U91" s="208"/>
      <c r="V91" s="208"/>
      <c r="W91" s="209"/>
      <c r="X91" s="208"/>
      <c r="Y91" s="208"/>
      <c r="Z91" s="209"/>
      <c r="AA91" s="208"/>
      <c r="AB91" s="209"/>
      <c r="AC91" s="208"/>
      <c r="AD91" s="208"/>
      <c r="AE91" s="208"/>
      <c r="AF91" s="209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9"/>
      <c r="AT91" s="208"/>
      <c r="AU91" s="208"/>
      <c r="AV91" s="208"/>
      <c r="AW91" s="209"/>
      <c r="AX91" s="208"/>
      <c r="AY91" s="209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9"/>
      <c r="BM91" s="208"/>
      <c r="BN91" s="208"/>
      <c r="BO91" s="208"/>
      <c r="BP91" s="208"/>
      <c r="BQ91" s="208"/>
      <c r="BR91" s="208"/>
    </row>
    <row r="92" spans="1:70" ht="24" hidden="1" customHeight="1" x14ac:dyDescent="0.3">
      <c r="A92" s="178">
        <v>3</v>
      </c>
      <c r="B92" s="179" t="s">
        <v>109</v>
      </c>
      <c r="C92" s="180">
        <f t="shared" si="84"/>
        <v>0</v>
      </c>
      <c r="D92" s="181">
        <v>0</v>
      </c>
      <c r="E92" s="187">
        <v>0</v>
      </c>
      <c r="F92" s="182">
        <f t="shared" si="1"/>
        <v>0</v>
      </c>
      <c r="G92" s="183">
        <f t="shared" si="2"/>
        <v>0</v>
      </c>
      <c r="H92" s="184">
        <f t="shared" si="85"/>
        <v>0</v>
      </c>
      <c r="I92" s="187">
        <v>0</v>
      </c>
      <c r="J92" s="187">
        <v>0</v>
      </c>
      <c r="K92" s="187">
        <v>0</v>
      </c>
      <c r="L92" s="187">
        <v>0</v>
      </c>
      <c r="M92" s="185">
        <v>0</v>
      </c>
      <c r="N92" s="185">
        <f t="shared" si="37"/>
        <v>0</v>
      </c>
      <c r="O92" s="208"/>
      <c r="P92" s="208"/>
      <c r="Q92" s="209"/>
      <c r="R92" s="208"/>
      <c r="S92" s="208"/>
      <c r="T92" s="209"/>
      <c r="U92" s="208"/>
      <c r="V92" s="208"/>
      <c r="W92" s="209"/>
      <c r="X92" s="208"/>
      <c r="Y92" s="208"/>
      <c r="Z92" s="209"/>
      <c r="AA92" s="208"/>
      <c r="AB92" s="209"/>
      <c r="AC92" s="208"/>
      <c r="AD92" s="208"/>
      <c r="AE92" s="208"/>
      <c r="AF92" s="209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9"/>
      <c r="AT92" s="208"/>
      <c r="AU92" s="208"/>
      <c r="AV92" s="208"/>
      <c r="AW92" s="209"/>
      <c r="AX92" s="208"/>
      <c r="AY92" s="209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9"/>
      <c r="BM92" s="208"/>
      <c r="BN92" s="208"/>
      <c r="BO92" s="208"/>
      <c r="BP92" s="208"/>
      <c r="BQ92" s="208"/>
      <c r="BR92" s="208"/>
    </row>
    <row r="93" spans="1:70" ht="24" hidden="1" customHeight="1" x14ac:dyDescent="0.3">
      <c r="A93" s="178">
        <f t="shared" ref="A93:A103" si="86">+A92+1</f>
        <v>4</v>
      </c>
      <c r="B93" s="179" t="s">
        <v>110</v>
      </c>
      <c r="C93" s="180">
        <f t="shared" si="84"/>
        <v>0</v>
      </c>
      <c r="D93" s="181">
        <v>0</v>
      </c>
      <c r="E93" s="187">
        <v>0</v>
      </c>
      <c r="F93" s="182">
        <f t="shared" si="1"/>
        <v>0</v>
      </c>
      <c r="G93" s="183">
        <f t="shared" si="2"/>
        <v>0</v>
      </c>
      <c r="H93" s="184">
        <f t="shared" si="85"/>
        <v>0</v>
      </c>
      <c r="I93" s="187">
        <v>0</v>
      </c>
      <c r="J93" s="187">
        <v>0</v>
      </c>
      <c r="K93" s="187">
        <v>0</v>
      </c>
      <c r="L93" s="187">
        <v>0</v>
      </c>
      <c r="M93" s="185">
        <v>0</v>
      </c>
      <c r="N93" s="185">
        <f t="shared" si="37"/>
        <v>0</v>
      </c>
      <c r="O93" s="208"/>
      <c r="P93" s="208"/>
      <c r="Q93" s="209"/>
      <c r="R93" s="208"/>
      <c r="S93" s="208"/>
      <c r="T93" s="209"/>
      <c r="U93" s="208"/>
      <c r="V93" s="208"/>
      <c r="W93" s="209"/>
      <c r="X93" s="208"/>
      <c r="Y93" s="208"/>
      <c r="Z93" s="209"/>
      <c r="AA93" s="208"/>
      <c r="AB93" s="209"/>
      <c r="AC93" s="208"/>
      <c r="AD93" s="208"/>
      <c r="AE93" s="208"/>
      <c r="AF93" s="209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9"/>
      <c r="AT93" s="208"/>
      <c r="AU93" s="208"/>
      <c r="AV93" s="208"/>
      <c r="AW93" s="209"/>
      <c r="AX93" s="208"/>
      <c r="AY93" s="209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9"/>
      <c r="BM93" s="208"/>
      <c r="BN93" s="208"/>
      <c r="BO93" s="208"/>
      <c r="BP93" s="208"/>
      <c r="BQ93" s="208"/>
      <c r="BR93" s="208"/>
    </row>
    <row r="94" spans="1:70" ht="24" hidden="1" customHeight="1" x14ac:dyDescent="0.3">
      <c r="A94" s="178">
        <f t="shared" si="86"/>
        <v>5</v>
      </c>
      <c r="B94" s="179" t="s">
        <v>111</v>
      </c>
      <c r="C94" s="180">
        <f t="shared" si="84"/>
        <v>0</v>
      </c>
      <c r="D94" s="181">
        <v>0</v>
      </c>
      <c r="E94" s="187">
        <v>0</v>
      </c>
      <c r="F94" s="182">
        <f t="shared" si="1"/>
        <v>0</v>
      </c>
      <c r="G94" s="183">
        <f t="shared" si="2"/>
        <v>0</v>
      </c>
      <c r="H94" s="184">
        <f t="shared" si="85"/>
        <v>0</v>
      </c>
      <c r="I94" s="187">
        <v>0</v>
      </c>
      <c r="J94" s="187">
        <v>0</v>
      </c>
      <c r="K94" s="187">
        <v>0</v>
      </c>
      <c r="L94" s="187">
        <v>0</v>
      </c>
      <c r="M94" s="185">
        <v>0</v>
      </c>
      <c r="N94" s="185">
        <f t="shared" si="37"/>
        <v>0</v>
      </c>
      <c r="O94" s="208"/>
      <c r="P94" s="208"/>
      <c r="Q94" s="209"/>
      <c r="R94" s="208"/>
      <c r="S94" s="208"/>
      <c r="T94" s="209"/>
      <c r="U94" s="208"/>
      <c r="V94" s="208"/>
      <c r="W94" s="209"/>
      <c r="X94" s="208"/>
      <c r="Y94" s="208"/>
      <c r="Z94" s="209"/>
      <c r="AA94" s="208"/>
      <c r="AB94" s="209"/>
      <c r="AC94" s="208"/>
      <c r="AD94" s="208"/>
      <c r="AE94" s="208"/>
      <c r="AF94" s="209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9"/>
      <c r="AT94" s="208"/>
      <c r="AU94" s="208"/>
      <c r="AV94" s="208"/>
      <c r="AW94" s="209"/>
      <c r="AX94" s="208"/>
      <c r="AY94" s="209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9"/>
      <c r="BM94" s="208"/>
      <c r="BN94" s="208"/>
      <c r="BO94" s="208"/>
      <c r="BP94" s="208"/>
      <c r="BQ94" s="208"/>
      <c r="BR94" s="208"/>
    </row>
    <row r="95" spans="1:70" ht="24" hidden="1" customHeight="1" x14ac:dyDescent="0.3">
      <c r="A95" s="178">
        <f t="shared" si="86"/>
        <v>6</v>
      </c>
      <c r="B95" s="179" t="s">
        <v>112</v>
      </c>
      <c r="C95" s="180">
        <f t="shared" si="84"/>
        <v>0</v>
      </c>
      <c r="D95" s="181">
        <v>0</v>
      </c>
      <c r="E95" s="187">
        <v>0</v>
      </c>
      <c r="F95" s="182">
        <f t="shared" si="1"/>
        <v>0</v>
      </c>
      <c r="G95" s="183">
        <f t="shared" si="2"/>
        <v>0</v>
      </c>
      <c r="H95" s="184">
        <f t="shared" si="85"/>
        <v>0</v>
      </c>
      <c r="I95" s="187">
        <v>0</v>
      </c>
      <c r="J95" s="187">
        <v>0</v>
      </c>
      <c r="K95" s="187">
        <v>0</v>
      </c>
      <c r="L95" s="187">
        <v>0</v>
      </c>
      <c r="M95" s="185">
        <v>0</v>
      </c>
      <c r="N95" s="185">
        <f t="shared" si="37"/>
        <v>0</v>
      </c>
      <c r="O95" s="208"/>
      <c r="P95" s="208"/>
      <c r="Q95" s="209"/>
      <c r="R95" s="208"/>
      <c r="S95" s="208"/>
      <c r="T95" s="209"/>
      <c r="U95" s="208"/>
      <c r="V95" s="208"/>
      <c r="W95" s="209"/>
      <c r="X95" s="208"/>
      <c r="Y95" s="208"/>
      <c r="Z95" s="209"/>
      <c r="AA95" s="208"/>
      <c r="AB95" s="209"/>
      <c r="AC95" s="208"/>
      <c r="AD95" s="208"/>
      <c r="AE95" s="208"/>
      <c r="AF95" s="209"/>
      <c r="AG95" s="208"/>
      <c r="AH95" s="208"/>
      <c r="AI95" s="208"/>
      <c r="AJ95" s="208"/>
      <c r="AK95" s="208"/>
      <c r="AL95" s="208"/>
      <c r="AM95" s="208"/>
      <c r="AN95" s="208"/>
      <c r="AO95" s="208"/>
      <c r="AP95" s="208"/>
      <c r="AQ95" s="208"/>
      <c r="AR95" s="208"/>
      <c r="AS95" s="209"/>
      <c r="AT95" s="208"/>
      <c r="AU95" s="208"/>
      <c r="AV95" s="208"/>
      <c r="AW95" s="209"/>
      <c r="AX95" s="208"/>
      <c r="AY95" s="209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  <c r="BK95" s="208"/>
      <c r="BL95" s="209"/>
      <c r="BM95" s="208"/>
      <c r="BN95" s="208"/>
      <c r="BO95" s="208"/>
      <c r="BP95" s="208"/>
      <c r="BQ95" s="208"/>
      <c r="BR95" s="208"/>
    </row>
    <row r="96" spans="1:70" ht="24" hidden="1" customHeight="1" x14ac:dyDescent="0.3">
      <c r="A96" s="178">
        <f t="shared" si="86"/>
        <v>7</v>
      </c>
      <c r="B96" s="179" t="s">
        <v>113</v>
      </c>
      <c r="C96" s="180">
        <f t="shared" si="84"/>
        <v>0</v>
      </c>
      <c r="D96" s="181">
        <v>0</v>
      </c>
      <c r="E96" s="187">
        <v>0</v>
      </c>
      <c r="F96" s="182">
        <f t="shared" si="1"/>
        <v>0</v>
      </c>
      <c r="G96" s="183">
        <f t="shared" si="2"/>
        <v>0</v>
      </c>
      <c r="H96" s="184">
        <f t="shared" si="85"/>
        <v>0</v>
      </c>
      <c r="I96" s="187">
        <v>0</v>
      </c>
      <c r="J96" s="187">
        <v>0</v>
      </c>
      <c r="K96" s="187">
        <v>0</v>
      </c>
      <c r="L96" s="187">
        <v>0</v>
      </c>
      <c r="M96" s="185">
        <v>0</v>
      </c>
      <c r="N96" s="185">
        <f t="shared" si="37"/>
        <v>0</v>
      </c>
      <c r="O96" s="208"/>
      <c r="P96" s="208"/>
      <c r="Q96" s="209"/>
      <c r="R96" s="208"/>
      <c r="S96" s="208"/>
      <c r="T96" s="209"/>
      <c r="U96" s="208"/>
      <c r="V96" s="208"/>
      <c r="W96" s="209"/>
      <c r="X96" s="208"/>
      <c r="Y96" s="208"/>
      <c r="Z96" s="209"/>
      <c r="AA96" s="208"/>
      <c r="AB96" s="209"/>
      <c r="AC96" s="208"/>
      <c r="AD96" s="208"/>
      <c r="AE96" s="208"/>
      <c r="AF96" s="209"/>
      <c r="AG96" s="208"/>
      <c r="AH96" s="208"/>
      <c r="AI96" s="208"/>
      <c r="AJ96" s="208"/>
      <c r="AK96" s="208"/>
      <c r="AL96" s="208"/>
      <c r="AM96" s="208"/>
      <c r="AN96" s="208"/>
      <c r="AO96" s="208"/>
      <c r="AP96" s="208"/>
      <c r="AQ96" s="208"/>
      <c r="AR96" s="208"/>
      <c r="AS96" s="209"/>
      <c r="AT96" s="208"/>
      <c r="AU96" s="208"/>
      <c r="AV96" s="208"/>
      <c r="AW96" s="209"/>
      <c r="AX96" s="208"/>
      <c r="AY96" s="209"/>
      <c r="AZ96" s="208"/>
      <c r="BA96" s="208"/>
      <c r="BB96" s="208"/>
      <c r="BC96" s="208"/>
      <c r="BD96" s="208"/>
      <c r="BE96" s="208"/>
      <c r="BF96" s="208"/>
      <c r="BG96" s="208"/>
      <c r="BH96" s="208"/>
      <c r="BI96" s="208"/>
      <c r="BJ96" s="208"/>
      <c r="BK96" s="208"/>
      <c r="BL96" s="209"/>
      <c r="BM96" s="208"/>
      <c r="BN96" s="208"/>
      <c r="BO96" s="208"/>
      <c r="BP96" s="208"/>
      <c r="BQ96" s="208"/>
      <c r="BR96" s="208"/>
    </row>
    <row r="97" spans="1:70" ht="24" hidden="1" customHeight="1" x14ac:dyDescent="0.3">
      <c r="A97" s="178">
        <f t="shared" si="86"/>
        <v>8</v>
      </c>
      <c r="B97" s="179" t="s">
        <v>114</v>
      </c>
      <c r="C97" s="180">
        <f t="shared" si="84"/>
        <v>0</v>
      </c>
      <c r="D97" s="181">
        <v>0</v>
      </c>
      <c r="E97" s="187">
        <v>0</v>
      </c>
      <c r="F97" s="182">
        <f t="shared" si="1"/>
        <v>0</v>
      </c>
      <c r="G97" s="183">
        <f t="shared" si="2"/>
        <v>0</v>
      </c>
      <c r="H97" s="184">
        <f t="shared" si="85"/>
        <v>0</v>
      </c>
      <c r="I97" s="187">
        <v>0</v>
      </c>
      <c r="J97" s="187">
        <v>0</v>
      </c>
      <c r="K97" s="187">
        <v>0</v>
      </c>
      <c r="L97" s="187">
        <v>0</v>
      </c>
      <c r="M97" s="185">
        <v>0</v>
      </c>
      <c r="N97" s="185">
        <f t="shared" si="37"/>
        <v>0</v>
      </c>
      <c r="O97" s="208"/>
      <c r="P97" s="208"/>
      <c r="Q97" s="209"/>
      <c r="R97" s="208"/>
      <c r="S97" s="208"/>
      <c r="T97" s="209"/>
      <c r="U97" s="208"/>
      <c r="V97" s="208"/>
      <c r="W97" s="209"/>
      <c r="X97" s="208"/>
      <c r="Y97" s="208"/>
      <c r="Z97" s="209"/>
      <c r="AA97" s="208"/>
      <c r="AB97" s="209"/>
      <c r="AC97" s="208"/>
      <c r="AD97" s="208"/>
      <c r="AE97" s="208"/>
      <c r="AF97" s="209"/>
      <c r="AG97" s="208"/>
      <c r="AH97" s="208"/>
      <c r="AI97" s="208"/>
      <c r="AJ97" s="208"/>
      <c r="AK97" s="208"/>
      <c r="AL97" s="208"/>
      <c r="AM97" s="208"/>
      <c r="AN97" s="208"/>
      <c r="AO97" s="208"/>
      <c r="AP97" s="208"/>
      <c r="AQ97" s="208"/>
      <c r="AR97" s="208"/>
      <c r="AS97" s="209"/>
      <c r="AT97" s="208"/>
      <c r="AU97" s="208"/>
      <c r="AV97" s="208"/>
      <c r="AW97" s="209"/>
      <c r="AX97" s="208"/>
      <c r="AY97" s="209"/>
      <c r="AZ97" s="208"/>
      <c r="BA97" s="208"/>
      <c r="BB97" s="208"/>
      <c r="BC97" s="208"/>
      <c r="BD97" s="208"/>
      <c r="BE97" s="208"/>
      <c r="BF97" s="208"/>
      <c r="BG97" s="208"/>
      <c r="BH97" s="208"/>
      <c r="BI97" s="208"/>
      <c r="BJ97" s="208"/>
      <c r="BK97" s="208"/>
      <c r="BL97" s="209"/>
      <c r="BM97" s="208"/>
      <c r="BN97" s="208"/>
      <c r="BO97" s="208"/>
      <c r="BP97" s="208"/>
      <c r="BQ97" s="208"/>
      <c r="BR97" s="208"/>
    </row>
    <row r="98" spans="1:70" ht="24" hidden="1" customHeight="1" x14ac:dyDescent="0.3">
      <c r="A98" s="178">
        <f t="shared" si="86"/>
        <v>9</v>
      </c>
      <c r="B98" s="179" t="s">
        <v>115</v>
      </c>
      <c r="C98" s="180">
        <f t="shared" si="84"/>
        <v>0</v>
      </c>
      <c r="D98" s="181">
        <v>0</v>
      </c>
      <c r="E98" s="187">
        <v>0</v>
      </c>
      <c r="F98" s="182">
        <f t="shared" si="1"/>
        <v>0</v>
      </c>
      <c r="G98" s="183">
        <f t="shared" si="2"/>
        <v>0</v>
      </c>
      <c r="H98" s="184">
        <f t="shared" si="85"/>
        <v>0</v>
      </c>
      <c r="I98" s="187">
        <v>0</v>
      </c>
      <c r="J98" s="187">
        <v>0</v>
      </c>
      <c r="K98" s="187">
        <v>0</v>
      </c>
      <c r="L98" s="187">
        <v>0</v>
      </c>
      <c r="M98" s="185">
        <v>0</v>
      </c>
      <c r="N98" s="185">
        <f t="shared" si="37"/>
        <v>0</v>
      </c>
      <c r="O98" s="208"/>
      <c r="P98" s="208"/>
      <c r="Q98" s="209"/>
      <c r="R98" s="208"/>
      <c r="S98" s="208"/>
      <c r="T98" s="209"/>
      <c r="U98" s="208"/>
      <c r="V98" s="208"/>
      <c r="W98" s="209"/>
      <c r="X98" s="208"/>
      <c r="Y98" s="208"/>
      <c r="Z98" s="209"/>
      <c r="AA98" s="208"/>
      <c r="AB98" s="209"/>
      <c r="AC98" s="208"/>
      <c r="AD98" s="208"/>
      <c r="AE98" s="208"/>
      <c r="AF98" s="209"/>
      <c r="AG98" s="208"/>
      <c r="AH98" s="208"/>
      <c r="AI98" s="208"/>
      <c r="AJ98" s="208"/>
      <c r="AK98" s="208"/>
      <c r="AL98" s="208"/>
      <c r="AM98" s="208"/>
      <c r="AN98" s="208"/>
      <c r="AO98" s="208"/>
      <c r="AP98" s="208"/>
      <c r="AQ98" s="208"/>
      <c r="AR98" s="208"/>
      <c r="AS98" s="209"/>
      <c r="AT98" s="208"/>
      <c r="AU98" s="208"/>
      <c r="AV98" s="208"/>
      <c r="AW98" s="209"/>
      <c r="AX98" s="208"/>
      <c r="AY98" s="209"/>
      <c r="AZ98" s="208"/>
      <c r="BA98" s="208"/>
      <c r="BB98" s="208"/>
      <c r="BC98" s="208"/>
      <c r="BD98" s="208"/>
      <c r="BE98" s="208"/>
      <c r="BF98" s="208"/>
      <c r="BG98" s="208"/>
      <c r="BH98" s="208"/>
      <c r="BI98" s="208"/>
      <c r="BJ98" s="208"/>
      <c r="BK98" s="208"/>
      <c r="BL98" s="209"/>
      <c r="BM98" s="208"/>
      <c r="BN98" s="208"/>
      <c r="BO98" s="208"/>
      <c r="BP98" s="208"/>
      <c r="BQ98" s="208"/>
      <c r="BR98" s="208"/>
    </row>
    <row r="99" spans="1:70" ht="24" hidden="1" customHeight="1" x14ac:dyDescent="0.3">
      <c r="A99" s="178">
        <f t="shared" si="86"/>
        <v>10</v>
      </c>
      <c r="B99" s="179" t="s">
        <v>116</v>
      </c>
      <c r="C99" s="180">
        <f t="shared" si="84"/>
        <v>0</v>
      </c>
      <c r="D99" s="181">
        <v>0</v>
      </c>
      <c r="E99" s="187">
        <v>0</v>
      </c>
      <c r="F99" s="182">
        <f t="shared" si="1"/>
        <v>0</v>
      </c>
      <c r="G99" s="183">
        <f t="shared" si="2"/>
        <v>0</v>
      </c>
      <c r="H99" s="184">
        <f t="shared" si="85"/>
        <v>0</v>
      </c>
      <c r="I99" s="187">
        <v>0</v>
      </c>
      <c r="J99" s="187">
        <v>0</v>
      </c>
      <c r="K99" s="187">
        <v>0</v>
      </c>
      <c r="L99" s="187">
        <v>0</v>
      </c>
      <c r="M99" s="185">
        <v>0</v>
      </c>
      <c r="N99" s="185">
        <f t="shared" si="37"/>
        <v>0</v>
      </c>
      <c r="O99" s="208"/>
      <c r="P99" s="208"/>
      <c r="Q99" s="209"/>
      <c r="R99" s="208"/>
      <c r="S99" s="208"/>
      <c r="T99" s="209"/>
      <c r="U99" s="208"/>
      <c r="V99" s="208"/>
      <c r="W99" s="209"/>
      <c r="X99" s="208"/>
      <c r="Y99" s="208"/>
      <c r="Z99" s="209"/>
      <c r="AA99" s="208"/>
      <c r="AB99" s="209"/>
      <c r="AC99" s="208"/>
      <c r="AD99" s="208"/>
      <c r="AE99" s="208"/>
      <c r="AF99" s="209"/>
      <c r="AG99" s="208"/>
      <c r="AH99" s="208"/>
      <c r="AI99" s="208"/>
      <c r="AJ99" s="208"/>
      <c r="AK99" s="208"/>
      <c r="AL99" s="208"/>
      <c r="AM99" s="208"/>
      <c r="AN99" s="208"/>
      <c r="AO99" s="208"/>
      <c r="AP99" s="208"/>
      <c r="AQ99" s="208"/>
      <c r="AR99" s="208"/>
      <c r="AS99" s="209"/>
      <c r="AT99" s="208"/>
      <c r="AU99" s="208"/>
      <c r="AV99" s="208"/>
      <c r="AW99" s="209"/>
      <c r="AX99" s="208"/>
      <c r="AY99" s="209"/>
      <c r="AZ99" s="208"/>
      <c r="BA99" s="208"/>
      <c r="BB99" s="208"/>
      <c r="BC99" s="208"/>
      <c r="BD99" s="208"/>
      <c r="BE99" s="208"/>
      <c r="BF99" s="208"/>
      <c r="BG99" s="208"/>
      <c r="BH99" s="208"/>
      <c r="BI99" s="208"/>
      <c r="BJ99" s="208"/>
      <c r="BK99" s="208"/>
      <c r="BL99" s="209"/>
      <c r="BM99" s="208"/>
      <c r="BN99" s="208"/>
      <c r="BO99" s="208"/>
      <c r="BP99" s="208"/>
      <c r="BQ99" s="208"/>
      <c r="BR99" s="208"/>
    </row>
    <row r="100" spans="1:70" ht="24" hidden="1" customHeight="1" x14ac:dyDescent="0.3">
      <c r="A100" s="178">
        <f t="shared" si="86"/>
        <v>11</v>
      </c>
      <c r="B100" s="179" t="s">
        <v>117</v>
      </c>
      <c r="C100" s="180">
        <f t="shared" si="84"/>
        <v>0</v>
      </c>
      <c r="D100" s="181">
        <v>0</v>
      </c>
      <c r="E100" s="187">
        <v>0</v>
      </c>
      <c r="F100" s="182">
        <f t="shared" si="1"/>
        <v>0</v>
      </c>
      <c r="G100" s="183">
        <f t="shared" si="2"/>
        <v>0</v>
      </c>
      <c r="H100" s="184">
        <f t="shared" si="85"/>
        <v>0</v>
      </c>
      <c r="I100" s="187">
        <v>0</v>
      </c>
      <c r="J100" s="187">
        <v>0</v>
      </c>
      <c r="K100" s="187">
        <v>0</v>
      </c>
      <c r="L100" s="187">
        <v>0</v>
      </c>
      <c r="M100" s="185">
        <v>0</v>
      </c>
      <c r="N100" s="185">
        <f t="shared" si="37"/>
        <v>0</v>
      </c>
      <c r="O100" s="208"/>
      <c r="P100" s="208"/>
      <c r="Q100" s="209"/>
      <c r="R100" s="208"/>
      <c r="S100" s="208"/>
      <c r="T100" s="209"/>
      <c r="U100" s="208"/>
      <c r="V100" s="208"/>
      <c r="W100" s="209"/>
      <c r="X100" s="208"/>
      <c r="Y100" s="208"/>
      <c r="Z100" s="209"/>
      <c r="AA100" s="208"/>
      <c r="AB100" s="209"/>
      <c r="AC100" s="208"/>
      <c r="AD100" s="208"/>
      <c r="AE100" s="208"/>
      <c r="AF100" s="209"/>
      <c r="AG100" s="208"/>
      <c r="AH100" s="208"/>
      <c r="AI100" s="208"/>
      <c r="AJ100" s="208"/>
      <c r="AK100" s="208"/>
      <c r="AL100" s="208"/>
      <c r="AM100" s="208"/>
      <c r="AN100" s="208"/>
      <c r="AO100" s="208"/>
      <c r="AP100" s="208"/>
      <c r="AQ100" s="208"/>
      <c r="AR100" s="208"/>
      <c r="AS100" s="209"/>
      <c r="AT100" s="208"/>
      <c r="AU100" s="208"/>
      <c r="AV100" s="208"/>
      <c r="AW100" s="209"/>
      <c r="AX100" s="208"/>
      <c r="AY100" s="209"/>
      <c r="AZ100" s="208"/>
      <c r="BA100" s="208"/>
      <c r="BB100" s="208"/>
      <c r="BC100" s="208"/>
      <c r="BD100" s="208"/>
      <c r="BE100" s="208"/>
      <c r="BF100" s="208"/>
      <c r="BG100" s="208"/>
      <c r="BH100" s="208"/>
      <c r="BI100" s="208"/>
      <c r="BJ100" s="208"/>
      <c r="BK100" s="208"/>
      <c r="BL100" s="209"/>
      <c r="BM100" s="208"/>
      <c r="BN100" s="208"/>
      <c r="BO100" s="208"/>
      <c r="BP100" s="208"/>
      <c r="BQ100" s="208"/>
      <c r="BR100" s="208"/>
    </row>
    <row r="101" spans="1:70" ht="24" hidden="1" customHeight="1" x14ac:dyDescent="0.3">
      <c r="A101" s="178">
        <f t="shared" si="86"/>
        <v>12</v>
      </c>
      <c r="B101" s="179" t="s">
        <v>118</v>
      </c>
      <c r="C101" s="180">
        <f t="shared" si="84"/>
        <v>0</v>
      </c>
      <c r="D101" s="181">
        <v>0</v>
      </c>
      <c r="E101" s="187">
        <v>0</v>
      </c>
      <c r="F101" s="182">
        <f t="shared" si="1"/>
        <v>0</v>
      </c>
      <c r="G101" s="183">
        <f t="shared" si="2"/>
        <v>0</v>
      </c>
      <c r="H101" s="184">
        <f t="shared" si="85"/>
        <v>0</v>
      </c>
      <c r="I101" s="187">
        <v>0</v>
      </c>
      <c r="J101" s="187">
        <v>0</v>
      </c>
      <c r="K101" s="187">
        <v>0</v>
      </c>
      <c r="L101" s="187">
        <v>0</v>
      </c>
      <c r="M101" s="185">
        <v>0</v>
      </c>
      <c r="N101" s="185">
        <f t="shared" si="37"/>
        <v>0</v>
      </c>
      <c r="O101" s="208"/>
      <c r="P101" s="208"/>
      <c r="Q101" s="209"/>
      <c r="R101" s="208"/>
      <c r="S101" s="208"/>
      <c r="T101" s="209"/>
      <c r="U101" s="208"/>
      <c r="V101" s="208"/>
      <c r="W101" s="209"/>
      <c r="X101" s="208"/>
      <c r="Y101" s="208"/>
      <c r="Z101" s="209"/>
      <c r="AA101" s="208"/>
      <c r="AB101" s="209"/>
      <c r="AC101" s="208"/>
      <c r="AD101" s="208"/>
      <c r="AE101" s="208"/>
      <c r="AF101" s="209"/>
      <c r="AG101" s="208"/>
      <c r="AH101" s="208"/>
      <c r="AI101" s="208"/>
      <c r="AJ101" s="208"/>
      <c r="AK101" s="208"/>
      <c r="AL101" s="208"/>
      <c r="AM101" s="208"/>
      <c r="AN101" s="208"/>
      <c r="AO101" s="208"/>
      <c r="AP101" s="208"/>
      <c r="AQ101" s="208"/>
      <c r="AR101" s="208"/>
      <c r="AS101" s="209"/>
      <c r="AT101" s="208"/>
      <c r="AU101" s="208"/>
      <c r="AV101" s="208"/>
      <c r="AW101" s="209"/>
      <c r="AX101" s="208"/>
      <c r="AY101" s="209"/>
      <c r="AZ101" s="208"/>
      <c r="BA101" s="208"/>
      <c r="BB101" s="208"/>
      <c r="BC101" s="208"/>
      <c r="BD101" s="208"/>
      <c r="BE101" s="208"/>
      <c r="BF101" s="208"/>
      <c r="BG101" s="208"/>
      <c r="BH101" s="208"/>
      <c r="BI101" s="208"/>
      <c r="BJ101" s="208"/>
      <c r="BK101" s="208"/>
      <c r="BL101" s="209"/>
      <c r="BM101" s="208"/>
      <c r="BN101" s="208"/>
      <c r="BO101" s="208"/>
      <c r="BP101" s="208"/>
      <c r="BQ101" s="208"/>
      <c r="BR101" s="208"/>
    </row>
    <row r="102" spans="1:70" ht="24" hidden="1" customHeight="1" x14ac:dyDescent="0.3">
      <c r="A102" s="178">
        <f t="shared" si="86"/>
        <v>13</v>
      </c>
      <c r="B102" s="179" t="s">
        <v>119</v>
      </c>
      <c r="C102" s="180">
        <f t="shared" si="84"/>
        <v>0</v>
      </c>
      <c r="D102" s="181">
        <v>0</v>
      </c>
      <c r="E102" s="187">
        <v>0</v>
      </c>
      <c r="F102" s="182">
        <f t="shared" si="1"/>
        <v>0</v>
      </c>
      <c r="G102" s="183">
        <f t="shared" si="2"/>
        <v>0</v>
      </c>
      <c r="H102" s="184">
        <f t="shared" si="85"/>
        <v>0</v>
      </c>
      <c r="I102" s="187">
        <v>0</v>
      </c>
      <c r="J102" s="187">
        <v>0</v>
      </c>
      <c r="K102" s="187">
        <v>0</v>
      </c>
      <c r="L102" s="187">
        <v>0</v>
      </c>
      <c r="M102" s="185">
        <v>0</v>
      </c>
      <c r="N102" s="185">
        <f t="shared" si="37"/>
        <v>0</v>
      </c>
      <c r="O102" s="208"/>
      <c r="P102" s="208"/>
      <c r="Q102" s="209"/>
      <c r="R102" s="208"/>
      <c r="S102" s="208"/>
      <c r="T102" s="209"/>
      <c r="U102" s="208"/>
      <c r="V102" s="208"/>
      <c r="W102" s="209"/>
      <c r="X102" s="208"/>
      <c r="Y102" s="208"/>
      <c r="Z102" s="209"/>
      <c r="AA102" s="208"/>
      <c r="AB102" s="209"/>
      <c r="AC102" s="208"/>
      <c r="AD102" s="208"/>
      <c r="AE102" s="208"/>
      <c r="AF102" s="209"/>
      <c r="AG102" s="208"/>
      <c r="AH102" s="208"/>
      <c r="AI102" s="208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9"/>
      <c r="AT102" s="208"/>
      <c r="AU102" s="208"/>
      <c r="AV102" s="208"/>
      <c r="AW102" s="209"/>
      <c r="AX102" s="208"/>
      <c r="AY102" s="209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208"/>
      <c r="BK102" s="208"/>
      <c r="BL102" s="209"/>
      <c r="BM102" s="208"/>
      <c r="BN102" s="208"/>
      <c r="BO102" s="208"/>
      <c r="BP102" s="208"/>
      <c r="BQ102" s="208"/>
      <c r="BR102" s="208"/>
    </row>
    <row r="103" spans="1:70" ht="24" hidden="1" customHeight="1" x14ac:dyDescent="0.3">
      <c r="A103" s="192">
        <f t="shared" si="86"/>
        <v>14</v>
      </c>
      <c r="B103" s="193" t="s">
        <v>120</v>
      </c>
      <c r="C103" s="204">
        <f t="shared" si="84"/>
        <v>0</v>
      </c>
      <c r="D103" s="202">
        <v>0</v>
      </c>
      <c r="E103" s="200">
        <v>0</v>
      </c>
      <c r="F103" s="197">
        <f t="shared" si="1"/>
        <v>0</v>
      </c>
      <c r="G103" s="205">
        <f t="shared" si="2"/>
        <v>0</v>
      </c>
      <c r="H103" s="199">
        <f t="shared" si="85"/>
        <v>0</v>
      </c>
      <c r="I103" s="200">
        <v>0</v>
      </c>
      <c r="J103" s="200">
        <v>0</v>
      </c>
      <c r="K103" s="200">
        <v>0</v>
      </c>
      <c r="L103" s="200">
        <v>0</v>
      </c>
      <c r="M103" s="201">
        <v>0</v>
      </c>
      <c r="N103" s="201">
        <f t="shared" si="37"/>
        <v>0</v>
      </c>
      <c r="O103" s="210"/>
      <c r="P103" s="210"/>
      <c r="Q103" s="211"/>
      <c r="R103" s="210"/>
      <c r="S103" s="210"/>
      <c r="T103" s="211"/>
      <c r="U103" s="210"/>
      <c r="V103" s="210"/>
      <c r="W103" s="211"/>
      <c r="X103" s="210"/>
      <c r="Y103" s="210"/>
      <c r="Z103" s="211"/>
      <c r="AA103" s="210"/>
      <c r="AB103" s="211"/>
      <c r="AC103" s="210"/>
      <c r="AD103" s="210"/>
      <c r="AE103" s="210"/>
      <c r="AF103" s="211"/>
      <c r="AG103" s="210"/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1"/>
      <c r="AT103" s="210"/>
      <c r="AU103" s="210"/>
      <c r="AV103" s="210"/>
      <c r="AW103" s="211"/>
      <c r="AX103" s="210"/>
      <c r="AY103" s="211"/>
      <c r="AZ103" s="210"/>
      <c r="BA103" s="210"/>
      <c r="BB103" s="210"/>
      <c r="BC103" s="210"/>
      <c r="BD103" s="210"/>
      <c r="BE103" s="210"/>
      <c r="BF103" s="210"/>
      <c r="BG103" s="210"/>
      <c r="BH103" s="210"/>
      <c r="BI103" s="210"/>
      <c r="BJ103" s="210"/>
      <c r="BK103" s="210"/>
      <c r="BL103" s="211"/>
      <c r="BM103" s="210"/>
      <c r="BN103" s="210"/>
      <c r="BO103" s="210"/>
      <c r="BP103" s="210"/>
      <c r="BQ103" s="210"/>
      <c r="BR103" s="210"/>
    </row>
    <row r="104" spans="1:70" ht="21" hidden="1" customHeight="1" x14ac:dyDescent="0.3">
      <c r="A104" s="341" t="s">
        <v>121</v>
      </c>
      <c r="B104" s="339"/>
      <c r="C104" s="207">
        <f>SUM(C105:C116)</f>
        <v>0</v>
      </c>
      <c r="D104" s="166"/>
      <c r="E104" s="166"/>
      <c r="F104" s="165">
        <f t="shared" si="1"/>
        <v>0</v>
      </c>
      <c r="G104" s="167">
        <f t="shared" si="2"/>
        <v>0</v>
      </c>
      <c r="H104" s="165">
        <f>SUM(H105:H116)</f>
        <v>0</v>
      </c>
      <c r="I104" s="166"/>
      <c r="J104" s="166"/>
      <c r="K104" s="166"/>
      <c r="L104" s="166"/>
      <c r="M104" s="166"/>
      <c r="N104" s="165">
        <f t="shared" si="37"/>
        <v>0</v>
      </c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</row>
    <row r="105" spans="1:70" ht="24" hidden="1" customHeight="1" x14ac:dyDescent="0.3">
      <c r="A105" s="178">
        <v>1</v>
      </c>
      <c r="B105" s="212" t="s">
        <v>122</v>
      </c>
      <c r="C105" s="180">
        <f t="shared" ref="C105:C116" si="87">D105+E105</f>
        <v>0</v>
      </c>
      <c r="D105" s="181">
        <v>0</v>
      </c>
      <c r="E105" s="187">
        <v>0</v>
      </c>
      <c r="F105" s="182">
        <f t="shared" si="1"/>
        <v>0</v>
      </c>
      <c r="G105" s="183">
        <f t="shared" si="2"/>
        <v>0</v>
      </c>
      <c r="H105" s="184">
        <f t="shared" ref="H105:H116" si="88">I105+J105+K105+L105</f>
        <v>0</v>
      </c>
      <c r="I105" s="187">
        <v>0</v>
      </c>
      <c r="J105" s="187">
        <v>0</v>
      </c>
      <c r="K105" s="187">
        <v>0</v>
      </c>
      <c r="L105" s="187">
        <v>0</v>
      </c>
      <c r="M105" s="185">
        <v>0</v>
      </c>
      <c r="N105" s="185">
        <f t="shared" si="37"/>
        <v>0</v>
      </c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</row>
    <row r="106" spans="1:70" ht="24" hidden="1" customHeight="1" x14ac:dyDescent="0.3">
      <c r="A106" s="178">
        <v>2</v>
      </c>
      <c r="B106" s="212" t="s">
        <v>123</v>
      </c>
      <c r="C106" s="180">
        <f t="shared" si="87"/>
        <v>0</v>
      </c>
      <c r="D106" s="181">
        <v>0</v>
      </c>
      <c r="E106" s="187">
        <v>0</v>
      </c>
      <c r="F106" s="182">
        <f t="shared" si="1"/>
        <v>0</v>
      </c>
      <c r="G106" s="183">
        <f t="shared" si="2"/>
        <v>0</v>
      </c>
      <c r="H106" s="184">
        <f t="shared" si="88"/>
        <v>0</v>
      </c>
      <c r="I106" s="187">
        <v>0</v>
      </c>
      <c r="J106" s="187">
        <v>0</v>
      </c>
      <c r="K106" s="187">
        <v>0</v>
      </c>
      <c r="L106" s="187">
        <v>0</v>
      </c>
      <c r="M106" s="185">
        <v>0</v>
      </c>
      <c r="N106" s="185">
        <f t="shared" si="37"/>
        <v>0</v>
      </c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</row>
    <row r="107" spans="1:70" ht="24" hidden="1" customHeight="1" x14ac:dyDescent="0.3">
      <c r="A107" s="178">
        <v>3</v>
      </c>
      <c r="B107" s="212" t="s">
        <v>124</v>
      </c>
      <c r="C107" s="180">
        <f t="shared" si="87"/>
        <v>0</v>
      </c>
      <c r="D107" s="181">
        <v>0</v>
      </c>
      <c r="E107" s="187">
        <v>0</v>
      </c>
      <c r="F107" s="182">
        <f t="shared" si="1"/>
        <v>0</v>
      </c>
      <c r="G107" s="183">
        <f t="shared" si="2"/>
        <v>0</v>
      </c>
      <c r="H107" s="184">
        <f t="shared" si="88"/>
        <v>0</v>
      </c>
      <c r="I107" s="187">
        <v>0</v>
      </c>
      <c r="J107" s="187">
        <v>0</v>
      </c>
      <c r="K107" s="187">
        <v>0</v>
      </c>
      <c r="L107" s="187">
        <v>0</v>
      </c>
      <c r="M107" s="185">
        <v>0</v>
      </c>
      <c r="N107" s="185">
        <f t="shared" si="37"/>
        <v>0</v>
      </c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</row>
    <row r="108" spans="1:70" ht="24" hidden="1" customHeight="1" x14ac:dyDescent="0.3">
      <c r="A108" s="213">
        <v>4</v>
      </c>
      <c r="B108" s="212" t="s">
        <v>125</v>
      </c>
      <c r="C108" s="180">
        <f t="shared" si="87"/>
        <v>0</v>
      </c>
      <c r="D108" s="181">
        <v>0</v>
      </c>
      <c r="E108" s="187">
        <v>0</v>
      </c>
      <c r="F108" s="182">
        <f t="shared" si="1"/>
        <v>0</v>
      </c>
      <c r="G108" s="183">
        <f t="shared" si="2"/>
        <v>0</v>
      </c>
      <c r="H108" s="184">
        <f t="shared" si="88"/>
        <v>0</v>
      </c>
      <c r="I108" s="187">
        <v>0</v>
      </c>
      <c r="J108" s="187">
        <v>0</v>
      </c>
      <c r="K108" s="187">
        <v>0</v>
      </c>
      <c r="L108" s="187">
        <v>0</v>
      </c>
      <c r="M108" s="185">
        <v>0</v>
      </c>
      <c r="N108" s="185">
        <f t="shared" si="37"/>
        <v>0</v>
      </c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8"/>
      <c r="BN108" s="208"/>
      <c r="BO108" s="208"/>
      <c r="BP108" s="208"/>
      <c r="BQ108" s="208"/>
      <c r="BR108" s="208"/>
    </row>
    <row r="109" spans="1:70" ht="24" hidden="1" customHeight="1" x14ac:dyDescent="0.3">
      <c r="A109" s="213">
        <v>5</v>
      </c>
      <c r="B109" s="212" t="s">
        <v>126</v>
      </c>
      <c r="C109" s="180">
        <f t="shared" si="87"/>
        <v>0</v>
      </c>
      <c r="D109" s="181">
        <v>0</v>
      </c>
      <c r="E109" s="187">
        <v>0</v>
      </c>
      <c r="F109" s="182">
        <f t="shared" si="1"/>
        <v>0</v>
      </c>
      <c r="G109" s="183">
        <f t="shared" si="2"/>
        <v>0</v>
      </c>
      <c r="H109" s="184">
        <f t="shared" si="88"/>
        <v>0</v>
      </c>
      <c r="I109" s="187">
        <v>0</v>
      </c>
      <c r="J109" s="187">
        <v>0</v>
      </c>
      <c r="K109" s="187">
        <v>0</v>
      </c>
      <c r="L109" s="187">
        <v>0</v>
      </c>
      <c r="M109" s="185">
        <v>0</v>
      </c>
      <c r="N109" s="185">
        <f t="shared" si="37"/>
        <v>0</v>
      </c>
      <c r="O109" s="208"/>
      <c r="P109" s="208"/>
      <c r="Q109" s="208"/>
      <c r="R109" s="208"/>
      <c r="S109" s="208"/>
      <c r="T109" s="208"/>
      <c r="U109" s="208"/>
      <c r="V109" s="208"/>
      <c r="W109" s="208"/>
      <c r="X109" s="208"/>
      <c r="Y109" s="208"/>
      <c r="Z109" s="208"/>
      <c r="AA109" s="208"/>
      <c r="AB109" s="208"/>
      <c r="AC109" s="208"/>
      <c r="AD109" s="208"/>
      <c r="AE109" s="208"/>
      <c r="AF109" s="208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</row>
    <row r="110" spans="1:70" ht="24" hidden="1" customHeight="1" x14ac:dyDescent="0.3">
      <c r="A110" s="213">
        <v>6</v>
      </c>
      <c r="B110" s="212" t="s">
        <v>127</v>
      </c>
      <c r="C110" s="180">
        <f t="shared" si="87"/>
        <v>0</v>
      </c>
      <c r="D110" s="181">
        <v>0</v>
      </c>
      <c r="E110" s="187">
        <v>0</v>
      </c>
      <c r="F110" s="182">
        <f t="shared" si="1"/>
        <v>0</v>
      </c>
      <c r="G110" s="183">
        <f t="shared" si="2"/>
        <v>0</v>
      </c>
      <c r="H110" s="184">
        <f t="shared" si="88"/>
        <v>0</v>
      </c>
      <c r="I110" s="187">
        <v>0</v>
      </c>
      <c r="J110" s="187">
        <v>0</v>
      </c>
      <c r="K110" s="187">
        <v>0</v>
      </c>
      <c r="L110" s="187">
        <v>0</v>
      </c>
      <c r="M110" s="185">
        <v>0</v>
      </c>
      <c r="N110" s="185">
        <f t="shared" si="37"/>
        <v>0</v>
      </c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</row>
    <row r="111" spans="1:70" ht="24" hidden="1" customHeight="1" x14ac:dyDescent="0.3">
      <c r="A111" s="213">
        <v>7</v>
      </c>
      <c r="B111" s="212" t="s">
        <v>128</v>
      </c>
      <c r="C111" s="180">
        <f t="shared" si="87"/>
        <v>0</v>
      </c>
      <c r="D111" s="181">
        <v>0</v>
      </c>
      <c r="E111" s="187">
        <v>0</v>
      </c>
      <c r="F111" s="182">
        <f t="shared" si="1"/>
        <v>0</v>
      </c>
      <c r="G111" s="183">
        <f t="shared" si="2"/>
        <v>0</v>
      </c>
      <c r="H111" s="184">
        <f t="shared" si="88"/>
        <v>0</v>
      </c>
      <c r="I111" s="187">
        <v>0</v>
      </c>
      <c r="J111" s="187">
        <v>0</v>
      </c>
      <c r="K111" s="187">
        <v>0</v>
      </c>
      <c r="L111" s="187">
        <v>0</v>
      </c>
      <c r="M111" s="185">
        <v>0</v>
      </c>
      <c r="N111" s="185">
        <f t="shared" si="37"/>
        <v>0</v>
      </c>
      <c r="O111" s="208"/>
      <c r="P111" s="208"/>
      <c r="Q111" s="208"/>
      <c r="R111" s="208"/>
      <c r="S111" s="208"/>
      <c r="T111" s="208"/>
      <c r="U111" s="208"/>
      <c r="V111" s="208"/>
      <c r="W111" s="208"/>
      <c r="X111" s="208"/>
      <c r="Y111" s="208"/>
      <c r="Z111" s="208"/>
      <c r="AA111" s="208"/>
      <c r="AB111" s="208"/>
      <c r="AC111" s="208"/>
      <c r="AD111" s="208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208"/>
      <c r="AO111" s="208"/>
      <c r="AP111" s="208"/>
      <c r="AQ111" s="208"/>
      <c r="AR111" s="208"/>
      <c r="AS111" s="208"/>
      <c r="AT111" s="208"/>
      <c r="AU111" s="208"/>
      <c r="AV111" s="208"/>
      <c r="AW111" s="208"/>
      <c r="AX111" s="208"/>
      <c r="AY111" s="208"/>
      <c r="AZ111" s="208"/>
      <c r="BA111" s="208"/>
      <c r="BB111" s="208"/>
      <c r="BC111" s="208"/>
      <c r="BD111" s="208"/>
      <c r="BE111" s="208"/>
      <c r="BF111" s="208"/>
      <c r="BG111" s="208"/>
      <c r="BH111" s="208"/>
      <c r="BI111" s="208"/>
      <c r="BJ111" s="208"/>
      <c r="BK111" s="208"/>
      <c r="BL111" s="208"/>
      <c r="BM111" s="208"/>
      <c r="BN111" s="208"/>
      <c r="BO111" s="208"/>
      <c r="BP111" s="208"/>
      <c r="BQ111" s="208"/>
      <c r="BR111" s="208"/>
    </row>
    <row r="112" spans="1:70" ht="24" hidden="1" customHeight="1" x14ac:dyDescent="0.3">
      <c r="A112" s="213">
        <v>8</v>
      </c>
      <c r="B112" s="212" t="s">
        <v>129</v>
      </c>
      <c r="C112" s="180">
        <f t="shared" si="87"/>
        <v>0</v>
      </c>
      <c r="D112" s="181">
        <v>0</v>
      </c>
      <c r="E112" s="187">
        <v>0</v>
      </c>
      <c r="F112" s="182">
        <f t="shared" si="1"/>
        <v>0</v>
      </c>
      <c r="G112" s="183">
        <f t="shared" si="2"/>
        <v>0</v>
      </c>
      <c r="H112" s="184">
        <f t="shared" si="88"/>
        <v>0</v>
      </c>
      <c r="I112" s="187">
        <v>0</v>
      </c>
      <c r="J112" s="187">
        <v>0</v>
      </c>
      <c r="K112" s="187">
        <v>0</v>
      </c>
      <c r="L112" s="187">
        <v>0</v>
      </c>
      <c r="M112" s="185">
        <v>0</v>
      </c>
      <c r="N112" s="185">
        <f t="shared" si="37"/>
        <v>0</v>
      </c>
      <c r="O112" s="208"/>
      <c r="P112" s="208"/>
      <c r="Q112" s="208"/>
      <c r="R112" s="208"/>
      <c r="S112" s="208"/>
      <c r="T112" s="208"/>
      <c r="U112" s="208"/>
      <c r="V112" s="208"/>
      <c r="W112" s="208"/>
      <c r="X112" s="208"/>
      <c r="Y112" s="208"/>
      <c r="Z112" s="208"/>
      <c r="AA112" s="208"/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208"/>
      <c r="AO112" s="208"/>
      <c r="AP112" s="208"/>
      <c r="AQ112" s="208"/>
      <c r="AR112" s="208"/>
      <c r="AS112" s="208"/>
      <c r="AT112" s="208"/>
      <c r="AU112" s="208"/>
      <c r="AV112" s="208"/>
      <c r="AW112" s="208"/>
      <c r="AX112" s="208"/>
      <c r="AY112" s="208"/>
      <c r="AZ112" s="208"/>
      <c r="BA112" s="208"/>
      <c r="BB112" s="208"/>
      <c r="BC112" s="208"/>
      <c r="BD112" s="208"/>
      <c r="BE112" s="208"/>
      <c r="BF112" s="208"/>
      <c r="BG112" s="208"/>
      <c r="BH112" s="208"/>
      <c r="BI112" s="208"/>
      <c r="BJ112" s="208"/>
      <c r="BK112" s="208"/>
      <c r="BL112" s="208"/>
      <c r="BM112" s="208"/>
      <c r="BN112" s="208"/>
      <c r="BO112" s="208"/>
      <c r="BP112" s="208"/>
      <c r="BQ112" s="208"/>
      <c r="BR112" s="208"/>
    </row>
    <row r="113" spans="1:70" ht="24" hidden="1" customHeight="1" x14ac:dyDescent="0.3">
      <c r="A113" s="213">
        <v>9</v>
      </c>
      <c r="B113" s="212" t="s">
        <v>130</v>
      </c>
      <c r="C113" s="180">
        <f t="shared" si="87"/>
        <v>0</v>
      </c>
      <c r="D113" s="181">
        <v>0</v>
      </c>
      <c r="E113" s="187">
        <v>0</v>
      </c>
      <c r="F113" s="182">
        <f t="shared" si="1"/>
        <v>0</v>
      </c>
      <c r="G113" s="183">
        <f t="shared" si="2"/>
        <v>0</v>
      </c>
      <c r="H113" s="184">
        <f t="shared" si="88"/>
        <v>0</v>
      </c>
      <c r="I113" s="187">
        <v>0</v>
      </c>
      <c r="J113" s="187">
        <v>0</v>
      </c>
      <c r="K113" s="187">
        <v>0</v>
      </c>
      <c r="L113" s="187">
        <v>0</v>
      </c>
      <c r="M113" s="185">
        <v>0</v>
      </c>
      <c r="N113" s="185">
        <f t="shared" si="37"/>
        <v>0</v>
      </c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08"/>
      <c r="AH113" s="208"/>
      <c r="AI113" s="208"/>
      <c r="AJ113" s="208"/>
      <c r="AK113" s="208"/>
      <c r="AL113" s="208"/>
      <c r="AM113" s="208"/>
      <c r="AN113" s="208"/>
      <c r="AO113" s="208"/>
      <c r="AP113" s="208"/>
      <c r="AQ113" s="208"/>
      <c r="AR113" s="208"/>
      <c r="AS113" s="208"/>
      <c r="AT113" s="208"/>
      <c r="AU113" s="208"/>
      <c r="AV113" s="208"/>
      <c r="AW113" s="208"/>
      <c r="AX113" s="208"/>
      <c r="AY113" s="208"/>
      <c r="AZ113" s="208"/>
      <c r="BA113" s="208"/>
      <c r="BB113" s="208"/>
      <c r="BC113" s="208"/>
      <c r="BD113" s="208"/>
      <c r="BE113" s="208"/>
      <c r="BF113" s="208"/>
      <c r="BG113" s="208"/>
      <c r="BH113" s="208"/>
      <c r="BI113" s="208"/>
      <c r="BJ113" s="208"/>
      <c r="BK113" s="208"/>
      <c r="BL113" s="208"/>
      <c r="BM113" s="208"/>
      <c r="BN113" s="208"/>
      <c r="BO113" s="208"/>
      <c r="BP113" s="208"/>
      <c r="BQ113" s="208"/>
      <c r="BR113" s="208"/>
    </row>
    <row r="114" spans="1:70" ht="24" hidden="1" customHeight="1" x14ac:dyDescent="0.3">
      <c r="A114" s="213">
        <v>10</v>
      </c>
      <c r="B114" s="212" t="s">
        <v>131</v>
      </c>
      <c r="C114" s="180">
        <f t="shared" si="87"/>
        <v>0</v>
      </c>
      <c r="D114" s="181">
        <v>0</v>
      </c>
      <c r="E114" s="187">
        <v>0</v>
      </c>
      <c r="F114" s="182">
        <f t="shared" si="1"/>
        <v>0</v>
      </c>
      <c r="G114" s="183">
        <f t="shared" si="2"/>
        <v>0</v>
      </c>
      <c r="H114" s="184">
        <f t="shared" si="88"/>
        <v>0</v>
      </c>
      <c r="I114" s="187">
        <v>0</v>
      </c>
      <c r="J114" s="187">
        <v>0</v>
      </c>
      <c r="K114" s="187">
        <v>0</v>
      </c>
      <c r="L114" s="187">
        <v>0</v>
      </c>
      <c r="M114" s="185">
        <v>0</v>
      </c>
      <c r="N114" s="185">
        <f t="shared" si="37"/>
        <v>0</v>
      </c>
      <c r="O114" s="208"/>
      <c r="P114" s="208"/>
      <c r="Q114" s="208"/>
      <c r="R114" s="208"/>
      <c r="S114" s="208"/>
      <c r="T114" s="208"/>
      <c r="U114" s="208"/>
      <c r="V114" s="208"/>
      <c r="W114" s="208"/>
      <c r="X114" s="208"/>
      <c r="Y114" s="208"/>
      <c r="Z114" s="208"/>
      <c r="AA114" s="208"/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208"/>
      <c r="AL114" s="208"/>
      <c r="AM114" s="208"/>
      <c r="AN114" s="208"/>
      <c r="AO114" s="208"/>
      <c r="AP114" s="208"/>
      <c r="AQ114" s="208"/>
      <c r="AR114" s="208"/>
      <c r="AS114" s="208"/>
      <c r="AT114" s="208"/>
      <c r="AU114" s="208"/>
      <c r="AV114" s="208"/>
      <c r="AW114" s="208"/>
      <c r="AX114" s="208"/>
      <c r="AY114" s="208"/>
      <c r="AZ114" s="208"/>
      <c r="BA114" s="208"/>
      <c r="BB114" s="208"/>
      <c r="BC114" s="208"/>
      <c r="BD114" s="208"/>
      <c r="BE114" s="208"/>
      <c r="BF114" s="208"/>
      <c r="BG114" s="208"/>
      <c r="BH114" s="208"/>
      <c r="BI114" s="208"/>
      <c r="BJ114" s="208"/>
      <c r="BK114" s="208"/>
      <c r="BL114" s="208"/>
      <c r="BM114" s="208"/>
      <c r="BN114" s="208"/>
      <c r="BO114" s="208"/>
      <c r="BP114" s="208"/>
      <c r="BQ114" s="208"/>
      <c r="BR114" s="208"/>
    </row>
    <row r="115" spans="1:70" ht="24" hidden="1" customHeight="1" x14ac:dyDescent="0.3">
      <c r="A115" s="213">
        <v>11</v>
      </c>
      <c r="B115" s="212" t="s">
        <v>132</v>
      </c>
      <c r="C115" s="180">
        <f t="shared" si="87"/>
        <v>0</v>
      </c>
      <c r="D115" s="181">
        <v>0</v>
      </c>
      <c r="E115" s="187">
        <v>0</v>
      </c>
      <c r="F115" s="182">
        <f t="shared" si="1"/>
        <v>0</v>
      </c>
      <c r="G115" s="183">
        <f t="shared" si="2"/>
        <v>0</v>
      </c>
      <c r="H115" s="184">
        <f t="shared" si="88"/>
        <v>0</v>
      </c>
      <c r="I115" s="187">
        <v>0</v>
      </c>
      <c r="J115" s="187">
        <v>0</v>
      </c>
      <c r="K115" s="187">
        <v>0</v>
      </c>
      <c r="L115" s="187">
        <v>0</v>
      </c>
      <c r="M115" s="185">
        <v>0</v>
      </c>
      <c r="N115" s="185">
        <f t="shared" si="37"/>
        <v>0</v>
      </c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</row>
    <row r="116" spans="1:70" ht="24" hidden="1" customHeight="1" x14ac:dyDescent="0.3">
      <c r="A116" s="213">
        <v>12</v>
      </c>
      <c r="B116" s="212" t="s">
        <v>133</v>
      </c>
      <c r="C116" s="180">
        <f t="shared" si="87"/>
        <v>0</v>
      </c>
      <c r="D116" s="181">
        <v>0</v>
      </c>
      <c r="E116" s="187">
        <v>0</v>
      </c>
      <c r="F116" s="182">
        <f t="shared" si="1"/>
        <v>0</v>
      </c>
      <c r="G116" s="183">
        <f t="shared" si="2"/>
        <v>0</v>
      </c>
      <c r="H116" s="184">
        <f t="shared" si="88"/>
        <v>0</v>
      </c>
      <c r="I116" s="187">
        <v>0</v>
      </c>
      <c r="J116" s="187">
        <v>0</v>
      </c>
      <c r="K116" s="187">
        <v>0</v>
      </c>
      <c r="L116" s="187">
        <v>0</v>
      </c>
      <c r="M116" s="185">
        <v>0</v>
      </c>
      <c r="N116" s="185">
        <f t="shared" si="37"/>
        <v>0</v>
      </c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</row>
    <row r="117" spans="1:70" ht="24" customHeight="1" x14ac:dyDescent="0.2">
      <c r="A117" s="214"/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5"/>
      <c r="N117" s="215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</row>
    <row r="118" spans="1:70" ht="24" customHeight="1" x14ac:dyDescent="0.2">
      <c r="A118" s="214"/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5"/>
      <c r="N118" s="215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</row>
    <row r="119" spans="1:70" ht="24" customHeight="1" x14ac:dyDescent="0.2">
      <c r="A119" s="214"/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5"/>
      <c r="N119" s="215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</row>
    <row r="120" spans="1:70" ht="24" customHeight="1" x14ac:dyDescent="0.2">
      <c r="A120" s="214"/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5"/>
      <c r="N120" s="215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</row>
    <row r="121" spans="1:70" ht="24" customHeight="1" x14ac:dyDescent="0.2">
      <c r="A121" s="214"/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5"/>
      <c r="N121" s="215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</row>
    <row r="122" spans="1:70" ht="24" customHeight="1" x14ac:dyDescent="0.2">
      <c r="A122" s="214"/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5"/>
      <c r="N122" s="215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</row>
    <row r="123" spans="1:70" ht="24" customHeight="1" x14ac:dyDescent="0.2">
      <c r="A123" s="214"/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5"/>
      <c r="N123" s="215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</row>
    <row r="124" spans="1:70" ht="24" customHeight="1" x14ac:dyDescent="0.2">
      <c r="A124" s="214"/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5"/>
      <c r="N124" s="215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</row>
    <row r="125" spans="1:70" ht="24" customHeight="1" x14ac:dyDescent="0.2">
      <c r="A125" s="214"/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5"/>
      <c r="N125" s="215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</row>
    <row r="126" spans="1:70" ht="24" customHeight="1" x14ac:dyDescent="0.2">
      <c r="A126" s="214"/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5"/>
      <c r="N126" s="215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</row>
    <row r="127" spans="1:70" ht="24" customHeight="1" x14ac:dyDescent="0.2">
      <c r="A127" s="214"/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5"/>
      <c r="N127" s="215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</row>
    <row r="128" spans="1:70" ht="24" customHeight="1" x14ac:dyDescent="0.2">
      <c r="A128" s="214"/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5"/>
      <c r="N128" s="215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</row>
    <row r="129" spans="1:70" ht="24" customHeight="1" x14ac:dyDescent="0.2">
      <c r="A129" s="214"/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5"/>
      <c r="N129" s="215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</row>
    <row r="130" spans="1:70" ht="24" customHeight="1" x14ac:dyDescent="0.2">
      <c r="A130" s="214"/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5"/>
      <c r="N130" s="215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</row>
    <row r="131" spans="1:70" ht="24" customHeight="1" x14ac:dyDescent="0.2">
      <c r="A131" s="214"/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5"/>
      <c r="N131" s="215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</row>
    <row r="132" spans="1:70" ht="24" customHeight="1" x14ac:dyDescent="0.2">
      <c r="A132" s="214"/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5"/>
      <c r="N132" s="215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</row>
    <row r="133" spans="1:70" ht="24" customHeight="1" x14ac:dyDescent="0.2">
      <c r="A133" s="214"/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5"/>
      <c r="N133" s="215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</row>
    <row r="134" spans="1:70" ht="24" customHeight="1" x14ac:dyDescent="0.2">
      <c r="A134" s="214"/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5"/>
      <c r="N134" s="215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</row>
    <row r="135" spans="1:70" ht="24" customHeight="1" x14ac:dyDescent="0.2">
      <c r="A135" s="214"/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5"/>
      <c r="N135" s="215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</row>
    <row r="136" spans="1:70" ht="24" customHeight="1" x14ac:dyDescent="0.2">
      <c r="A136" s="214"/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5"/>
      <c r="N136" s="215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</row>
    <row r="137" spans="1:70" ht="24" customHeight="1" x14ac:dyDescent="0.2">
      <c r="A137" s="214"/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5"/>
      <c r="N137" s="215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</row>
    <row r="138" spans="1:70" ht="24" customHeight="1" x14ac:dyDescent="0.2">
      <c r="A138" s="214"/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5"/>
      <c r="N138" s="215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</row>
    <row r="139" spans="1:70" ht="24" customHeight="1" x14ac:dyDescent="0.2">
      <c r="A139" s="214"/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5"/>
      <c r="N139" s="215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</row>
    <row r="140" spans="1:70" ht="24" customHeight="1" x14ac:dyDescent="0.2">
      <c r="A140" s="214"/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5"/>
      <c r="N140" s="215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</row>
    <row r="141" spans="1:70" ht="24" customHeight="1" x14ac:dyDescent="0.2">
      <c r="A141" s="214"/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5"/>
      <c r="N141" s="215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</row>
    <row r="142" spans="1:70" ht="24" customHeight="1" x14ac:dyDescent="0.2">
      <c r="A142" s="214"/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5"/>
      <c r="N142" s="215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</row>
    <row r="143" spans="1:70" ht="24" customHeight="1" x14ac:dyDescent="0.2">
      <c r="A143" s="214"/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5"/>
      <c r="N143" s="215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</row>
    <row r="144" spans="1:70" ht="24" customHeight="1" x14ac:dyDescent="0.2">
      <c r="A144" s="214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5"/>
      <c r="N144" s="215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</row>
    <row r="145" spans="1:70" ht="24" customHeight="1" x14ac:dyDescent="0.2">
      <c r="A145" s="214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5"/>
      <c r="N145" s="215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</row>
    <row r="146" spans="1:70" ht="24" customHeight="1" x14ac:dyDescent="0.2">
      <c r="A146" s="214"/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5"/>
      <c r="N146" s="215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</row>
    <row r="147" spans="1:70" ht="24" customHeight="1" x14ac:dyDescent="0.2">
      <c r="A147" s="214"/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5"/>
      <c r="N147" s="215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</row>
    <row r="148" spans="1:70" ht="24" customHeight="1" x14ac:dyDescent="0.2">
      <c r="A148" s="214"/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5"/>
      <c r="N148" s="215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</row>
    <row r="149" spans="1:70" ht="24" customHeight="1" x14ac:dyDescent="0.2">
      <c r="A149" s="214"/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5"/>
      <c r="N149" s="215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</row>
    <row r="150" spans="1:70" ht="24" customHeight="1" x14ac:dyDescent="0.2">
      <c r="A150" s="214"/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5"/>
      <c r="N150" s="215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</row>
    <row r="151" spans="1:70" ht="24" customHeight="1" x14ac:dyDescent="0.2">
      <c r="A151" s="214"/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5"/>
      <c r="N151" s="215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</row>
    <row r="152" spans="1:70" ht="24" customHeight="1" x14ac:dyDescent="0.2">
      <c r="A152" s="214"/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5"/>
      <c r="N152" s="215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</row>
    <row r="153" spans="1:70" ht="24" customHeight="1" x14ac:dyDescent="0.2">
      <c r="A153" s="214"/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5"/>
      <c r="N153" s="215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</row>
    <row r="154" spans="1:70" ht="24" customHeight="1" x14ac:dyDescent="0.2">
      <c r="A154" s="214"/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5"/>
      <c r="N154" s="215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</row>
    <row r="155" spans="1:70" ht="24" customHeight="1" x14ac:dyDescent="0.2">
      <c r="A155" s="214"/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5"/>
      <c r="N155" s="215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</row>
    <row r="156" spans="1:70" ht="24" customHeight="1" x14ac:dyDescent="0.2">
      <c r="A156" s="214"/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5"/>
      <c r="N156" s="215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</row>
    <row r="157" spans="1:70" ht="24" customHeight="1" x14ac:dyDescent="0.2">
      <c r="A157" s="214"/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5"/>
      <c r="N157" s="215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</row>
    <row r="158" spans="1:70" ht="24" customHeight="1" x14ac:dyDescent="0.2">
      <c r="A158" s="214"/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5"/>
      <c r="N158" s="215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</row>
    <row r="159" spans="1:70" ht="24" customHeight="1" x14ac:dyDescent="0.2">
      <c r="A159" s="214"/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5"/>
      <c r="N159" s="215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</row>
    <row r="160" spans="1:70" ht="24" customHeight="1" x14ac:dyDescent="0.2">
      <c r="A160" s="214"/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5"/>
      <c r="N160" s="215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</row>
    <row r="161" spans="1:70" ht="24" customHeight="1" x14ac:dyDescent="0.2">
      <c r="A161" s="214"/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5"/>
      <c r="N161" s="215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</row>
    <row r="162" spans="1:70" ht="24" customHeight="1" x14ac:dyDescent="0.2">
      <c r="A162" s="214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5"/>
      <c r="N162" s="215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</row>
    <row r="163" spans="1:70" ht="24" customHeight="1" x14ac:dyDescent="0.2">
      <c r="A163" s="214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5"/>
      <c r="N163" s="215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</row>
    <row r="164" spans="1:70" ht="24" customHeight="1" x14ac:dyDescent="0.2">
      <c r="A164" s="214"/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5"/>
      <c r="N164" s="215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</row>
    <row r="165" spans="1:70" ht="24" customHeight="1" x14ac:dyDescent="0.2">
      <c r="A165" s="214"/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5"/>
      <c r="N165" s="215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</row>
    <row r="166" spans="1:70" ht="24" customHeight="1" x14ac:dyDescent="0.2">
      <c r="A166" s="214"/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5"/>
      <c r="N166" s="215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</row>
    <row r="167" spans="1:70" ht="24" customHeight="1" x14ac:dyDescent="0.2">
      <c r="A167" s="214"/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5"/>
      <c r="N167" s="215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</row>
    <row r="168" spans="1:70" ht="24" customHeight="1" x14ac:dyDescent="0.2">
      <c r="A168" s="214"/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5"/>
      <c r="N168" s="215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</row>
    <row r="169" spans="1:70" ht="24" customHeight="1" x14ac:dyDescent="0.2">
      <c r="A169" s="214"/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5"/>
      <c r="N169" s="215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</row>
    <row r="170" spans="1:70" ht="24" customHeight="1" x14ac:dyDescent="0.2">
      <c r="A170" s="214"/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5"/>
      <c r="N170" s="215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  <c r="BJ170" s="216"/>
      <c r="BK170" s="216"/>
      <c r="BL170" s="216"/>
      <c r="BM170" s="216"/>
      <c r="BN170" s="216"/>
      <c r="BO170" s="216"/>
      <c r="BP170" s="216"/>
      <c r="BQ170" s="216"/>
      <c r="BR170" s="216"/>
    </row>
    <row r="171" spans="1:70" ht="24" customHeight="1" x14ac:dyDescent="0.2">
      <c r="A171" s="214"/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5"/>
      <c r="N171" s="215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  <c r="BJ171" s="216"/>
      <c r="BK171" s="216"/>
      <c r="BL171" s="216"/>
      <c r="BM171" s="216"/>
      <c r="BN171" s="216"/>
      <c r="BO171" s="216"/>
      <c r="BP171" s="216"/>
      <c r="BQ171" s="216"/>
      <c r="BR171" s="216"/>
    </row>
    <row r="172" spans="1:70" ht="24" customHeight="1" x14ac:dyDescent="0.2">
      <c r="A172" s="214"/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5"/>
      <c r="N172" s="215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  <c r="BJ172" s="216"/>
      <c r="BK172" s="216"/>
      <c r="BL172" s="216"/>
      <c r="BM172" s="216"/>
      <c r="BN172" s="216"/>
      <c r="BO172" s="216"/>
      <c r="BP172" s="216"/>
      <c r="BQ172" s="216"/>
      <c r="BR172" s="216"/>
    </row>
    <row r="173" spans="1:70" ht="24" customHeight="1" x14ac:dyDescent="0.2">
      <c r="A173" s="214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5"/>
      <c r="N173" s="215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  <c r="BJ173" s="216"/>
      <c r="BK173" s="216"/>
      <c r="BL173" s="216"/>
      <c r="BM173" s="216"/>
      <c r="BN173" s="216"/>
      <c r="BO173" s="216"/>
      <c r="BP173" s="216"/>
      <c r="BQ173" s="216"/>
      <c r="BR173" s="216"/>
    </row>
    <row r="174" spans="1:70" ht="24" customHeight="1" x14ac:dyDescent="0.2">
      <c r="A174" s="214"/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5"/>
      <c r="N174" s="215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  <c r="BJ174" s="216"/>
      <c r="BK174" s="216"/>
      <c r="BL174" s="216"/>
      <c r="BM174" s="216"/>
      <c r="BN174" s="216"/>
      <c r="BO174" s="216"/>
      <c r="BP174" s="216"/>
      <c r="BQ174" s="216"/>
      <c r="BR174" s="216"/>
    </row>
    <row r="175" spans="1:70" ht="24" customHeight="1" x14ac:dyDescent="0.2">
      <c r="A175" s="214"/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5"/>
      <c r="N175" s="215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  <c r="BJ175" s="216"/>
      <c r="BK175" s="216"/>
      <c r="BL175" s="216"/>
      <c r="BM175" s="216"/>
      <c r="BN175" s="216"/>
      <c r="BO175" s="216"/>
      <c r="BP175" s="216"/>
      <c r="BQ175" s="216"/>
      <c r="BR175" s="216"/>
    </row>
    <row r="176" spans="1:70" ht="24" customHeight="1" x14ac:dyDescent="0.2">
      <c r="A176" s="214"/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5"/>
      <c r="N176" s="215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  <c r="BJ176" s="216"/>
      <c r="BK176" s="216"/>
      <c r="BL176" s="216"/>
      <c r="BM176" s="216"/>
      <c r="BN176" s="216"/>
      <c r="BO176" s="216"/>
      <c r="BP176" s="216"/>
      <c r="BQ176" s="216"/>
      <c r="BR176" s="216"/>
    </row>
    <row r="177" spans="1:70" ht="24" customHeight="1" x14ac:dyDescent="0.2">
      <c r="A177" s="214"/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5"/>
      <c r="N177" s="215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  <c r="BJ177" s="216"/>
      <c r="BK177" s="216"/>
      <c r="BL177" s="216"/>
      <c r="BM177" s="216"/>
      <c r="BN177" s="216"/>
      <c r="BO177" s="216"/>
      <c r="BP177" s="216"/>
      <c r="BQ177" s="216"/>
      <c r="BR177" s="216"/>
    </row>
    <row r="178" spans="1:70" ht="24" customHeight="1" x14ac:dyDescent="0.2">
      <c r="A178" s="214"/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5"/>
      <c r="N178" s="215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  <c r="BJ178" s="216"/>
      <c r="BK178" s="216"/>
      <c r="BL178" s="216"/>
      <c r="BM178" s="216"/>
      <c r="BN178" s="216"/>
      <c r="BO178" s="216"/>
      <c r="BP178" s="216"/>
      <c r="BQ178" s="216"/>
      <c r="BR178" s="216"/>
    </row>
    <row r="179" spans="1:70" ht="24" customHeight="1" x14ac:dyDescent="0.2">
      <c r="A179" s="214"/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5"/>
      <c r="N179" s="215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  <c r="BJ179" s="216"/>
      <c r="BK179" s="216"/>
      <c r="BL179" s="216"/>
      <c r="BM179" s="216"/>
      <c r="BN179" s="216"/>
      <c r="BO179" s="216"/>
      <c r="BP179" s="216"/>
      <c r="BQ179" s="216"/>
      <c r="BR179" s="216"/>
    </row>
    <row r="180" spans="1:70" ht="24" customHeight="1" x14ac:dyDescent="0.2">
      <c r="A180" s="214"/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5"/>
      <c r="N180" s="215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  <c r="BJ180" s="216"/>
      <c r="BK180" s="216"/>
      <c r="BL180" s="216"/>
      <c r="BM180" s="216"/>
      <c r="BN180" s="216"/>
      <c r="BO180" s="216"/>
      <c r="BP180" s="216"/>
      <c r="BQ180" s="216"/>
      <c r="BR180" s="216"/>
    </row>
    <row r="181" spans="1:70" ht="24" customHeight="1" x14ac:dyDescent="0.2">
      <c r="A181" s="214"/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5"/>
      <c r="N181" s="215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  <c r="BJ181" s="216"/>
      <c r="BK181" s="216"/>
      <c r="BL181" s="216"/>
      <c r="BM181" s="216"/>
      <c r="BN181" s="216"/>
      <c r="BO181" s="216"/>
      <c r="BP181" s="216"/>
      <c r="BQ181" s="216"/>
      <c r="BR181" s="216"/>
    </row>
    <row r="182" spans="1:70" ht="24" customHeight="1" x14ac:dyDescent="0.2">
      <c r="A182" s="214"/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5"/>
      <c r="N182" s="215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  <c r="BJ182" s="216"/>
      <c r="BK182" s="216"/>
      <c r="BL182" s="216"/>
      <c r="BM182" s="216"/>
      <c r="BN182" s="216"/>
      <c r="BO182" s="216"/>
      <c r="BP182" s="216"/>
      <c r="BQ182" s="216"/>
      <c r="BR182" s="216"/>
    </row>
    <row r="183" spans="1:70" ht="24" customHeight="1" x14ac:dyDescent="0.2">
      <c r="A183" s="214"/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5"/>
      <c r="N183" s="215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  <c r="BJ183" s="216"/>
      <c r="BK183" s="216"/>
      <c r="BL183" s="216"/>
      <c r="BM183" s="216"/>
      <c r="BN183" s="216"/>
      <c r="BO183" s="216"/>
      <c r="BP183" s="216"/>
      <c r="BQ183" s="216"/>
      <c r="BR183" s="216"/>
    </row>
    <row r="184" spans="1:70" ht="24" customHeight="1" x14ac:dyDescent="0.2">
      <c r="A184" s="214"/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5"/>
      <c r="N184" s="215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  <c r="BJ184" s="216"/>
      <c r="BK184" s="216"/>
      <c r="BL184" s="216"/>
      <c r="BM184" s="216"/>
      <c r="BN184" s="216"/>
      <c r="BO184" s="216"/>
      <c r="BP184" s="216"/>
      <c r="BQ184" s="216"/>
      <c r="BR184" s="216"/>
    </row>
    <row r="185" spans="1:70" ht="24" customHeight="1" x14ac:dyDescent="0.2">
      <c r="A185" s="214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5"/>
      <c r="N185" s="215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  <c r="BJ185" s="216"/>
      <c r="BK185" s="216"/>
      <c r="BL185" s="216"/>
      <c r="BM185" s="216"/>
      <c r="BN185" s="216"/>
      <c r="BO185" s="216"/>
      <c r="BP185" s="216"/>
      <c r="BQ185" s="216"/>
      <c r="BR185" s="216"/>
    </row>
    <row r="186" spans="1:70" ht="24" customHeight="1" x14ac:dyDescent="0.2">
      <c r="A186" s="214"/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5"/>
      <c r="N186" s="215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  <c r="BJ186" s="216"/>
      <c r="BK186" s="216"/>
      <c r="BL186" s="216"/>
      <c r="BM186" s="216"/>
      <c r="BN186" s="216"/>
      <c r="BO186" s="216"/>
      <c r="BP186" s="216"/>
      <c r="BQ186" s="216"/>
      <c r="BR186" s="216"/>
    </row>
    <row r="187" spans="1:70" ht="24" customHeight="1" x14ac:dyDescent="0.2">
      <c r="A187" s="214"/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5"/>
      <c r="N187" s="215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  <c r="BJ187" s="216"/>
      <c r="BK187" s="216"/>
      <c r="BL187" s="216"/>
      <c r="BM187" s="216"/>
      <c r="BN187" s="216"/>
      <c r="BO187" s="216"/>
      <c r="BP187" s="216"/>
      <c r="BQ187" s="216"/>
      <c r="BR187" s="216"/>
    </row>
    <row r="188" spans="1:70" ht="24" customHeight="1" x14ac:dyDescent="0.2">
      <c r="A188" s="214"/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5"/>
      <c r="N188" s="215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  <c r="BJ188" s="216"/>
      <c r="BK188" s="216"/>
      <c r="BL188" s="216"/>
      <c r="BM188" s="216"/>
      <c r="BN188" s="216"/>
      <c r="BO188" s="216"/>
      <c r="BP188" s="216"/>
      <c r="BQ188" s="216"/>
      <c r="BR188" s="216"/>
    </row>
    <row r="189" spans="1:70" ht="24" customHeight="1" x14ac:dyDescent="0.2">
      <c r="A189" s="214"/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5"/>
      <c r="N189" s="215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  <c r="BJ189" s="216"/>
      <c r="BK189" s="216"/>
      <c r="BL189" s="216"/>
      <c r="BM189" s="216"/>
      <c r="BN189" s="216"/>
      <c r="BO189" s="216"/>
      <c r="BP189" s="216"/>
      <c r="BQ189" s="216"/>
      <c r="BR189" s="216"/>
    </row>
    <row r="190" spans="1:70" ht="24" customHeight="1" x14ac:dyDescent="0.2">
      <c r="A190" s="214"/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5"/>
      <c r="N190" s="215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  <c r="BJ190" s="216"/>
      <c r="BK190" s="216"/>
      <c r="BL190" s="216"/>
      <c r="BM190" s="216"/>
      <c r="BN190" s="216"/>
      <c r="BO190" s="216"/>
      <c r="BP190" s="216"/>
      <c r="BQ190" s="216"/>
      <c r="BR190" s="216"/>
    </row>
    <row r="191" spans="1:70" ht="24" customHeight="1" x14ac:dyDescent="0.2">
      <c r="A191" s="214"/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5"/>
      <c r="N191" s="215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  <c r="BJ191" s="216"/>
      <c r="BK191" s="216"/>
      <c r="BL191" s="216"/>
      <c r="BM191" s="216"/>
      <c r="BN191" s="216"/>
      <c r="BO191" s="216"/>
      <c r="BP191" s="216"/>
      <c r="BQ191" s="216"/>
      <c r="BR191" s="216"/>
    </row>
    <row r="192" spans="1:70" ht="24" customHeight="1" x14ac:dyDescent="0.2">
      <c r="A192" s="214"/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5"/>
      <c r="N192" s="215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  <c r="BJ192" s="216"/>
      <c r="BK192" s="216"/>
      <c r="BL192" s="216"/>
      <c r="BM192" s="216"/>
      <c r="BN192" s="216"/>
      <c r="BO192" s="216"/>
      <c r="BP192" s="216"/>
      <c r="BQ192" s="216"/>
      <c r="BR192" s="216"/>
    </row>
    <row r="193" spans="1:70" ht="24" customHeight="1" x14ac:dyDescent="0.2">
      <c r="A193" s="214"/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5"/>
      <c r="N193" s="215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  <c r="BJ193" s="216"/>
      <c r="BK193" s="216"/>
      <c r="BL193" s="216"/>
      <c r="BM193" s="216"/>
      <c r="BN193" s="216"/>
      <c r="BO193" s="216"/>
      <c r="BP193" s="216"/>
      <c r="BQ193" s="216"/>
      <c r="BR193" s="216"/>
    </row>
    <row r="194" spans="1:70" ht="24" customHeight="1" x14ac:dyDescent="0.2">
      <c r="A194" s="214"/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5"/>
      <c r="N194" s="215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  <c r="BJ194" s="216"/>
      <c r="BK194" s="216"/>
      <c r="BL194" s="216"/>
      <c r="BM194" s="216"/>
      <c r="BN194" s="216"/>
      <c r="BO194" s="216"/>
      <c r="BP194" s="216"/>
      <c r="BQ194" s="216"/>
      <c r="BR194" s="216"/>
    </row>
    <row r="195" spans="1:70" ht="24" customHeight="1" x14ac:dyDescent="0.2">
      <c r="A195" s="214"/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5"/>
      <c r="N195" s="215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  <c r="BJ195" s="216"/>
      <c r="BK195" s="216"/>
      <c r="BL195" s="216"/>
      <c r="BM195" s="216"/>
      <c r="BN195" s="216"/>
      <c r="BO195" s="216"/>
      <c r="BP195" s="216"/>
      <c r="BQ195" s="216"/>
      <c r="BR195" s="216"/>
    </row>
    <row r="196" spans="1:70" ht="24" customHeight="1" x14ac:dyDescent="0.2">
      <c r="A196" s="214"/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5"/>
      <c r="N196" s="215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  <c r="BJ196" s="216"/>
      <c r="BK196" s="216"/>
      <c r="BL196" s="216"/>
      <c r="BM196" s="216"/>
      <c r="BN196" s="216"/>
      <c r="BO196" s="216"/>
      <c r="BP196" s="216"/>
      <c r="BQ196" s="216"/>
      <c r="BR196" s="216"/>
    </row>
    <row r="197" spans="1:70" ht="24" customHeight="1" x14ac:dyDescent="0.2">
      <c r="A197" s="214"/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5"/>
      <c r="N197" s="215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  <c r="BJ197" s="216"/>
      <c r="BK197" s="216"/>
      <c r="BL197" s="216"/>
      <c r="BM197" s="216"/>
      <c r="BN197" s="216"/>
      <c r="BO197" s="216"/>
      <c r="BP197" s="216"/>
      <c r="BQ197" s="216"/>
      <c r="BR197" s="216"/>
    </row>
    <row r="198" spans="1:70" ht="24" customHeight="1" x14ac:dyDescent="0.2">
      <c r="A198" s="214"/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5"/>
      <c r="N198" s="215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  <c r="BJ198" s="216"/>
      <c r="BK198" s="216"/>
      <c r="BL198" s="216"/>
      <c r="BM198" s="216"/>
      <c r="BN198" s="216"/>
      <c r="BO198" s="216"/>
      <c r="BP198" s="216"/>
      <c r="BQ198" s="216"/>
      <c r="BR198" s="216"/>
    </row>
    <row r="199" spans="1:70" ht="24" customHeight="1" x14ac:dyDescent="0.2">
      <c r="A199" s="214"/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5"/>
      <c r="N199" s="215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  <c r="BJ199" s="216"/>
      <c r="BK199" s="216"/>
      <c r="BL199" s="216"/>
      <c r="BM199" s="216"/>
      <c r="BN199" s="216"/>
      <c r="BO199" s="216"/>
      <c r="BP199" s="216"/>
      <c r="BQ199" s="216"/>
      <c r="BR199" s="216"/>
    </row>
    <row r="200" spans="1:70" ht="24" customHeight="1" x14ac:dyDescent="0.2">
      <c r="A200" s="214"/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5"/>
      <c r="N200" s="215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  <c r="BJ200" s="216"/>
      <c r="BK200" s="216"/>
      <c r="BL200" s="216"/>
      <c r="BM200" s="216"/>
      <c r="BN200" s="216"/>
      <c r="BO200" s="216"/>
      <c r="BP200" s="216"/>
      <c r="BQ200" s="216"/>
      <c r="BR200" s="216"/>
    </row>
    <row r="201" spans="1:70" ht="24" customHeight="1" x14ac:dyDescent="0.2">
      <c r="A201" s="214"/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5"/>
      <c r="N201" s="215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  <c r="BI201" s="216"/>
      <c r="BJ201" s="216"/>
      <c r="BK201" s="216"/>
      <c r="BL201" s="216"/>
      <c r="BM201" s="216"/>
      <c r="BN201" s="216"/>
      <c r="BO201" s="216"/>
      <c r="BP201" s="216"/>
      <c r="BQ201" s="216"/>
      <c r="BR201" s="216"/>
    </row>
    <row r="202" spans="1:70" ht="24" customHeight="1" x14ac:dyDescent="0.2">
      <c r="A202" s="214"/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5"/>
      <c r="N202" s="215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  <c r="BJ202" s="216"/>
      <c r="BK202" s="216"/>
      <c r="BL202" s="216"/>
      <c r="BM202" s="216"/>
      <c r="BN202" s="216"/>
      <c r="BO202" s="216"/>
      <c r="BP202" s="216"/>
      <c r="BQ202" s="216"/>
      <c r="BR202" s="216"/>
    </row>
    <row r="203" spans="1:70" ht="24" customHeight="1" x14ac:dyDescent="0.2">
      <c r="A203" s="214"/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5"/>
      <c r="N203" s="215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  <c r="BJ203" s="216"/>
      <c r="BK203" s="216"/>
      <c r="BL203" s="216"/>
      <c r="BM203" s="216"/>
      <c r="BN203" s="216"/>
      <c r="BO203" s="216"/>
      <c r="BP203" s="216"/>
      <c r="BQ203" s="216"/>
      <c r="BR203" s="216"/>
    </row>
    <row r="204" spans="1:70" ht="24" customHeight="1" x14ac:dyDescent="0.2">
      <c r="A204" s="214"/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5"/>
      <c r="N204" s="215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  <c r="BJ204" s="216"/>
      <c r="BK204" s="216"/>
      <c r="BL204" s="216"/>
      <c r="BM204" s="216"/>
      <c r="BN204" s="216"/>
      <c r="BO204" s="216"/>
      <c r="BP204" s="216"/>
      <c r="BQ204" s="216"/>
      <c r="BR204" s="216"/>
    </row>
    <row r="205" spans="1:70" ht="24" customHeight="1" x14ac:dyDescent="0.2">
      <c r="A205" s="214"/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5"/>
      <c r="N205" s="215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  <c r="BJ205" s="216"/>
      <c r="BK205" s="216"/>
      <c r="BL205" s="216"/>
      <c r="BM205" s="216"/>
      <c r="BN205" s="216"/>
      <c r="BO205" s="216"/>
      <c r="BP205" s="216"/>
      <c r="BQ205" s="216"/>
      <c r="BR205" s="216"/>
    </row>
    <row r="206" spans="1:70" ht="24" customHeight="1" x14ac:dyDescent="0.2">
      <c r="A206" s="214"/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5"/>
      <c r="N206" s="215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  <c r="BJ206" s="216"/>
      <c r="BK206" s="216"/>
      <c r="BL206" s="216"/>
      <c r="BM206" s="216"/>
      <c r="BN206" s="216"/>
      <c r="BO206" s="216"/>
      <c r="BP206" s="216"/>
      <c r="BQ206" s="216"/>
      <c r="BR206" s="216"/>
    </row>
    <row r="207" spans="1:70" ht="24" customHeight="1" x14ac:dyDescent="0.2">
      <c r="A207" s="214"/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5"/>
      <c r="N207" s="215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  <c r="BJ207" s="216"/>
      <c r="BK207" s="216"/>
      <c r="BL207" s="216"/>
      <c r="BM207" s="216"/>
      <c r="BN207" s="216"/>
      <c r="BO207" s="216"/>
      <c r="BP207" s="216"/>
      <c r="BQ207" s="216"/>
      <c r="BR207" s="216"/>
    </row>
    <row r="208" spans="1:70" ht="24" customHeight="1" x14ac:dyDescent="0.2">
      <c r="A208" s="214"/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5"/>
      <c r="N208" s="215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6"/>
      <c r="BN208" s="216"/>
      <c r="BO208" s="216"/>
      <c r="BP208" s="216"/>
      <c r="BQ208" s="216"/>
      <c r="BR208" s="216"/>
    </row>
    <row r="209" spans="1:70" ht="24" customHeight="1" x14ac:dyDescent="0.2">
      <c r="A209" s="214"/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5"/>
      <c r="N209" s="215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6"/>
      <c r="BN209" s="216"/>
      <c r="BO209" s="216"/>
      <c r="BP209" s="216"/>
      <c r="BQ209" s="216"/>
      <c r="BR209" s="216"/>
    </row>
    <row r="210" spans="1:70" ht="24" customHeight="1" x14ac:dyDescent="0.2">
      <c r="A210" s="214"/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5"/>
      <c r="N210" s="215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6"/>
      <c r="BN210" s="216"/>
      <c r="BO210" s="216"/>
      <c r="BP210" s="216"/>
      <c r="BQ210" s="216"/>
      <c r="BR210" s="216"/>
    </row>
    <row r="211" spans="1:70" ht="24" customHeight="1" x14ac:dyDescent="0.2">
      <c r="A211" s="214"/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5"/>
      <c r="N211" s="215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6"/>
      <c r="BN211" s="216"/>
      <c r="BO211" s="216"/>
      <c r="BP211" s="216"/>
      <c r="BQ211" s="216"/>
      <c r="BR211" s="216"/>
    </row>
    <row r="212" spans="1:70" ht="24" customHeight="1" x14ac:dyDescent="0.2">
      <c r="A212" s="214"/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5"/>
      <c r="N212" s="215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6"/>
      <c r="BN212" s="216"/>
      <c r="BO212" s="216"/>
      <c r="BP212" s="216"/>
      <c r="BQ212" s="216"/>
      <c r="BR212" s="216"/>
    </row>
    <row r="213" spans="1:70" ht="24" customHeight="1" x14ac:dyDescent="0.2">
      <c r="A213" s="214"/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5"/>
      <c r="N213" s="215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16"/>
      <c r="BN213" s="216"/>
      <c r="BO213" s="216"/>
      <c r="BP213" s="216"/>
      <c r="BQ213" s="216"/>
      <c r="BR213" s="216"/>
    </row>
    <row r="214" spans="1:70" ht="24" customHeight="1" x14ac:dyDescent="0.2">
      <c r="A214" s="214"/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5"/>
      <c r="N214" s="215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16"/>
      <c r="BN214" s="216"/>
      <c r="BO214" s="216"/>
      <c r="BP214" s="216"/>
      <c r="BQ214" s="216"/>
      <c r="BR214" s="216"/>
    </row>
    <row r="215" spans="1:70" ht="24" customHeight="1" x14ac:dyDescent="0.2">
      <c r="A215" s="214"/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5"/>
      <c r="N215" s="215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16"/>
      <c r="BN215" s="216"/>
      <c r="BO215" s="216"/>
      <c r="BP215" s="216"/>
      <c r="BQ215" s="216"/>
      <c r="BR215" s="216"/>
    </row>
    <row r="216" spans="1:70" ht="24" customHeight="1" x14ac:dyDescent="0.2">
      <c r="A216" s="214"/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5"/>
      <c r="N216" s="215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16"/>
      <c r="BN216" s="216"/>
      <c r="BO216" s="216"/>
      <c r="BP216" s="216"/>
      <c r="BQ216" s="216"/>
      <c r="BR216" s="216"/>
    </row>
    <row r="217" spans="1:70" ht="24" customHeight="1" x14ac:dyDescent="0.2">
      <c r="A217" s="214"/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5"/>
      <c r="N217" s="215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  <c r="BJ217" s="216"/>
      <c r="BK217" s="216"/>
      <c r="BL217" s="216"/>
      <c r="BM217" s="216"/>
      <c r="BN217" s="216"/>
      <c r="BO217" s="216"/>
      <c r="BP217" s="216"/>
      <c r="BQ217" s="216"/>
      <c r="BR217" s="216"/>
    </row>
    <row r="218" spans="1:70" ht="24" customHeight="1" x14ac:dyDescent="0.2">
      <c r="A218" s="214"/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5"/>
      <c r="N218" s="215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  <c r="BJ218" s="216"/>
      <c r="BK218" s="216"/>
      <c r="BL218" s="216"/>
      <c r="BM218" s="216"/>
      <c r="BN218" s="216"/>
      <c r="BO218" s="216"/>
      <c r="BP218" s="216"/>
      <c r="BQ218" s="216"/>
      <c r="BR218" s="216"/>
    </row>
    <row r="219" spans="1:70" ht="24" customHeight="1" x14ac:dyDescent="0.2">
      <c r="A219" s="214"/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5"/>
      <c r="N219" s="215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  <c r="BJ219" s="216"/>
      <c r="BK219" s="216"/>
      <c r="BL219" s="216"/>
      <c r="BM219" s="216"/>
      <c r="BN219" s="216"/>
      <c r="BO219" s="216"/>
      <c r="BP219" s="216"/>
      <c r="BQ219" s="216"/>
      <c r="BR219" s="216"/>
    </row>
    <row r="220" spans="1:70" ht="24" customHeight="1" x14ac:dyDescent="0.2">
      <c r="A220" s="214"/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5"/>
      <c r="N220" s="215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  <c r="BJ220" s="216"/>
      <c r="BK220" s="216"/>
      <c r="BL220" s="216"/>
      <c r="BM220" s="216"/>
      <c r="BN220" s="216"/>
      <c r="BO220" s="216"/>
      <c r="BP220" s="216"/>
      <c r="BQ220" s="216"/>
      <c r="BR220" s="216"/>
    </row>
    <row r="221" spans="1:70" ht="24" customHeight="1" x14ac:dyDescent="0.2">
      <c r="A221" s="214"/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5"/>
      <c r="N221" s="215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  <c r="BI221" s="216"/>
      <c r="BJ221" s="216"/>
      <c r="BK221" s="216"/>
      <c r="BL221" s="216"/>
      <c r="BM221" s="216"/>
      <c r="BN221" s="216"/>
      <c r="BO221" s="216"/>
      <c r="BP221" s="216"/>
      <c r="BQ221" s="216"/>
      <c r="BR221" s="216"/>
    </row>
    <row r="222" spans="1:70" ht="24" customHeight="1" x14ac:dyDescent="0.2">
      <c r="A222" s="214"/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5"/>
      <c r="N222" s="215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  <c r="BI222" s="216"/>
      <c r="BJ222" s="216"/>
      <c r="BK222" s="216"/>
      <c r="BL222" s="216"/>
      <c r="BM222" s="216"/>
      <c r="BN222" s="216"/>
      <c r="BO222" s="216"/>
      <c r="BP222" s="216"/>
      <c r="BQ222" s="216"/>
      <c r="BR222" s="216"/>
    </row>
    <row r="223" spans="1:70" ht="24" customHeight="1" x14ac:dyDescent="0.2">
      <c r="A223" s="214"/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5"/>
      <c r="N223" s="215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  <c r="BI223" s="216"/>
      <c r="BJ223" s="216"/>
      <c r="BK223" s="216"/>
      <c r="BL223" s="216"/>
      <c r="BM223" s="216"/>
      <c r="BN223" s="216"/>
      <c r="BO223" s="216"/>
      <c r="BP223" s="216"/>
      <c r="BQ223" s="216"/>
      <c r="BR223" s="216"/>
    </row>
    <row r="224" spans="1:70" ht="24" customHeight="1" x14ac:dyDescent="0.2">
      <c r="A224" s="214"/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5"/>
      <c r="N224" s="215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  <c r="BI224" s="216"/>
      <c r="BJ224" s="216"/>
      <c r="BK224" s="216"/>
      <c r="BL224" s="216"/>
      <c r="BM224" s="216"/>
      <c r="BN224" s="216"/>
      <c r="BO224" s="216"/>
      <c r="BP224" s="216"/>
      <c r="BQ224" s="216"/>
      <c r="BR224" s="216"/>
    </row>
    <row r="225" spans="1:70" ht="24" customHeight="1" x14ac:dyDescent="0.2">
      <c r="A225" s="214"/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5"/>
      <c r="N225" s="215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  <c r="BI225" s="216"/>
      <c r="BJ225" s="216"/>
      <c r="BK225" s="216"/>
      <c r="BL225" s="216"/>
      <c r="BM225" s="216"/>
      <c r="BN225" s="216"/>
      <c r="BO225" s="216"/>
      <c r="BP225" s="216"/>
      <c r="BQ225" s="216"/>
      <c r="BR225" s="216"/>
    </row>
    <row r="226" spans="1:70" ht="24" customHeight="1" x14ac:dyDescent="0.2">
      <c r="A226" s="214"/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5"/>
      <c r="N226" s="215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  <c r="BJ226" s="216"/>
      <c r="BK226" s="216"/>
      <c r="BL226" s="216"/>
      <c r="BM226" s="216"/>
      <c r="BN226" s="216"/>
      <c r="BO226" s="216"/>
      <c r="BP226" s="216"/>
      <c r="BQ226" s="216"/>
      <c r="BR226" s="216"/>
    </row>
    <row r="227" spans="1:70" ht="24" customHeight="1" x14ac:dyDescent="0.2">
      <c r="A227" s="214"/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5"/>
      <c r="N227" s="215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  <c r="BJ227" s="216"/>
      <c r="BK227" s="216"/>
      <c r="BL227" s="216"/>
      <c r="BM227" s="216"/>
      <c r="BN227" s="216"/>
      <c r="BO227" s="216"/>
      <c r="BP227" s="216"/>
      <c r="BQ227" s="216"/>
      <c r="BR227" s="216"/>
    </row>
    <row r="228" spans="1:70" ht="24" customHeight="1" x14ac:dyDescent="0.2">
      <c r="A228" s="214"/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5"/>
      <c r="N228" s="215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  <c r="BJ228" s="216"/>
      <c r="BK228" s="216"/>
      <c r="BL228" s="216"/>
      <c r="BM228" s="216"/>
      <c r="BN228" s="216"/>
      <c r="BO228" s="216"/>
      <c r="BP228" s="216"/>
      <c r="BQ228" s="216"/>
      <c r="BR228" s="216"/>
    </row>
    <row r="229" spans="1:70" ht="24" customHeight="1" x14ac:dyDescent="0.2">
      <c r="A229" s="214"/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5"/>
      <c r="N229" s="215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  <c r="BJ229" s="216"/>
      <c r="BK229" s="216"/>
      <c r="BL229" s="216"/>
      <c r="BM229" s="216"/>
      <c r="BN229" s="216"/>
      <c r="BO229" s="216"/>
      <c r="BP229" s="216"/>
      <c r="BQ229" s="216"/>
      <c r="BR229" s="216"/>
    </row>
    <row r="230" spans="1:70" ht="24" customHeight="1" x14ac:dyDescent="0.2">
      <c r="A230" s="214"/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5"/>
      <c r="N230" s="215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  <c r="BJ230" s="216"/>
      <c r="BK230" s="216"/>
      <c r="BL230" s="216"/>
      <c r="BM230" s="216"/>
      <c r="BN230" s="216"/>
      <c r="BO230" s="216"/>
      <c r="BP230" s="216"/>
      <c r="BQ230" s="216"/>
      <c r="BR230" s="216"/>
    </row>
    <row r="231" spans="1:70" ht="24" customHeight="1" x14ac:dyDescent="0.2">
      <c r="A231" s="214"/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5"/>
      <c r="N231" s="215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  <c r="BJ231" s="216"/>
      <c r="BK231" s="216"/>
      <c r="BL231" s="216"/>
      <c r="BM231" s="216"/>
      <c r="BN231" s="216"/>
      <c r="BO231" s="216"/>
      <c r="BP231" s="216"/>
      <c r="BQ231" s="216"/>
      <c r="BR231" s="216"/>
    </row>
    <row r="232" spans="1:70" ht="24" customHeight="1" x14ac:dyDescent="0.2">
      <c r="A232" s="214"/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5"/>
      <c r="N232" s="215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  <c r="BJ232" s="216"/>
      <c r="BK232" s="216"/>
      <c r="BL232" s="216"/>
      <c r="BM232" s="216"/>
      <c r="BN232" s="216"/>
      <c r="BO232" s="216"/>
      <c r="BP232" s="216"/>
      <c r="BQ232" s="216"/>
      <c r="BR232" s="216"/>
    </row>
    <row r="233" spans="1:70" ht="24" customHeight="1" x14ac:dyDescent="0.2">
      <c r="A233" s="214"/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5"/>
      <c r="N233" s="215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  <c r="BJ233" s="216"/>
      <c r="BK233" s="216"/>
      <c r="BL233" s="216"/>
      <c r="BM233" s="216"/>
      <c r="BN233" s="216"/>
      <c r="BO233" s="216"/>
      <c r="BP233" s="216"/>
      <c r="BQ233" s="216"/>
      <c r="BR233" s="216"/>
    </row>
    <row r="234" spans="1:70" ht="24" customHeight="1" x14ac:dyDescent="0.2">
      <c r="A234" s="214"/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5"/>
      <c r="N234" s="215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  <c r="BJ234" s="216"/>
      <c r="BK234" s="216"/>
      <c r="BL234" s="216"/>
      <c r="BM234" s="216"/>
      <c r="BN234" s="216"/>
      <c r="BO234" s="216"/>
      <c r="BP234" s="216"/>
      <c r="BQ234" s="216"/>
      <c r="BR234" s="216"/>
    </row>
    <row r="235" spans="1:70" ht="24" customHeight="1" x14ac:dyDescent="0.2">
      <c r="A235" s="214"/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5"/>
      <c r="N235" s="215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  <c r="BJ235" s="216"/>
      <c r="BK235" s="216"/>
      <c r="BL235" s="216"/>
      <c r="BM235" s="216"/>
      <c r="BN235" s="216"/>
      <c r="BO235" s="216"/>
      <c r="BP235" s="216"/>
      <c r="BQ235" s="216"/>
      <c r="BR235" s="216"/>
    </row>
    <row r="236" spans="1:70" ht="24" customHeight="1" x14ac:dyDescent="0.2">
      <c r="A236" s="214"/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5"/>
      <c r="N236" s="215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  <c r="BJ236" s="216"/>
      <c r="BK236" s="216"/>
      <c r="BL236" s="216"/>
      <c r="BM236" s="216"/>
      <c r="BN236" s="216"/>
      <c r="BO236" s="216"/>
      <c r="BP236" s="216"/>
      <c r="BQ236" s="216"/>
      <c r="BR236" s="216"/>
    </row>
    <row r="237" spans="1:70" ht="24" customHeight="1" x14ac:dyDescent="0.2">
      <c r="A237" s="214"/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5"/>
      <c r="N237" s="215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  <c r="BI237" s="216"/>
      <c r="BJ237" s="216"/>
      <c r="BK237" s="216"/>
      <c r="BL237" s="216"/>
      <c r="BM237" s="216"/>
      <c r="BN237" s="216"/>
      <c r="BO237" s="216"/>
      <c r="BP237" s="216"/>
      <c r="BQ237" s="216"/>
      <c r="BR237" s="216"/>
    </row>
    <row r="238" spans="1:70" ht="24" customHeight="1" x14ac:dyDescent="0.2">
      <c r="A238" s="214"/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5"/>
      <c r="N238" s="215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  <c r="BI238" s="216"/>
      <c r="BJ238" s="216"/>
      <c r="BK238" s="216"/>
      <c r="BL238" s="216"/>
      <c r="BM238" s="216"/>
      <c r="BN238" s="216"/>
      <c r="BO238" s="216"/>
      <c r="BP238" s="216"/>
      <c r="BQ238" s="216"/>
      <c r="BR238" s="216"/>
    </row>
    <row r="239" spans="1:70" ht="24" customHeight="1" x14ac:dyDescent="0.2">
      <c r="A239" s="214"/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5"/>
      <c r="N239" s="215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6"/>
      <c r="BJ239" s="216"/>
      <c r="BK239" s="216"/>
      <c r="BL239" s="216"/>
      <c r="BM239" s="216"/>
      <c r="BN239" s="216"/>
      <c r="BO239" s="216"/>
      <c r="BP239" s="216"/>
      <c r="BQ239" s="216"/>
      <c r="BR239" s="216"/>
    </row>
    <row r="240" spans="1:70" ht="24" customHeight="1" x14ac:dyDescent="0.2">
      <c r="A240" s="214"/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5"/>
      <c r="N240" s="215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  <c r="BI240" s="216"/>
      <c r="BJ240" s="216"/>
      <c r="BK240" s="216"/>
      <c r="BL240" s="216"/>
      <c r="BM240" s="216"/>
      <c r="BN240" s="216"/>
      <c r="BO240" s="216"/>
      <c r="BP240" s="216"/>
      <c r="BQ240" s="216"/>
      <c r="BR240" s="216"/>
    </row>
    <row r="241" spans="1:70" ht="24" customHeight="1" x14ac:dyDescent="0.2">
      <c r="A241" s="214"/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5"/>
      <c r="N241" s="215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  <c r="BI241" s="216"/>
      <c r="BJ241" s="216"/>
      <c r="BK241" s="216"/>
      <c r="BL241" s="216"/>
      <c r="BM241" s="216"/>
      <c r="BN241" s="216"/>
      <c r="BO241" s="216"/>
      <c r="BP241" s="216"/>
      <c r="BQ241" s="216"/>
      <c r="BR241" s="216"/>
    </row>
    <row r="242" spans="1:70" ht="24" customHeight="1" x14ac:dyDescent="0.2">
      <c r="A242" s="214"/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5"/>
      <c r="N242" s="215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  <c r="BI242" s="216"/>
      <c r="BJ242" s="216"/>
      <c r="BK242" s="216"/>
      <c r="BL242" s="216"/>
      <c r="BM242" s="216"/>
      <c r="BN242" s="216"/>
      <c r="BO242" s="216"/>
      <c r="BP242" s="216"/>
      <c r="BQ242" s="216"/>
      <c r="BR242" s="216"/>
    </row>
    <row r="243" spans="1:70" ht="24" customHeight="1" x14ac:dyDescent="0.2">
      <c r="A243" s="214"/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5"/>
      <c r="N243" s="215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  <c r="BJ243" s="216"/>
      <c r="BK243" s="216"/>
      <c r="BL243" s="216"/>
      <c r="BM243" s="216"/>
      <c r="BN243" s="216"/>
      <c r="BO243" s="216"/>
      <c r="BP243" s="216"/>
      <c r="BQ243" s="216"/>
      <c r="BR243" s="216"/>
    </row>
    <row r="244" spans="1:70" ht="24" customHeight="1" x14ac:dyDescent="0.2">
      <c r="A244" s="214"/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5"/>
      <c r="N244" s="215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6"/>
      <c r="BN244" s="216"/>
      <c r="BO244" s="216"/>
      <c r="BP244" s="216"/>
      <c r="BQ244" s="216"/>
      <c r="BR244" s="216"/>
    </row>
    <row r="245" spans="1:70" ht="24" customHeight="1" x14ac:dyDescent="0.2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5"/>
      <c r="N245" s="215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6"/>
      <c r="BN245" s="216"/>
      <c r="BO245" s="216"/>
      <c r="BP245" s="216"/>
      <c r="BQ245" s="216"/>
      <c r="BR245" s="216"/>
    </row>
    <row r="246" spans="1:70" ht="24" customHeight="1" x14ac:dyDescent="0.2">
      <c r="A246" s="214"/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5"/>
      <c r="N246" s="215"/>
      <c r="O246" s="216"/>
      <c r="P246" s="216"/>
      <c r="Q246" s="216"/>
      <c r="R246" s="216"/>
      <c r="S246" s="216"/>
      <c r="T246" s="216"/>
      <c r="U246" s="216"/>
      <c r="V246" s="216"/>
      <c r="W246" s="216"/>
      <c r="X246" s="216"/>
      <c r="Y246" s="216"/>
      <c r="Z246" s="216"/>
      <c r="AA246" s="216"/>
      <c r="AB246" s="216"/>
      <c r="AC246" s="216"/>
      <c r="AD246" s="216"/>
      <c r="AE246" s="216"/>
      <c r="AF246" s="216"/>
      <c r="AG246" s="216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6"/>
      <c r="BN246" s="216"/>
      <c r="BO246" s="216"/>
      <c r="BP246" s="216"/>
      <c r="BQ246" s="216"/>
      <c r="BR246" s="216"/>
    </row>
    <row r="247" spans="1:70" ht="24" customHeight="1" x14ac:dyDescent="0.2">
      <c r="A247" s="214"/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5"/>
      <c r="N247" s="215"/>
      <c r="O247" s="216"/>
      <c r="P247" s="216"/>
      <c r="Q247" s="216"/>
      <c r="R247" s="216"/>
      <c r="S247" s="216"/>
      <c r="T247" s="216"/>
      <c r="U247" s="216"/>
      <c r="V247" s="216"/>
      <c r="W247" s="216"/>
      <c r="X247" s="216"/>
      <c r="Y247" s="216"/>
      <c r="Z247" s="216"/>
      <c r="AA247" s="216"/>
      <c r="AB247" s="216"/>
      <c r="AC247" s="216"/>
      <c r="AD247" s="216"/>
      <c r="AE247" s="216"/>
      <c r="AF247" s="216"/>
      <c r="AG247" s="216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6"/>
      <c r="BN247" s="216"/>
      <c r="BO247" s="216"/>
      <c r="BP247" s="216"/>
      <c r="BQ247" s="216"/>
      <c r="BR247" s="216"/>
    </row>
    <row r="248" spans="1:70" ht="24" customHeight="1" x14ac:dyDescent="0.2">
      <c r="A248" s="214"/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5"/>
      <c r="N248" s="215"/>
      <c r="O248" s="216"/>
      <c r="P248" s="216"/>
      <c r="Q248" s="216"/>
      <c r="R248" s="216"/>
      <c r="S248" s="216"/>
      <c r="T248" s="216"/>
      <c r="U248" s="216"/>
      <c r="V248" s="216"/>
      <c r="W248" s="216"/>
      <c r="X248" s="216"/>
      <c r="Y248" s="216"/>
      <c r="Z248" s="216"/>
      <c r="AA248" s="216"/>
      <c r="AB248" s="216"/>
      <c r="AC248" s="216"/>
      <c r="AD248" s="216"/>
      <c r="AE248" s="216"/>
      <c r="AF248" s="216"/>
      <c r="AG248" s="216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6"/>
      <c r="BN248" s="216"/>
      <c r="BO248" s="216"/>
      <c r="BP248" s="216"/>
      <c r="BQ248" s="216"/>
      <c r="BR248" s="216"/>
    </row>
    <row r="249" spans="1:70" ht="24" customHeight="1" x14ac:dyDescent="0.2">
      <c r="A249" s="214"/>
      <c r="B249" s="214"/>
      <c r="C249" s="214"/>
      <c r="D249" s="214"/>
      <c r="E249" s="214"/>
      <c r="F249" s="214"/>
      <c r="G249" s="214"/>
      <c r="H249" s="214"/>
      <c r="I249" s="214"/>
      <c r="J249" s="214"/>
      <c r="K249" s="214"/>
      <c r="L249" s="214"/>
      <c r="M249" s="215"/>
      <c r="N249" s="215"/>
      <c r="O249" s="216"/>
      <c r="P249" s="216"/>
      <c r="Q249" s="216"/>
      <c r="R249" s="216"/>
      <c r="S249" s="216"/>
      <c r="T249" s="216"/>
      <c r="U249" s="216"/>
      <c r="V249" s="216"/>
      <c r="W249" s="216"/>
      <c r="X249" s="216"/>
      <c r="Y249" s="216"/>
      <c r="Z249" s="216"/>
      <c r="AA249" s="216"/>
      <c r="AB249" s="216"/>
      <c r="AC249" s="216"/>
      <c r="AD249" s="216"/>
      <c r="AE249" s="216"/>
      <c r="AF249" s="216"/>
      <c r="AG249" s="216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6"/>
      <c r="BN249" s="216"/>
      <c r="BO249" s="216"/>
      <c r="BP249" s="216"/>
      <c r="BQ249" s="216"/>
      <c r="BR249" s="216"/>
    </row>
    <row r="250" spans="1:70" ht="24" customHeight="1" x14ac:dyDescent="0.2">
      <c r="A250" s="214"/>
      <c r="B250" s="214"/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5"/>
      <c r="N250" s="215"/>
      <c r="O250" s="216"/>
      <c r="P250" s="216"/>
      <c r="Q250" s="216"/>
      <c r="R250" s="216"/>
      <c r="S250" s="216"/>
      <c r="T250" s="216"/>
      <c r="U250" s="216"/>
      <c r="V250" s="216"/>
      <c r="W250" s="216"/>
      <c r="X250" s="216"/>
      <c r="Y250" s="216"/>
      <c r="Z250" s="216"/>
      <c r="AA250" s="216"/>
      <c r="AB250" s="216"/>
      <c r="AC250" s="216"/>
      <c r="AD250" s="216"/>
      <c r="AE250" s="216"/>
      <c r="AF250" s="216"/>
      <c r="AG250" s="216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6"/>
      <c r="BN250" s="216"/>
      <c r="BO250" s="216"/>
      <c r="BP250" s="216"/>
      <c r="BQ250" s="216"/>
      <c r="BR250" s="216"/>
    </row>
    <row r="251" spans="1:70" ht="24" customHeight="1" x14ac:dyDescent="0.2">
      <c r="A251" s="214"/>
      <c r="B251" s="214"/>
      <c r="C251" s="214"/>
      <c r="D251" s="214"/>
      <c r="E251" s="214"/>
      <c r="F251" s="214"/>
      <c r="G251" s="214"/>
      <c r="H251" s="214"/>
      <c r="I251" s="214"/>
      <c r="J251" s="214"/>
      <c r="K251" s="214"/>
      <c r="L251" s="214"/>
      <c r="M251" s="215"/>
      <c r="N251" s="215"/>
      <c r="O251" s="216"/>
      <c r="P251" s="216"/>
      <c r="Q251" s="216"/>
      <c r="R251" s="216"/>
      <c r="S251" s="216"/>
      <c r="T251" s="216"/>
      <c r="U251" s="216"/>
      <c r="V251" s="216"/>
      <c r="W251" s="216"/>
      <c r="X251" s="216"/>
      <c r="Y251" s="216"/>
      <c r="Z251" s="216"/>
      <c r="AA251" s="216"/>
      <c r="AB251" s="216"/>
      <c r="AC251" s="216"/>
      <c r="AD251" s="216"/>
      <c r="AE251" s="216"/>
      <c r="AF251" s="216"/>
      <c r="AG251" s="216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16"/>
      <c r="BN251" s="216"/>
      <c r="BO251" s="216"/>
      <c r="BP251" s="216"/>
      <c r="BQ251" s="216"/>
      <c r="BR251" s="216"/>
    </row>
    <row r="252" spans="1:70" ht="24" customHeight="1" x14ac:dyDescent="0.2">
      <c r="A252" s="214"/>
      <c r="B252" s="214"/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5"/>
      <c r="N252" s="215"/>
      <c r="O252" s="216"/>
      <c r="P252" s="216"/>
      <c r="Q252" s="216"/>
      <c r="R252" s="216"/>
      <c r="S252" s="216"/>
      <c r="T252" s="216"/>
      <c r="U252" s="216"/>
      <c r="V252" s="216"/>
      <c r="W252" s="216"/>
      <c r="X252" s="216"/>
      <c r="Y252" s="216"/>
      <c r="Z252" s="216"/>
      <c r="AA252" s="216"/>
      <c r="AB252" s="216"/>
      <c r="AC252" s="216"/>
      <c r="AD252" s="216"/>
      <c r="AE252" s="216"/>
      <c r="AF252" s="216"/>
      <c r="AG252" s="216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16"/>
      <c r="BN252" s="216"/>
      <c r="BO252" s="216"/>
      <c r="BP252" s="216"/>
      <c r="BQ252" s="216"/>
      <c r="BR252" s="216"/>
    </row>
    <row r="253" spans="1:70" ht="24" customHeight="1" x14ac:dyDescent="0.2">
      <c r="A253" s="214"/>
      <c r="B253" s="214"/>
      <c r="C253" s="214"/>
      <c r="D253" s="214"/>
      <c r="E253" s="214"/>
      <c r="F253" s="214"/>
      <c r="G253" s="214"/>
      <c r="H253" s="214"/>
      <c r="I253" s="214"/>
      <c r="J253" s="214"/>
      <c r="K253" s="214"/>
      <c r="L253" s="214"/>
      <c r="M253" s="215"/>
      <c r="N253" s="215"/>
      <c r="O253" s="216"/>
      <c r="P253" s="216"/>
      <c r="Q253" s="216"/>
      <c r="R253" s="216"/>
      <c r="S253" s="216"/>
      <c r="T253" s="216"/>
      <c r="U253" s="216"/>
      <c r="V253" s="216"/>
      <c r="W253" s="216"/>
      <c r="X253" s="216"/>
      <c r="Y253" s="216"/>
      <c r="Z253" s="216"/>
      <c r="AA253" s="216"/>
      <c r="AB253" s="216"/>
      <c r="AC253" s="216"/>
      <c r="AD253" s="216"/>
      <c r="AE253" s="216"/>
      <c r="AF253" s="216"/>
      <c r="AG253" s="216"/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16"/>
      <c r="BN253" s="216"/>
      <c r="BO253" s="216"/>
      <c r="BP253" s="216"/>
      <c r="BQ253" s="216"/>
      <c r="BR253" s="216"/>
    </row>
    <row r="254" spans="1:70" ht="24" customHeight="1" x14ac:dyDescent="0.2">
      <c r="A254" s="214"/>
      <c r="B254" s="214"/>
      <c r="C254" s="214"/>
      <c r="D254" s="214"/>
      <c r="E254" s="214"/>
      <c r="F254" s="214"/>
      <c r="G254" s="214"/>
      <c r="H254" s="214"/>
      <c r="I254" s="214"/>
      <c r="J254" s="214"/>
      <c r="K254" s="214"/>
      <c r="L254" s="214"/>
      <c r="M254" s="215"/>
      <c r="N254" s="215"/>
      <c r="O254" s="216"/>
      <c r="P254" s="216"/>
      <c r="Q254" s="216"/>
      <c r="R254" s="216"/>
      <c r="S254" s="216"/>
      <c r="T254" s="216"/>
      <c r="U254" s="216"/>
      <c r="V254" s="216"/>
      <c r="W254" s="216"/>
      <c r="X254" s="216"/>
      <c r="Y254" s="216"/>
      <c r="Z254" s="216"/>
      <c r="AA254" s="216"/>
      <c r="AB254" s="216"/>
      <c r="AC254" s="216"/>
      <c r="AD254" s="216"/>
      <c r="AE254" s="216"/>
      <c r="AF254" s="216"/>
      <c r="AG254" s="216"/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16"/>
      <c r="BN254" s="216"/>
      <c r="BO254" s="216"/>
      <c r="BP254" s="216"/>
      <c r="BQ254" s="216"/>
      <c r="BR254" s="216"/>
    </row>
    <row r="255" spans="1:70" ht="24" customHeight="1" x14ac:dyDescent="0.2">
      <c r="A255" s="214"/>
      <c r="B255" s="214"/>
      <c r="C255" s="214"/>
      <c r="D255" s="214"/>
      <c r="E255" s="214"/>
      <c r="F255" s="214"/>
      <c r="G255" s="214"/>
      <c r="H255" s="214"/>
      <c r="I255" s="214"/>
      <c r="J255" s="214"/>
      <c r="K255" s="214"/>
      <c r="L255" s="214"/>
      <c r="M255" s="215"/>
      <c r="N255" s="215"/>
      <c r="O255" s="216"/>
      <c r="P255" s="216"/>
      <c r="Q255" s="216"/>
      <c r="R255" s="216"/>
      <c r="S255" s="216"/>
      <c r="T255" s="216"/>
      <c r="U255" s="216"/>
      <c r="V255" s="216"/>
      <c r="W255" s="216"/>
      <c r="X255" s="216"/>
      <c r="Y255" s="216"/>
      <c r="Z255" s="216"/>
      <c r="AA255" s="216"/>
      <c r="AB255" s="216"/>
      <c r="AC255" s="216"/>
      <c r="AD255" s="216"/>
      <c r="AE255" s="216"/>
      <c r="AF255" s="216"/>
      <c r="AG255" s="216"/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  <c r="BI255" s="216"/>
      <c r="BJ255" s="216"/>
      <c r="BK255" s="216"/>
      <c r="BL255" s="216"/>
      <c r="BM255" s="216"/>
      <c r="BN255" s="216"/>
      <c r="BO255" s="216"/>
      <c r="BP255" s="216"/>
      <c r="BQ255" s="216"/>
      <c r="BR255" s="216"/>
    </row>
    <row r="256" spans="1:70" ht="24" customHeight="1" x14ac:dyDescent="0.2">
      <c r="A256" s="214"/>
      <c r="B256" s="214"/>
      <c r="C256" s="214"/>
      <c r="D256" s="214"/>
      <c r="E256" s="214"/>
      <c r="F256" s="214"/>
      <c r="G256" s="214"/>
      <c r="H256" s="214"/>
      <c r="I256" s="214"/>
      <c r="J256" s="214"/>
      <c r="K256" s="214"/>
      <c r="L256" s="214"/>
      <c r="M256" s="215"/>
      <c r="N256" s="215"/>
      <c r="O256" s="216"/>
      <c r="P256" s="216"/>
      <c r="Q256" s="216"/>
      <c r="R256" s="216"/>
      <c r="S256" s="216"/>
      <c r="T256" s="216"/>
      <c r="U256" s="216"/>
      <c r="V256" s="216"/>
      <c r="W256" s="216"/>
      <c r="X256" s="216"/>
      <c r="Y256" s="216"/>
      <c r="Z256" s="216"/>
      <c r="AA256" s="216"/>
      <c r="AB256" s="216"/>
      <c r="AC256" s="216"/>
      <c r="AD256" s="216"/>
      <c r="AE256" s="216"/>
      <c r="AF256" s="216"/>
      <c r="AG256" s="216"/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  <c r="BI256" s="216"/>
      <c r="BJ256" s="216"/>
      <c r="BK256" s="216"/>
      <c r="BL256" s="216"/>
      <c r="BM256" s="216"/>
      <c r="BN256" s="216"/>
      <c r="BO256" s="216"/>
      <c r="BP256" s="216"/>
      <c r="BQ256" s="216"/>
      <c r="BR256" s="216"/>
    </row>
    <row r="257" spans="1:70" ht="24" customHeight="1" x14ac:dyDescent="0.2">
      <c r="A257" s="214"/>
      <c r="B257" s="214"/>
      <c r="C257" s="214"/>
      <c r="D257" s="214"/>
      <c r="E257" s="214"/>
      <c r="F257" s="214"/>
      <c r="G257" s="214"/>
      <c r="H257" s="214"/>
      <c r="I257" s="214"/>
      <c r="J257" s="214"/>
      <c r="K257" s="214"/>
      <c r="L257" s="214"/>
      <c r="M257" s="215"/>
      <c r="N257" s="215"/>
      <c r="O257" s="216"/>
      <c r="P257" s="216"/>
      <c r="Q257" s="216"/>
      <c r="R257" s="216"/>
      <c r="S257" s="216"/>
      <c r="T257" s="216"/>
      <c r="U257" s="216"/>
      <c r="V257" s="216"/>
      <c r="W257" s="216"/>
      <c r="X257" s="216"/>
      <c r="Y257" s="216"/>
      <c r="Z257" s="216"/>
      <c r="AA257" s="216"/>
      <c r="AB257" s="216"/>
      <c r="AC257" s="216"/>
      <c r="AD257" s="216"/>
      <c r="AE257" s="216"/>
      <c r="AF257" s="216"/>
      <c r="AG257" s="216"/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  <c r="BI257" s="216"/>
      <c r="BJ257" s="216"/>
      <c r="BK257" s="216"/>
      <c r="BL257" s="216"/>
      <c r="BM257" s="216"/>
      <c r="BN257" s="216"/>
      <c r="BO257" s="216"/>
      <c r="BP257" s="216"/>
      <c r="BQ257" s="216"/>
      <c r="BR257" s="216"/>
    </row>
    <row r="258" spans="1:70" ht="24" customHeight="1" x14ac:dyDescent="0.2">
      <c r="A258" s="214"/>
      <c r="B258" s="214"/>
      <c r="C258" s="214"/>
      <c r="D258" s="214"/>
      <c r="E258" s="214"/>
      <c r="F258" s="214"/>
      <c r="G258" s="214"/>
      <c r="H258" s="214"/>
      <c r="I258" s="214"/>
      <c r="J258" s="214"/>
      <c r="K258" s="214"/>
      <c r="L258" s="214"/>
      <c r="M258" s="215"/>
      <c r="N258" s="215"/>
      <c r="O258" s="216"/>
      <c r="P258" s="216"/>
      <c r="Q258" s="216"/>
      <c r="R258" s="216"/>
      <c r="S258" s="216"/>
      <c r="T258" s="216"/>
      <c r="U258" s="216"/>
      <c r="V258" s="216"/>
      <c r="W258" s="216"/>
      <c r="X258" s="216"/>
      <c r="Y258" s="216"/>
      <c r="Z258" s="216"/>
      <c r="AA258" s="216"/>
      <c r="AB258" s="216"/>
      <c r="AC258" s="216"/>
      <c r="AD258" s="216"/>
      <c r="AE258" s="216"/>
      <c r="AF258" s="216"/>
      <c r="AG258" s="216"/>
      <c r="AH258" s="216"/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  <c r="BI258" s="216"/>
      <c r="BJ258" s="216"/>
      <c r="BK258" s="216"/>
      <c r="BL258" s="216"/>
      <c r="BM258" s="216"/>
      <c r="BN258" s="216"/>
      <c r="BO258" s="216"/>
      <c r="BP258" s="216"/>
      <c r="BQ258" s="216"/>
      <c r="BR258" s="216"/>
    </row>
    <row r="259" spans="1:70" ht="24" customHeight="1" x14ac:dyDescent="0.2">
      <c r="A259" s="214"/>
      <c r="B259" s="214"/>
      <c r="C259" s="214"/>
      <c r="D259" s="214"/>
      <c r="E259" s="214"/>
      <c r="F259" s="214"/>
      <c r="G259" s="214"/>
      <c r="H259" s="214"/>
      <c r="I259" s="214"/>
      <c r="J259" s="214"/>
      <c r="K259" s="214"/>
      <c r="L259" s="214"/>
      <c r="M259" s="215"/>
      <c r="N259" s="215"/>
      <c r="O259" s="216"/>
      <c r="P259" s="216"/>
      <c r="Q259" s="216"/>
      <c r="R259" s="216"/>
      <c r="S259" s="216"/>
      <c r="T259" s="216"/>
      <c r="U259" s="216"/>
      <c r="V259" s="216"/>
      <c r="W259" s="216"/>
      <c r="X259" s="216"/>
      <c r="Y259" s="216"/>
      <c r="Z259" s="216"/>
      <c r="AA259" s="216"/>
      <c r="AB259" s="216"/>
      <c r="AC259" s="216"/>
      <c r="AD259" s="216"/>
      <c r="AE259" s="216"/>
      <c r="AF259" s="216"/>
      <c r="AG259" s="216"/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  <c r="BI259" s="216"/>
      <c r="BJ259" s="216"/>
      <c r="BK259" s="216"/>
      <c r="BL259" s="216"/>
      <c r="BM259" s="216"/>
      <c r="BN259" s="216"/>
      <c r="BO259" s="216"/>
      <c r="BP259" s="216"/>
      <c r="BQ259" s="216"/>
      <c r="BR259" s="216"/>
    </row>
    <row r="260" spans="1:70" ht="24" customHeight="1" x14ac:dyDescent="0.2">
      <c r="A260" s="214"/>
      <c r="B260" s="214"/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5"/>
      <c r="N260" s="215"/>
      <c r="O260" s="216"/>
      <c r="P260" s="216"/>
      <c r="Q260" s="216"/>
      <c r="R260" s="216"/>
      <c r="S260" s="216"/>
      <c r="T260" s="216"/>
      <c r="U260" s="216"/>
      <c r="V260" s="216"/>
      <c r="W260" s="216"/>
      <c r="X260" s="216"/>
      <c r="Y260" s="216"/>
      <c r="Z260" s="216"/>
      <c r="AA260" s="216"/>
      <c r="AB260" s="216"/>
      <c r="AC260" s="216"/>
      <c r="AD260" s="216"/>
      <c r="AE260" s="216"/>
      <c r="AF260" s="216"/>
      <c r="AG260" s="216"/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  <c r="BI260" s="216"/>
      <c r="BJ260" s="216"/>
      <c r="BK260" s="216"/>
      <c r="BL260" s="216"/>
      <c r="BM260" s="216"/>
      <c r="BN260" s="216"/>
      <c r="BO260" s="216"/>
      <c r="BP260" s="216"/>
      <c r="BQ260" s="216"/>
      <c r="BR260" s="216"/>
    </row>
    <row r="261" spans="1:70" ht="24" customHeight="1" x14ac:dyDescent="0.2">
      <c r="A261" s="214"/>
      <c r="B261" s="214"/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5"/>
      <c r="N261" s="215"/>
      <c r="O261" s="216"/>
      <c r="P261" s="216"/>
      <c r="Q261" s="216"/>
      <c r="R261" s="216"/>
      <c r="S261" s="216"/>
      <c r="T261" s="216"/>
      <c r="U261" s="216"/>
      <c r="V261" s="216"/>
      <c r="W261" s="216"/>
      <c r="X261" s="216"/>
      <c r="Y261" s="216"/>
      <c r="Z261" s="216"/>
      <c r="AA261" s="216"/>
      <c r="AB261" s="216"/>
      <c r="AC261" s="216"/>
      <c r="AD261" s="216"/>
      <c r="AE261" s="216"/>
      <c r="AF261" s="216"/>
      <c r="AG261" s="216"/>
      <c r="AH261" s="216"/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  <c r="BI261" s="216"/>
      <c r="BJ261" s="216"/>
      <c r="BK261" s="216"/>
      <c r="BL261" s="216"/>
      <c r="BM261" s="216"/>
      <c r="BN261" s="216"/>
      <c r="BO261" s="216"/>
      <c r="BP261" s="216"/>
      <c r="BQ261" s="216"/>
      <c r="BR261" s="216"/>
    </row>
    <row r="262" spans="1:70" ht="24" customHeight="1" x14ac:dyDescent="0.2">
      <c r="A262" s="214"/>
      <c r="B262" s="214"/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5"/>
      <c r="N262" s="215"/>
      <c r="O262" s="216"/>
      <c r="P262" s="216"/>
      <c r="Q262" s="216"/>
      <c r="R262" s="216"/>
      <c r="S262" s="216"/>
      <c r="T262" s="216"/>
      <c r="U262" s="216"/>
      <c r="V262" s="216"/>
      <c r="W262" s="216"/>
      <c r="X262" s="216"/>
      <c r="Y262" s="216"/>
      <c r="Z262" s="216"/>
      <c r="AA262" s="216"/>
      <c r="AB262" s="216"/>
      <c r="AC262" s="216"/>
      <c r="AD262" s="216"/>
      <c r="AE262" s="216"/>
      <c r="AF262" s="216"/>
      <c r="AG262" s="216"/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  <c r="BI262" s="216"/>
      <c r="BJ262" s="216"/>
      <c r="BK262" s="216"/>
      <c r="BL262" s="216"/>
      <c r="BM262" s="216"/>
      <c r="BN262" s="216"/>
      <c r="BO262" s="216"/>
      <c r="BP262" s="216"/>
      <c r="BQ262" s="216"/>
      <c r="BR262" s="216"/>
    </row>
    <row r="263" spans="1:70" ht="24" customHeight="1" x14ac:dyDescent="0.2">
      <c r="A263" s="214"/>
      <c r="B263" s="214"/>
      <c r="C263" s="214"/>
      <c r="D263" s="214"/>
      <c r="E263" s="214"/>
      <c r="F263" s="214"/>
      <c r="G263" s="214"/>
      <c r="H263" s="214"/>
      <c r="I263" s="214"/>
      <c r="J263" s="214"/>
      <c r="K263" s="214"/>
      <c r="L263" s="214"/>
      <c r="M263" s="215"/>
      <c r="N263" s="215"/>
      <c r="O263" s="216"/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  <c r="BI263" s="216"/>
      <c r="BJ263" s="216"/>
      <c r="BK263" s="216"/>
      <c r="BL263" s="216"/>
      <c r="BM263" s="216"/>
      <c r="BN263" s="216"/>
      <c r="BO263" s="216"/>
      <c r="BP263" s="216"/>
      <c r="BQ263" s="216"/>
      <c r="BR263" s="216"/>
    </row>
    <row r="264" spans="1:70" ht="24" customHeight="1" x14ac:dyDescent="0.2">
      <c r="A264" s="214"/>
      <c r="B264" s="214"/>
      <c r="C264" s="214"/>
      <c r="D264" s="214"/>
      <c r="E264" s="214"/>
      <c r="F264" s="214"/>
      <c r="G264" s="214"/>
      <c r="H264" s="214"/>
      <c r="I264" s="214"/>
      <c r="J264" s="214"/>
      <c r="K264" s="214"/>
      <c r="L264" s="214"/>
      <c r="M264" s="215"/>
      <c r="N264" s="215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  <c r="BI264" s="216"/>
      <c r="BJ264" s="216"/>
      <c r="BK264" s="216"/>
      <c r="BL264" s="216"/>
      <c r="BM264" s="216"/>
      <c r="BN264" s="216"/>
      <c r="BO264" s="216"/>
      <c r="BP264" s="216"/>
      <c r="BQ264" s="216"/>
      <c r="BR264" s="216"/>
    </row>
    <row r="265" spans="1:70" ht="24" customHeight="1" x14ac:dyDescent="0.2">
      <c r="A265" s="214"/>
      <c r="B265" s="214"/>
      <c r="C265" s="214"/>
      <c r="D265" s="214"/>
      <c r="E265" s="214"/>
      <c r="F265" s="214"/>
      <c r="G265" s="214"/>
      <c r="H265" s="214"/>
      <c r="I265" s="214"/>
      <c r="J265" s="214"/>
      <c r="K265" s="214"/>
      <c r="L265" s="214"/>
      <c r="M265" s="215"/>
      <c r="N265" s="215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  <c r="BI265" s="216"/>
      <c r="BJ265" s="216"/>
      <c r="BK265" s="216"/>
      <c r="BL265" s="216"/>
      <c r="BM265" s="216"/>
      <c r="BN265" s="216"/>
      <c r="BO265" s="216"/>
      <c r="BP265" s="216"/>
      <c r="BQ265" s="216"/>
      <c r="BR265" s="216"/>
    </row>
    <row r="266" spans="1:70" ht="24" customHeight="1" x14ac:dyDescent="0.2">
      <c r="A266" s="214"/>
      <c r="B266" s="214"/>
      <c r="C266" s="214"/>
      <c r="D266" s="214"/>
      <c r="E266" s="214"/>
      <c r="F266" s="214"/>
      <c r="G266" s="214"/>
      <c r="H266" s="214"/>
      <c r="I266" s="214"/>
      <c r="J266" s="214"/>
      <c r="K266" s="214"/>
      <c r="L266" s="214"/>
      <c r="M266" s="215"/>
      <c r="N266" s="215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  <c r="BI266" s="216"/>
      <c r="BJ266" s="216"/>
      <c r="BK266" s="216"/>
      <c r="BL266" s="216"/>
      <c r="BM266" s="216"/>
      <c r="BN266" s="216"/>
      <c r="BO266" s="216"/>
      <c r="BP266" s="216"/>
      <c r="BQ266" s="216"/>
      <c r="BR266" s="216"/>
    </row>
    <row r="267" spans="1:70" ht="24" customHeight="1" x14ac:dyDescent="0.2">
      <c r="A267" s="214"/>
      <c r="B267" s="214"/>
      <c r="C267" s="214"/>
      <c r="D267" s="214"/>
      <c r="E267" s="214"/>
      <c r="F267" s="214"/>
      <c r="G267" s="214"/>
      <c r="H267" s="214"/>
      <c r="I267" s="214"/>
      <c r="J267" s="214"/>
      <c r="K267" s="214"/>
      <c r="L267" s="214"/>
      <c r="M267" s="215"/>
      <c r="N267" s="215"/>
      <c r="O267" s="216"/>
      <c r="P267" s="216"/>
      <c r="Q267" s="216"/>
      <c r="R267" s="216"/>
      <c r="S267" s="216"/>
      <c r="T267" s="216"/>
      <c r="U267" s="216"/>
      <c r="V267" s="216"/>
      <c r="W267" s="216"/>
      <c r="X267" s="216"/>
      <c r="Y267" s="216"/>
      <c r="Z267" s="216"/>
      <c r="AA267" s="216"/>
      <c r="AB267" s="216"/>
      <c r="AC267" s="216"/>
      <c r="AD267" s="216"/>
      <c r="AE267" s="216"/>
      <c r="AF267" s="216"/>
      <c r="AG267" s="216"/>
      <c r="AH267" s="216"/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  <c r="BI267" s="216"/>
      <c r="BJ267" s="216"/>
      <c r="BK267" s="216"/>
      <c r="BL267" s="216"/>
      <c r="BM267" s="216"/>
      <c r="BN267" s="216"/>
      <c r="BO267" s="216"/>
      <c r="BP267" s="216"/>
      <c r="BQ267" s="216"/>
      <c r="BR267" s="216"/>
    </row>
    <row r="268" spans="1:70" ht="24" customHeight="1" x14ac:dyDescent="0.2">
      <c r="A268" s="214"/>
      <c r="B268" s="214"/>
      <c r="C268" s="214"/>
      <c r="D268" s="214"/>
      <c r="E268" s="214"/>
      <c r="F268" s="214"/>
      <c r="G268" s="214"/>
      <c r="H268" s="214"/>
      <c r="I268" s="214"/>
      <c r="J268" s="214"/>
      <c r="K268" s="214"/>
      <c r="L268" s="214"/>
      <c r="M268" s="215"/>
      <c r="N268" s="215"/>
      <c r="O268" s="216"/>
      <c r="P268" s="216"/>
      <c r="Q268" s="216"/>
      <c r="R268" s="216"/>
      <c r="S268" s="216"/>
      <c r="T268" s="216"/>
      <c r="U268" s="216"/>
      <c r="V268" s="216"/>
      <c r="W268" s="216"/>
      <c r="X268" s="216"/>
      <c r="Y268" s="216"/>
      <c r="Z268" s="216"/>
      <c r="AA268" s="216"/>
      <c r="AB268" s="216"/>
      <c r="AC268" s="216"/>
      <c r="AD268" s="216"/>
      <c r="AE268" s="216"/>
      <c r="AF268" s="216"/>
      <c r="AG268" s="216"/>
      <c r="AH268" s="216"/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  <c r="BI268" s="216"/>
      <c r="BJ268" s="216"/>
      <c r="BK268" s="216"/>
      <c r="BL268" s="216"/>
      <c r="BM268" s="216"/>
      <c r="BN268" s="216"/>
      <c r="BO268" s="216"/>
      <c r="BP268" s="216"/>
      <c r="BQ268" s="216"/>
      <c r="BR268" s="216"/>
    </row>
    <row r="269" spans="1:70" ht="24" customHeight="1" x14ac:dyDescent="0.2">
      <c r="A269" s="214"/>
      <c r="B269" s="214"/>
      <c r="C269" s="214"/>
      <c r="D269" s="214"/>
      <c r="E269" s="214"/>
      <c r="F269" s="214"/>
      <c r="G269" s="214"/>
      <c r="H269" s="214"/>
      <c r="I269" s="214"/>
      <c r="J269" s="214"/>
      <c r="K269" s="214"/>
      <c r="L269" s="214"/>
      <c r="M269" s="215"/>
      <c r="N269" s="215"/>
      <c r="O269" s="216"/>
      <c r="P269" s="216"/>
      <c r="Q269" s="216"/>
      <c r="R269" s="216"/>
      <c r="S269" s="216"/>
      <c r="T269" s="216"/>
      <c r="U269" s="216"/>
      <c r="V269" s="216"/>
      <c r="W269" s="216"/>
      <c r="X269" s="216"/>
      <c r="Y269" s="216"/>
      <c r="Z269" s="216"/>
      <c r="AA269" s="216"/>
      <c r="AB269" s="216"/>
      <c r="AC269" s="216"/>
      <c r="AD269" s="216"/>
      <c r="AE269" s="216"/>
      <c r="AF269" s="216"/>
      <c r="AG269" s="216"/>
      <c r="AH269" s="216"/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  <c r="BI269" s="216"/>
      <c r="BJ269" s="216"/>
      <c r="BK269" s="216"/>
      <c r="BL269" s="216"/>
      <c r="BM269" s="216"/>
      <c r="BN269" s="216"/>
      <c r="BO269" s="216"/>
      <c r="BP269" s="216"/>
      <c r="BQ269" s="216"/>
      <c r="BR269" s="216"/>
    </row>
    <row r="270" spans="1:70" ht="24" customHeight="1" x14ac:dyDescent="0.2">
      <c r="A270" s="214"/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4"/>
      <c r="M270" s="215"/>
      <c r="N270" s="215"/>
      <c r="O270" s="216"/>
      <c r="P270" s="216"/>
      <c r="Q270" s="216"/>
      <c r="R270" s="216"/>
      <c r="S270" s="216"/>
      <c r="T270" s="216"/>
      <c r="U270" s="216"/>
      <c r="V270" s="216"/>
      <c r="W270" s="216"/>
      <c r="X270" s="216"/>
      <c r="Y270" s="216"/>
      <c r="Z270" s="216"/>
      <c r="AA270" s="216"/>
      <c r="AB270" s="216"/>
      <c r="AC270" s="216"/>
      <c r="AD270" s="216"/>
      <c r="AE270" s="216"/>
      <c r="AF270" s="216"/>
      <c r="AG270" s="216"/>
      <c r="AH270" s="216"/>
      <c r="AI270" s="216"/>
      <c r="AJ270" s="216"/>
      <c r="AK270" s="216"/>
      <c r="AL270" s="216"/>
      <c r="AM270" s="216"/>
      <c r="AN270" s="216"/>
      <c r="AO270" s="216"/>
      <c r="AP270" s="216"/>
      <c r="AQ270" s="216"/>
      <c r="AR270" s="216"/>
      <c r="AS270" s="216"/>
      <c r="AT270" s="216"/>
      <c r="AU270" s="216"/>
      <c r="AV270" s="216"/>
      <c r="AW270" s="216"/>
      <c r="AX270" s="216"/>
      <c r="AY270" s="216"/>
      <c r="AZ270" s="216"/>
      <c r="BA270" s="216"/>
      <c r="BB270" s="216"/>
      <c r="BC270" s="216"/>
      <c r="BD270" s="216"/>
      <c r="BE270" s="216"/>
      <c r="BF270" s="216"/>
      <c r="BG270" s="216"/>
      <c r="BH270" s="216"/>
      <c r="BI270" s="216"/>
      <c r="BJ270" s="216"/>
      <c r="BK270" s="216"/>
      <c r="BL270" s="216"/>
      <c r="BM270" s="216"/>
      <c r="BN270" s="216"/>
      <c r="BO270" s="216"/>
      <c r="BP270" s="216"/>
      <c r="BQ270" s="216"/>
      <c r="BR270" s="216"/>
    </row>
    <row r="271" spans="1:70" ht="24" customHeight="1" x14ac:dyDescent="0.2">
      <c r="A271" s="214"/>
      <c r="B271" s="214"/>
      <c r="C271" s="214"/>
      <c r="D271" s="214"/>
      <c r="E271" s="214"/>
      <c r="F271" s="214"/>
      <c r="G271" s="214"/>
      <c r="H271" s="214"/>
      <c r="I271" s="214"/>
      <c r="J271" s="214"/>
      <c r="K271" s="214"/>
      <c r="L271" s="214"/>
      <c r="M271" s="215"/>
      <c r="N271" s="215"/>
      <c r="O271" s="216"/>
      <c r="P271" s="216"/>
      <c r="Q271" s="216"/>
      <c r="R271" s="216"/>
      <c r="S271" s="216"/>
      <c r="T271" s="216"/>
      <c r="U271" s="216"/>
      <c r="V271" s="216"/>
      <c r="W271" s="216"/>
      <c r="X271" s="216"/>
      <c r="Y271" s="216"/>
      <c r="Z271" s="216"/>
      <c r="AA271" s="216"/>
      <c r="AB271" s="216"/>
      <c r="AC271" s="216"/>
      <c r="AD271" s="216"/>
      <c r="AE271" s="216"/>
      <c r="AF271" s="216"/>
      <c r="AG271" s="216"/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  <c r="BI271" s="216"/>
      <c r="BJ271" s="216"/>
      <c r="BK271" s="216"/>
      <c r="BL271" s="216"/>
      <c r="BM271" s="216"/>
      <c r="BN271" s="216"/>
      <c r="BO271" s="216"/>
      <c r="BP271" s="216"/>
      <c r="BQ271" s="216"/>
      <c r="BR271" s="216"/>
    </row>
    <row r="272" spans="1:70" ht="24" customHeight="1" x14ac:dyDescent="0.2">
      <c r="A272" s="214"/>
      <c r="B272" s="214"/>
      <c r="C272" s="214"/>
      <c r="D272" s="214"/>
      <c r="E272" s="214"/>
      <c r="F272" s="214"/>
      <c r="G272" s="214"/>
      <c r="H272" s="214"/>
      <c r="I272" s="214"/>
      <c r="J272" s="214"/>
      <c r="K272" s="214"/>
      <c r="L272" s="214"/>
      <c r="M272" s="215"/>
      <c r="N272" s="215"/>
      <c r="O272" s="216"/>
      <c r="P272" s="216"/>
      <c r="Q272" s="216"/>
      <c r="R272" s="216"/>
      <c r="S272" s="216"/>
      <c r="T272" s="216"/>
      <c r="U272" s="216"/>
      <c r="V272" s="216"/>
      <c r="W272" s="216"/>
      <c r="X272" s="216"/>
      <c r="Y272" s="216"/>
      <c r="Z272" s="216"/>
      <c r="AA272" s="216"/>
      <c r="AB272" s="216"/>
      <c r="AC272" s="216"/>
      <c r="AD272" s="216"/>
      <c r="AE272" s="216"/>
      <c r="AF272" s="216"/>
      <c r="AG272" s="216"/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  <c r="BI272" s="216"/>
      <c r="BJ272" s="216"/>
      <c r="BK272" s="216"/>
      <c r="BL272" s="216"/>
      <c r="BM272" s="216"/>
      <c r="BN272" s="216"/>
      <c r="BO272" s="216"/>
      <c r="BP272" s="216"/>
      <c r="BQ272" s="216"/>
      <c r="BR272" s="216"/>
    </row>
    <row r="273" spans="1:70" ht="24" customHeight="1" x14ac:dyDescent="0.2">
      <c r="A273" s="214"/>
      <c r="B273" s="214"/>
      <c r="C273" s="214"/>
      <c r="D273" s="214"/>
      <c r="E273" s="214"/>
      <c r="F273" s="214"/>
      <c r="G273" s="214"/>
      <c r="H273" s="214"/>
      <c r="I273" s="214"/>
      <c r="J273" s="214"/>
      <c r="K273" s="214"/>
      <c r="L273" s="214"/>
      <c r="M273" s="215"/>
      <c r="N273" s="215"/>
      <c r="O273" s="216"/>
      <c r="P273" s="216"/>
      <c r="Q273" s="216"/>
      <c r="R273" s="216"/>
      <c r="S273" s="216"/>
      <c r="T273" s="216"/>
      <c r="U273" s="216"/>
      <c r="V273" s="216"/>
      <c r="W273" s="216"/>
      <c r="X273" s="216"/>
      <c r="Y273" s="216"/>
      <c r="Z273" s="216"/>
      <c r="AA273" s="216"/>
      <c r="AB273" s="216"/>
      <c r="AC273" s="216"/>
      <c r="AD273" s="216"/>
      <c r="AE273" s="216"/>
      <c r="AF273" s="216"/>
      <c r="AG273" s="216"/>
      <c r="AH273" s="216"/>
      <c r="AI273" s="216"/>
      <c r="AJ273" s="216"/>
      <c r="AK273" s="216"/>
      <c r="AL273" s="216"/>
      <c r="AM273" s="216"/>
      <c r="AN273" s="216"/>
      <c r="AO273" s="216"/>
      <c r="AP273" s="216"/>
      <c r="AQ273" s="216"/>
      <c r="AR273" s="216"/>
      <c r="AS273" s="216"/>
      <c r="AT273" s="216"/>
      <c r="AU273" s="216"/>
      <c r="AV273" s="216"/>
      <c r="AW273" s="216"/>
      <c r="AX273" s="216"/>
      <c r="AY273" s="216"/>
      <c r="AZ273" s="216"/>
      <c r="BA273" s="216"/>
      <c r="BB273" s="216"/>
      <c r="BC273" s="216"/>
      <c r="BD273" s="216"/>
      <c r="BE273" s="216"/>
      <c r="BF273" s="216"/>
      <c r="BG273" s="216"/>
      <c r="BH273" s="216"/>
      <c r="BI273" s="216"/>
      <c r="BJ273" s="216"/>
      <c r="BK273" s="216"/>
      <c r="BL273" s="216"/>
      <c r="BM273" s="216"/>
      <c r="BN273" s="216"/>
      <c r="BO273" s="216"/>
      <c r="BP273" s="216"/>
      <c r="BQ273" s="216"/>
      <c r="BR273" s="216"/>
    </row>
    <row r="274" spans="1:70" ht="24" customHeight="1" x14ac:dyDescent="0.2">
      <c r="A274" s="214"/>
      <c r="B274" s="214"/>
      <c r="C274" s="214"/>
      <c r="D274" s="214"/>
      <c r="E274" s="214"/>
      <c r="F274" s="214"/>
      <c r="G274" s="214"/>
      <c r="H274" s="214"/>
      <c r="I274" s="214"/>
      <c r="J274" s="214"/>
      <c r="K274" s="214"/>
      <c r="L274" s="214"/>
      <c r="M274" s="215"/>
      <c r="N274" s="215"/>
      <c r="O274" s="216"/>
      <c r="P274" s="216"/>
      <c r="Q274" s="216"/>
      <c r="R274" s="216"/>
      <c r="S274" s="216"/>
      <c r="T274" s="216"/>
      <c r="U274" s="216"/>
      <c r="V274" s="216"/>
      <c r="W274" s="216"/>
      <c r="X274" s="216"/>
      <c r="Y274" s="216"/>
      <c r="Z274" s="216"/>
      <c r="AA274" s="216"/>
      <c r="AB274" s="216"/>
      <c r="AC274" s="216"/>
      <c r="AD274" s="216"/>
      <c r="AE274" s="216"/>
      <c r="AF274" s="216"/>
      <c r="AG274" s="216"/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  <c r="BI274" s="216"/>
      <c r="BJ274" s="216"/>
      <c r="BK274" s="216"/>
      <c r="BL274" s="216"/>
      <c r="BM274" s="216"/>
      <c r="BN274" s="216"/>
      <c r="BO274" s="216"/>
      <c r="BP274" s="216"/>
      <c r="BQ274" s="216"/>
      <c r="BR274" s="216"/>
    </row>
    <row r="275" spans="1:70" ht="24" customHeight="1" x14ac:dyDescent="0.2">
      <c r="A275" s="214"/>
      <c r="B275" s="214"/>
      <c r="C275" s="214"/>
      <c r="D275" s="214"/>
      <c r="E275" s="214"/>
      <c r="F275" s="214"/>
      <c r="G275" s="214"/>
      <c r="H275" s="214"/>
      <c r="I275" s="214"/>
      <c r="J275" s="214"/>
      <c r="K275" s="214"/>
      <c r="L275" s="214"/>
      <c r="M275" s="215"/>
      <c r="N275" s="215"/>
      <c r="O275" s="216"/>
      <c r="P275" s="216"/>
      <c r="Q275" s="216"/>
      <c r="R275" s="216"/>
      <c r="S275" s="216"/>
      <c r="T275" s="216"/>
      <c r="U275" s="216"/>
      <c r="V275" s="216"/>
      <c r="W275" s="216"/>
      <c r="X275" s="216"/>
      <c r="Y275" s="216"/>
      <c r="Z275" s="216"/>
      <c r="AA275" s="216"/>
      <c r="AB275" s="216"/>
      <c r="AC275" s="216"/>
      <c r="AD275" s="216"/>
      <c r="AE275" s="216"/>
      <c r="AF275" s="216"/>
      <c r="AG275" s="216"/>
      <c r="AH275" s="216"/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  <c r="BI275" s="216"/>
      <c r="BJ275" s="216"/>
      <c r="BK275" s="216"/>
      <c r="BL275" s="216"/>
      <c r="BM275" s="216"/>
      <c r="BN275" s="216"/>
      <c r="BO275" s="216"/>
      <c r="BP275" s="216"/>
      <c r="BQ275" s="216"/>
      <c r="BR275" s="216"/>
    </row>
    <row r="276" spans="1:70" ht="24" customHeight="1" x14ac:dyDescent="0.2">
      <c r="A276" s="214"/>
      <c r="B276" s="214"/>
      <c r="C276" s="214"/>
      <c r="D276" s="214"/>
      <c r="E276" s="214"/>
      <c r="F276" s="214"/>
      <c r="G276" s="214"/>
      <c r="H276" s="214"/>
      <c r="I276" s="214"/>
      <c r="J276" s="214"/>
      <c r="K276" s="214"/>
      <c r="L276" s="214"/>
      <c r="M276" s="215"/>
      <c r="N276" s="215"/>
      <c r="O276" s="216"/>
      <c r="P276" s="216"/>
      <c r="Q276" s="216"/>
      <c r="R276" s="216"/>
      <c r="S276" s="216"/>
      <c r="T276" s="216"/>
      <c r="U276" s="216"/>
      <c r="V276" s="216"/>
      <c r="W276" s="216"/>
      <c r="X276" s="216"/>
      <c r="Y276" s="216"/>
      <c r="Z276" s="216"/>
      <c r="AA276" s="216"/>
      <c r="AB276" s="216"/>
      <c r="AC276" s="216"/>
      <c r="AD276" s="216"/>
      <c r="AE276" s="216"/>
      <c r="AF276" s="216"/>
      <c r="AG276" s="216"/>
      <c r="AH276" s="216"/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  <c r="BI276" s="216"/>
      <c r="BJ276" s="216"/>
      <c r="BK276" s="216"/>
      <c r="BL276" s="216"/>
      <c r="BM276" s="216"/>
      <c r="BN276" s="216"/>
      <c r="BO276" s="216"/>
      <c r="BP276" s="216"/>
      <c r="BQ276" s="216"/>
      <c r="BR276" s="216"/>
    </row>
    <row r="277" spans="1:70" ht="24" customHeight="1" x14ac:dyDescent="0.2">
      <c r="A277" s="214"/>
      <c r="B277" s="214"/>
      <c r="C277" s="214"/>
      <c r="D277" s="214"/>
      <c r="E277" s="214"/>
      <c r="F277" s="214"/>
      <c r="G277" s="214"/>
      <c r="H277" s="214"/>
      <c r="I277" s="214"/>
      <c r="J277" s="214"/>
      <c r="K277" s="214"/>
      <c r="L277" s="214"/>
      <c r="M277" s="215"/>
      <c r="N277" s="215"/>
      <c r="O277" s="216"/>
      <c r="P277" s="216"/>
      <c r="Q277" s="216"/>
      <c r="R277" s="216"/>
      <c r="S277" s="216"/>
      <c r="T277" s="216"/>
      <c r="U277" s="216"/>
      <c r="V277" s="216"/>
      <c r="W277" s="216"/>
      <c r="X277" s="216"/>
      <c r="Y277" s="216"/>
      <c r="Z277" s="216"/>
      <c r="AA277" s="216"/>
      <c r="AB277" s="216"/>
      <c r="AC277" s="216"/>
      <c r="AD277" s="216"/>
      <c r="AE277" s="216"/>
      <c r="AF277" s="216"/>
      <c r="AG277" s="216"/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  <c r="BI277" s="216"/>
      <c r="BJ277" s="216"/>
      <c r="BK277" s="216"/>
      <c r="BL277" s="216"/>
      <c r="BM277" s="216"/>
      <c r="BN277" s="216"/>
      <c r="BO277" s="216"/>
      <c r="BP277" s="216"/>
      <c r="BQ277" s="216"/>
      <c r="BR277" s="216"/>
    </row>
    <row r="278" spans="1:70" ht="24" customHeight="1" x14ac:dyDescent="0.2">
      <c r="A278" s="214"/>
      <c r="B278" s="214"/>
      <c r="C278" s="214"/>
      <c r="D278" s="214"/>
      <c r="E278" s="214"/>
      <c r="F278" s="214"/>
      <c r="G278" s="214"/>
      <c r="H278" s="214"/>
      <c r="I278" s="214"/>
      <c r="J278" s="214"/>
      <c r="K278" s="214"/>
      <c r="L278" s="214"/>
      <c r="M278" s="215"/>
      <c r="N278" s="215"/>
      <c r="O278" s="216"/>
      <c r="P278" s="216"/>
      <c r="Q278" s="216"/>
      <c r="R278" s="216"/>
      <c r="S278" s="216"/>
      <c r="T278" s="216"/>
      <c r="U278" s="216"/>
      <c r="V278" s="216"/>
      <c r="W278" s="216"/>
      <c r="X278" s="216"/>
      <c r="Y278" s="216"/>
      <c r="Z278" s="216"/>
      <c r="AA278" s="216"/>
      <c r="AB278" s="216"/>
      <c r="AC278" s="216"/>
      <c r="AD278" s="216"/>
      <c r="AE278" s="216"/>
      <c r="AF278" s="216"/>
      <c r="AG278" s="216"/>
      <c r="AH278" s="216"/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  <c r="BI278" s="216"/>
      <c r="BJ278" s="216"/>
      <c r="BK278" s="216"/>
      <c r="BL278" s="216"/>
      <c r="BM278" s="216"/>
      <c r="BN278" s="216"/>
      <c r="BO278" s="216"/>
      <c r="BP278" s="216"/>
      <c r="BQ278" s="216"/>
      <c r="BR278" s="216"/>
    </row>
    <row r="279" spans="1:70" ht="24" customHeight="1" x14ac:dyDescent="0.2">
      <c r="A279" s="214"/>
      <c r="B279" s="214"/>
      <c r="C279" s="214"/>
      <c r="D279" s="214"/>
      <c r="E279" s="214"/>
      <c r="F279" s="214"/>
      <c r="G279" s="214"/>
      <c r="H279" s="214"/>
      <c r="I279" s="214"/>
      <c r="J279" s="214"/>
      <c r="K279" s="214"/>
      <c r="L279" s="214"/>
      <c r="M279" s="215"/>
      <c r="N279" s="215"/>
      <c r="O279" s="216"/>
      <c r="P279" s="216"/>
      <c r="Q279" s="216"/>
      <c r="R279" s="216"/>
      <c r="S279" s="216"/>
      <c r="T279" s="216"/>
      <c r="U279" s="216"/>
      <c r="V279" s="216"/>
      <c r="W279" s="216"/>
      <c r="X279" s="216"/>
      <c r="Y279" s="216"/>
      <c r="Z279" s="216"/>
      <c r="AA279" s="216"/>
      <c r="AB279" s="216"/>
      <c r="AC279" s="216"/>
      <c r="AD279" s="216"/>
      <c r="AE279" s="216"/>
      <c r="AF279" s="216"/>
      <c r="AG279" s="216"/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  <c r="BI279" s="216"/>
      <c r="BJ279" s="216"/>
      <c r="BK279" s="216"/>
      <c r="BL279" s="216"/>
      <c r="BM279" s="216"/>
      <c r="BN279" s="216"/>
      <c r="BO279" s="216"/>
      <c r="BP279" s="216"/>
      <c r="BQ279" s="216"/>
      <c r="BR279" s="216"/>
    </row>
    <row r="280" spans="1:70" ht="24" customHeight="1" x14ac:dyDescent="0.2">
      <c r="A280" s="214"/>
      <c r="B280" s="214"/>
      <c r="C280" s="214"/>
      <c r="D280" s="214"/>
      <c r="E280" s="214"/>
      <c r="F280" s="214"/>
      <c r="G280" s="214"/>
      <c r="H280" s="214"/>
      <c r="I280" s="214"/>
      <c r="J280" s="214"/>
      <c r="K280" s="214"/>
      <c r="L280" s="214"/>
      <c r="M280" s="215"/>
      <c r="N280" s="215"/>
      <c r="O280" s="216"/>
      <c r="P280" s="216"/>
      <c r="Q280" s="216"/>
      <c r="R280" s="216"/>
      <c r="S280" s="216"/>
      <c r="T280" s="216"/>
      <c r="U280" s="216"/>
      <c r="V280" s="216"/>
      <c r="W280" s="216"/>
      <c r="X280" s="216"/>
      <c r="Y280" s="216"/>
      <c r="Z280" s="216"/>
      <c r="AA280" s="216"/>
      <c r="AB280" s="216"/>
      <c r="AC280" s="216"/>
      <c r="AD280" s="216"/>
      <c r="AE280" s="216"/>
      <c r="AF280" s="216"/>
      <c r="AG280" s="216"/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  <c r="BI280" s="216"/>
      <c r="BJ280" s="216"/>
      <c r="BK280" s="216"/>
      <c r="BL280" s="216"/>
      <c r="BM280" s="216"/>
      <c r="BN280" s="216"/>
      <c r="BO280" s="216"/>
      <c r="BP280" s="216"/>
      <c r="BQ280" s="216"/>
      <c r="BR280" s="216"/>
    </row>
    <row r="281" spans="1:70" ht="24" customHeight="1" x14ac:dyDescent="0.2">
      <c r="A281" s="214"/>
      <c r="B281" s="214"/>
      <c r="C281" s="214"/>
      <c r="D281" s="214"/>
      <c r="E281" s="214"/>
      <c r="F281" s="214"/>
      <c r="G281" s="214"/>
      <c r="H281" s="214"/>
      <c r="I281" s="214"/>
      <c r="J281" s="214"/>
      <c r="K281" s="214"/>
      <c r="L281" s="214"/>
      <c r="M281" s="215"/>
      <c r="N281" s="215"/>
      <c r="O281" s="216"/>
      <c r="P281" s="216"/>
      <c r="Q281" s="216"/>
      <c r="R281" s="216"/>
      <c r="S281" s="216"/>
      <c r="T281" s="216"/>
      <c r="U281" s="216"/>
      <c r="V281" s="216"/>
      <c r="W281" s="216"/>
      <c r="X281" s="216"/>
      <c r="Y281" s="216"/>
      <c r="Z281" s="216"/>
      <c r="AA281" s="216"/>
      <c r="AB281" s="216"/>
      <c r="AC281" s="216"/>
      <c r="AD281" s="216"/>
      <c r="AE281" s="216"/>
      <c r="AF281" s="216"/>
      <c r="AG281" s="216"/>
      <c r="AH281" s="216"/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  <c r="BI281" s="216"/>
      <c r="BJ281" s="216"/>
      <c r="BK281" s="216"/>
      <c r="BL281" s="216"/>
      <c r="BM281" s="216"/>
      <c r="BN281" s="216"/>
      <c r="BO281" s="216"/>
      <c r="BP281" s="216"/>
      <c r="BQ281" s="216"/>
      <c r="BR281" s="216"/>
    </row>
    <row r="282" spans="1:70" ht="24" customHeight="1" x14ac:dyDescent="0.2">
      <c r="A282" s="214"/>
      <c r="B282" s="214"/>
      <c r="C282" s="214"/>
      <c r="D282" s="214"/>
      <c r="E282" s="214"/>
      <c r="F282" s="214"/>
      <c r="G282" s="214"/>
      <c r="H282" s="214"/>
      <c r="I282" s="214"/>
      <c r="J282" s="214"/>
      <c r="K282" s="214"/>
      <c r="L282" s="214"/>
      <c r="M282" s="215"/>
      <c r="N282" s="215"/>
      <c r="O282" s="216"/>
      <c r="P282" s="216"/>
      <c r="Q282" s="216"/>
      <c r="R282" s="216"/>
      <c r="S282" s="216"/>
      <c r="T282" s="216"/>
      <c r="U282" s="216"/>
      <c r="V282" s="216"/>
      <c r="W282" s="216"/>
      <c r="X282" s="216"/>
      <c r="Y282" s="216"/>
      <c r="Z282" s="216"/>
      <c r="AA282" s="216"/>
      <c r="AB282" s="216"/>
      <c r="AC282" s="216"/>
      <c r="AD282" s="216"/>
      <c r="AE282" s="216"/>
      <c r="AF282" s="216"/>
      <c r="AG282" s="216"/>
      <c r="AH282" s="216"/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  <c r="BI282" s="216"/>
      <c r="BJ282" s="216"/>
      <c r="BK282" s="216"/>
      <c r="BL282" s="216"/>
      <c r="BM282" s="216"/>
      <c r="BN282" s="216"/>
      <c r="BO282" s="216"/>
      <c r="BP282" s="216"/>
      <c r="BQ282" s="216"/>
      <c r="BR282" s="216"/>
    </row>
    <row r="283" spans="1:70" ht="24" customHeight="1" x14ac:dyDescent="0.2">
      <c r="A283" s="214"/>
      <c r="B283" s="214"/>
      <c r="C283" s="214"/>
      <c r="D283" s="214"/>
      <c r="E283" s="214"/>
      <c r="F283" s="214"/>
      <c r="G283" s="214"/>
      <c r="H283" s="214"/>
      <c r="I283" s="214"/>
      <c r="J283" s="214"/>
      <c r="K283" s="214"/>
      <c r="L283" s="214"/>
      <c r="M283" s="215"/>
      <c r="N283" s="215"/>
      <c r="O283" s="216"/>
      <c r="P283" s="216"/>
      <c r="Q283" s="216"/>
      <c r="R283" s="216"/>
      <c r="S283" s="216"/>
      <c r="T283" s="216"/>
      <c r="U283" s="216"/>
      <c r="V283" s="216"/>
      <c r="W283" s="216"/>
      <c r="X283" s="216"/>
      <c r="Y283" s="216"/>
      <c r="Z283" s="216"/>
      <c r="AA283" s="216"/>
      <c r="AB283" s="216"/>
      <c r="AC283" s="216"/>
      <c r="AD283" s="216"/>
      <c r="AE283" s="216"/>
      <c r="AF283" s="216"/>
      <c r="AG283" s="216"/>
      <c r="AH283" s="216"/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  <c r="BI283" s="216"/>
      <c r="BJ283" s="216"/>
      <c r="BK283" s="216"/>
      <c r="BL283" s="216"/>
      <c r="BM283" s="216"/>
      <c r="BN283" s="216"/>
      <c r="BO283" s="216"/>
      <c r="BP283" s="216"/>
      <c r="BQ283" s="216"/>
      <c r="BR283" s="216"/>
    </row>
    <row r="284" spans="1:70" ht="24" customHeight="1" x14ac:dyDescent="0.2">
      <c r="A284" s="214"/>
      <c r="B284" s="214"/>
      <c r="C284" s="214"/>
      <c r="D284" s="214"/>
      <c r="E284" s="214"/>
      <c r="F284" s="214"/>
      <c r="G284" s="214"/>
      <c r="H284" s="214"/>
      <c r="I284" s="214"/>
      <c r="J284" s="214"/>
      <c r="K284" s="214"/>
      <c r="L284" s="214"/>
      <c r="M284" s="215"/>
      <c r="N284" s="215"/>
      <c r="O284" s="216"/>
      <c r="P284" s="216"/>
      <c r="Q284" s="216"/>
      <c r="R284" s="216"/>
      <c r="S284" s="216"/>
      <c r="T284" s="216"/>
      <c r="U284" s="216"/>
      <c r="V284" s="216"/>
      <c r="W284" s="216"/>
      <c r="X284" s="216"/>
      <c r="Y284" s="216"/>
      <c r="Z284" s="216"/>
      <c r="AA284" s="216"/>
      <c r="AB284" s="216"/>
      <c r="AC284" s="216"/>
      <c r="AD284" s="216"/>
      <c r="AE284" s="216"/>
      <c r="AF284" s="216"/>
      <c r="AG284" s="216"/>
      <c r="AH284" s="216"/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  <c r="BI284" s="216"/>
      <c r="BJ284" s="216"/>
      <c r="BK284" s="216"/>
      <c r="BL284" s="216"/>
      <c r="BM284" s="216"/>
      <c r="BN284" s="216"/>
      <c r="BO284" s="216"/>
      <c r="BP284" s="216"/>
      <c r="BQ284" s="216"/>
      <c r="BR284" s="216"/>
    </row>
    <row r="285" spans="1:70" ht="24" customHeight="1" x14ac:dyDescent="0.2">
      <c r="A285" s="214"/>
      <c r="B285" s="214"/>
      <c r="C285" s="214"/>
      <c r="D285" s="214"/>
      <c r="E285" s="214"/>
      <c r="F285" s="214"/>
      <c r="G285" s="214"/>
      <c r="H285" s="214"/>
      <c r="I285" s="214"/>
      <c r="J285" s="214"/>
      <c r="K285" s="214"/>
      <c r="L285" s="214"/>
      <c r="M285" s="215"/>
      <c r="N285" s="215"/>
      <c r="O285" s="216"/>
      <c r="P285" s="216"/>
      <c r="Q285" s="216"/>
      <c r="R285" s="216"/>
      <c r="S285" s="216"/>
      <c r="T285" s="216"/>
      <c r="U285" s="216"/>
      <c r="V285" s="216"/>
      <c r="W285" s="216"/>
      <c r="X285" s="216"/>
      <c r="Y285" s="216"/>
      <c r="Z285" s="216"/>
      <c r="AA285" s="216"/>
      <c r="AB285" s="216"/>
      <c r="AC285" s="216"/>
      <c r="AD285" s="216"/>
      <c r="AE285" s="216"/>
      <c r="AF285" s="216"/>
      <c r="AG285" s="216"/>
      <c r="AH285" s="216"/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  <c r="BI285" s="216"/>
      <c r="BJ285" s="216"/>
      <c r="BK285" s="216"/>
      <c r="BL285" s="216"/>
      <c r="BM285" s="216"/>
      <c r="BN285" s="216"/>
      <c r="BO285" s="216"/>
      <c r="BP285" s="216"/>
      <c r="BQ285" s="216"/>
      <c r="BR285" s="216"/>
    </row>
    <row r="286" spans="1:70" ht="24" customHeight="1" x14ac:dyDescent="0.2">
      <c r="A286" s="214"/>
      <c r="B286" s="214"/>
      <c r="C286" s="214"/>
      <c r="D286" s="214"/>
      <c r="E286" s="214"/>
      <c r="F286" s="214"/>
      <c r="G286" s="214"/>
      <c r="H286" s="214"/>
      <c r="I286" s="214"/>
      <c r="J286" s="214"/>
      <c r="K286" s="214"/>
      <c r="L286" s="214"/>
      <c r="M286" s="215"/>
      <c r="N286" s="215"/>
      <c r="O286" s="216"/>
      <c r="P286" s="216"/>
      <c r="Q286" s="216"/>
      <c r="R286" s="216"/>
      <c r="S286" s="216"/>
      <c r="T286" s="216"/>
      <c r="U286" s="216"/>
      <c r="V286" s="216"/>
      <c r="W286" s="216"/>
      <c r="X286" s="216"/>
      <c r="Y286" s="216"/>
      <c r="Z286" s="216"/>
      <c r="AA286" s="216"/>
      <c r="AB286" s="216"/>
      <c r="AC286" s="216"/>
      <c r="AD286" s="216"/>
      <c r="AE286" s="216"/>
      <c r="AF286" s="216"/>
      <c r="AG286" s="216"/>
      <c r="AH286" s="216"/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  <c r="BI286" s="216"/>
      <c r="BJ286" s="216"/>
      <c r="BK286" s="216"/>
      <c r="BL286" s="216"/>
      <c r="BM286" s="216"/>
      <c r="BN286" s="216"/>
      <c r="BO286" s="216"/>
      <c r="BP286" s="216"/>
      <c r="BQ286" s="216"/>
      <c r="BR286" s="216"/>
    </row>
    <row r="287" spans="1:70" ht="24" customHeight="1" x14ac:dyDescent="0.2">
      <c r="A287" s="214"/>
      <c r="B287" s="214"/>
      <c r="C287" s="214"/>
      <c r="D287" s="214"/>
      <c r="E287" s="214"/>
      <c r="F287" s="214"/>
      <c r="G287" s="214"/>
      <c r="H287" s="214"/>
      <c r="I287" s="214"/>
      <c r="J287" s="214"/>
      <c r="K287" s="214"/>
      <c r="L287" s="214"/>
      <c r="M287" s="215"/>
      <c r="N287" s="215"/>
      <c r="O287" s="216"/>
      <c r="P287" s="216"/>
      <c r="Q287" s="216"/>
      <c r="R287" s="216"/>
      <c r="S287" s="216"/>
      <c r="T287" s="216"/>
      <c r="U287" s="216"/>
      <c r="V287" s="216"/>
      <c r="W287" s="216"/>
      <c r="X287" s="216"/>
      <c r="Y287" s="216"/>
      <c r="Z287" s="216"/>
      <c r="AA287" s="216"/>
      <c r="AB287" s="216"/>
      <c r="AC287" s="216"/>
      <c r="AD287" s="216"/>
      <c r="AE287" s="216"/>
      <c r="AF287" s="216"/>
      <c r="AG287" s="216"/>
      <c r="AH287" s="216"/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  <c r="BI287" s="216"/>
      <c r="BJ287" s="216"/>
      <c r="BK287" s="216"/>
      <c r="BL287" s="216"/>
      <c r="BM287" s="216"/>
      <c r="BN287" s="216"/>
      <c r="BO287" s="216"/>
      <c r="BP287" s="216"/>
      <c r="BQ287" s="216"/>
      <c r="BR287" s="216"/>
    </row>
    <row r="288" spans="1:70" ht="24" customHeight="1" x14ac:dyDescent="0.2">
      <c r="A288" s="214"/>
      <c r="B288" s="214"/>
      <c r="C288" s="214"/>
      <c r="D288" s="214"/>
      <c r="E288" s="214"/>
      <c r="F288" s="214"/>
      <c r="G288" s="214"/>
      <c r="H288" s="214"/>
      <c r="I288" s="214"/>
      <c r="J288" s="214"/>
      <c r="K288" s="214"/>
      <c r="L288" s="214"/>
      <c r="M288" s="215"/>
      <c r="N288" s="215"/>
      <c r="O288" s="216"/>
      <c r="P288" s="216"/>
      <c r="Q288" s="216"/>
      <c r="R288" s="216"/>
      <c r="S288" s="216"/>
      <c r="T288" s="216"/>
      <c r="U288" s="216"/>
      <c r="V288" s="216"/>
      <c r="W288" s="216"/>
      <c r="X288" s="216"/>
      <c r="Y288" s="216"/>
      <c r="Z288" s="216"/>
      <c r="AA288" s="216"/>
      <c r="AB288" s="216"/>
      <c r="AC288" s="216"/>
      <c r="AD288" s="216"/>
      <c r="AE288" s="216"/>
      <c r="AF288" s="216"/>
      <c r="AG288" s="216"/>
      <c r="AH288" s="216"/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  <c r="BI288" s="216"/>
      <c r="BJ288" s="216"/>
      <c r="BK288" s="216"/>
      <c r="BL288" s="216"/>
      <c r="BM288" s="216"/>
      <c r="BN288" s="216"/>
      <c r="BO288" s="216"/>
      <c r="BP288" s="216"/>
      <c r="BQ288" s="216"/>
      <c r="BR288" s="216"/>
    </row>
    <row r="289" spans="1:70" ht="24" customHeight="1" x14ac:dyDescent="0.2">
      <c r="A289" s="214"/>
      <c r="B289" s="214"/>
      <c r="C289" s="214"/>
      <c r="D289" s="214"/>
      <c r="E289" s="214"/>
      <c r="F289" s="214"/>
      <c r="G289" s="214"/>
      <c r="H289" s="214"/>
      <c r="I289" s="214"/>
      <c r="J289" s="214"/>
      <c r="K289" s="214"/>
      <c r="L289" s="214"/>
      <c r="M289" s="215"/>
      <c r="N289" s="215"/>
      <c r="O289" s="216"/>
      <c r="P289" s="216"/>
      <c r="Q289" s="216"/>
      <c r="R289" s="216"/>
      <c r="S289" s="216"/>
      <c r="T289" s="216"/>
      <c r="U289" s="216"/>
      <c r="V289" s="216"/>
      <c r="W289" s="216"/>
      <c r="X289" s="216"/>
      <c r="Y289" s="216"/>
      <c r="Z289" s="216"/>
      <c r="AA289" s="216"/>
      <c r="AB289" s="216"/>
      <c r="AC289" s="216"/>
      <c r="AD289" s="216"/>
      <c r="AE289" s="216"/>
      <c r="AF289" s="216"/>
      <c r="AG289" s="216"/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  <c r="BI289" s="216"/>
      <c r="BJ289" s="216"/>
      <c r="BK289" s="216"/>
      <c r="BL289" s="216"/>
      <c r="BM289" s="216"/>
      <c r="BN289" s="216"/>
      <c r="BO289" s="216"/>
      <c r="BP289" s="216"/>
      <c r="BQ289" s="216"/>
      <c r="BR289" s="216"/>
    </row>
    <row r="290" spans="1:70" ht="24" customHeight="1" x14ac:dyDescent="0.2">
      <c r="A290" s="214"/>
      <c r="B290" s="214"/>
      <c r="C290" s="214"/>
      <c r="D290" s="214"/>
      <c r="E290" s="214"/>
      <c r="F290" s="214"/>
      <c r="G290" s="214"/>
      <c r="H290" s="214"/>
      <c r="I290" s="214"/>
      <c r="J290" s="214"/>
      <c r="K290" s="214"/>
      <c r="L290" s="214"/>
      <c r="M290" s="215"/>
      <c r="N290" s="215"/>
      <c r="O290" s="216"/>
      <c r="P290" s="216"/>
      <c r="Q290" s="216"/>
      <c r="R290" s="216"/>
      <c r="S290" s="216"/>
      <c r="T290" s="216"/>
      <c r="U290" s="216"/>
      <c r="V290" s="216"/>
      <c r="W290" s="216"/>
      <c r="X290" s="216"/>
      <c r="Y290" s="216"/>
      <c r="Z290" s="216"/>
      <c r="AA290" s="216"/>
      <c r="AB290" s="216"/>
      <c r="AC290" s="216"/>
      <c r="AD290" s="216"/>
      <c r="AE290" s="216"/>
      <c r="AF290" s="216"/>
      <c r="AG290" s="216"/>
      <c r="AH290" s="216"/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  <c r="BI290" s="216"/>
      <c r="BJ290" s="216"/>
      <c r="BK290" s="216"/>
      <c r="BL290" s="216"/>
      <c r="BM290" s="216"/>
      <c r="BN290" s="216"/>
      <c r="BO290" s="216"/>
      <c r="BP290" s="216"/>
      <c r="BQ290" s="216"/>
      <c r="BR290" s="216"/>
    </row>
    <row r="291" spans="1:70" ht="24" customHeight="1" x14ac:dyDescent="0.2">
      <c r="A291" s="214"/>
      <c r="B291" s="214"/>
      <c r="C291" s="214"/>
      <c r="D291" s="214"/>
      <c r="E291" s="214"/>
      <c r="F291" s="214"/>
      <c r="G291" s="214"/>
      <c r="H291" s="214"/>
      <c r="I291" s="214"/>
      <c r="J291" s="214"/>
      <c r="K291" s="214"/>
      <c r="L291" s="214"/>
      <c r="M291" s="215"/>
      <c r="N291" s="215"/>
      <c r="O291" s="216"/>
      <c r="P291" s="216"/>
      <c r="Q291" s="216"/>
      <c r="R291" s="216"/>
      <c r="S291" s="216"/>
      <c r="T291" s="216"/>
      <c r="U291" s="216"/>
      <c r="V291" s="216"/>
      <c r="W291" s="216"/>
      <c r="X291" s="216"/>
      <c r="Y291" s="216"/>
      <c r="Z291" s="216"/>
      <c r="AA291" s="216"/>
      <c r="AB291" s="216"/>
      <c r="AC291" s="216"/>
      <c r="AD291" s="216"/>
      <c r="AE291" s="216"/>
      <c r="AF291" s="216"/>
      <c r="AG291" s="216"/>
      <c r="AH291" s="216"/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  <c r="BI291" s="216"/>
      <c r="BJ291" s="216"/>
      <c r="BK291" s="216"/>
      <c r="BL291" s="216"/>
      <c r="BM291" s="216"/>
      <c r="BN291" s="216"/>
      <c r="BO291" s="216"/>
      <c r="BP291" s="216"/>
      <c r="BQ291" s="216"/>
      <c r="BR291" s="216"/>
    </row>
    <row r="292" spans="1:70" ht="24" customHeight="1" x14ac:dyDescent="0.2">
      <c r="A292" s="214"/>
      <c r="B292" s="214"/>
      <c r="C292" s="214"/>
      <c r="D292" s="214"/>
      <c r="E292" s="214"/>
      <c r="F292" s="214"/>
      <c r="G292" s="214"/>
      <c r="H292" s="214"/>
      <c r="I292" s="214"/>
      <c r="J292" s="214"/>
      <c r="K292" s="214"/>
      <c r="L292" s="214"/>
      <c r="M292" s="215"/>
      <c r="N292" s="215"/>
      <c r="O292" s="216"/>
      <c r="P292" s="216"/>
      <c r="Q292" s="216"/>
      <c r="R292" s="216"/>
      <c r="S292" s="216"/>
      <c r="T292" s="216"/>
      <c r="U292" s="216"/>
      <c r="V292" s="216"/>
      <c r="W292" s="216"/>
      <c r="X292" s="216"/>
      <c r="Y292" s="216"/>
      <c r="Z292" s="216"/>
      <c r="AA292" s="216"/>
      <c r="AB292" s="216"/>
      <c r="AC292" s="216"/>
      <c r="AD292" s="216"/>
      <c r="AE292" s="216"/>
      <c r="AF292" s="216"/>
      <c r="AG292" s="216"/>
      <c r="AH292" s="216"/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  <c r="AZ292" s="216"/>
      <c r="BA292" s="216"/>
      <c r="BB292" s="216"/>
      <c r="BC292" s="216"/>
      <c r="BD292" s="216"/>
      <c r="BE292" s="216"/>
      <c r="BF292" s="216"/>
      <c r="BG292" s="216"/>
      <c r="BH292" s="216"/>
      <c r="BI292" s="216"/>
      <c r="BJ292" s="216"/>
      <c r="BK292" s="216"/>
      <c r="BL292" s="216"/>
      <c r="BM292" s="216"/>
      <c r="BN292" s="216"/>
      <c r="BO292" s="216"/>
      <c r="BP292" s="216"/>
      <c r="BQ292" s="216"/>
      <c r="BR292" s="216"/>
    </row>
    <row r="293" spans="1:70" ht="24" customHeight="1" x14ac:dyDescent="0.2">
      <c r="A293" s="214"/>
      <c r="B293" s="214"/>
      <c r="C293" s="214"/>
      <c r="D293" s="214"/>
      <c r="E293" s="214"/>
      <c r="F293" s="214"/>
      <c r="G293" s="214"/>
      <c r="H293" s="214"/>
      <c r="I293" s="214"/>
      <c r="J293" s="214"/>
      <c r="K293" s="214"/>
      <c r="L293" s="214"/>
      <c r="M293" s="215"/>
      <c r="N293" s="215"/>
      <c r="O293" s="216"/>
      <c r="P293" s="216"/>
      <c r="Q293" s="216"/>
      <c r="R293" s="216"/>
      <c r="S293" s="216"/>
      <c r="T293" s="216"/>
      <c r="U293" s="216"/>
      <c r="V293" s="216"/>
      <c r="W293" s="216"/>
      <c r="X293" s="216"/>
      <c r="Y293" s="216"/>
      <c r="Z293" s="216"/>
      <c r="AA293" s="216"/>
      <c r="AB293" s="216"/>
      <c r="AC293" s="216"/>
      <c r="AD293" s="216"/>
      <c r="AE293" s="216"/>
      <c r="AF293" s="216"/>
      <c r="AG293" s="216"/>
      <c r="AH293" s="216"/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  <c r="BI293" s="216"/>
      <c r="BJ293" s="216"/>
      <c r="BK293" s="216"/>
      <c r="BL293" s="216"/>
      <c r="BM293" s="216"/>
      <c r="BN293" s="216"/>
      <c r="BO293" s="216"/>
      <c r="BP293" s="216"/>
      <c r="BQ293" s="216"/>
      <c r="BR293" s="216"/>
    </row>
    <row r="294" spans="1:70" ht="24" customHeight="1" x14ac:dyDescent="0.2">
      <c r="A294" s="214"/>
      <c r="B294" s="214"/>
      <c r="C294" s="214"/>
      <c r="D294" s="214"/>
      <c r="E294" s="214"/>
      <c r="F294" s="214"/>
      <c r="G294" s="214"/>
      <c r="H294" s="214"/>
      <c r="I294" s="214"/>
      <c r="J294" s="214"/>
      <c r="K294" s="214"/>
      <c r="L294" s="214"/>
      <c r="M294" s="215"/>
      <c r="N294" s="215"/>
      <c r="O294" s="216"/>
      <c r="P294" s="216"/>
      <c r="Q294" s="216"/>
      <c r="R294" s="216"/>
      <c r="S294" s="216"/>
      <c r="T294" s="216"/>
      <c r="U294" s="216"/>
      <c r="V294" s="216"/>
      <c r="W294" s="216"/>
      <c r="X294" s="216"/>
      <c r="Y294" s="216"/>
      <c r="Z294" s="216"/>
      <c r="AA294" s="216"/>
      <c r="AB294" s="216"/>
      <c r="AC294" s="216"/>
      <c r="AD294" s="216"/>
      <c r="AE294" s="216"/>
      <c r="AF294" s="216"/>
      <c r="AG294" s="216"/>
      <c r="AH294" s="216"/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  <c r="BI294" s="216"/>
      <c r="BJ294" s="216"/>
      <c r="BK294" s="216"/>
      <c r="BL294" s="216"/>
      <c r="BM294" s="216"/>
      <c r="BN294" s="216"/>
      <c r="BO294" s="216"/>
      <c r="BP294" s="216"/>
      <c r="BQ294" s="216"/>
      <c r="BR294" s="216"/>
    </row>
    <row r="295" spans="1:70" ht="24" customHeight="1" x14ac:dyDescent="0.2">
      <c r="A295" s="214"/>
      <c r="B295" s="214"/>
      <c r="C295" s="214"/>
      <c r="D295" s="214"/>
      <c r="E295" s="214"/>
      <c r="F295" s="214"/>
      <c r="G295" s="214"/>
      <c r="H295" s="214"/>
      <c r="I295" s="214"/>
      <c r="J295" s="214"/>
      <c r="K295" s="214"/>
      <c r="L295" s="214"/>
      <c r="M295" s="215"/>
      <c r="N295" s="215"/>
      <c r="O295" s="216"/>
      <c r="P295" s="216"/>
      <c r="Q295" s="216"/>
      <c r="R295" s="216"/>
      <c r="S295" s="216"/>
      <c r="T295" s="216"/>
      <c r="U295" s="216"/>
      <c r="V295" s="216"/>
      <c r="W295" s="216"/>
      <c r="X295" s="216"/>
      <c r="Y295" s="216"/>
      <c r="Z295" s="216"/>
      <c r="AA295" s="216"/>
      <c r="AB295" s="216"/>
      <c r="AC295" s="216"/>
      <c r="AD295" s="216"/>
      <c r="AE295" s="216"/>
      <c r="AF295" s="216"/>
      <c r="AG295" s="216"/>
      <c r="AH295" s="216"/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  <c r="BI295" s="216"/>
      <c r="BJ295" s="216"/>
      <c r="BK295" s="216"/>
      <c r="BL295" s="216"/>
      <c r="BM295" s="216"/>
      <c r="BN295" s="216"/>
      <c r="BO295" s="216"/>
      <c r="BP295" s="216"/>
      <c r="BQ295" s="216"/>
      <c r="BR295" s="216"/>
    </row>
    <row r="296" spans="1:70" ht="24" customHeight="1" x14ac:dyDescent="0.2">
      <c r="A296" s="214"/>
      <c r="B296" s="214"/>
      <c r="C296" s="214"/>
      <c r="D296" s="214"/>
      <c r="E296" s="214"/>
      <c r="F296" s="214"/>
      <c r="G296" s="214"/>
      <c r="H296" s="214"/>
      <c r="I296" s="214"/>
      <c r="J296" s="214"/>
      <c r="K296" s="214"/>
      <c r="L296" s="214"/>
      <c r="M296" s="215"/>
      <c r="N296" s="215"/>
      <c r="O296" s="216"/>
      <c r="P296" s="216"/>
      <c r="Q296" s="216"/>
      <c r="R296" s="216"/>
      <c r="S296" s="216"/>
      <c r="T296" s="216"/>
      <c r="U296" s="216"/>
      <c r="V296" s="216"/>
      <c r="W296" s="216"/>
      <c r="X296" s="216"/>
      <c r="Y296" s="216"/>
      <c r="Z296" s="216"/>
      <c r="AA296" s="216"/>
      <c r="AB296" s="216"/>
      <c r="AC296" s="216"/>
      <c r="AD296" s="216"/>
      <c r="AE296" s="216"/>
      <c r="AF296" s="216"/>
      <c r="AG296" s="216"/>
      <c r="AH296" s="216"/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  <c r="BI296" s="216"/>
      <c r="BJ296" s="216"/>
      <c r="BK296" s="216"/>
      <c r="BL296" s="216"/>
      <c r="BM296" s="216"/>
      <c r="BN296" s="216"/>
      <c r="BO296" s="216"/>
      <c r="BP296" s="216"/>
      <c r="BQ296" s="216"/>
      <c r="BR296" s="216"/>
    </row>
    <row r="297" spans="1:70" ht="24" customHeight="1" x14ac:dyDescent="0.2">
      <c r="A297" s="214"/>
      <c r="B297" s="214"/>
      <c r="C297" s="214"/>
      <c r="D297" s="214"/>
      <c r="E297" s="214"/>
      <c r="F297" s="214"/>
      <c r="G297" s="214"/>
      <c r="H297" s="214"/>
      <c r="I297" s="214"/>
      <c r="J297" s="214"/>
      <c r="K297" s="214"/>
      <c r="L297" s="214"/>
      <c r="M297" s="215"/>
      <c r="N297" s="215"/>
      <c r="O297" s="216"/>
      <c r="P297" s="216"/>
      <c r="Q297" s="216"/>
      <c r="R297" s="216"/>
      <c r="S297" s="216"/>
      <c r="T297" s="216"/>
      <c r="U297" s="216"/>
      <c r="V297" s="216"/>
      <c r="W297" s="216"/>
      <c r="X297" s="216"/>
      <c r="Y297" s="216"/>
      <c r="Z297" s="216"/>
      <c r="AA297" s="216"/>
      <c r="AB297" s="216"/>
      <c r="AC297" s="216"/>
      <c r="AD297" s="216"/>
      <c r="AE297" s="216"/>
      <c r="AF297" s="216"/>
      <c r="AG297" s="216"/>
      <c r="AH297" s="216"/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  <c r="BI297" s="216"/>
      <c r="BJ297" s="216"/>
      <c r="BK297" s="216"/>
      <c r="BL297" s="216"/>
      <c r="BM297" s="216"/>
      <c r="BN297" s="216"/>
      <c r="BO297" s="216"/>
      <c r="BP297" s="216"/>
      <c r="BQ297" s="216"/>
      <c r="BR297" s="216"/>
    </row>
    <row r="298" spans="1:70" ht="24" customHeight="1" x14ac:dyDescent="0.2">
      <c r="A298" s="214"/>
      <c r="B298" s="214"/>
      <c r="C298" s="214"/>
      <c r="D298" s="214"/>
      <c r="E298" s="214"/>
      <c r="F298" s="214"/>
      <c r="G298" s="214"/>
      <c r="H298" s="214"/>
      <c r="I298" s="214"/>
      <c r="J298" s="214"/>
      <c r="K298" s="214"/>
      <c r="L298" s="214"/>
      <c r="M298" s="215"/>
      <c r="N298" s="215"/>
      <c r="O298" s="216"/>
      <c r="P298" s="216"/>
      <c r="Q298" s="216"/>
      <c r="R298" s="216"/>
      <c r="S298" s="216"/>
      <c r="T298" s="216"/>
      <c r="U298" s="216"/>
      <c r="V298" s="216"/>
      <c r="W298" s="216"/>
      <c r="X298" s="216"/>
      <c r="Y298" s="216"/>
      <c r="Z298" s="216"/>
      <c r="AA298" s="216"/>
      <c r="AB298" s="216"/>
      <c r="AC298" s="216"/>
      <c r="AD298" s="216"/>
      <c r="AE298" s="216"/>
      <c r="AF298" s="216"/>
      <c r="AG298" s="216"/>
      <c r="AH298" s="216"/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  <c r="AZ298" s="216"/>
      <c r="BA298" s="216"/>
      <c r="BB298" s="216"/>
      <c r="BC298" s="216"/>
      <c r="BD298" s="216"/>
      <c r="BE298" s="216"/>
      <c r="BF298" s="216"/>
      <c r="BG298" s="216"/>
      <c r="BH298" s="216"/>
      <c r="BI298" s="216"/>
      <c r="BJ298" s="216"/>
      <c r="BK298" s="216"/>
      <c r="BL298" s="216"/>
      <c r="BM298" s="216"/>
      <c r="BN298" s="216"/>
      <c r="BO298" s="216"/>
      <c r="BP298" s="216"/>
      <c r="BQ298" s="216"/>
      <c r="BR298" s="216"/>
    </row>
    <row r="299" spans="1:70" ht="24" customHeight="1" x14ac:dyDescent="0.2">
      <c r="A299" s="214"/>
      <c r="B299" s="214"/>
      <c r="C299" s="214"/>
      <c r="D299" s="214"/>
      <c r="E299" s="214"/>
      <c r="F299" s="214"/>
      <c r="G299" s="214"/>
      <c r="H299" s="214"/>
      <c r="I299" s="214"/>
      <c r="J299" s="214"/>
      <c r="K299" s="214"/>
      <c r="L299" s="214"/>
      <c r="M299" s="215"/>
      <c r="N299" s="215"/>
      <c r="O299" s="216"/>
      <c r="P299" s="216"/>
      <c r="Q299" s="216"/>
      <c r="R299" s="216"/>
      <c r="S299" s="216"/>
      <c r="T299" s="216"/>
      <c r="U299" s="216"/>
      <c r="V299" s="216"/>
      <c r="W299" s="216"/>
      <c r="X299" s="216"/>
      <c r="Y299" s="216"/>
      <c r="Z299" s="216"/>
      <c r="AA299" s="216"/>
      <c r="AB299" s="216"/>
      <c r="AC299" s="216"/>
      <c r="AD299" s="216"/>
      <c r="AE299" s="216"/>
      <c r="AF299" s="216"/>
      <c r="AG299" s="216"/>
      <c r="AH299" s="216"/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  <c r="BI299" s="216"/>
      <c r="BJ299" s="216"/>
      <c r="BK299" s="216"/>
      <c r="BL299" s="216"/>
      <c r="BM299" s="216"/>
      <c r="BN299" s="216"/>
      <c r="BO299" s="216"/>
      <c r="BP299" s="216"/>
      <c r="BQ299" s="216"/>
      <c r="BR299" s="216"/>
    </row>
    <row r="300" spans="1:70" ht="24" customHeight="1" x14ac:dyDescent="0.2">
      <c r="A300" s="214"/>
      <c r="B300" s="214"/>
      <c r="C300" s="214"/>
      <c r="D300" s="214"/>
      <c r="E300" s="214"/>
      <c r="F300" s="214"/>
      <c r="G300" s="214"/>
      <c r="H300" s="214"/>
      <c r="I300" s="214"/>
      <c r="J300" s="214"/>
      <c r="K300" s="214"/>
      <c r="L300" s="214"/>
      <c r="M300" s="215"/>
      <c r="N300" s="215"/>
      <c r="O300" s="216"/>
      <c r="P300" s="216"/>
      <c r="Q300" s="216"/>
      <c r="R300" s="216"/>
      <c r="S300" s="216"/>
      <c r="T300" s="216"/>
      <c r="U300" s="216"/>
      <c r="V300" s="216"/>
      <c r="W300" s="216"/>
      <c r="X300" s="216"/>
      <c r="Y300" s="216"/>
      <c r="Z300" s="216"/>
      <c r="AA300" s="216"/>
      <c r="AB300" s="216"/>
      <c r="AC300" s="216"/>
      <c r="AD300" s="216"/>
      <c r="AE300" s="216"/>
      <c r="AF300" s="216"/>
      <c r="AG300" s="216"/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  <c r="BI300" s="216"/>
      <c r="BJ300" s="216"/>
      <c r="BK300" s="216"/>
      <c r="BL300" s="216"/>
      <c r="BM300" s="216"/>
      <c r="BN300" s="216"/>
      <c r="BO300" s="216"/>
      <c r="BP300" s="216"/>
      <c r="BQ300" s="216"/>
      <c r="BR300" s="216"/>
    </row>
    <row r="301" spans="1:70" ht="24" customHeight="1" x14ac:dyDescent="0.2">
      <c r="A301" s="214"/>
      <c r="B301" s="214"/>
      <c r="C301" s="214"/>
      <c r="D301" s="214"/>
      <c r="E301" s="214"/>
      <c r="F301" s="214"/>
      <c r="G301" s="214"/>
      <c r="H301" s="214"/>
      <c r="I301" s="214"/>
      <c r="J301" s="214"/>
      <c r="K301" s="214"/>
      <c r="L301" s="214"/>
      <c r="M301" s="215"/>
      <c r="N301" s="215"/>
      <c r="O301" s="216"/>
      <c r="P301" s="216"/>
      <c r="Q301" s="216"/>
      <c r="R301" s="216"/>
      <c r="S301" s="216"/>
      <c r="T301" s="216"/>
      <c r="U301" s="216"/>
      <c r="V301" s="216"/>
      <c r="W301" s="216"/>
      <c r="X301" s="216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  <c r="BI301" s="216"/>
      <c r="BJ301" s="216"/>
      <c r="BK301" s="216"/>
      <c r="BL301" s="216"/>
      <c r="BM301" s="216"/>
      <c r="BN301" s="216"/>
      <c r="BO301" s="216"/>
      <c r="BP301" s="216"/>
      <c r="BQ301" s="216"/>
      <c r="BR301" s="216"/>
    </row>
    <row r="302" spans="1:70" ht="24" customHeight="1" x14ac:dyDescent="0.2">
      <c r="A302" s="214"/>
      <c r="B302" s="214"/>
      <c r="C302" s="214"/>
      <c r="D302" s="214"/>
      <c r="E302" s="214"/>
      <c r="F302" s="214"/>
      <c r="G302" s="214"/>
      <c r="H302" s="214"/>
      <c r="I302" s="214"/>
      <c r="J302" s="214"/>
      <c r="K302" s="214"/>
      <c r="L302" s="214"/>
      <c r="M302" s="215"/>
      <c r="N302" s="215"/>
      <c r="O302" s="216"/>
      <c r="P302" s="216"/>
      <c r="Q302" s="216"/>
      <c r="R302" s="216"/>
      <c r="S302" s="216"/>
      <c r="T302" s="216"/>
      <c r="U302" s="216"/>
      <c r="V302" s="216"/>
      <c r="W302" s="216"/>
      <c r="X302" s="216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  <c r="BI302" s="216"/>
      <c r="BJ302" s="216"/>
      <c r="BK302" s="216"/>
      <c r="BL302" s="216"/>
      <c r="BM302" s="216"/>
      <c r="BN302" s="216"/>
      <c r="BO302" s="216"/>
      <c r="BP302" s="216"/>
      <c r="BQ302" s="216"/>
      <c r="BR302" s="216"/>
    </row>
    <row r="303" spans="1:70" ht="24" customHeight="1" x14ac:dyDescent="0.2">
      <c r="A303" s="214"/>
      <c r="B303" s="214"/>
      <c r="C303" s="214"/>
      <c r="D303" s="214"/>
      <c r="E303" s="214"/>
      <c r="F303" s="214"/>
      <c r="G303" s="214"/>
      <c r="H303" s="214"/>
      <c r="I303" s="214"/>
      <c r="J303" s="214"/>
      <c r="K303" s="214"/>
      <c r="L303" s="214"/>
      <c r="M303" s="215"/>
      <c r="N303" s="215"/>
      <c r="O303" s="216"/>
      <c r="P303" s="216"/>
      <c r="Q303" s="216"/>
      <c r="R303" s="216"/>
      <c r="S303" s="216"/>
      <c r="T303" s="216"/>
      <c r="U303" s="216"/>
      <c r="V303" s="216"/>
      <c r="W303" s="216"/>
      <c r="X303" s="216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16"/>
      <c r="AN303" s="216"/>
      <c r="AO303" s="216"/>
      <c r="AP303" s="216"/>
      <c r="AQ303" s="216"/>
      <c r="AR303" s="216"/>
      <c r="AS303" s="216"/>
      <c r="AT303" s="216"/>
      <c r="AU303" s="216"/>
      <c r="AV303" s="216"/>
      <c r="AW303" s="216"/>
      <c r="AX303" s="216"/>
      <c r="AY303" s="216"/>
      <c r="AZ303" s="216"/>
      <c r="BA303" s="216"/>
      <c r="BB303" s="216"/>
      <c r="BC303" s="216"/>
      <c r="BD303" s="216"/>
      <c r="BE303" s="216"/>
      <c r="BF303" s="216"/>
      <c r="BG303" s="216"/>
      <c r="BH303" s="216"/>
      <c r="BI303" s="216"/>
      <c r="BJ303" s="216"/>
      <c r="BK303" s="216"/>
      <c r="BL303" s="216"/>
      <c r="BM303" s="216"/>
      <c r="BN303" s="216"/>
      <c r="BO303" s="216"/>
      <c r="BP303" s="216"/>
      <c r="BQ303" s="216"/>
      <c r="BR303" s="216"/>
    </row>
    <row r="304" spans="1:70" ht="24" customHeight="1" x14ac:dyDescent="0.2">
      <c r="A304" s="214"/>
      <c r="B304" s="214"/>
      <c r="C304" s="214"/>
      <c r="D304" s="214"/>
      <c r="E304" s="214"/>
      <c r="F304" s="214"/>
      <c r="G304" s="214"/>
      <c r="H304" s="214"/>
      <c r="I304" s="214"/>
      <c r="J304" s="214"/>
      <c r="K304" s="214"/>
      <c r="L304" s="214"/>
      <c r="M304" s="215"/>
      <c r="N304" s="215"/>
      <c r="O304" s="216"/>
      <c r="P304" s="216"/>
      <c r="Q304" s="216"/>
      <c r="R304" s="216"/>
      <c r="S304" s="216"/>
      <c r="T304" s="216"/>
      <c r="U304" s="216"/>
      <c r="V304" s="216"/>
      <c r="W304" s="216"/>
      <c r="X304" s="216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  <c r="BI304" s="216"/>
      <c r="BJ304" s="216"/>
      <c r="BK304" s="216"/>
      <c r="BL304" s="216"/>
      <c r="BM304" s="216"/>
      <c r="BN304" s="216"/>
      <c r="BO304" s="216"/>
      <c r="BP304" s="216"/>
      <c r="BQ304" s="216"/>
      <c r="BR304" s="216"/>
    </row>
    <row r="305" spans="1:70" ht="24" customHeight="1" x14ac:dyDescent="0.2">
      <c r="A305" s="214"/>
      <c r="B305" s="214"/>
      <c r="C305" s="214"/>
      <c r="D305" s="214"/>
      <c r="E305" s="214"/>
      <c r="F305" s="214"/>
      <c r="G305" s="214"/>
      <c r="H305" s="214"/>
      <c r="I305" s="214"/>
      <c r="J305" s="214"/>
      <c r="K305" s="214"/>
      <c r="L305" s="214"/>
      <c r="M305" s="215"/>
      <c r="N305" s="215"/>
      <c r="O305" s="216"/>
      <c r="P305" s="216"/>
      <c r="Q305" s="216"/>
      <c r="R305" s="216"/>
      <c r="S305" s="216"/>
      <c r="T305" s="216"/>
      <c r="U305" s="216"/>
      <c r="V305" s="216"/>
      <c r="W305" s="216"/>
      <c r="X305" s="216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  <c r="AZ305" s="216"/>
      <c r="BA305" s="216"/>
      <c r="BB305" s="216"/>
      <c r="BC305" s="216"/>
      <c r="BD305" s="216"/>
      <c r="BE305" s="216"/>
      <c r="BF305" s="216"/>
      <c r="BG305" s="216"/>
      <c r="BH305" s="216"/>
      <c r="BI305" s="216"/>
      <c r="BJ305" s="216"/>
      <c r="BK305" s="216"/>
      <c r="BL305" s="216"/>
      <c r="BM305" s="216"/>
      <c r="BN305" s="216"/>
      <c r="BO305" s="216"/>
      <c r="BP305" s="216"/>
      <c r="BQ305" s="216"/>
      <c r="BR305" s="216"/>
    </row>
    <row r="306" spans="1:70" ht="24" customHeight="1" x14ac:dyDescent="0.2">
      <c r="A306" s="214"/>
      <c r="B306" s="214"/>
      <c r="C306" s="214"/>
      <c r="D306" s="214"/>
      <c r="E306" s="214"/>
      <c r="F306" s="214"/>
      <c r="G306" s="214"/>
      <c r="H306" s="214"/>
      <c r="I306" s="214"/>
      <c r="J306" s="214"/>
      <c r="K306" s="214"/>
      <c r="L306" s="214"/>
      <c r="M306" s="215"/>
      <c r="N306" s="215"/>
      <c r="O306" s="216"/>
      <c r="P306" s="216"/>
      <c r="Q306" s="216"/>
      <c r="R306" s="216"/>
      <c r="S306" s="216"/>
      <c r="T306" s="216"/>
      <c r="U306" s="216"/>
      <c r="V306" s="216"/>
      <c r="W306" s="216"/>
      <c r="X306" s="216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  <c r="AZ306" s="216"/>
      <c r="BA306" s="216"/>
      <c r="BB306" s="216"/>
      <c r="BC306" s="216"/>
      <c r="BD306" s="216"/>
      <c r="BE306" s="216"/>
      <c r="BF306" s="216"/>
      <c r="BG306" s="216"/>
      <c r="BH306" s="216"/>
      <c r="BI306" s="216"/>
      <c r="BJ306" s="216"/>
      <c r="BK306" s="216"/>
      <c r="BL306" s="216"/>
      <c r="BM306" s="216"/>
      <c r="BN306" s="216"/>
      <c r="BO306" s="216"/>
      <c r="BP306" s="216"/>
      <c r="BQ306" s="216"/>
      <c r="BR306" s="216"/>
    </row>
    <row r="307" spans="1:70" ht="24" customHeight="1" x14ac:dyDescent="0.2">
      <c r="A307" s="214"/>
      <c r="B307" s="214"/>
      <c r="C307" s="214"/>
      <c r="D307" s="214"/>
      <c r="E307" s="214"/>
      <c r="F307" s="214"/>
      <c r="G307" s="214"/>
      <c r="H307" s="214"/>
      <c r="I307" s="214"/>
      <c r="J307" s="214"/>
      <c r="K307" s="214"/>
      <c r="L307" s="214"/>
      <c r="M307" s="215"/>
      <c r="N307" s="215"/>
      <c r="O307" s="216"/>
      <c r="P307" s="216"/>
      <c r="Q307" s="216"/>
      <c r="R307" s="216"/>
      <c r="S307" s="216"/>
      <c r="T307" s="216"/>
      <c r="U307" s="216"/>
      <c r="V307" s="216"/>
      <c r="W307" s="216"/>
      <c r="X307" s="216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  <c r="BI307" s="216"/>
      <c r="BJ307" s="216"/>
      <c r="BK307" s="216"/>
      <c r="BL307" s="216"/>
      <c r="BM307" s="216"/>
      <c r="BN307" s="216"/>
      <c r="BO307" s="216"/>
      <c r="BP307" s="216"/>
      <c r="BQ307" s="216"/>
      <c r="BR307" s="216"/>
    </row>
    <row r="308" spans="1:70" ht="24" customHeight="1" x14ac:dyDescent="0.2">
      <c r="A308" s="214"/>
      <c r="B308" s="214"/>
      <c r="C308" s="214"/>
      <c r="D308" s="214"/>
      <c r="E308" s="214"/>
      <c r="F308" s="214"/>
      <c r="G308" s="214"/>
      <c r="H308" s="214"/>
      <c r="I308" s="214"/>
      <c r="J308" s="214"/>
      <c r="K308" s="214"/>
      <c r="L308" s="214"/>
      <c r="M308" s="215"/>
      <c r="N308" s="215"/>
      <c r="O308" s="216"/>
      <c r="P308" s="216"/>
      <c r="Q308" s="216"/>
      <c r="R308" s="216"/>
      <c r="S308" s="216"/>
      <c r="T308" s="216"/>
      <c r="U308" s="216"/>
      <c r="V308" s="216"/>
      <c r="W308" s="216"/>
      <c r="X308" s="216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  <c r="BI308" s="216"/>
      <c r="BJ308" s="216"/>
      <c r="BK308" s="216"/>
      <c r="BL308" s="216"/>
      <c r="BM308" s="216"/>
      <c r="BN308" s="216"/>
      <c r="BO308" s="216"/>
      <c r="BP308" s="216"/>
      <c r="BQ308" s="216"/>
      <c r="BR308" s="216"/>
    </row>
    <row r="309" spans="1:70" ht="24" customHeight="1" x14ac:dyDescent="0.2">
      <c r="A309" s="214"/>
      <c r="B309" s="214"/>
      <c r="C309" s="214"/>
      <c r="D309" s="214"/>
      <c r="E309" s="214"/>
      <c r="F309" s="214"/>
      <c r="G309" s="214"/>
      <c r="H309" s="214"/>
      <c r="I309" s="214"/>
      <c r="J309" s="214"/>
      <c r="K309" s="214"/>
      <c r="L309" s="214"/>
      <c r="M309" s="215"/>
      <c r="N309" s="215"/>
      <c r="O309" s="216"/>
      <c r="P309" s="216"/>
      <c r="Q309" s="216"/>
      <c r="R309" s="216"/>
      <c r="S309" s="216"/>
      <c r="T309" s="216"/>
      <c r="U309" s="216"/>
      <c r="V309" s="216"/>
      <c r="W309" s="216"/>
      <c r="X309" s="216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  <c r="AZ309" s="216"/>
      <c r="BA309" s="216"/>
      <c r="BB309" s="216"/>
      <c r="BC309" s="216"/>
      <c r="BD309" s="216"/>
      <c r="BE309" s="216"/>
      <c r="BF309" s="216"/>
      <c r="BG309" s="216"/>
      <c r="BH309" s="216"/>
      <c r="BI309" s="216"/>
      <c r="BJ309" s="216"/>
      <c r="BK309" s="216"/>
      <c r="BL309" s="216"/>
      <c r="BM309" s="216"/>
      <c r="BN309" s="216"/>
      <c r="BO309" s="216"/>
      <c r="BP309" s="216"/>
      <c r="BQ309" s="216"/>
      <c r="BR309" s="216"/>
    </row>
    <row r="310" spans="1:70" ht="24" customHeight="1" x14ac:dyDescent="0.2">
      <c r="A310" s="214"/>
      <c r="B310" s="214"/>
      <c r="C310" s="214"/>
      <c r="D310" s="214"/>
      <c r="E310" s="214"/>
      <c r="F310" s="214"/>
      <c r="G310" s="214"/>
      <c r="H310" s="214"/>
      <c r="I310" s="214"/>
      <c r="J310" s="214"/>
      <c r="K310" s="214"/>
      <c r="L310" s="214"/>
      <c r="M310" s="215"/>
      <c r="N310" s="215"/>
      <c r="O310" s="216"/>
      <c r="P310" s="216"/>
      <c r="Q310" s="216"/>
      <c r="R310" s="216"/>
      <c r="S310" s="216"/>
      <c r="T310" s="216"/>
      <c r="U310" s="216"/>
      <c r="V310" s="216"/>
      <c r="W310" s="216"/>
      <c r="X310" s="216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16"/>
      <c r="AN310" s="216"/>
      <c r="AO310" s="216"/>
      <c r="AP310" s="216"/>
      <c r="AQ310" s="216"/>
      <c r="AR310" s="216"/>
      <c r="AS310" s="216"/>
      <c r="AT310" s="216"/>
      <c r="AU310" s="216"/>
      <c r="AV310" s="216"/>
      <c r="AW310" s="216"/>
      <c r="AX310" s="216"/>
      <c r="AY310" s="216"/>
      <c r="AZ310" s="216"/>
      <c r="BA310" s="216"/>
      <c r="BB310" s="216"/>
      <c r="BC310" s="216"/>
      <c r="BD310" s="216"/>
      <c r="BE310" s="216"/>
      <c r="BF310" s="216"/>
      <c r="BG310" s="216"/>
      <c r="BH310" s="216"/>
      <c r="BI310" s="216"/>
      <c r="BJ310" s="216"/>
      <c r="BK310" s="216"/>
      <c r="BL310" s="216"/>
      <c r="BM310" s="216"/>
      <c r="BN310" s="216"/>
      <c r="BO310" s="216"/>
      <c r="BP310" s="216"/>
      <c r="BQ310" s="216"/>
      <c r="BR310" s="216"/>
    </row>
    <row r="311" spans="1:70" ht="24" customHeight="1" x14ac:dyDescent="0.2">
      <c r="A311" s="214"/>
      <c r="B311" s="214"/>
      <c r="C311" s="214"/>
      <c r="D311" s="214"/>
      <c r="E311" s="214"/>
      <c r="F311" s="214"/>
      <c r="G311" s="214"/>
      <c r="H311" s="214"/>
      <c r="I311" s="214"/>
      <c r="J311" s="214"/>
      <c r="K311" s="214"/>
      <c r="L311" s="214"/>
      <c r="M311" s="215"/>
      <c r="N311" s="215"/>
      <c r="O311" s="216"/>
      <c r="P311" s="216"/>
      <c r="Q311" s="216"/>
      <c r="R311" s="216"/>
      <c r="S311" s="216"/>
      <c r="T311" s="216"/>
      <c r="U311" s="216"/>
      <c r="V311" s="216"/>
      <c r="W311" s="216"/>
      <c r="X311" s="216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  <c r="AZ311" s="216"/>
      <c r="BA311" s="216"/>
      <c r="BB311" s="216"/>
      <c r="BC311" s="216"/>
      <c r="BD311" s="216"/>
      <c r="BE311" s="216"/>
      <c r="BF311" s="216"/>
      <c r="BG311" s="216"/>
      <c r="BH311" s="216"/>
      <c r="BI311" s="216"/>
      <c r="BJ311" s="216"/>
      <c r="BK311" s="216"/>
      <c r="BL311" s="216"/>
      <c r="BM311" s="216"/>
      <c r="BN311" s="216"/>
      <c r="BO311" s="216"/>
      <c r="BP311" s="216"/>
      <c r="BQ311" s="216"/>
      <c r="BR311" s="216"/>
    </row>
    <row r="312" spans="1:70" ht="24" customHeight="1" x14ac:dyDescent="0.2">
      <c r="A312" s="214"/>
      <c r="B312" s="214"/>
      <c r="C312" s="214"/>
      <c r="D312" s="214"/>
      <c r="E312" s="214"/>
      <c r="F312" s="214"/>
      <c r="G312" s="214"/>
      <c r="H312" s="214"/>
      <c r="I312" s="214"/>
      <c r="J312" s="214"/>
      <c r="K312" s="214"/>
      <c r="L312" s="214"/>
      <c r="M312" s="215"/>
      <c r="N312" s="215"/>
      <c r="O312" s="216"/>
      <c r="P312" s="216"/>
      <c r="Q312" s="216"/>
      <c r="R312" s="216"/>
      <c r="S312" s="216"/>
      <c r="T312" s="216"/>
      <c r="U312" s="216"/>
      <c r="V312" s="216"/>
      <c r="W312" s="216"/>
      <c r="X312" s="216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  <c r="AZ312" s="216"/>
      <c r="BA312" s="216"/>
      <c r="BB312" s="216"/>
      <c r="BC312" s="216"/>
      <c r="BD312" s="216"/>
      <c r="BE312" s="216"/>
      <c r="BF312" s="216"/>
      <c r="BG312" s="216"/>
      <c r="BH312" s="216"/>
      <c r="BI312" s="216"/>
      <c r="BJ312" s="216"/>
      <c r="BK312" s="216"/>
      <c r="BL312" s="216"/>
      <c r="BM312" s="216"/>
      <c r="BN312" s="216"/>
      <c r="BO312" s="216"/>
      <c r="BP312" s="216"/>
      <c r="BQ312" s="216"/>
      <c r="BR312" s="216"/>
    </row>
    <row r="313" spans="1:70" ht="24" customHeight="1" x14ac:dyDescent="0.2">
      <c r="A313" s="214"/>
      <c r="B313" s="214"/>
      <c r="C313" s="214"/>
      <c r="D313" s="214"/>
      <c r="E313" s="214"/>
      <c r="F313" s="214"/>
      <c r="G313" s="214"/>
      <c r="H313" s="214"/>
      <c r="I313" s="214"/>
      <c r="J313" s="214"/>
      <c r="K313" s="214"/>
      <c r="L313" s="214"/>
      <c r="M313" s="215"/>
      <c r="N313" s="215"/>
      <c r="O313" s="216"/>
      <c r="P313" s="216"/>
      <c r="Q313" s="216"/>
      <c r="R313" s="216"/>
      <c r="S313" s="216"/>
      <c r="T313" s="216"/>
      <c r="U313" s="216"/>
      <c r="V313" s="216"/>
      <c r="W313" s="216"/>
      <c r="X313" s="216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  <c r="AZ313" s="216"/>
      <c r="BA313" s="216"/>
      <c r="BB313" s="216"/>
      <c r="BC313" s="216"/>
      <c r="BD313" s="216"/>
      <c r="BE313" s="216"/>
      <c r="BF313" s="216"/>
      <c r="BG313" s="216"/>
      <c r="BH313" s="216"/>
      <c r="BI313" s="216"/>
      <c r="BJ313" s="216"/>
      <c r="BK313" s="216"/>
      <c r="BL313" s="216"/>
      <c r="BM313" s="216"/>
      <c r="BN313" s="216"/>
      <c r="BO313" s="216"/>
      <c r="BP313" s="216"/>
      <c r="BQ313" s="216"/>
      <c r="BR313" s="216"/>
    </row>
    <row r="314" spans="1:70" ht="12.75" x14ac:dyDescent="0.2">
      <c r="A314" s="214"/>
      <c r="B314" s="214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/>
      <c r="M314" s="215"/>
      <c r="N314" s="215"/>
      <c r="O314" s="216"/>
      <c r="P314" s="216"/>
      <c r="Q314" s="216"/>
      <c r="R314" s="216"/>
      <c r="S314" s="216"/>
      <c r="T314" s="216"/>
      <c r="U314" s="216"/>
      <c r="V314" s="216"/>
      <c r="W314" s="216"/>
      <c r="X314" s="216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  <c r="BI314" s="216"/>
      <c r="BJ314" s="216"/>
      <c r="BK314" s="216"/>
      <c r="BL314" s="216"/>
      <c r="BM314" s="216"/>
      <c r="BN314" s="216"/>
      <c r="BO314" s="216"/>
      <c r="BP314" s="216"/>
      <c r="BQ314" s="216"/>
      <c r="BR314" s="216"/>
    </row>
    <row r="315" spans="1:70" ht="12.75" x14ac:dyDescent="0.2">
      <c r="A315" s="214"/>
      <c r="B315" s="214"/>
      <c r="C315" s="214"/>
      <c r="D315" s="214"/>
      <c r="E315" s="214"/>
      <c r="F315" s="214"/>
      <c r="G315" s="214"/>
      <c r="H315" s="214"/>
      <c r="I315" s="214"/>
      <c r="J315" s="214"/>
      <c r="K315" s="214"/>
      <c r="L315" s="214"/>
      <c r="M315" s="215"/>
      <c r="N315" s="215"/>
      <c r="O315" s="216"/>
      <c r="P315" s="216"/>
      <c r="Q315" s="216"/>
      <c r="R315" s="216"/>
      <c r="S315" s="216"/>
      <c r="T315" s="216"/>
      <c r="U315" s="216"/>
      <c r="V315" s="216"/>
      <c r="W315" s="216"/>
      <c r="X315" s="216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  <c r="BI315" s="216"/>
      <c r="BJ315" s="216"/>
      <c r="BK315" s="216"/>
      <c r="BL315" s="216"/>
      <c r="BM315" s="216"/>
      <c r="BN315" s="216"/>
      <c r="BO315" s="216"/>
      <c r="BP315" s="216"/>
      <c r="BQ315" s="216"/>
      <c r="BR315" s="216"/>
    </row>
    <row r="316" spans="1:70" ht="12.75" x14ac:dyDescent="0.2">
      <c r="A316" s="214"/>
      <c r="B316" s="214"/>
      <c r="C316" s="214"/>
      <c r="D316" s="214"/>
      <c r="E316" s="214"/>
      <c r="F316" s="214"/>
      <c r="G316" s="214"/>
      <c r="H316" s="214"/>
      <c r="I316" s="214"/>
      <c r="J316" s="214"/>
      <c r="K316" s="214"/>
      <c r="L316" s="214"/>
      <c r="M316" s="215"/>
      <c r="N316" s="215"/>
      <c r="O316" s="216"/>
      <c r="P316" s="216"/>
      <c r="Q316" s="216"/>
      <c r="R316" s="216"/>
      <c r="S316" s="216"/>
      <c r="T316" s="216"/>
      <c r="U316" s="216"/>
      <c r="V316" s="216"/>
      <c r="W316" s="216"/>
      <c r="X316" s="216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16"/>
      <c r="AN316" s="216"/>
      <c r="AO316" s="216"/>
      <c r="AP316" s="216"/>
      <c r="AQ316" s="216"/>
      <c r="AR316" s="216"/>
      <c r="AS316" s="216"/>
      <c r="AT316" s="216"/>
      <c r="AU316" s="216"/>
      <c r="AV316" s="216"/>
      <c r="AW316" s="216"/>
      <c r="AX316" s="216"/>
      <c r="AY316" s="216"/>
      <c r="AZ316" s="216"/>
      <c r="BA316" s="216"/>
      <c r="BB316" s="216"/>
      <c r="BC316" s="216"/>
      <c r="BD316" s="216"/>
      <c r="BE316" s="216"/>
      <c r="BF316" s="216"/>
      <c r="BG316" s="216"/>
      <c r="BH316" s="216"/>
      <c r="BI316" s="216"/>
      <c r="BJ316" s="216"/>
      <c r="BK316" s="216"/>
      <c r="BL316" s="216"/>
      <c r="BM316" s="216"/>
      <c r="BN316" s="216"/>
      <c r="BO316" s="216"/>
      <c r="BP316" s="216"/>
      <c r="BQ316" s="216"/>
      <c r="BR316" s="216"/>
    </row>
    <row r="317" spans="1:70" ht="12.75" x14ac:dyDescent="0.2">
      <c r="A317" s="214"/>
      <c r="B317" s="214"/>
      <c r="C317" s="214"/>
      <c r="D317" s="214"/>
      <c r="E317" s="214"/>
      <c r="F317" s="214"/>
      <c r="G317" s="214"/>
      <c r="H317" s="214"/>
      <c r="I317" s="214"/>
      <c r="J317" s="214"/>
      <c r="K317" s="214"/>
      <c r="L317" s="214"/>
      <c r="M317" s="215"/>
      <c r="N317" s="215"/>
      <c r="O317" s="216"/>
      <c r="P317" s="216"/>
      <c r="Q317" s="216"/>
      <c r="R317" s="216"/>
      <c r="S317" s="216"/>
      <c r="T317" s="216"/>
      <c r="U317" s="216"/>
      <c r="V317" s="216"/>
      <c r="W317" s="216"/>
      <c r="X317" s="216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  <c r="BI317" s="216"/>
      <c r="BJ317" s="216"/>
      <c r="BK317" s="216"/>
      <c r="BL317" s="216"/>
      <c r="BM317" s="216"/>
      <c r="BN317" s="216"/>
      <c r="BO317" s="216"/>
      <c r="BP317" s="216"/>
      <c r="BQ317" s="216"/>
      <c r="BR317" s="216"/>
    </row>
    <row r="318" spans="1:70" ht="12.75" x14ac:dyDescent="0.2">
      <c r="A318" s="214"/>
      <c r="B318" s="214"/>
      <c r="C318" s="214"/>
      <c r="D318" s="214"/>
      <c r="E318" s="214"/>
      <c r="F318" s="214"/>
      <c r="G318" s="214"/>
      <c r="H318" s="214"/>
      <c r="I318" s="214"/>
      <c r="J318" s="214"/>
      <c r="K318" s="214"/>
      <c r="L318" s="214"/>
      <c r="M318" s="215"/>
      <c r="N318" s="215"/>
      <c r="O318" s="216"/>
      <c r="P318" s="216"/>
      <c r="Q318" s="216"/>
      <c r="R318" s="216"/>
      <c r="S318" s="216"/>
      <c r="T318" s="216"/>
      <c r="U318" s="216"/>
      <c r="V318" s="216"/>
      <c r="W318" s="216"/>
      <c r="X318" s="216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  <c r="BI318" s="216"/>
      <c r="BJ318" s="216"/>
      <c r="BK318" s="216"/>
      <c r="BL318" s="216"/>
      <c r="BM318" s="216"/>
      <c r="BN318" s="216"/>
      <c r="BO318" s="216"/>
      <c r="BP318" s="216"/>
      <c r="BQ318" s="216"/>
      <c r="BR318" s="216"/>
    </row>
    <row r="319" spans="1:70" ht="12.75" x14ac:dyDescent="0.2">
      <c r="A319" s="214"/>
      <c r="B319" s="214"/>
      <c r="C319" s="214"/>
      <c r="D319" s="214"/>
      <c r="E319" s="214"/>
      <c r="F319" s="214"/>
      <c r="G319" s="214"/>
      <c r="H319" s="214"/>
      <c r="I319" s="214"/>
      <c r="J319" s="214"/>
      <c r="K319" s="214"/>
      <c r="L319" s="214"/>
      <c r="M319" s="215"/>
      <c r="N319" s="215"/>
      <c r="O319" s="216"/>
      <c r="P319" s="216"/>
      <c r="Q319" s="216"/>
      <c r="R319" s="216"/>
      <c r="S319" s="216"/>
      <c r="T319" s="216"/>
      <c r="U319" s="216"/>
      <c r="V319" s="216"/>
      <c r="W319" s="216"/>
      <c r="X319" s="216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  <c r="BI319" s="216"/>
      <c r="BJ319" s="216"/>
      <c r="BK319" s="216"/>
      <c r="BL319" s="216"/>
      <c r="BM319" s="216"/>
      <c r="BN319" s="216"/>
      <c r="BO319" s="216"/>
      <c r="BP319" s="216"/>
      <c r="BQ319" s="216"/>
      <c r="BR319" s="216"/>
    </row>
    <row r="320" spans="1:70" ht="12.75" x14ac:dyDescent="0.2">
      <c r="A320" s="214"/>
      <c r="B320" s="214"/>
      <c r="C320" s="214"/>
      <c r="D320" s="214"/>
      <c r="E320" s="214"/>
      <c r="F320" s="214"/>
      <c r="G320" s="214"/>
      <c r="H320" s="214"/>
      <c r="I320" s="214"/>
      <c r="J320" s="214"/>
      <c r="K320" s="214"/>
      <c r="L320" s="214"/>
      <c r="M320" s="215"/>
      <c r="N320" s="215"/>
      <c r="O320" s="216"/>
      <c r="P320" s="216"/>
      <c r="Q320" s="216"/>
      <c r="R320" s="216"/>
      <c r="S320" s="216"/>
      <c r="T320" s="216"/>
      <c r="U320" s="216"/>
      <c r="V320" s="216"/>
      <c r="W320" s="216"/>
      <c r="X320" s="216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  <c r="BI320" s="216"/>
      <c r="BJ320" s="216"/>
      <c r="BK320" s="216"/>
      <c r="BL320" s="216"/>
      <c r="BM320" s="216"/>
      <c r="BN320" s="216"/>
      <c r="BO320" s="216"/>
      <c r="BP320" s="216"/>
      <c r="BQ320" s="216"/>
      <c r="BR320" s="216"/>
    </row>
    <row r="321" spans="1:70" ht="12.75" x14ac:dyDescent="0.2">
      <c r="A321" s="214"/>
      <c r="B321" s="214"/>
      <c r="C321" s="214"/>
      <c r="D321" s="214"/>
      <c r="E321" s="214"/>
      <c r="F321" s="214"/>
      <c r="G321" s="214"/>
      <c r="H321" s="214"/>
      <c r="I321" s="214"/>
      <c r="J321" s="214"/>
      <c r="K321" s="214"/>
      <c r="L321" s="214"/>
      <c r="M321" s="215"/>
      <c r="N321" s="215"/>
      <c r="O321" s="216"/>
      <c r="P321" s="216"/>
      <c r="Q321" s="216"/>
      <c r="R321" s="216"/>
      <c r="S321" s="216"/>
      <c r="T321" s="216"/>
      <c r="U321" s="216"/>
      <c r="V321" s="216"/>
      <c r="W321" s="216"/>
      <c r="X321" s="216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  <c r="BI321" s="216"/>
      <c r="BJ321" s="216"/>
      <c r="BK321" s="216"/>
      <c r="BL321" s="216"/>
      <c r="BM321" s="216"/>
      <c r="BN321" s="216"/>
      <c r="BO321" s="216"/>
      <c r="BP321" s="216"/>
      <c r="BQ321" s="216"/>
      <c r="BR321" s="216"/>
    </row>
    <row r="322" spans="1:70" ht="12.75" x14ac:dyDescent="0.2">
      <c r="A322" s="214"/>
      <c r="B322" s="214"/>
      <c r="C322" s="214"/>
      <c r="D322" s="214"/>
      <c r="E322" s="214"/>
      <c r="F322" s="214"/>
      <c r="G322" s="214"/>
      <c r="H322" s="214"/>
      <c r="I322" s="214"/>
      <c r="J322" s="214"/>
      <c r="K322" s="214"/>
      <c r="L322" s="214"/>
      <c r="M322" s="215"/>
      <c r="N322" s="215"/>
      <c r="O322" s="216"/>
      <c r="P322" s="216"/>
      <c r="Q322" s="216"/>
      <c r="R322" s="216"/>
      <c r="S322" s="216"/>
      <c r="T322" s="216"/>
      <c r="U322" s="216"/>
      <c r="V322" s="216"/>
      <c r="W322" s="216"/>
      <c r="X322" s="216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  <c r="BI322" s="216"/>
      <c r="BJ322" s="216"/>
      <c r="BK322" s="216"/>
      <c r="BL322" s="216"/>
      <c r="BM322" s="216"/>
      <c r="BN322" s="216"/>
      <c r="BO322" s="216"/>
      <c r="BP322" s="216"/>
      <c r="BQ322" s="216"/>
      <c r="BR322" s="216"/>
    </row>
    <row r="323" spans="1:70" ht="12.75" x14ac:dyDescent="0.2">
      <c r="A323" s="214"/>
      <c r="B323" s="214"/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5"/>
      <c r="N323" s="215"/>
      <c r="O323" s="216"/>
      <c r="P323" s="216"/>
      <c r="Q323" s="216"/>
      <c r="R323" s="216"/>
      <c r="S323" s="216"/>
      <c r="T323" s="216"/>
      <c r="U323" s="216"/>
      <c r="V323" s="216"/>
      <c r="W323" s="216"/>
      <c r="X323" s="216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  <c r="BI323" s="216"/>
      <c r="BJ323" s="216"/>
      <c r="BK323" s="216"/>
      <c r="BL323" s="216"/>
      <c r="BM323" s="216"/>
      <c r="BN323" s="216"/>
      <c r="BO323" s="216"/>
      <c r="BP323" s="216"/>
      <c r="BQ323" s="216"/>
      <c r="BR323" s="216"/>
    </row>
    <row r="324" spans="1:70" ht="12.75" x14ac:dyDescent="0.2">
      <c r="A324" s="214"/>
      <c r="B324" s="214"/>
      <c r="C324" s="214"/>
      <c r="D324" s="214"/>
      <c r="E324" s="214"/>
      <c r="F324" s="214"/>
      <c r="G324" s="214"/>
      <c r="H324" s="214"/>
      <c r="I324" s="214"/>
      <c r="J324" s="214"/>
      <c r="K324" s="214"/>
      <c r="L324" s="214"/>
      <c r="M324" s="215"/>
      <c r="N324" s="215"/>
      <c r="O324" s="216"/>
      <c r="P324" s="216"/>
      <c r="Q324" s="216"/>
      <c r="R324" s="216"/>
      <c r="S324" s="216"/>
      <c r="T324" s="216"/>
      <c r="U324" s="216"/>
      <c r="V324" s="216"/>
      <c r="W324" s="216"/>
      <c r="X324" s="216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  <c r="BI324" s="216"/>
      <c r="BJ324" s="216"/>
      <c r="BK324" s="216"/>
      <c r="BL324" s="216"/>
      <c r="BM324" s="216"/>
      <c r="BN324" s="216"/>
      <c r="BO324" s="216"/>
      <c r="BP324" s="216"/>
      <c r="BQ324" s="216"/>
      <c r="BR324" s="216"/>
    </row>
    <row r="325" spans="1:70" ht="12.75" x14ac:dyDescent="0.2">
      <c r="A325" s="214"/>
      <c r="B325" s="214"/>
      <c r="C325" s="214"/>
      <c r="D325" s="214"/>
      <c r="E325" s="214"/>
      <c r="F325" s="214"/>
      <c r="G325" s="214"/>
      <c r="H325" s="214"/>
      <c r="I325" s="214"/>
      <c r="J325" s="214"/>
      <c r="K325" s="214"/>
      <c r="L325" s="214"/>
      <c r="M325" s="215"/>
      <c r="N325" s="215"/>
      <c r="O325" s="216"/>
      <c r="P325" s="216"/>
      <c r="Q325" s="216"/>
      <c r="R325" s="216"/>
      <c r="S325" s="216"/>
      <c r="T325" s="216"/>
      <c r="U325" s="216"/>
      <c r="V325" s="216"/>
      <c r="W325" s="216"/>
      <c r="X325" s="216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  <c r="BI325" s="216"/>
      <c r="BJ325" s="216"/>
      <c r="BK325" s="216"/>
      <c r="BL325" s="216"/>
      <c r="BM325" s="216"/>
      <c r="BN325" s="216"/>
      <c r="BO325" s="216"/>
      <c r="BP325" s="216"/>
      <c r="BQ325" s="216"/>
      <c r="BR325" s="216"/>
    </row>
    <row r="326" spans="1:70" ht="12.75" x14ac:dyDescent="0.2">
      <c r="A326" s="214"/>
      <c r="B326" s="214"/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5"/>
      <c r="N326" s="215"/>
      <c r="O326" s="216"/>
      <c r="P326" s="216"/>
      <c r="Q326" s="216"/>
      <c r="R326" s="216"/>
      <c r="S326" s="216"/>
      <c r="T326" s="216"/>
      <c r="U326" s="216"/>
      <c r="V326" s="216"/>
      <c r="W326" s="216"/>
      <c r="X326" s="216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  <c r="BI326" s="216"/>
      <c r="BJ326" s="216"/>
      <c r="BK326" s="216"/>
      <c r="BL326" s="216"/>
      <c r="BM326" s="216"/>
      <c r="BN326" s="216"/>
      <c r="BO326" s="216"/>
      <c r="BP326" s="216"/>
      <c r="BQ326" s="216"/>
      <c r="BR326" s="216"/>
    </row>
    <row r="327" spans="1:70" ht="12.75" x14ac:dyDescent="0.2">
      <c r="A327" s="214"/>
      <c r="B327" s="214"/>
      <c r="C327" s="214"/>
      <c r="D327" s="214"/>
      <c r="E327" s="214"/>
      <c r="F327" s="214"/>
      <c r="G327" s="214"/>
      <c r="H327" s="214"/>
      <c r="I327" s="214"/>
      <c r="J327" s="214"/>
      <c r="K327" s="214"/>
      <c r="L327" s="214"/>
      <c r="M327" s="215"/>
      <c r="N327" s="215"/>
      <c r="O327" s="216"/>
      <c r="P327" s="216"/>
      <c r="Q327" s="216"/>
      <c r="R327" s="216"/>
      <c r="S327" s="216"/>
      <c r="T327" s="216"/>
      <c r="U327" s="216"/>
      <c r="V327" s="216"/>
      <c r="W327" s="216"/>
      <c r="X327" s="216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  <c r="BI327" s="216"/>
      <c r="BJ327" s="216"/>
      <c r="BK327" s="216"/>
      <c r="BL327" s="216"/>
      <c r="BM327" s="216"/>
      <c r="BN327" s="216"/>
      <c r="BO327" s="216"/>
      <c r="BP327" s="216"/>
      <c r="BQ327" s="216"/>
      <c r="BR327" s="216"/>
    </row>
    <row r="328" spans="1:70" ht="12.75" x14ac:dyDescent="0.2">
      <c r="A328" s="214"/>
      <c r="B328" s="214"/>
      <c r="C328" s="214"/>
      <c r="D328" s="214"/>
      <c r="E328" s="214"/>
      <c r="F328" s="214"/>
      <c r="G328" s="214"/>
      <c r="H328" s="214"/>
      <c r="I328" s="214"/>
      <c r="J328" s="214"/>
      <c r="K328" s="214"/>
      <c r="L328" s="214"/>
      <c r="M328" s="215"/>
      <c r="N328" s="215"/>
      <c r="O328" s="216"/>
      <c r="P328" s="216"/>
      <c r="Q328" s="216"/>
      <c r="R328" s="216"/>
      <c r="S328" s="216"/>
      <c r="T328" s="216"/>
      <c r="U328" s="216"/>
      <c r="V328" s="216"/>
      <c r="W328" s="216"/>
      <c r="X328" s="216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  <c r="BI328" s="216"/>
      <c r="BJ328" s="216"/>
      <c r="BK328" s="216"/>
      <c r="BL328" s="216"/>
      <c r="BM328" s="216"/>
      <c r="BN328" s="216"/>
      <c r="BO328" s="216"/>
      <c r="BP328" s="216"/>
      <c r="BQ328" s="216"/>
      <c r="BR328" s="216"/>
    </row>
    <row r="329" spans="1:70" ht="12.75" x14ac:dyDescent="0.2">
      <c r="A329" s="214"/>
      <c r="B329" s="214"/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5"/>
      <c r="N329" s="215"/>
      <c r="O329" s="216"/>
      <c r="P329" s="216"/>
      <c r="Q329" s="216"/>
      <c r="R329" s="216"/>
      <c r="S329" s="216"/>
      <c r="T329" s="216"/>
      <c r="U329" s="216"/>
      <c r="V329" s="216"/>
      <c r="W329" s="216"/>
      <c r="X329" s="216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  <c r="BI329" s="216"/>
      <c r="BJ329" s="216"/>
      <c r="BK329" s="216"/>
      <c r="BL329" s="216"/>
      <c r="BM329" s="216"/>
      <c r="BN329" s="216"/>
      <c r="BO329" s="216"/>
      <c r="BP329" s="216"/>
      <c r="BQ329" s="216"/>
      <c r="BR329" s="216"/>
    </row>
    <row r="330" spans="1:70" ht="12.75" x14ac:dyDescent="0.2">
      <c r="A330" s="214"/>
      <c r="B330" s="214"/>
      <c r="C330" s="214"/>
      <c r="D330" s="214"/>
      <c r="E330" s="214"/>
      <c r="F330" s="214"/>
      <c r="G330" s="214"/>
      <c r="H330" s="214"/>
      <c r="I330" s="214"/>
      <c r="J330" s="214"/>
      <c r="K330" s="214"/>
      <c r="L330" s="214"/>
      <c r="M330" s="215"/>
      <c r="N330" s="215"/>
      <c r="O330" s="216"/>
      <c r="P330" s="216"/>
      <c r="Q330" s="216"/>
      <c r="R330" s="216"/>
      <c r="S330" s="216"/>
      <c r="T330" s="216"/>
      <c r="U330" s="216"/>
      <c r="V330" s="216"/>
      <c r="W330" s="216"/>
      <c r="X330" s="216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  <c r="BI330" s="216"/>
      <c r="BJ330" s="216"/>
      <c r="BK330" s="216"/>
      <c r="BL330" s="216"/>
      <c r="BM330" s="216"/>
      <c r="BN330" s="216"/>
      <c r="BO330" s="216"/>
      <c r="BP330" s="216"/>
      <c r="BQ330" s="216"/>
      <c r="BR330" s="216"/>
    </row>
    <row r="331" spans="1:70" ht="12.75" x14ac:dyDescent="0.2">
      <c r="A331" s="214"/>
      <c r="B331" s="214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5"/>
      <c r="N331" s="215"/>
      <c r="O331" s="216"/>
      <c r="P331" s="216"/>
      <c r="Q331" s="216"/>
      <c r="R331" s="216"/>
      <c r="S331" s="216"/>
      <c r="T331" s="216"/>
      <c r="U331" s="216"/>
      <c r="V331" s="216"/>
      <c r="W331" s="216"/>
      <c r="X331" s="216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  <c r="BI331" s="216"/>
      <c r="BJ331" s="216"/>
      <c r="BK331" s="216"/>
      <c r="BL331" s="216"/>
      <c r="BM331" s="216"/>
      <c r="BN331" s="216"/>
      <c r="BO331" s="216"/>
      <c r="BP331" s="216"/>
      <c r="BQ331" s="216"/>
      <c r="BR331" s="216"/>
    </row>
    <row r="332" spans="1:70" ht="12.75" x14ac:dyDescent="0.2">
      <c r="A332" s="214"/>
      <c r="B332" s="214"/>
      <c r="C332" s="214"/>
      <c r="D332" s="214"/>
      <c r="E332" s="214"/>
      <c r="F332" s="214"/>
      <c r="G332" s="214"/>
      <c r="H332" s="214"/>
      <c r="I332" s="214"/>
      <c r="J332" s="214"/>
      <c r="K332" s="214"/>
      <c r="L332" s="214"/>
      <c r="M332" s="215"/>
      <c r="N332" s="215"/>
      <c r="O332" s="216"/>
      <c r="P332" s="216"/>
      <c r="Q332" s="216"/>
      <c r="R332" s="216"/>
      <c r="S332" s="216"/>
      <c r="T332" s="216"/>
      <c r="U332" s="216"/>
      <c r="V332" s="216"/>
      <c r="W332" s="216"/>
      <c r="X332" s="216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  <c r="BI332" s="216"/>
      <c r="BJ332" s="216"/>
      <c r="BK332" s="216"/>
      <c r="BL332" s="216"/>
      <c r="BM332" s="216"/>
      <c r="BN332" s="216"/>
      <c r="BO332" s="216"/>
      <c r="BP332" s="216"/>
      <c r="BQ332" s="216"/>
      <c r="BR332" s="216"/>
    </row>
    <row r="333" spans="1:70" ht="12.75" x14ac:dyDescent="0.2">
      <c r="A333" s="214"/>
      <c r="B333" s="214"/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5"/>
      <c r="N333" s="215"/>
      <c r="O333" s="216"/>
      <c r="P333" s="216"/>
      <c r="Q333" s="216"/>
      <c r="R333" s="216"/>
      <c r="S333" s="216"/>
      <c r="T333" s="216"/>
      <c r="U333" s="216"/>
      <c r="V333" s="216"/>
      <c r="W333" s="216"/>
      <c r="X333" s="216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  <c r="BI333" s="216"/>
      <c r="BJ333" s="216"/>
      <c r="BK333" s="216"/>
      <c r="BL333" s="216"/>
      <c r="BM333" s="216"/>
      <c r="BN333" s="216"/>
      <c r="BO333" s="216"/>
      <c r="BP333" s="216"/>
      <c r="BQ333" s="216"/>
      <c r="BR333" s="216"/>
    </row>
    <row r="334" spans="1:70" ht="12.75" x14ac:dyDescent="0.2">
      <c r="A334" s="214"/>
      <c r="B334" s="214"/>
      <c r="C334" s="214"/>
      <c r="D334" s="214"/>
      <c r="E334" s="214"/>
      <c r="F334" s="214"/>
      <c r="G334" s="214"/>
      <c r="H334" s="214"/>
      <c r="I334" s="214"/>
      <c r="J334" s="214"/>
      <c r="K334" s="214"/>
      <c r="L334" s="214"/>
      <c r="M334" s="215"/>
      <c r="N334" s="215"/>
      <c r="O334" s="216"/>
      <c r="P334" s="216"/>
      <c r="Q334" s="216"/>
      <c r="R334" s="216"/>
      <c r="S334" s="216"/>
      <c r="T334" s="216"/>
      <c r="U334" s="216"/>
      <c r="V334" s="216"/>
      <c r="W334" s="216"/>
      <c r="X334" s="216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  <c r="BI334" s="216"/>
      <c r="BJ334" s="216"/>
      <c r="BK334" s="216"/>
      <c r="BL334" s="216"/>
      <c r="BM334" s="216"/>
      <c r="BN334" s="216"/>
      <c r="BO334" s="216"/>
      <c r="BP334" s="216"/>
      <c r="BQ334" s="216"/>
      <c r="BR334" s="216"/>
    </row>
    <row r="335" spans="1:70" ht="12.75" x14ac:dyDescent="0.2">
      <c r="A335" s="214"/>
      <c r="B335" s="214"/>
      <c r="C335" s="214"/>
      <c r="D335" s="214"/>
      <c r="E335" s="214"/>
      <c r="F335" s="214"/>
      <c r="G335" s="214"/>
      <c r="H335" s="214"/>
      <c r="I335" s="214"/>
      <c r="J335" s="214"/>
      <c r="K335" s="214"/>
      <c r="L335" s="214"/>
      <c r="M335" s="215"/>
      <c r="N335" s="215"/>
      <c r="O335" s="216"/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6"/>
      <c r="BC335" s="216"/>
      <c r="BD335" s="216"/>
      <c r="BE335" s="216"/>
      <c r="BF335" s="216"/>
      <c r="BG335" s="216"/>
      <c r="BH335" s="216"/>
      <c r="BI335" s="216"/>
      <c r="BJ335" s="216"/>
      <c r="BK335" s="216"/>
      <c r="BL335" s="216"/>
      <c r="BM335" s="216"/>
      <c r="BN335" s="216"/>
      <c r="BO335" s="216"/>
      <c r="BP335" s="216"/>
      <c r="BQ335" s="216"/>
      <c r="BR335" s="216"/>
    </row>
    <row r="336" spans="1:70" ht="12.75" x14ac:dyDescent="0.2">
      <c r="A336" s="214"/>
      <c r="B336" s="214"/>
      <c r="C336" s="214"/>
      <c r="D336" s="214"/>
      <c r="E336" s="214"/>
      <c r="F336" s="214"/>
      <c r="G336" s="214"/>
      <c r="H336" s="214"/>
      <c r="I336" s="214"/>
      <c r="J336" s="214"/>
      <c r="K336" s="214"/>
      <c r="L336" s="214"/>
      <c r="M336" s="215"/>
      <c r="N336" s="215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6"/>
      <c r="BC336" s="216"/>
      <c r="BD336" s="216"/>
      <c r="BE336" s="216"/>
      <c r="BF336" s="216"/>
      <c r="BG336" s="216"/>
      <c r="BH336" s="216"/>
      <c r="BI336" s="216"/>
      <c r="BJ336" s="216"/>
      <c r="BK336" s="216"/>
      <c r="BL336" s="216"/>
      <c r="BM336" s="216"/>
      <c r="BN336" s="216"/>
      <c r="BO336" s="216"/>
      <c r="BP336" s="216"/>
      <c r="BQ336" s="216"/>
      <c r="BR336" s="216"/>
    </row>
    <row r="337" spans="1:70" ht="12.75" x14ac:dyDescent="0.2">
      <c r="A337" s="214"/>
      <c r="B337" s="214"/>
      <c r="C337" s="214"/>
      <c r="D337" s="214"/>
      <c r="E337" s="214"/>
      <c r="F337" s="214"/>
      <c r="G337" s="214"/>
      <c r="H337" s="214"/>
      <c r="I337" s="214"/>
      <c r="J337" s="214"/>
      <c r="K337" s="214"/>
      <c r="L337" s="214"/>
      <c r="M337" s="215"/>
      <c r="N337" s="215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  <c r="BI337" s="216"/>
      <c r="BJ337" s="216"/>
      <c r="BK337" s="216"/>
      <c r="BL337" s="216"/>
      <c r="BM337" s="216"/>
      <c r="BN337" s="216"/>
      <c r="BO337" s="216"/>
      <c r="BP337" s="216"/>
      <c r="BQ337" s="216"/>
      <c r="BR337" s="216"/>
    </row>
    <row r="338" spans="1:70" ht="12.75" x14ac:dyDescent="0.2">
      <c r="A338" s="214"/>
      <c r="B338" s="214"/>
      <c r="C338" s="214"/>
      <c r="D338" s="214"/>
      <c r="E338" s="214"/>
      <c r="F338" s="214"/>
      <c r="G338" s="214"/>
      <c r="H338" s="214"/>
      <c r="I338" s="214"/>
      <c r="J338" s="214"/>
      <c r="K338" s="214"/>
      <c r="L338" s="214"/>
      <c r="M338" s="215"/>
      <c r="N338" s="215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  <c r="BI338" s="216"/>
      <c r="BJ338" s="216"/>
      <c r="BK338" s="216"/>
      <c r="BL338" s="216"/>
      <c r="BM338" s="216"/>
      <c r="BN338" s="216"/>
      <c r="BO338" s="216"/>
      <c r="BP338" s="216"/>
      <c r="BQ338" s="216"/>
      <c r="BR338" s="216"/>
    </row>
    <row r="339" spans="1:70" ht="12.75" x14ac:dyDescent="0.2">
      <c r="A339" s="214"/>
      <c r="B339" s="214"/>
      <c r="C339" s="214"/>
      <c r="D339" s="214"/>
      <c r="E339" s="214"/>
      <c r="F339" s="214"/>
      <c r="G339" s="214"/>
      <c r="H339" s="214"/>
      <c r="I339" s="214"/>
      <c r="J339" s="214"/>
      <c r="K339" s="214"/>
      <c r="L339" s="214"/>
      <c r="M339" s="215"/>
      <c r="N339" s="215"/>
      <c r="O339" s="216"/>
      <c r="P339" s="216"/>
      <c r="Q339" s="216"/>
      <c r="R339" s="216"/>
      <c r="S339" s="216"/>
      <c r="T339" s="216"/>
      <c r="U339" s="216"/>
      <c r="V339" s="216"/>
      <c r="W339" s="216"/>
      <c r="X339" s="216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  <c r="BI339" s="216"/>
      <c r="BJ339" s="216"/>
      <c r="BK339" s="216"/>
      <c r="BL339" s="216"/>
      <c r="BM339" s="216"/>
      <c r="BN339" s="216"/>
      <c r="BO339" s="216"/>
      <c r="BP339" s="216"/>
      <c r="BQ339" s="216"/>
      <c r="BR339" s="216"/>
    </row>
    <row r="340" spans="1:70" ht="12.75" x14ac:dyDescent="0.2">
      <c r="A340" s="214"/>
      <c r="B340" s="214"/>
      <c r="C340" s="214"/>
      <c r="D340" s="214"/>
      <c r="E340" s="214"/>
      <c r="F340" s="214"/>
      <c r="G340" s="214"/>
      <c r="H340" s="214"/>
      <c r="I340" s="214"/>
      <c r="J340" s="214"/>
      <c r="K340" s="214"/>
      <c r="L340" s="214"/>
      <c r="M340" s="215"/>
      <c r="N340" s="215"/>
      <c r="O340" s="216"/>
      <c r="P340" s="216"/>
      <c r="Q340" s="216"/>
      <c r="R340" s="216"/>
      <c r="S340" s="216"/>
      <c r="T340" s="216"/>
      <c r="U340" s="216"/>
      <c r="V340" s="216"/>
      <c r="W340" s="216"/>
      <c r="X340" s="216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  <c r="BI340" s="216"/>
      <c r="BJ340" s="216"/>
      <c r="BK340" s="216"/>
      <c r="BL340" s="216"/>
      <c r="BM340" s="216"/>
      <c r="BN340" s="216"/>
      <c r="BO340" s="216"/>
      <c r="BP340" s="216"/>
      <c r="BQ340" s="216"/>
      <c r="BR340" s="216"/>
    </row>
    <row r="341" spans="1:70" ht="12.75" x14ac:dyDescent="0.2">
      <c r="A341" s="214"/>
      <c r="B341" s="214"/>
      <c r="C341" s="214"/>
      <c r="D341" s="214"/>
      <c r="E341" s="214"/>
      <c r="F341" s="214"/>
      <c r="G341" s="214"/>
      <c r="H341" s="214"/>
      <c r="I341" s="214"/>
      <c r="J341" s="214"/>
      <c r="K341" s="214"/>
      <c r="L341" s="214"/>
      <c r="M341" s="215"/>
      <c r="N341" s="215"/>
      <c r="O341" s="216"/>
      <c r="P341" s="216"/>
      <c r="Q341" s="216"/>
      <c r="R341" s="216"/>
      <c r="S341" s="216"/>
      <c r="T341" s="216"/>
      <c r="U341" s="216"/>
      <c r="V341" s="216"/>
      <c r="W341" s="216"/>
      <c r="X341" s="216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  <c r="BI341" s="216"/>
      <c r="BJ341" s="216"/>
      <c r="BK341" s="216"/>
      <c r="BL341" s="216"/>
      <c r="BM341" s="216"/>
      <c r="BN341" s="216"/>
      <c r="BO341" s="216"/>
      <c r="BP341" s="216"/>
      <c r="BQ341" s="216"/>
      <c r="BR341" s="216"/>
    </row>
    <row r="342" spans="1:70" ht="12.75" x14ac:dyDescent="0.2">
      <c r="A342" s="214"/>
      <c r="B342" s="214"/>
      <c r="C342" s="214"/>
      <c r="D342" s="214"/>
      <c r="E342" s="214"/>
      <c r="F342" s="214"/>
      <c r="G342" s="214"/>
      <c r="H342" s="214"/>
      <c r="I342" s="214"/>
      <c r="J342" s="214"/>
      <c r="K342" s="214"/>
      <c r="L342" s="214"/>
      <c r="M342" s="215"/>
      <c r="N342" s="215"/>
      <c r="O342" s="216"/>
      <c r="P342" s="216"/>
      <c r="Q342" s="216"/>
      <c r="R342" s="216"/>
      <c r="S342" s="216"/>
      <c r="T342" s="216"/>
      <c r="U342" s="216"/>
      <c r="V342" s="216"/>
      <c r="W342" s="216"/>
      <c r="X342" s="216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  <c r="BI342" s="216"/>
      <c r="BJ342" s="216"/>
      <c r="BK342" s="216"/>
      <c r="BL342" s="216"/>
      <c r="BM342" s="216"/>
      <c r="BN342" s="216"/>
      <c r="BO342" s="216"/>
      <c r="BP342" s="216"/>
      <c r="BQ342" s="216"/>
      <c r="BR342" s="216"/>
    </row>
    <row r="343" spans="1:70" ht="12.75" x14ac:dyDescent="0.2">
      <c r="A343" s="214"/>
      <c r="B343" s="214"/>
      <c r="C343" s="214"/>
      <c r="D343" s="214"/>
      <c r="E343" s="214"/>
      <c r="F343" s="214"/>
      <c r="G343" s="214"/>
      <c r="H343" s="214"/>
      <c r="I343" s="214"/>
      <c r="J343" s="214"/>
      <c r="K343" s="214"/>
      <c r="L343" s="214"/>
      <c r="M343" s="215"/>
      <c r="N343" s="215"/>
      <c r="O343" s="216"/>
      <c r="P343" s="216"/>
      <c r="Q343" s="216"/>
      <c r="R343" s="216"/>
      <c r="S343" s="216"/>
      <c r="T343" s="216"/>
      <c r="U343" s="216"/>
      <c r="V343" s="216"/>
      <c r="W343" s="216"/>
      <c r="X343" s="216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16"/>
      <c r="BB343" s="216"/>
      <c r="BC343" s="216"/>
      <c r="BD343" s="216"/>
      <c r="BE343" s="216"/>
      <c r="BF343" s="216"/>
      <c r="BG343" s="216"/>
      <c r="BH343" s="216"/>
      <c r="BI343" s="216"/>
      <c r="BJ343" s="216"/>
      <c r="BK343" s="216"/>
      <c r="BL343" s="216"/>
      <c r="BM343" s="216"/>
      <c r="BN343" s="216"/>
      <c r="BO343" s="216"/>
      <c r="BP343" s="216"/>
      <c r="BQ343" s="216"/>
      <c r="BR343" s="216"/>
    </row>
    <row r="344" spans="1:70" ht="12.75" x14ac:dyDescent="0.2">
      <c r="A344" s="214"/>
      <c r="B344" s="214"/>
      <c r="C344" s="214"/>
      <c r="D344" s="214"/>
      <c r="E344" s="214"/>
      <c r="F344" s="214"/>
      <c r="G344" s="214"/>
      <c r="H344" s="214"/>
      <c r="I344" s="214"/>
      <c r="J344" s="214"/>
      <c r="K344" s="214"/>
      <c r="L344" s="214"/>
      <c r="M344" s="215"/>
      <c r="N344" s="215"/>
      <c r="O344" s="216"/>
      <c r="P344" s="216"/>
      <c r="Q344" s="216"/>
      <c r="R344" s="216"/>
      <c r="S344" s="216"/>
      <c r="T344" s="216"/>
      <c r="U344" s="216"/>
      <c r="V344" s="216"/>
      <c r="W344" s="216"/>
      <c r="X344" s="216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  <c r="BI344" s="216"/>
      <c r="BJ344" s="216"/>
      <c r="BK344" s="216"/>
      <c r="BL344" s="216"/>
      <c r="BM344" s="216"/>
      <c r="BN344" s="216"/>
      <c r="BO344" s="216"/>
      <c r="BP344" s="216"/>
      <c r="BQ344" s="216"/>
      <c r="BR344" s="216"/>
    </row>
    <row r="345" spans="1:70" ht="12.75" x14ac:dyDescent="0.2">
      <c r="A345" s="214"/>
      <c r="B345" s="214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5"/>
      <c r="N345" s="215"/>
      <c r="O345" s="216"/>
      <c r="P345" s="216"/>
      <c r="Q345" s="216"/>
      <c r="R345" s="216"/>
      <c r="S345" s="216"/>
      <c r="T345" s="216"/>
      <c r="U345" s="216"/>
      <c r="V345" s="216"/>
      <c r="W345" s="216"/>
      <c r="X345" s="216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  <c r="BI345" s="216"/>
      <c r="BJ345" s="216"/>
      <c r="BK345" s="216"/>
      <c r="BL345" s="216"/>
      <c r="BM345" s="216"/>
      <c r="BN345" s="216"/>
      <c r="BO345" s="216"/>
      <c r="BP345" s="216"/>
      <c r="BQ345" s="216"/>
      <c r="BR345" s="216"/>
    </row>
    <row r="346" spans="1:70" ht="12.75" x14ac:dyDescent="0.2">
      <c r="A346" s="214"/>
      <c r="B346" s="214"/>
      <c r="C346" s="214"/>
      <c r="D346" s="214"/>
      <c r="E346" s="214"/>
      <c r="F346" s="214"/>
      <c r="G346" s="214"/>
      <c r="H346" s="214"/>
      <c r="I346" s="214"/>
      <c r="J346" s="214"/>
      <c r="K346" s="214"/>
      <c r="L346" s="214"/>
      <c r="M346" s="215"/>
      <c r="N346" s="215"/>
      <c r="O346" s="216"/>
      <c r="P346" s="216"/>
      <c r="Q346" s="216"/>
      <c r="R346" s="216"/>
      <c r="S346" s="216"/>
      <c r="T346" s="216"/>
      <c r="U346" s="216"/>
      <c r="V346" s="216"/>
      <c r="W346" s="216"/>
      <c r="X346" s="216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  <c r="BI346" s="216"/>
      <c r="BJ346" s="216"/>
      <c r="BK346" s="216"/>
      <c r="BL346" s="216"/>
      <c r="BM346" s="216"/>
      <c r="BN346" s="216"/>
      <c r="BO346" s="216"/>
      <c r="BP346" s="216"/>
      <c r="BQ346" s="216"/>
      <c r="BR346" s="216"/>
    </row>
    <row r="347" spans="1:70" ht="12.75" x14ac:dyDescent="0.2">
      <c r="A347" s="214"/>
      <c r="B347" s="214"/>
      <c r="C347" s="214"/>
      <c r="D347" s="214"/>
      <c r="E347" s="214"/>
      <c r="F347" s="214"/>
      <c r="G347" s="214"/>
      <c r="H347" s="214"/>
      <c r="I347" s="214"/>
      <c r="J347" s="214"/>
      <c r="K347" s="214"/>
      <c r="L347" s="214"/>
      <c r="M347" s="215"/>
      <c r="N347" s="215"/>
      <c r="O347" s="216"/>
      <c r="P347" s="216"/>
      <c r="Q347" s="216"/>
      <c r="R347" s="216"/>
      <c r="S347" s="216"/>
      <c r="T347" s="216"/>
      <c r="U347" s="216"/>
      <c r="V347" s="216"/>
      <c r="W347" s="216"/>
      <c r="X347" s="216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6"/>
      <c r="AX347" s="216"/>
      <c r="AY347" s="216"/>
      <c r="AZ347" s="216"/>
      <c r="BA347" s="216"/>
      <c r="BB347" s="216"/>
      <c r="BC347" s="216"/>
      <c r="BD347" s="216"/>
      <c r="BE347" s="216"/>
      <c r="BF347" s="216"/>
      <c r="BG347" s="216"/>
      <c r="BH347" s="216"/>
      <c r="BI347" s="216"/>
      <c r="BJ347" s="216"/>
      <c r="BK347" s="216"/>
      <c r="BL347" s="216"/>
      <c r="BM347" s="216"/>
      <c r="BN347" s="216"/>
      <c r="BO347" s="216"/>
      <c r="BP347" s="216"/>
      <c r="BQ347" s="216"/>
      <c r="BR347" s="216"/>
    </row>
    <row r="348" spans="1:70" ht="12.75" x14ac:dyDescent="0.2">
      <c r="A348" s="214"/>
      <c r="B348" s="214"/>
      <c r="C348" s="214"/>
      <c r="D348" s="214"/>
      <c r="E348" s="214"/>
      <c r="F348" s="214"/>
      <c r="G348" s="214"/>
      <c r="H348" s="214"/>
      <c r="I348" s="214"/>
      <c r="J348" s="214"/>
      <c r="K348" s="214"/>
      <c r="L348" s="214"/>
      <c r="M348" s="215"/>
      <c r="N348" s="215"/>
      <c r="O348" s="216"/>
      <c r="P348" s="216"/>
      <c r="Q348" s="216"/>
      <c r="R348" s="216"/>
      <c r="S348" s="216"/>
      <c r="T348" s="216"/>
      <c r="U348" s="216"/>
      <c r="V348" s="216"/>
      <c r="W348" s="216"/>
      <c r="X348" s="216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  <c r="AM348" s="216"/>
      <c r="AN348" s="216"/>
      <c r="AO348" s="216"/>
      <c r="AP348" s="216"/>
      <c r="AQ348" s="216"/>
      <c r="AR348" s="216"/>
      <c r="AS348" s="216"/>
      <c r="AT348" s="216"/>
      <c r="AU348" s="216"/>
      <c r="AV348" s="216"/>
      <c r="AW348" s="216"/>
      <c r="AX348" s="216"/>
      <c r="AY348" s="216"/>
      <c r="AZ348" s="216"/>
      <c r="BA348" s="216"/>
      <c r="BB348" s="216"/>
      <c r="BC348" s="216"/>
      <c r="BD348" s="216"/>
      <c r="BE348" s="216"/>
      <c r="BF348" s="216"/>
      <c r="BG348" s="216"/>
      <c r="BH348" s="216"/>
      <c r="BI348" s="216"/>
      <c r="BJ348" s="216"/>
      <c r="BK348" s="216"/>
      <c r="BL348" s="216"/>
      <c r="BM348" s="216"/>
      <c r="BN348" s="216"/>
      <c r="BO348" s="216"/>
      <c r="BP348" s="216"/>
      <c r="BQ348" s="216"/>
      <c r="BR348" s="216"/>
    </row>
    <row r="349" spans="1:70" ht="12.75" x14ac:dyDescent="0.2">
      <c r="A349" s="214"/>
      <c r="B349" s="214"/>
      <c r="C349" s="214"/>
      <c r="D349" s="214"/>
      <c r="E349" s="214"/>
      <c r="F349" s="214"/>
      <c r="G349" s="214"/>
      <c r="H349" s="214"/>
      <c r="I349" s="214"/>
      <c r="J349" s="214"/>
      <c r="K349" s="214"/>
      <c r="L349" s="214"/>
      <c r="M349" s="215"/>
      <c r="N349" s="215"/>
      <c r="O349" s="216"/>
      <c r="P349" s="216"/>
      <c r="Q349" s="216"/>
      <c r="R349" s="216"/>
      <c r="S349" s="216"/>
      <c r="T349" s="216"/>
      <c r="U349" s="216"/>
      <c r="V349" s="216"/>
      <c r="W349" s="216"/>
      <c r="X349" s="216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  <c r="BI349" s="216"/>
      <c r="BJ349" s="216"/>
      <c r="BK349" s="216"/>
      <c r="BL349" s="216"/>
      <c r="BM349" s="216"/>
      <c r="BN349" s="216"/>
      <c r="BO349" s="216"/>
      <c r="BP349" s="216"/>
      <c r="BQ349" s="216"/>
      <c r="BR349" s="216"/>
    </row>
    <row r="350" spans="1:70" ht="12.75" x14ac:dyDescent="0.2">
      <c r="A350" s="214"/>
      <c r="B350" s="214"/>
      <c r="C350" s="214"/>
      <c r="D350" s="214"/>
      <c r="E350" s="214"/>
      <c r="F350" s="214"/>
      <c r="G350" s="214"/>
      <c r="H350" s="214"/>
      <c r="I350" s="214"/>
      <c r="J350" s="214"/>
      <c r="K350" s="214"/>
      <c r="L350" s="214"/>
      <c r="M350" s="215"/>
      <c r="N350" s="215"/>
      <c r="O350" s="216"/>
      <c r="P350" s="216"/>
      <c r="Q350" s="216"/>
      <c r="R350" s="216"/>
      <c r="S350" s="216"/>
      <c r="T350" s="216"/>
      <c r="U350" s="216"/>
      <c r="V350" s="216"/>
      <c r="W350" s="216"/>
      <c r="X350" s="216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  <c r="BI350" s="216"/>
      <c r="BJ350" s="216"/>
      <c r="BK350" s="216"/>
      <c r="BL350" s="216"/>
      <c r="BM350" s="216"/>
      <c r="BN350" s="216"/>
      <c r="BO350" s="216"/>
      <c r="BP350" s="216"/>
      <c r="BQ350" s="216"/>
      <c r="BR350" s="216"/>
    </row>
    <row r="351" spans="1:70" ht="12.75" x14ac:dyDescent="0.2">
      <c r="A351" s="214"/>
      <c r="B351" s="214"/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5"/>
      <c r="N351" s="215"/>
      <c r="O351" s="216"/>
      <c r="P351" s="216"/>
      <c r="Q351" s="216"/>
      <c r="R351" s="216"/>
      <c r="S351" s="216"/>
      <c r="T351" s="216"/>
      <c r="U351" s="216"/>
      <c r="V351" s="216"/>
      <c r="W351" s="216"/>
      <c r="X351" s="216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6"/>
      <c r="BA351" s="216"/>
      <c r="BB351" s="216"/>
      <c r="BC351" s="216"/>
      <c r="BD351" s="216"/>
      <c r="BE351" s="216"/>
      <c r="BF351" s="216"/>
      <c r="BG351" s="216"/>
      <c r="BH351" s="216"/>
      <c r="BI351" s="216"/>
      <c r="BJ351" s="216"/>
      <c r="BK351" s="216"/>
      <c r="BL351" s="216"/>
      <c r="BM351" s="216"/>
      <c r="BN351" s="216"/>
      <c r="BO351" s="216"/>
      <c r="BP351" s="216"/>
      <c r="BQ351" s="216"/>
      <c r="BR351" s="216"/>
    </row>
    <row r="352" spans="1:70" ht="12.75" x14ac:dyDescent="0.2">
      <c r="A352" s="214"/>
      <c r="B352" s="214"/>
      <c r="C352" s="214"/>
      <c r="D352" s="214"/>
      <c r="E352" s="214"/>
      <c r="F352" s="214"/>
      <c r="G352" s="214"/>
      <c r="H352" s="214"/>
      <c r="I352" s="214"/>
      <c r="J352" s="214"/>
      <c r="K352" s="214"/>
      <c r="L352" s="214"/>
      <c r="M352" s="215"/>
      <c r="N352" s="215"/>
      <c r="O352" s="216"/>
      <c r="P352" s="216"/>
      <c r="Q352" s="216"/>
      <c r="R352" s="216"/>
      <c r="S352" s="216"/>
      <c r="T352" s="216"/>
      <c r="U352" s="216"/>
      <c r="V352" s="216"/>
      <c r="W352" s="216"/>
      <c r="X352" s="216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16"/>
      <c r="BB352" s="216"/>
      <c r="BC352" s="216"/>
      <c r="BD352" s="216"/>
      <c r="BE352" s="216"/>
      <c r="BF352" s="216"/>
      <c r="BG352" s="216"/>
      <c r="BH352" s="216"/>
      <c r="BI352" s="216"/>
      <c r="BJ352" s="216"/>
      <c r="BK352" s="216"/>
      <c r="BL352" s="216"/>
      <c r="BM352" s="216"/>
      <c r="BN352" s="216"/>
      <c r="BO352" s="216"/>
      <c r="BP352" s="216"/>
      <c r="BQ352" s="216"/>
      <c r="BR352" s="216"/>
    </row>
    <row r="353" spans="1:70" ht="12.75" x14ac:dyDescent="0.2">
      <c r="A353" s="214"/>
      <c r="B353" s="214"/>
      <c r="C353" s="214"/>
      <c r="D353" s="214"/>
      <c r="E353" s="214"/>
      <c r="F353" s="214"/>
      <c r="G353" s="214"/>
      <c r="H353" s="214"/>
      <c r="I353" s="214"/>
      <c r="J353" s="214"/>
      <c r="K353" s="214"/>
      <c r="L353" s="214"/>
      <c r="M353" s="215"/>
      <c r="N353" s="215"/>
      <c r="O353" s="216"/>
      <c r="P353" s="216"/>
      <c r="Q353" s="216"/>
      <c r="R353" s="216"/>
      <c r="S353" s="216"/>
      <c r="T353" s="216"/>
      <c r="U353" s="216"/>
      <c r="V353" s="216"/>
      <c r="W353" s="216"/>
      <c r="X353" s="216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  <c r="AM353" s="216"/>
      <c r="AN353" s="216"/>
      <c r="AO353" s="216"/>
      <c r="AP353" s="216"/>
      <c r="AQ353" s="216"/>
      <c r="AR353" s="216"/>
      <c r="AS353" s="216"/>
      <c r="AT353" s="216"/>
      <c r="AU353" s="216"/>
      <c r="AV353" s="216"/>
      <c r="AW353" s="216"/>
      <c r="AX353" s="216"/>
      <c r="AY353" s="216"/>
      <c r="AZ353" s="216"/>
      <c r="BA353" s="216"/>
      <c r="BB353" s="216"/>
      <c r="BC353" s="216"/>
      <c r="BD353" s="216"/>
      <c r="BE353" s="216"/>
      <c r="BF353" s="216"/>
      <c r="BG353" s="216"/>
      <c r="BH353" s="216"/>
      <c r="BI353" s="216"/>
      <c r="BJ353" s="216"/>
      <c r="BK353" s="216"/>
      <c r="BL353" s="216"/>
      <c r="BM353" s="216"/>
      <c r="BN353" s="216"/>
      <c r="BO353" s="216"/>
      <c r="BP353" s="216"/>
      <c r="BQ353" s="216"/>
      <c r="BR353" s="216"/>
    </row>
    <row r="354" spans="1:70" ht="12.75" x14ac:dyDescent="0.2">
      <c r="A354" s="214"/>
      <c r="B354" s="214"/>
      <c r="C354" s="214"/>
      <c r="D354" s="214"/>
      <c r="E354" s="214"/>
      <c r="F354" s="214"/>
      <c r="G354" s="214"/>
      <c r="H354" s="214"/>
      <c r="I354" s="214"/>
      <c r="J354" s="214"/>
      <c r="K354" s="214"/>
      <c r="L354" s="214"/>
      <c r="M354" s="215"/>
      <c r="N354" s="215"/>
      <c r="O354" s="216"/>
      <c r="P354" s="216"/>
      <c r="Q354" s="216"/>
      <c r="R354" s="216"/>
      <c r="S354" s="216"/>
      <c r="T354" s="216"/>
      <c r="U354" s="216"/>
      <c r="V354" s="216"/>
      <c r="W354" s="216"/>
      <c r="X354" s="216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6"/>
      <c r="BB354" s="216"/>
      <c r="BC354" s="216"/>
      <c r="BD354" s="216"/>
      <c r="BE354" s="216"/>
      <c r="BF354" s="216"/>
      <c r="BG354" s="216"/>
      <c r="BH354" s="216"/>
      <c r="BI354" s="216"/>
      <c r="BJ354" s="216"/>
      <c r="BK354" s="216"/>
      <c r="BL354" s="216"/>
      <c r="BM354" s="216"/>
      <c r="BN354" s="216"/>
      <c r="BO354" s="216"/>
      <c r="BP354" s="216"/>
      <c r="BQ354" s="216"/>
      <c r="BR354" s="216"/>
    </row>
    <row r="355" spans="1:70" ht="12.75" x14ac:dyDescent="0.2">
      <c r="A355" s="214"/>
      <c r="B355" s="214"/>
      <c r="C355" s="214"/>
      <c r="D355" s="214"/>
      <c r="E355" s="214"/>
      <c r="F355" s="214"/>
      <c r="G355" s="214"/>
      <c r="H355" s="214"/>
      <c r="I355" s="214"/>
      <c r="J355" s="214"/>
      <c r="K355" s="214"/>
      <c r="L355" s="214"/>
      <c r="M355" s="215"/>
      <c r="N355" s="215"/>
      <c r="O355" s="216"/>
      <c r="P355" s="216"/>
      <c r="Q355" s="216"/>
      <c r="R355" s="216"/>
      <c r="S355" s="216"/>
      <c r="T355" s="216"/>
      <c r="U355" s="216"/>
      <c r="V355" s="216"/>
      <c r="W355" s="216"/>
      <c r="X355" s="216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  <c r="AM355" s="216"/>
      <c r="AN355" s="216"/>
      <c r="AO355" s="216"/>
      <c r="AP355" s="216"/>
      <c r="AQ355" s="216"/>
      <c r="AR355" s="216"/>
      <c r="AS355" s="216"/>
      <c r="AT355" s="216"/>
      <c r="AU355" s="216"/>
      <c r="AV355" s="216"/>
      <c r="AW355" s="216"/>
      <c r="AX355" s="216"/>
      <c r="AY355" s="216"/>
      <c r="AZ355" s="216"/>
      <c r="BA355" s="216"/>
      <c r="BB355" s="216"/>
      <c r="BC355" s="216"/>
      <c r="BD355" s="216"/>
      <c r="BE355" s="216"/>
      <c r="BF355" s="216"/>
      <c r="BG355" s="216"/>
      <c r="BH355" s="216"/>
      <c r="BI355" s="216"/>
      <c r="BJ355" s="216"/>
      <c r="BK355" s="216"/>
      <c r="BL355" s="216"/>
      <c r="BM355" s="216"/>
      <c r="BN355" s="216"/>
      <c r="BO355" s="216"/>
      <c r="BP355" s="216"/>
      <c r="BQ355" s="216"/>
      <c r="BR355" s="216"/>
    </row>
    <row r="356" spans="1:70" ht="12.75" x14ac:dyDescent="0.2">
      <c r="A356" s="214"/>
      <c r="B356" s="214"/>
      <c r="C356" s="214"/>
      <c r="D356" s="214"/>
      <c r="E356" s="214"/>
      <c r="F356" s="214"/>
      <c r="G356" s="214"/>
      <c r="H356" s="214"/>
      <c r="I356" s="214"/>
      <c r="J356" s="214"/>
      <c r="K356" s="214"/>
      <c r="L356" s="214"/>
      <c r="M356" s="215"/>
      <c r="N356" s="215"/>
      <c r="O356" s="216"/>
      <c r="P356" s="216"/>
      <c r="Q356" s="216"/>
      <c r="R356" s="216"/>
      <c r="S356" s="216"/>
      <c r="T356" s="216"/>
      <c r="U356" s="216"/>
      <c r="V356" s="216"/>
      <c r="W356" s="216"/>
      <c r="X356" s="216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  <c r="BI356" s="216"/>
      <c r="BJ356" s="216"/>
      <c r="BK356" s="216"/>
      <c r="BL356" s="216"/>
      <c r="BM356" s="216"/>
      <c r="BN356" s="216"/>
      <c r="BO356" s="216"/>
      <c r="BP356" s="216"/>
      <c r="BQ356" s="216"/>
      <c r="BR356" s="216"/>
    </row>
    <row r="357" spans="1:70" ht="12.75" x14ac:dyDescent="0.2">
      <c r="A357" s="214"/>
      <c r="B357" s="214"/>
      <c r="C357" s="214"/>
      <c r="D357" s="214"/>
      <c r="E357" s="214"/>
      <c r="F357" s="214"/>
      <c r="G357" s="214"/>
      <c r="H357" s="214"/>
      <c r="I357" s="214"/>
      <c r="J357" s="214"/>
      <c r="K357" s="214"/>
      <c r="L357" s="214"/>
      <c r="M357" s="215"/>
      <c r="N357" s="215"/>
      <c r="O357" s="216"/>
      <c r="P357" s="216"/>
      <c r="Q357" s="216"/>
      <c r="R357" s="216"/>
      <c r="S357" s="216"/>
      <c r="T357" s="216"/>
      <c r="U357" s="216"/>
      <c r="V357" s="216"/>
      <c r="W357" s="216"/>
      <c r="X357" s="216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  <c r="BI357" s="216"/>
      <c r="BJ357" s="216"/>
      <c r="BK357" s="216"/>
      <c r="BL357" s="216"/>
      <c r="BM357" s="216"/>
      <c r="BN357" s="216"/>
      <c r="BO357" s="216"/>
      <c r="BP357" s="216"/>
      <c r="BQ357" s="216"/>
      <c r="BR357" s="216"/>
    </row>
    <row r="358" spans="1:70" ht="12.75" x14ac:dyDescent="0.2">
      <c r="A358" s="214"/>
      <c r="B358" s="214"/>
      <c r="C358" s="214"/>
      <c r="D358" s="214"/>
      <c r="E358" s="214"/>
      <c r="F358" s="214"/>
      <c r="G358" s="214"/>
      <c r="H358" s="214"/>
      <c r="I358" s="214"/>
      <c r="J358" s="214"/>
      <c r="K358" s="214"/>
      <c r="L358" s="214"/>
      <c r="M358" s="215"/>
      <c r="N358" s="215"/>
      <c r="O358" s="216"/>
      <c r="P358" s="216"/>
      <c r="Q358" s="216"/>
      <c r="R358" s="216"/>
      <c r="S358" s="216"/>
      <c r="T358" s="216"/>
      <c r="U358" s="216"/>
      <c r="V358" s="216"/>
      <c r="W358" s="216"/>
      <c r="X358" s="216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  <c r="BI358" s="216"/>
      <c r="BJ358" s="216"/>
      <c r="BK358" s="216"/>
      <c r="BL358" s="216"/>
      <c r="BM358" s="216"/>
      <c r="BN358" s="216"/>
      <c r="BO358" s="216"/>
      <c r="BP358" s="216"/>
      <c r="BQ358" s="216"/>
      <c r="BR358" s="216"/>
    </row>
    <row r="359" spans="1:70" ht="12.75" x14ac:dyDescent="0.2">
      <c r="A359" s="214"/>
      <c r="B359" s="214"/>
      <c r="C359" s="214"/>
      <c r="D359" s="214"/>
      <c r="E359" s="214"/>
      <c r="F359" s="214"/>
      <c r="G359" s="214"/>
      <c r="H359" s="214"/>
      <c r="I359" s="214"/>
      <c r="J359" s="214"/>
      <c r="K359" s="214"/>
      <c r="L359" s="214"/>
      <c r="M359" s="215"/>
      <c r="N359" s="215"/>
      <c r="O359" s="216"/>
      <c r="P359" s="216"/>
      <c r="Q359" s="216"/>
      <c r="R359" s="216"/>
      <c r="S359" s="216"/>
      <c r="T359" s="216"/>
      <c r="U359" s="216"/>
      <c r="V359" s="216"/>
      <c r="W359" s="216"/>
      <c r="X359" s="216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  <c r="BI359" s="216"/>
      <c r="BJ359" s="216"/>
      <c r="BK359" s="216"/>
      <c r="BL359" s="216"/>
      <c r="BM359" s="216"/>
      <c r="BN359" s="216"/>
      <c r="BO359" s="216"/>
      <c r="BP359" s="216"/>
      <c r="BQ359" s="216"/>
      <c r="BR359" s="216"/>
    </row>
    <row r="360" spans="1:70" ht="12.75" x14ac:dyDescent="0.2">
      <c r="A360" s="214"/>
      <c r="B360" s="214"/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5"/>
      <c r="N360" s="215"/>
      <c r="O360" s="216"/>
      <c r="P360" s="216"/>
      <c r="Q360" s="216"/>
      <c r="R360" s="216"/>
      <c r="S360" s="216"/>
      <c r="T360" s="216"/>
      <c r="U360" s="216"/>
      <c r="V360" s="216"/>
      <c r="W360" s="216"/>
      <c r="X360" s="216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  <c r="BI360" s="216"/>
      <c r="BJ360" s="216"/>
      <c r="BK360" s="216"/>
      <c r="BL360" s="216"/>
      <c r="BM360" s="216"/>
      <c r="BN360" s="216"/>
      <c r="BO360" s="216"/>
      <c r="BP360" s="216"/>
      <c r="BQ360" s="216"/>
      <c r="BR360" s="216"/>
    </row>
    <row r="361" spans="1:70" ht="12.75" x14ac:dyDescent="0.2">
      <c r="A361" s="214"/>
      <c r="B361" s="214"/>
      <c r="C361" s="214"/>
      <c r="D361" s="214"/>
      <c r="E361" s="214"/>
      <c r="F361" s="214"/>
      <c r="G361" s="214"/>
      <c r="H361" s="214"/>
      <c r="I361" s="214"/>
      <c r="J361" s="214"/>
      <c r="K361" s="214"/>
      <c r="L361" s="214"/>
      <c r="M361" s="215"/>
      <c r="N361" s="215"/>
      <c r="O361" s="216"/>
      <c r="P361" s="216"/>
      <c r="Q361" s="216"/>
      <c r="R361" s="216"/>
      <c r="S361" s="216"/>
      <c r="T361" s="216"/>
      <c r="U361" s="216"/>
      <c r="V361" s="216"/>
      <c r="W361" s="216"/>
      <c r="X361" s="216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  <c r="AM361" s="216"/>
      <c r="AN361" s="216"/>
      <c r="AO361" s="216"/>
      <c r="AP361" s="216"/>
      <c r="AQ361" s="216"/>
      <c r="AR361" s="216"/>
      <c r="AS361" s="216"/>
      <c r="AT361" s="216"/>
      <c r="AU361" s="216"/>
      <c r="AV361" s="216"/>
      <c r="AW361" s="216"/>
      <c r="AX361" s="216"/>
      <c r="AY361" s="216"/>
      <c r="AZ361" s="216"/>
      <c r="BA361" s="216"/>
      <c r="BB361" s="216"/>
      <c r="BC361" s="216"/>
      <c r="BD361" s="216"/>
      <c r="BE361" s="216"/>
      <c r="BF361" s="216"/>
      <c r="BG361" s="216"/>
      <c r="BH361" s="216"/>
      <c r="BI361" s="216"/>
      <c r="BJ361" s="216"/>
      <c r="BK361" s="216"/>
      <c r="BL361" s="216"/>
      <c r="BM361" s="216"/>
      <c r="BN361" s="216"/>
      <c r="BO361" s="216"/>
      <c r="BP361" s="216"/>
      <c r="BQ361" s="216"/>
      <c r="BR361" s="216"/>
    </row>
    <row r="362" spans="1:70" ht="12.75" x14ac:dyDescent="0.2">
      <c r="A362" s="214"/>
      <c r="B362" s="214"/>
      <c r="C362" s="214"/>
      <c r="D362" s="214"/>
      <c r="E362" s="214"/>
      <c r="F362" s="214"/>
      <c r="G362" s="214"/>
      <c r="H362" s="214"/>
      <c r="I362" s="214"/>
      <c r="J362" s="214"/>
      <c r="K362" s="214"/>
      <c r="L362" s="214"/>
      <c r="M362" s="215"/>
      <c r="N362" s="215"/>
      <c r="O362" s="216"/>
      <c r="P362" s="216"/>
      <c r="Q362" s="216"/>
      <c r="R362" s="216"/>
      <c r="S362" s="216"/>
      <c r="T362" s="216"/>
      <c r="U362" s="216"/>
      <c r="V362" s="216"/>
      <c r="W362" s="216"/>
      <c r="X362" s="216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  <c r="AM362" s="216"/>
      <c r="AN362" s="216"/>
      <c r="AO362" s="216"/>
      <c r="AP362" s="216"/>
      <c r="AQ362" s="216"/>
      <c r="AR362" s="216"/>
      <c r="AS362" s="216"/>
      <c r="AT362" s="216"/>
      <c r="AU362" s="216"/>
      <c r="AV362" s="216"/>
      <c r="AW362" s="216"/>
      <c r="AX362" s="216"/>
      <c r="AY362" s="216"/>
      <c r="AZ362" s="216"/>
      <c r="BA362" s="216"/>
      <c r="BB362" s="216"/>
      <c r="BC362" s="216"/>
      <c r="BD362" s="216"/>
      <c r="BE362" s="216"/>
      <c r="BF362" s="216"/>
      <c r="BG362" s="216"/>
      <c r="BH362" s="216"/>
      <c r="BI362" s="216"/>
      <c r="BJ362" s="216"/>
      <c r="BK362" s="216"/>
      <c r="BL362" s="216"/>
      <c r="BM362" s="216"/>
      <c r="BN362" s="216"/>
      <c r="BO362" s="216"/>
      <c r="BP362" s="216"/>
      <c r="BQ362" s="216"/>
      <c r="BR362" s="216"/>
    </row>
    <row r="363" spans="1:70" ht="12.75" x14ac:dyDescent="0.2">
      <c r="A363" s="214"/>
      <c r="B363" s="214"/>
      <c r="C363" s="214"/>
      <c r="D363" s="214"/>
      <c r="E363" s="214"/>
      <c r="F363" s="214"/>
      <c r="G363" s="214"/>
      <c r="H363" s="214"/>
      <c r="I363" s="214"/>
      <c r="J363" s="214"/>
      <c r="K363" s="214"/>
      <c r="L363" s="214"/>
      <c r="M363" s="215"/>
      <c r="N363" s="215"/>
      <c r="O363" s="216"/>
      <c r="P363" s="216"/>
      <c r="Q363" s="216"/>
      <c r="R363" s="216"/>
      <c r="S363" s="216"/>
      <c r="T363" s="216"/>
      <c r="U363" s="216"/>
      <c r="V363" s="216"/>
      <c r="W363" s="216"/>
      <c r="X363" s="216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16"/>
      <c r="AN363" s="216"/>
      <c r="AO363" s="216"/>
      <c r="AP363" s="216"/>
      <c r="AQ363" s="216"/>
      <c r="AR363" s="216"/>
      <c r="AS363" s="216"/>
      <c r="AT363" s="216"/>
      <c r="AU363" s="216"/>
      <c r="AV363" s="216"/>
      <c r="AW363" s="216"/>
      <c r="AX363" s="216"/>
      <c r="AY363" s="216"/>
      <c r="AZ363" s="216"/>
      <c r="BA363" s="216"/>
      <c r="BB363" s="216"/>
      <c r="BC363" s="216"/>
      <c r="BD363" s="216"/>
      <c r="BE363" s="216"/>
      <c r="BF363" s="216"/>
      <c r="BG363" s="216"/>
      <c r="BH363" s="216"/>
      <c r="BI363" s="216"/>
      <c r="BJ363" s="216"/>
      <c r="BK363" s="216"/>
      <c r="BL363" s="216"/>
      <c r="BM363" s="216"/>
      <c r="BN363" s="216"/>
      <c r="BO363" s="216"/>
      <c r="BP363" s="216"/>
      <c r="BQ363" s="216"/>
      <c r="BR363" s="216"/>
    </row>
    <row r="364" spans="1:70" ht="12.75" x14ac:dyDescent="0.2">
      <c r="A364" s="214"/>
      <c r="B364" s="214"/>
      <c r="C364" s="214"/>
      <c r="D364" s="214"/>
      <c r="E364" s="214"/>
      <c r="F364" s="214"/>
      <c r="G364" s="214"/>
      <c r="H364" s="214"/>
      <c r="I364" s="214"/>
      <c r="J364" s="214"/>
      <c r="K364" s="214"/>
      <c r="L364" s="214"/>
      <c r="M364" s="215"/>
      <c r="N364" s="215"/>
      <c r="O364" s="216"/>
      <c r="P364" s="216"/>
      <c r="Q364" s="216"/>
      <c r="R364" s="216"/>
      <c r="S364" s="216"/>
      <c r="T364" s="216"/>
      <c r="U364" s="216"/>
      <c r="V364" s="216"/>
      <c r="W364" s="216"/>
      <c r="X364" s="216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  <c r="AM364" s="216"/>
      <c r="AN364" s="216"/>
      <c r="AO364" s="216"/>
      <c r="AP364" s="216"/>
      <c r="AQ364" s="216"/>
      <c r="AR364" s="216"/>
      <c r="AS364" s="216"/>
      <c r="AT364" s="216"/>
      <c r="AU364" s="216"/>
      <c r="AV364" s="216"/>
      <c r="AW364" s="216"/>
      <c r="AX364" s="216"/>
      <c r="AY364" s="216"/>
      <c r="AZ364" s="216"/>
      <c r="BA364" s="216"/>
      <c r="BB364" s="216"/>
      <c r="BC364" s="216"/>
      <c r="BD364" s="216"/>
      <c r="BE364" s="216"/>
      <c r="BF364" s="216"/>
      <c r="BG364" s="216"/>
      <c r="BH364" s="216"/>
      <c r="BI364" s="216"/>
      <c r="BJ364" s="216"/>
      <c r="BK364" s="216"/>
      <c r="BL364" s="216"/>
      <c r="BM364" s="216"/>
      <c r="BN364" s="216"/>
      <c r="BO364" s="216"/>
      <c r="BP364" s="216"/>
      <c r="BQ364" s="216"/>
      <c r="BR364" s="216"/>
    </row>
    <row r="365" spans="1:70" ht="12.75" x14ac:dyDescent="0.2">
      <c r="A365" s="214"/>
      <c r="B365" s="214"/>
      <c r="C365" s="214"/>
      <c r="D365" s="214"/>
      <c r="E365" s="214"/>
      <c r="F365" s="214"/>
      <c r="G365" s="214"/>
      <c r="H365" s="214"/>
      <c r="I365" s="214"/>
      <c r="J365" s="214"/>
      <c r="K365" s="214"/>
      <c r="L365" s="214"/>
      <c r="M365" s="215"/>
      <c r="N365" s="215"/>
      <c r="O365" s="216"/>
      <c r="P365" s="216"/>
      <c r="Q365" s="216"/>
      <c r="R365" s="216"/>
      <c r="S365" s="216"/>
      <c r="T365" s="216"/>
      <c r="U365" s="216"/>
      <c r="V365" s="216"/>
      <c r="W365" s="216"/>
      <c r="X365" s="216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16"/>
      <c r="AN365" s="216"/>
      <c r="AO365" s="216"/>
      <c r="AP365" s="216"/>
      <c r="AQ365" s="216"/>
      <c r="AR365" s="216"/>
      <c r="AS365" s="216"/>
      <c r="AT365" s="216"/>
      <c r="AU365" s="216"/>
      <c r="AV365" s="216"/>
      <c r="AW365" s="216"/>
      <c r="AX365" s="216"/>
      <c r="AY365" s="216"/>
      <c r="AZ365" s="216"/>
      <c r="BA365" s="216"/>
      <c r="BB365" s="216"/>
      <c r="BC365" s="216"/>
      <c r="BD365" s="216"/>
      <c r="BE365" s="216"/>
      <c r="BF365" s="216"/>
      <c r="BG365" s="216"/>
      <c r="BH365" s="216"/>
      <c r="BI365" s="216"/>
      <c r="BJ365" s="216"/>
      <c r="BK365" s="216"/>
      <c r="BL365" s="216"/>
      <c r="BM365" s="216"/>
      <c r="BN365" s="216"/>
      <c r="BO365" s="216"/>
      <c r="BP365" s="216"/>
      <c r="BQ365" s="216"/>
      <c r="BR365" s="216"/>
    </row>
    <row r="366" spans="1:70" ht="12.75" x14ac:dyDescent="0.2">
      <c r="A366" s="214"/>
      <c r="B366" s="214"/>
      <c r="C366" s="214"/>
      <c r="D366" s="214"/>
      <c r="E366" s="214"/>
      <c r="F366" s="214"/>
      <c r="G366" s="214"/>
      <c r="H366" s="214"/>
      <c r="I366" s="214"/>
      <c r="J366" s="214"/>
      <c r="K366" s="214"/>
      <c r="L366" s="214"/>
      <c r="M366" s="215"/>
      <c r="N366" s="215"/>
      <c r="O366" s="216"/>
      <c r="P366" s="216"/>
      <c r="Q366" s="216"/>
      <c r="R366" s="216"/>
      <c r="S366" s="216"/>
      <c r="T366" s="216"/>
      <c r="U366" s="216"/>
      <c r="V366" s="216"/>
      <c r="W366" s="216"/>
      <c r="X366" s="216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6"/>
      <c r="AV366" s="216"/>
      <c r="AW366" s="216"/>
      <c r="AX366" s="216"/>
      <c r="AY366" s="216"/>
      <c r="AZ366" s="216"/>
      <c r="BA366" s="216"/>
      <c r="BB366" s="216"/>
      <c r="BC366" s="216"/>
      <c r="BD366" s="216"/>
      <c r="BE366" s="216"/>
      <c r="BF366" s="216"/>
      <c r="BG366" s="216"/>
      <c r="BH366" s="216"/>
      <c r="BI366" s="216"/>
      <c r="BJ366" s="216"/>
      <c r="BK366" s="216"/>
      <c r="BL366" s="216"/>
      <c r="BM366" s="216"/>
      <c r="BN366" s="216"/>
      <c r="BO366" s="216"/>
      <c r="BP366" s="216"/>
      <c r="BQ366" s="216"/>
      <c r="BR366" s="216"/>
    </row>
    <row r="367" spans="1:70" ht="12.75" x14ac:dyDescent="0.2">
      <c r="A367" s="214"/>
      <c r="B367" s="214"/>
      <c r="C367" s="214"/>
      <c r="D367" s="214"/>
      <c r="E367" s="214"/>
      <c r="F367" s="214"/>
      <c r="G367" s="214"/>
      <c r="H367" s="214"/>
      <c r="I367" s="214"/>
      <c r="J367" s="214"/>
      <c r="K367" s="214"/>
      <c r="L367" s="214"/>
      <c r="M367" s="215"/>
      <c r="N367" s="215"/>
      <c r="O367" s="216"/>
      <c r="P367" s="216"/>
      <c r="Q367" s="216"/>
      <c r="R367" s="216"/>
      <c r="S367" s="216"/>
      <c r="T367" s="216"/>
      <c r="U367" s="216"/>
      <c r="V367" s="216"/>
      <c r="W367" s="216"/>
      <c r="X367" s="216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  <c r="AM367" s="216"/>
      <c r="AN367" s="216"/>
      <c r="AO367" s="216"/>
      <c r="AP367" s="216"/>
      <c r="AQ367" s="216"/>
      <c r="AR367" s="216"/>
      <c r="AS367" s="216"/>
      <c r="AT367" s="216"/>
      <c r="AU367" s="216"/>
      <c r="AV367" s="216"/>
      <c r="AW367" s="216"/>
      <c r="AX367" s="216"/>
      <c r="AY367" s="216"/>
      <c r="AZ367" s="216"/>
      <c r="BA367" s="216"/>
      <c r="BB367" s="216"/>
      <c r="BC367" s="216"/>
      <c r="BD367" s="216"/>
      <c r="BE367" s="216"/>
      <c r="BF367" s="216"/>
      <c r="BG367" s="216"/>
      <c r="BH367" s="216"/>
      <c r="BI367" s="216"/>
      <c r="BJ367" s="216"/>
      <c r="BK367" s="216"/>
      <c r="BL367" s="216"/>
      <c r="BM367" s="216"/>
      <c r="BN367" s="216"/>
      <c r="BO367" s="216"/>
      <c r="BP367" s="216"/>
      <c r="BQ367" s="216"/>
      <c r="BR367" s="216"/>
    </row>
    <row r="368" spans="1:70" ht="12.75" x14ac:dyDescent="0.2">
      <c r="A368" s="214"/>
      <c r="B368" s="214"/>
      <c r="C368" s="214"/>
      <c r="D368" s="214"/>
      <c r="E368" s="214"/>
      <c r="F368" s="214"/>
      <c r="G368" s="214"/>
      <c r="H368" s="214"/>
      <c r="I368" s="214"/>
      <c r="J368" s="214"/>
      <c r="K368" s="214"/>
      <c r="L368" s="214"/>
      <c r="M368" s="215"/>
      <c r="N368" s="215"/>
      <c r="O368" s="216"/>
      <c r="P368" s="216"/>
      <c r="Q368" s="216"/>
      <c r="R368" s="216"/>
      <c r="S368" s="216"/>
      <c r="T368" s="216"/>
      <c r="U368" s="216"/>
      <c r="V368" s="216"/>
      <c r="W368" s="216"/>
      <c r="X368" s="216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  <c r="AM368" s="216"/>
      <c r="AN368" s="216"/>
      <c r="AO368" s="216"/>
      <c r="AP368" s="216"/>
      <c r="AQ368" s="216"/>
      <c r="AR368" s="216"/>
      <c r="AS368" s="216"/>
      <c r="AT368" s="216"/>
      <c r="AU368" s="216"/>
      <c r="AV368" s="216"/>
      <c r="AW368" s="216"/>
      <c r="AX368" s="216"/>
      <c r="AY368" s="216"/>
      <c r="AZ368" s="216"/>
      <c r="BA368" s="216"/>
      <c r="BB368" s="216"/>
      <c r="BC368" s="216"/>
      <c r="BD368" s="216"/>
      <c r="BE368" s="216"/>
      <c r="BF368" s="216"/>
      <c r="BG368" s="216"/>
      <c r="BH368" s="216"/>
      <c r="BI368" s="216"/>
      <c r="BJ368" s="216"/>
      <c r="BK368" s="216"/>
      <c r="BL368" s="216"/>
      <c r="BM368" s="216"/>
      <c r="BN368" s="216"/>
      <c r="BO368" s="216"/>
      <c r="BP368" s="216"/>
      <c r="BQ368" s="216"/>
      <c r="BR368" s="216"/>
    </row>
    <row r="369" spans="1:70" ht="12.75" x14ac:dyDescent="0.2">
      <c r="A369" s="214"/>
      <c r="B369" s="214"/>
      <c r="C369" s="214"/>
      <c r="D369" s="214"/>
      <c r="E369" s="214"/>
      <c r="F369" s="214"/>
      <c r="G369" s="214"/>
      <c r="H369" s="214"/>
      <c r="I369" s="214"/>
      <c r="J369" s="214"/>
      <c r="K369" s="214"/>
      <c r="L369" s="214"/>
      <c r="M369" s="215"/>
      <c r="N369" s="215"/>
      <c r="O369" s="216"/>
      <c r="P369" s="216"/>
      <c r="Q369" s="216"/>
      <c r="R369" s="216"/>
      <c r="S369" s="216"/>
      <c r="T369" s="216"/>
      <c r="U369" s="216"/>
      <c r="V369" s="216"/>
      <c r="W369" s="216"/>
      <c r="X369" s="216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  <c r="AM369" s="216"/>
      <c r="AN369" s="216"/>
      <c r="AO369" s="216"/>
      <c r="AP369" s="216"/>
      <c r="AQ369" s="216"/>
      <c r="AR369" s="216"/>
      <c r="AS369" s="216"/>
      <c r="AT369" s="216"/>
      <c r="AU369" s="216"/>
      <c r="AV369" s="216"/>
      <c r="AW369" s="216"/>
      <c r="AX369" s="216"/>
      <c r="AY369" s="216"/>
      <c r="AZ369" s="216"/>
      <c r="BA369" s="216"/>
      <c r="BB369" s="216"/>
      <c r="BC369" s="216"/>
      <c r="BD369" s="216"/>
      <c r="BE369" s="216"/>
      <c r="BF369" s="216"/>
      <c r="BG369" s="216"/>
      <c r="BH369" s="216"/>
      <c r="BI369" s="216"/>
      <c r="BJ369" s="216"/>
      <c r="BK369" s="216"/>
      <c r="BL369" s="216"/>
      <c r="BM369" s="216"/>
      <c r="BN369" s="216"/>
      <c r="BO369" s="216"/>
      <c r="BP369" s="216"/>
      <c r="BQ369" s="216"/>
      <c r="BR369" s="216"/>
    </row>
    <row r="370" spans="1:70" ht="12.75" x14ac:dyDescent="0.2">
      <c r="A370" s="214"/>
      <c r="B370" s="214"/>
      <c r="C370" s="214"/>
      <c r="D370" s="214"/>
      <c r="E370" s="214"/>
      <c r="F370" s="214"/>
      <c r="G370" s="214"/>
      <c r="H370" s="214"/>
      <c r="I370" s="214"/>
      <c r="J370" s="214"/>
      <c r="K370" s="214"/>
      <c r="L370" s="214"/>
      <c r="M370" s="215"/>
      <c r="N370" s="215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16"/>
      <c r="BB370" s="216"/>
      <c r="BC370" s="216"/>
      <c r="BD370" s="216"/>
      <c r="BE370" s="216"/>
      <c r="BF370" s="216"/>
      <c r="BG370" s="216"/>
      <c r="BH370" s="216"/>
      <c r="BI370" s="216"/>
      <c r="BJ370" s="216"/>
      <c r="BK370" s="216"/>
      <c r="BL370" s="216"/>
      <c r="BM370" s="216"/>
      <c r="BN370" s="216"/>
      <c r="BO370" s="216"/>
      <c r="BP370" s="216"/>
      <c r="BQ370" s="216"/>
      <c r="BR370" s="216"/>
    </row>
    <row r="371" spans="1:70" ht="12.75" x14ac:dyDescent="0.2">
      <c r="A371" s="214"/>
      <c r="B371" s="214"/>
      <c r="C371" s="214"/>
      <c r="D371" s="214"/>
      <c r="E371" s="214"/>
      <c r="F371" s="214"/>
      <c r="G371" s="214"/>
      <c r="H371" s="214"/>
      <c r="I371" s="214"/>
      <c r="J371" s="214"/>
      <c r="K371" s="214"/>
      <c r="L371" s="214"/>
      <c r="M371" s="215"/>
      <c r="N371" s="215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  <c r="BI371" s="216"/>
      <c r="BJ371" s="216"/>
      <c r="BK371" s="216"/>
      <c r="BL371" s="216"/>
      <c r="BM371" s="216"/>
      <c r="BN371" s="216"/>
      <c r="BO371" s="216"/>
      <c r="BP371" s="216"/>
      <c r="BQ371" s="216"/>
      <c r="BR371" s="216"/>
    </row>
    <row r="372" spans="1:70" ht="12.75" x14ac:dyDescent="0.2">
      <c r="A372" s="214"/>
      <c r="B372" s="214"/>
      <c r="C372" s="214"/>
      <c r="D372" s="214"/>
      <c r="E372" s="214"/>
      <c r="F372" s="214"/>
      <c r="G372" s="214"/>
      <c r="H372" s="214"/>
      <c r="I372" s="214"/>
      <c r="J372" s="214"/>
      <c r="K372" s="214"/>
      <c r="L372" s="214"/>
      <c r="M372" s="215"/>
      <c r="N372" s="215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  <c r="BI372" s="216"/>
      <c r="BJ372" s="216"/>
      <c r="BK372" s="216"/>
      <c r="BL372" s="216"/>
      <c r="BM372" s="216"/>
      <c r="BN372" s="216"/>
      <c r="BO372" s="216"/>
      <c r="BP372" s="216"/>
      <c r="BQ372" s="216"/>
      <c r="BR372" s="216"/>
    </row>
    <row r="373" spans="1:70" ht="12.75" x14ac:dyDescent="0.2">
      <c r="A373" s="214"/>
      <c r="B373" s="214"/>
      <c r="C373" s="214"/>
      <c r="D373" s="214"/>
      <c r="E373" s="214"/>
      <c r="F373" s="214"/>
      <c r="G373" s="214"/>
      <c r="H373" s="214"/>
      <c r="I373" s="214"/>
      <c r="J373" s="214"/>
      <c r="K373" s="214"/>
      <c r="L373" s="214"/>
      <c r="M373" s="215"/>
      <c r="N373" s="215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16"/>
      <c r="BB373" s="216"/>
      <c r="BC373" s="216"/>
      <c r="BD373" s="216"/>
      <c r="BE373" s="216"/>
      <c r="BF373" s="216"/>
      <c r="BG373" s="216"/>
      <c r="BH373" s="216"/>
      <c r="BI373" s="216"/>
      <c r="BJ373" s="216"/>
      <c r="BK373" s="216"/>
      <c r="BL373" s="216"/>
      <c r="BM373" s="216"/>
      <c r="BN373" s="216"/>
      <c r="BO373" s="216"/>
      <c r="BP373" s="216"/>
      <c r="BQ373" s="216"/>
      <c r="BR373" s="216"/>
    </row>
    <row r="374" spans="1:70" ht="12.75" x14ac:dyDescent="0.2">
      <c r="A374" s="214"/>
      <c r="B374" s="214"/>
      <c r="C374" s="214"/>
      <c r="D374" s="214"/>
      <c r="E374" s="214"/>
      <c r="F374" s="214"/>
      <c r="G374" s="214"/>
      <c r="H374" s="214"/>
      <c r="I374" s="214"/>
      <c r="J374" s="214"/>
      <c r="K374" s="214"/>
      <c r="L374" s="214"/>
      <c r="M374" s="215"/>
      <c r="N374" s="215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  <c r="BI374" s="216"/>
      <c r="BJ374" s="216"/>
      <c r="BK374" s="216"/>
      <c r="BL374" s="216"/>
      <c r="BM374" s="216"/>
      <c r="BN374" s="216"/>
      <c r="BO374" s="216"/>
      <c r="BP374" s="216"/>
      <c r="BQ374" s="216"/>
      <c r="BR374" s="216"/>
    </row>
    <row r="375" spans="1:70" ht="12.75" x14ac:dyDescent="0.2">
      <c r="A375" s="214"/>
      <c r="B375" s="214"/>
      <c r="C375" s="214"/>
      <c r="D375" s="214"/>
      <c r="E375" s="214"/>
      <c r="F375" s="214"/>
      <c r="G375" s="214"/>
      <c r="H375" s="214"/>
      <c r="I375" s="214"/>
      <c r="J375" s="214"/>
      <c r="K375" s="214"/>
      <c r="L375" s="214"/>
      <c r="M375" s="215"/>
      <c r="N375" s="215"/>
      <c r="O375" s="216"/>
      <c r="P375" s="216"/>
      <c r="Q375" s="216"/>
      <c r="R375" s="216"/>
      <c r="S375" s="216"/>
      <c r="T375" s="216"/>
      <c r="U375" s="216"/>
      <c r="V375" s="216"/>
      <c r="W375" s="216"/>
      <c r="X375" s="216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/>
      <c r="AS375" s="216"/>
      <c r="AT375" s="216"/>
      <c r="AU375" s="216"/>
      <c r="AV375" s="216"/>
      <c r="AW375" s="216"/>
      <c r="AX375" s="216"/>
      <c r="AY375" s="216"/>
      <c r="AZ375" s="216"/>
      <c r="BA375" s="216"/>
      <c r="BB375" s="216"/>
      <c r="BC375" s="216"/>
      <c r="BD375" s="216"/>
      <c r="BE375" s="216"/>
      <c r="BF375" s="216"/>
      <c r="BG375" s="216"/>
      <c r="BH375" s="216"/>
      <c r="BI375" s="216"/>
      <c r="BJ375" s="216"/>
      <c r="BK375" s="216"/>
      <c r="BL375" s="216"/>
      <c r="BM375" s="216"/>
      <c r="BN375" s="216"/>
      <c r="BO375" s="216"/>
      <c r="BP375" s="216"/>
      <c r="BQ375" s="216"/>
      <c r="BR375" s="216"/>
    </row>
    <row r="376" spans="1:70" ht="12.75" x14ac:dyDescent="0.2">
      <c r="A376" s="214"/>
      <c r="B376" s="214"/>
      <c r="C376" s="214"/>
      <c r="D376" s="214"/>
      <c r="E376" s="214"/>
      <c r="F376" s="214"/>
      <c r="G376" s="214"/>
      <c r="H376" s="214"/>
      <c r="I376" s="214"/>
      <c r="J376" s="214"/>
      <c r="K376" s="214"/>
      <c r="L376" s="214"/>
      <c r="M376" s="215"/>
      <c r="N376" s="215"/>
      <c r="O376" s="216"/>
      <c r="P376" s="216"/>
      <c r="Q376" s="216"/>
      <c r="R376" s="216"/>
      <c r="S376" s="216"/>
      <c r="T376" s="216"/>
      <c r="U376" s="216"/>
      <c r="V376" s="216"/>
      <c r="W376" s="216"/>
      <c r="X376" s="216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16"/>
      <c r="AN376" s="216"/>
      <c r="AO376" s="216"/>
      <c r="AP376" s="216"/>
      <c r="AQ376" s="216"/>
      <c r="AR376" s="216"/>
      <c r="AS376" s="216"/>
      <c r="AT376" s="216"/>
      <c r="AU376" s="216"/>
      <c r="AV376" s="216"/>
      <c r="AW376" s="216"/>
      <c r="AX376" s="216"/>
      <c r="AY376" s="216"/>
      <c r="AZ376" s="216"/>
      <c r="BA376" s="216"/>
      <c r="BB376" s="216"/>
      <c r="BC376" s="216"/>
      <c r="BD376" s="216"/>
      <c r="BE376" s="216"/>
      <c r="BF376" s="216"/>
      <c r="BG376" s="216"/>
      <c r="BH376" s="216"/>
      <c r="BI376" s="216"/>
      <c r="BJ376" s="216"/>
      <c r="BK376" s="216"/>
      <c r="BL376" s="216"/>
      <c r="BM376" s="216"/>
      <c r="BN376" s="216"/>
      <c r="BO376" s="216"/>
      <c r="BP376" s="216"/>
      <c r="BQ376" s="216"/>
      <c r="BR376" s="216"/>
    </row>
    <row r="377" spans="1:70" ht="12.75" x14ac:dyDescent="0.2">
      <c r="A377" s="214"/>
      <c r="B377" s="214"/>
      <c r="C377" s="214"/>
      <c r="D377" s="214"/>
      <c r="E377" s="214"/>
      <c r="F377" s="214"/>
      <c r="G377" s="214"/>
      <c r="H377" s="214"/>
      <c r="I377" s="214"/>
      <c r="J377" s="214"/>
      <c r="K377" s="214"/>
      <c r="L377" s="214"/>
      <c r="M377" s="215"/>
      <c r="N377" s="215"/>
      <c r="O377" s="216"/>
      <c r="P377" s="216"/>
      <c r="Q377" s="216"/>
      <c r="R377" s="216"/>
      <c r="S377" s="216"/>
      <c r="T377" s="216"/>
      <c r="U377" s="216"/>
      <c r="V377" s="216"/>
      <c r="W377" s="216"/>
      <c r="X377" s="216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  <c r="AU377" s="216"/>
      <c r="AV377" s="216"/>
      <c r="AW377" s="216"/>
      <c r="AX377" s="216"/>
      <c r="AY377" s="216"/>
      <c r="AZ377" s="216"/>
      <c r="BA377" s="216"/>
      <c r="BB377" s="216"/>
      <c r="BC377" s="216"/>
      <c r="BD377" s="216"/>
      <c r="BE377" s="216"/>
      <c r="BF377" s="216"/>
      <c r="BG377" s="216"/>
      <c r="BH377" s="216"/>
      <c r="BI377" s="216"/>
      <c r="BJ377" s="216"/>
      <c r="BK377" s="216"/>
      <c r="BL377" s="216"/>
      <c r="BM377" s="216"/>
      <c r="BN377" s="216"/>
      <c r="BO377" s="216"/>
      <c r="BP377" s="216"/>
      <c r="BQ377" s="216"/>
      <c r="BR377" s="216"/>
    </row>
    <row r="378" spans="1:70" ht="12.75" x14ac:dyDescent="0.2">
      <c r="A378" s="214"/>
      <c r="B378" s="214"/>
      <c r="C378" s="214"/>
      <c r="D378" s="214"/>
      <c r="E378" s="214"/>
      <c r="F378" s="214"/>
      <c r="G378" s="214"/>
      <c r="H378" s="214"/>
      <c r="I378" s="214"/>
      <c r="J378" s="214"/>
      <c r="K378" s="214"/>
      <c r="L378" s="214"/>
      <c r="M378" s="215"/>
      <c r="N378" s="215"/>
      <c r="O378" s="216"/>
      <c r="P378" s="216"/>
      <c r="Q378" s="216"/>
      <c r="R378" s="216"/>
      <c r="S378" s="216"/>
      <c r="T378" s="216"/>
      <c r="U378" s="216"/>
      <c r="V378" s="216"/>
      <c r="W378" s="216"/>
      <c r="X378" s="216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  <c r="AU378" s="216"/>
      <c r="AV378" s="216"/>
      <c r="AW378" s="216"/>
      <c r="AX378" s="216"/>
      <c r="AY378" s="216"/>
      <c r="AZ378" s="216"/>
      <c r="BA378" s="216"/>
      <c r="BB378" s="216"/>
      <c r="BC378" s="216"/>
      <c r="BD378" s="216"/>
      <c r="BE378" s="216"/>
      <c r="BF378" s="216"/>
      <c r="BG378" s="216"/>
      <c r="BH378" s="216"/>
      <c r="BI378" s="216"/>
      <c r="BJ378" s="216"/>
      <c r="BK378" s="216"/>
      <c r="BL378" s="216"/>
      <c r="BM378" s="216"/>
      <c r="BN378" s="216"/>
      <c r="BO378" s="216"/>
      <c r="BP378" s="216"/>
      <c r="BQ378" s="216"/>
      <c r="BR378" s="216"/>
    </row>
    <row r="379" spans="1:70" ht="12.75" x14ac:dyDescent="0.2">
      <c r="A379" s="214"/>
      <c r="B379" s="214"/>
      <c r="C379" s="214"/>
      <c r="D379" s="214"/>
      <c r="E379" s="214"/>
      <c r="F379" s="214"/>
      <c r="G379" s="214"/>
      <c r="H379" s="214"/>
      <c r="I379" s="214"/>
      <c r="J379" s="214"/>
      <c r="K379" s="214"/>
      <c r="L379" s="214"/>
      <c r="M379" s="215"/>
      <c r="N379" s="215"/>
      <c r="O379" s="216"/>
      <c r="P379" s="216"/>
      <c r="Q379" s="216"/>
      <c r="R379" s="216"/>
      <c r="S379" s="216"/>
      <c r="T379" s="216"/>
      <c r="U379" s="216"/>
      <c r="V379" s="216"/>
      <c r="W379" s="216"/>
      <c r="X379" s="216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  <c r="AU379" s="216"/>
      <c r="AV379" s="216"/>
      <c r="AW379" s="216"/>
      <c r="AX379" s="216"/>
      <c r="AY379" s="216"/>
      <c r="AZ379" s="216"/>
      <c r="BA379" s="216"/>
      <c r="BB379" s="216"/>
      <c r="BC379" s="216"/>
      <c r="BD379" s="216"/>
      <c r="BE379" s="216"/>
      <c r="BF379" s="216"/>
      <c r="BG379" s="216"/>
      <c r="BH379" s="216"/>
      <c r="BI379" s="216"/>
      <c r="BJ379" s="216"/>
      <c r="BK379" s="216"/>
      <c r="BL379" s="216"/>
      <c r="BM379" s="216"/>
      <c r="BN379" s="216"/>
      <c r="BO379" s="216"/>
      <c r="BP379" s="216"/>
      <c r="BQ379" s="216"/>
      <c r="BR379" s="216"/>
    </row>
    <row r="380" spans="1:70" ht="12.75" x14ac:dyDescent="0.2">
      <c r="A380" s="214"/>
      <c r="B380" s="214"/>
      <c r="C380" s="214"/>
      <c r="D380" s="214"/>
      <c r="E380" s="214"/>
      <c r="F380" s="214"/>
      <c r="G380" s="214"/>
      <c r="H380" s="214"/>
      <c r="I380" s="214"/>
      <c r="J380" s="214"/>
      <c r="K380" s="214"/>
      <c r="L380" s="214"/>
      <c r="M380" s="215"/>
      <c r="N380" s="215"/>
      <c r="O380" s="216"/>
      <c r="P380" s="216"/>
      <c r="Q380" s="216"/>
      <c r="R380" s="216"/>
      <c r="S380" s="216"/>
      <c r="T380" s="216"/>
      <c r="U380" s="216"/>
      <c r="V380" s="216"/>
      <c r="W380" s="216"/>
      <c r="X380" s="216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6"/>
      <c r="AX380" s="216"/>
      <c r="AY380" s="216"/>
      <c r="AZ380" s="216"/>
      <c r="BA380" s="216"/>
      <c r="BB380" s="216"/>
      <c r="BC380" s="216"/>
      <c r="BD380" s="216"/>
      <c r="BE380" s="216"/>
      <c r="BF380" s="216"/>
      <c r="BG380" s="216"/>
      <c r="BH380" s="216"/>
      <c r="BI380" s="216"/>
      <c r="BJ380" s="216"/>
      <c r="BK380" s="216"/>
      <c r="BL380" s="216"/>
      <c r="BM380" s="216"/>
      <c r="BN380" s="216"/>
      <c r="BO380" s="216"/>
      <c r="BP380" s="216"/>
      <c r="BQ380" s="216"/>
      <c r="BR380" s="216"/>
    </row>
    <row r="381" spans="1:70" ht="12.75" x14ac:dyDescent="0.2">
      <c r="A381" s="214"/>
      <c r="B381" s="214"/>
      <c r="C381" s="214"/>
      <c r="D381" s="214"/>
      <c r="E381" s="214"/>
      <c r="F381" s="214"/>
      <c r="G381" s="214"/>
      <c r="H381" s="214"/>
      <c r="I381" s="214"/>
      <c r="J381" s="214"/>
      <c r="K381" s="214"/>
      <c r="L381" s="214"/>
      <c r="M381" s="215"/>
      <c r="N381" s="215"/>
      <c r="O381" s="216"/>
      <c r="P381" s="216"/>
      <c r="Q381" s="216"/>
      <c r="R381" s="216"/>
      <c r="S381" s="216"/>
      <c r="T381" s="216"/>
      <c r="U381" s="216"/>
      <c r="V381" s="216"/>
      <c r="W381" s="216"/>
      <c r="X381" s="216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  <c r="AU381" s="216"/>
      <c r="AV381" s="216"/>
      <c r="AW381" s="216"/>
      <c r="AX381" s="216"/>
      <c r="AY381" s="216"/>
      <c r="AZ381" s="216"/>
      <c r="BA381" s="216"/>
      <c r="BB381" s="216"/>
      <c r="BC381" s="216"/>
      <c r="BD381" s="216"/>
      <c r="BE381" s="216"/>
      <c r="BF381" s="216"/>
      <c r="BG381" s="216"/>
      <c r="BH381" s="216"/>
      <c r="BI381" s="216"/>
      <c r="BJ381" s="216"/>
      <c r="BK381" s="216"/>
      <c r="BL381" s="216"/>
      <c r="BM381" s="216"/>
      <c r="BN381" s="216"/>
      <c r="BO381" s="216"/>
      <c r="BP381" s="216"/>
      <c r="BQ381" s="216"/>
      <c r="BR381" s="216"/>
    </row>
    <row r="382" spans="1:70" ht="12.75" x14ac:dyDescent="0.2">
      <c r="A382" s="214"/>
      <c r="B382" s="214"/>
      <c r="C382" s="214"/>
      <c r="D382" s="214"/>
      <c r="E382" s="214"/>
      <c r="F382" s="214"/>
      <c r="G382" s="214"/>
      <c r="H382" s="214"/>
      <c r="I382" s="214"/>
      <c r="J382" s="214"/>
      <c r="K382" s="214"/>
      <c r="L382" s="214"/>
      <c r="M382" s="215"/>
      <c r="N382" s="215"/>
      <c r="O382" s="216"/>
      <c r="P382" s="216"/>
      <c r="Q382" s="216"/>
      <c r="R382" s="216"/>
      <c r="S382" s="216"/>
      <c r="T382" s="216"/>
      <c r="U382" s="216"/>
      <c r="V382" s="216"/>
      <c r="W382" s="216"/>
      <c r="X382" s="216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  <c r="AM382" s="216"/>
      <c r="AN382" s="216"/>
      <c r="AO382" s="216"/>
      <c r="AP382" s="216"/>
      <c r="AQ382" s="216"/>
      <c r="AR382" s="216"/>
      <c r="AS382" s="216"/>
      <c r="AT382" s="216"/>
      <c r="AU382" s="216"/>
      <c r="AV382" s="216"/>
      <c r="AW382" s="216"/>
      <c r="AX382" s="216"/>
      <c r="AY382" s="216"/>
      <c r="AZ382" s="216"/>
      <c r="BA382" s="216"/>
      <c r="BB382" s="216"/>
      <c r="BC382" s="216"/>
      <c r="BD382" s="216"/>
      <c r="BE382" s="216"/>
      <c r="BF382" s="216"/>
      <c r="BG382" s="216"/>
      <c r="BH382" s="216"/>
      <c r="BI382" s="216"/>
      <c r="BJ382" s="216"/>
      <c r="BK382" s="216"/>
      <c r="BL382" s="216"/>
      <c r="BM382" s="216"/>
      <c r="BN382" s="216"/>
      <c r="BO382" s="216"/>
      <c r="BP382" s="216"/>
      <c r="BQ382" s="216"/>
      <c r="BR382" s="216"/>
    </row>
    <row r="383" spans="1:70" ht="12.75" x14ac:dyDescent="0.2">
      <c r="A383" s="214"/>
      <c r="B383" s="214"/>
      <c r="C383" s="21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5"/>
      <c r="N383" s="215"/>
      <c r="O383" s="216"/>
      <c r="P383" s="216"/>
      <c r="Q383" s="216"/>
      <c r="R383" s="216"/>
      <c r="S383" s="216"/>
      <c r="T383" s="216"/>
      <c r="U383" s="216"/>
      <c r="V383" s="216"/>
      <c r="W383" s="216"/>
      <c r="X383" s="216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  <c r="AM383" s="216"/>
      <c r="AN383" s="216"/>
      <c r="AO383" s="216"/>
      <c r="AP383" s="216"/>
      <c r="AQ383" s="216"/>
      <c r="AR383" s="216"/>
      <c r="AS383" s="216"/>
      <c r="AT383" s="216"/>
      <c r="AU383" s="216"/>
      <c r="AV383" s="216"/>
      <c r="AW383" s="216"/>
      <c r="AX383" s="216"/>
      <c r="AY383" s="216"/>
      <c r="AZ383" s="216"/>
      <c r="BA383" s="216"/>
      <c r="BB383" s="216"/>
      <c r="BC383" s="216"/>
      <c r="BD383" s="216"/>
      <c r="BE383" s="216"/>
      <c r="BF383" s="216"/>
      <c r="BG383" s="216"/>
      <c r="BH383" s="216"/>
      <c r="BI383" s="216"/>
      <c r="BJ383" s="216"/>
      <c r="BK383" s="216"/>
      <c r="BL383" s="216"/>
      <c r="BM383" s="216"/>
      <c r="BN383" s="216"/>
      <c r="BO383" s="216"/>
      <c r="BP383" s="216"/>
      <c r="BQ383" s="216"/>
      <c r="BR383" s="216"/>
    </row>
    <row r="384" spans="1:70" ht="12.75" x14ac:dyDescent="0.2">
      <c r="A384" s="214"/>
      <c r="B384" s="214"/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5"/>
      <c r="N384" s="215"/>
      <c r="O384" s="216"/>
      <c r="P384" s="216"/>
      <c r="Q384" s="216"/>
      <c r="R384" s="216"/>
      <c r="S384" s="216"/>
      <c r="T384" s="216"/>
      <c r="U384" s="216"/>
      <c r="V384" s="216"/>
      <c r="W384" s="216"/>
      <c r="X384" s="216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  <c r="BI384" s="216"/>
      <c r="BJ384" s="216"/>
      <c r="BK384" s="216"/>
      <c r="BL384" s="216"/>
      <c r="BM384" s="216"/>
      <c r="BN384" s="216"/>
      <c r="BO384" s="216"/>
      <c r="BP384" s="216"/>
      <c r="BQ384" s="216"/>
      <c r="BR384" s="216"/>
    </row>
    <row r="385" spans="1:70" ht="12.75" x14ac:dyDescent="0.2">
      <c r="A385" s="214"/>
      <c r="B385" s="214"/>
      <c r="C385" s="214"/>
      <c r="D385" s="214"/>
      <c r="E385" s="214"/>
      <c r="F385" s="214"/>
      <c r="G385" s="214"/>
      <c r="H385" s="214"/>
      <c r="I385" s="214"/>
      <c r="J385" s="214"/>
      <c r="K385" s="214"/>
      <c r="L385" s="214"/>
      <c r="M385" s="215"/>
      <c r="N385" s="215"/>
      <c r="O385" s="216"/>
      <c r="P385" s="216"/>
      <c r="Q385" s="216"/>
      <c r="R385" s="216"/>
      <c r="S385" s="216"/>
      <c r="T385" s="216"/>
      <c r="U385" s="216"/>
      <c r="V385" s="216"/>
      <c r="W385" s="216"/>
      <c r="X385" s="216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  <c r="BI385" s="216"/>
      <c r="BJ385" s="216"/>
      <c r="BK385" s="216"/>
      <c r="BL385" s="216"/>
      <c r="BM385" s="216"/>
      <c r="BN385" s="216"/>
      <c r="BO385" s="216"/>
      <c r="BP385" s="216"/>
      <c r="BQ385" s="216"/>
      <c r="BR385" s="216"/>
    </row>
    <row r="386" spans="1:70" ht="12.75" x14ac:dyDescent="0.2">
      <c r="A386" s="214"/>
      <c r="B386" s="214"/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5"/>
      <c r="N386" s="215"/>
      <c r="O386" s="216"/>
      <c r="P386" s="216"/>
      <c r="Q386" s="216"/>
      <c r="R386" s="216"/>
      <c r="S386" s="216"/>
      <c r="T386" s="216"/>
      <c r="U386" s="216"/>
      <c r="V386" s="216"/>
      <c r="W386" s="216"/>
      <c r="X386" s="216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  <c r="BI386" s="216"/>
      <c r="BJ386" s="216"/>
      <c r="BK386" s="216"/>
      <c r="BL386" s="216"/>
      <c r="BM386" s="216"/>
      <c r="BN386" s="216"/>
      <c r="BO386" s="216"/>
      <c r="BP386" s="216"/>
      <c r="BQ386" s="216"/>
      <c r="BR386" s="216"/>
    </row>
    <row r="387" spans="1:70" ht="12.75" x14ac:dyDescent="0.2">
      <c r="A387" s="214"/>
      <c r="B387" s="214"/>
      <c r="C387" s="214"/>
      <c r="D387" s="214"/>
      <c r="E387" s="214"/>
      <c r="F387" s="214"/>
      <c r="G387" s="214"/>
      <c r="H387" s="214"/>
      <c r="I387" s="214"/>
      <c r="J387" s="214"/>
      <c r="K387" s="214"/>
      <c r="L387" s="214"/>
      <c r="M387" s="215"/>
      <c r="N387" s="215"/>
      <c r="O387" s="216"/>
      <c r="P387" s="216"/>
      <c r="Q387" s="216"/>
      <c r="R387" s="216"/>
      <c r="S387" s="216"/>
      <c r="T387" s="216"/>
      <c r="U387" s="216"/>
      <c r="V387" s="216"/>
      <c r="W387" s="216"/>
      <c r="X387" s="216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  <c r="BI387" s="216"/>
      <c r="BJ387" s="216"/>
      <c r="BK387" s="216"/>
      <c r="BL387" s="216"/>
      <c r="BM387" s="216"/>
      <c r="BN387" s="216"/>
      <c r="BO387" s="216"/>
      <c r="BP387" s="216"/>
      <c r="BQ387" s="216"/>
      <c r="BR387" s="216"/>
    </row>
    <row r="388" spans="1:70" ht="12.75" x14ac:dyDescent="0.2">
      <c r="A388" s="214"/>
      <c r="B388" s="214"/>
      <c r="C388" s="214"/>
      <c r="D388" s="214"/>
      <c r="E388" s="214"/>
      <c r="F388" s="214"/>
      <c r="G388" s="214"/>
      <c r="H388" s="214"/>
      <c r="I388" s="214"/>
      <c r="J388" s="214"/>
      <c r="K388" s="214"/>
      <c r="L388" s="214"/>
      <c r="M388" s="215"/>
      <c r="N388" s="215"/>
      <c r="O388" s="216"/>
      <c r="P388" s="216"/>
      <c r="Q388" s="216"/>
      <c r="R388" s="216"/>
      <c r="S388" s="216"/>
      <c r="T388" s="216"/>
      <c r="U388" s="216"/>
      <c r="V388" s="216"/>
      <c r="W388" s="216"/>
      <c r="X388" s="216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16"/>
      <c r="AN388" s="216"/>
      <c r="AO388" s="216"/>
      <c r="AP388" s="216"/>
      <c r="AQ388" s="216"/>
      <c r="AR388" s="216"/>
      <c r="AS388" s="216"/>
      <c r="AT388" s="216"/>
      <c r="AU388" s="216"/>
      <c r="AV388" s="216"/>
      <c r="AW388" s="216"/>
      <c r="AX388" s="216"/>
      <c r="AY388" s="216"/>
      <c r="AZ388" s="216"/>
      <c r="BA388" s="216"/>
      <c r="BB388" s="216"/>
      <c r="BC388" s="216"/>
      <c r="BD388" s="216"/>
      <c r="BE388" s="216"/>
      <c r="BF388" s="216"/>
      <c r="BG388" s="216"/>
      <c r="BH388" s="216"/>
      <c r="BI388" s="216"/>
      <c r="BJ388" s="216"/>
      <c r="BK388" s="216"/>
      <c r="BL388" s="216"/>
      <c r="BM388" s="216"/>
      <c r="BN388" s="216"/>
      <c r="BO388" s="216"/>
      <c r="BP388" s="216"/>
      <c r="BQ388" s="216"/>
      <c r="BR388" s="216"/>
    </row>
    <row r="389" spans="1:70" ht="12.75" x14ac:dyDescent="0.2">
      <c r="A389" s="214"/>
      <c r="B389" s="214"/>
      <c r="C389" s="214"/>
      <c r="D389" s="214"/>
      <c r="E389" s="214"/>
      <c r="F389" s="214"/>
      <c r="G389" s="214"/>
      <c r="H389" s="214"/>
      <c r="I389" s="214"/>
      <c r="J389" s="214"/>
      <c r="K389" s="214"/>
      <c r="L389" s="214"/>
      <c r="M389" s="215"/>
      <c r="N389" s="215"/>
      <c r="O389" s="216"/>
      <c r="P389" s="216"/>
      <c r="Q389" s="216"/>
      <c r="R389" s="216"/>
      <c r="S389" s="216"/>
      <c r="T389" s="216"/>
      <c r="U389" s="216"/>
      <c r="V389" s="216"/>
      <c r="W389" s="216"/>
      <c r="X389" s="216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16"/>
      <c r="AN389" s="216"/>
      <c r="AO389" s="216"/>
      <c r="AP389" s="216"/>
      <c r="AQ389" s="216"/>
      <c r="AR389" s="216"/>
      <c r="AS389" s="216"/>
      <c r="AT389" s="216"/>
      <c r="AU389" s="216"/>
      <c r="AV389" s="216"/>
      <c r="AW389" s="216"/>
      <c r="AX389" s="216"/>
      <c r="AY389" s="216"/>
      <c r="AZ389" s="216"/>
      <c r="BA389" s="216"/>
      <c r="BB389" s="216"/>
      <c r="BC389" s="216"/>
      <c r="BD389" s="216"/>
      <c r="BE389" s="216"/>
      <c r="BF389" s="216"/>
      <c r="BG389" s="216"/>
      <c r="BH389" s="216"/>
      <c r="BI389" s="216"/>
      <c r="BJ389" s="216"/>
      <c r="BK389" s="216"/>
      <c r="BL389" s="216"/>
      <c r="BM389" s="216"/>
      <c r="BN389" s="216"/>
      <c r="BO389" s="216"/>
      <c r="BP389" s="216"/>
      <c r="BQ389" s="216"/>
      <c r="BR389" s="216"/>
    </row>
    <row r="390" spans="1:70" ht="12.75" x14ac:dyDescent="0.2">
      <c r="A390" s="214"/>
      <c r="B390" s="214"/>
      <c r="C390" s="214"/>
      <c r="D390" s="214"/>
      <c r="E390" s="214"/>
      <c r="F390" s="214"/>
      <c r="G390" s="214"/>
      <c r="H390" s="214"/>
      <c r="I390" s="214"/>
      <c r="J390" s="214"/>
      <c r="K390" s="214"/>
      <c r="L390" s="214"/>
      <c r="M390" s="215"/>
      <c r="N390" s="215"/>
      <c r="O390" s="216"/>
      <c r="P390" s="216"/>
      <c r="Q390" s="216"/>
      <c r="R390" s="216"/>
      <c r="S390" s="216"/>
      <c r="T390" s="216"/>
      <c r="U390" s="216"/>
      <c r="V390" s="216"/>
      <c r="W390" s="216"/>
      <c r="X390" s="216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  <c r="AU390" s="216"/>
      <c r="AV390" s="216"/>
      <c r="AW390" s="216"/>
      <c r="AX390" s="216"/>
      <c r="AY390" s="216"/>
      <c r="AZ390" s="216"/>
      <c r="BA390" s="216"/>
      <c r="BB390" s="216"/>
      <c r="BC390" s="216"/>
      <c r="BD390" s="216"/>
      <c r="BE390" s="216"/>
      <c r="BF390" s="216"/>
      <c r="BG390" s="216"/>
      <c r="BH390" s="216"/>
      <c r="BI390" s="216"/>
      <c r="BJ390" s="216"/>
      <c r="BK390" s="216"/>
      <c r="BL390" s="216"/>
      <c r="BM390" s="216"/>
      <c r="BN390" s="216"/>
      <c r="BO390" s="216"/>
      <c r="BP390" s="216"/>
      <c r="BQ390" s="216"/>
      <c r="BR390" s="216"/>
    </row>
    <row r="391" spans="1:70" ht="12.75" x14ac:dyDescent="0.2">
      <c r="A391" s="214"/>
      <c r="B391" s="214"/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5"/>
      <c r="N391" s="215"/>
      <c r="O391" s="216"/>
      <c r="P391" s="216"/>
      <c r="Q391" s="216"/>
      <c r="R391" s="216"/>
      <c r="S391" s="216"/>
      <c r="T391" s="216"/>
      <c r="U391" s="216"/>
      <c r="V391" s="216"/>
      <c r="W391" s="216"/>
      <c r="X391" s="216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  <c r="AM391" s="216"/>
      <c r="AN391" s="216"/>
      <c r="AO391" s="216"/>
      <c r="AP391" s="216"/>
      <c r="AQ391" s="216"/>
      <c r="AR391" s="216"/>
      <c r="AS391" s="216"/>
      <c r="AT391" s="216"/>
      <c r="AU391" s="216"/>
      <c r="AV391" s="216"/>
      <c r="AW391" s="216"/>
      <c r="AX391" s="216"/>
      <c r="AY391" s="216"/>
      <c r="AZ391" s="216"/>
      <c r="BA391" s="216"/>
      <c r="BB391" s="216"/>
      <c r="BC391" s="216"/>
      <c r="BD391" s="216"/>
      <c r="BE391" s="216"/>
      <c r="BF391" s="216"/>
      <c r="BG391" s="216"/>
      <c r="BH391" s="216"/>
      <c r="BI391" s="216"/>
      <c r="BJ391" s="216"/>
      <c r="BK391" s="216"/>
      <c r="BL391" s="216"/>
      <c r="BM391" s="216"/>
      <c r="BN391" s="216"/>
      <c r="BO391" s="216"/>
      <c r="BP391" s="216"/>
      <c r="BQ391" s="216"/>
      <c r="BR391" s="216"/>
    </row>
    <row r="392" spans="1:70" ht="12.75" x14ac:dyDescent="0.2">
      <c r="A392" s="214"/>
      <c r="B392" s="214"/>
      <c r="C392" s="214"/>
      <c r="D392" s="214"/>
      <c r="E392" s="214"/>
      <c r="F392" s="214"/>
      <c r="G392" s="214"/>
      <c r="H392" s="214"/>
      <c r="I392" s="214"/>
      <c r="J392" s="214"/>
      <c r="K392" s="214"/>
      <c r="L392" s="214"/>
      <c r="M392" s="215"/>
      <c r="N392" s="215"/>
      <c r="O392" s="216"/>
      <c r="P392" s="216"/>
      <c r="Q392" s="216"/>
      <c r="R392" s="216"/>
      <c r="S392" s="216"/>
      <c r="T392" s="216"/>
      <c r="U392" s="216"/>
      <c r="V392" s="216"/>
      <c r="W392" s="216"/>
      <c r="X392" s="216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16"/>
      <c r="AN392" s="216"/>
      <c r="AO392" s="216"/>
      <c r="AP392" s="216"/>
      <c r="AQ392" s="216"/>
      <c r="AR392" s="216"/>
      <c r="AS392" s="216"/>
      <c r="AT392" s="216"/>
      <c r="AU392" s="216"/>
      <c r="AV392" s="216"/>
      <c r="AW392" s="216"/>
      <c r="AX392" s="216"/>
      <c r="AY392" s="216"/>
      <c r="AZ392" s="216"/>
      <c r="BA392" s="216"/>
      <c r="BB392" s="216"/>
      <c r="BC392" s="216"/>
      <c r="BD392" s="216"/>
      <c r="BE392" s="216"/>
      <c r="BF392" s="216"/>
      <c r="BG392" s="216"/>
      <c r="BH392" s="216"/>
      <c r="BI392" s="216"/>
      <c r="BJ392" s="216"/>
      <c r="BK392" s="216"/>
      <c r="BL392" s="216"/>
      <c r="BM392" s="216"/>
      <c r="BN392" s="216"/>
      <c r="BO392" s="216"/>
      <c r="BP392" s="216"/>
      <c r="BQ392" s="216"/>
      <c r="BR392" s="216"/>
    </row>
    <row r="393" spans="1:70" ht="12.75" x14ac:dyDescent="0.2">
      <c r="A393" s="214"/>
      <c r="B393" s="214"/>
      <c r="C393" s="214"/>
      <c r="D393" s="214"/>
      <c r="E393" s="214"/>
      <c r="F393" s="214"/>
      <c r="G393" s="214"/>
      <c r="H393" s="214"/>
      <c r="I393" s="214"/>
      <c r="J393" s="214"/>
      <c r="K393" s="214"/>
      <c r="L393" s="214"/>
      <c r="M393" s="215"/>
      <c r="N393" s="215"/>
      <c r="O393" s="216"/>
      <c r="P393" s="216"/>
      <c r="Q393" s="216"/>
      <c r="R393" s="216"/>
      <c r="S393" s="216"/>
      <c r="T393" s="216"/>
      <c r="U393" s="216"/>
      <c r="V393" s="216"/>
      <c r="W393" s="216"/>
      <c r="X393" s="216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16"/>
      <c r="AN393" s="216"/>
      <c r="AO393" s="216"/>
      <c r="AP393" s="216"/>
      <c r="AQ393" s="216"/>
      <c r="AR393" s="216"/>
      <c r="AS393" s="216"/>
      <c r="AT393" s="216"/>
      <c r="AU393" s="216"/>
      <c r="AV393" s="216"/>
      <c r="AW393" s="216"/>
      <c r="AX393" s="216"/>
      <c r="AY393" s="216"/>
      <c r="AZ393" s="216"/>
      <c r="BA393" s="216"/>
      <c r="BB393" s="216"/>
      <c r="BC393" s="216"/>
      <c r="BD393" s="216"/>
      <c r="BE393" s="216"/>
      <c r="BF393" s="216"/>
      <c r="BG393" s="216"/>
      <c r="BH393" s="216"/>
      <c r="BI393" s="216"/>
      <c r="BJ393" s="216"/>
      <c r="BK393" s="216"/>
      <c r="BL393" s="216"/>
      <c r="BM393" s="216"/>
      <c r="BN393" s="216"/>
      <c r="BO393" s="216"/>
      <c r="BP393" s="216"/>
      <c r="BQ393" s="216"/>
      <c r="BR393" s="216"/>
    </row>
    <row r="394" spans="1:70" ht="12.75" x14ac:dyDescent="0.2">
      <c r="A394" s="214"/>
      <c r="B394" s="214"/>
      <c r="C394" s="214"/>
      <c r="D394" s="214"/>
      <c r="E394" s="214"/>
      <c r="F394" s="214"/>
      <c r="G394" s="214"/>
      <c r="H394" s="214"/>
      <c r="I394" s="214"/>
      <c r="J394" s="214"/>
      <c r="K394" s="214"/>
      <c r="L394" s="214"/>
      <c r="M394" s="215"/>
      <c r="N394" s="215"/>
      <c r="O394" s="216"/>
      <c r="P394" s="216"/>
      <c r="Q394" s="216"/>
      <c r="R394" s="216"/>
      <c r="S394" s="216"/>
      <c r="T394" s="216"/>
      <c r="U394" s="216"/>
      <c r="V394" s="216"/>
      <c r="W394" s="216"/>
      <c r="X394" s="216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6"/>
      <c r="AX394" s="216"/>
      <c r="AY394" s="216"/>
      <c r="AZ394" s="216"/>
      <c r="BA394" s="216"/>
      <c r="BB394" s="216"/>
      <c r="BC394" s="216"/>
      <c r="BD394" s="216"/>
      <c r="BE394" s="216"/>
      <c r="BF394" s="216"/>
      <c r="BG394" s="216"/>
      <c r="BH394" s="216"/>
      <c r="BI394" s="216"/>
      <c r="BJ394" s="216"/>
      <c r="BK394" s="216"/>
      <c r="BL394" s="216"/>
      <c r="BM394" s="216"/>
      <c r="BN394" s="216"/>
      <c r="BO394" s="216"/>
      <c r="BP394" s="216"/>
      <c r="BQ394" s="216"/>
      <c r="BR394" s="216"/>
    </row>
    <row r="395" spans="1:70" ht="12.75" x14ac:dyDescent="0.2">
      <c r="A395" s="214"/>
      <c r="B395" s="214"/>
      <c r="C395" s="214"/>
      <c r="D395" s="214"/>
      <c r="E395" s="214"/>
      <c r="F395" s="214"/>
      <c r="G395" s="214"/>
      <c r="H395" s="214"/>
      <c r="I395" s="214"/>
      <c r="J395" s="214"/>
      <c r="K395" s="214"/>
      <c r="L395" s="214"/>
      <c r="M395" s="215"/>
      <c r="N395" s="215"/>
      <c r="O395" s="216"/>
      <c r="P395" s="216"/>
      <c r="Q395" s="216"/>
      <c r="R395" s="216"/>
      <c r="S395" s="216"/>
      <c r="T395" s="216"/>
      <c r="U395" s="216"/>
      <c r="V395" s="216"/>
      <c r="W395" s="216"/>
      <c r="X395" s="216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  <c r="AM395" s="216"/>
      <c r="AN395" s="216"/>
      <c r="AO395" s="216"/>
      <c r="AP395" s="216"/>
      <c r="AQ395" s="216"/>
      <c r="AR395" s="216"/>
      <c r="AS395" s="216"/>
      <c r="AT395" s="216"/>
      <c r="AU395" s="216"/>
      <c r="AV395" s="216"/>
      <c r="AW395" s="216"/>
      <c r="AX395" s="216"/>
      <c r="AY395" s="216"/>
      <c r="AZ395" s="216"/>
      <c r="BA395" s="216"/>
      <c r="BB395" s="216"/>
      <c r="BC395" s="216"/>
      <c r="BD395" s="216"/>
      <c r="BE395" s="216"/>
      <c r="BF395" s="216"/>
      <c r="BG395" s="216"/>
      <c r="BH395" s="216"/>
      <c r="BI395" s="216"/>
      <c r="BJ395" s="216"/>
      <c r="BK395" s="216"/>
      <c r="BL395" s="216"/>
      <c r="BM395" s="216"/>
      <c r="BN395" s="216"/>
      <c r="BO395" s="216"/>
      <c r="BP395" s="216"/>
      <c r="BQ395" s="216"/>
      <c r="BR395" s="216"/>
    </row>
    <row r="396" spans="1:70" ht="12.75" x14ac:dyDescent="0.2">
      <c r="A396" s="214"/>
      <c r="B396" s="214"/>
      <c r="C396" s="214"/>
      <c r="D396" s="214"/>
      <c r="E396" s="214"/>
      <c r="F396" s="214"/>
      <c r="G396" s="214"/>
      <c r="H396" s="214"/>
      <c r="I396" s="214"/>
      <c r="J396" s="214"/>
      <c r="K396" s="214"/>
      <c r="L396" s="214"/>
      <c r="M396" s="215"/>
      <c r="N396" s="215"/>
      <c r="O396" s="216"/>
      <c r="P396" s="216"/>
      <c r="Q396" s="216"/>
      <c r="R396" s="216"/>
      <c r="S396" s="216"/>
      <c r="T396" s="216"/>
      <c r="U396" s="216"/>
      <c r="V396" s="216"/>
      <c r="W396" s="216"/>
      <c r="X396" s="216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  <c r="AM396" s="216"/>
      <c r="AN396" s="216"/>
      <c r="AO396" s="216"/>
      <c r="AP396" s="216"/>
      <c r="AQ396" s="216"/>
      <c r="AR396" s="216"/>
      <c r="AS396" s="216"/>
      <c r="AT396" s="216"/>
      <c r="AU396" s="216"/>
      <c r="AV396" s="216"/>
      <c r="AW396" s="216"/>
      <c r="AX396" s="216"/>
      <c r="AY396" s="216"/>
      <c r="AZ396" s="216"/>
      <c r="BA396" s="216"/>
      <c r="BB396" s="216"/>
      <c r="BC396" s="216"/>
      <c r="BD396" s="216"/>
      <c r="BE396" s="216"/>
      <c r="BF396" s="216"/>
      <c r="BG396" s="216"/>
      <c r="BH396" s="216"/>
      <c r="BI396" s="216"/>
      <c r="BJ396" s="216"/>
      <c r="BK396" s="216"/>
      <c r="BL396" s="216"/>
      <c r="BM396" s="216"/>
      <c r="BN396" s="216"/>
      <c r="BO396" s="216"/>
      <c r="BP396" s="216"/>
      <c r="BQ396" s="216"/>
      <c r="BR396" s="216"/>
    </row>
    <row r="397" spans="1:70" ht="12.75" x14ac:dyDescent="0.2">
      <c r="A397" s="214"/>
      <c r="B397" s="214"/>
      <c r="C397" s="214"/>
      <c r="D397" s="214"/>
      <c r="E397" s="214"/>
      <c r="F397" s="214"/>
      <c r="G397" s="214"/>
      <c r="H397" s="214"/>
      <c r="I397" s="214"/>
      <c r="J397" s="214"/>
      <c r="K397" s="214"/>
      <c r="L397" s="214"/>
      <c r="M397" s="215"/>
      <c r="N397" s="215"/>
      <c r="O397" s="216"/>
      <c r="P397" s="216"/>
      <c r="Q397" s="216"/>
      <c r="R397" s="216"/>
      <c r="S397" s="216"/>
      <c r="T397" s="216"/>
      <c r="U397" s="216"/>
      <c r="V397" s="216"/>
      <c r="W397" s="216"/>
      <c r="X397" s="216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  <c r="AM397" s="216"/>
      <c r="AN397" s="216"/>
      <c r="AO397" s="216"/>
      <c r="AP397" s="216"/>
      <c r="AQ397" s="216"/>
      <c r="AR397" s="216"/>
      <c r="AS397" s="216"/>
      <c r="AT397" s="216"/>
      <c r="AU397" s="216"/>
      <c r="AV397" s="216"/>
      <c r="AW397" s="216"/>
      <c r="AX397" s="216"/>
      <c r="AY397" s="216"/>
      <c r="AZ397" s="216"/>
      <c r="BA397" s="216"/>
      <c r="BB397" s="216"/>
      <c r="BC397" s="216"/>
      <c r="BD397" s="216"/>
      <c r="BE397" s="216"/>
      <c r="BF397" s="216"/>
      <c r="BG397" s="216"/>
      <c r="BH397" s="216"/>
      <c r="BI397" s="216"/>
      <c r="BJ397" s="216"/>
      <c r="BK397" s="216"/>
      <c r="BL397" s="216"/>
      <c r="BM397" s="216"/>
      <c r="BN397" s="216"/>
      <c r="BO397" s="216"/>
      <c r="BP397" s="216"/>
      <c r="BQ397" s="216"/>
      <c r="BR397" s="216"/>
    </row>
    <row r="398" spans="1:70" ht="12.75" x14ac:dyDescent="0.2">
      <c r="A398" s="214"/>
      <c r="B398" s="214"/>
      <c r="C398" s="214"/>
      <c r="D398" s="214"/>
      <c r="E398" s="214"/>
      <c r="F398" s="214"/>
      <c r="G398" s="214"/>
      <c r="H398" s="214"/>
      <c r="I398" s="214"/>
      <c r="J398" s="214"/>
      <c r="K398" s="214"/>
      <c r="L398" s="214"/>
      <c r="M398" s="215"/>
      <c r="N398" s="215"/>
      <c r="O398" s="216"/>
      <c r="P398" s="216"/>
      <c r="Q398" s="216"/>
      <c r="R398" s="216"/>
      <c r="S398" s="216"/>
      <c r="T398" s="216"/>
      <c r="U398" s="216"/>
      <c r="V398" s="216"/>
      <c r="W398" s="216"/>
      <c r="X398" s="216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16"/>
      <c r="AS398" s="216"/>
      <c r="AT398" s="216"/>
      <c r="AU398" s="216"/>
      <c r="AV398" s="216"/>
      <c r="AW398" s="216"/>
      <c r="AX398" s="216"/>
      <c r="AY398" s="216"/>
      <c r="AZ398" s="216"/>
      <c r="BA398" s="216"/>
      <c r="BB398" s="216"/>
      <c r="BC398" s="216"/>
      <c r="BD398" s="216"/>
      <c r="BE398" s="216"/>
      <c r="BF398" s="216"/>
      <c r="BG398" s="216"/>
      <c r="BH398" s="216"/>
      <c r="BI398" s="216"/>
      <c r="BJ398" s="216"/>
      <c r="BK398" s="216"/>
      <c r="BL398" s="216"/>
      <c r="BM398" s="216"/>
      <c r="BN398" s="216"/>
      <c r="BO398" s="216"/>
      <c r="BP398" s="216"/>
      <c r="BQ398" s="216"/>
      <c r="BR398" s="216"/>
    </row>
    <row r="399" spans="1:70" ht="12.75" x14ac:dyDescent="0.2">
      <c r="A399" s="214"/>
      <c r="B399" s="214"/>
      <c r="C399" s="214"/>
      <c r="D399" s="214"/>
      <c r="E399" s="214"/>
      <c r="F399" s="214"/>
      <c r="G399" s="214"/>
      <c r="H399" s="214"/>
      <c r="I399" s="214"/>
      <c r="J399" s="214"/>
      <c r="K399" s="214"/>
      <c r="L399" s="214"/>
      <c r="M399" s="215"/>
      <c r="N399" s="215"/>
      <c r="O399" s="216"/>
      <c r="P399" s="216"/>
      <c r="Q399" s="216"/>
      <c r="R399" s="216"/>
      <c r="S399" s="216"/>
      <c r="T399" s="216"/>
      <c r="U399" s="216"/>
      <c r="V399" s="216"/>
      <c r="W399" s="216"/>
      <c r="X399" s="216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  <c r="AM399" s="216"/>
      <c r="AN399" s="216"/>
      <c r="AO399" s="216"/>
      <c r="AP399" s="216"/>
      <c r="AQ399" s="216"/>
      <c r="AR399" s="216"/>
      <c r="AS399" s="216"/>
      <c r="AT399" s="216"/>
      <c r="AU399" s="216"/>
      <c r="AV399" s="216"/>
      <c r="AW399" s="216"/>
      <c r="AX399" s="216"/>
      <c r="AY399" s="216"/>
      <c r="AZ399" s="216"/>
      <c r="BA399" s="216"/>
      <c r="BB399" s="216"/>
      <c r="BC399" s="216"/>
      <c r="BD399" s="216"/>
      <c r="BE399" s="216"/>
      <c r="BF399" s="216"/>
      <c r="BG399" s="216"/>
      <c r="BH399" s="216"/>
      <c r="BI399" s="216"/>
      <c r="BJ399" s="216"/>
      <c r="BK399" s="216"/>
      <c r="BL399" s="216"/>
      <c r="BM399" s="216"/>
      <c r="BN399" s="216"/>
      <c r="BO399" s="216"/>
      <c r="BP399" s="216"/>
      <c r="BQ399" s="216"/>
      <c r="BR399" s="216"/>
    </row>
    <row r="400" spans="1:70" ht="12.75" x14ac:dyDescent="0.2">
      <c r="A400" s="214"/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5"/>
      <c r="N400" s="215"/>
      <c r="O400" s="216"/>
      <c r="P400" s="216"/>
      <c r="Q400" s="216"/>
      <c r="R400" s="216"/>
      <c r="S400" s="216"/>
      <c r="T400" s="216"/>
      <c r="U400" s="216"/>
      <c r="V400" s="216"/>
      <c r="W400" s="216"/>
      <c r="X400" s="216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16"/>
      <c r="AN400" s="216"/>
      <c r="AO400" s="216"/>
      <c r="AP400" s="216"/>
      <c r="AQ400" s="216"/>
      <c r="AR400" s="216"/>
      <c r="AS400" s="216"/>
      <c r="AT400" s="216"/>
      <c r="AU400" s="216"/>
      <c r="AV400" s="216"/>
      <c r="AW400" s="216"/>
      <c r="AX400" s="216"/>
      <c r="AY400" s="216"/>
      <c r="AZ400" s="216"/>
      <c r="BA400" s="216"/>
      <c r="BB400" s="216"/>
      <c r="BC400" s="216"/>
      <c r="BD400" s="216"/>
      <c r="BE400" s="216"/>
      <c r="BF400" s="216"/>
      <c r="BG400" s="216"/>
      <c r="BH400" s="216"/>
      <c r="BI400" s="216"/>
      <c r="BJ400" s="216"/>
      <c r="BK400" s="216"/>
      <c r="BL400" s="216"/>
      <c r="BM400" s="216"/>
      <c r="BN400" s="216"/>
      <c r="BO400" s="216"/>
      <c r="BP400" s="216"/>
      <c r="BQ400" s="216"/>
      <c r="BR400" s="216"/>
    </row>
    <row r="401" spans="1:70" ht="12.75" x14ac:dyDescent="0.2">
      <c r="A401" s="214"/>
      <c r="B401" s="214"/>
      <c r="C401" s="214"/>
      <c r="D401" s="214"/>
      <c r="E401" s="214"/>
      <c r="F401" s="214"/>
      <c r="G401" s="214"/>
      <c r="H401" s="214"/>
      <c r="I401" s="214"/>
      <c r="J401" s="214"/>
      <c r="K401" s="214"/>
      <c r="L401" s="214"/>
      <c r="M401" s="215"/>
      <c r="N401" s="215"/>
      <c r="O401" s="216"/>
      <c r="P401" s="216"/>
      <c r="Q401" s="216"/>
      <c r="R401" s="216"/>
      <c r="S401" s="216"/>
      <c r="T401" s="216"/>
      <c r="U401" s="216"/>
      <c r="V401" s="216"/>
      <c r="W401" s="216"/>
      <c r="X401" s="216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  <c r="AM401" s="216"/>
      <c r="AN401" s="216"/>
      <c r="AO401" s="216"/>
      <c r="AP401" s="216"/>
      <c r="AQ401" s="216"/>
      <c r="AR401" s="216"/>
      <c r="AS401" s="216"/>
      <c r="AT401" s="216"/>
      <c r="AU401" s="216"/>
      <c r="AV401" s="216"/>
      <c r="AW401" s="216"/>
      <c r="AX401" s="216"/>
      <c r="AY401" s="216"/>
      <c r="AZ401" s="216"/>
      <c r="BA401" s="216"/>
      <c r="BB401" s="216"/>
      <c r="BC401" s="216"/>
      <c r="BD401" s="216"/>
      <c r="BE401" s="216"/>
      <c r="BF401" s="216"/>
      <c r="BG401" s="216"/>
      <c r="BH401" s="216"/>
      <c r="BI401" s="216"/>
      <c r="BJ401" s="216"/>
      <c r="BK401" s="216"/>
      <c r="BL401" s="216"/>
      <c r="BM401" s="216"/>
      <c r="BN401" s="216"/>
      <c r="BO401" s="216"/>
      <c r="BP401" s="216"/>
      <c r="BQ401" s="216"/>
      <c r="BR401" s="216"/>
    </row>
    <row r="402" spans="1:70" ht="12.75" x14ac:dyDescent="0.2">
      <c r="A402" s="214"/>
      <c r="B402" s="214"/>
      <c r="C402" s="214"/>
      <c r="D402" s="214"/>
      <c r="E402" s="214"/>
      <c r="F402" s="214"/>
      <c r="G402" s="214"/>
      <c r="H402" s="214"/>
      <c r="I402" s="214"/>
      <c r="J402" s="214"/>
      <c r="K402" s="214"/>
      <c r="L402" s="214"/>
      <c r="M402" s="215"/>
      <c r="N402" s="215"/>
      <c r="O402" s="216"/>
      <c r="P402" s="216"/>
      <c r="Q402" s="216"/>
      <c r="R402" s="216"/>
      <c r="S402" s="216"/>
      <c r="T402" s="216"/>
      <c r="U402" s="216"/>
      <c r="V402" s="216"/>
      <c r="W402" s="216"/>
      <c r="X402" s="216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16"/>
      <c r="AN402" s="216"/>
      <c r="AO402" s="216"/>
      <c r="AP402" s="216"/>
      <c r="AQ402" s="216"/>
      <c r="AR402" s="216"/>
      <c r="AS402" s="216"/>
      <c r="AT402" s="216"/>
      <c r="AU402" s="216"/>
      <c r="AV402" s="216"/>
      <c r="AW402" s="216"/>
      <c r="AX402" s="216"/>
      <c r="AY402" s="216"/>
      <c r="AZ402" s="216"/>
      <c r="BA402" s="216"/>
      <c r="BB402" s="216"/>
      <c r="BC402" s="216"/>
      <c r="BD402" s="216"/>
      <c r="BE402" s="216"/>
      <c r="BF402" s="216"/>
      <c r="BG402" s="216"/>
      <c r="BH402" s="216"/>
      <c r="BI402" s="216"/>
      <c r="BJ402" s="216"/>
      <c r="BK402" s="216"/>
      <c r="BL402" s="216"/>
      <c r="BM402" s="216"/>
      <c r="BN402" s="216"/>
      <c r="BO402" s="216"/>
      <c r="BP402" s="216"/>
      <c r="BQ402" s="216"/>
      <c r="BR402" s="216"/>
    </row>
    <row r="403" spans="1:70" ht="12.75" x14ac:dyDescent="0.2">
      <c r="A403" s="214"/>
      <c r="B403" s="214"/>
      <c r="C403" s="214"/>
      <c r="D403" s="214"/>
      <c r="E403" s="214"/>
      <c r="F403" s="214"/>
      <c r="G403" s="214"/>
      <c r="H403" s="214"/>
      <c r="I403" s="214"/>
      <c r="J403" s="214"/>
      <c r="K403" s="214"/>
      <c r="L403" s="214"/>
      <c r="M403" s="215"/>
      <c r="N403" s="215"/>
      <c r="O403" s="216"/>
      <c r="P403" s="216"/>
      <c r="Q403" s="216"/>
      <c r="R403" s="216"/>
      <c r="S403" s="216"/>
      <c r="T403" s="216"/>
      <c r="U403" s="216"/>
      <c r="V403" s="216"/>
      <c r="W403" s="216"/>
      <c r="X403" s="216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  <c r="AU403" s="216"/>
      <c r="AV403" s="216"/>
      <c r="AW403" s="216"/>
      <c r="AX403" s="216"/>
      <c r="AY403" s="216"/>
      <c r="AZ403" s="216"/>
      <c r="BA403" s="216"/>
      <c r="BB403" s="216"/>
      <c r="BC403" s="216"/>
      <c r="BD403" s="216"/>
      <c r="BE403" s="216"/>
      <c r="BF403" s="216"/>
      <c r="BG403" s="216"/>
      <c r="BH403" s="216"/>
      <c r="BI403" s="216"/>
      <c r="BJ403" s="216"/>
      <c r="BK403" s="216"/>
      <c r="BL403" s="216"/>
      <c r="BM403" s="216"/>
      <c r="BN403" s="216"/>
      <c r="BO403" s="216"/>
      <c r="BP403" s="216"/>
      <c r="BQ403" s="216"/>
      <c r="BR403" s="216"/>
    </row>
    <row r="404" spans="1:70" ht="12.75" x14ac:dyDescent="0.2">
      <c r="A404" s="214"/>
      <c r="B404" s="214"/>
      <c r="C404" s="214"/>
      <c r="D404" s="214"/>
      <c r="E404" s="214"/>
      <c r="F404" s="214"/>
      <c r="G404" s="214"/>
      <c r="H404" s="214"/>
      <c r="I404" s="214"/>
      <c r="J404" s="214"/>
      <c r="K404" s="214"/>
      <c r="L404" s="214"/>
      <c r="M404" s="215"/>
      <c r="N404" s="215"/>
      <c r="O404" s="216"/>
      <c r="P404" s="216"/>
      <c r="Q404" s="216"/>
      <c r="R404" s="216"/>
      <c r="S404" s="216"/>
      <c r="T404" s="216"/>
      <c r="U404" s="216"/>
      <c r="V404" s="216"/>
      <c r="W404" s="216"/>
      <c r="X404" s="216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6"/>
      <c r="AX404" s="216"/>
      <c r="AY404" s="216"/>
      <c r="AZ404" s="216"/>
      <c r="BA404" s="216"/>
      <c r="BB404" s="216"/>
      <c r="BC404" s="216"/>
      <c r="BD404" s="216"/>
      <c r="BE404" s="216"/>
      <c r="BF404" s="216"/>
      <c r="BG404" s="216"/>
      <c r="BH404" s="216"/>
      <c r="BI404" s="216"/>
      <c r="BJ404" s="216"/>
      <c r="BK404" s="216"/>
      <c r="BL404" s="216"/>
      <c r="BM404" s="216"/>
      <c r="BN404" s="216"/>
      <c r="BO404" s="216"/>
      <c r="BP404" s="216"/>
      <c r="BQ404" s="216"/>
      <c r="BR404" s="216"/>
    </row>
    <row r="405" spans="1:70" ht="12.75" x14ac:dyDescent="0.2">
      <c r="A405" s="214"/>
      <c r="B405" s="214"/>
      <c r="C405" s="214"/>
      <c r="D405" s="214"/>
      <c r="E405" s="214"/>
      <c r="F405" s="214"/>
      <c r="G405" s="214"/>
      <c r="H405" s="214"/>
      <c r="I405" s="214"/>
      <c r="J405" s="214"/>
      <c r="K405" s="214"/>
      <c r="L405" s="214"/>
      <c r="M405" s="215"/>
      <c r="N405" s="215"/>
      <c r="O405" s="216"/>
      <c r="P405" s="216"/>
      <c r="Q405" s="216"/>
      <c r="R405" s="216"/>
      <c r="S405" s="216"/>
      <c r="T405" s="216"/>
      <c r="U405" s="216"/>
      <c r="V405" s="216"/>
      <c r="W405" s="216"/>
      <c r="X405" s="216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16"/>
      <c r="AN405" s="216"/>
      <c r="AO405" s="216"/>
      <c r="AP405" s="216"/>
      <c r="AQ405" s="216"/>
      <c r="AR405" s="216"/>
      <c r="AS405" s="216"/>
      <c r="AT405" s="216"/>
      <c r="AU405" s="216"/>
      <c r="AV405" s="216"/>
      <c r="AW405" s="216"/>
      <c r="AX405" s="216"/>
      <c r="AY405" s="216"/>
      <c r="AZ405" s="216"/>
      <c r="BA405" s="216"/>
      <c r="BB405" s="216"/>
      <c r="BC405" s="216"/>
      <c r="BD405" s="216"/>
      <c r="BE405" s="216"/>
      <c r="BF405" s="216"/>
      <c r="BG405" s="216"/>
      <c r="BH405" s="216"/>
      <c r="BI405" s="216"/>
      <c r="BJ405" s="216"/>
      <c r="BK405" s="216"/>
      <c r="BL405" s="216"/>
      <c r="BM405" s="216"/>
      <c r="BN405" s="216"/>
      <c r="BO405" s="216"/>
      <c r="BP405" s="216"/>
      <c r="BQ405" s="216"/>
      <c r="BR405" s="216"/>
    </row>
    <row r="406" spans="1:70" ht="12.75" x14ac:dyDescent="0.2">
      <c r="A406" s="214"/>
      <c r="B406" s="214"/>
      <c r="C406" s="214"/>
      <c r="D406" s="214"/>
      <c r="E406" s="214"/>
      <c r="F406" s="214"/>
      <c r="G406" s="214"/>
      <c r="H406" s="214"/>
      <c r="I406" s="214"/>
      <c r="J406" s="214"/>
      <c r="K406" s="214"/>
      <c r="L406" s="214"/>
      <c r="M406" s="215"/>
      <c r="N406" s="215"/>
      <c r="O406" s="216"/>
      <c r="P406" s="216"/>
      <c r="Q406" s="216"/>
      <c r="R406" s="216"/>
      <c r="S406" s="216"/>
      <c r="T406" s="216"/>
      <c r="U406" s="216"/>
      <c r="V406" s="216"/>
      <c r="W406" s="216"/>
      <c r="X406" s="216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16"/>
      <c r="AN406" s="216"/>
      <c r="AO406" s="216"/>
      <c r="AP406" s="216"/>
      <c r="AQ406" s="216"/>
      <c r="AR406" s="216"/>
      <c r="AS406" s="216"/>
      <c r="AT406" s="216"/>
      <c r="AU406" s="216"/>
      <c r="AV406" s="216"/>
      <c r="AW406" s="216"/>
      <c r="AX406" s="216"/>
      <c r="AY406" s="216"/>
      <c r="AZ406" s="216"/>
      <c r="BA406" s="216"/>
      <c r="BB406" s="216"/>
      <c r="BC406" s="216"/>
      <c r="BD406" s="216"/>
      <c r="BE406" s="216"/>
      <c r="BF406" s="216"/>
      <c r="BG406" s="216"/>
      <c r="BH406" s="216"/>
      <c r="BI406" s="216"/>
      <c r="BJ406" s="216"/>
      <c r="BK406" s="216"/>
      <c r="BL406" s="216"/>
      <c r="BM406" s="216"/>
      <c r="BN406" s="216"/>
      <c r="BO406" s="216"/>
      <c r="BP406" s="216"/>
      <c r="BQ406" s="216"/>
      <c r="BR406" s="216"/>
    </row>
    <row r="407" spans="1:70" ht="12.75" x14ac:dyDescent="0.2">
      <c r="A407" s="214"/>
      <c r="B407" s="214"/>
      <c r="C407" s="214"/>
      <c r="D407" s="214"/>
      <c r="E407" s="214"/>
      <c r="F407" s="214"/>
      <c r="G407" s="214"/>
      <c r="H407" s="214"/>
      <c r="I407" s="214"/>
      <c r="J407" s="214"/>
      <c r="K407" s="214"/>
      <c r="L407" s="214"/>
      <c r="M407" s="215"/>
      <c r="N407" s="215"/>
      <c r="O407" s="216"/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16"/>
      <c r="AN407" s="216"/>
      <c r="AO407" s="216"/>
      <c r="AP407" s="216"/>
      <c r="AQ407" s="216"/>
      <c r="AR407" s="216"/>
      <c r="AS407" s="216"/>
      <c r="AT407" s="216"/>
      <c r="AU407" s="216"/>
      <c r="AV407" s="216"/>
      <c r="AW407" s="216"/>
      <c r="AX407" s="216"/>
      <c r="AY407" s="216"/>
      <c r="AZ407" s="216"/>
      <c r="BA407" s="216"/>
      <c r="BB407" s="216"/>
      <c r="BC407" s="216"/>
      <c r="BD407" s="216"/>
      <c r="BE407" s="216"/>
      <c r="BF407" s="216"/>
      <c r="BG407" s="216"/>
      <c r="BH407" s="216"/>
      <c r="BI407" s="216"/>
      <c r="BJ407" s="216"/>
      <c r="BK407" s="216"/>
      <c r="BL407" s="216"/>
      <c r="BM407" s="216"/>
      <c r="BN407" s="216"/>
      <c r="BO407" s="216"/>
      <c r="BP407" s="216"/>
      <c r="BQ407" s="216"/>
      <c r="BR407" s="216"/>
    </row>
    <row r="408" spans="1:70" ht="12.75" x14ac:dyDescent="0.2">
      <c r="A408" s="214"/>
      <c r="B408" s="214"/>
      <c r="C408" s="214"/>
      <c r="D408" s="214"/>
      <c r="E408" s="214"/>
      <c r="F408" s="214"/>
      <c r="G408" s="214"/>
      <c r="H408" s="214"/>
      <c r="I408" s="214"/>
      <c r="J408" s="214"/>
      <c r="K408" s="214"/>
      <c r="L408" s="214"/>
      <c r="M408" s="215"/>
      <c r="N408" s="215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16"/>
      <c r="AN408" s="216"/>
      <c r="AO408" s="216"/>
      <c r="AP408" s="216"/>
      <c r="AQ408" s="216"/>
      <c r="AR408" s="216"/>
      <c r="AS408" s="216"/>
      <c r="AT408" s="216"/>
      <c r="AU408" s="216"/>
      <c r="AV408" s="216"/>
      <c r="AW408" s="216"/>
      <c r="AX408" s="216"/>
      <c r="AY408" s="216"/>
      <c r="AZ408" s="216"/>
      <c r="BA408" s="216"/>
      <c r="BB408" s="216"/>
      <c r="BC408" s="216"/>
      <c r="BD408" s="216"/>
      <c r="BE408" s="216"/>
      <c r="BF408" s="216"/>
      <c r="BG408" s="216"/>
      <c r="BH408" s="216"/>
      <c r="BI408" s="216"/>
      <c r="BJ408" s="216"/>
      <c r="BK408" s="216"/>
      <c r="BL408" s="216"/>
      <c r="BM408" s="216"/>
      <c r="BN408" s="216"/>
      <c r="BO408" s="216"/>
      <c r="BP408" s="216"/>
      <c r="BQ408" s="216"/>
      <c r="BR408" s="216"/>
    </row>
    <row r="409" spans="1:70" ht="12.75" x14ac:dyDescent="0.2">
      <c r="A409" s="214"/>
      <c r="B409" s="214"/>
      <c r="C409" s="214"/>
      <c r="D409" s="214"/>
      <c r="E409" s="214"/>
      <c r="F409" s="214"/>
      <c r="G409" s="214"/>
      <c r="H409" s="214"/>
      <c r="I409" s="214"/>
      <c r="J409" s="214"/>
      <c r="K409" s="214"/>
      <c r="L409" s="214"/>
      <c r="M409" s="215"/>
      <c r="N409" s="215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/>
      <c r="AU409" s="216"/>
      <c r="AV409" s="216"/>
      <c r="AW409" s="216"/>
      <c r="AX409" s="216"/>
      <c r="AY409" s="216"/>
      <c r="AZ409" s="216"/>
      <c r="BA409" s="216"/>
      <c r="BB409" s="216"/>
      <c r="BC409" s="216"/>
      <c r="BD409" s="216"/>
      <c r="BE409" s="216"/>
      <c r="BF409" s="216"/>
      <c r="BG409" s="216"/>
      <c r="BH409" s="216"/>
      <c r="BI409" s="216"/>
      <c r="BJ409" s="216"/>
      <c r="BK409" s="216"/>
      <c r="BL409" s="216"/>
      <c r="BM409" s="216"/>
      <c r="BN409" s="216"/>
      <c r="BO409" s="216"/>
      <c r="BP409" s="216"/>
      <c r="BQ409" s="216"/>
      <c r="BR409" s="216"/>
    </row>
    <row r="410" spans="1:70" ht="12.75" x14ac:dyDescent="0.2">
      <c r="A410" s="214"/>
      <c r="B410" s="214"/>
      <c r="C410" s="214"/>
      <c r="D410" s="214"/>
      <c r="E410" s="214"/>
      <c r="F410" s="214"/>
      <c r="G410" s="214"/>
      <c r="H410" s="214"/>
      <c r="I410" s="214"/>
      <c r="J410" s="214"/>
      <c r="K410" s="214"/>
      <c r="L410" s="214"/>
      <c r="M410" s="215"/>
      <c r="N410" s="215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16"/>
      <c r="AN410" s="216"/>
      <c r="AO410" s="216"/>
      <c r="AP410" s="216"/>
      <c r="AQ410" s="216"/>
      <c r="AR410" s="216"/>
      <c r="AS410" s="216"/>
      <c r="AT410" s="216"/>
      <c r="AU410" s="216"/>
      <c r="AV410" s="216"/>
      <c r="AW410" s="216"/>
      <c r="AX410" s="216"/>
      <c r="AY410" s="216"/>
      <c r="AZ410" s="216"/>
      <c r="BA410" s="216"/>
      <c r="BB410" s="216"/>
      <c r="BC410" s="216"/>
      <c r="BD410" s="216"/>
      <c r="BE410" s="216"/>
      <c r="BF410" s="216"/>
      <c r="BG410" s="216"/>
      <c r="BH410" s="216"/>
      <c r="BI410" s="216"/>
      <c r="BJ410" s="216"/>
      <c r="BK410" s="216"/>
      <c r="BL410" s="216"/>
      <c r="BM410" s="216"/>
      <c r="BN410" s="216"/>
      <c r="BO410" s="216"/>
      <c r="BP410" s="216"/>
      <c r="BQ410" s="216"/>
      <c r="BR410" s="216"/>
    </row>
    <row r="411" spans="1:70" ht="12.75" x14ac:dyDescent="0.2">
      <c r="A411" s="214"/>
      <c r="B411" s="214"/>
      <c r="C411" s="214"/>
      <c r="D411" s="214"/>
      <c r="E411" s="214"/>
      <c r="F411" s="214"/>
      <c r="G411" s="214"/>
      <c r="H411" s="214"/>
      <c r="I411" s="214"/>
      <c r="J411" s="214"/>
      <c r="K411" s="214"/>
      <c r="L411" s="214"/>
      <c r="M411" s="215"/>
      <c r="N411" s="215"/>
      <c r="O411" s="216"/>
      <c r="P411" s="216"/>
      <c r="Q411" s="216"/>
      <c r="R411" s="216"/>
      <c r="S411" s="216"/>
      <c r="T411" s="216"/>
      <c r="U411" s="216"/>
      <c r="V411" s="216"/>
      <c r="W411" s="216"/>
      <c r="X411" s="216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  <c r="AU411" s="216"/>
      <c r="AV411" s="216"/>
      <c r="AW411" s="216"/>
      <c r="AX411" s="216"/>
      <c r="AY411" s="216"/>
      <c r="AZ411" s="216"/>
      <c r="BA411" s="216"/>
      <c r="BB411" s="216"/>
      <c r="BC411" s="216"/>
      <c r="BD411" s="216"/>
      <c r="BE411" s="216"/>
      <c r="BF411" s="216"/>
      <c r="BG411" s="216"/>
      <c r="BH411" s="216"/>
      <c r="BI411" s="216"/>
      <c r="BJ411" s="216"/>
      <c r="BK411" s="216"/>
      <c r="BL411" s="216"/>
      <c r="BM411" s="216"/>
      <c r="BN411" s="216"/>
      <c r="BO411" s="216"/>
      <c r="BP411" s="216"/>
      <c r="BQ411" s="216"/>
      <c r="BR411" s="216"/>
    </row>
    <row r="412" spans="1:70" ht="12.75" x14ac:dyDescent="0.2">
      <c r="A412" s="214"/>
      <c r="B412" s="214"/>
      <c r="C412" s="214"/>
      <c r="D412" s="214"/>
      <c r="E412" s="214"/>
      <c r="F412" s="214"/>
      <c r="G412" s="214"/>
      <c r="H412" s="214"/>
      <c r="I412" s="214"/>
      <c r="J412" s="214"/>
      <c r="K412" s="214"/>
      <c r="L412" s="214"/>
      <c r="M412" s="215"/>
      <c r="N412" s="215"/>
      <c r="O412" s="216"/>
      <c r="P412" s="216"/>
      <c r="Q412" s="216"/>
      <c r="R412" s="216"/>
      <c r="S412" s="216"/>
      <c r="T412" s="216"/>
      <c r="U412" s="216"/>
      <c r="V412" s="216"/>
      <c r="W412" s="216"/>
      <c r="X412" s="216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  <c r="BI412" s="216"/>
      <c r="BJ412" s="216"/>
      <c r="BK412" s="216"/>
      <c r="BL412" s="216"/>
      <c r="BM412" s="216"/>
      <c r="BN412" s="216"/>
      <c r="BO412" s="216"/>
      <c r="BP412" s="216"/>
      <c r="BQ412" s="216"/>
      <c r="BR412" s="216"/>
    </row>
    <row r="413" spans="1:70" ht="12.75" x14ac:dyDescent="0.2">
      <c r="A413" s="214"/>
      <c r="B413" s="214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/>
      <c r="M413" s="215"/>
      <c r="N413" s="215"/>
      <c r="O413" s="216"/>
      <c r="P413" s="216"/>
      <c r="Q413" s="216"/>
      <c r="R413" s="216"/>
      <c r="S413" s="216"/>
      <c r="T413" s="216"/>
      <c r="U413" s="216"/>
      <c r="V413" s="216"/>
      <c r="W413" s="216"/>
      <c r="X413" s="216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  <c r="BI413" s="216"/>
      <c r="BJ413" s="216"/>
      <c r="BK413" s="216"/>
      <c r="BL413" s="216"/>
      <c r="BM413" s="216"/>
      <c r="BN413" s="216"/>
      <c r="BO413" s="216"/>
      <c r="BP413" s="216"/>
      <c r="BQ413" s="216"/>
      <c r="BR413" s="216"/>
    </row>
    <row r="414" spans="1:70" ht="12.75" x14ac:dyDescent="0.2">
      <c r="A414" s="214"/>
      <c r="B414" s="214"/>
      <c r="C414" s="214"/>
      <c r="D414" s="214"/>
      <c r="E414" s="214"/>
      <c r="F414" s="214"/>
      <c r="G414" s="214"/>
      <c r="H414" s="214"/>
      <c r="I414" s="214"/>
      <c r="J414" s="214"/>
      <c r="K414" s="214"/>
      <c r="L414" s="214"/>
      <c r="M414" s="215"/>
      <c r="N414" s="215"/>
      <c r="O414" s="216"/>
      <c r="P414" s="216"/>
      <c r="Q414" s="216"/>
      <c r="R414" s="216"/>
      <c r="S414" s="216"/>
      <c r="T414" s="216"/>
      <c r="U414" s="216"/>
      <c r="V414" s="216"/>
      <c r="W414" s="216"/>
      <c r="X414" s="216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  <c r="BI414" s="216"/>
      <c r="BJ414" s="216"/>
      <c r="BK414" s="216"/>
      <c r="BL414" s="216"/>
      <c r="BM414" s="216"/>
      <c r="BN414" s="216"/>
      <c r="BO414" s="216"/>
      <c r="BP414" s="216"/>
      <c r="BQ414" s="216"/>
      <c r="BR414" s="216"/>
    </row>
    <row r="415" spans="1:70" ht="12.75" x14ac:dyDescent="0.2">
      <c r="A415" s="214"/>
      <c r="B415" s="214"/>
      <c r="C415" s="214"/>
      <c r="D415" s="214"/>
      <c r="E415" s="214"/>
      <c r="F415" s="214"/>
      <c r="G415" s="214"/>
      <c r="H415" s="214"/>
      <c r="I415" s="214"/>
      <c r="J415" s="214"/>
      <c r="K415" s="214"/>
      <c r="L415" s="214"/>
      <c r="M415" s="215"/>
      <c r="N415" s="215"/>
      <c r="O415" s="216"/>
      <c r="P415" s="216"/>
      <c r="Q415" s="216"/>
      <c r="R415" s="216"/>
      <c r="S415" s="216"/>
      <c r="T415" s="216"/>
      <c r="U415" s="216"/>
      <c r="V415" s="216"/>
      <c r="W415" s="216"/>
      <c r="X415" s="216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  <c r="BI415" s="216"/>
      <c r="BJ415" s="216"/>
      <c r="BK415" s="216"/>
      <c r="BL415" s="216"/>
      <c r="BM415" s="216"/>
      <c r="BN415" s="216"/>
      <c r="BO415" s="216"/>
      <c r="BP415" s="216"/>
      <c r="BQ415" s="216"/>
      <c r="BR415" s="216"/>
    </row>
    <row r="416" spans="1:70" ht="12.75" x14ac:dyDescent="0.2">
      <c r="A416" s="214"/>
      <c r="B416" s="214"/>
      <c r="C416" s="214"/>
      <c r="D416" s="214"/>
      <c r="E416" s="214"/>
      <c r="F416" s="214"/>
      <c r="G416" s="214"/>
      <c r="H416" s="214"/>
      <c r="I416" s="214"/>
      <c r="J416" s="214"/>
      <c r="K416" s="214"/>
      <c r="L416" s="214"/>
      <c r="M416" s="215"/>
      <c r="N416" s="215"/>
      <c r="O416" s="216"/>
      <c r="P416" s="216"/>
      <c r="Q416" s="216"/>
      <c r="R416" s="216"/>
      <c r="S416" s="216"/>
      <c r="T416" s="216"/>
      <c r="U416" s="216"/>
      <c r="V416" s="216"/>
      <c r="W416" s="216"/>
      <c r="X416" s="216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  <c r="BI416" s="216"/>
      <c r="BJ416" s="216"/>
      <c r="BK416" s="216"/>
      <c r="BL416" s="216"/>
      <c r="BM416" s="216"/>
      <c r="BN416" s="216"/>
      <c r="BO416" s="216"/>
      <c r="BP416" s="216"/>
      <c r="BQ416" s="216"/>
      <c r="BR416" s="216"/>
    </row>
    <row r="417" spans="1:70" ht="12.75" x14ac:dyDescent="0.2">
      <c r="A417" s="214"/>
      <c r="B417" s="214"/>
      <c r="C417" s="214"/>
      <c r="D417" s="214"/>
      <c r="E417" s="214"/>
      <c r="F417" s="214"/>
      <c r="G417" s="214"/>
      <c r="H417" s="214"/>
      <c r="I417" s="214"/>
      <c r="J417" s="214"/>
      <c r="K417" s="214"/>
      <c r="L417" s="214"/>
      <c r="M417" s="215"/>
      <c r="N417" s="215"/>
      <c r="O417" s="216"/>
      <c r="P417" s="216"/>
      <c r="Q417" s="216"/>
      <c r="R417" s="216"/>
      <c r="S417" s="216"/>
      <c r="T417" s="216"/>
      <c r="U417" s="216"/>
      <c r="V417" s="216"/>
      <c r="W417" s="216"/>
      <c r="X417" s="216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  <c r="AU417" s="216"/>
      <c r="AV417" s="216"/>
      <c r="AW417" s="216"/>
      <c r="AX417" s="216"/>
      <c r="AY417" s="216"/>
      <c r="AZ417" s="216"/>
      <c r="BA417" s="216"/>
      <c r="BB417" s="216"/>
      <c r="BC417" s="216"/>
      <c r="BD417" s="216"/>
      <c r="BE417" s="216"/>
      <c r="BF417" s="216"/>
      <c r="BG417" s="216"/>
      <c r="BH417" s="216"/>
      <c r="BI417" s="216"/>
      <c r="BJ417" s="216"/>
      <c r="BK417" s="216"/>
      <c r="BL417" s="216"/>
      <c r="BM417" s="216"/>
      <c r="BN417" s="216"/>
      <c r="BO417" s="216"/>
      <c r="BP417" s="216"/>
      <c r="BQ417" s="216"/>
      <c r="BR417" s="216"/>
    </row>
    <row r="418" spans="1:70" ht="12.75" x14ac:dyDescent="0.2">
      <c r="A418" s="214"/>
      <c r="B418" s="214"/>
      <c r="C418" s="214"/>
      <c r="D418" s="214"/>
      <c r="E418" s="214"/>
      <c r="F418" s="214"/>
      <c r="G418" s="214"/>
      <c r="H418" s="214"/>
      <c r="I418" s="214"/>
      <c r="J418" s="214"/>
      <c r="K418" s="214"/>
      <c r="L418" s="214"/>
      <c r="M418" s="215"/>
      <c r="N418" s="215"/>
      <c r="O418" s="216"/>
      <c r="P418" s="216"/>
      <c r="Q418" s="216"/>
      <c r="R418" s="216"/>
      <c r="S418" s="216"/>
      <c r="T418" s="216"/>
      <c r="U418" s="216"/>
      <c r="V418" s="216"/>
      <c r="W418" s="216"/>
      <c r="X418" s="216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  <c r="BI418" s="216"/>
      <c r="BJ418" s="216"/>
      <c r="BK418" s="216"/>
      <c r="BL418" s="216"/>
      <c r="BM418" s="216"/>
      <c r="BN418" s="216"/>
      <c r="BO418" s="216"/>
      <c r="BP418" s="216"/>
      <c r="BQ418" s="216"/>
      <c r="BR418" s="216"/>
    </row>
    <row r="419" spans="1:70" ht="12.75" x14ac:dyDescent="0.2">
      <c r="A419" s="214"/>
      <c r="B419" s="214"/>
      <c r="C419" s="214"/>
      <c r="D419" s="214"/>
      <c r="E419" s="214"/>
      <c r="F419" s="214"/>
      <c r="G419" s="214"/>
      <c r="H419" s="214"/>
      <c r="I419" s="214"/>
      <c r="J419" s="214"/>
      <c r="K419" s="214"/>
      <c r="L419" s="214"/>
      <c r="M419" s="215"/>
      <c r="N419" s="215"/>
      <c r="O419" s="216"/>
      <c r="P419" s="216"/>
      <c r="Q419" s="216"/>
      <c r="R419" s="216"/>
      <c r="S419" s="216"/>
      <c r="T419" s="216"/>
      <c r="U419" s="216"/>
      <c r="V419" s="216"/>
      <c r="W419" s="216"/>
      <c r="X419" s="216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6"/>
      <c r="AX419" s="216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  <c r="BI419" s="216"/>
      <c r="BJ419" s="216"/>
      <c r="BK419" s="216"/>
      <c r="BL419" s="216"/>
      <c r="BM419" s="216"/>
      <c r="BN419" s="216"/>
      <c r="BO419" s="216"/>
      <c r="BP419" s="216"/>
      <c r="BQ419" s="216"/>
      <c r="BR419" s="216"/>
    </row>
    <row r="420" spans="1:70" ht="12.75" x14ac:dyDescent="0.2">
      <c r="A420" s="214"/>
      <c r="B420" s="214"/>
      <c r="C420" s="214"/>
      <c r="D420" s="214"/>
      <c r="E420" s="214"/>
      <c r="F420" s="214"/>
      <c r="G420" s="214"/>
      <c r="H420" s="214"/>
      <c r="I420" s="214"/>
      <c r="J420" s="214"/>
      <c r="K420" s="214"/>
      <c r="L420" s="214"/>
      <c r="M420" s="215"/>
      <c r="N420" s="215"/>
      <c r="O420" s="216"/>
      <c r="P420" s="216"/>
      <c r="Q420" s="216"/>
      <c r="R420" s="216"/>
      <c r="S420" s="216"/>
      <c r="T420" s="216"/>
      <c r="U420" s="216"/>
      <c r="V420" s="216"/>
      <c r="W420" s="216"/>
      <c r="X420" s="216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16"/>
      <c r="AN420" s="216"/>
      <c r="AO420" s="216"/>
      <c r="AP420" s="216"/>
      <c r="AQ420" s="216"/>
      <c r="AR420" s="216"/>
      <c r="AS420" s="216"/>
      <c r="AT420" s="216"/>
      <c r="AU420" s="216"/>
      <c r="AV420" s="216"/>
      <c r="AW420" s="216"/>
      <c r="AX420" s="216"/>
      <c r="AY420" s="216"/>
      <c r="AZ420" s="216"/>
      <c r="BA420" s="216"/>
      <c r="BB420" s="216"/>
      <c r="BC420" s="216"/>
      <c r="BD420" s="216"/>
      <c r="BE420" s="216"/>
      <c r="BF420" s="216"/>
      <c r="BG420" s="216"/>
      <c r="BH420" s="216"/>
      <c r="BI420" s="216"/>
      <c r="BJ420" s="216"/>
      <c r="BK420" s="216"/>
      <c r="BL420" s="216"/>
      <c r="BM420" s="216"/>
      <c r="BN420" s="216"/>
      <c r="BO420" s="216"/>
      <c r="BP420" s="216"/>
      <c r="BQ420" s="216"/>
      <c r="BR420" s="216"/>
    </row>
    <row r="421" spans="1:70" ht="12.75" x14ac:dyDescent="0.2">
      <c r="A421" s="214"/>
      <c r="B421" s="214"/>
      <c r="C421" s="214"/>
      <c r="D421" s="214"/>
      <c r="E421" s="214"/>
      <c r="F421" s="214"/>
      <c r="G421" s="214"/>
      <c r="H421" s="214"/>
      <c r="I421" s="214"/>
      <c r="J421" s="214"/>
      <c r="K421" s="214"/>
      <c r="L421" s="214"/>
      <c r="M421" s="215"/>
      <c r="N421" s="215"/>
      <c r="O421" s="216"/>
      <c r="P421" s="216"/>
      <c r="Q421" s="216"/>
      <c r="R421" s="216"/>
      <c r="S421" s="216"/>
      <c r="T421" s="216"/>
      <c r="U421" s="216"/>
      <c r="V421" s="216"/>
      <c r="W421" s="216"/>
      <c r="X421" s="216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216"/>
      <c r="AR421" s="216"/>
      <c r="AS421" s="216"/>
      <c r="AT421" s="216"/>
      <c r="AU421" s="216"/>
      <c r="AV421" s="216"/>
      <c r="AW421" s="216"/>
      <c r="AX421" s="216"/>
      <c r="AY421" s="216"/>
      <c r="AZ421" s="216"/>
      <c r="BA421" s="216"/>
      <c r="BB421" s="216"/>
      <c r="BC421" s="216"/>
      <c r="BD421" s="216"/>
      <c r="BE421" s="216"/>
      <c r="BF421" s="216"/>
      <c r="BG421" s="216"/>
      <c r="BH421" s="216"/>
      <c r="BI421" s="216"/>
      <c r="BJ421" s="216"/>
      <c r="BK421" s="216"/>
      <c r="BL421" s="216"/>
      <c r="BM421" s="216"/>
      <c r="BN421" s="216"/>
      <c r="BO421" s="216"/>
      <c r="BP421" s="216"/>
      <c r="BQ421" s="216"/>
      <c r="BR421" s="216"/>
    </row>
    <row r="422" spans="1:70" ht="12.75" x14ac:dyDescent="0.2">
      <c r="A422" s="214"/>
      <c r="B422" s="214"/>
      <c r="C422" s="214"/>
      <c r="D422" s="214"/>
      <c r="E422" s="214"/>
      <c r="F422" s="214"/>
      <c r="G422" s="214"/>
      <c r="H422" s="214"/>
      <c r="I422" s="214"/>
      <c r="J422" s="214"/>
      <c r="K422" s="214"/>
      <c r="L422" s="214"/>
      <c r="M422" s="215"/>
      <c r="N422" s="215"/>
      <c r="O422" s="216"/>
      <c r="P422" s="216"/>
      <c r="Q422" s="216"/>
      <c r="R422" s="216"/>
      <c r="S422" s="216"/>
      <c r="T422" s="216"/>
      <c r="U422" s="216"/>
      <c r="V422" s="216"/>
      <c r="W422" s="216"/>
      <c r="X422" s="216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16"/>
      <c r="AN422" s="216"/>
      <c r="AO422" s="216"/>
      <c r="AP422" s="216"/>
      <c r="AQ422" s="216"/>
      <c r="AR422" s="216"/>
      <c r="AS422" s="216"/>
      <c r="AT422" s="216"/>
      <c r="AU422" s="216"/>
      <c r="AV422" s="216"/>
      <c r="AW422" s="216"/>
      <c r="AX422" s="216"/>
      <c r="AY422" s="216"/>
      <c r="AZ422" s="216"/>
      <c r="BA422" s="216"/>
      <c r="BB422" s="216"/>
      <c r="BC422" s="216"/>
      <c r="BD422" s="216"/>
      <c r="BE422" s="216"/>
      <c r="BF422" s="216"/>
      <c r="BG422" s="216"/>
      <c r="BH422" s="216"/>
      <c r="BI422" s="216"/>
      <c r="BJ422" s="216"/>
      <c r="BK422" s="216"/>
      <c r="BL422" s="216"/>
      <c r="BM422" s="216"/>
      <c r="BN422" s="216"/>
      <c r="BO422" s="216"/>
      <c r="BP422" s="216"/>
      <c r="BQ422" s="216"/>
      <c r="BR422" s="216"/>
    </row>
    <row r="423" spans="1:70" ht="12.75" x14ac:dyDescent="0.2">
      <c r="A423" s="214"/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5"/>
      <c r="N423" s="215"/>
      <c r="O423" s="216"/>
      <c r="P423" s="216"/>
      <c r="Q423" s="216"/>
      <c r="R423" s="216"/>
      <c r="S423" s="216"/>
      <c r="T423" s="216"/>
      <c r="U423" s="216"/>
      <c r="V423" s="216"/>
      <c r="W423" s="216"/>
      <c r="X423" s="216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16"/>
      <c r="AN423" s="216"/>
      <c r="AO423" s="216"/>
      <c r="AP423" s="216"/>
      <c r="AQ423" s="216"/>
      <c r="AR423" s="216"/>
      <c r="AS423" s="216"/>
      <c r="AT423" s="216"/>
      <c r="AU423" s="216"/>
      <c r="AV423" s="216"/>
      <c r="AW423" s="216"/>
      <c r="AX423" s="216"/>
      <c r="AY423" s="216"/>
      <c r="AZ423" s="216"/>
      <c r="BA423" s="216"/>
      <c r="BB423" s="216"/>
      <c r="BC423" s="216"/>
      <c r="BD423" s="216"/>
      <c r="BE423" s="216"/>
      <c r="BF423" s="216"/>
      <c r="BG423" s="216"/>
      <c r="BH423" s="216"/>
      <c r="BI423" s="216"/>
      <c r="BJ423" s="216"/>
      <c r="BK423" s="216"/>
      <c r="BL423" s="216"/>
      <c r="BM423" s="216"/>
      <c r="BN423" s="216"/>
      <c r="BO423" s="216"/>
      <c r="BP423" s="216"/>
      <c r="BQ423" s="216"/>
      <c r="BR423" s="216"/>
    </row>
    <row r="424" spans="1:70" ht="12.75" x14ac:dyDescent="0.2">
      <c r="A424" s="214"/>
      <c r="B424" s="214"/>
      <c r="C424" s="214"/>
      <c r="D424" s="214"/>
      <c r="E424" s="214"/>
      <c r="F424" s="214"/>
      <c r="G424" s="214"/>
      <c r="H424" s="214"/>
      <c r="I424" s="214"/>
      <c r="J424" s="214"/>
      <c r="K424" s="214"/>
      <c r="L424" s="214"/>
      <c r="M424" s="215"/>
      <c r="N424" s="215"/>
      <c r="O424" s="216"/>
      <c r="P424" s="216"/>
      <c r="Q424" s="216"/>
      <c r="R424" s="216"/>
      <c r="S424" s="216"/>
      <c r="T424" s="216"/>
      <c r="U424" s="216"/>
      <c r="V424" s="216"/>
      <c r="W424" s="216"/>
      <c r="X424" s="216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16"/>
      <c r="AN424" s="216"/>
      <c r="AO424" s="216"/>
      <c r="AP424" s="216"/>
      <c r="AQ424" s="216"/>
      <c r="AR424" s="216"/>
      <c r="AS424" s="216"/>
      <c r="AT424" s="216"/>
      <c r="AU424" s="216"/>
      <c r="AV424" s="216"/>
      <c r="AW424" s="216"/>
      <c r="AX424" s="216"/>
      <c r="AY424" s="216"/>
      <c r="AZ424" s="216"/>
      <c r="BA424" s="216"/>
      <c r="BB424" s="216"/>
      <c r="BC424" s="216"/>
      <c r="BD424" s="216"/>
      <c r="BE424" s="216"/>
      <c r="BF424" s="216"/>
      <c r="BG424" s="216"/>
      <c r="BH424" s="216"/>
      <c r="BI424" s="216"/>
      <c r="BJ424" s="216"/>
      <c r="BK424" s="216"/>
      <c r="BL424" s="216"/>
      <c r="BM424" s="216"/>
      <c r="BN424" s="216"/>
      <c r="BO424" s="216"/>
      <c r="BP424" s="216"/>
      <c r="BQ424" s="216"/>
      <c r="BR424" s="216"/>
    </row>
    <row r="425" spans="1:70" ht="12.75" x14ac:dyDescent="0.2">
      <c r="A425" s="214"/>
      <c r="B425" s="214"/>
      <c r="C425" s="214"/>
      <c r="D425" s="214"/>
      <c r="E425" s="214"/>
      <c r="F425" s="214"/>
      <c r="G425" s="214"/>
      <c r="H425" s="214"/>
      <c r="I425" s="214"/>
      <c r="J425" s="214"/>
      <c r="K425" s="214"/>
      <c r="L425" s="214"/>
      <c r="M425" s="215"/>
      <c r="N425" s="215"/>
      <c r="O425" s="216"/>
      <c r="P425" s="216"/>
      <c r="Q425" s="216"/>
      <c r="R425" s="216"/>
      <c r="S425" s="216"/>
      <c r="T425" s="216"/>
      <c r="U425" s="216"/>
      <c r="V425" s="216"/>
      <c r="W425" s="216"/>
      <c r="X425" s="216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16"/>
      <c r="AN425" s="216"/>
      <c r="AO425" s="216"/>
      <c r="AP425" s="216"/>
      <c r="AQ425" s="216"/>
      <c r="AR425" s="216"/>
      <c r="AS425" s="216"/>
      <c r="AT425" s="216"/>
      <c r="AU425" s="216"/>
      <c r="AV425" s="216"/>
      <c r="AW425" s="216"/>
      <c r="AX425" s="216"/>
      <c r="AY425" s="216"/>
      <c r="AZ425" s="216"/>
      <c r="BA425" s="216"/>
      <c r="BB425" s="216"/>
      <c r="BC425" s="216"/>
      <c r="BD425" s="216"/>
      <c r="BE425" s="216"/>
      <c r="BF425" s="216"/>
      <c r="BG425" s="216"/>
      <c r="BH425" s="216"/>
      <c r="BI425" s="216"/>
      <c r="BJ425" s="216"/>
      <c r="BK425" s="216"/>
      <c r="BL425" s="216"/>
      <c r="BM425" s="216"/>
      <c r="BN425" s="216"/>
      <c r="BO425" s="216"/>
      <c r="BP425" s="216"/>
      <c r="BQ425" s="216"/>
      <c r="BR425" s="216"/>
    </row>
    <row r="426" spans="1:70" ht="12.75" x14ac:dyDescent="0.2">
      <c r="A426" s="214"/>
      <c r="B426" s="214"/>
      <c r="C426" s="214"/>
      <c r="D426" s="214"/>
      <c r="E426" s="214"/>
      <c r="F426" s="214"/>
      <c r="G426" s="214"/>
      <c r="H426" s="214"/>
      <c r="I426" s="214"/>
      <c r="J426" s="214"/>
      <c r="K426" s="214"/>
      <c r="L426" s="214"/>
      <c r="M426" s="215"/>
      <c r="N426" s="215"/>
      <c r="O426" s="216"/>
      <c r="P426" s="216"/>
      <c r="Q426" s="216"/>
      <c r="R426" s="216"/>
      <c r="S426" s="216"/>
      <c r="T426" s="216"/>
      <c r="U426" s="216"/>
      <c r="V426" s="216"/>
      <c r="W426" s="216"/>
      <c r="X426" s="216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16"/>
      <c r="AN426" s="216"/>
      <c r="AO426" s="216"/>
      <c r="AP426" s="216"/>
      <c r="AQ426" s="216"/>
      <c r="AR426" s="216"/>
      <c r="AS426" s="216"/>
      <c r="AT426" s="216"/>
      <c r="AU426" s="216"/>
      <c r="AV426" s="216"/>
      <c r="AW426" s="216"/>
      <c r="AX426" s="216"/>
      <c r="AY426" s="216"/>
      <c r="AZ426" s="216"/>
      <c r="BA426" s="216"/>
      <c r="BB426" s="216"/>
      <c r="BC426" s="216"/>
      <c r="BD426" s="216"/>
      <c r="BE426" s="216"/>
      <c r="BF426" s="216"/>
      <c r="BG426" s="216"/>
      <c r="BH426" s="216"/>
      <c r="BI426" s="216"/>
      <c r="BJ426" s="216"/>
      <c r="BK426" s="216"/>
      <c r="BL426" s="216"/>
      <c r="BM426" s="216"/>
      <c r="BN426" s="216"/>
      <c r="BO426" s="216"/>
      <c r="BP426" s="216"/>
      <c r="BQ426" s="216"/>
      <c r="BR426" s="216"/>
    </row>
    <row r="427" spans="1:70" ht="12.75" x14ac:dyDescent="0.2">
      <c r="A427" s="214"/>
      <c r="B427" s="214"/>
      <c r="C427" s="214"/>
      <c r="D427" s="214"/>
      <c r="E427" s="214"/>
      <c r="F427" s="214"/>
      <c r="G427" s="214"/>
      <c r="H427" s="214"/>
      <c r="I427" s="214"/>
      <c r="J427" s="214"/>
      <c r="K427" s="214"/>
      <c r="L427" s="214"/>
      <c r="M427" s="215"/>
      <c r="N427" s="215"/>
      <c r="O427" s="216"/>
      <c r="P427" s="216"/>
      <c r="Q427" s="216"/>
      <c r="R427" s="216"/>
      <c r="S427" s="216"/>
      <c r="T427" s="216"/>
      <c r="U427" s="216"/>
      <c r="V427" s="216"/>
      <c r="W427" s="216"/>
      <c r="X427" s="216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216"/>
      <c r="AS427" s="216"/>
      <c r="AT427" s="216"/>
      <c r="AU427" s="216"/>
      <c r="AV427" s="216"/>
      <c r="AW427" s="216"/>
      <c r="AX427" s="216"/>
      <c r="AY427" s="216"/>
      <c r="AZ427" s="216"/>
      <c r="BA427" s="216"/>
      <c r="BB427" s="216"/>
      <c r="BC427" s="216"/>
      <c r="BD427" s="216"/>
      <c r="BE427" s="216"/>
      <c r="BF427" s="216"/>
      <c r="BG427" s="216"/>
      <c r="BH427" s="216"/>
      <c r="BI427" s="216"/>
      <c r="BJ427" s="216"/>
      <c r="BK427" s="216"/>
      <c r="BL427" s="216"/>
      <c r="BM427" s="216"/>
      <c r="BN427" s="216"/>
      <c r="BO427" s="216"/>
      <c r="BP427" s="216"/>
      <c r="BQ427" s="216"/>
      <c r="BR427" s="216"/>
    </row>
    <row r="428" spans="1:70" ht="12.75" x14ac:dyDescent="0.2">
      <c r="A428" s="214"/>
      <c r="B428" s="214"/>
      <c r="C428" s="214"/>
      <c r="D428" s="214"/>
      <c r="E428" s="214"/>
      <c r="F428" s="214"/>
      <c r="G428" s="214"/>
      <c r="H428" s="214"/>
      <c r="I428" s="214"/>
      <c r="J428" s="214"/>
      <c r="K428" s="214"/>
      <c r="L428" s="214"/>
      <c r="M428" s="215"/>
      <c r="N428" s="215"/>
      <c r="O428" s="216"/>
      <c r="P428" s="216"/>
      <c r="Q428" s="216"/>
      <c r="R428" s="216"/>
      <c r="S428" s="216"/>
      <c r="T428" s="216"/>
      <c r="U428" s="216"/>
      <c r="V428" s="216"/>
      <c r="W428" s="216"/>
      <c r="X428" s="216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216"/>
      <c r="AS428" s="216"/>
      <c r="AT428" s="216"/>
      <c r="AU428" s="216"/>
      <c r="AV428" s="216"/>
      <c r="AW428" s="216"/>
      <c r="AX428" s="216"/>
      <c r="AY428" s="216"/>
      <c r="AZ428" s="216"/>
      <c r="BA428" s="216"/>
      <c r="BB428" s="216"/>
      <c r="BC428" s="216"/>
      <c r="BD428" s="216"/>
      <c r="BE428" s="216"/>
      <c r="BF428" s="216"/>
      <c r="BG428" s="216"/>
      <c r="BH428" s="216"/>
      <c r="BI428" s="216"/>
      <c r="BJ428" s="216"/>
      <c r="BK428" s="216"/>
      <c r="BL428" s="216"/>
      <c r="BM428" s="216"/>
      <c r="BN428" s="216"/>
      <c r="BO428" s="216"/>
      <c r="BP428" s="216"/>
      <c r="BQ428" s="216"/>
      <c r="BR428" s="216"/>
    </row>
    <row r="429" spans="1:70" ht="12.75" x14ac:dyDescent="0.2">
      <c r="A429" s="214"/>
      <c r="B429" s="214"/>
      <c r="C429" s="214"/>
      <c r="D429" s="214"/>
      <c r="E429" s="214"/>
      <c r="F429" s="214"/>
      <c r="G429" s="214"/>
      <c r="H429" s="214"/>
      <c r="I429" s="214"/>
      <c r="J429" s="214"/>
      <c r="K429" s="214"/>
      <c r="L429" s="214"/>
      <c r="M429" s="215"/>
      <c r="N429" s="215"/>
      <c r="O429" s="216"/>
      <c r="P429" s="216"/>
      <c r="Q429" s="216"/>
      <c r="R429" s="216"/>
      <c r="S429" s="216"/>
      <c r="T429" s="216"/>
      <c r="U429" s="216"/>
      <c r="V429" s="216"/>
      <c r="W429" s="216"/>
      <c r="X429" s="216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216"/>
      <c r="AS429" s="216"/>
      <c r="AT429" s="216"/>
      <c r="AU429" s="216"/>
      <c r="AV429" s="216"/>
      <c r="AW429" s="216"/>
      <c r="AX429" s="216"/>
      <c r="AY429" s="216"/>
      <c r="AZ429" s="216"/>
      <c r="BA429" s="216"/>
      <c r="BB429" s="216"/>
      <c r="BC429" s="216"/>
      <c r="BD429" s="216"/>
      <c r="BE429" s="216"/>
      <c r="BF429" s="216"/>
      <c r="BG429" s="216"/>
      <c r="BH429" s="216"/>
      <c r="BI429" s="216"/>
      <c r="BJ429" s="216"/>
      <c r="BK429" s="216"/>
      <c r="BL429" s="216"/>
      <c r="BM429" s="216"/>
      <c r="BN429" s="216"/>
      <c r="BO429" s="216"/>
      <c r="BP429" s="216"/>
      <c r="BQ429" s="216"/>
      <c r="BR429" s="216"/>
    </row>
    <row r="430" spans="1:70" ht="12.75" x14ac:dyDescent="0.2">
      <c r="A430" s="214"/>
      <c r="B430" s="214"/>
      <c r="C430" s="214"/>
      <c r="D430" s="214"/>
      <c r="E430" s="214"/>
      <c r="F430" s="214"/>
      <c r="G430" s="214"/>
      <c r="H430" s="214"/>
      <c r="I430" s="214"/>
      <c r="J430" s="214"/>
      <c r="K430" s="214"/>
      <c r="L430" s="214"/>
      <c r="M430" s="215"/>
      <c r="N430" s="215"/>
      <c r="O430" s="216"/>
      <c r="P430" s="216"/>
      <c r="Q430" s="216"/>
      <c r="R430" s="216"/>
      <c r="S430" s="216"/>
      <c r="T430" s="216"/>
      <c r="U430" s="216"/>
      <c r="V430" s="216"/>
      <c r="W430" s="216"/>
      <c r="X430" s="216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6"/>
      <c r="AT430" s="216"/>
      <c r="AU430" s="216"/>
      <c r="AV430" s="216"/>
      <c r="AW430" s="216"/>
      <c r="AX430" s="216"/>
      <c r="AY430" s="216"/>
      <c r="AZ430" s="216"/>
      <c r="BA430" s="216"/>
      <c r="BB430" s="216"/>
      <c r="BC430" s="216"/>
      <c r="BD430" s="216"/>
      <c r="BE430" s="216"/>
      <c r="BF430" s="216"/>
      <c r="BG430" s="216"/>
      <c r="BH430" s="216"/>
      <c r="BI430" s="216"/>
      <c r="BJ430" s="216"/>
      <c r="BK430" s="216"/>
      <c r="BL430" s="216"/>
      <c r="BM430" s="216"/>
      <c r="BN430" s="216"/>
      <c r="BO430" s="216"/>
      <c r="BP430" s="216"/>
      <c r="BQ430" s="216"/>
      <c r="BR430" s="216"/>
    </row>
    <row r="431" spans="1:70" ht="12.75" x14ac:dyDescent="0.2">
      <c r="A431" s="214"/>
      <c r="B431" s="214"/>
      <c r="C431" s="214"/>
      <c r="D431" s="214"/>
      <c r="E431" s="214"/>
      <c r="F431" s="214"/>
      <c r="G431" s="214"/>
      <c r="H431" s="214"/>
      <c r="I431" s="214"/>
      <c r="J431" s="214"/>
      <c r="K431" s="214"/>
      <c r="L431" s="214"/>
      <c r="M431" s="215"/>
      <c r="N431" s="215"/>
      <c r="O431" s="216"/>
      <c r="P431" s="216"/>
      <c r="Q431" s="216"/>
      <c r="R431" s="216"/>
      <c r="S431" s="216"/>
      <c r="T431" s="216"/>
      <c r="U431" s="216"/>
      <c r="V431" s="216"/>
      <c r="W431" s="216"/>
      <c r="X431" s="216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16"/>
      <c r="AN431" s="216"/>
      <c r="AO431" s="216"/>
      <c r="AP431" s="216"/>
      <c r="AQ431" s="216"/>
      <c r="AR431" s="216"/>
      <c r="AS431" s="216"/>
      <c r="AT431" s="216"/>
      <c r="AU431" s="216"/>
      <c r="AV431" s="216"/>
      <c r="AW431" s="216"/>
      <c r="AX431" s="216"/>
      <c r="AY431" s="216"/>
      <c r="AZ431" s="216"/>
      <c r="BA431" s="216"/>
      <c r="BB431" s="216"/>
      <c r="BC431" s="216"/>
      <c r="BD431" s="216"/>
      <c r="BE431" s="216"/>
      <c r="BF431" s="216"/>
      <c r="BG431" s="216"/>
      <c r="BH431" s="216"/>
      <c r="BI431" s="216"/>
      <c r="BJ431" s="216"/>
      <c r="BK431" s="216"/>
      <c r="BL431" s="216"/>
      <c r="BM431" s="216"/>
      <c r="BN431" s="216"/>
      <c r="BO431" s="216"/>
      <c r="BP431" s="216"/>
      <c r="BQ431" s="216"/>
      <c r="BR431" s="216"/>
    </row>
    <row r="432" spans="1:70" ht="12.75" x14ac:dyDescent="0.2">
      <c r="A432" s="214"/>
      <c r="B432" s="214"/>
      <c r="C432" s="214"/>
      <c r="D432" s="214"/>
      <c r="E432" s="214"/>
      <c r="F432" s="214"/>
      <c r="G432" s="214"/>
      <c r="H432" s="214"/>
      <c r="I432" s="214"/>
      <c r="J432" s="214"/>
      <c r="K432" s="214"/>
      <c r="L432" s="214"/>
      <c r="M432" s="215"/>
      <c r="N432" s="215"/>
      <c r="O432" s="216"/>
      <c r="P432" s="216"/>
      <c r="Q432" s="216"/>
      <c r="R432" s="216"/>
      <c r="S432" s="216"/>
      <c r="T432" s="216"/>
      <c r="U432" s="216"/>
      <c r="V432" s="216"/>
      <c r="W432" s="216"/>
      <c r="X432" s="216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16"/>
      <c r="AN432" s="216"/>
      <c r="AO432" s="216"/>
      <c r="AP432" s="216"/>
      <c r="AQ432" s="216"/>
      <c r="AR432" s="216"/>
      <c r="AS432" s="216"/>
      <c r="AT432" s="216"/>
      <c r="AU432" s="216"/>
      <c r="AV432" s="216"/>
      <c r="AW432" s="216"/>
      <c r="AX432" s="216"/>
      <c r="AY432" s="216"/>
      <c r="AZ432" s="216"/>
      <c r="BA432" s="216"/>
      <c r="BB432" s="216"/>
      <c r="BC432" s="216"/>
      <c r="BD432" s="216"/>
      <c r="BE432" s="216"/>
      <c r="BF432" s="216"/>
      <c r="BG432" s="216"/>
      <c r="BH432" s="216"/>
      <c r="BI432" s="216"/>
      <c r="BJ432" s="216"/>
      <c r="BK432" s="216"/>
      <c r="BL432" s="216"/>
      <c r="BM432" s="216"/>
      <c r="BN432" s="216"/>
      <c r="BO432" s="216"/>
      <c r="BP432" s="216"/>
      <c r="BQ432" s="216"/>
      <c r="BR432" s="216"/>
    </row>
    <row r="433" spans="1:70" ht="12.75" x14ac:dyDescent="0.2">
      <c r="A433" s="214"/>
      <c r="B433" s="214"/>
      <c r="C433" s="214"/>
      <c r="D433" s="214"/>
      <c r="E433" s="214"/>
      <c r="F433" s="214"/>
      <c r="G433" s="214"/>
      <c r="H433" s="214"/>
      <c r="I433" s="214"/>
      <c r="J433" s="214"/>
      <c r="K433" s="214"/>
      <c r="L433" s="214"/>
      <c r="M433" s="215"/>
      <c r="N433" s="215"/>
      <c r="O433" s="216"/>
      <c r="P433" s="216"/>
      <c r="Q433" s="216"/>
      <c r="R433" s="216"/>
      <c r="S433" s="216"/>
      <c r="T433" s="216"/>
      <c r="U433" s="216"/>
      <c r="V433" s="216"/>
      <c r="W433" s="216"/>
      <c r="X433" s="216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16"/>
      <c r="AN433" s="216"/>
      <c r="AO433" s="216"/>
      <c r="AP433" s="216"/>
      <c r="AQ433" s="216"/>
      <c r="AR433" s="216"/>
      <c r="AS433" s="216"/>
      <c r="AT433" s="216"/>
      <c r="AU433" s="216"/>
      <c r="AV433" s="216"/>
      <c r="AW433" s="216"/>
      <c r="AX433" s="216"/>
      <c r="AY433" s="216"/>
      <c r="AZ433" s="216"/>
      <c r="BA433" s="216"/>
      <c r="BB433" s="216"/>
      <c r="BC433" s="216"/>
      <c r="BD433" s="216"/>
      <c r="BE433" s="216"/>
      <c r="BF433" s="216"/>
      <c r="BG433" s="216"/>
      <c r="BH433" s="216"/>
      <c r="BI433" s="216"/>
      <c r="BJ433" s="216"/>
      <c r="BK433" s="216"/>
      <c r="BL433" s="216"/>
      <c r="BM433" s="216"/>
      <c r="BN433" s="216"/>
      <c r="BO433" s="216"/>
      <c r="BP433" s="216"/>
      <c r="BQ433" s="216"/>
      <c r="BR433" s="216"/>
    </row>
    <row r="434" spans="1:70" ht="12.75" x14ac:dyDescent="0.2">
      <c r="A434" s="214"/>
      <c r="B434" s="214"/>
      <c r="C434" s="214"/>
      <c r="D434" s="214"/>
      <c r="E434" s="214"/>
      <c r="F434" s="214"/>
      <c r="G434" s="214"/>
      <c r="H434" s="214"/>
      <c r="I434" s="214"/>
      <c r="J434" s="214"/>
      <c r="K434" s="214"/>
      <c r="L434" s="214"/>
      <c r="M434" s="215"/>
      <c r="N434" s="215"/>
      <c r="O434" s="216"/>
      <c r="P434" s="216"/>
      <c r="Q434" s="216"/>
      <c r="R434" s="216"/>
      <c r="S434" s="216"/>
      <c r="T434" s="216"/>
      <c r="U434" s="216"/>
      <c r="V434" s="216"/>
      <c r="W434" s="216"/>
      <c r="X434" s="216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16"/>
      <c r="AN434" s="216"/>
      <c r="AO434" s="216"/>
      <c r="AP434" s="216"/>
      <c r="AQ434" s="216"/>
      <c r="AR434" s="216"/>
      <c r="AS434" s="216"/>
      <c r="AT434" s="216"/>
      <c r="AU434" s="216"/>
      <c r="AV434" s="216"/>
      <c r="AW434" s="216"/>
      <c r="AX434" s="216"/>
      <c r="AY434" s="216"/>
      <c r="AZ434" s="216"/>
      <c r="BA434" s="216"/>
      <c r="BB434" s="216"/>
      <c r="BC434" s="216"/>
      <c r="BD434" s="216"/>
      <c r="BE434" s="216"/>
      <c r="BF434" s="216"/>
      <c r="BG434" s="216"/>
      <c r="BH434" s="216"/>
      <c r="BI434" s="216"/>
      <c r="BJ434" s="216"/>
      <c r="BK434" s="216"/>
      <c r="BL434" s="216"/>
      <c r="BM434" s="216"/>
      <c r="BN434" s="216"/>
      <c r="BO434" s="216"/>
      <c r="BP434" s="216"/>
      <c r="BQ434" s="216"/>
      <c r="BR434" s="216"/>
    </row>
    <row r="435" spans="1:70" ht="12.75" x14ac:dyDescent="0.2">
      <c r="A435" s="214"/>
      <c r="B435" s="214"/>
      <c r="C435" s="214"/>
      <c r="D435" s="214"/>
      <c r="E435" s="214"/>
      <c r="F435" s="214"/>
      <c r="G435" s="214"/>
      <c r="H435" s="214"/>
      <c r="I435" s="214"/>
      <c r="J435" s="214"/>
      <c r="K435" s="214"/>
      <c r="L435" s="214"/>
      <c r="M435" s="215"/>
      <c r="N435" s="215"/>
      <c r="O435" s="216"/>
      <c r="P435" s="216"/>
      <c r="Q435" s="216"/>
      <c r="R435" s="216"/>
      <c r="S435" s="216"/>
      <c r="T435" s="216"/>
      <c r="U435" s="216"/>
      <c r="V435" s="216"/>
      <c r="W435" s="216"/>
      <c r="X435" s="216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16"/>
      <c r="AN435" s="216"/>
      <c r="AO435" s="216"/>
      <c r="AP435" s="216"/>
      <c r="AQ435" s="216"/>
      <c r="AR435" s="216"/>
      <c r="AS435" s="216"/>
      <c r="AT435" s="216"/>
      <c r="AU435" s="216"/>
      <c r="AV435" s="216"/>
      <c r="AW435" s="216"/>
      <c r="AX435" s="216"/>
      <c r="AY435" s="216"/>
      <c r="AZ435" s="216"/>
      <c r="BA435" s="216"/>
      <c r="BB435" s="216"/>
      <c r="BC435" s="216"/>
      <c r="BD435" s="216"/>
      <c r="BE435" s="216"/>
      <c r="BF435" s="216"/>
      <c r="BG435" s="216"/>
      <c r="BH435" s="216"/>
      <c r="BI435" s="216"/>
      <c r="BJ435" s="216"/>
      <c r="BK435" s="216"/>
      <c r="BL435" s="216"/>
      <c r="BM435" s="216"/>
      <c r="BN435" s="216"/>
      <c r="BO435" s="216"/>
      <c r="BP435" s="216"/>
      <c r="BQ435" s="216"/>
      <c r="BR435" s="216"/>
    </row>
    <row r="436" spans="1:70" ht="12.75" x14ac:dyDescent="0.2">
      <c r="A436" s="214"/>
      <c r="B436" s="214"/>
      <c r="C436" s="214"/>
      <c r="D436" s="214"/>
      <c r="E436" s="214"/>
      <c r="F436" s="214"/>
      <c r="G436" s="214"/>
      <c r="H436" s="214"/>
      <c r="I436" s="214"/>
      <c r="J436" s="214"/>
      <c r="K436" s="214"/>
      <c r="L436" s="214"/>
      <c r="M436" s="215"/>
      <c r="N436" s="215"/>
      <c r="O436" s="216"/>
      <c r="P436" s="216"/>
      <c r="Q436" s="216"/>
      <c r="R436" s="216"/>
      <c r="S436" s="216"/>
      <c r="T436" s="216"/>
      <c r="U436" s="216"/>
      <c r="V436" s="216"/>
      <c r="W436" s="216"/>
      <c r="X436" s="216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16"/>
      <c r="AN436" s="216"/>
      <c r="AO436" s="216"/>
      <c r="AP436" s="216"/>
      <c r="AQ436" s="216"/>
      <c r="AR436" s="216"/>
      <c r="AS436" s="216"/>
      <c r="AT436" s="216"/>
      <c r="AU436" s="216"/>
      <c r="AV436" s="216"/>
      <c r="AW436" s="216"/>
      <c r="AX436" s="216"/>
      <c r="AY436" s="216"/>
      <c r="AZ436" s="216"/>
      <c r="BA436" s="216"/>
      <c r="BB436" s="216"/>
      <c r="BC436" s="216"/>
      <c r="BD436" s="216"/>
      <c r="BE436" s="216"/>
      <c r="BF436" s="216"/>
      <c r="BG436" s="216"/>
      <c r="BH436" s="216"/>
      <c r="BI436" s="216"/>
      <c r="BJ436" s="216"/>
      <c r="BK436" s="216"/>
      <c r="BL436" s="216"/>
      <c r="BM436" s="216"/>
      <c r="BN436" s="216"/>
      <c r="BO436" s="216"/>
      <c r="BP436" s="216"/>
      <c r="BQ436" s="216"/>
      <c r="BR436" s="216"/>
    </row>
    <row r="437" spans="1:70" ht="12.75" x14ac:dyDescent="0.2">
      <c r="A437" s="214"/>
      <c r="B437" s="214"/>
      <c r="C437" s="214"/>
      <c r="D437" s="214"/>
      <c r="E437" s="214"/>
      <c r="F437" s="214"/>
      <c r="G437" s="214"/>
      <c r="H437" s="214"/>
      <c r="I437" s="214"/>
      <c r="J437" s="214"/>
      <c r="K437" s="214"/>
      <c r="L437" s="214"/>
      <c r="M437" s="215"/>
      <c r="N437" s="215"/>
      <c r="O437" s="216"/>
      <c r="P437" s="216"/>
      <c r="Q437" s="216"/>
      <c r="R437" s="216"/>
      <c r="S437" s="216"/>
      <c r="T437" s="216"/>
      <c r="U437" s="216"/>
      <c r="V437" s="216"/>
      <c r="W437" s="216"/>
      <c r="X437" s="216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16"/>
      <c r="AN437" s="216"/>
      <c r="AO437" s="216"/>
      <c r="AP437" s="216"/>
      <c r="AQ437" s="216"/>
      <c r="AR437" s="216"/>
      <c r="AS437" s="216"/>
      <c r="AT437" s="216"/>
      <c r="AU437" s="216"/>
      <c r="AV437" s="216"/>
      <c r="AW437" s="216"/>
      <c r="AX437" s="216"/>
      <c r="AY437" s="216"/>
      <c r="AZ437" s="216"/>
      <c r="BA437" s="216"/>
      <c r="BB437" s="216"/>
      <c r="BC437" s="216"/>
      <c r="BD437" s="216"/>
      <c r="BE437" s="216"/>
      <c r="BF437" s="216"/>
      <c r="BG437" s="216"/>
      <c r="BH437" s="216"/>
      <c r="BI437" s="216"/>
      <c r="BJ437" s="216"/>
      <c r="BK437" s="216"/>
      <c r="BL437" s="216"/>
      <c r="BM437" s="216"/>
      <c r="BN437" s="216"/>
      <c r="BO437" s="216"/>
      <c r="BP437" s="216"/>
      <c r="BQ437" s="216"/>
      <c r="BR437" s="216"/>
    </row>
    <row r="438" spans="1:70" ht="12.75" x14ac:dyDescent="0.2">
      <c r="A438" s="214"/>
      <c r="B438" s="214"/>
      <c r="C438" s="214"/>
      <c r="D438" s="214"/>
      <c r="E438" s="214"/>
      <c r="F438" s="214"/>
      <c r="G438" s="214"/>
      <c r="H438" s="214"/>
      <c r="I438" s="214"/>
      <c r="J438" s="214"/>
      <c r="K438" s="214"/>
      <c r="L438" s="214"/>
      <c r="M438" s="215"/>
      <c r="N438" s="215"/>
      <c r="O438" s="216"/>
      <c r="P438" s="216"/>
      <c r="Q438" s="216"/>
      <c r="R438" s="216"/>
      <c r="S438" s="216"/>
      <c r="T438" s="216"/>
      <c r="U438" s="216"/>
      <c r="V438" s="216"/>
      <c r="W438" s="216"/>
      <c r="X438" s="216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16"/>
      <c r="AN438" s="216"/>
      <c r="AO438" s="216"/>
      <c r="AP438" s="216"/>
      <c r="AQ438" s="216"/>
      <c r="AR438" s="216"/>
      <c r="AS438" s="216"/>
      <c r="AT438" s="216"/>
      <c r="AU438" s="216"/>
      <c r="AV438" s="216"/>
      <c r="AW438" s="216"/>
      <c r="AX438" s="216"/>
      <c r="AY438" s="216"/>
      <c r="AZ438" s="216"/>
      <c r="BA438" s="216"/>
      <c r="BB438" s="216"/>
      <c r="BC438" s="216"/>
      <c r="BD438" s="216"/>
      <c r="BE438" s="216"/>
      <c r="BF438" s="216"/>
      <c r="BG438" s="216"/>
      <c r="BH438" s="216"/>
      <c r="BI438" s="216"/>
      <c r="BJ438" s="216"/>
      <c r="BK438" s="216"/>
      <c r="BL438" s="216"/>
      <c r="BM438" s="216"/>
      <c r="BN438" s="216"/>
      <c r="BO438" s="216"/>
      <c r="BP438" s="216"/>
      <c r="BQ438" s="216"/>
      <c r="BR438" s="216"/>
    </row>
    <row r="439" spans="1:70" ht="12.75" x14ac:dyDescent="0.2">
      <c r="A439" s="214"/>
      <c r="B439" s="214"/>
      <c r="C439" s="214"/>
      <c r="D439" s="214"/>
      <c r="E439" s="214"/>
      <c r="F439" s="214"/>
      <c r="G439" s="214"/>
      <c r="H439" s="214"/>
      <c r="I439" s="214"/>
      <c r="J439" s="214"/>
      <c r="K439" s="214"/>
      <c r="L439" s="214"/>
      <c r="M439" s="215"/>
      <c r="N439" s="215"/>
      <c r="O439" s="216"/>
      <c r="P439" s="216"/>
      <c r="Q439" s="216"/>
      <c r="R439" s="216"/>
      <c r="S439" s="216"/>
      <c r="T439" s="216"/>
      <c r="U439" s="216"/>
      <c r="V439" s="216"/>
      <c r="W439" s="216"/>
      <c r="X439" s="216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16"/>
      <c r="AN439" s="216"/>
      <c r="AO439" s="216"/>
      <c r="AP439" s="216"/>
      <c r="AQ439" s="216"/>
      <c r="AR439" s="216"/>
      <c r="AS439" s="216"/>
      <c r="AT439" s="216"/>
      <c r="AU439" s="216"/>
      <c r="AV439" s="216"/>
      <c r="AW439" s="216"/>
      <c r="AX439" s="216"/>
      <c r="AY439" s="216"/>
      <c r="AZ439" s="216"/>
      <c r="BA439" s="216"/>
      <c r="BB439" s="216"/>
      <c r="BC439" s="216"/>
      <c r="BD439" s="216"/>
      <c r="BE439" s="216"/>
      <c r="BF439" s="216"/>
      <c r="BG439" s="216"/>
      <c r="BH439" s="216"/>
      <c r="BI439" s="216"/>
      <c r="BJ439" s="216"/>
      <c r="BK439" s="216"/>
      <c r="BL439" s="216"/>
      <c r="BM439" s="216"/>
      <c r="BN439" s="216"/>
      <c r="BO439" s="216"/>
      <c r="BP439" s="216"/>
      <c r="BQ439" s="216"/>
      <c r="BR439" s="216"/>
    </row>
    <row r="440" spans="1:70" ht="12.75" x14ac:dyDescent="0.2">
      <c r="A440" s="214"/>
      <c r="B440" s="214"/>
      <c r="C440" s="214"/>
      <c r="D440" s="214"/>
      <c r="E440" s="214"/>
      <c r="F440" s="214"/>
      <c r="G440" s="214"/>
      <c r="H440" s="214"/>
      <c r="I440" s="214"/>
      <c r="J440" s="214"/>
      <c r="K440" s="214"/>
      <c r="L440" s="214"/>
      <c r="M440" s="215"/>
      <c r="N440" s="215"/>
      <c r="O440" s="216"/>
      <c r="P440" s="216"/>
      <c r="Q440" s="216"/>
      <c r="R440" s="216"/>
      <c r="S440" s="216"/>
      <c r="T440" s="216"/>
      <c r="U440" s="216"/>
      <c r="V440" s="216"/>
      <c r="W440" s="216"/>
      <c r="X440" s="216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16"/>
      <c r="AN440" s="216"/>
      <c r="AO440" s="216"/>
      <c r="AP440" s="216"/>
      <c r="AQ440" s="216"/>
      <c r="AR440" s="216"/>
      <c r="AS440" s="216"/>
      <c r="AT440" s="216"/>
      <c r="AU440" s="216"/>
      <c r="AV440" s="216"/>
      <c r="AW440" s="216"/>
      <c r="AX440" s="216"/>
      <c r="AY440" s="216"/>
      <c r="AZ440" s="216"/>
      <c r="BA440" s="216"/>
      <c r="BB440" s="216"/>
      <c r="BC440" s="216"/>
      <c r="BD440" s="216"/>
      <c r="BE440" s="216"/>
      <c r="BF440" s="216"/>
      <c r="BG440" s="216"/>
      <c r="BH440" s="216"/>
      <c r="BI440" s="216"/>
      <c r="BJ440" s="216"/>
      <c r="BK440" s="216"/>
      <c r="BL440" s="216"/>
      <c r="BM440" s="216"/>
      <c r="BN440" s="216"/>
      <c r="BO440" s="216"/>
      <c r="BP440" s="216"/>
      <c r="BQ440" s="216"/>
      <c r="BR440" s="216"/>
    </row>
    <row r="441" spans="1:70" ht="12.75" x14ac:dyDescent="0.2">
      <c r="A441" s="214"/>
      <c r="B441" s="214"/>
      <c r="C441" s="214"/>
      <c r="D441" s="214"/>
      <c r="E441" s="214"/>
      <c r="F441" s="214"/>
      <c r="G441" s="214"/>
      <c r="H441" s="214"/>
      <c r="I441" s="214"/>
      <c r="J441" s="214"/>
      <c r="K441" s="214"/>
      <c r="L441" s="214"/>
      <c r="M441" s="215"/>
      <c r="N441" s="215"/>
      <c r="O441" s="216"/>
      <c r="P441" s="216"/>
      <c r="Q441" s="216"/>
      <c r="R441" s="216"/>
      <c r="S441" s="216"/>
      <c r="T441" s="216"/>
      <c r="U441" s="216"/>
      <c r="V441" s="216"/>
      <c r="W441" s="216"/>
      <c r="X441" s="216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16"/>
      <c r="AN441" s="216"/>
      <c r="AO441" s="216"/>
      <c r="AP441" s="216"/>
      <c r="AQ441" s="216"/>
      <c r="AR441" s="216"/>
      <c r="AS441" s="216"/>
      <c r="AT441" s="216"/>
      <c r="AU441" s="216"/>
      <c r="AV441" s="216"/>
      <c r="AW441" s="216"/>
      <c r="AX441" s="216"/>
      <c r="AY441" s="216"/>
      <c r="AZ441" s="216"/>
      <c r="BA441" s="216"/>
      <c r="BB441" s="216"/>
      <c r="BC441" s="216"/>
      <c r="BD441" s="216"/>
      <c r="BE441" s="216"/>
      <c r="BF441" s="216"/>
      <c r="BG441" s="216"/>
      <c r="BH441" s="216"/>
      <c r="BI441" s="216"/>
      <c r="BJ441" s="216"/>
      <c r="BK441" s="216"/>
      <c r="BL441" s="216"/>
      <c r="BM441" s="216"/>
      <c r="BN441" s="216"/>
      <c r="BO441" s="216"/>
      <c r="BP441" s="216"/>
      <c r="BQ441" s="216"/>
      <c r="BR441" s="216"/>
    </row>
    <row r="442" spans="1:70" ht="12.75" x14ac:dyDescent="0.2">
      <c r="A442" s="214"/>
      <c r="B442" s="214"/>
      <c r="C442" s="214"/>
      <c r="D442" s="214"/>
      <c r="E442" s="214"/>
      <c r="F442" s="214"/>
      <c r="G442" s="214"/>
      <c r="H442" s="214"/>
      <c r="I442" s="214"/>
      <c r="J442" s="214"/>
      <c r="K442" s="214"/>
      <c r="L442" s="214"/>
      <c r="M442" s="215"/>
      <c r="N442" s="215"/>
      <c r="O442" s="216"/>
      <c r="P442" s="216"/>
      <c r="Q442" s="216"/>
      <c r="R442" s="216"/>
      <c r="S442" s="216"/>
      <c r="T442" s="216"/>
      <c r="U442" s="216"/>
      <c r="V442" s="216"/>
      <c r="W442" s="216"/>
      <c r="X442" s="216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16"/>
      <c r="AN442" s="216"/>
      <c r="AO442" s="216"/>
      <c r="AP442" s="216"/>
      <c r="AQ442" s="216"/>
      <c r="AR442" s="216"/>
      <c r="AS442" s="216"/>
      <c r="AT442" s="216"/>
      <c r="AU442" s="216"/>
      <c r="AV442" s="216"/>
      <c r="AW442" s="216"/>
      <c r="AX442" s="216"/>
      <c r="AY442" s="216"/>
      <c r="AZ442" s="216"/>
      <c r="BA442" s="216"/>
      <c r="BB442" s="216"/>
      <c r="BC442" s="216"/>
      <c r="BD442" s="216"/>
      <c r="BE442" s="216"/>
      <c r="BF442" s="216"/>
      <c r="BG442" s="216"/>
      <c r="BH442" s="216"/>
      <c r="BI442" s="216"/>
      <c r="BJ442" s="216"/>
      <c r="BK442" s="216"/>
      <c r="BL442" s="216"/>
      <c r="BM442" s="216"/>
      <c r="BN442" s="216"/>
      <c r="BO442" s="216"/>
      <c r="BP442" s="216"/>
      <c r="BQ442" s="216"/>
      <c r="BR442" s="216"/>
    </row>
    <row r="443" spans="1:70" ht="12.75" x14ac:dyDescent="0.2">
      <c r="A443" s="214"/>
      <c r="B443" s="214"/>
      <c r="C443" s="214"/>
      <c r="D443" s="214"/>
      <c r="E443" s="214"/>
      <c r="F443" s="214"/>
      <c r="G443" s="214"/>
      <c r="H443" s="214"/>
      <c r="I443" s="214"/>
      <c r="J443" s="214"/>
      <c r="K443" s="214"/>
      <c r="L443" s="214"/>
      <c r="M443" s="215"/>
      <c r="N443" s="215"/>
      <c r="O443" s="216"/>
      <c r="P443" s="216"/>
      <c r="Q443" s="216"/>
      <c r="R443" s="216"/>
      <c r="S443" s="216"/>
      <c r="T443" s="216"/>
      <c r="U443" s="216"/>
      <c r="V443" s="216"/>
      <c r="W443" s="216"/>
      <c r="X443" s="216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16"/>
      <c r="AN443" s="216"/>
      <c r="AO443" s="216"/>
      <c r="AP443" s="216"/>
      <c r="AQ443" s="216"/>
      <c r="AR443" s="216"/>
      <c r="AS443" s="216"/>
      <c r="AT443" s="216"/>
      <c r="AU443" s="216"/>
      <c r="AV443" s="216"/>
      <c r="AW443" s="216"/>
      <c r="AX443" s="216"/>
      <c r="AY443" s="216"/>
      <c r="AZ443" s="216"/>
      <c r="BA443" s="216"/>
      <c r="BB443" s="216"/>
      <c r="BC443" s="216"/>
      <c r="BD443" s="216"/>
      <c r="BE443" s="216"/>
      <c r="BF443" s="216"/>
      <c r="BG443" s="216"/>
      <c r="BH443" s="216"/>
      <c r="BI443" s="216"/>
      <c r="BJ443" s="216"/>
      <c r="BK443" s="216"/>
      <c r="BL443" s="216"/>
      <c r="BM443" s="216"/>
      <c r="BN443" s="216"/>
      <c r="BO443" s="216"/>
      <c r="BP443" s="216"/>
      <c r="BQ443" s="216"/>
      <c r="BR443" s="216"/>
    </row>
    <row r="444" spans="1:70" ht="12.75" x14ac:dyDescent="0.2">
      <c r="A444" s="214"/>
      <c r="B444" s="214"/>
      <c r="C444" s="214"/>
      <c r="D444" s="214"/>
      <c r="E444" s="214"/>
      <c r="F444" s="214"/>
      <c r="G444" s="214"/>
      <c r="H444" s="214"/>
      <c r="I444" s="214"/>
      <c r="J444" s="214"/>
      <c r="K444" s="214"/>
      <c r="L444" s="214"/>
      <c r="M444" s="215"/>
      <c r="N444" s="215"/>
      <c r="O444" s="216"/>
      <c r="P444" s="216"/>
      <c r="Q444" s="216"/>
      <c r="R444" s="216"/>
      <c r="S444" s="216"/>
      <c r="T444" s="216"/>
      <c r="U444" s="216"/>
      <c r="V444" s="216"/>
      <c r="W444" s="216"/>
      <c r="X444" s="216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16"/>
      <c r="AN444" s="216"/>
      <c r="AO444" s="216"/>
      <c r="AP444" s="216"/>
      <c r="AQ444" s="216"/>
      <c r="AR444" s="216"/>
      <c r="AS444" s="216"/>
      <c r="AT444" s="216"/>
      <c r="AU444" s="216"/>
      <c r="AV444" s="216"/>
      <c r="AW444" s="216"/>
      <c r="AX444" s="216"/>
      <c r="AY444" s="216"/>
      <c r="AZ444" s="216"/>
      <c r="BA444" s="216"/>
      <c r="BB444" s="216"/>
      <c r="BC444" s="216"/>
      <c r="BD444" s="216"/>
      <c r="BE444" s="216"/>
      <c r="BF444" s="216"/>
      <c r="BG444" s="216"/>
      <c r="BH444" s="216"/>
      <c r="BI444" s="216"/>
      <c r="BJ444" s="216"/>
      <c r="BK444" s="216"/>
      <c r="BL444" s="216"/>
      <c r="BM444" s="216"/>
      <c r="BN444" s="216"/>
      <c r="BO444" s="216"/>
      <c r="BP444" s="216"/>
      <c r="BQ444" s="216"/>
      <c r="BR444" s="216"/>
    </row>
    <row r="445" spans="1:70" ht="12.75" x14ac:dyDescent="0.2">
      <c r="A445" s="214"/>
      <c r="B445" s="214"/>
      <c r="C445" s="214"/>
      <c r="D445" s="214"/>
      <c r="E445" s="214"/>
      <c r="F445" s="214"/>
      <c r="G445" s="214"/>
      <c r="H445" s="214"/>
      <c r="I445" s="214"/>
      <c r="J445" s="214"/>
      <c r="K445" s="214"/>
      <c r="L445" s="214"/>
      <c r="M445" s="215"/>
      <c r="N445" s="215"/>
      <c r="O445" s="216"/>
      <c r="P445" s="216"/>
      <c r="Q445" s="216"/>
      <c r="R445" s="216"/>
      <c r="S445" s="216"/>
      <c r="T445" s="216"/>
      <c r="U445" s="216"/>
      <c r="V445" s="216"/>
      <c r="W445" s="216"/>
      <c r="X445" s="216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16"/>
      <c r="AN445" s="216"/>
      <c r="AO445" s="216"/>
      <c r="AP445" s="216"/>
      <c r="AQ445" s="216"/>
      <c r="AR445" s="216"/>
      <c r="AS445" s="216"/>
      <c r="AT445" s="216"/>
      <c r="AU445" s="216"/>
      <c r="AV445" s="216"/>
      <c r="AW445" s="216"/>
      <c r="AX445" s="216"/>
      <c r="AY445" s="216"/>
      <c r="AZ445" s="216"/>
      <c r="BA445" s="216"/>
      <c r="BB445" s="216"/>
      <c r="BC445" s="216"/>
      <c r="BD445" s="216"/>
      <c r="BE445" s="216"/>
      <c r="BF445" s="216"/>
      <c r="BG445" s="216"/>
      <c r="BH445" s="216"/>
      <c r="BI445" s="216"/>
      <c r="BJ445" s="216"/>
      <c r="BK445" s="216"/>
      <c r="BL445" s="216"/>
      <c r="BM445" s="216"/>
      <c r="BN445" s="216"/>
      <c r="BO445" s="216"/>
      <c r="BP445" s="216"/>
      <c r="BQ445" s="216"/>
      <c r="BR445" s="216"/>
    </row>
    <row r="446" spans="1:70" ht="12.75" x14ac:dyDescent="0.2">
      <c r="A446" s="214"/>
      <c r="B446" s="214"/>
      <c r="C446" s="214"/>
      <c r="D446" s="214"/>
      <c r="E446" s="214"/>
      <c r="F446" s="214"/>
      <c r="G446" s="214"/>
      <c r="H446" s="214"/>
      <c r="I446" s="214"/>
      <c r="J446" s="214"/>
      <c r="K446" s="214"/>
      <c r="L446" s="214"/>
      <c r="M446" s="215"/>
      <c r="N446" s="215"/>
      <c r="O446" s="216"/>
      <c r="P446" s="216"/>
      <c r="Q446" s="216"/>
      <c r="R446" s="216"/>
      <c r="S446" s="216"/>
      <c r="T446" s="216"/>
      <c r="U446" s="216"/>
      <c r="V446" s="216"/>
      <c r="W446" s="216"/>
      <c r="X446" s="216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16"/>
      <c r="AN446" s="216"/>
      <c r="AO446" s="216"/>
      <c r="AP446" s="216"/>
      <c r="AQ446" s="216"/>
      <c r="AR446" s="216"/>
      <c r="AS446" s="216"/>
      <c r="AT446" s="216"/>
      <c r="AU446" s="216"/>
      <c r="AV446" s="216"/>
      <c r="AW446" s="216"/>
      <c r="AX446" s="216"/>
      <c r="AY446" s="216"/>
      <c r="AZ446" s="216"/>
      <c r="BA446" s="216"/>
      <c r="BB446" s="216"/>
      <c r="BC446" s="216"/>
      <c r="BD446" s="216"/>
      <c r="BE446" s="216"/>
      <c r="BF446" s="216"/>
      <c r="BG446" s="216"/>
      <c r="BH446" s="216"/>
      <c r="BI446" s="216"/>
      <c r="BJ446" s="216"/>
      <c r="BK446" s="216"/>
      <c r="BL446" s="216"/>
      <c r="BM446" s="216"/>
      <c r="BN446" s="216"/>
      <c r="BO446" s="216"/>
      <c r="BP446" s="216"/>
      <c r="BQ446" s="216"/>
      <c r="BR446" s="216"/>
    </row>
    <row r="447" spans="1:70" ht="12.75" x14ac:dyDescent="0.2">
      <c r="A447" s="214"/>
      <c r="B447" s="214"/>
      <c r="C447" s="214"/>
      <c r="D447" s="214"/>
      <c r="E447" s="214"/>
      <c r="F447" s="214"/>
      <c r="G447" s="214"/>
      <c r="H447" s="214"/>
      <c r="I447" s="214"/>
      <c r="J447" s="214"/>
      <c r="K447" s="214"/>
      <c r="L447" s="214"/>
      <c r="M447" s="215"/>
      <c r="N447" s="215"/>
      <c r="O447" s="216"/>
      <c r="P447" s="216"/>
      <c r="Q447" s="216"/>
      <c r="R447" s="216"/>
      <c r="S447" s="216"/>
      <c r="T447" s="216"/>
      <c r="U447" s="216"/>
      <c r="V447" s="216"/>
      <c r="W447" s="216"/>
      <c r="X447" s="216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16"/>
      <c r="AN447" s="216"/>
      <c r="AO447" s="216"/>
      <c r="AP447" s="216"/>
      <c r="AQ447" s="216"/>
      <c r="AR447" s="216"/>
      <c r="AS447" s="216"/>
      <c r="AT447" s="216"/>
      <c r="AU447" s="216"/>
      <c r="AV447" s="216"/>
      <c r="AW447" s="216"/>
      <c r="AX447" s="216"/>
      <c r="AY447" s="216"/>
      <c r="AZ447" s="216"/>
      <c r="BA447" s="216"/>
      <c r="BB447" s="216"/>
      <c r="BC447" s="216"/>
      <c r="BD447" s="216"/>
      <c r="BE447" s="216"/>
      <c r="BF447" s="216"/>
      <c r="BG447" s="216"/>
      <c r="BH447" s="216"/>
      <c r="BI447" s="216"/>
      <c r="BJ447" s="216"/>
      <c r="BK447" s="216"/>
      <c r="BL447" s="216"/>
      <c r="BM447" s="216"/>
      <c r="BN447" s="216"/>
      <c r="BO447" s="216"/>
      <c r="BP447" s="216"/>
      <c r="BQ447" s="216"/>
      <c r="BR447" s="216"/>
    </row>
    <row r="448" spans="1:70" ht="12.75" x14ac:dyDescent="0.2">
      <c r="A448" s="214"/>
      <c r="B448" s="214"/>
      <c r="C448" s="214"/>
      <c r="D448" s="214"/>
      <c r="E448" s="214"/>
      <c r="F448" s="214"/>
      <c r="G448" s="214"/>
      <c r="H448" s="214"/>
      <c r="I448" s="214"/>
      <c r="J448" s="214"/>
      <c r="K448" s="214"/>
      <c r="L448" s="214"/>
      <c r="M448" s="215"/>
      <c r="N448" s="215"/>
      <c r="O448" s="216"/>
      <c r="P448" s="216"/>
      <c r="Q448" s="216"/>
      <c r="R448" s="216"/>
      <c r="S448" s="216"/>
      <c r="T448" s="216"/>
      <c r="U448" s="216"/>
      <c r="V448" s="216"/>
      <c r="W448" s="216"/>
      <c r="X448" s="216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16"/>
      <c r="AN448" s="216"/>
      <c r="AO448" s="216"/>
      <c r="AP448" s="216"/>
      <c r="AQ448" s="216"/>
      <c r="AR448" s="216"/>
      <c r="AS448" s="216"/>
      <c r="AT448" s="216"/>
      <c r="AU448" s="216"/>
      <c r="AV448" s="216"/>
      <c r="AW448" s="216"/>
      <c r="AX448" s="216"/>
      <c r="AY448" s="216"/>
      <c r="AZ448" s="216"/>
      <c r="BA448" s="216"/>
      <c r="BB448" s="216"/>
      <c r="BC448" s="216"/>
      <c r="BD448" s="216"/>
      <c r="BE448" s="216"/>
      <c r="BF448" s="216"/>
      <c r="BG448" s="216"/>
      <c r="BH448" s="216"/>
      <c r="BI448" s="216"/>
      <c r="BJ448" s="216"/>
      <c r="BK448" s="216"/>
      <c r="BL448" s="216"/>
      <c r="BM448" s="216"/>
      <c r="BN448" s="216"/>
      <c r="BO448" s="216"/>
      <c r="BP448" s="216"/>
      <c r="BQ448" s="216"/>
      <c r="BR448" s="216"/>
    </row>
    <row r="449" spans="1:70" ht="12.75" x14ac:dyDescent="0.2">
      <c r="A449" s="214"/>
      <c r="B449" s="214"/>
      <c r="C449" s="214"/>
      <c r="D449" s="214"/>
      <c r="E449" s="214"/>
      <c r="F449" s="214"/>
      <c r="G449" s="214"/>
      <c r="H449" s="214"/>
      <c r="I449" s="214"/>
      <c r="J449" s="214"/>
      <c r="K449" s="214"/>
      <c r="L449" s="214"/>
      <c r="M449" s="215"/>
      <c r="N449" s="215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16"/>
      <c r="AN449" s="216"/>
      <c r="AO449" s="216"/>
      <c r="AP449" s="216"/>
      <c r="AQ449" s="216"/>
      <c r="AR449" s="216"/>
      <c r="AS449" s="216"/>
      <c r="AT449" s="216"/>
      <c r="AU449" s="216"/>
      <c r="AV449" s="216"/>
      <c r="AW449" s="216"/>
      <c r="AX449" s="216"/>
      <c r="AY449" s="216"/>
      <c r="AZ449" s="216"/>
      <c r="BA449" s="216"/>
      <c r="BB449" s="216"/>
      <c r="BC449" s="216"/>
      <c r="BD449" s="216"/>
      <c r="BE449" s="216"/>
      <c r="BF449" s="216"/>
      <c r="BG449" s="216"/>
      <c r="BH449" s="216"/>
      <c r="BI449" s="216"/>
      <c r="BJ449" s="216"/>
      <c r="BK449" s="216"/>
      <c r="BL449" s="216"/>
      <c r="BM449" s="216"/>
      <c r="BN449" s="216"/>
      <c r="BO449" s="216"/>
      <c r="BP449" s="216"/>
      <c r="BQ449" s="216"/>
      <c r="BR449" s="216"/>
    </row>
    <row r="450" spans="1:70" ht="12.75" x14ac:dyDescent="0.2">
      <c r="A450" s="214"/>
      <c r="B450" s="214"/>
      <c r="C450" s="214"/>
      <c r="D450" s="214"/>
      <c r="E450" s="214"/>
      <c r="F450" s="214"/>
      <c r="G450" s="214"/>
      <c r="H450" s="214"/>
      <c r="I450" s="214"/>
      <c r="J450" s="214"/>
      <c r="K450" s="214"/>
      <c r="L450" s="214"/>
      <c r="M450" s="215"/>
      <c r="N450" s="215"/>
      <c r="O450" s="216"/>
      <c r="P450" s="216"/>
      <c r="Q450" s="216"/>
      <c r="R450" s="216"/>
      <c r="S450" s="216"/>
      <c r="T450" s="216"/>
      <c r="U450" s="216"/>
      <c r="V450" s="216"/>
      <c r="W450" s="216"/>
      <c r="X450" s="216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/>
      <c r="AU450" s="216"/>
      <c r="AV450" s="216"/>
      <c r="AW450" s="216"/>
      <c r="AX450" s="216"/>
      <c r="AY450" s="216"/>
      <c r="AZ450" s="216"/>
      <c r="BA450" s="216"/>
      <c r="BB450" s="216"/>
      <c r="BC450" s="216"/>
      <c r="BD450" s="216"/>
      <c r="BE450" s="216"/>
      <c r="BF450" s="216"/>
      <c r="BG450" s="216"/>
      <c r="BH450" s="216"/>
      <c r="BI450" s="216"/>
      <c r="BJ450" s="216"/>
      <c r="BK450" s="216"/>
      <c r="BL450" s="216"/>
      <c r="BM450" s="216"/>
      <c r="BN450" s="216"/>
      <c r="BO450" s="216"/>
      <c r="BP450" s="216"/>
      <c r="BQ450" s="216"/>
      <c r="BR450" s="216"/>
    </row>
    <row r="451" spans="1:70" ht="12.75" x14ac:dyDescent="0.2">
      <c r="A451" s="214"/>
      <c r="B451" s="214"/>
      <c r="C451" s="214"/>
      <c r="D451" s="214"/>
      <c r="E451" s="214"/>
      <c r="F451" s="214"/>
      <c r="G451" s="214"/>
      <c r="H451" s="214"/>
      <c r="I451" s="214"/>
      <c r="J451" s="214"/>
      <c r="K451" s="214"/>
      <c r="L451" s="214"/>
      <c r="M451" s="215"/>
      <c r="N451" s="215"/>
      <c r="O451" s="216"/>
      <c r="P451" s="216"/>
      <c r="Q451" s="216"/>
      <c r="R451" s="216"/>
      <c r="S451" s="216"/>
      <c r="T451" s="216"/>
      <c r="U451" s="216"/>
      <c r="V451" s="216"/>
      <c r="W451" s="216"/>
      <c r="X451" s="216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16"/>
      <c r="AN451" s="216"/>
      <c r="AO451" s="216"/>
      <c r="AP451" s="216"/>
      <c r="AQ451" s="216"/>
      <c r="AR451" s="216"/>
      <c r="AS451" s="216"/>
      <c r="AT451" s="216"/>
      <c r="AU451" s="216"/>
      <c r="AV451" s="216"/>
      <c r="AW451" s="216"/>
      <c r="AX451" s="216"/>
      <c r="AY451" s="216"/>
      <c r="AZ451" s="216"/>
      <c r="BA451" s="216"/>
      <c r="BB451" s="216"/>
      <c r="BC451" s="216"/>
      <c r="BD451" s="216"/>
      <c r="BE451" s="216"/>
      <c r="BF451" s="216"/>
      <c r="BG451" s="216"/>
      <c r="BH451" s="216"/>
      <c r="BI451" s="216"/>
      <c r="BJ451" s="216"/>
      <c r="BK451" s="216"/>
      <c r="BL451" s="216"/>
      <c r="BM451" s="216"/>
      <c r="BN451" s="216"/>
      <c r="BO451" s="216"/>
      <c r="BP451" s="216"/>
      <c r="BQ451" s="216"/>
      <c r="BR451" s="216"/>
    </row>
    <row r="452" spans="1:70" ht="12.75" x14ac:dyDescent="0.2">
      <c r="A452" s="214"/>
      <c r="B452" s="214"/>
      <c r="C452" s="214"/>
      <c r="D452" s="214"/>
      <c r="E452" s="214"/>
      <c r="F452" s="214"/>
      <c r="G452" s="214"/>
      <c r="H452" s="214"/>
      <c r="I452" s="214"/>
      <c r="J452" s="214"/>
      <c r="K452" s="214"/>
      <c r="L452" s="214"/>
      <c r="M452" s="215"/>
      <c r="N452" s="215"/>
      <c r="O452" s="216"/>
      <c r="P452" s="216"/>
      <c r="Q452" s="216"/>
      <c r="R452" s="216"/>
      <c r="S452" s="216"/>
      <c r="T452" s="216"/>
      <c r="U452" s="216"/>
      <c r="V452" s="216"/>
      <c r="W452" s="216"/>
      <c r="X452" s="216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16"/>
      <c r="AN452" s="216"/>
      <c r="AO452" s="216"/>
      <c r="AP452" s="216"/>
      <c r="AQ452" s="216"/>
      <c r="AR452" s="216"/>
      <c r="AS452" s="216"/>
      <c r="AT452" s="216"/>
      <c r="AU452" s="216"/>
      <c r="AV452" s="216"/>
      <c r="AW452" s="216"/>
      <c r="AX452" s="216"/>
      <c r="AY452" s="216"/>
      <c r="AZ452" s="216"/>
      <c r="BA452" s="216"/>
      <c r="BB452" s="216"/>
      <c r="BC452" s="216"/>
      <c r="BD452" s="216"/>
      <c r="BE452" s="216"/>
      <c r="BF452" s="216"/>
      <c r="BG452" s="216"/>
      <c r="BH452" s="216"/>
      <c r="BI452" s="216"/>
      <c r="BJ452" s="216"/>
      <c r="BK452" s="216"/>
      <c r="BL452" s="216"/>
      <c r="BM452" s="216"/>
      <c r="BN452" s="216"/>
      <c r="BO452" s="216"/>
      <c r="BP452" s="216"/>
      <c r="BQ452" s="216"/>
      <c r="BR452" s="216"/>
    </row>
    <row r="453" spans="1:70" ht="12.75" x14ac:dyDescent="0.2">
      <c r="A453" s="214"/>
      <c r="B453" s="214"/>
      <c r="C453" s="214"/>
      <c r="D453" s="214"/>
      <c r="E453" s="214"/>
      <c r="F453" s="214"/>
      <c r="G453" s="214"/>
      <c r="H453" s="214"/>
      <c r="I453" s="214"/>
      <c r="J453" s="214"/>
      <c r="K453" s="214"/>
      <c r="L453" s="214"/>
      <c r="M453" s="215"/>
      <c r="N453" s="215"/>
      <c r="O453" s="216"/>
      <c r="P453" s="216"/>
      <c r="Q453" s="216"/>
      <c r="R453" s="216"/>
      <c r="S453" s="216"/>
      <c r="T453" s="216"/>
      <c r="U453" s="216"/>
      <c r="V453" s="216"/>
      <c r="W453" s="216"/>
      <c r="X453" s="216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  <c r="AU453" s="216"/>
      <c r="AV453" s="216"/>
      <c r="AW453" s="216"/>
      <c r="AX453" s="216"/>
      <c r="AY453" s="216"/>
      <c r="AZ453" s="216"/>
      <c r="BA453" s="216"/>
      <c r="BB453" s="216"/>
      <c r="BC453" s="216"/>
      <c r="BD453" s="216"/>
      <c r="BE453" s="216"/>
      <c r="BF453" s="216"/>
      <c r="BG453" s="216"/>
      <c r="BH453" s="216"/>
      <c r="BI453" s="216"/>
      <c r="BJ453" s="216"/>
      <c r="BK453" s="216"/>
      <c r="BL453" s="216"/>
      <c r="BM453" s="216"/>
      <c r="BN453" s="216"/>
      <c r="BO453" s="216"/>
      <c r="BP453" s="216"/>
      <c r="BQ453" s="216"/>
      <c r="BR453" s="216"/>
    </row>
    <row r="454" spans="1:70" ht="12.75" x14ac:dyDescent="0.2">
      <c r="A454" s="214"/>
      <c r="B454" s="214"/>
      <c r="C454" s="214"/>
      <c r="D454" s="214"/>
      <c r="E454" s="214"/>
      <c r="F454" s="214"/>
      <c r="G454" s="214"/>
      <c r="H454" s="214"/>
      <c r="I454" s="214"/>
      <c r="J454" s="214"/>
      <c r="K454" s="214"/>
      <c r="L454" s="214"/>
      <c r="M454" s="215"/>
      <c r="N454" s="215"/>
      <c r="O454" s="216"/>
      <c r="P454" s="216"/>
      <c r="Q454" s="216"/>
      <c r="R454" s="216"/>
      <c r="S454" s="216"/>
      <c r="T454" s="216"/>
      <c r="U454" s="216"/>
      <c r="V454" s="216"/>
      <c r="W454" s="216"/>
      <c r="X454" s="216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6"/>
      <c r="BB454" s="216"/>
      <c r="BC454" s="216"/>
      <c r="BD454" s="216"/>
      <c r="BE454" s="216"/>
      <c r="BF454" s="216"/>
      <c r="BG454" s="216"/>
      <c r="BH454" s="216"/>
      <c r="BI454" s="216"/>
      <c r="BJ454" s="216"/>
      <c r="BK454" s="216"/>
      <c r="BL454" s="216"/>
      <c r="BM454" s="216"/>
      <c r="BN454" s="216"/>
      <c r="BO454" s="216"/>
      <c r="BP454" s="216"/>
      <c r="BQ454" s="216"/>
      <c r="BR454" s="216"/>
    </row>
    <row r="455" spans="1:70" ht="12.75" x14ac:dyDescent="0.2">
      <c r="A455" s="214"/>
      <c r="B455" s="214"/>
      <c r="C455" s="214"/>
      <c r="D455" s="214"/>
      <c r="E455" s="214"/>
      <c r="F455" s="214"/>
      <c r="G455" s="214"/>
      <c r="H455" s="214"/>
      <c r="I455" s="214"/>
      <c r="J455" s="214"/>
      <c r="K455" s="214"/>
      <c r="L455" s="214"/>
      <c r="M455" s="215"/>
      <c r="N455" s="215"/>
      <c r="O455" s="216"/>
      <c r="P455" s="216"/>
      <c r="Q455" s="216"/>
      <c r="R455" s="216"/>
      <c r="S455" s="216"/>
      <c r="T455" s="216"/>
      <c r="U455" s="216"/>
      <c r="V455" s="216"/>
      <c r="W455" s="216"/>
      <c r="X455" s="216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6"/>
      <c r="AX455" s="216"/>
      <c r="AY455" s="216"/>
      <c r="AZ455" s="216"/>
      <c r="BA455" s="216"/>
      <c r="BB455" s="216"/>
      <c r="BC455" s="216"/>
      <c r="BD455" s="216"/>
      <c r="BE455" s="216"/>
      <c r="BF455" s="216"/>
      <c r="BG455" s="216"/>
      <c r="BH455" s="216"/>
      <c r="BI455" s="216"/>
      <c r="BJ455" s="216"/>
      <c r="BK455" s="216"/>
      <c r="BL455" s="216"/>
      <c r="BM455" s="216"/>
      <c r="BN455" s="216"/>
      <c r="BO455" s="216"/>
      <c r="BP455" s="216"/>
      <c r="BQ455" s="216"/>
      <c r="BR455" s="216"/>
    </row>
    <row r="456" spans="1:70" ht="12.75" x14ac:dyDescent="0.2">
      <c r="A456" s="214"/>
      <c r="B456" s="214"/>
      <c r="C456" s="214"/>
      <c r="D456" s="214"/>
      <c r="E456" s="214"/>
      <c r="F456" s="214"/>
      <c r="G456" s="214"/>
      <c r="H456" s="214"/>
      <c r="I456" s="214"/>
      <c r="J456" s="214"/>
      <c r="K456" s="214"/>
      <c r="L456" s="214"/>
      <c r="M456" s="215"/>
      <c r="N456" s="215"/>
      <c r="O456" s="216"/>
      <c r="P456" s="216"/>
      <c r="Q456" s="216"/>
      <c r="R456" s="216"/>
      <c r="S456" s="216"/>
      <c r="T456" s="216"/>
      <c r="U456" s="216"/>
      <c r="V456" s="216"/>
      <c r="W456" s="216"/>
      <c r="X456" s="216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16"/>
      <c r="AN456" s="216"/>
      <c r="AO456" s="216"/>
      <c r="AP456" s="216"/>
      <c r="AQ456" s="216"/>
      <c r="AR456" s="216"/>
      <c r="AS456" s="216"/>
      <c r="AT456" s="216"/>
      <c r="AU456" s="216"/>
      <c r="AV456" s="216"/>
      <c r="AW456" s="216"/>
      <c r="AX456" s="216"/>
      <c r="AY456" s="216"/>
      <c r="AZ456" s="216"/>
      <c r="BA456" s="216"/>
      <c r="BB456" s="216"/>
      <c r="BC456" s="216"/>
      <c r="BD456" s="216"/>
      <c r="BE456" s="216"/>
      <c r="BF456" s="216"/>
      <c r="BG456" s="216"/>
      <c r="BH456" s="216"/>
      <c r="BI456" s="216"/>
      <c r="BJ456" s="216"/>
      <c r="BK456" s="216"/>
      <c r="BL456" s="216"/>
      <c r="BM456" s="216"/>
      <c r="BN456" s="216"/>
      <c r="BO456" s="216"/>
      <c r="BP456" s="216"/>
      <c r="BQ456" s="216"/>
      <c r="BR456" s="216"/>
    </row>
    <row r="457" spans="1:70" ht="12.75" x14ac:dyDescent="0.2">
      <c r="A457" s="214"/>
      <c r="B457" s="214"/>
      <c r="C457" s="214"/>
      <c r="D457" s="214"/>
      <c r="E457" s="214"/>
      <c r="F457" s="214"/>
      <c r="G457" s="214"/>
      <c r="H457" s="214"/>
      <c r="I457" s="214"/>
      <c r="J457" s="214"/>
      <c r="K457" s="214"/>
      <c r="L457" s="214"/>
      <c r="M457" s="215"/>
      <c r="N457" s="215"/>
      <c r="O457" s="216"/>
      <c r="P457" s="216"/>
      <c r="Q457" s="216"/>
      <c r="R457" s="216"/>
      <c r="S457" s="216"/>
      <c r="T457" s="216"/>
      <c r="U457" s="216"/>
      <c r="V457" s="216"/>
      <c r="W457" s="216"/>
      <c r="X457" s="216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  <c r="AU457" s="216"/>
      <c r="AV457" s="216"/>
      <c r="AW457" s="216"/>
      <c r="AX457" s="216"/>
      <c r="AY457" s="216"/>
      <c r="AZ457" s="216"/>
      <c r="BA457" s="216"/>
      <c r="BB457" s="216"/>
      <c r="BC457" s="216"/>
      <c r="BD457" s="216"/>
      <c r="BE457" s="216"/>
      <c r="BF457" s="216"/>
      <c r="BG457" s="216"/>
      <c r="BH457" s="216"/>
      <c r="BI457" s="216"/>
      <c r="BJ457" s="216"/>
      <c r="BK457" s="216"/>
      <c r="BL457" s="216"/>
      <c r="BM457" s="216"/>
      <c r="BN457" s="216"/>
      <c r="BO457" s="216"/>
      <c r="BP457" s="216"/>
      <c r="BQ457" s="216"/>
      <c r="BR457" s="216"/>
    </row>
    <row r="458" spans="1:70" ht="12.75" x14ac:dyDescent="0.2">
      <c r="A458" s="214"/>
      <c r="B458" s="214"/>
      <c r="C458" s="214"/>
      <c r="D458" s="214"/>
      <c r="E458" s="214"/>
      <c r="F458" s="214"/>
      <c r="G458" s="214"/>
      <c r="H458" s="214"/>
      <c r="I458" s="214"/>
      <c r="J458" s="214"/>
      <c r="K458" s="214"/>
      <c r="L458" s="214"/>
      <c r="M458" s="215"/>
      <c r="N458" s="215"/>
      <c r="O458" s="216"/>
      <c r="P458" s="216"/>
      <c r="Q458" s="216"/>
      <c r="R458" s="216"/>
      <c r="S458" s="216"/>
      <c r="T458" s="216"/>
      <c r="U458" s="216"/>
      <c r="V458" s="216"/>
      <c r="W458" s="216"/>
      <c r="X458" s="216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16"/>
      <c r="AN458" s="216"/>
      <c r="AO458" s="216"/>
      <c r="AP458" s="216"/>
      <c r="AQ458" s="216"/>
      <c r="AR458" s="216"/>
      <c r="AS458" s="216"/>
      <c r="AT458" s="216"/>
      <c r="AU458" s="216"/>
      <c r="AV458" s="216"/>
      <c r="AW458" s="216"/>
      <c r="AX458" s="216"/>
      <c r="AY458" s="216"/>
      <c r="AZ458" s="216"/>
      <c r="BA458" s="216"/>
      <c r="BB458" s="216"/>
      <c r="BC458" s="216"/>
      <c r="BD458" s="216"/>
      <c r="BE458" s="216"/>
      <c r="BF458" s="216"/>
      <c r="BG458" s="216"/>
      <c r="BH458" s="216"/>
      <c r="BI458" s="216"/>
      <c r="BJ458" s="216"/>
      <c r="BK458" s="216"/>
      <c r="BL458" s="216"/>
      <c r="BM458" s="216"/>
      <c r="BN458" s="216"/>
      <c r="BO458" s="216"/>
      <c r="BP458" s="216"/>
      <c r="BQ458" s="216"/>
      <c r="BR458" s="216"/>
    </row>
    <row r="459" spans="1:70" ht="12.75" x14ac:dyDescent="0.2">
      <c r="A459" s="214"/>
      <c r="B459" s="214"/>
      <c r="C459" s="214"/>
      <c r="D459" s="214"/>
      <c r="E459" s="214"/>
      <c r="F459" s="214"/>
      <c r="G459" s="214"/>
      <c r="H459" s="214"/>
      <c r="I459" s="214"/>
      <c r="J459" s="214"/>
      <c r="K459" s="214"/>
      <c r="L459" s="214"/>
      <c r="M459" s="215"/>
      <c r="N459" s="215"/>
      <c r="O459" s="216"/>
      <c r="P459" s="216"/>
      <c r="Q459" s="216"/>
      <c r="R459" s="216"/>
      <c r="S459" s="216"/>
      <c r="T459" s="216"/>
      <c r="U459" s="216"/>
      <c r="V459" s="216"/>
      <c r="W459" s="216"/>
      <c r="X459" s="216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16"/>
      <c r="AN459" s="216"/>
      <c r="AO459" s="216"/>
      <c r="AP459" s="216"/>
      <c r="AQ459" s="216"/>
      <c r="AR459" s="216"/>
      <c r="AS459" s="216"/>
      <c r="AT459" s="216"/>
      <c r="AU459" s="216"/>
      <c r="AV459" s="216"/>
      <c r="AW459" s="216"/>
      <c r="AX459" s="216"/>
      <c r="AY459" s="216"/>
      <c r="AZ459" s="216"/>
      <c r="BA459" s="216"/>
      <c r="BB459" s="216"/>
      <c r="BC459" s="216"/>
      <c r="BD459" s="216"/>
      <c r="BE459" s="216"/>
      <c r="BF459" s="216"/>
      <c r="BG459" s="216"/>
      <c r="BH459" s="216"/>
      <c r="BI459" s="216"/>
      <c r="BJ459" s="216"/>
      <c r="BK459" s="216"/>
      <c r="BL459" s="216"/>
      <c r="BM459" s="216"/>
      <c r="BN459" s="216"/>
      <c r="BO459" s="216"/>
      <c r="BP459" s="216"/>
      <c r="BQ459" s="216"/>
      <c r="BR459" s="216"/>
    </row>
    <row r="460" spans="1:70" ht="12.75" x14ac:dyDescent="0.2">
      <c r="A460" s="214"/>
      <c r="B460" s="214"/>
      <c r="C460" s="214"/>
      <c r="D460" s="214"/>
      <c r="E460" s="214"/>
      <c r="F460" s="214"/>
      <c r="G460" s="214"/>
      <c r="H460" s="214"/>
      <c r="I460" s="214"/>
      <c r="J460" s="214"/>
      <c r="K460" s="214"/>
      <c r="L460" s="214"/>
      <c r="M460" s="215"/>
      <c r="N460" s="215"/>
      <c r="O460" s="216"/>
      <c r="P460" s="216"/>
      <c r="Q460" s="216"/>
      <c r="R460" s="216"/>
      <c r="S460" s="216"/>
      <c r="T460" s="216"/>
      <c r="U460" s="216"/>
      <c r="V460" s="216"/>
      <c r="W460" s="216"/>
      <c r="X460" s="216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16"/>
      <c r="AN460" s="216"/>
      <c r="AO460" s="216"/>
      <c r="AP460" s="216"/>
      <c r="AQ460" s="216"/>
      <c r="AR460" s="216"/>
      <c r="AS460" s="216"/>
      <c r="AT460" s="216"/>
      <c r="AU460" s="216"/>
      <c r="AV460" s="216"/>
      <c r="AW460" s="216"/>
      <c r="AX460" s="216"/>
      <c r="AY460" s="216"/>
      <c r="AZ460" s="216"/>
      <c r="BA460" s="216"/>
      <c r="BB460" s="216"/>
      <c r="BC460" s="216"/>
      <c r="BD460" s="216"/>
      <c r="BE460" s="216"/>
      <c r="BF460" s="216"/>
      <c r="BG460" s="216"/>
      <c r="BH460" s="216"/>
      <c r="BI460" s="216"/>
      <c r="BJ460" s="216"/>
      <c r="BK460" s="216"/>
      <c r="BL460" s="216"/>
      <c r="BM460" s="216"/>
      <c r="BN460" s="216"/>
      <c r="BO460" s="216"/>
      <c r="BP460" s="216"/>
      <c r="BQ460" s="216"/>
      <c r="BR460" s="216"/>
    </row>
    <row r="461" spans="1:70" ht="12.75" x14ac:dyDescent="0.2">
      <c r="A461" s="214"/>
      <c r="B461" s="214"/>
      <c r="C461" s="214"/>
      <c r="D461" s="214"/>
      <c r="E461" s="214"/>
      <c r="F461" s="214"/>
      <c r="G461" s="214"/>
      <c r="H461" s="214"/>
      <c r="I461" s="214"/>
      <c r="J461" s="214"/>
      <c r="K461" s="214"/>
      <c r="L461" s="214"/>
      <c r="M461" s="215"/>
      <c r="N461" s="215"/>
      <c r="O461" s="216"/>
      <c r="P461" s="216"/>
      <c r="Q461" s="216"/>
      <c r="R461" s="216"/>
      <c r="S461" s="216"/>
      <c r="T461" s="216"/>
      <c r="U461" s="216"/>
      <c r="V461" s="216"/>
      <c r="W461" s="216"/>
      <c r="X461" s="216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216"/>
      <c r="AR461" s="216"/>
      <c r="AS461" s="216"/>
      <c r="AT461" s="216"/>
      <c r="AU461" s="216"/>
      <c r="AV461" s="216"/>
      <c r="AW461" s="216"/>
      <c r="AX461" s="216"/>
      <c r="AY461" s="216"/>
      <c r="AZ461" s="216"/>
      <c r="BA461" s="216"/>
      <c r="BB461" s="216"/>
      <c r="BC461" s="216"/>
      <c r="BD461" s="216"/>
      <c r="BE461" s="216"/>
      <c r="BF461" s="216"/>
      <c r="BG461" s="216"/>
      <c r="BH461" s="216"/>
      <c r="BI461" s="216"/>
      <c r="BJ461" s="216"/>
      <c r="BK461" s="216"/>
      <c r="BL461" s="216"/>
      <c r="BM461" s="216"/>
      <c r="BN461" s="216"/>
      <c r="BO461" s="216"/>
      <c r="BP461" s="216"/>
      <c r="BQ461" s="216"/>
      <c r="BR461" s="216"/>
    </row>
    <row r="462" spans="1:70" ht="12.75" x14ac:dyDescent="0.2">
      <c r="A462" s="214"/>
      <c r="B462" s="214"/>
      <c r="C462" s="214"/>
      <c r="D462" s="214"/>
      <c r="E462" s="214"/>
      <c r="F462" s="214"/>
      <c r="G462" s="214"/>
      <c r="H462" s="214"/>
      <c r="I462" s="214"/>
      <c r="J462" s="214"/>
      <c r="K462" s="214"/>
      <c r="L462" s="214"/>
      <c r="M462" s="215"/>
      <c r="N462" s="215"/>
      <c r="O462" s="216"/>
      <c r="P462" s="216"/>
      <c r="Q462" s="216"/>
      <c r="R462" s="216"/>
      <c r="S462" s="216"/>
      <c r="T462" s="216"/>
      <c r="U462" s="216"/>
      <c r="V462" s="216"/>
      <c r="W462" s="216"/>
      <c r="X462" s="216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16"/>
      <c r="AN462" s="216"/>
      <c r="AO462" s="216"/>
      <c r="AP462" s="216"/>
      <c r="AQ462" s="216"/>
      <c r="AR462" s="216"/>
      <c r="AS462" s="216"/>
      <c r="AT462" s="216"/>
      <c r="AU462" s="216"/>
      <c r="AV462" s="216"/>
      <c r="AW462" s="216"/>
      <c r="AX462" s="216"/>
      <c r="AY462" s="216"/>
      <c r="AZ462" s="216"/>
      <c r="BA462" s="216"/>
      <c r="BB462" s="216"/>
      <c r="BC462" s="216"/>
      <c r="BD462" s="216"/>
      <c r="BE462" s="216"/>
      <c r="BF462" s="216"/>
      <c r="BG462" s="216"/>
      <c r="BH462" s="216"/>
      <c r="BI462" s="216"/>
      <c r="BJ462" s="216"/>
      <c r="BK462" s="216"/>
      <c r="BL462" s="216"/>
      <c r="BM462" s="216"/>
      <c r="BN462" s="216"/>
      <c r="BO462" s="216"/>
      <c r="BP462" s="216"/>
      <c r="BQ462" s="216"/>
      <c r="BR462" s="216"/>
    </row>
    <row r="463" spans="1:70" ht="12.75" x14ac:dyDescent="0.2">
      <c r="A463" s="214"/>
      <c r="B463" s="214"/>
      <c r="C463" s="214"/>
      <c r="D463" s="214"/>
      <c r="E463" s="214"/>
      <c r="F463" s="214"/>
      <c r="G463" s="214"/>
      <c r="H463" s="214"/>
      <c r="I463" s="214"/>
      <c r="J463" s="214"/>
      <c r="K463" s="214"/>
      <c r="L463" s="214"/>
      <c r="M463" s="215"/>
      <c r="N463" s="215"/>
      <c r="O463" s="216"/>
      <c r="P463" s="216"/>
      <c r="Q463" s="216"/>
      <c r="R463" s="216"/>
      <c r="S463" s="216"/>
      <c r="T463" s="216"/>
      <c r="U463" s="216"/>
      <c r="V463" s="216"/>
      <c r="W463" s="216"/>
      <c r="X463" s="216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  <c r="BI463" s="216"/>
      <c r="BJ463" s="216"/>
      <c r="BK463" s="216"/>
      <c r="BL463" s="216"/>
      <c r="BM463" s="216"/>
      <c r="BN463" s="216"/>
      <c r="BO463" s="216"/>
      <c r="BP463" s="216"/>
      <c r="BQ463" s="216"/>
      <c r="BR463" s="216"/>
    </row>
    <row r="464" spans="1:70" ht="12.75" x14ac:dyDescent="0.2">
      <c r="A464" s="214"/>
      <c r="B464" s="214"/>
      <c r="C464" s="214"/>
      <c r="D464" s="214"/>
      <c r="E464" s="214"/>
      <c r="F464" s="214"/>
      <c r="G464" s="214"/>
      <c r="H464" s="214"/>
      <c r="I464" s="214"/>
      <c r="J464" s="214"/>
      <c r="K464" s="214"/>
      <c r="L464" s="214"/>
      <c r="M464" s="215"/>
      <c r="N464" s="215"/>
      <c r="O464" s="216"/>
      <c r="P464" s="216"/>
      <c r="Q464" s="216"/>
      <c r="R464" s="216"/>
      <c r="S464" s="216"/>
      <c r="T464" s="216"/>
      <c r="U464" s="216"/>
      <c r="V464" s="216"/>
      <c r="W464" s="216"/>
      <c r="X464" s="216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  <c r="BI464" s="216"/>
      <c r="BJ464" s="216"/>
      <c r="BK464" s="216"/>
      <c r="BL464" s="216"/>
      <c r="BM464" s="216"/>
      <c r="BN464" s="216"/>
      <c r="BO464" s="216"/>
      <c r="BP464" s="216"/>
      <c r="BQ464" s="216"/>
      <c r="BR464" s="216"/>
    </row>
    <row r="465" spans="1:70" ht="12.75" x14ac:dyDescent="0.2">
      <c r="A465" s="214"/>
      <c r="B465" s="214"/>
      <c r="C465" s="214"/>
      <c r="D465" s="214"/>
      <c r="E465" s="214"/>
      <c r="F465" s="214"/>
      <c r="G465" s="214"/>
      <c r="H465" s="214"/>
      <c r="I465" s="214"/>
      <c r="J465" s="214"/>
      <c r="K465" s="214"/>
      <c r="L465" s="214"/>
      <c r="M465" s="215"/>
      <c r="N465" s="215"/>
      <c r="O465" s="216"/>
      <c r="P465" s="216"/>
      <c r="Q465" s="216"/>
      <c r="R465" s="216"/>
      <c r="S465" s="216"/>
      <c r="T465" s="216"/>
      <c r="U465" s="216"/>
      <c r="V465" s="216"/>
      <c r="W465" s="216"/>
      <c r="X465" s="216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  <c r="BI465" s="216"/>
      <c r="BJ465" s="216"/>
      <c r="BK465" s="216"/>
      <c r="BL465" s="216"/>
      <c r="BM465" s="216"/>
      <c r="BN465" s="216"/>
      <c r="BO465" s="216"/>
      <c r="BP465" s="216"/>
      <c r="BQ465" s="216"/>
      <c r="BR465" s="216"/>
    </row>
    <row r="466" spans="1:70" ht="12.75" x14ac:dyDescent="0.2">
      <c r="A466" s="214"/>
      <c r="B466" s="214"/>
      <c r="C466" s="214"/>
      <c r="D466" s="214"/>
      <c r="E466" s="214"/>
      <c r="F466" s="214"/>
      <c r="G466" s="214"/>
      <c r="H466" s="214"/>
      <c r="I466" s="214"/>
      <c r="J466" s="214"/>
      <c r="K466" s="214"/>
      <c r="L466" s="214"/>
      <c r="M466" s="215"/>
      <c r="N466" s="215"/>
      <c r="O466" s="216"/>
      <c r="P466" s="216"/>
      <c r="Q466" s="216"/>
      <c r="R466" s="216"/>
      <c r="S466" s="216"/>
      <c r="T466" s="216"/>
      <c r="U466" s="216"/>
      <c r="V466" s="216"/>
      <c r="W466" s="216"/>
      <c r="X466" s="216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  <c r="BI466" s="216"/>
      <c r="BJ466" s="216"/>
      <c r="BK466" s="216"/>
      <c r="BL466" s="216"/>
      <c r="BM466" s="216"/>
      <c r="BN466" s="216"/>
      <c r="BO466" s="216"/>
      <c r="BP466" s="216"/>
      <c r="BQ466" s="216"/>
      <c r="BR466" s="216"/>
    </row>
    <row r="467" spans="1:70" ht="12.75" x14ac:dyDescent="0.2">
      <c r="A467" s="214"/>
      <c r="B467" s="214"/>
      <c r="C467" s="214"/>
      <c r="D467" s="214"/>
      <c r="E467" s="214"/>
      <c r="F467" s="214"/>
      <c r="G467" s="214"/>
      <c r="H467" s="214"/>
      <c r="I467" s="214"/>
      <c r="J467" s="214"/>
      <c r="K467" s="214"/>
      <c r="L467" s="214"/>
      <c r="M467" s="215"/>
      <c r="N467" s="215"/>
      <c r="O467" s="216"/>
      <c r="P467" s="216"/>
      <c r="Q467" s="216"/>
      <c r="R467" s="216"/>
      <c r="S467" s="216"/>
      <c r="T467" s="216"/>
      <c r="U467" s="216"/>
      <c r="V467" s="216"/>
      <c r="W467" s="216"/>
      <c r="X467" s="216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  <c r="BI467" s="216"/>
      <c r="BJ467" s="216"/>
      <c r="BK467" s="216"/>
      <c r="BL467" s="216"/>
      <c r="BM467" s="216"/>
      <c r="BN467" s="216"/>
      <c r="BO467" s="216"/>
      <c r="BP467" s="216"/>
      <c r="BQ467" s="216"/>
      <c r="BR467" s="216"/>
    </row>
    <row r="468" spans="1:70" ht="12.75" x14ac:dyDescent="0.2">
      <c r="A468" s="214"/>
      <c r="B468" s="214"/>
      <c r="C468" s="214"/>
      <c r="D468" s="214"/>
      <c r="E468" s="214"/>
      <c r="F468" s="214"/>
      <c r="G468" s="214"/>
      <c r="H468" s="214"/>
      <c r="I468" s="214"/>
      <c r="J468" s="214"/>
      <c r="K468" s="214"/>
      <c r="L468" s="214"/>
      <c r="M468" s="215"/>
      <c r="N468" s="215"/>
      <c r="O468" s="216"/>
      <c r="P468" s="216"/>
      <c r="Q468" s="216"/>
      <c r="R468" s="216"/>
      <c r="S468" s="216"/>
      <c r="T468" s="216"/>
      <c r="U468" s="216"/>
      <c r="V468" s="216"/>
      <c r="W468" s="216"/>
      <c r="X468" s="216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  <c r="BI468" s="216"/>
      <c r="BJ468" s="216"/>
      <c r="BK468" s="216"/>
      <c r="BL468" s="216"/>
      <c r="BM468" s="216"/>
      <c r="BN468" s="216"/>
      <c r="BO468" s="216"/>
      <c r="BP468" s="216"/>
      <c r="BQ468" s="216"/>
      <c r="BR468" s="216"/>
    </row>
    <row r="469" spans="1:70" ht="12.75" x14ac:dyDescent="0.2">
      <c r="A469" s="214"/>
      <c r="B469" s="214"/>
      <c r="C469" s="214"/>
      <c r="D469" s="214"/>
      <c r="E469" s="214"/>
      <c r="F469" s="214"/>
      <c r="G469" s="214"/>
      <c r="H469" s="214"/>
      <c r="I469" s="214"/>
      <c r="J469" s="214"/>
      <c r="K469" s="214"/>
      <c r="L469" s="214"/>
      <c r="M469" s="215"/>
      <c r="N469" s="215"/>
      <c r="O469" s="216"/>
      <c r="P469" s="216"/>
      <c r="Q469" s="216"/>
      <c r="R469" s="216"/>
      <c r="S469" s="216"/>
      <c r="T469" s="216"/>
      <c r="U469" s="216"/>
      <c r="V469" s="216"/>
      <c r="W469" s="216"/>
      <c r="X469" s="216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  <c r="AU469" s="216"/>
      <c r="AV469" s="216"/>
      <c r="AW469" s="216"/>
      <c r="AX469" s="216"/>
      <c r="AY469" s="216"/>
      <c r="AZ469" s="216"/>
      <c r="BA469" s="216"/>
      <c r="BB469" s="216"/>
      <c r="BC469" s="216"/>
      <c r="BD469" s="216"/>
      <c r="BE469" s="216"/>
      <c r="BF469" s="216"/>
      <c r="BG469" s="216"/>
      <c r="BH469" s="216"/>
      <c r="BI469" s="216"/>
      <c r="BJ469" s="216"/>
      <c r="BK469" s="216"/>
      <c r="BL469" s="216"/>
      <c r="BM469" s="216"/>
      <c r="BN469" s="216"/>
      <c r="BO469" s="216"/>
      <c r="BP469" s="216"/>
      <c r="BQ469" s="216"/>
      <c r="BR469" s="216"/>
    </row>
    <row r="470" spans="1:70" ht="12.75" x14ac:dyDescent="0.2">
      <c r="A470" s="214"/>
      <c r="B470" s="214"/>
      <c r="C470" s="214"/>
      <c r="D470" s="214"/>
      <c r="E470" s="214"/>
      <c r="F470" s="214"/>
      <c r="G470" s="214"/>
      <c r="H470" s="214"/>
      <c r="I470" s="214"/>
      <c r="J470" s="214"/>
      <c r="K470" s="214"/>
      <c r="L470" s="214"/>
      <c r="M470" s="215"/>
      <c r="N470" s="215"/>
      <c r="O470" s="216"/>
      <c r="P470" s="216"/>
      <c r="Q470" s="216"/>
      <c r="R470" s="216"/>
      <c r="S470" s="216"/>
      <c r="T470" s="216"/>
      <c r="U470" s="216"/>
      <c r="V470" s="216"/>
      <c r="W470" s="216"/>
      <c r="X470" s="216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  <c r="AU470" s="216"/>
      <c r="AV470" s="216"/>
      <c r="AW470" s="216"/>
      <c r="AX470" s="216"/>
      <c r="AY470" s="216"/>
      <c r="AZ470" s="216"/>
      <c r="BA470" s="216"/>
      <c r="BB470" s="216"/>
      <c r="BC470" s="216"/>
      <c r="BD470" s="216"/>
      <c r="BE470" s="216"/>
      <c r="BF470" s="216"/>
      <c r="BG470" s="216"/>
      <c r="BH470" s="216"/>
      <c r="BI470" s="216"/>
      <c r="BJ470" s="216"/>
      <c r="BK470" s="216"/>
      <c r="BL470" s="216"/>
      <c r="BM470" s="216"/>
      <c r="BN470" s="216"/>
      <c r="BO470" s="216"/>
      <c r="BP470" s="216"/>
      <c r="BQ470" s="216"/>
      <c r="BR470" s="216"/>
    </row>
    <row r="471" spans="1:70" ht="12.75" x14ac:dyDescent="0.2">
      <c r="A471" s="214"/>
      <c r="B471" s="214"/>
      <c r="C471" s="214"/>
      <c r="D471" s="214"/>
      <c r="E471" s="214"/>
      <c r="F471" s="214"/>
      <c r="G471" s="214"/>
      <c r="H471" s="214"/>
      <c r="I471" s="214"/>
      <c r="J471" s="214"/>
      <c r="K471" s="214"/>
      <c r="L471" s="214"/>
      <c r="M471" s="215"/>
      <c r="N471" s="215"/>
      <c r="O471" s="216"/>
      <c r="P471" s="216"/>
      <c r="Q471" s="216"/>
      <c r="R471" s="216"/>
      <c r="S471" s="216"/>
      <c r="T471" s="216"/>
      <c r="U471" s="216"/>
      <c r="V471" s="216"/>
      <c r="W471" s="216"/>
      <c r="X471" s="216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16"/>
      <c r="AN471" s="216"/>
      <c r="AO471" s="216"/>
      <c r="AP471" s="216"/>
      <c r="AQ471" s="216"/>
      <c r="AR471" s="216"/>
      <c r="AS471" s="216"/>
      <c r="AT471" s="216"/>
      <c r="AU471" s="216"/>
      <c r="AV471" s="216"/>
      <c r="AW471" s="216"/>
      <c r="AX471" s="216"/>
      <c r="AY471" s="216"/>
      <c r="AZ471" s="216"/>
      <c r="BA471" s="216"/>
      <c r="BB471" s="216"/>
      <c r="BC471" s="216"/>
      <c r="BD471" s="216"/>
      <c r="BE471" s="216"/>
      <c r="BF471" s="216"/>
      <c r="BG471" s="216"/>
      <c r="BH471" s="216"/>
      <c r="BI471" s="216"/>
      <c r="BJ471" s="216"/>
      <c r="BK471" s="216"/>
      <c r="BL471" s="216"/>
      <c r="BM471" s="216"/>
      <c r="BN471" s="216"/>
      <c r="BO471" s="216"/>
      <c r="BP471" s="216"/>
      <c r="BQ471" s="216"/>
      <c r="BR471" s="216"/>
    </row>
    <row r="472" spans="1:70" ht="12.75" x14ac:dyDescent="0.2">
      <c r="A472" s="214"/>
      <c r="B472" s="214"/>
      <c r="C472" s="214"/>
      <c r="D472" s="214"/>
      <c r="E472" s="214"/>
      <c r="F472" s="214"/>
      <c r="G472" s="214"/>
      <c r="H472" s="214"/>
      <c r="I472" s="214"/>
      <c r="J472" s="214"/>
      <c r="K472" s="214"/>
      <c r="L472" s="214"/>
      <c r="M472" s="215"/>
      <c r="N472" s="215"/>
      <c r="O472" s="216"/>
      <c r="P472" s="216"/>
      <c r="Q472" s="216"/>
      <c r="R472" s="216"/>
      <c r="S472" s="216"/>
      <c r="T472" s="216"/>
      <c r="U472" s="216"/>
      <c r="V472" s="216"/>
      <c r="W472" s="216"/>
      <c r="X472" s="216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16"/>
      <c r="AN472" s="216"/>
      <c r="AO472" s="216"/>
      <c r="AP472" s="216"/>
      <c r="AQ472" s="216"/>
      <c r="AR472" s="216"/>
      <c r="AS472" s="216"/>
      <c r="AT472" s="216"/>
      <c r="AU472" s="216"/>
      <c r="AV472" s="216"/>
      <c r="AW472" s="216"/>
      <c r="AX472" s="216"/>
      <c r="AY472" s="216"/>
      <c r="AZ472" s="216"/>
      <c r="BA472" s="216"/>
      <c r="BB472" s="216"/>
      <c r="BC472" s="216"/>
      <c r="BD472" s="216"/>
      <c r="BE472" s="216"/>
      <c r="BF472" s="216"/>
      <c r="BG472" s="216"/>
      <c r="BH472" s="216"/>
      <c r="BI472" s="216"/>
      <c r="BJ472" s="216"/>
      <c r="BK472" s="216"/>
      <c r="BL472" s="216"/>
      <c r="BM472" s="216"/>
      <c r="BN472" s="216"/>
      <c r="BO472" s="216"/>
      <c r="BP472" s="216"/>
      <c r="BQ472" s="216"/>
      <c r="BR472" s="216"/>
    </row>
    <row r="473" spans="1:70" ht="12.75" x14ac:dyDescent="0.2">
      <c r="A473" s="214"/>
      <c r="B473" s="214"/>
      <c r="C473" s="214"/>
      <c r="D473" s="214"/>
      <c r="E473" s="214"/>
      <c r="F473" s="214"/>
      <c r="G473" s="214"/>
      <c r="H473" s="214"/>
      <c r="I473" s="214"/>
      <c r="J473" s="214"/>
      <c r="K473" s="214"/>
      <c r="L473" s="214"/>
      <c r="M473" s="215"/>
      <c r="N473" s="215"/>
      <c r="O473" s="216"/>
      <c r="P473" s="216"/>
      <c r="Q473" s="216"/>
      <c r="R473" s="216"/>
      <c r="S473" s="216"/>
      <c r="T473" s="216"/>
      <c r="U473" s="216"/>
      <c r="V473" s="216"/>
      <c r="W473" s="216"/>
      <c r="X473" s="216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16"/>
      <c r="AN473" s="216"/>
      <c r="AO473" s="216"/>
      <c r="AP473" s="216"/>
      <c r="AQ473" s="216"/>
      <c r="AR473" s="216"/>
      <c r="AS473" s="216"/>
      <c r="AT473" s="216"/>
      <c r="AU473" s="216"/>
      <c r="AV473" s="216"/>
      <c r="AW473" s="216"/>
      <c r="AX473" s="216"/>
      <c r="AY473" s="216"/>
      <c r="AZ473" s="216"/>
      <c r="BA473" s="216"/>
      <c r="BB473" s="216"/>
      <c r="BC473" s="216"/>
      <c r="BD473" s="216"/>
      <c r="BE473" s="216"/>
      <c r="BF473" s="216"/>
      <c r="BG473" s="216"/>
      <c r="BH473" s="216"/>
      <c r="BI473" s="216"/>
      <c r="BJ473" s="216"/>
      <c r="BK473" s="216"/>
      <c r="BL473" s="216"/>
      <c r="BM473" s="216"/>
      <c r="BN473" s="216"/>
      <c r="BO473" s="216"/>
      <c r="BP473" s="216"/>
      <c r="BQ473" s="216"/>
      <c r="BR473" s="216"/>
    </row>
    <row r="474" spans="1:70" ht="12.75" x14ac:dyDescent="0.2">
      <c r="A474" s="214"/>
      <c r="B474" s="214"/>
      <c r="C474" s="214"/>
      <c r="D474" s="214"/>
      <c r="E474" s="214"/>
      <c r="F474" s="214"/>
      <c r="G474" s="214"/>
      <c r="H474" s="214"/>
      <c r="I474" s="214"/>
      <c r="J474" s="214"/>
      <c r="K474" s="214"/>
      <c r="L474" s="214"/>
      <c r="M474" s="215"/>
      <c r="N474" s="215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16"/>
      <c r="AN474" s="216"/>
      <c r="AO474" s="216"/>
      <c r="AP474" s="216"/>
      <c r="AQ474" s="216"/>
      <c r="AR474" s="216"/>
      <c r="AS474" s="216"/>
      <c r="AT474" s="216"/>
      <c r="AU474" s="216"/>
      <c r="AV474" s="216"/>
      <c r="AW474" s="216"/>
      <c r="AX474" s="216"/>
      <c r="AY474" s="216"/>
      <c r="AZ474" s="216"/>
      <c r="BA474" s="216"/>
      <c r="BB474" s="216"/>
      <c r="BC474" s="216"/>
      <c r="BD474" s="216"/>
      <c r="BE474" s="216"/>
      <c r="BF474" s="216"/>
      <c r="BG474" s="216"/>
      <c r="BH474" s="216"/>
      <c r="BI474" s="216"/>
      <c r="BJ474" s="216"/>
      <c r="BK474" s="216"/>
      <c r="BL474" s="216"/>
      <c r="BM474" s="216"/>
      <c r="BN474" s="216"/>
      <c r="BO474" s="216"/>
      <c r="BP474" s="216"/>
      <c r="BQ474" s="216"/>
      <c r="BR474" s="216"/>
    </row>
    <row r="475" spans="1:70" ht="12.75" x14ac:dyDescent="0.2">
      <c r="A475" s="214"/>
      <c r="B475" s="214"/>
      <c r="C475" s="214"/>
      <c r="D475" s="214"/>
      <c r="E475" s="214"/>
      <c r="F475" s="214"/>
      <c r="G475" s="214"/>
      <c r="H475" s="214"/>
      <c r="I475" s="214"/>
      <c r="J475" s="214"/>
      <c r="K475" s="214"/>
      <c r="L475" s="214"/>
      <c r="M475" s="215"/>
      <c r="N475" s="215"/>
      <c r="O475" s="216"/>
      <c r="P475" s="216"/>
      <c r="Q475" s="216"/>
      <c r="R475" s="216"/>
      <c r="S475" s="216"/>
      <c r="T475" s="216"/>
      <c r="U475" s="216"/>
      <c r="V475" s="216"/>
      <c r="W475" s="216"/>
      <c r="X475" s="216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16"/>
      <c r="AN475" s="216"/>
      <c r="AO475" s="216"/>
      <c r="AP475" s="216"/>
      <c r="AQ475" s="216"/>
      <c r="AR475" s="216"/>
      <c r="AS475" s="216"/>
      <c r="AT475" s="216"/>
      <c r="AU475" s="216"/>
      <c r="AV475" s="216"/>
      <c r="AW475" s="216"/>
      <c r="AX475" s="216"/>
      <c r="AY475" s="216"/>
      <c r="AZ475" s="216"/>
      <c r="BA475" s="216"/>
      <c r="BB475" s="216"/>
      <c r="BC475" s="216"/>
      <c r="BD475" s="216"/>
      <c r="BE475" s="216"/>
      <c r="BF475" s="216"/>
      <c r="BG475" s="216"/>
      <c r="BH475" s="216"/>
      <c r="BI475" s="216"/>
      <c r="BJ475" s="216"/>
      <c r="BK475" s="216"/>
      <c r="BL475" s="216"/>
      <c r="BM475" s="216"/>
      <c r="BN475" s="216"/>
      <c r="BO475" s="216"/>
      <c r="BP475" s="216"/>
      <c r="BQ475" s="216"/>
      <c r="BR475" s="216"/>
    </row>
    <row r="476" spans="1:70" ht="12.75" x14ac:dyDescent="0.2">
      <c r="A476" s="214"/>
      <c r="B476" s="214"/>
      <c r="C476" s="214"/>
      <c r="D476" s="214"/>
      <c r="E476" s="214"/>
      <c r="F476" s="214"/>
      <c r="G476" s="214"/>
      <c r="H476" s="214"/>
      <c r="I476" s="214"/>
      <c r="J476" s="214"/>
      <c r="K476" s="214"/>
      <c r="L476" s="214"/>
      <c r="M476" s="215"/>
      <c r="N476" s="215"/>
      <c r="O476" s="216"/>
      <c r="P476" s="216"/>
      <c r="Q476" s="216"/>
      <c r="R476" s="216"/>
      <c r="S476" s="216"/>
      <c r="T476" s="216"/>
      <c r="U476" s="216"/>
      <c r="V476" s="216"/>
      <c r="W476" s="216"/>
      <c r="X476" s="216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16"/>
      <c r="AN476" s="216"/>
      <c r="AO476" s="216"/>
      <c r="AP476" s="216"/>
      <c r="AQ476" s="216"/>
      <c r="AR476" s="216"/>
      <c r="AS476" s="216"/>
      <c r="AT476" s="216"/>
      <c r="AU476" s="216"/>
      <c r="AV476" s="216"/>
      <c r="AW476" s="216"/>
      <c r="AX476" s="216"/>
      <c r="AY476" s="216"/>
      <c r="AZ476" s="216"/>
      <c r="BA476" s="216"/>
      <c r="BB476" s="216"/>
      <c r="BC476" s="216"/>
      <c r="BD476" s="216"/>
      <c r="BE476" s="216"/>
      <c r="BF476" s="216"/>
      <c r="BG476" s="216"/>
      <c r="BH476" s="216"/>
      <c r="BI476" s="216"/>
      <c r="BJ476" s="216"/>
      <c r="BK476" s="216"/>
      <c r="BL476" s="216"/>
      <c r="BM476" s="216"/>
      <c r="BN476" s="216"/>
      <c r="BO476" s="216"/>
      <c r="BP476" s="216"/>
      <c r="BQ476" s="216"/>
      <c r="BR476" s="216"/>
    </row>
    <row r="477" spans="1:70" ht="12.75" x14ac:dyDescent="0.2">
      <c r="A477" s="214"/>
      <c r="B477" s="214"/>
      <c r="C477" s="214"/>
      <c r="D477" s="214"/>
      <c r="E477" s="214"/>
      <c r="F477" s="214"/>
      <c r="G477" s="214"/>
      <c r="H477" s="214"/>
      <c r="I477" s="214"/>
      <c r="J477" s="214"/>
      <c r="K477" s="214"/>
      <c r="L477" s="214"/>
      <c r="M477" s="215"/>
      <c r="N477" s="215"/>
      <c r="O477" s="216"/>
      <c r="P477" s="216"/>
      <c r="Q477" s="216"/>
      <c r="R477" s="216"/>
      <c r="S477" s="216"/>
      <c r="T477" s="216"/>
      <c r="U477" s="216"/>
      <c r="V477" s="216"/>
      <c r="W477" s="216"/>
      <c r="X477" s="216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16"/>
      <c r="AN477" s="216"/>
      <c r="AO477" s="216"/>
      <c r="AP477" s="216"/>
      <c r="AQ477" s="216"/>
      <c r="AR477" s="216"/>
      <c r="AS477" s="216"/>
      <c r="AT477" s="216"/>
      <c r="AU477" s="216"/>
      <c r="AV477" s="216"/>
      <c r="AW477" s="216"/>
      <c r="AX477" s="216"/>
      <c r="AY477" s="216"/>
      <c r="AZ477" s="216"/>
      <c r="BA477" s="216"/>
      <c r="BB477" s="216"/>
      <c r="BC477" s="216"/>
      <c r="BD477" s="216"/>
      <c r="BE477" s="216"/>
      <c r="BF477" s="216"/>
      <c r="BG477" s="216"/>
      <c r="BH477" s="216"/>
      <c r="BI477" s="216"/>
      <c r="BJ477" s="216"/>
      <c r="BK477" s="216"/>
      <c r="BL477" s="216"/>
      <c r="BM477" s="216"/>
      <c r="BN477" s="216"/>
      <c r="BO477" s="216"/>
      <c r="BP477" s="216"/>
      <c r="BQ477" s="216"/>
      <c r="BR477" s="216"/>
    </row>
    <row r="478" spans="1:70" ht="12.75" x14ac:dyDescent="0.2">
      <c r="A478" s="214"/>
      <c r="B478" s="214"/>
      <c r="C478" s="214"/>
      <c r="D478" s="214"/>
      <c r="E478" s="214"/>
      <c r="F478" s="214"/>
      <c r="G478" s="214"/>
      <c r="H478" s="214"/>
      <c r="I478" s="214"/>
      <c r="J478" s="214"/>
      <c r="K478" s="214"/>
      <c r="L478" s="214"/>
      <c r="M478" s="215"/>
      <c r="N478" s="215"/>
      <c r="O478" s="216"/>
      <c r="P478" s="216"/>
      <c r="Q478" s="216"/>
      <c r="R478" s="216"/>
      <c r="S478" s="216"/>
      <c r="T478" s="216"/>
      <c r="U478" s="216"/>
      <c r="V478" s="216"/>
      <c r="W478" s="216"/>
      <c r="X478" s="216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16"/>
      <c r="AN478" s="216"/>
      <c r="AO478" s="216"/>
      <c r="AP478" s="216"/>
      <c r="AQ478" s="216"/>
      <c r="AR478" s="216"/>
      <c r="AS478" s="216"/>
      <c r="AT478" s="216"/>
      <c r="AU478" s="216"/>
      <c r="AV478" s="216"/>
      <c r="AW478" s="216"/>
      <c r="AX478" s="216"/>
      <c r="AY478" s="216"/>
      <c r="AZ478" s="216"/>
      <c r="BA478" s="216"/>
      <c r="BB478" s="216"/>
      <c r="BC478" s="216"/>
      <c r="BD478" s="216"/>
      <c r="BE478" s="216"/>
      <c r="BF478" s="216"/>
      <c r="BG478" s="216"/>
      <c r="BH478" s="216"/>
      <c r="BI478" s="216"/>
      <c r="BJ478" s="216"/>
      <c r="BK478" s="216"/>
      <c r="BL478" s="216"/>
      <c r="BM478" s="216"/>
      <c r="BN478" s="216"/>
      <c r="BO478" s="216"/>
      <c r="BP478" s="216"/>
      <c r="BQ478" s="216"/>
      <c r="BR478" s="216"/>
    </row>
    <row r="479" spans="1:70" ht="12.75" x14ac:dyDescent="0.2">
      <c r="A479" s="214"/>
      <c r="B479" s="214"/>
      <c r="C479" s="214"/>
      <c r="D479" s="214"/>
      <c r="E479" s="214"/>
      <c r="F479" s="214"/>
      <c r="G479" s="214"/>
      <c r="H479" s="214"/>
      <c r="I479" s="214"/>
      <c r="J479" s="214"/>
      <c r="K479" s="214"/>
      <c r="L479" s="214"/>
      <c r="M479" s="215"/>
      <c r="N479" s="215"/>
      <c r="O479" s="216"/>
      <c r="P479" s="216"/>
      <c r="Q479" s="216"/>
      <c r="R479" s="216"/>
      <c r="S479" s="216"/>
      <c r="T479" s="216"/>
      <c r="U479" s="216"/>
      <c r="V479" s="216"/>
      <c r="W479" s="216"/>
      <c r="X479" s="216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  <c r="BI479" s="216"/>
      <c r="BJ479" s="216"/>
      <c r="BK479" s="216"/>
      <c r="BL479" s="216"/>
      <c r="BM479" s="216"/>
      <c r="BN479" s="216"/>
      <c r="BO479" s="216"/>
      <c r="BP479" s="216"/>
      <c r="BQ479" s="216"/>
      <c r="BR479" s="216"/>
    </row>
    <row r="480" spans="1:70" ht="12.75" x14ac:dyDescent="0.2">
      <c r="A480" s="214"/>
      <c r="B480" s="214"/>
      <c r="C480" s="214"/>
      <c r="D480" s="214"/>
      <c r="E480" s="214"/>
      <c r="F480" s="214"/>
      <c r="G480" s="214"/>
      <c r="H480" s="214"/>
      <c r="I480" s="214"/>
      <c r="J480" s="214"/>
      <c r="K480" s="214"/>
      <c r="L480" s="214"/>
      <c r="M480" s="215"/>
      <c r="N480" s="215"/>
      <c r="O480" s="216"/>
      <c r="P480" s="216"/>
      <c r="Q480" s="216"/>
      <c r="R480" s="216"/>
      <c r="S480" s="216"/>
      <c r="T480" s="216"/>
      <c r="U480" s="216"/>
      <c r="V480" s="216"/>
      <c r="W480" s="216"/>
      <c r="X480" s="216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  <c r="BI480" s="216"/>
      <c r="BJ480" s="216"/>
      <c r="BK480" s="216"/>
      <c r="BL480" s="216"/>
      <c r="BM480" s="216"/>
      <c r="BN480" s="216"/>
      <c r="BO480" s="216"/>
      <c r="BP480" s="216"/>
      <c r="BQ480" s="216"/>
      <c r="BR480" s="216"/>
    </row>
    <row r="481" spans="1:70" ht="12.75" x14ac:dyDescent="0.2">
      <c r="A481" s="214"/>
      <c r="B481" s="214"/>
      <c r="C481" s="214"/>
      <c r="D481" s="214"/>
      <c r="E481" s="214"/>
      <c r="F481" s="214"/>
      <c r="G481" s="214"/>
      <c r="H481" s="214"/>
      <c r="I481" s="214"/>
      <c r="J481" s="214"/>
      <c r="K481" s="214"/>
      <c r="L481" s="214"/>
      <c r="M481" s="215"/>
      <c r="N481" s="215"/>
      <c r="O481" s="216"/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  <c r="BI481" s="216"/>
      <c r="BJ481" s="216"/>
      <c r="BK481" s="216"/>
      <c r="BL481" s="216"/>
      <c r="BM481" s="216"/>
      <c r="BN481" s="216"/>
      <c r="BO481" s="216"/>
      <c r="BP481" s="216"/>
      <c r="BQ481" s="216"/>
      <c r="BR481" s="216"/>
    </row>
    <row r="482" spans="1:70" ht="12.75" x14ac:dyDescent="0.2">
      <c r="A482" s="214"/>
      <c r="B482" s="214"/>
      <c r="C482" s="214"/>
      <c r="D482" s="214"/>
      <c r="E482" s="214"/>
      <c r="F482" s="214"/>
      <c r="G482" s="214"/>
      <c r="H482" s="214"/>
      <c r="I482" s="214"/>
      <c r="J482" s="214"/>
      <c r="K482" s="214"/>
      <c r="L482" s="214"/>
      <c r="M482" s="215"/>
      <c r="N482" s="215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  <c r="BI482" s="216"/>
      <c r="BJ482" s="216"/>
      <c r="BK482" s="216"/>
      <c r="BL482" s="216"/>
      <c r="BM482" s="216"/>
      <c r="BN482" s="216"/>
      <c r="BO482" s="216"/>
      <c r="BP482" s="216"/>
      <c r="BQ482" s="216"/>
      <c r="BR482" s="216"/>
    </row>
    <row r="483" spans="1:70" ht="12.75" x14ac:dyDescent="0.2">
      <c r="A483" s="214"/>
      <c r="B483" s="214"/>
      <c r="C483" s="214"/>
      <c r="D483" s="214"/>
      <c r="E483" s="214"/>
      <c r="F483" s="214"/>
      <c r="G483" s="214"/>
      <c r="H483" s="214"/>
      <c r="I483" s="214"/>
      <c r="J483" s="214"/>
      <c r="K483" s="214"/>
      <c r="L483" s="214"/>
      <c r="M483" s="215"/>
      <c r="N483" s="215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  <c r="BI483" s="216"/>
      <c r="BJ483" s="216"/>
      <c r="BK483" s="216"/>
      <c r="BL483" s="216"/>
      <c r="BM483" s="216"/>
      <c r="BN483" s="216"/>
      <c r="BO483" s="216"/>
      <c r="BP483" s="216"/>
      <c r="BQ483" s="216"/>
      <c r="BR483" s="216"/>
    </row>
    <row r="484" spans="1:70" ht="12.75" x14ac:dyDescent="0.2">
      <c r="A484" s="214"/>
      <c r="B484" s="214"/>
      <c r="C484" s="214"/>
      <c r="D484" s="214"/>
      <c r="E484" s="214"/>
      <c r="F484" s="214"/>
      <c r="G484" s="214"/>
      <c r="H484" s="214"/>
      <c r="I484" s="214"/>
      <c r="J484" s="214"/>
      <c r="K484" s="214"/>
      <c r="L484" s="214"/>
      <c r="M484" s="215"/>
      <c r="N484" s="215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  <c r="BI484" s="216"/>
      <c r="BJ484" s="216"/>
      <c r="BK484" s="216"/>
      <c r="BL484" s="216"/>
      <c r="BM484" s="216"/>
      <c r="BN484" s="216"/>
      <c r="BO484" s="216"/>
      <c r="BP484" s="216"/>
      <c r="BQ484" s="216"/>
      <c r="BR484" s="216"/>
    </row>
    <row r="485" spans="1:70" ht="12.75" x14ac:dyDescent="0.2">
      <c r="A485" s="214"/>
      <c r="B485" s="214"/>
      <c r="C485" s="214"/>
      <c r="D485" s="214"/>
      <c r="E485" s="214"/>
      <c r="F485" s="214"/>
      <c r="G485" s="214"/>
      <c r="H485" s="214"/>
      <c r="I485" s="214"/>
      <c r="J485" s="214"/>
      <c r="K485" s="214"/>
      <c r="L485" s="214"/>
      <c r="M485" s="215"/>
      <c r="N485" s="215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16"/>
      <c r="AN485" s="216"/>
      <c r="AO485" s="216"/>
      <c r="AP485" s="216"/>
      <c r="AQ485" s="216"/>
      <c r="AR485" s="216"/>
      <c r="AS485" s="216"/>
      <c r="AT485" s="216"/>
      <c r="AU485" s="216"/>
      <c r="AV485" s="216"/>
      <c r="AW485" s="216"/>
      <c r="AX485" s="216"/>
      <c r="AY485" s="216"/>
      <c r="AZ485" s="216"/>
      <c r="BA485" s="216"/>
      <c r="BB485" s="216"/>
      <c r="BC485" s="216"/>
      <c r="BD485" s="216"/>
      <c r="BE485" s="216"/>
      <c r="BF485" s="216"/>
      <c r="BG485" s="216"/>
      <c r="BH485" s="216"/>
      <c r="BI485" s="216"/>
      <c r="BJ485" s="216"/>
      <c r="BK485" s="216"/>
      <c r="BL485" s="216"/>
      <c r="BM485" s="216"/>
      <c r="BN485" s="216"/>
      <c r="BO485" s="216"/>
      <c r="BP485" s="216"/>
      <c r="BQ485" s="216"/>
      <c r="BR485" s="216"/>
    </row>
    <row r="486" spans="1:70" ht="12.75" x14ac:dyDescent="0.2">
      <c r="A486" s="214"/>
      <c r="B486" s="214"/>
      <c r="C486" s="214"/>
      <c r="D486" s="214"/>
      <c r="E486" s="214"/>
      <c r="F486" s="214"/>
      <c r="G486" s="214"/>
      <c r="H486" s="214"/>
      <c r="I486" s="214"/>
      <c r="J486" s="214"/>
      <c r="K486" s="214"/>
      <c r="L486" s="214"/>
      <c r="M486" s="215"/>
      <c r="N486" s="215"/>
      <c r="O486" s="216"/>
      <c r="P486" s="216"/>
      <c r="Q486" s="216"/>
      <c r="R486" s="216"/>
      <c r="S486" s="216"/>
      <c r="T486" s="216"/>
      <c r="U486" s="216"/>
      <c r="V486" s="216"/>
      <c r="W486" s="216"/>
      <c r="X486" s="216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  <c r="BI486" s="216"/>
      <c r="BJ486" s="216"/>
      <c r="BK486" s="216"/>
      <c r="BL486" s="216"/>
      <c r="BM486" s="216"/>
      <c r="BN486" s="216"/>
      <c r="BO486" s="216"/>
      <c r="BP486" s="216"/>
      <c r="BQ486" s="216"/>
      <c r="BR486" s="216"/>
    </row>
    <row r="487" spans="1:70" ht="12.75" x14ac:dyDescent="0.2">
      <c r="A487" s="214"/>
      <c r="B487" s="214"/>
      <c r="C487" s="214"/>
      <c r="D487" s="214"/>
      <c r="E487" s="214"/>
      <c r="F487" s="214"/>
      <c r="G487" s="214"/>
      <c r="H487" s="214"/>
      <c r="I487" s="214"/>
      <c r="J487" s="214"/>
      <c r="K487" s="214"/>
      <c r="L487" s="214"/>
      <c r="M487" s="215"/>
      <c r="N487" s="215"/>
      <c r="O487" s="216"/>
      <c r="P487" s="216"/>
      <c r="Q487" s="216"/>
      <c r="R487" s="216"/>
      <c r="S487" s="216"/>
      <c r="T487" s="216"/>
      <c r="U487" s="216"/>
      <c r="V487" s="216"/>
      <c r="W487" s="216"/>
      <c r="X487" s="216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  <c r="BI487" s="216"/>
      <c r="BJ487" s="216"/>
      <c r="BK487" s="216"/>
      <c r="BL487" s="216"/>
      <c r="BM487" s="216"/>
      <c r="BN487" s="216"/>
      <c r="BO487" s="216"/>
      <c r="BP487" s="216"/>
      <c r="BQ487" s="216"/>
      <c r="BR487" s="216"/>
    </row>
    <row r="488" spans="1:70" ht="12.75" x14ac:dyDescent="0.2">
      <c r="A488" s="214"/>
      <c r="B488" s="214"/>
      <c r="C488" s="214"/>
      <c r="D488" s="214"/>
      <c r="E488" s="214"/>
      <c r="F488" s="214"/>
      <c r="G488" s="214"/>
      <c r="H488" s="214"/>
      <c r="I488" s="214"/>
      <c r="J488" s="214"/>
      <c r="K488" s="214"/>
      <c r="L488" s="214"/>
      <c r="M488" s="215"/>
      <c r="N488" s="215"/>
      <c r="O488" s="216"/>
      <c r="P488" s="216"/>
      <c r="Q488" s="216"/>
      <c r="R488" s="216"/>
      <c r="S488" s="216"/>
      <c r="T488" s="216"/>
      <c r="U488" s="216"/>
      <c r="V488" s="216"/>
      <c r="W488" s="216"/>
      <c r="X488" s="216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  <c r="BI488" s="216"/>
      <c r="BJ488" s="216"/>
      <c r="BK488" s="216"/>
      <c r="BL488" s="216"/>
      <c r="BM488" s="216"/>
      <c r="BN488" s="216"/>
      <c r="BO488" s="216"/>
      <c r="BP488" s="216"/>
      <c r="BQ488" s="216"/>
      <c r="BR488" s="216"/>
    </row>
    <row r="489" spans="1:70" ht="12.75" x14ac:dyDescent="0.2">
      <c r="A489" s="214"/>
      <c r="B489" s="214"/>
      <c r="C489" s="214"/>
      <c r="D489" s="214"/>
      <c r="E489" s="214"/>
      <c r="F489" s="214"/>
      <c r="G489" s="214"/>
      <c r="H489" s="214"/>
      <c r="I489" s="214"/>
      <c r="J489" s="214"/>
      <c r="K489" s="214"/>
      <c r="L489" s="214"/>
      <c r="M489" s="215"/>
      <c r="N489" s="215"/>
      <c r="O489" s="216"/>
      <c r="P489" s="216"/>
      <c r="Q489" s="216"/>
      <c r="R489" s="216"/>
      <c r="S489" s="216"/>
      <c r="T489" s="216"/>
      <c r="U489" s="216"/>
      <c r="V489" s="216"/>
      <c r="W489" s="216"/>
      <c r="X489" s="216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  <c r="BI489" s="216"/>
      <c r="BJ489" s="216"/>
      <c r="BK489" s="216"/>
      <c r="BL489" s="216"/>
      <c r="BM489" s="216"/>
      <c r="BN489" s="216"/>
      <c r="BO489" s="216"/>
      <c r="BP489" s="216"/>
      <c r="BQ489" s="216"/>
      <c r="BR489" s="216"/>
    </row>
    <row r="490" spans="1:70" ht="12.75" x14ac:dyDescent="0.2">
      <c r="A490" s="214"/>
      <c r="B490" s="214"/>
      <c r="C490" s="214"/>
      <c r="D490" s="214"/>
      <c r="E490" s="214"/>
      <c r="F490" s="214"/>
      <c r="G490" s="214"/>
      <c r="H490" s="214"/>
      <c r="I490" s="214"/>
      <c r="J490" s="214"/>
      <c r="K490" s="214"/>
      <c r="L490" s="214"/>
      <c r="M490" s="215"/>
      <c r="N490" s="215"/>
      <c r="O490" s="216"/>
      <c r="P490" s="216"/>
      <c r="Q490" s="216"/>
      <c r="R490" s="216"/>
      <c r="S490" s="216"/>
      <c r="T490" s="216"/>
      <c r="U490" s="216"/>
      <c r="V490" s="216"/>
      <c r="W490" s="216"/>
      <c r="X490" s="216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6"/>
      <c r="BB490" s="216"/>
      <c r="BC490" s="216"/>
      <c r="BD490" s="216"/>
      <c r="BE490" s="216"/>
      <c r="BF490" s="216"/>
      <c r="BG490" s="216"/>
      <c r="BH490" s="216"/>
      <c r="BI490" s="216"/>
      <c r="BJ490" s="216"/>
      <c r="BK490" s="216"/>
      <c r="BL490" s="216"/>
      <c r="BM490" s="216"/>
      <c r="BN490" s="216"/>
      <c r="BO490" s="216"/>
      <c r="BP490" s="216"/>
      <c r="BQ490" s="216"/>
      <c r="BR490" s="216"/>
    </row>
    <row r="491" spans="1:70" ht="12.75" x14ac:dyDescent="0.2">
      <c r="A491" s="214"/>
      <c r="B491" s="214"/>
      <c r="C491" s="214"/>
      <c r="D491" s="214"/>
      <c r="E491" s="214"/>
      <c r="F491" s="214"/>
      <c r="G491" s="214"/>
      <c r="H491" s="214"/>
      <c r="I491" s="214"/>
      <c r="J491" s="214"/>
      <c r="K491" s="214"/>
      <c r="L491" s="214"/>
      <c r="M491" s="215"/>
      <c r="N491" s="215"/>
      <c r="O491" s="216"/>
      <c r="P491" s="216"/>
      <c r="Q491" s="216"/>
      <c r="R491" s="216"/>
      <c r="S491" s="216"/>
      <c r="T491" s="216"/>
      <c r="U491" s="216"/>
      <c r="V491" s="216"/>
      <c r="W491" s="216"/>
      <c r="X491" s="216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16"/>
      <c r="AN491" s="216"/>
      <c r="AO491" s="216"/>
      <c r="AP491" s="216"/>
      <c r="AQ491" s="216"/>
      <c r="AR491" s="216"/>
      <c r="AS491" s="216"/>
      <c r="AT491" s="216"/>
      <c r="AU491" s="216"/>
      <c r="AV491" s="216"/>
      <c r="AW491" s="216"/>
      <c r="AX491" s="216"/>
      <c r="AY491" s="216"/>
      <c r="AZ491" s="216"/>
      <c r="BA491" s="216"/>
      <c r="BB491" s="216"/>
      <c r="BC491" s="216"/>
      <c r="BD491" s="216"/>
      <c r="BE491" s="216"/>
      <c r="BF491" s="216"/>
      <c r="BG491" s="216"/>
      <c r="BH491" s="216"/>
      <c r="BI491" s="216"/>
      <c r="BJ491" s="216"/>
      <c r="BK491" s="216"/>
      <c r="BL491" s="216"/>
      <c r="BM491" s="216"/>
      <c r="BN491" s="216"/>
      <c r="BO491" s="216"/>
      <c r="BP491" s="216"/>
      <c r="BQ491" s="216"/>
      <c r="BR491" s="216"/>
    </row>
    <row r="492" spans="1:70" ht="12.75" x14ac:dyDescent="0.2">
      <c r="A492" s="214"/>
      <c r="B492" s="214"/>
      <c r="C492" s="214"/>
      <c r="D492" s="214"/>
      <c r="E492" s="214"/>
      <c r="F492" s="214"/>
      <c r="G492" s="214"/>
      <c r="H492" s="214"/>
      <c r="I492" s="214"/>
      <c r="J492" s="214"/>
      <c r="K492" s="214"/>
      <c r="L492" s="214"/>
      <c r="M492" s="215"/>
      <c r="N492" s="215"/>
      <c r="O492" s="216"/>
      <c r="P492" s="216"/>
      <c r="Q492" s="216"/>
      <c r="R492" s="216"/>
      <c r="S492" s="216"/>
      <c r="T492" s="216"/>
      <c r="U492" s="216"/>
      <c r="V492" s="216"/>
      <c r="W492" s="216"/>
      <c r="X492" s="216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16"/>
      <c r="AN492" s="216"/>
      <c r="AO492" s="216"/>
      <c r="AP492" s="216"/>
      <c r="AQ492" s="216"/>
      <c r="AR492" s="216"/>
      <c r="AS492" s="216"/>
      <c r="AT492" s="216"/>
      <c r="AU492" s="216"/>
      <c r="AV492" s="216"/>
      <c r="AW492" s="216"/>
      <c r="AX492" s="216"/>
      <c r="AY492" s="216"/>
      <c r="AZ492" s="216"/>
      <c r="BA492" s="216"/>
      <c r="BB492" s="216"/>
      <c r="BC492" s="216"/>
      <c r="BD492" s="216"/>
      <c r="BE492" s="216"/>
      <c r="BF492" s="216"/>
      <c r="BG492" s="216"/>
      <c r="BH492" s="216"/>
      <c r="BI492" s="216"/>
      <c r="BJ492" s="216"/>
      <c r="BK492" s="216"/>
      <c r="BL492" s="216"/>
      <c r="BM492" s="216"/>
      <c r="BN492" s="216"/>
      <c r="BO492" s="216"/>
      <c r="BP492" s="216"/>
      <c r="BQ492" s="216"/>
      <c r="BR492" s="216"/>
    </row>
    <row r="493" spans="1:70" ht="12.75" x14ac:dyDescent="0.2">
      <c r="A493" s="214"/>
      <c r="B493" s="214"/>
      <c r="C493" s="214"/>
      <c r="D493" s="214"/>
      <c r="E493" s="214"/>
      <c r="F493" s="214"/>
      <c r="G493" s="214"/>
      <c r="H493" s="214"/>
      <c r="I493" s="214"/>
      <c r="J493" s="214"/>
      <c r="K493" s="214"/>
      <c r="L493" s="214"/>
      <c r="M493" s="215"/>
      <c r="N493" s="215"/>
      <c r="O493" s="216"/>
      <c r="P493" s="216"/>
      <c r="Q493" s="216"/>
      <c r="R493" s="216"/>
      <c r="S493" s="216"/>
      <c r="T493" s="216"/>
      <c r="U493" s="216"/>
      <c r="V493" s="216"/>
      <c r="W493" s="216"/>
      <c r="X493" s="216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16"/>
      <c r="AN493" s="216"/>
      <c r="AO493" s="216"/>
      <c r="AP493" s="216"/>
      <c r="AQ493" s="216"/>
      <c r="AR493" s="216"/>
      <c r="AS493" s="216"/>
      <c r="AT493" s="216"/>
      <c r="AU493" s="216"/>
      <c r="AV493" s="216"/>
      <c r="AW493" s="216"/>
      <c r="AX493" s="216"/>
      <c r="AY493" s="216"/>
      <c r="AZ493" s="216"/>
      <c r="BA493" s="216"/>
      <c r="BB493" s="216"/>
      <c r="BC493" s="216"/>
      <c r="BD493" s="216"/>
      <c r="BE493" s="216"/>
      <c r="BF493" s="216"/>
      <c r="BG493" s="216"/>
      <c r="BH493" s="216"/>
      <c r="BI493" s="216"/>
      <c r="BJ493" s="216"/>
      <c r="BK493" s="216"/>
      <c r="BL493" s="216"/>
      <c r="BM493" s="216"/>
      <c r="BN493" s="216"/>
      <c r="BO493" s="216"/>
      <c r="BP493" s="216"/>
      <c r="BQ493" s="216"/>
      <c r="BR493" s="216"/>
    </row>
    <row r="494" spans="1:70" ht="12.75" x14ac:dyDescent="0.2">
      <c r="A494" s="214"/>
      <c r="B494" s="214"/>
      <c r="C494" s="214"/>
      <c r="D494" s="214"/>
      <c r="E494" s="214"/>
      <c r="F494" s="214"/>
      <c r="G494" s="214"/>
      <c r="H494" s="214"/>
      <c r="I494" s="214"/>
      <c r="J494" s="214"/>
      <c r="K494" s="214"/>
      <c r="L494" s="214"/>
      <c r="M494" s="215"/>
      <c r="N494" s="215"/>
      <c r="O494" s="216"/>
      <c r="P494" s="216"/>
      <c r="Q494" s="216"/>
      <c r="R494" s="216"/>
      <c r="S494" s="216"/>
      <c r="T494" s="216"/>
      <c r="U494" s="216"/>
      <c r="V494" s="216"/>
      <c r="W494" s="216"/>
      <c r="X494" s="216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16"/>
      <c r="AN494" s="216"/>
      <c r="AO494" s="216"/>
      <c r="AP494" s="216"/>
      <c r="AQ494" s="216"/>
      <c r="AR494" s="216"/>
      <c r="AS494" s="216"/>
      <c r="AT494" s="216"/>
      <c r="AU494" s="216"/>
      <c r="AV494" s="216"/>
      <c r="AW494" s="216"/>
      <c r="AX494" s="216"/>
      <c r="AY494" s="216"/>
      <c r="AZ494" s="216"/>
      <c r="BA494" s="216"/>
      <c r="BB494" s="216"/>
      <c r="BC494" s="216"/>
      <c r="BD494" s="216"/>
      <c r="BE494" s="216"/>
      <c r="BF494" s="216"/>
      <c r="BG494" s="216"/>
      <c r="BH494" s="216"/>
      <c r="BI494" s="216"/>
      <c r="BJ494" s="216"/>
      <c r="BK494" s="216"/>
      <c r="BL494" s="216"/>
      <c r="BM494" s="216"/>
      <c r="BN494" s="216"/>
      <c r="BO494" s="216"/>
      <c r="BP494" s="216"/>
      <c r="BQ494" s="216"/>
      <c r="BR494" s="216"/>
    </row>
    <row r="495" spans="1:70" ht="12.75" x14ac:dyDescent="0.2">
      <c r="A495" s="214"/>
      <c r="B495" s="214"/>
      <c r="C495" s="214"/>
      <c r="D495" s="214"/>
      <c r="E495" s="214"/>
      <c r="F495" s="214"/>
      <c r="G495" s="214"/>
      <c r="H495" s="214"/>
      <c r="I495" s="214"/>
      <c r="J495" s="214"/>
      <c r="K495" s="214"/>
      <c r="L495" s="214"/>
      <c r="M495" s="215"/>
      <c r="N495" s="215"/>
      <c r="O495" s="216"/>
      <c r="P495" s="216"/>
      <c r="Q495" s="216"/>
      <c r="R495" s="216"/>
      <c r="S495" s="216"/>
      <c r="T495" s="216"/>
      <c r="U495" s="216"/>
      <c r="V495" s="216"/>
      <c r="W495" s="216"/>
      <c r="X495" s="216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16"/>
      <c r="AN495" s="216"/>
      <c r="AO495" s="216"/>
      <c r="AP495" s="216"/>
      <c r="AQ495" s="216"/>
      <c r="AR495" s="216"/>
      <c r="AS495" s="216"/>
      <c r="AT495" s="216"/>
      <c r="AU495" s="216"/>
      <c r="AV495" s="216"/>
      <c r="AW495" s="216"/>
      <c r="AX495" s="216"/>
      <c r="AY495" s="216"/>
      <c r="AZ495" s="216"/>
      <c r="BA495" s="216"/>
      <c r="BB495" s="216"/>
      <c r="BC495" s="216"/>
      <c r="BD495" s="216"/>
      <c r="BE495" s="216"/>
      <c r="BF495" s="216"/>
      <c r="BG495" s="216"/>
      <c r="BH495" s="216"/>
      <c r="BI495" s="216"/>
      <c r="BJ495" s="216"/>
      <c r="BK495" s="216"/>
      <c r="BL495" s="216"/>
      <c r="BM495" s="216"/>
      <c r="BN495" s="216"/>
      <c r="BO495" s="216"/>
      <c r="BP495" s="216"/>
      <c r="BQ495" s="216"/>
      <c r="BR495" s="216"/>
    </row>
    <row r="496" spans="1:70" ht="12.75" x14ac:dyDescent="0.2">
      <c r="A496" s="214"/>
      <c r="B496" s="214"/>
      <c r="C496" s="214"/>
      <c r="D496" s="214"/>
      <c r="E496" s="214"/>
      <c r="F496" s="214"/>
      <c r="G496" s="214"/>
      <c r="H496" s="214"/>
      <c r="I496" s="214"/>
      <c r="J496" s="214"/>
      <c r="K496" s="214"/>
      <c r="L496" s="214"/>
      <c r="M496" s="215"/>
      <c r="N496" s="215"/>
      <c r="O496" s="216"/>
      <c r="P496" s="216"/>
      <c r="Q496" s="216"/>
      <c r="R496" s="216"/>
      <c r="S496" s="216"/>
      <c r="T496" s="216"/>
      <c r="U496" s="216"/>
      <c r="V496" s="216"/>
      <c r="W496" s="216"/>
      <c r="X496" s="216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16"/>
      <c r="AN496" s="216"/>
      <c r="AO496" s="216"/>
      <c r="AP496" s="216"/>
      <c r="AQ496" s="216"/>
      <c r="AR496" s="216"/>
      <c r="AS496" s="216"/>
      <c r="AT496" s="216"/>
      <c r="AU496" s="216"/>
      <c r="AV496" s="216"/>
      <c r="AW496" s="216"/>
      <c r="AX496" s="216"/>
      <c r="AY496" s="216"/>
      <c r="AZ496" s="216"/>
      <c r="BA496" s="216"/>
      <c r="BB496" s="216"/>
      <c r="BC496" s="216"/>
      <c r="BD496" s="216"/>
      <c r="BE496" s="216"/>
      <c r="BF496" s="216"/>
      <c r="BG496" s="216"/>
      <c r="BH496" s="216"/>
      <c r="BI496" s="216"/>
      <c r="BJ496" s="216"/>
      <c r="BK496" s="216"/>
      <c r="BL496" s="216"/>
      <c r="BM496" s="216"/>
      <c r="BN496" s="216"/>
      <c r="BO496" s="216"/>
      <c r="BP496" s="216"/>
      <c r="BQ496" s="216"/>
      <c r="BR496" s="216"/>
    </row>
    <row r="497" spans="1:70" ht="12.75" x14ac:dyDescent="0.2">
      <c r="A497" s="214"/>
      <c r="B497" s="214"/>
      <c r="C497" s="214"/>
      <c r="D497" s="214"/>
      <c r="E497" s="214"/>
      <c r="F497" s="214"/>
      <c r="G497" s="214"/>
      <c r="H497" s="214"/>
      <c r="I497" s="214"/>
      <c r="J497" s="214"/>
      <c r="K497" s="214"/>
      <c r="L497" s="214"/>
      <c r="M497" s="215"/>
      <c r="N497" s="215"/>
      <c r="O497" s="216"/>
      <c r="P497" s="216"/>
      <c r="Q497" s="216"/>
      <c r="R497" s="216"/>
      <c r="S497" s="216"/>
      <c r="T497" s="216"/>
      <c r="U497" s="216"/>
      <c r="V497" s="216"/>
      <c r="W497" s="216"/>
      <c r="X497" s="216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16"/>
      <c r="AN497" s="216"/>
      <c r="AO497" s="216"/>
      <c r="AP497" s="216"/>
      <c r="AQ497" s="216"/>
      <c r="AR497" s="216"/>
      <c r="AS497" s="216"/>
      <c r="AT497" s="216"/>
      <c r="AU497" s="216"/>
      <c r="AV497" s="216"/>
      <c r="AW497" s="216"/>
      <c r="AX497" s="216"/>
      <c r="AY497" s="216"/>
      <c r="AZ497" s="216"/>
      <c r="BA497" s="216"/>
      <c r="BB497" s="216"/>
      <c r="BC497" s="216"/>
      <c r="BD497" s="216"/>
      <c r="BE497" s="216"/>
      <c r="BF497" s="216"/>
      <c r="BG497" s="216"/>
      <c r="BH497" s="216"/>
      <c r="BI497" s="216"/>
      <c r="BJ497" s="216"/>
      <c r="BK497" s="216"/>
      <c r="BL497" s="216"/>
      <c r="BM497" s="216"/>
      <c r="BN497" s="216"/>
      <c r="BO497" s="216"/>
      <c r="BP497" s="216"/>
      <c r="BQ497" s="216"/>
      <c r="BR497" s="216"/>
    </row>
    <row r="498" spans="1:70" ht="12.75" x14ac:dyDescent="0.2">
      <c r="A498" s="214"/>
      <c r="B498" s="214"/>
      <c r="C498" s="214"/>
      <c r="D498" s="214"/>
      <c r="E498" s="214"/>
      <c r="F498" s="214"/>
      <c r="G498" s="214"/>
      <c r="H498" s="214"/>
      <c r="I498" s="214"/>
      <c r="J498" s="214"/>
      <c r="K498" s="214"/>
      <c r="L498" s="214"/>
      <c r="M498" s="215"/>
      <c r="N498" s="215"/>
      <c r="O498" s="216"/>
      <c r="P498" s="216"/>
      <c r="Q498" s="216"/>
      <c r="R498" s="216"/>
      <c r="S498" s="216"/>
      <c r="T498" s="216"/>
      <c r="U498" s="216"/>
      <c r="V498" s="216"/>
      <c r="W498" s="216"/>
      <c r="X498" s="216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16"/>
      <c r="AN498" s="216"/>
      <c r="AO498" s="216"/>
      <c r="AP498" s="216"/>
      <c r="AQ498" s="216"/>
      <c r="AR498" s="216"/>
      <c r="AS498" s="216"/>
      <c r="AT498" s="216"/>
      <c r="AU498" s="216"/>
      <c r="AV498" s="216"/>
      <c r="AW498" s="216"/>
      <c r="AX498" s="216"/>
      <c r="AY498" s="216"/>
      <c r="AZ498" s="216"/>
      <c r="BA498" s="216"/>
      <c r="BB498" s="216"/>
      <c r="BC498" s="216"/>
      <c r="BD498" s="216"/>
      <c r="BE498" s="216"/>
      <c r="BF498" s="216"/>
      <c r="BG498" s="216"/>
      <c r="BH498" s="216"/>
      <c r="BI498" s="216"/>
      <c r="BJ498" s="216"/>
      <c r="BK498" s="216"/>
      <c r="BL498" s="216"/>
      <c r="BM498" s="216"/>
      <c r="BN498" s="216"/>
      <c r="BO498" s="216"/>
      <c r="BP498" s="216"/>
      <c r="BQ498" s="216"/>
      <c r="BR498" s="216"/>
    </row>
    <row r="499" spans="1:70" ht="12.75" x14ac:dyDescent="0.2">
      <c r="A499" s="214"/>
      <c r="B499" s="214"/>
      <c r="C499" s="214"/>
      <c r="D499" s="214"/>
      <c r="E499" s="214"/>
      <c r="F499" s="214"/>
      <c r="G499" s="214"/>
      <c r="H499" s="214"/>
      <c r="I499" s="214"/>
      <c r="J499" s="214"/>
      <c r="K499" s="214"/>
      <c r="L499" s="214"/>
      <c r="M499" s="215"/>
      <c r="N499" s="215"/>
      <c r="O499" s="216"/>
      <c r="P499" s="216"/>
      <c r="Q499" s="216"/>
      <c r="R499" s="216"/>
      <c r="S499" s="216"/>
      <c r="T499" s="216"/>
      <c r="U499" s="216"/>
      <c r="V499" s="216"/>
      <c r="W499" s="216"/>
      <c r="X499" s="216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16"/>
      <c r="AN499" s="216"/>
      <c r="AO499" s="216"/>
      <c r="AP499" s="216"/>
      <c r="AQ499" s="216"/>
      <c r="AR499" s="216"/>
      <c r="AS499" s="216"/>
      <c r="AT499" s="216"/>
      <c r="AU499" s="216"/>
      <c r="AV499" s="216"/>
      <c r="AW499" s="216"/>
      <c r="AX499" s="216"/>
      <c r="AY499" s="216"/>
      <c r="AZ499" s="216"/>
      <c r="BA499" s="216"/>
      <c r="BB499" s="216"/>
      <c r="BC499" s="216"/>
      <c r="BD499" s="216"/>
      <c r="BE499" s="216"/>
      <c r="BF499" s="216"/>
      <c r="BG499" s="216"/>
      <c r="BH499" s="216"/>
      <c r="BI499" s="216"/>
      <c r="BJ499" s="216"/>
      <c r="BK499" s="216"/>
      <c r="BL499" s="216"/>
      <c r="BM499" s="216"/>
      <c r="BN499" s="216"/>
      <c r="BO499" s="216"/>
      <c r="BP499" s="216"/>
      <c r="BQ499" s="216"/>
      <c r="BR499" s="216"/>
    </row>
    <row r="500" spans="1:70" ht="12.75" x14ac:dyDescent="0.2">
      <c r="A500" s="214"/>
      <c r="B500" s="214"/>
      <c r="C500" s="214"/>
      <c r="D500" s="214"/>
      <c r="E500" s="214"/>
      <c r="F500" s="214"/>
      <c r="G500" s="214"/>
      <c r="H500" s="214"/>
      <c r="I500" s="214"/>
      <c r="J500" s="214"/>
      <c r="K500" s="214"/>
      <c r="L500" s="214"/>
      <c r="M500" s="215"/>
      <c r="N500" s="215"/>
      <c r="O500" s="216"/>
      <c r="P500" s="216"/>
      <c r="Q500" s="216"/>
      <c r="R500" s="216"/>
      <c r="S500" s="216"/>
      <c r="T500" s="216"/>
      <c r="U500" s="216"/>
      <c r="V500" s="216"/>
      <c r="W500" s="216"/>
      <c r="X500" s="216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16"/>
      <c r="AN500" s="216"/>
      <c r="AO500" s="216"/>
      <c r="AP500" s="216"/>
      <c r="AQ500" s="216"/>
      <c r="AR500" s="216"/>
      <c r="AS500" s="216"/>
      <c r="AT500" s="216"/>
      <c r="AU500" s="216"/>
      <c r="AV500" s="216"/>
      <c r="AW500" s="216"/>
      <c r="AX500" s="216"/>
      <c r="AY500" s="216"/>
      <c r="AZ500" s="216"/>
      <c r="BA500" s="216"/>
      <c r="BB500" s="216"/>
      <c r="BC500" s="216"/>
      <c r="BD500" s="216"/>
      <c r="BE500" s="216"/>
      <c r="BF500" s="216"/>
      <c r="BG500" s="216"/>
      <c r="BH500" s="216"/>
      <c r="BI500" s="216"/>
      <c r="BJ500" s="216"/>
      <c r="BK500" s="216"/>
      <c r="BL500" s="216"/>
      <c r="BM500" s="216"/>
      <c r="BN500" s="216"/>
      <c r="BO500" s="216"/>
      <c r="BP500" s="216"/>
      <c r="BQ500" s="216"/>
      <c r="BR500" s="216"/>
    </row>
    <row r="501" spans="1:70" ht="12.75" x14ac:dyDescent="0.2">
      <c r="A501" s="214"/>
      <c r="B501" s="214"/>
      <c r="C501" s="214"/>
      <c r="D501" s="214"/>
      <c r="E501" s="214"/>
      <c r="F501" s="214"/>
      <c r="G501" s="214"/>
      <c r="H501" s="214"/>
      <c r="I501" s="214"/>
      <c r="J501" s="214"/>
      <c r="K501" s="214"/>
      <c r="L501" s="214"/>
      <c r="M501" s="215"/>
      <c r="N501" s="215"/>
      <c r="O501" s="216"/>
      <c r="P501" s="216"/>
      <c r="Q501" s="216"/>
      <c r="R501" s="216"/>
      <c r="S501" s="216"/>
      <c r="T501" s="216"/>
      <c r="U501" s="216"/>
      <c r="V501" s="216"/>
      <c r="W501" s="216"/>
      <c r="X501" s="216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16"/>
      <c r="AN501" s="216"/>
      <c r="AO501" s="216"/>
      <c r="AP501" s="216"/>
      <c r="AQ501" s="216"/>
      <c r="AR501" s="216"/>
      <c r="AS501" s="216"/>
      <c r="AT501" s="216"/>
      <c r="AU501" s="216"/>
      <c r="AV501" s="216"/>
      <c r="AW501" s="216"/>
      <c r="AX501" s="216"/>
      <c r="AY501" s="216"/>
      <c r="AZ501" s="216"/>
      <c r="BA501" s="216"/>
      <c r="BB501" s="216"/>
      <c r="BC501" s="216"/>
      <c r="BD501" s="216"/>
      <c r="BE501" s="216"/>
      <c r="BF501" s="216"/>
      <c r="BG501" s="216"/>
      <c r="BH501" s="216"/>
      <c r="BI501" s="216"/>
      <c r="BJ501" s="216"/>
      <c r="BK501" s="216"/>
      <c r="BL501" s="216"/>
      <c r="BM501" s="216"/>
      <c r="BN501" s="216"/>
      <c r="BO501" s="216"/>
      <c r="BP501" s="216"/>
      <c r="BQ501" s="216"/>
      <c r="BR501" s="216"/>
    </row>
    <row r="502" spans="1:70" ht="12.75" x14ac:dyDescent="0.2">
      <c r="A502" s="214"/>
      <c r="B502" s="214"/>
      <c r="C502" s="214"/>
      <c r="D502" s="214"/>
      <c r="E502" s="214"/>
      <c r="F502" s="214"/>
      <c r="G502" s="214"/>
      <c r="H502" s="214"/>
      <c r="I502" s="214"/>
      <c r="J502" s="214"/>
      <c r="K502" s="214"/>
      <c r="L502" s="214"/>
      <c r="M502" s="215"/>
      <c r="N502" s="215"/>
      <c r="O502" s="216"/>
      <c r="P502" s="216"/>
      <c r="Q502" s="216"/>
      <c r="R502" s="216"/>
      <c r="S502" s="216"/>
      <c r="T502" s="216"/>
      <c r="U502" s="216"/>
      <c r="V502" s="216"/>
      <c r="W502" s="216"/>
      <c r="X502" s="216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16"/>
      <c r="AN502" s="216"/>
      <c r="AO502" s="216"/>
      <c r="AP502" s="216"/>
      <c r="AQ502" s="216"/>
      <c r="AR502" s="216"/>
      <c r="AS502" s="216"/>
      <c r="AT502" s="216"/>
      <c r="AU502" s="216"/>
      <c r="AV502" s="216"/>
      <c r="AW502" s="216"/>
      <c r="AX502" s="216"/>
      <c r="AY502" s="216"/>
      <c r="AZ502" s="216"/>
      <c r="BA502" s="216"/>
      <c r="BB502" s="216"/>
      <c r="BC502" s="216"/>
      <c r="BD502" s="216"/>
      <c r="BE502" s="216"/>
      <c r="BF502" s="216"/>
      <c r="BG502" s="216"/>
      <c r="BH502" s="216"/>
      <c r="BI502" s="216"/>
      <c r="BJ502" s="216"/>
      <c r="BK502" s="216"/>
      <c r="BL502" s="216"/>
      <c r="BM502" s="216"/>
      <c r="BN502" s="216"/>
      <c r="BO502" s="216"/>
      <c r="BP502" s="216"/>
      <c r="BQ502" s="216"/>
      <c r="BR502" s="216"/>
    </row>
    <row r="503" spans="1:70" ht="12.75" x14ac:dyDescent="0.2">
      <c r="A503" s="214"/>
      <c r="B503" s="214"/>
      <c r="C503" s="214"/>
      <c r="D503" s="214"/>
      <c r="E503" s="214"/>
      <c r="F503" s="214"/>
      <c r="G503" s="214"/>
      <c r="H503" s="214"/>
      <c r="I503" s="214"/>
      <c r="J503" s="214"/>
      <c r="K503" s="214"/>
      <c r="L503" s="214"/>
      <c r="M503" s="215"/>
      <c r="N503" s="215"/>
      <c r="O503" s="216"/>
      <c r="P503" s="216"/>
      <c r="Q503" s="216"/>
      <c r="R503" s="216"/>
      <c r="S503" s="216"/>
      <c r="T503" s="216"/>
      <c r="U503" s="216"/>
      <c r="V503" s="216"/>
      <c r="W503" s="216"/>
      <c r="X503" s="216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16"/>
      <c r="AN503" s="216"/>
      <c r="AO503" s="216"/>
      <c r="AP503" s="216"/>
      <c r="AQ503" s="216"/>
      <c r="AR503" s="216"/>
      <c r="AS503" s="216"/>
      <c r="AT503" s="216"/>
      <c r="AU503" s="216"/>
      <c r="AV503" s="216"/>
      <c r="AW503" s="216"/>
      <c r="AX503" s="216"/>
      <c r="AY503" s="216"/>
      <c r="AZ503" s="216"/>
      <c r="BA503" s="216"/>
      <c r="BB503" s="216"/>
      <c r="BC503" s="216"/>
      <c r="BD503" s="216"/>
      <c r="BE503" s="216"/>
      <c r="BF503" s="216"/>
      <c r="BG503" s="216"/>
      <c r="BH503" s="216"/>
      <c r="BI503" s="216"/>
      <c r="BJ503" s="216"/>
      <c r="BK503" s="216"/>
      <c r="BL503" s="216"/>
      <c r="BM503" s="216"/>
      <c r="BN503" s="216"/>
      <c r="BO503" s="216"/>
      <c r="BP503" s="216"/>
      <c r="BQ503" s="216"/>
      <c r="BR503" s="216"/>
    </row>
    <row r="504" spans="1:70" ht="12.75" x14ac:dyDescent="0.2">
      <c r="A504" s="214"/>
      <c r="B504" s="214"/>
      <c r="C504" s="214"/>
      <c r="D504" s="214"/>
      <c r="E504" s="214"/>
      <c r="F504" s="214"/>
      <c r="G504" s="214"/>
      <c r="H504" s="214"/>
      <c r="I504" s="214"/>
      <c r="J504" s="214"/>
      <c r="K504" s="214"/>
      <c r="L504" s="214"/>
      <c r="M504" s="215"/>
      <c r="N504" s="215"/>
      <c r="O504" s="216"/>
      <c r="P504" s="216"/>
      <c r="Q504" s="216"/>
      <c r="R504" s="216"/>
      <c r="S504" s="216"/>
      <c r="T504" s="216"/>
      <c r="U504" s="216"/>
      <c r="V504" s="216"/>
      <c r="W504" s="216"/>
      <c r="X504" s="216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16"/>
      <c r="AN504" s="216"/>
      <c r="AO504" s="216"/>
      <c r="AP504" s="216"/>
      <c r="AQ504" s="216"/>
      <c r="AR504" s="216"/>
      <c r="AS504" s="216"/>
      <c r="AT504" s="216"/>
      <c r="AU504" s="216"/>
      <c r="AV504" s="216"/>
      <c r="AW504" s="216"/>
      <c r="AX504" s="216"/>
      <c r="AY504" s="216"/>
      <c r="AZ504" s="216"/>
      <c r="BA504" s="216"/>
      <c r="BB504" s="216"/>
      <c r="BC504" s="216"/>
      <c r="BD504" s="216"/>
      <c r="BE504" s="216"/>
      <c r="BF504" s="216"/>
      <c r="BG504" s="216"/>
      <c r="BH504" s="216"/>
      <c r="BI504" s="216"/>
      <c r="BJ504" s="216"/>
      <c r="BK504" s="216"/>
      <c r="BL504" s="216"/>
      <c r="BM504" s="216"/>
      <c r="BN504" s="216"/>
      <c r="BO504" s="216"/>
      <c r="BP504" s="216"/>
      <c r="BQ504" s="216"/>
      <c r="BR504" s="216"/>
    </row>
    <row r="505" spans="1:70" ht="12.75" x14ac:dyDescent="0.2">
      <c r="A505" s="214"/>
      <c r="B505" s="214"/>
      <c r="C505" s="214"/>
      <c r="D505" s="214"/>
      <c r="E505" s="214"/>
      <c r="F505" s="214"/>
      <c r="G505" s="214"/>
      <c r="H505" s="214"/>
      <c r="I505" s="214"/>
      <c r="J505" s="214"/>
      <c r="K505" s="214"/>
      <c r="L505" s="214"/>
      <c r="M505" s="215"/>
      <c r="N505" s="215"/>
      <c r="O505" s="216"/>
      <c r="P505" s="216"/>
      <c r="Q505" s="216"/>
      <c r="R505" s="216"/>
      <c r="S505" s="216"/>
      <c r="T505" s="216"/>
      <c r="U505" s="216"/>
      <c r="V505" s="216"/>
      <c r="W505" s="216"/>
      <c r="X505" s="216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16"/>
      <c r="AN505" s="216"/>
      <c r="AO505" s="216"/>
      <c r="AP505" s="216"/>
      <c r="AQ505" s="216"/>
      <c r="AR505" s="216"/>
      <c r="AS505" s="216"/>
      <c r="AT505" s="216"/>
      <c r="AU505" s="216"/>
      <c r="AV505" s="216"/>
      <c r="AW505" s="216"/>
      <c r="AX505" s="216"/>
      <c r="AY505" s="216"/>
      <c r="AZ505" s="216"/>
      <c r="BA505" s="216"/>
      <c r="BB505" s="216"/>
      <c r="BC505" s="216"/>
      <c r="BD505" s="216"/>
      <c r="BE505" s="216"/>
      <c r="BF505" s="216"/>
      <c r="BG505" s="216"/>
      <c r="BH505" s="216"/>
      <c r="BI505" s="216"/>
      <c r="BJ505" s="216"/>
      <c r="BK505" s="216"/>
      <c r="BL505" s="216"/>
      <c r="BM505" s="216"/>
      <c r="BN505" s="216"/>
      <c r="BO505" s="216"/>
      <c r="BP505" s="216"/>
      <c r="BQ505" s="216"/>
      <c r="BR505" s="216"/>
    </row>
    <row r="506" spans="1:70" ht="12.75" x14ac:dyDescent="0.2">
      <c r="A506" s="214"/>
      <c r="B506" s="214"/>
      <c r="C506" s="214"/>
      <c r="D506" s="214"/>
      <c r="E506" s="214"/>
      <c r="F506" s="214"/>
      <c r="G506" s="214"/>
      <c r="H506" s="214"/>
      <c r="I506" s="214"/>
      <c r="J506" s="214"/>
      <c r="K506" s="214"/>
      <c r="L506" s="214"/>
      <c r="M506" s="215"/>
      <c r="N506" s="215"/>
      <c r="O506" s="216"/>
      <c r="P506" s="216"/>
      <c r="Q506" s="216"/>
      <c r="R506" s="216"/>
      <c r="S506" s="216"/>
      <c r="T506" s="216"/>
      <c r="U506" s="216"/>
      <c r="V506" s="216"/>
      <c r="W506" s="216"/>
      <c r="X506" s="216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16"/>
      <c r="AN506" s="216"/>
      <c r="AO506" s="216"/>
      <c r="AP506" s="216"/>
      <c r="AQ506" s="216"/>
      <c r="AR506" s="216"/>
      <c r="AS506" s="216"/>
      <c r="AT506" s="216"/>
      <c r="AU506" s="216"/>
      <c r="AV506" s="216"/>
      <c r="AW506" s="216"/>
      <c r="AX506" s="216"/>
      <c r="AY506" s="216"/>
      <c r="AZ506" s="216"/>
      <c r="BA506" s="216"/>
      <c r="BB506" s="216"/>
      <c r="BC506" s="216"/>
      <c r="BD506" s="216"/>
      <c r="BE506" s="216"/>
      <c r="BF506" s="216"/>
      <c r="BG506" s="216"/>
      <c r="BH506" s="216"/>
      <c r="BI506" s="216"/>
      <c r="BJ506" s="216"/>
      <c r="BK506" s="216"/>
      <c r="BL506" s="216"/>
      <c r="BM506" s="216"/>
      <c r="BN506" s="216"/>
      <c r="BO506" s="216"/>
      <c r="BP506" s="216"/>
      <c r="BQ506" s="216"/>
      <c r="BR506" s="216"/>
    </row>
    <row r="507" spans="1:70" ht="12.75" x14ac:dyDescent="0.2">
      <c r="A507" s="214"/>
      <c r="B507" s="214"/>
      <c r="C507" s="214"/>
      <c r="D507" s="214"/>
      <c r="E507" s="214"/>
      <c r="F507" s="214"/>
      <c r="G507" s="214"/>
      <c r="H507" s="214"/>
      <c r="I507" s="214"/>
      <c r="J507" s="214"/>
      <c r="K507" s="214"/>
      <c r="L507" s="214"/>
      <c r="M507" s="215"/>
      <c r="N507" s="215"/>
      <c r="O507" s="216"/>
      <c r="P507" s="216"/>
      <c r="Q507" s="216"/>
      <c r="R507" s="216"/>
      <c r="S507" s="216"/>
      <c r="T507" s="216"/>
      <c r="U507" s="216"/>
      <c r="V507" s="216"/>
      <c r="W507" s="216"/>
      <c r="X507" s="216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16"/>
      <c r="AN507" s="216"/>
      <c r="AO507" s="216"/>
      <c r="AP507" s="216"/>
      <c r="AQ507" s="216"/>
      <c r="AR507" s="216"/>
      <c r="AS507" s="216"/>
      <c r="AT507" s="216"/>
      <c r="AU507" s="216"/>
      <c r="AV507" s="216"/>
      <c r="AW507" s="216"/>
      <c r="AX507" s="216"/>
      <c r="AY507" s="216"/>
      <c r="AZ507" s="216"/>
      <c r="BA507" s="216"/>
      <c r="BB507" s="216"/>
      <c r="BC507" s="216"/>
      <c r="BD507" s="216"/>
      <c r="BE507" s="216"/>
      <c r="BF507" s="216"/>
      <c r="BG507" s="216"/>
      <c r="BH507" s="216"/>
      <c r="BI507" s="216"/>
      <c r="BJ507" s="216"/>
      <c r="BK507" s="216"/>
      <c r="BL507" s="216"/>
      <c r="BM507" s="216"/>
      <c r="BN507" s="216"/>
      <c r="BO507" s="216"/>
      <c r="BP507" s="216"/>
      <c r="BQ507" s="216"/>
      <c r="BR507" s="216"/>
    </row>
    <row r="508" spans="1:70" ht="12.75" x14ac:dyDescent="0.2">
      <c r="A508" s="214"/>
      <c r="B508" s="214"/>
      <c r="C508" s="214"/>
      <c r="D508" s="214"/>
      <c r="E508" s="214"/>
      <c r="F508" s="214"/>
      <c r="G508" s="214"/>
      <c r="H508" s="214"/>
      <c r="I508" s="214"/>
      <c r="J508" s="214"/>
      <c r="K508" s="214"/>
      <c r="L508" s="214"/>
      <c r="M508" s="215"/>
      <c r="N508" s="215"/>
      <c r="O508" s="216"/>
      <c r="P508" s="216"/>
      <c r="Q508" s="216"/>
      <c r="R508" s="216"/>
      <c r="S508" s="216"/>
      <c r="T508" s="216"/>
      <c r="U508" s="216"/>
      <c r="V508" s="216"/>
      <c r="W508" s="216"/>
      <c r="X508" s="216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16"/>
      <c r="AN508" s="216"/>
      <c r="AO508" s="216"/>
      <c r="AP508" s="216"/>
      <c r="AQ508" s="216"/>
      <c r="AR508" s="216"/>
      <c r="AS508" s="216"/>
      <c r="AT508" s="216"/>
      <c r="AU508" s="216"/>
      <c r="AV508" s="216"/>
      <c r="AW508" s="216"/>
      <c r="AX508" s="216"/>
      <c r="AY508" s="216"/>
      <c r="AZ508" s="216"/>
      <c r="BA508" s="216"/>
      <c r="BB508" s="216"/>
      <c r="BC508" s="216"/>
      <c r="BD508" s="216"/>
      <c r="BE508" s="216"/>
      <c r="BF508" s="216"/>
      <c r="BG508" s="216"/>
      <c r="BH508" s="216"/>
      <c r="BI508" s="216"/>
      <c r="BJ508" s="216"/>
      <c r="BK508" s="216"/>
      <c r="BL508" s="216"/>
      <c r="BM508" s="216"/>
      <c r="BN508" s="216"/>
      <c r="BO508" s="216"/>
      <c r="BP508" s="216"/>
      <c r="BQ508" s="216"/>
      <c r="BR508" s="216"/>
    </row>
    <row r="509" spans="1:70" ht="12.75" x14ac:dyDescent="0.2">
      <c r="A509" s="214"/>
      <c r="B509" s="214"/>
      <c r="C509" s="214"/>
      <c r="D509" s="214"/>
      <c r="E509" s="214"/>
      <c r="F509" s="214"/>
      <c r="G509" s="214"/>
      <c r="H509" s="214"/>
      <c r="I509" s="214"/>
      <c r="J509" s="214"/>
      <c r="K509" s="214"/>
      <c r="L509" s="214"/>
      <c r="M509" s="215"/>
      <c r="N509" s="215"/>
      <c r="O509" s="216"/>
      <c r="P509" s="216"/>
      <c r="Q509" s="216"/>
      <c r="R509" s="216"/>
      <c r="S509" s="216"/>
      <c r="T509" s="216"/>
      <c r="U509" s="216"/>
      <c r="V509" s="216"/>
      <c r="W509" s="216"/>
      <c r="X509" s="216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16"/>
      <c r="AN509" s="216"/>
      <c r="AO509" s="216"/>
      <c r="AP509" s="216"/>
      <c r="AQ509" s="216"/>
      <c r="AR509" s="216"/>
      <c r="AS509" s="216"/>
      <c r="AT509" s="216"/>
      <c r="AU509" s="216"/>
      <c r="AV509" s="216"/>
      <c r="AW509" s="216"/>
      <c r="AX509" s="216"/>
      <c r="AY509" s="216"/>
      <c r="AZ509" s="216"/>
      <c r="BA509" s="216"/>
      <c r="BB509" s="216"/>
      <c r="BC509" s="216"/>
      <c r="BD509" s="216"/>
      <c r="BE509" s="216"/>
      <c r="BF509" s="216"/>
      <c r="BG509" s="216"/>
      <c r="BH509" s="216"/>
      <c r="BI509" s="216"/>
      <c r="BJ509" s="216"/>
      <c r="BK509" s="216"/>
      <c r="BL509" s="216"/>
      <c r="BM509" s="216"/>
      <c r="BN509" s="216"/>
      <c r="BO509" s="216"/>
      <c r="BP509" s="216"/>
      <c r="BQ509" s="216"/>
      <c r="BR509" s="216"/>
    </row>
    <row r="510" spans="1:70" ht="12.75" x14ac:dyDescent="0.2">
      <c r="A510" s="214"/>
      <c r="B510" s="214"/>
      <c r="C510" s="214"/>
      <c r="D510" s="214"/>
      <c r="E510" s="214"/>
      <c r="F510" s="214"/>
      <c r="G510" s="214"/>
      <c r="H510" s="214"/>
      <c r="I510" s="214"/>
      <c r="J510" s="214"/>
      <c r="K510" s="214"/>
      <c r="L510" s="214"/>
      <c r="M510" s="215"/>
      <c r="N510" s="215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6"/>
      <c r="BB510" s="216"/>
      <c r="BC510" s="216"/>
      <c r="BD510" s="216"/>
      <c r="BE510" s="216"/>
      <c r="BF510" s="216"/>
      <c r="BG510" s="216"/>
      <c r="BH510" s="216"/>
      <c r="BI510" s="216"/>
      <c r="BJ510" s="216"/>
      <c r="BK510" s="216"/>
      <c r="BL510" s="216"/>
      <c r="BM510" s="216"/>
      <c r="BN510" s="216"/>
      <c r="BO510" s="216"/>
      <c r="BP510" s="216"/>
      <c r="BQ510" s="216"/>
      <c r="BR510" s="216"/>
    </row>
    <row r="511" spans="1:70" ht="12.75" x14ac:dyDescent="0.2">
      <c r="A511" s="214"/>
      <c r="B511" s="214"/>
      <c r="C511" s="214"/>
      <c r="D511" s="214"/>
      <c r="E511" s="214"/>
      <c r="F511" s="214"/>
      <c r="G511" s="214"/>
      <c r="H511" s="214"/>
      <c r="I511" s="214"/>
      <c r="J511" s="214"/>
      <c r="K511" s="214"/>
      <c r="L511" s="214"/>
      <c r="M511" s="215"/>
      <c r="N511" s="215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16"/>
      <c r="AN511" s="216"/>
      <c r="AO511" s="216"/>
      <c r="AP511" s="216"/>
      <c r="AQ511" s="216"/>
      <c r="AR511" s="216"/>
      <c r="AS511" s="216"/>
      <c r="AT511" s="216"/>
      <c r="AU511" s="216"/>
      <c r="AV511" s="216"/>
      <c r="AW511" s="216"/>
      <c r="AX511" s="216"/>
      <c r="AY511" s="216"/>
      <c r="AZ511" s="216"/>
      <c r="BA511" s="216"/>
      <c r="BB511" s="216"/>
      <c r="BC511" s="216"/>
      <c r="BD511" s="216"/>
      <c r="BE511" s="216"/>
      <c r="BF511" s="216"/>
      <c r="BG511" s="216"/>
      <c r="BH511" s="216"/>
      <c r="BI511" s="216"/>
      <c r="BJ511" s="216"/>
      <c r="BK511" s="216"/>
      <c r="BL511" s="216"/>
      <c r="BM511" s="216"/>
      <c r="BN511" s="216"/>
      <c r="BO511" s="216"/>
      <c r="BP511" s="216"/>
      <c r="BQ511" s="216"/>
      <c r="BR511" s="216"/>
    </row>
    <row r="512" spans="1:70" ht="12.75" x14ac:dyDescent="0.2">
      <c r="A512" s="214"/>
      <c r="B512" s="214"/>
      <c r="C512" s="214"/>
      <c r="D512" s="214"/>
      <c r="E512" s="214"/>
      <c r="F512" s="214"/>
      <c r="G512" s="214"/>
      <c r="H512" s="214"/>
      <c r="I512" s="214"/>
      <c r="J512" s="214"/>
      <c r="K512" s="214"/>
      <c r="L512" s="214"/>
      <c r="M512" s="215"/>
      <c r="N512" s="215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6"/>
      <c r="BB512" s="216"/>
      <c r="BC512" s="216"/>
      <c r="BD512" s="216"/>
      <c r="BE512" s="216"/>
      <c r="BF512" s="216"/>
      <c r="BG512" s="216"/>
      <c r="BH512" s="216"/>
      <c r="BI512" s="216"/>
      <c r="BJ512" s="216"/>
      <c r="BK512" s="216"/>
      <c r="BL512" s="216"/>
      <c r="BM512" s="216"/>
      <c r="BN512" s="216"/>
      <c r="BO512" s="216"/>
      <c r="BP512" s="216"/>
      <c r="BQ512" s="216"/>
      <c r="BR512" s="216"/>
    </row>
    <row r="513" spans="1:70" ht="12.75" x14ac:dyDescent="0.2">
      <c r="A513" s="214"/>
      <c r="B513" s="214"/>
      <c r="C513" s="214"/>
      <c r="D513" s="214"/>
      <c r="E513" s="214"/>
      <c r="F513" s="214"/>
      <c r="G513" s="214"/>
      <c r="H513" s="214"/>
      <c r="I513" s="214"/>
      <c r="J513" s="214"/>
      <c r="K513" s="214"/>
      <c r="L513" s="214"/>
      <c r="M513" s="215"/>
      <c r="N513" s="215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16"/>
      <c r="AN513" s="216"/>
      <c r="AO513" s="216"/>
      <c r="AP513" s="216"/>
      <c r="AQ513" s="216"/>
      <c r="AR513" s="216"/>
      <c r="AS513" s="216"/>
      <c r="AT513" s="216"/>
      <c r="AU513" s="216"/>
      <c r="AV513" s="216"/>
      <c r="AW513" s="216"/>
      <c r="AX513" s="216"/>
      <c r="AY513" s="216"/>
      <c r="AZ513" s="216"/>
      <c r="BA513" s="216"/>
      <c r="BB513" s="216"/>
      <c r="BC513" s="216"/>
      <c r="BD513" s="216"/>
      <c r="BE513" s="216"/>
      <c r="BF513" s="216"/>
      <c r="BG513" s="216"/>
      <c r="BH513" s="216"/>
      <c r="BI513" s="216"/>
      <c r="BJ513" s="216"/>
      <c r="BK513" s="216"/>
      <c r="BL513" s="216"/>
      <c r="BM513" s="216"/>
      <c r="BN513" s="216"/>
      <c r="BO513" s="216"/>
      <c r="BP513" s="216"/>
      <c r="BQ513" s="216"/>
      <c r="BR513" s="216"/>
    </row>
    <row r="514" spans="1:70" ht="12.75" x14ac:dyDescent="0.2">
      <c r="A514" s="214"/>
      <c r="B514" s="214"/>
      <c r="C514" s="214"/>
      <c r="D514" s="214"/>
      <c r="E514" s="214"/>
      <c r="F514" s="214"/>
      <c r="G514" s="214"/>
      <c r="H514" s="214"/>
      <c r="I514" s="214"/>
      <c r="J514" s="214"/>
      <c r="K514" s="214"/>
      <c r="L514" s="214"/>
      <c r="M514" s="215"/>
      <c r="N514" s="215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16"/>
      <c r="BB514" s="216"/>
      <c r="BC514" s="216"/>
      <c r="BD514" s="216"/>
      <c r="BE514" s="216"/>
      <c r="BF514" s="216"/>
      <c r="BG514" s="216"/>
      <c r="BH514" s="216"/>
      <c r="BI514" s="216"/>
      <c r="BJ514" s="216"/>
      <c r="BK514" s="216"/>
      <c r="BL514" s="216"/>
      <c r="BM514" s="216"/>
      <c r="BN514" s="216"/>
      <c r="BO514" s="216"/>
      <c r="BP514" s="216"/>
      <c r="BQ514" s="216"/>
      <c r="BR514" s="216"/>
    </row>
    <row r="515" spans="1:70" ht="12.75" x14ac:dyDescent="0.2">
      <c r="A515" s="214"/>
      <c r="B515" s="214"/>
      <c r="C515" s="214"/>
      <c r="D515" s="214"/>
      <c r="E515" s="214"/>
      <c r="F515" s="214"/>
      <c r="G515" s="214"/>
      <c r="H515" s="214"/>
      <c r="I515" s="214"/>
      <c r="J515" s="214"/>
      <c r="K515" s="214"/>
      <c r="L515" s="214"/>
      <c r="M515" s="215"/>
      <c r="N515" s="215"/>
      <c r="O515" s="216"/>
      <c r="P515" s="216"/>
      <c r="Q515" s="216"/>
      <c r="R515" s="216"/>
      <c r="S515" s="216"/>
      <c r="T515" s="216"/>
      <c r="U515" s="216"/>
      <c r="V515" s="216"/>
      <c r="W515" s="216"/>
      <c r="X515" s="216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16"/>
      <c r="AN515" s="216"/>
      <c r="AO515" s="216"/>
      <c r="AP515" s="216"/>
      <c r="AQ515" s="216"/>
      <c r="AR515" s="216"/>
      <c r="AS515" s="216"/>
      <c r="AT515" s="216"/>
      <c r="AU515" s="216"/>
      <c r="AV515" s="216"/>
      <c r="AW515" s="216"/>
      <c r="AX515" s="216"/>
      <c r="AY515" s="216"/>
      <c r="AZ515" s="216"/>
      <c r="BA515" s="216"/>
      <c r="BB515" s="216"/>
      <c r="BC515" s="216"/>
      <c r="BD515" s="216"/>
      <c r="BE515" s="216"/>
      <c r="BF515" s="216"/>
      <c r="BG515" s="216"/>
      <c r="BH515" s="216"/>
      <c r="BI515" s="216"/>
      <c r="BJ515" s="216"/>
      <c r="BK515" s="216"/>
      <c r="BL515" s="216"/>
      <c r="BM515" s="216"/>
      <c r="BN515" s="216"/>
      <c r="BO515" s="216"/>
      <c r="BP515" s="216"/>
      <c r="BQ515" s="216"/>
      <c r="BR515" s="216"/>
    </row>
    <row r="516" spans="1:70" ht="12.75" x14ac:dyDescent="0.2">
      <c r="A516" s="214"/>
      <c r="B516" s="214"/>
      <c r="C516" s="214"/>
      <c r="D516" s="214"/>
      <c r="E516" s="214"/>
      <c r="F516" s="214"/>
      <c r="G516" s="214"/>
      <c r="H516" s="214"/>
      <c r="I516" s="214"/>
      <c r="J516" s="214"/>
      <c r="K516" s="214"/>
      <c r="L516" s="214"/>
      <c r="M516" s="215"/>
      <c r="N516" s="215"/>
      <c r="O516" s="216"/>
      <c r="P516" s="216"/>
      <c r="Q516" s="216"/>
      <c r="R516" s="216"/>
      <c r="S516" s="216"/>
      <c r="T516" s="216"/>
      <c r="U516" s="216"/>
      <c r="V516" s="216"/>
      <c r="W516" s="216"/>
      <c r="X516" s="216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16"/>
      <c r="AN516" s="216"/>
      <c r="AO516" s="216"/>
      <c r="AP516" s="216"/>
      <c r="AQ516" s="216"/>
      <c r="AR516" s="216"/>
      <c r="AS516" s="216"/>
      <c r="AT516" s="216"/>
      <c r="AU516" s="216"/>
      <c r="AV516" s="216"/>
      <c r="AW516" s="216"/>
      <c r="AX516" s="216"/>
      <c r="AY516" s="216"/>
      <c r="AZ516" s="216"/>
      <c r="BA516" s="216"/>
      <c r="BB516" s="216"/>
      <c r="BC516" s="216"/>
      <c r="BD516" s="216"/>
      <c r="BE516" s="216"/>
      <c r="BF516" s="216"/>
      <c r="BG516" s="216"/>
      <c r="BH516" s="216"/>
      <c r="BI516" s="216"/>
      <c r="BJ516" s="216"/>
      <c r="BK516" s="216"/>
      <c r="BL516" s="216"/>
      <c r="BM516" s="216"/>
      <c r="BN516" s="216"/>
      <c r="BO516" s="216"/>
      <c r="BP516" s="216"/>
      <c r="BQ516" s="216"/>
      <c r="BR516" s="216"/>
    </row>
    <row r="517" spans="1:70" ht="12.75" x14ac:dyDescent="0.2">
      <c r="A517" s="214"/>
      <c r="B517" s="214"/>
      <c r="C517" s="214"/>
      <c r="D517" s="214"/>
      <c r="E517" s="214"/>
      <c r="F517" s="214"/>
      <c r="G517" s="214"/>
      <c r="H517" s="214"/>
      <c r="I517" s="214"/>
      <c r="J517" s="214"/>
      <c r="K517" s="214"/>
      <c r="L517" s="214"/>
      <c r="M517" s="215"/>
      <c r="N517" s="215"/>
      <c r="O517" s="216"/>
      <c r="P517" s="216"/>
      <c r="Q517" s="216"/>
      <c r="R517" s="216"/>
      <c r="S517" s="216"/>
      <c r="T517" s="216"/>
      <c r="U517" s="216"/>
      <c r="V517" s="216"/>
      <c r="W517" s="216"/>
      <c r="X517" s="216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16"/>
      <c r="AN517" s="216"/>
      <c r="AO517" s="216"/>
      <c r="AP517" s="216"/>
      <c r="AQ517" s="216"/>
      <c r="AR517" s="216"/>
      <c r="AS517" s="216"/>
      <c r="AT517" s="216"/>
      <c r="AU517" s="216"/>
      <c r="AV517" s="216"/>
      <c r="AW517" s="216"/>
      <c r="AX517" s="216"/>
      <c r="AY517" s="216"/>
      <c r="AZ517" s="216"/>
      <c r="BA517" s="216"/>
      <c r="BB517" s="216"/>
      <c r="BC517" s="216"/>
      <c r="BD517" s="216"/>
      <c r="BE517" s="216"/>
      <c r="BF517" s="216"/>
      <c r="BG517" s="216"/>
      <c r="BH517" s="216"/>
      <c r="BI517" s="216"/>
      <c r="BJ517" s="216"/>
      <c r="BK517" s="216"/>
      <c r="BL517" s="216"/>
      <c r="BM517" s="216"/>
      <c r="BN517" s="216"/>
      <c r="BO517" s="216"/>
      <c r="BP517" s="216"/>
      <c r="BQ517" s="216"/>
      <c r="BR517" s="216"/>
    </row>
    <row r="518" spans="1:70" ht="12.75" x14ac:dyDescent="0.2">
      <c r="A518" s="214"/>
      <c r="B518" s="214"/>
      <c r="C518" s="214"/>
      <c r="D518" s="214"/>
      <c r="E518" s="214"/>
      <c r="F518" s="214"/>
      <c r="G518" s="214"/>
      <c r="H518" s="214"/>
      <c r="I518" s="214"/>
      <c r="J518" s="214"/>
      <c r="K518" s="214"/>
      <c r="L518" s="214"/>
      <c r="M518" s="215"/>
      <c r="N518" s="215"/>
      <c r="O518" s="216"/>
      <c r="P518" s="216"/>
      <c r="Q518" s="216"/>
      <c r="R518" s="216"/>
      <c r="S518" s="216"/>
      <c r="T518" s="216"/>
      <c r="U518" s="216"/>
      <c r="V518" s="216"/>
      <c r="W518" s="216"/>
      <c r="X518" s="216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16"/>
      <c r="AN518" s="216"/>
      <c r="AO518" s="216"/>
      <c r="AP518" s="216"/>
      <c r="AQ518" s="216"/>
      <c r="AR518" s="216"/>
      <c r="AS518" s="216"/>
      <c r="AT518" s="216"/>
      <c r="AU518" s="216"/>
      <c r="AV518" s="216"/>
      <c r="AW518" s="216"/>
      <c r="AX518" s="216"/>
      <c r="AY518" s="216"/>
      <c r="AZ518" s="216"/>
      <c r="BA518" s="216"/>
      <c r="BB518" s="216"/>
      <c r="BC518" s="216"/>
      <c r="BD518" s="216"/>
      <c r="BE518" s="216"/>
      <c r="BF518" s="216"/>
      <c r="BG518" s="216"/>
      <c r="BH518" s="216"/>
      <c r="BI518" s="216"/>
      <c r="BJ518" s="216"/>
      <c r="BK518" s="216"/>
      <c r="BL518" s="216"/>
      <c r="BM518" s="216"/>
      <c r="BN518" s="216"/>
      <c r="BO518" s="216"/>
      <c r="BP518" s="216"/>
      <c r="BQ518" s="216"/>
      <c r="BR518" s="216"/>
    </row>
    <row r="519" spans="1:70" ht="12.75" x14ac:dyDescent="0.2">
      <c r="A519" s="214"/>
      <c r="B519" s="214"/>
      <c r="C519" s="214"/>
      <c r="D519" s="214"/>
      <c r="E519" s="214"/>
      <c r="F519" s="214"/>
      <c r="G519" s="214"/>
      <c r="H519" s="214"/>
      <c r="I519" s="214"/>
      <c r="J519" s="214"/>
      <c r="K519" s="214"/>
      <c r="L519" s="214"/>
      <c r="M519" s="215"/>
      <c r="N519" s="215"/>
      <c r="O519" s="216"/>
      <c r="P519" s="216"/>
      <c r="Q519" s="216"/>
      <c r="R519" s="216"/>
      <c r="S519" s="216"/>
      <c r="T519" s="216"/>
      <c r="U519" s="216"/>
      <c r="V519" s="216"/>
      <c r="W519" s="216"/>
      <c r="X519" s="216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16"/>
      <c r="AN519" s="216"/>
      <c r="AO519" s="216"/>
      <c r="AP519" s="216"/>
      <c r="AQ519" s="216"/>
      <c r="AR519" s="216"/>
      <c r="AS519" s="216"/>
      <c r="AT519" s="216"/>
      <c r="AU519" s="216"/>
      <c r="AV519" s="216"/>
      <c r="AW519" s="216"/>
      <c r="AX519" s="216"/>
      <c r="AY519" s="216"/>
      <c r="AZ519" s="216"/>
      <c r="BA519" s="216"/>
      <c r="BB519" s="216"/>
      <c r="BC519" s="216"/>
      <c r="BD519" s="216"/>
      <c r="BE519" s="216"/>
      <c r="BF519" s="216"/>
      <c r="BG519" s="216"/>
      <c r="BH519" s="216"/>
      <c r="BI519" s="216"/>
      <c r="BJ519" s="216"/>
      <c r="BK519" s="216"/>
      <c r="BL519" s="216"/>
      <c r="BM519" s="216"/>
      <c r="BN519" s="216"/>
      <c r="BO519" s="216"/>
      <c r="BP519" s="216"/>
      <c r="BQ519" s="216"/>
      <c r="BR519" s="216"/>
    </row>
    <row r="520" spans="1:70" ht="12.75" x14ac:dyDescent="0.2">
      <c r="A520" s="214"/>
      <c r="B520" s="214"/>
      <c r="C520" s="214"/>
      <c r="D520" s="214"/>
      <c r="E520" s="214"/>
      <c r="F520" s="214"/>
      <c r="G520" s="214"/>
      <c r="H520" s="214"/>
      <c r="I520" s="214"/>
      <c r="J520" s="214"/>
      <c r="K520" s="214"/>
      <c r="L520" s="214"/>
      <c r="M520" s="215"/>
      <c r="N520" s="215"/>
      <c r="O520" s="216"/>
      <c r="P520" s="216"/>
      <c r="Q520" s="216"/>
      <c r="R520" s="216"/>
      <c r="S520" s="216"/>
      <c r="T520" s="216"/>
      <c r="U520" s="216"/>
      <c r="V520" s="216"/>
      <c r="W520" s="216"/>
      <c r="X520" s="216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16"/>
      <c r="AN520" s="216"/>
      <c r="AO520" s="216"/>
      <c r="AP520" s="216"/>
      <c r="AQ520" s="216"/>
      <c r="AR520" s="216"/>
      <c r="AS520" s="216"/>
      <c r="AT520" s="216"/>
      <c r="AU520" s="216"/>
      <c r="AV520" s="216"/>
      <c r="AW520" s="216"/>
      <c r="AX520" s="216"/>
      <c r="AY520" s="216"/>
      <c r="AZ520" s="216"/>
      <c r="BA520" s="216"/>
      <c r="BB520" s="216"/>
      <c r="BC520" s="216"/>
      <c r="BD520" s="216"/>
      <c r="BE520" s="216"/>
      <c r="BF520" s="216"/>
      <c r="BG520" s="216"/>
      <c r="BH520" s="216"/>
      <c r="BI520" s="216"/>
      <c r="BJ520" s="216"/>
      <c r="BK520" s="216"/>
      <c r="BL520" s="216"/>
      <c r="BM520" s="216"/>
      <c r="BN520" s="216"/>
      <c r="BO520" s="216"/>
      <c r="BP520" s="216"/>
      <c r="BQ520" s="216"/>
      <c r="BR520" s="216"/>
    </row>
    <row r="521" spans="1:70" ht="12.75" x14ac:dyDescent="0.2">
      <c r="A521" s="214"/>
      <c r="B521" s="214"/>
      <c r="C521" s="214"/>
      <c r="D521" s="214"/>
      <c r="E521" s="214"/>
      <c r="F521" s="214"/>
      <c r="G521" s="214"/>
      <c r="H521" s="214"/>
      <c r="I521" s="214"/>
      <c r="J521" s="214"/>
      <c r="K521" s="214"/>
      <c r="L521" s="214"/>
      <c r="M521" s="215"/>
      <c r="N521" s="215"/>
      <c r="O521" s="216"/>
      <c r="P521" s="216"/>
      <c r="Q521" s="216"/>
      <c r="R521" s="216"/>
      <c r="S521" s="216"/>
      <c r="T521" s="216"/>
      <c r="U521" s="216"/>
      <c r="V521" s="216"/>
      <c r="W521" s="216"/>
      <c r="X521" s="216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16"/>
      <c r="AN521" s="216"/>
      <c r="AO521" s="216"/>
      <c r="AP521" s="216"/>
      <c r="AQ521" s="216"/>
      <c r="AR521" s="216"/>
      <c r="AS521" s="216"/>
      <c r="AT521" s="216"/>
      <c r="AU521" s="216"/>
      <c r="AV521" s="216"/>
      <c r="AW521" s="216"/>
      <c r="AX521" s="216"/>
      <c r="AY521" s="216"/>
      <c r="AZ521" s="216"/>
      <c r="BA521" s="216"/>
      <c r="BB521" s="216"/>
      <c r="BC521" s="216"/>
      <c r="BD521" s="216"/>
      <c r="BE521" s="216"/>
      <c r="BF521" s="216"/>
      <c r="BG521" s="216"/>
      <c r="BH521" s="216"/>
      <c r="BI521" s="216"/>
      <c r="BJ521" s="216"/>
      <c r="BK521" s="216"/>
      <c r="BL521" s="216"/>
      <c r="BM521" s="216"/>
      <c r="BN521" s="216"/>
      <c r="BO521" s="216"/>
      <c r="BP521" s="216"/>
      <c r="BQ521" s="216"/>
      <c r="BR521" s="216"/>
    </row>
    <row r="522" spans="1:70" ht="12.75" x14ac:dyDescent="0.2">
      <c r="A522" s="214"/>
      <c r="B522" s="214"/>
      <c r="C522" s="214"/>
      <c r="D522" s="214"/>
      <c r="E522" s="214"/>
      <c r="F522" s="214"/>
      <c r="G522" s="214"/>
      <c r="H522" s="214"/>
      <c r="I522" s="214"/>
      <c r="J522" s="214"/>
      <c r="K522" s="214"/>
      <c r="L522" s="214"/>
      <c r="M522" s="215"/>
      <c r="N522" s="215"/>
      <c r="O522" s="216"/>
      <c r="P522" s="216"/>
      <c r="Q522" s="216"/>
      <c r="R522" s="216"/>
      <c r="S522" s="216"/>
      <c r="T522" s="216"/>
      <c r="U522" s="216"/>
      <c r="V522" s="216"/>
      <c r="W522" s="216"/>
      <c r="X522" s="216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16"/>
      <c r="AN522" s="216"/>
      <c r="AO522" s="216"/>
      <c r="AP522" s="216"/>
      <c r="AQ522" s="216"/>
      <c r="AR522" s="216"/>
      <c r="AS522" s="216"/>
      <c r="AT522" s="216"/>
      <c r="AU522" s="216"/>
      <c r="AV522" s="216"/>
      <c r="AW522" s="216"/>
      <c r="AX522" s="216"/>
      <c r="AY522" s="216"/>
      <c r="AZ522" s="216"/>
      <c r="BA522" s="216"/>
      <c r="BB522" s="216"/>
      <c r="BC522" s="216"/>
      <c r="BD522" s="216"/>
      <c r="BE522" s="216"/>
      <c r="BF522" s="216"/>
      <c r="BG522" s="216"/>
      <c r="BH522" s="216"/>
      <c r="BI522" s="216"/>
      <c r="BJ522" s="216"/>
      <c r="BK522" s="216"/>
      <c r="BL522" s="216"/>
      <c r="BM522" s="216"/>
      <c r="BN522" s="216"/>
      <c r="BO522" s="216"/>
      <c r="BP522" s="216"/>
      <c r="BQ522" s="216"/>
      <c r="BR522" s="216"/>
    </row>
    <row r="523" spans="1:70" ht="12.75" x14ac:dyDescent="0.2">
      <c r="A523" s="214"/>
      <c r="B523" s="214"/>
      <c r="C523" s="214"/>
      <c r="D523" s="214"/>
      <c r="E523" s="214"/>
      <c r="F523" s="214"/>
      <c r="G523" s="214"/>
      <c r="H523" s="214"/>
      <c r="I523" s="214"/>
      <c r="J523" s="214"/>
      <c r="K523" s="214"/>
      <c r="L523" s="214"/>
      <c r="M523" s="215"/>
      <c r="N523" s="215"/>
      <c r="O523" s="216"/>
      <c r="P523" s="216"/>
      <c r="Q523" s="216"/>
      <c r="R523" s="216"/>
      <c r="S523" s="216"/>
      <c r="T523" s="216"/>
      <c r="U523" s="216"/>
      <c r="V523" s="216"/>
      <c r="W523" s="216"/>
      <c r="X523" s="216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16"/>
      <c r="AN523" s="216"/>
      <c r="AO523" s="216"/>
      <c r="AP523" s="216"/>
      <c r="AQ523" s="216"/>
      <c r="AR523" s="216"/>
      <c r="AS523" s="216"/>
      <c r="AT523" s="216"/>
      <c r="AU523" s="216"/>
      <c r="AV523" s="216"/>
      <c r="AW523" s="216"/>
      <c r="AX523" s="216"/>
      <c r="AY523" s="216"/>
      <c r="AZ523" s="216"/>
      <c r="BA523" s="216"/>
      <c r="BB523" s="216"/>
      <c r="BC523" s="216"/>
      <c r="BD523" s="216"/>
      <c r="BE523" s="216"/>
      <c r="BF523" s="216"/>
      <c r="BG523" s="216"/>
      <c r="BH523" s="216"/>
      <c r="BI523" s="216"/>
      <c r="BJ523" s="216"/>
      <c r="BK523" s="216"/>
      <c r="BL523" s="216"/>
      <c r="BM523" s="216"/>
      <c r="BN523" s="216"/>
      <c r="BO523" s="216"/>
      <c r="BP523" s="216"/>
      <c r="BQ523" s="216"/>
      <c r="BR523" s="216"/>
    </row>
    <row r="524" spans="1:70" ht="12.75" x14ac:dyDescent="0.2">
      <c r="A524" s="214"/>
      <c r="B524" s="214"/>
      <c r="C524" s="214"/>
      <c r="D524" s="214"/>
      <c r="E524" s="214"/>
      <c r="F524" s="214"/>
      <c r="G524" s="214"/>
      <c r="H524" s="214"/>
      <c r="I524" s="214"/>
      <c r="J524" s="214"/>
      <c r="K524" s="214"/>
      <c r="L524" s="214"/>
      <c r="M524" s="215"/>
      <c r="N524" s="215"/>
      <c r="O524" s="216"/>
      <c r="P524" s="216"/>
      <c r="Q524" s="216"/>
      <c r="R524" s="216"/>
      <c r="S524" s="216"/>
      <c r="T524" s="216"/>
      <c r="U524" s="216"/>
      <c r="V524" s="216"/>
      <c r="W524" s="216"/>
      <c r="X524" s="216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16"/>
      <c r="AN524" s="216"/>
      <c r="AO524" s="216"/>
      <c r="AP524" s="216"/>
      <c r="AQ524" s="216"/>
      <c r="AR524" s="216"/>
      <c r="AS524" s="216"/>
      <c r="AT524" s="216"/>
      <c r="AU524" s="216"/>
      <c r="AV524" s="216"/>
      <c r="AW524" s="216"/>
      <c r="AX524" s="216"/>
      <c r="AY524" s="216"/>
      <c r="AZ524" s="216"/>
      <c r="BA524" s="216"/>
      <c r="BB524" s="216"/>
      <c r="BC524" s="216"/>
      <c r="BD524" s="216"/>
      <c r="BE524" s="216"/>
      <c r="BF524" s="216"/>
      <c r="BG524" s="216"/>
      <c r="BH524" s="216"/>
      <c r="BI524" s="216"/>
      <c r="BJ524" s="216"/>
      <c r="BK524" s="216"/>
      <c r="BL524" s="216"/>
      <c r="BM524" s="216"/>
      <c r="BN524" s="216"/>
      <c r="BO524" s="216"/>
      <c r="BP524" s="216"/>
      <c r="BQ524" s="216"/>
      <c r="BR524" s="216"/>
    </row>
    <row r="525" spans="1:70" ht="12.75" x14ac:dyDescent="0.2">
      <c r="A525" s="214"/>
      <c r="B525" s="214"/>
      <c r="C525" s="214"/>
      <c r="D525" s="214"/>
      <c r="E525" s="214"/>
      <c r="F525" s="214"/>
      <c r="G525" s="214"/>
      <c r="H525" s="214"/>
      <c r="I525" s="214"/>
      <c r="J525" s="214"/>
      <c r="K525" s="214"/>
      <c r="L525" s="214"/>
      <c r="M525" s="215"/>
      <c r="N525" s="215"/>
      <c r="O525" s="216"/>
      <c r="P525" s="216"/>
      <c r="Q525" s="216"/>
      <c r="R525" s="216"/>
      <c r="S525" s="216"/>
      <c r="T525" s="216"/>
      <c r="U525" s="216"/>
      <c r="V525" s="216"/>
      <c r="W525" s="216"/>
      <c r="X525" s="216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16"/>
      <c r="AN525" s="216"/>
      <c r="AO525" s="216"/>
      <c r="AP525" s="216"/>
      <c r="AQ525" s="216"/>
      <c r="AR525" s="216"/>
      <c r="AS525" s="216"/>
      <c r="AT525" s="216"/>
      <c r="AU525" s="216"/>
      <c r="AV525" s="216"/>
      <c r="AW525" s="216"/>
      <c r="AX525" s="216"/>
      <c r="AY525" s="216"/>
      <c r="AZ525" s="216"/>
      <c r="BA525" s="216"/>
      <c r="BB525" s="216"/>
      <c r="BC525" s="216"/>
      <c r="BD525" s="216"/>
      <c r="BE525" s="216"/>
      <c r="BF525" s="216"/>
      <c r="BG525" s="216"/>
      <c r="BH525" s="216"/>
      <c r="BI525" s="216"/>
      <c r="BJ525" s="216"/>
      <c r="BK525" s="216"/>
      <c r="BL525" s="216"/>
      <c r="BM525" s="216"/>
      <c r="BN525" s="216"/>
      <c r="BO525" s="216"/>
      <c r="BP525" s="216"/>
      <c r="BQ525" s="216"/>
      <c r="BR525" s="216"/>
    </row>
    <row r="526" spans="1:70" ht="12.75" x14ac:dyDescent="0.2">
      <c r="A526" s="214"/>
      <c r="B526" s="214"/>
      <c r="C526" s="214"/>
      <c r="D526" s="214"/>
      <c r="E526" s="214"/>
      <c r="F526" s="214"/>
      <c r="G526" s="214"/>
      <c r="H526" s="214"/>
      <c r="I526" s="214"/>
      <c r="J526" s="214"/>
      <c r="K526" s="214"/>
      <c r="L526" s="214"/>
      <c r="M526" s="215"/>
      <c r="N526" s="215"/>
      <c r="O526" s="216"/>
      <c r="P526" s="216"/>
      <c r="Q526" s="216"/>
      <c r="R526" s="216"/>
      <c r="S526" s="216"/>
      <c r="T526" s="216"/>
      <c r="U526" s="216"/>
      <c r="V526" s="216"/>
      <c r="W526" s="216"/>
      <c r="X526" s="216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16"/>
      <c r="AN526" s="216"/>
      <c r="AO526" s="216"/>
      <c r="AP526" s="216"/>
      <c r="AQ526" s="216"/>
      <c r="AR526" s="216"/>
      <c r="AS526" s="216"/>
      <c r="AT526" s="216"/>
      <c r="AU526" s="216"/>
      <c r="AV526" s="216"/>
      <c r="AW526" s="216"/>
      <c r="AX526" s="216"/>
      <c r="AY526" s="216"/>
      <c r="AZ526" s="216"/>
      <c r="BA526" s="216"/>
      <c r="BB526" s="216"/>
      <c r="BC526" s="216"/>
      <c r="BD526" s="216"/>
      <c r="BE526" s="216"/>
      <c r="BF526" s="216"/>
      <c r="BG526" s="216"/>
      <c r="BH526" s="216"/>
      <c r="BI526" s="216"/>
      <c r="BJ526" s="216"/>
      <c r="BK526" s="216"/>
      <c r="BL526" s="216"/>
      <c r="BM526" s="216"/>
      <c r="BN526" s="216"/>
      <c r="BO526" s="216"/>
      <c r="BP526" s="216"/>
      <c r="BQ526" s="216"/>
      <c r="BR526" s="216"/>
    </row>
    <row r="527" spans="1:70" ht="12.75" x14ac:dyDescent="0.2">
      <c r="A527" s="214"/>
      <c r="B527" s="214"/>
      <c r="C527" s="214"/>
      <c r="D527" s="214"/>
      <c r="E527" s="214"/>
      <c r="F527" s="214"/>
      <c r="G527" s="214"/>
      <c r="H527" s="214"/>
      <c r="I527" s="214"/>
      <c r="J527" s="214"/>
      <c r="K527" s="214"/>
      <c r="L527" s="214"/>
      <c r="M527" s="215"/>
      <c r="N527" s="215"/>
      <c r="O527" s="216"/>
      <c r="P527" s="216"/>
      <c r="Q527" s="216"/>
      <c r="R527" s="216"/>
      <c r="S527" s="216"/>
      <c r="T527" s="216"/>
      <c r="U527" s="216"/>
      <c r="V527" s="216"/>
      <c r="W527" s="216"/>
      <c r="X527" s="216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16"/>
      <c r="AN527" s="216"/>
      <c r="AO527" s="216"/>
      <c r="AP527" s="216"/>
      <c r="AQ527" s="216"/>
      <c r="AR527" s="216"/>
      <c r="AS527" s="216"/>
      <c r="AT527" s="216"/>
      <c r="AU527" s="216"/>
      <c r="AV527" s="216"/>
      <c r="AW527" s="216"/>
      <c r="AX527" s="216"/>
      <c r="AY527" s="216"/>
      <c r="AZ527" s="216"/>
      <c r="BA527" s="216"/>
      <c r="BB527" s="216"/>
      <c r="BC527" s="216"/>
      <c r="BD527" s="216"/>
      <c r="BE527" s="216"/>
      <c r="BF527" s="216"/>
      <c r="BG527" s="216"/>
      <c r="BH527" s="216"/>
      <c r="BI527" s="216"/>
      <c r="BJ527" s="216"/>
      <c r="BK527" s="216"/>
      <c r="BL527" s="216"/>
      <c r="BM527" s="216"/>
      <c r="BN527" s="216"/>
      <c r="BO527" s="216"/>
      <c r="BP527" s="216"/>
      <c r="BQ527" s="216"/>
      <c r="BR527" s="216"/>
    </row>
    <row r="528" spans="1:70" ht="12.75" x14ac:dyDescent="0.2">
      <c r="A528" s="214"/>
      <c r="B528" s="214"/>
      <c r="C528" s="214"/>
      <c r="D528" s="214"/>
      <c r="E528" s="214"/>
      <c r="F528" s="214"/>
      <c r="G528" s="214"/>
      <c r="H528" s="214"/>
      <c r="I528" s="214"/>
      <c r="J528" s="214"/>
      <c r="K528" s="214"/>
      <c r="L528" s="214"/>
      <c r="M528" s="215"/>
      <c r="N528" s="215"/>
      <c r="O528" s="216"/>
      <c r="P528" s="216"/>
      <c r="Q528" s="216"/>
      <c r="R528" s="216"/>
      <c r="S528" s="216"/>
      <c r="T528" s="216"/>
      <c r="U528" s="216"/>
      <c r="V528" s="216"/>
      <c r="W528" s="216"/>
      <c r="X528" s="216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16"/>
      <c r="AN528" s="216"/>
      <c r="AO528" s="216"/>
      <c r="AP528" s="216"/>
      <c r="AQ528" s="216"/>
      <c r="AR528" s="216"/>
      <c r="AS528" s="216"/>
      <c r="AT528" s="216"/>
      <c r="AU528" s="216"/>
      <c r="AV528" s="216"/>
      <c r="AW528" s="216"/>
      <c r="AX528" s="216"/>
      <c r="AY528" s="216"/>
      <c r="AZ528" s="216"/>
      <c r="BA528" s="216"/>
      <c r="BB528" s="216"/>
      <c r="BC528" s="216"/>
      <c r="BD528" s="216"/>
      <c r="BE528" s="216"/>
      <c r="BF528" s="216"/>
      <c r="BG528" s="216"/>
      <c r="BH528" s="216"/>
      <c r="BI528" s="216"/>
      <c r="BJ528" s="216"/>
      <c r="BK528" s="216"/>
      <c r="BL528" s="216"/>
      <c r="BM528" s="216"/>
      <c r="BN528" s="216"/>
      <c r="BO528" s="216"/>
      <c r="BP528" s="216"/>
      <c r="BQ528" s="216"/>
      <c r="BR528" s="216"/>
    </row>
    <row r="529" spans="1:70" ht="12.75" x14ac:dyDescent="0.2">
      <c r="A529" s="214"/>
      <c r="B529" s="214"/>
      <c r="C529" s="214"/>
      <c r="D529" s="214"/>
      <c r="E529" s="214"/>
      <c r="F529" s="214"/>
      <c r="G529" s="214"/>
      <c r="H529" s="214"/>
      <c r="I529" s="214"/>
      <c r="J529" s="214"/>
      <c r="K529" s="214"/>
      <c r="L529" s="214"/>
      <c r="M529" s="215"/>
      <c r="N529" s="215"/>
      <c r="O529" s="216"/>
      <c r="P529" s="216"/>
      <c r="Q529" s="216"/>
      <c r="R529" s="216"/>
      <c r="S529" s="216"/>
      <c r="T529" s="216"/>
      <c r="U529" s="216"/>
      <c r="V529" s="216"/>
      <c r="W529" s="216"/>
      <c r="X529" s="216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16"/>
      <c r="AN529" s="216"/>
      <c r="AO529" s="216"/>
      <c r="AP529" s="216"/>
      <c r="AQ529" s="216"/>
      <c r="AR529" s="216"/>
      <c r="AS529" s="216"/>
      <c r="AT529" s="216"/>
      <c r="AU529" s="216"/>
      <c r="AV529" s="216"/>
      <c r="AW529" s="216"/>
      <c r="AX529" s="216"/>
      <c r="AY529" s="216"/>
      <c r="AZ529" s="216"/>
      <c r="BA529" s="216"/>
      <c r="BB529" s="216"/>
      <c r="BC529" s="216"/>
      <c r="BD529" s="216"/>
      <c r="BE529" s="216"/>
      <c r="BF529" s="216"/>
      <c r="BG529" s="216"/>
      <c r="BH529" s="216"/>
      <c r="BI529" s="216"/>
      <c r="BJ529" s="216"/>
      <c r="BK529" s="216"/>
      <c r="BL529" s="216"/>
      <c r="BM529" s="216"/>
      <c r="BN529" s="216"/>
      <c r="BO529" s="216"/>
      <c r="BP529" s="216"/>
      <c r="BQ529" s="216"/>
      <c r="BR529" s="216"/>
    </row>
    <row r="530" spans="1:70" ht="12.75" x14ac:dyDescent="0.2">
      <c r="A530" s="214"/>
      <c r="B530" s="214"/>
      <c r="C530" s="214"/>
      <c r="D530" s="214"/>
      <c r="E530" s="214"/>
      <c r="F530" s="214"/>
      <c r="G530" s="214"/>
      <c r="H530" s="214"/>
      <c r="I530" s="214"/>
      <c r="J530" s="214"/>
      <c r="K530" s="214"/>
      <c r="L530" s="214"/>
      <c r="M530" s="215"/>
      <c r="N530" s="215"/>
      <c r="O530" s="216"/>
      <c r="P530" s="216"/>
      <c r="Q530" s="216"/>
      <c r="R530" s="216"/>
      <c r="S530" s="216"/>
      <c r="T530" s="216"/>
      <c r="U530" s="216"/>
      <c r="V530" s="216"/>
      <c r="W530" s="216"/>
      <c r="X530" s="216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16"/>
      <c r="AN530" s="216"/>
      <c r="AO530" s="216"/>
      <c r="AP530" s="216"/>
      <c r="AQ530" s="216"/>
      <c r="AR530" s="216"/>
      <c r="AS530" s="216"/>
      <c r="AT530" s="216"/>
      <c r="AU530" s="216"/>
      <c r="AV530" s="216"/>
      <c r="AW530" s="216"/>
      <c r="AX530" s="216"/>
      <c r="AY530" s="216"/>
      <c r="AZ530" s="216"/>
      <c r="BA530" s="216"/>
      <c r="BB530" s="216"/>
      <c r="BC530" s="216"/>
      <c r="BD530" s="216"/>
      <c r="BE530" s="216"/>
      <c r="BF530" s="216"/>
      <c r="BG530" s="216"/>
      <c r="BH530" s="216"/>
      <c r="BI530" s="216"/>
      <c r="BJ530" s="216"/>
      <c r="BK530" s="216"/>
      <c r="BL530" s="216"/>
      <c r="BM530" s="216"/>
      <c r="BN530" s="216"/>
      <c r="BO530" s="216"/>
      <c r="BP530" s="216"/>
      <c r="BQ530" s="216"/>
      <c r="BR530" s="216"/>
    </row>
    <row r="531" spans="1:70" ht="12.75" x14ac:dyDescent="0.2">
      <c r="A531" s="214"/>
      <c r="B531" s="214"/>
      <c r="C531" s="214"/>
      <c r="D531" s="214"/>
      <c r="E531" s="214"/>
      <c r="F531" s="214"/>
      <c r="G531" s="214"/>
      <c r="H531" s="214"/>
      <c r="I531" s="214"/>
      <c r="J531" s="214"/>
      <c r="K531" s="214"/>
      <c r="L531" s="214"/>
      <c r="M531" s="215"/>
      <c r="N531" s="215"/>
      <c r="O531" s="216"/>
      <c r="P531" s="216"/>
      <c r="Q531" s="216"/>
      <c r="R531" s="216"/>
      <c r="S531" s="216"/>
      <c r="T531" s="216"/>
      <c r="U531" s="216"/>
      <c r="V531" s="216"/>
      <c r="W531" s="216"/>
      <c r="X531" s="216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16"/>
      <c r="AN531" s="216"/>
      <c r="AO531" s="216"/>
      <c r="AP531" s="216"/>
      <c r="AQ531" s="216"/>
      <c r="AR531" s="216"/>
      <c r="AS531" s="216"/>
      <c r="AT531" s="216"/>
      <c r="AU531" s="216"/>
      <c r="AV531" s="216"/>
      <c r="AW531" s="216"/>
      <c r="AX531" s="216"/>
      <c r="AY531" s="216"/>
      <c r="AZ531" s="216"/>
      <c r="BA531" s="216"/>
      <c r="BB531" s="216"/>
      <c r="BC531" s="216"/>
      <c r="BD531" s="216"/>
      <c r="BE531" s="216"/>
      <c r="BF531" s="216"/>
      <c r="BG531" s="216"/>
      <c r="BH531" s="216"/>
      <c r="BI531" s="216"/>
      <c r="BJ531" s="216"/>
      <c r="BK531" s="216"/>
      <c r="BL531" s="216"/>
      <c r="BM531" s="216"/>
      <c r="BN531" s="216"/>
      <c r="BO531" s="216"/>
      <c r="BP531" s="216"/>
      <c r="BQ531" s="216"/>
      <c r="BR531" s="216"/>
    </row>
    <row r="532" spans="1:70" ht="12.75" x14ac:dyDescent="0.2">
      <c r="A532" s="214"/>
      <c r="B532" s="214"/>
      <c r="C532" s="214"/>
      <c r="D532" s="214"/>
      <c r="E532" s="214"/>
      <c r="F532" s="214"/>
      <c r="G532" s="214"/>
      <c r="H532" s="214"/>
      <c r="I532" s="214"/>
      <c r="J532" s="214"/>
      <c r="K532" s="214"/>
      <c r="L532" s="214"/>
      <c r="M532" s="215"/>
      <c r="N532" s="215"/>
      <c r="O532" s="216"/>
      <c r="P532" s="216"/>
      <c r="Q532" s="216"/>
      <c r="R532" s="216"/>
      <c r="S532" s="216"/>
      <c r="T532" s="216"/>
      <c r="U532" s="216"/>
      <c r="V532" s="216"/>
      <c r="W532" s="216"/>
      <c r="X532" s="216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16"/>
      <c r="AN532" s="216"/>
      <c r="AO532" s="216"/>
      <c r="AP532" s="216"/>
      <c r="AQ532" s="216"/>
      <c r="AR532" s="216"/>
      <c r="AS532" s="216"/>
      <c r="AT532" s="216"/>
      <c r="AU532" s="216"/>
      <c r="AV532" s="216"/>
      <c r="AW532" s="216"/>
      <c r="AX532" s="216"/>
      <c r="AY532" s="216"/>
      <c r="AZ532" s="216"/>
      <c r="BA532" s="216"/>
      <c r="BB532" s="216"/>
      <c r="BC532" s="216"/>
      <c r="BD532" s="216"/>
      <c r="BE532" s="216"/>
      <c r="BF532" s="216"/>
      <c r="BG532" s="216"/>
      <c r="BH532" s="216"/>
      <c r="BI532" s="216"/>
      <c r="BJ532" s="216"/>
      <c r="BK532" s="216"/>
      <c r="BL532" s="216"/>
      <c r="BM532" s="216"/>
      <c r="BN532" s="216"/>
      <c r="BO532" s="216"/>
      <c r="BP532" s="216"/>
      <c r="BQ532" s="216"/>
      <c r="BR532" s="216"/>
    </row>
    <row r="533" spans="1:70" ht="12.75" x14ac:dyDescent="0.2">
      <c r="A533" s="214"/>
      <c r="B533" s="214"/>
      <c r="C533" s="214"/>
      <c r="D533" s="214"/>
      <c r="E533" s="214"/>
      <c r="F533" s="214"/>
      <c r="G533" s="214"/>
      <c r="H533" s="214"/>
      <c r="I533" s="214"/>
      <c r="J533" s="214"/>
      <c r="K533" s="214"/>
      <c r="L533" s="214"/>
      <c r="M533" s="215"/>
      <c r="N533" s="215"/>
      <c r="O533" s="216"/>
      <c r="P533" s="216"/>
      <c r="Q533" s="216"/>
      <c r="R533" s="216"/>
      <c r="S533" s="216"/>
      <c r="T533" s="216"/>
      <c r="U533" s="216"/>
      <c r="V533" s="216"/>
      <c r="W533" s="216"/>
      <c r="X533" s="216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16"/>
      <c r="AN533" s="216"/>
      <c r="AO533" s="216"/>
      <c r="AP533" s="216"/>
      <c r="AQ533" s="216"/>
      <c r="AR533" s="216"/>
      <c r="AS533" s="216"/>
      <c r="AT533" s="216"/>
      <c r="AU533" s="216"/>
      <c r="AV533" s="216"/>
      <c r="AW533" s="216"/>
      <c r="AX533" s="216"/>
      <c r="AY533" s="216"/>
      <c r="AZ533" s="216"/>
      <c r="BA533" s="216"/>
      <c r="BB533" s="216"/>
      <c r="BC533" s="216"/>
      <c r="BD533" s="216"/>
      <c r="BE533" s="216"/>
      <c r="BF533" s="216"/>
      <c r="BG533" s="216"/>
      <c r="BH533" s="216"/>
      <c r="BI533" s="216"/>
      <c r="BJ533" s="216"/>
      <c r="BK533" s="216"/>
      <c r="BL533" s="216"/>
      <c r="BM533" s="216"/>
      <c r="BN533" s="216"/>
      <c r="BO533" s="216"/>
      <c r="BP533" s="216"/>
      <c r="BQ533" s="216"/>
      <c r="BR533" s="216"/>
    </row>
    <row r="534" spans="1:70" ht="12.75" x14ac:dyDescent="0.2">
      <c r="A534" s="214"/>
      <c r="B534" s="214"/>
      <c r="C534" s="214"/>
      <c r="D534" s="214"/>
      <c r="E534" s="214"/>
      <c r="F534" s="214"/>
      <c r="G534" s="214"/>
      <c r="H534" s="214"/>
      <c r="I534" s="214"/>
      <c r="J534" s="214"/>
      <c r="K534" s="214"/>
      <c r="L534" s="214"/>
      <c r="M534" s="215"/>
      <c r="N534" s="215"/>
      <c r="O534" s="216"/>
      <c r="P534" s="216"/>
      <c r="Q534" s="216"/>
      <c r="R534" s="216"/>
      <c r="S534" s="216"/>
      <c r="T534" s="216"/>
      <c r="U534" s="216"/>
      <c r="V534" s="216"/>
      <c r="W534" s="216"/>
      <c r="X534" s="216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16"/>
      <c r="AN534" s="216"/>
      <c r="AO534" s="216"/>
      <c r="AP534" s="216"/>
      <c r="AQ534" s="216"/>
      <c r="AR534" s="216"/>
      <c r="AS534" s="216"/>
      <c r="AT534" s="216"/>
      <c r="AU534" s="216"/>
      <c r="AV534" s="216"/>
      <c r="AW534" s="216"/>
      <c r="AX534" s="216"/>
      <c r="AY534" s="216"/>
      <c r="AZ534" s="216"/>
      <c r="BA534" s="216"/>
      <c r="BB534" s="216"/>
      <c r="BC534" s="216"/>
      <c r="BD534" s="216"/>
      <c r="BE534" s="216"/>
      <c r="BF534" s="216"/>
      <c r="BG534" s="216"/>
      <c r="BH534" s="216"/>
      <c r="BI534" s="216"/>
      <c r="BJ534" s="216"/>
      <c r="BK534" s="216"/>
      <c r="BL534" s="216"/>
      <c r="BM534" s="216"/>
      <c r="BN534" s="216"/>
      <c r="BO534" s="216"/>
      <c r="BP534" s="216"/>
      <c r="BQ534" s="216"/>
      <c r="BR534" s="216"/>
    </row>
    <row r="535" spans="1:70" ht="12.75" x14ac:dyDescent="0.2">
      <c r="A535" s="214"/>
      <c r="B535" s="214"/>
      <c r="C535" s="214"/>
      <c r="D535" s="214"/>
      <c r="E535" s="214"/>
      <c r="F535" s="214"/>
      <c r="G535" s="214"/>
      <c r="H535" s="214"/>
      <c r="I535" s="214"/>
      <c r="J535" s="214"/>
      <c r="K535" s="214"/>
      <c r="L535" s="214"/>
      <c r="M535" s="215"/>
      <c r="N535" s="215"/>
      <c r="O535" s="216"/>
      <c r="P535" s="216"/>
      <c r="Q535" s="216"/>
      <c r="R535" s="216"/>
      <c r="S535" s="216"/>
      <c r="T535" s="216"/>
      <c r="U535" s="216"/>
      <c r="V535" s="216"/>
      <c r="W535" s="216"/>
      <c r="X535" s="216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16"/>
      <c r="AN535" s="216"/>
      <c r="AO535" s="216"/>
      <c r="AP535" s="216"/>
      <c r="AQ535" s="216"/>
      <c r="AR535" s="216"/>
      <c r="AS535" s="216"/>
      <c r="AT535" s="216"/>
      <c r="AU535" s="216"/>
      <c r="AV535" s="216"/>
      <c r="AW535" s="216"/>
      <c r="AX535" s="216"/>
      <c r="AY535" s="216"/>
      <c r="AZ535" s="216"/>
      <c r="BA535" s="216"/>
      <c r="BB535" s="216"/>
      <c r="BC535" s="216"/>
      <c r="BD535" s="216"/>
      <c r="BE535" s="216"/>
      <c r="BF535" s="216"/>
      <c r="BG535" s="216"/>
      <c r="BH535" s="216"/>
      <c r="BI535" s="216"/>
      <c r="BJ535" s="216"/>
      <c r="BK535" s="216"/>
      <c r="BL535" s="216"/>
      <c r="BM535" s="216"/>
      <c r="BN535" s="216"/>
      <c r="BO535" s="216"/>
      <c r="BP535" s="216"/>
      <c r="BQ535" s="216"/>
      <c r="BR535" s="216"/>
    </row>
    <row r="536" spans="1:70" ht="12.75" x14ac:dyDescent="0.2">
      <c r="A536" s="214"/>
      <c r="B536" s="214"/>
      <c r="C536" s="214"/>
      <c r="D536" s="214"/>
      <c r="E536" s="214"/>
      <c r="F536" s="214"/>
      <c r="G536" s="214"/>
      <c r="H536" s="214"/>
      <c r="I536" s="214"/>
      <c r="J536" s="214"/>
      <c r="K536" s="214"/>
      <c r="L536" s="214"/>
      <c r="M536" s="215"/>
      <c r="N536" s="215"/>
      <c r="O536" s="216"/>
      <c r="P536" s="216"/>
      <c r="Q536" s="216"/>
      <c r="R536" s="216"/>
      <c r="S536" s="216"/>
      <c r="T536" s="216"/>
      <c r="U536" s="216"/>
      <c r="V536" s="216"/>
      <c r="W536" s="216"/>
      <c r="X536" s="216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16"/>
      <c r="AN536" s="216"/>
      <c r="AO536" s="216"/>
      <c r="AP536" s="216"/>
      <c r="AQ536" s="216"/>
      <c r="AR536" s="216"/>
      <c r="AS536" s="216"/>
      <c r="AT536" s="216"/>
      <c r="AU536" s="216"/>
      <c r="AV536" s="216"/>
      <c r="AW536" s="216"/>
      <c r="AX536" s="216"/>
      <c r="AY536" s="216"/>
      <c r="AZ536" s="216"/>
      <c r="BA536" s="216"/>
      <c r="BB536" s="216"/>
      <c r="BC536" s="216"/>
      <c r="BD536" s="216"/>
      <c r="BE536" s="216"/>
      <c r="BF536" s="216"/>
      <c r="BG536" s="216"/>
      <c r="BH536" s="216"/>
      <c r="BI536" s="216"/>
      <c r="BJ536" s="216"/>
      <c r="BK536" s="216"/>
      <c r="BL536" s="216"/>
      <c r="BM536" s="216"/>
      <c r="BN536" s="216"/>
      <c r="BO536" s="216"/>
      <c r="BP536" s="216"/>
      <c r="BQ536" s="216"/>
      <c r="BR536" s="216"/>
    </row>
    <row r="537" spans="1:70" ht="12.75" x14ac:dyDescent="0.2">
      <c r="A537" s="214"/>
      <c r="B537" s="214"/>
      <c r="C537" s="214"/>
      <c r="D537" s="214"/>
      <c r="E537" s="214"/>
      <c r="F537" s="214"/>
      <c r="G537" s="214"/>
      <c r="H537" s="214"/>
      <c r="I537" s="214"/>
      <c r="J537" s="214"/>
      <c r="K537" s="214"/>
      <c r="L537" s="214"/>
      <c r="M537" s="215"/>
      <c r="N537" s="215"/>
      <c r="O537" s="216"/>
      <c r="P537" s="216"/>
      <c r="Q537" s="216"/>
      <c r="R537" s="216"/>
      <c r="S537" s="216"/>
      <c r="T537" s="216"/>
      <c r="U537" s="216"/>
      <c r="V537" s="216"/>
      <c r="W537" s="216"/>
      <c r="X537" s="216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16"/>
      <c r="AN537" s="216"/>
      <c r="AO537" s="216"/>
      <c r="AP537" s="216"/>
      <c r="AQ537" s="216"/>
      <c r="AR537" s="216"/>
      <c r="AS537" s="216"/>
      <c r="AT537" s="216"/>
      <c r="AU537" s="216"/>
      <c r="AV537" s="216"/>
      <c r="AW537" s="216"/>
      <c r="AX537" s="216"/>
      <c r="AY537" s="216"/>
      <c r="AZ537" s="216"/>
      <c r="BA537" s="216"/>
      <c r="BB537" s="216"/>
      <c r="BC537" s="216"/>
      <c r="BD537" s="216"/>
      <c r="BE537" s="216"/>
      <c r="BF537" s="216"/>
      <c r="BG537" s="216"/>
      <c r="BH537" s="216"/>
      <c r="BI537" s="216"/>
      <c r="BJ537" s="216"/>
      <c r="BK537" s="216"/>
      <c r="BL537" s="216"/>
      <c r="BM537" s="216"/>
      <c r="BN537" s="216"/>
      <c r="BO537" s="216"/>
      <c r="BP537" s="216"/>
      <c r="BQ537" s="216"/>
      <c r="BR537" s="216"/>
    </row>
    <row r="538" spans="1:70" ht="12.75" x14ac:dyDescent="0.2">
      <c r="A538" s="214"/>
      <c r="B538" s="214"/>
      <c r="C538" s="214"/>
      <c r="D538" s="214"/>
      <c r="E538" s="214"/>
      <c r="F538" s="214"/>
      <c r="G538" s="214"/>
      <c r="H538" s="214"/>
      <c r="I538" s="214"/>
      <c r="J538" s="214"/>
      <c r="K538" s="214"/>
      <c r="L538" s="214"/>
      <c r="M538" s="215"/>
      <c r="N538" s="215"/>
      <c r="O538" s="216"/>
      <c r="P538" s="216"/>
      <c r="Q538" s="216"/>
      <c r="R538" s="216"/>
      <c r="S538" s="216"/>
      <c r="T538" s="216"/>
      <c r="U538" s="216"/>
      <c r="V538" s="216"/>
      <c r="W538" s="216"/>
      <c r="X538" s="216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16"/>
      <c r="AN538" s="216"/>
      <c r="AO538" s="216"/>
      <c r="AP538" s="216"/>
      <c r="AQ538" s="216"/>
      <c r="AR538" s="216"/>
      <c r="AS538" s="216"/>
      <c r="AT538" s="216"/>
      <c r="AU538" s="216"/>
      <c r="AV538" s="216"/>
      <c r="AW538" s="216"/>
      <c r="AX538" s="216"/>
      <c r="AY538" s="216"/>
      <c r="AZ538" s="216"/>
      <c r="BA538" s="216"/>
      <c r="BB538" s="216"/>
      <c r="BC538" s="216"/>
      <c r="BD538" s="216"/>
      <c r="BE538" s="216"/>
      <c r="BF538" s="216"/>
      <c r="BG538" s="216"/>
      <c r="BH538" s="216"/>
      <c r="BI538" s="216"/>
      <c r="BJ538" s="216"/>
      <c r="BK538" s="216"/>
      <c r="BL538" s="216"/>
      <c r="BM538" s="216"/>
      <c r="BN538" s="216"/>
      <c r="BO538" s="216"/>
      <c r="BP538" s="216"/>
      <c r="BQ538" s="216"/>
      <c r="BR538" s="216"/>
    </row>
    <row r="539" spans="1:70" ht="12.75" x14ac:dyDescent="0.2">
      <c r="A539" s="214"/>
      <c r="B539" s="214"/>
      <c r="C539" s="214"/>
      <c r="D539" s="214"/>
      <c r="E539" s="214"/>
      <c r="F539" s="214"/>
      <c r="G539" s="214"/>
      <c r="H539" s="214"/>
      <c r="I539" s="214"/>
      <c r="J539" s="214"/>
      <c r="K539" s="214"/>
      <c r="L539" s="214"/>
      <c r="M539" s="215"/>
      <c r="N539" s="215"/>
      <c r="O539" s="216"/>
      <c r="P539" s="216"/>
      <c r="Q539" s="216"/>
      <c r="R539" s="216"/>
      <c r="S539" s="216"/>
      <c r="T539" s="216"/>
      <c r="U539" s="216"/>
      <c r="V539" s="216"/>
      <c r="W539" s="216"/>
      <c r="X539" s="216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16"/>
      <c r="AN539" s="216"/>
      <c r="AO539" s="216"/>
      <c r="AP539" s="216"/>
      <c r="AQ539" s="216"/>
      <c r="AR539" s="216"/>
      <c r="AS539" s="216"/>
      <c r="AT539" s="216"/>
      <c r="AU539" s="216"/>
      <c r="AV539" s="216"/>
      <c r="AW539" s="216"/>
      <c r="AX539" s="216"/>
      <c r="AY539" s="216"/>
      <c r="AZ539" s="216"/>
      <c r="BA539" s="216"/>
      <c r="BB539" s="216"/>
      <c r="BC539" s="216"/>
      <c r="BD539" s="216"/>
      <c r="BE539" s="216"/>
      <c r="BF539" s="216"/>
      <c r="BG539" s="216"/>
      <c r="BH539" s="216"/>
      <c r="BI539" s="216"/>
      <c r="BJ539" s="216"/>
      <c r="BK539" s="216"/>
      <c r="BL539" s="216"/>
      <c r="BM539" s="216"/>
      <c r="BN539" s="216"/>
      <c r="BO539" s="216"/>
      <c r="BP539" s="216"/>
      <c r="BQ539" s="216"/>
      <c r="BR539" s="216"/>
    </row>
    <row r="540" spans="1:70" ht="12.75" x14ac:dyDescent="0.2">
      <c r="A540" s="214"/>
      <c r="B540" s="214"/>
      <c r="C540" s="214"/>
      <c r="D540" s="214"/>
      <c r="E540" s="214"/>
      <c r="F540" s="214"/>
      <c r="G540" s="214"/>
      <c r="H540" s="214"/>
      <c r="I540" s="214"/>
      <c r="J540" s="214"/>
      <c r="K540" s="214"/>
      <c r="L540" s="214"/>
      <c r="M540" s="215"/>
      <c r="N540" s="215"/>
      <c r="O540" s="216"/>
      <c r="P540" s="216"/>
      <c r="Q540" s="216"/>
      <c r="R540" s="216"/>
      <c r="S540" s="216"/>
      <c r="T540" s="216"/>
      <c r="U540" s="216"/>
      <c r="V540" s="216"/>
      <c r="W540" s="216"/>
      <c r="X540" s="216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16"/>
      <c r="AN540" s="216"/>
      <c r="AO540" s="216"/>
      <c r="AP540" s="216"/>
      <c r="AQ540" s="216"/>
      <c r="AR540" s="216"/>
      <c r="AS540" s="216"/>
      <c r="AT540" s="216"/>
      <c r="AU540" s="216"/>
      <c r="AV540" s="216"/>
      <c r="AW540" s="216"/>
      <c r="AX540" s="216"/>
      <c r="AY540" s="216"/>
      <c r="AZ540" s="216"/>
      <c r="BA540" s="216"/>
      <c r="BB540" s="216"/>
      <c r="BC540" s="216"/>
      <c r="BD540" s="216"/>
      <c r="BE540" s="216"/>
      <c r="BF540" s="216"/>
      <c r="BG540" s="216"/>
      <c r="BH540" s="216"/>
      <c r="BI540" s="216"/>
      <c r="BJ540" s="216"/>
      <c r="BK540" s="216"/>
      <c r="BL540" s="216"/>
      <c r="BM540" s="216"/>
      <c r="BN540" s="216"/>
      <c r="BO540" s="216"/>
      <c r="BP540" s="216"/>
      <c r="BQ540" s="216"/>
      <c r="BR540" s="216"/>
    </row>
    <row r="541" spans="1:70" ht="12.75" x14ac:dyDescent="0.2">
      <c r="A541" s="214"/>
      <c r="B541" s="214"/>
      <c r="C541" s="214"/>
      <c r="D541" s="214"/>
      <c r="E541" s="214"/>
      <c r="F541" s="214"/>
      <c r="G541" s="214"/>
      <c r="H541" s="214"/>
      <c r="I541" s="214"/>
      <c r="J541" s="214"/>
      <c r="K541" s="214"/>
      <c r="L541" s="214"/>
      <c r="M541" s="215"/>
      <c r="N541" s="215"/>
      <c r="O541" s="216"/>
      <c r="P541" s="216"/>
      <c r="Q541" s="216"/>
      <c r="R541" s="216"/>
      <c r="S541" s="216"/>
      <c r="T541" s="216"/>
      <c r="U541" s="216"/>
      <c r="V541" s="216"/>
      <c r="W541" s="216"/>
      <c r="X541" s="216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16"/>
      <c r="AN541" s="216"/>
      <c r="AO541" s="216"/>
      <c r="AP541" s="216"/>
      <c r="AQ541" s="216"/>
      <c r="AR541" s="216"/>
      <c r="AS541" s="216"/>
      <c r="AT541" s="216"/>
      <c r="AU541" s="216"/>
      <c r="AV541" s="216"/>
      <c r="AW541" s="216"/>
      <c r="AX541" s="216"/>
      <c r="AY541" s="216"/>
      <c r="AZ541" s="216"/>
      <c r="BA541" s="216"/>
      <c r="BB541" s="216"/>
      <c r="BC541" s="216"/>
      <c r="BD541" s="216"/>
      <c r="BE541" s="216"/>
      <c r="BF541" s="216"/>
      <c r="BG541" s="216"/>
      <c r="BH541" s="216"/>
      <c r="BI541" s="216"/>
      <c r="BJ541" s="216"/>
      <c r="BK541" s="216"/>
      <c r="BL541" s="216"/>
      <c r="BM541" s="216"/>
      <c r="BN541" s="216"/>
      <c r="BO541" s="216"/>
      <c r="BP541" s="216"/>
      <c r="BQ541" s="216"/>
      <c r="BR541" s="216"/>
    </row>
    <row r="542" spans="1:70" ht="12.75" x14ac:dyDescent="0.2">
      <c r="A542" s="214"/>
      <c r="B542" s="214"/>
      <c r="C542" s="214"/>
      <c r="D542" s="214"/>
      <c r="E542" s="214"/>
      <c r="F542" s="214"/>
      <c r="G542" s="214"/>
      <c r="H542" s="214"/>
      <c r="I542" s="214"/>
      <c r="J542" s="214"/>
      <c r="K542" s="214"/>
      <c r="L542" s="214"/>
      <c r="M542" s="215"/>
      <c r="N542" s="215"/>
      <c r="O542" s="216"/>
      <c r="P542" s="216"/>
      <c r="Q542" s="216"/>
      <c r="R542" s="216"/>
      <c r="S542" s="216"/>
      <c r="T542" s="216"/>
      <c r="U542" s="216"/>
      <c r="V542" s="216"/>
      <c r="W542" s="216"/>
      <c r="X542" s="216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16"/>
      <c r="AN542" s="216"/>
      <c r="AO542" s="216"/>
      <c r="AP542" s="216"/>
      <c r="AQ542" s="216"/>
      <c r="AR542" s="216"/>
      <c r="AS542" s="216"/>
      <c r="AT542" s="216"/>
      <c r="AU542" s="216"/>
      <c r="AV542" s="216"/>
      <c r="AW542" s="216"/>
      <c r="AX542" s="216"/>
      <c r="AY542" s="216"/>
      <c r="AZ542" s="216"/>
      <c r="BA542" s="216"/>
      <c r="BB542" s="216"/>
      <c r="BC542" s="216"/>
      <c r="BD542" s="216"/>
      <c r="BE542" s="216"/>
      <c r="BF542" s="216"/>
      <c r="BG542" s="216"/>
      <c r="BH542" s="216"/>
      <c r="BI542" s="216"/>
      <c r="BJ542" s="216"/>
      <c r="BK542" s="216"/>
      <c r="BL542" s="216"/>
      <c r="BM542" s="216"/>
      <c r="BN542" s="216"/>
      <c r="BO542" s="216"/>
      <c r="BP542" s="216"/>
      <c r="BQ542" s="216"/>
      <c r="BR542" s="216"/>
    </row>
    <row r="543" spans="1:70" ht="12.75" x14ac:dyDescent="0.2">
      <c r="A543" s="214"/>
      <c r="B543" s="214"/>
      <c r="C543" s="214"/>
      <c r="D543" s="214"/>
      <c r="E543" s="214"/>
      <c r="F543" s="214"/>
      <c r="G543" s="214"/>
      <c r="H543" s="214"/>
      <c r="I543" s="214"/>
      <c r="J543" s="214"/>
      <c r="K543" s="214"/>
      <c r="L543" s="214"/>
      <c r="M543" s="215"/>
      <c r="N543" s="215"/>
      <c r="O543" s="216"/>
      <c r="P543" s="216"/>
      <c r="Q543" s="216"/>
      <c r="R543" s="216"/>
      <c r="S543" s="216"/>
      <c r="T543" s="216"/>
      <c r="U543" s="216"/>
      <c r="V543" s="216"/>
      <c r="W543" s="216"/>
      <c r="X543" s="216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16"/>
      <c r="AN543" s="216"/>
      <c r="AO543" s="216"/>
      <c r="AP543" s="216"/>
      <c r="AQ543" s="216"/>
      <c r="AR543" s="216"/>
      <c r="AS543" s="216"/>
      <c r="AT543" s="216"/>
      <c r="AU543" s="216"/>
      <c r="AV543" s="216"/>
      <c r="AW543" s="216"/>
      <c r="AX543" s="216"/>
      <c r="AY543" s="216"/>
      <c r="AZ543" s="216"/>
      <c r="BA543" s="216"/>
      <c r="BB543" s="216"/>
      <c r="BC543" s="216"/>
      <c r="BD543" s="216"/>
      <c r="BE543" s="216"/>
      <c r="BF543" s="216"/>
      <c r="BG543" s="216"/>
      <c r="BH543" s="216"/>
      <c r="BI543" s="216"/>
      <c r="BJ543" s="216"/>
      <c r="BK543" s="216"/>
      <c r="BL543" s="216"/>
      <c r="BM543" s="216"/>
      <c r="BN543" s="216"/>
      <c r="BO543" s="216"/>
      <c r="BP543" s="216"/>
      <c r="BQ543" s="216"/>
      <c r="BR543" s="216"/>
    </row>
    <row r="544" spans="1:70" ht="12.75" x14ac:dyDescent="0.2">
      <c r="A544" s="214"/>
      <c r="B544" s="214"/>
      <c r="C544" s="214"/>
      <c r="D544" s="214"/>
      <c r="E544" s="214"/>
      <c r="F544" s="214"/>
      <c r="G544" s="214"/>
      <c r="H544" s="214"/>
      <c r="I544" s="214"/>
      <c r="J544" s="214"/>
      <c r="K544" s="214"/>
      <c r="L544" s="214"/>
      <c r="M544" s="215"/>
      <c r="N544" s="215"/>
      <c r="O544" s="216"/>
      <c r="P544" s="216"/>
      <c r="Q544" s="216"/>
      <c r="R544" s="216"/>
      <c r="S544" s="216"/>
      <c r="T544" s="216"/>
      <c r="U544" s="216"/>
      <c r="V544" s="216"/>
      <c r="W544" s="216"/>
      <c r="X544" s="216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16"/>
      <c r="AN544" s="216"/>
      <c r="AO544" s="216"/>
      <c r="AP544" s="216"/>
      <c r="AQ544" s="216"/>
      <c r="AR544" s="216"/>
      <c r="AS544" s="216"/>
      <c r="AT544" s="216"/>
      <c r="AU544" s="216"/>
      <c r="AV544" s="216"/>
      <c r="AW544" s="216"/>
      <c r="AX544" s="216"/>
      <c r="AY544" s="216"/>
      <c r="AZ544" s="216"/>
      <c r="BA544" s="216"/>
      <c r="BB544" s="216"/>
      <c r="BC544" s="216"/>
      <c r="BD544" s="216"/>
      <c r="BE544" s="216"/>
      <c r="BF544" s="216"/>
      <c r="BG544" s="216"/>
      <c r="BH544" s="216"/>
      <c r="BI544" s="216"/>
      <c r="BJ544" s="216"/>
      <c r="BK544" s="216"/>
      <c r="BL544" s="216"/>
      <c r="BM544" s="216"/>
      <c r="BN544" s="216"/>
      <c r="BO544" s="216"/>
      <c r="BP544" s="216"/>
      <c r="BQ544" s="216"/>
      <c r="BR544" s="216"/>
    </row>
    <row r="545" spans="1:70" ht="12.75" x14ac:dyDescent="0.2">
      <c r="A545" s="214"/>
      <c r="B545" s="214"/>
      <c r="C545" s="214"/>
      <c r="D545" s="214"/>
      <c r="E545" s="214"/>
      <c r="F545" s="214"/>
      <c r="G545" s="214"/>
      <c r="H545" s="214"/>
      <c r="I545" s="214"/>
      <c r="J545" s="214"/>
      <c r="K545" s="214"/>
      <c r="L545" s="214"/>
      <c r="M545" s="215"/>
      <c r="N545" s="215"/>
      <c r="O545" s="216"/>
      <c r="P545" s="216"/>
      <c r="Q545" s="216"/>
      <c r="R545" s="216"/>
      <c r="S545" s="216"/>
      <c r="T545" s="216"/>
      <c r="U545" s="216"/>
      <c r="V545" s="216"/>
      <c r="W545" s="216"/>
      <c r="X545" s="216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16"/>
      <c r="AN545" s="216"/>
      <c r="AO545" s="216"/>
      <c r="AP545" s="216"/>
      <c r="AQ545" s="216"/>
      <c r="AR545" s="216"/>
      <c r="AS545" s="216"/>
      <c r="AT545" s="216"/>
      <c r="AU545" s="216"/>
      <c r="AV545" s="216"/>
      <c r="AW545" s="216"/>
      <c r="AX545" s="216"/>
      <c r="AY545" s="216"/>
      <c r="AZ545" s="216"/>
      <c r="BA545" s="216"/>
      <c r="BB545" s="216"/>
      <c r="BC545" s="216"/>
      <c r="BD545" s="216"/>
      <c r="BE545" s="216"/>
      <c r="BF545" s="216"/>
      <c r="BG545" s="216"/>
      <c r="BH545" s="216"/>
      <c r="BI545" s="216"/>
      <c r="BJ545" s="216"/>
      <c r="BK545" s="216"/>
      <c r="BL545" s="216"/>
      <c r="BM545" s="216"/>
      <c r="BN545" s="216"/>
      <c r="BO545" s="216"/>
      <c r="BP545" s="216"/>
      <c r="BQ545" s="216"/>
      <c r="BR545" s="216"/>
    </row>
    <row r="546" spans="1:70" ht="12.75" x14ac:dyDescent="0.2">
      <c r="A546" s="214"/>
      <c r="B546" s="214"/>
      <c r="C546" s="214"/>
      <c r="D546" s="214"/>
      <c r="E546" s="214"/>
      <c r="F546" s="214"/>
      <c r="G546" s="214"/>
      <c r="H546" s="214"/>
      <c r="I546" s="214"/>
      <c r="J546" s="214"/>
      <c r="K546" s="214"/>
      <c r="L546" s="214"/>
      <c r="M546" s="215"/>
      <c r="N546" s="215"/>
      <c r="O546" s="216"/>
      <c r="P546" s="216"/>
      <c r="Q546" s="216"/>
      <c r="R546" s="216"/>
      <c r="S546" s="216"/>
      <c r="T546" s="216"/>
      <c r="U546" s="216"/>
      <c r="V546" s="216"/>
      <c r="W546" s="216"/>
      <c r="X546" s="216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16"/>
      <c r="AN546" s="216"/>
      <c r="AO546" s="216"/>
      <c r="AP546" s="216"/>
      <c r="AQ546" s="216"/>
      <c r="AR546" s="216"/>
      <c r="AS546" s="216"/>
      <c r="AT546" s="216"/>
      <c r="AU546" s="216"/>
      <c r="AV546" s="216"/>
      <c r="AW546" s="216"/>
      <c r="AX546" s="216"/>
      <c r="AY546" s="216"/>
      <c r="AZ546" s="216"/>
      <c r="BA546" s="216"/>
      <c r="BB546" s="216"/>
      <c r="BC546" s="216"/>
      <c r="BD546" s="216"/>
      <c r="BE546" s="216"/>
      <c r="BF546" s="216"/>
      <c r="BG546" s="216"/>
      <c r="BH546" s="216"/>
      <c r="BI546" s="216"/>
      <c r="BJ546" s="216"/>
      <c r="BK546" s="216"/>
      <c r="BL546" s="216"/>
      <c r="BM546" s="216"/>
      <c r="BN546" s="216"/>
      <c r="BO546" s="216"/>
      <c r="BP546" s="216"/>
      <c r="BQ546" s="216"/>
      <c r="BR546" s="216"/>
    </row>
    <row r="547" spans="1:70" ht="12.75" x14ac:dyDescent="0.2">
      <c r="A547" s="214"/>
      <c r="B547" s="214"/>
      <c r="C547" s="214"/>
      <c r="D547" s="214"/>
      <c r="E547" s="214"/>
      <c r="F547" s="214"/>
      <c r="G547" s="214"/>
      <c r="H547" s="214"/>
      <c r="I547" s="214"/>
      <c r="J547" s="214"/>
      <c r="K547" s="214"/>
      <c r="L547" s="214"/>
      <c r="M547" s="215"/>
      <c r="N547" s="215"/>
      <c r="O547" s="216"/>
      <c r="P547" s="216"/>
      <c r="Q547" s="216"/>
      <c r="R547" s="216"/>
      <c r="S547" s="216"/>
      <c r="T547" s="216"/>
      <c r="U547" s="216"/>
      <c r="V547" s="216"/>
      <c r="W547" s="216"/>
      <c r="X547" s="216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16"/>
      <c r="AN547" s="216"/>
      <c r="AO547" s="216"/>
      <c r="AP547" s="216"/>
      <c r="AQ547" s="216"/>
      <c r="AR547" s="216"/>
      <c r="AS547" s="216"/>
      <c r="AT547" s="216"/>
      <c r="AU547" s="216"/>
      <c r="AV547" s="216"/>
      <c r="AW547" s="216"/>
      <c r="AX547" s="216"/>
      <c r="AY547" s="216"/>
      <c r="AZ547" s="216"/>
      <c r="BA547" s="216"/>
      <c r="BB547" s="216"/>
      <c r="BC547" s="216"/>
      <c r="BD547" s="216"/>
      <c r="BE547" s="216"/>
      <c r="BF547" s="216"/>
      <c r="BG547" s="216"/>
      <c r="BH547" s="216"/>
      <c r="BI547" s="216"/>
      <c r="BJ547" s="216"/>
      <c r="BK547" s="216"/>
      <c r="BL547" s="216"/>
      <c r="BM547" s="216"/>
      <c r="BN547" s="216"/>
      <c r="BO547" s="216"/>
      <c r="BP547" s="216"/>
      <c r="BQ547" s="216"/>
      <c r="BR547" s="216"/>
    </row>
    <row r="548" spans="1:70" ht="12.75" x14ac:dyDescent="0.2">
      <c r="A548" s="214"/>
      <c r="B548" s="214"/>
      <c r="C548" s="214"/>
      <c r="D548" s="214"/>
      <c r="E548" s="214"/>
      <c r="F548" s="214"/>
      <c r="G548" s="214"/>
      <c r="H548" s="214"/>
      <c r="I548" s="214"/>
      <c r="J548" s="214"/>
      <c r="K548" s="214"/>
      <c r="L548" s="214"/>
      <c r="M548" s="215"/>
      <c r="N548" s="215"/>
      <c r="O548" s="216"/>
      <c r="P548" s="216"/>
      <c r="Q548" s="216"/>
      <c r="R548" s="216"/>
      <c r="S548" s="216"/>
      <c r="T548" s="216"/>
      <c r="U548" s="216"/>
      <c r="V548" s="216"/>
      <c r="W548" s="216"/>
      <c r="X548" s="216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16"/>
      <c r="AN548" s="216"/>
      <c r="AO548" s="216"/>
      <c r="AP548" s="216"/>
      <c r="AQ548" s="216"/>
      <c r="AR548" s="216"/>
      <c r="AS548" s="216"/>
      <c r="AT548" s="216"/>
      <c r="AU548" s="216"/>
      <c r="AV548" s="216"/>
      <c r="AW548" s="216"/>
      <c r="AX548" s="216"/>
      <c r="AY548" s="216"/>
      <c r="AZ548" s="216"/>
      <c r="BA548" s="216"/>
      <c r="BB548" s="216"/>
      <c r="BC548" s="216"/>
      <c r="BD548" s="216"/>
      <c r="BE548" s="216"/>
      <c r="BF548" s="216"/>
      <c r="BG548" s="216"/>
      <c r="BH548" s="216"/>
      <c r="BI548" s="216"/>
      <c r="BJ548" s="216"/>
      <c r="BK548" s="216"/>
      <c r="BL548" s="216"/>
      <c r="BM548" s="216"/>
      <c r="BN548" s="216"/>
      <c r="BO548" s="216"/>
      <c r="BP548" s="216"/>
      <c r="BQ548" s="216"/>
      <c r="BR548" s="216"/>
    </row>
    <row r="549" spans="1:70" ht="12.75" x14ac:dyDescent="0.2">
      <c r="A549" s="214"/>
      <c r="B549" s="214"/>
      <c r="C549" s="214"/>
      <c r="D549" s="214"/>
      <c r="E549" s="214"/>
      <c r="F549" s="214"/>
      <c r="G549" s="214"/>
      <c r="H549" s="214"/>
      <c r="I549" s="214"/>
      <c r="J549" s="214"/>
      <c r="K549" s="214"/>
      <c r="L549" s="214"/>
      <c r="M549" s="215"/>
      <c r="N549" s="215"/>
      <c r="O549" s="216"/>
      <c r="P549" s="216"/>
      <c r="Q549" s="216"/>
      <c r="R549" s="216"/>
      <c r="S549" s="216"/>
      <c r="T549" s="216"/>
      <c r="U549" s="216"/>
      <c r="V549" s="216"/>
      <c r="W549" s="216"/>
      <c r="X549" s="216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16"/>
      <c r="AN549" s="216"/>
      <c r="AO549" s="216"/>
      <c r="AP549" s="216"/>
      <c r="AQ549" s="216"/>
      <c r="AR549" s="216"/>
      <c r="AS549" s="216"/>
      <c r="AT549" s="216"/>
      <c r="AU549" s="216"/>
      <c r="AV549" s="216"/>
      <c r="AW549" s="216"/>
      <c r="AX549" s="216"/>
      <c r="AY549" s="216"/>
      <c r="AZ549" s="216"/>
      <c r="BA549" s="216"/>
      <c r="BB549" s="216"/>
      <c r="BC549" s="216"/>
      <c r="BD549" s="216"/>
      <c r="BE549" s="216"/>
      <c r="BF549" s="216"/>
      <c r="BG549" s="216"/>
      <c r="BH549" s="216"/>
      <c r="BI549" s="216"/>
      <c r="BJ549" s="216"/>
      <c r="BK549" s="216"/>
      <c r="BL549" s="216"/>
      <c r="BM549" s="216"/>
      <c r="BN549" s="216"/>
      <c r="BO549" s="216"/>
      <c r="BP549" s="216"/>
      <c r="BQ549" s="216"/>
      <c r="BR549" s="216"/>
    </row>
    <row r="550" spans="1:70" ht="12.75" x14ac:dyDescent="0.2">
      <c r="A550" s="214"/>
      <c r="B550" s="214"/>
      <c r="C550" s="214"/>
      <c r="D550" s="214"/>
      <c r="E550" s="214"/>
      <c r="F550" s="214"/>
      <c r="G550" s="214"/>
      <c r="H550" s="214"/>
      <c r="I550" s="214"/>
      <c r="J550" s="214"/>
      <c r="K550" s="214"/>
      <c r="L550" s="214"/>
      <c r="M550" s="215"/>
      <c r="N550" s="215"/>
      <c r="O550" s="216"/>
      <c r="P550" s="216"/>
      <c r="Q550" s="216"/>
      <c r="R550" s="216"/>
      <c r="S550" s="216"/>
      <c r="T550" s="216"/>
      <c r="U550" s="216"/>
      <c r="V550" s="216"/>
      <c r="W550" s="216"/>
      <c r="X550" s="216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16"/>
      <c r="AN550" s="216"/>
      <c r="AO550" s="216"/>
      <c r="AP550" s="216"/>
      <c r="AQ550" s="216"/>
      <c r="AR550" s="216"/>
      <c r="AS550" s="216"/>
      <c r="AT550" s="216"/>
      <c r="AU550" s="216"/>
      <c r="AV550" s="216"/>
      <c r="AW550" s="216"/>
      <c r="AX550" s="216"/>
      <c r="AY550" s="216"/>
      <c r="AZ550" s="216"/>
      <c r="BA550" s="216"/>
      <c r="BB550" s="216"/>
      <c r="BC550" s="216"/>
      <c r="BD550" s="216"/>
      <c r="BE550" s="216"/>
      <c r="BF550" s="216"/>
      <c r="BG550" s="216"/>
      <c r="BH550" s="216"/>
      <c r="BI550" s="216"/>
      <c r="BJ550" s="216"/>
      <c r="BK550" s="216"/>
      <c r="BL550" s="216"/>
      <c r="BM550" s="216"/>
      <c r="BN550" s="216"/>
      <c r="BO550" s="216"/>
      <c r="BP550" s="216"/>
      <c r="BQ550" s="216"/>
      <c r="BR550" s="216"/>
    </row>
    <row r="551" spans="1:70" ht="12.75" x14ac:dyDescent="0.2">
      <c r="A551" s="214"/>
      <c r="B551" s="214"/>
      <c r="C551" s="214"/>
      <c r="D551" s="214"/>
      <c r="E551" s="214"/>
      <c r="F551" s="214"/>
      <c r="G551" s="214"/>
      <c r="H551" s="214"/>
      <c r="I551" s="214"/>
      <c r="J551" s="214"/>
      <c r="K551" s="214"/>
      <c r="L551" s="214"/>
      <c r="M551" s="215"/>
      <c r="N551" s="215"/>
      <c r="O551" s="216"/>
      <c r="P551" s="216"/>
      <c r="Q551" s="216"/>
      <c r="R551" s="216"/>
      <c r="S551" s="216"/>
      <c r="T551" s="216"/>
      <c r="U551" s="216"/>
      <c r="V551" s="216"/>
      <c r="W551" s="216"/>
      <c r="X551" s="216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16"/>
      <c r="AN551" s="216"/>
      <c r="AO551" s="216"/>
      <c r="AP551" s="216"/>
      <c r="AQ551" s="216"/>
      <c r="AR551" s="216"/>
      <c r="AS551" s="216"/>
      <c r="AT551" s="216"/>
      <c r="AU551" s="216"/>
      <c r="AV551" s="216"/>
      <c r="AW551" s="216"/>
      <c r="AX551" s="216"/>
      <c r="AY551" s="216"/>
      <c r="AZ551" s="216"/>
      <c r="BA551" s="216"/>
      <c r="BB551" s="216"/>
      <c r="BC551" s="216"/>
      <c r="BD551" s="216"/>
      <c r="BE551" s="216"/>
      <c r="BF551" s="216"/>
      <c r="BG551" s="216"/>
      <c r="BH551" s="216"/>
      <c r="BI551" s="216"/>
      <c r="BJ551" s="216"/>
      <c r="BK551" s="216"/>
      <c r="BL551" s="216"/>
      <c r="BM551" s="216"/>
      <c r="BN551" s="216"/>
      <c r="BO551" s="216"/>
      <c r="BP551" s="216"/>
      <c r="BQ551" s="216"/>
      <c r="BR551" s="216"/>
    </row>
    <row r="552" spans="1:70" ht="12.75" x14ac:dyDescent="0.2">
      <c r="A552" s="214"/>
      <c r="B552" s="214"/>
      <c r="C552" s="214"/>
      <c r="D552" s="214"/>
      <c r="E552" s="214"/>
      <c r="F552" s="214"/>
      <c r="G552" s="214"/>
      <c r="H552" s="214"/>
      <c r="I552" s="214"/>
      <c r="J552" s="214"/>
      <c r="K552" s="214"/>
      <c r="L552" s="214"/>
      <c r="M552" s="215"/>
      <c r="N552" s="215"/>
      <c r="O552" s="216"/>
      <c r="P552" s="216"/>
      <c r="Q552" s="216"/>
      <c r="R552" s="216"/>
      <c r="S552" s="216"/>
      <c r="T552" s="216"/>
      <c r="U552" s="216"/>
      <c r="V552" s="216"/>
      <c r="W552" s="216"/>
      <c r="X552" s="216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16"/>
      <c r="AN552" s="216"/>
      <c r="AO552" s="216"/>
      <c r="AP552" s="216"/>
      <c r="AQ552" s="216"/>
      <c r="AR552" s="216"/>
      <c r="AS552" s="216"/>
      <c r="AT552" s="216"/>
      <c r="AU552" s="216"/>
      <c r="AV552" s="216"/>
      <c r="AW552" s="216"/>
      <c r="AX552" s="216"/>
      <c r="AY552" s="216"/>
      <c r="AZ552" s="216"/>
      <c r="BA552" s="216"/>
      <c r="BB552" s="216"/>
      <c r="BC552" s="216"/>
      <c r="BD552" s="216"/>
      <c r="BE552" s="216"/>
      <c r="BF552" s="216"/>
      <c r="BG552" s="216"/>
      <c r="BH552" s="216"/>
      <c r="BI552" s="216"/>
      <c r="BJ552" s="216"/>
      <c r="BK552" s="216"/>
      <c r="BL552" s="216"/>
      <c r="BM552" s="216"/>
      <c r="BN552" s="216"/>
      <c r="BO552" s="216"/>
      <c r="BP552" s="216"/>
      <c r="BQ552" s="216"/>
      <c r="BR552" s="216"/>
    </row>
    <row r="553" spans="1:70" ht="12.75" x14ac:dyDescent="0.2">
      <c r="A553" s="214"/>
      <c r="B553" s="214"/>
      <c r="C553" s="214"/>
      <c r="D553" s="214"/>
      <c r="E553" s="214"/>
      <c r="F553" s="214"/>
      <c r="G553" s="214"/>
      <c r="H553" s="214"/>
      <c r="I553" s="214"/>
      <c r="J553" s="214"/>
      <c r="K553" s="214"/>
      <c r="L553" s="214"/>
      <c r="M553" s="215"/>
      <c r="N553" s="215"/>
      <c r="O553" s="216"/>
      <c r="P553" s="216"/>
      <c r="Q553" s="216"/>
      <c r="R553" s="216"/>
      <c r="S553" s="216"/>
      <c r="T553" s="216"/>
      <c r="U553" s="216"/>
      <c r="V553" s="216"/>
      <c r="W553" s="216"/>
      <c r="X553" s="216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16"/>
      <c r="AN553" s="216"/>
      <c r="AO553" s="216"/>
      <c r="AP553" s="216"/>
      <c r="AQ553" s="216"/>
      <c r="AR553" s="216"/>
      <c r="AS553" s="216"/>
      <c r="AT553" s="216"/>
      <c r="AU553" s="216"/>
      <c r="AV553" s="216"/>
      <c r="AW553" s="216"/>
      <c r="AX553" s="216"/>
      <c r="AY553" s="216"/>
      <c r="AZ553" s="216"/>
      <c r="BA553" s="216"/>
      <c r="BB553" s="216"/>
      <c r="BC553" s="216"/>
      <c r="BD553" s="216"/>
      <c r="BE553" s="216"/>
      <c r="BF553" s="216"/>
      <c r="BG553" s="216"/>
      <c r="BH553" s="216"/>
      <c r="BI553" s="216"/>
      <c r="BJ553" s="216"/>
      <c r="BK553" s="216"/>
      <c r="BL553" s="216"/>
      <c r="BM553" s="216"/>
      <c r="BN553" s="216"/>
      <c r="BO553" s="216"/>
      <c r="BP553" s="216"/>
      <c r="BQ553" s="216"/>
      <c r="BR553" s="216"/>
    </row>
    <row r="554" spans="1:70" ht="12.75" x14ac:dyDescent="0.2">
      <c r="A554" s="214"/>
      <c r="B554" s="214"/>
      <c r="C554" s="214"/>
      <c r="D554" s="214"/>
      <c r="E554" s="214"/>
      <c r="F554" s="214"/>
      <c r="G554" s="214"/>
      <c r="H554" s="214"/>
      <c r="I554" s="214"/>
      <c r="J554" s="214"/>
      <c r="K554" s="214"/>
      <c r="L554" s="214"/>
      <c r="M554" s="215"/>
      <c r="N554" s="215"/>
      <c r="O554" s="216"/>
      <c r="P554" s="216"/>
      <c r="Q554" s="216"/>
      <c r="R554" s="216"/>
      <c r="S554" s="216"/>
      <c r="T554" s="216"/>
      <c r="U554" s="216"/>
      <c r="V554" s="216"/>
      <c r="W554" s="216"/>
      <c r="X554" s="216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16"/>
      <c r="AN554" s="216"/>
      <c r="AO554" s="216"/>
      <c r="AP554" s="216"/>
      <c r="AQ554" s="216"/>
      <c r="AR554" s="216"/>
      <c r="AS554" s="216"/>
      <c r="AT554" s="216"/>
      <c r="AU554" s="216"/>
      <c r="AV554" s="216"/>
      <c r="AW554" s="216"/>
      <c r="AX554" s="216"/>
      <c r="AY554" s="216"/>
      <c r="AZ554" s="216"/>
      <c r="BA554" s="216"/>
      <c r="BB554" s="216"/>
      <c r="BC554" s="216"/>
      <c r="BD554" s="216"/>
      <c r="BE554" s="216"/>
      <c r="BF554" s="216"/>
      <c r="BG554" s="216"/>
      <c r="BH554" s="216"/>
      <c r="BI554" s="216"/>
      <c r="BJ554" s="216"/>
      <c r="BK554" s="216"/>
      <c r="BL554" s="216"/>
      <c r="BM554" s="216"/>
      <c r="BN554" s="216"/>
      <c r="BO554" s="216"/>
      <c r="BP554" s="216"/>
      <c r="BQ554" s="216"/>
      <c r="BR554" s="216"/>
    </row>
    <row r="555" spans="1:70" ht="12.75" x14ac:dyDescent="0.2">
      <c r="A555" s="214"/>
      <c r="B555" s="214"/>
      <c r="C555" s="214"/>
      <c r="D555" s="214"/>
      <c r="E555" s="214"/>
      <c r="F555" s="214"/>
      <c r="G555" s="214"/>
      <c r="H555" s="214"/>
      <c r="I555" s="214"/>
      <c r="J555" s="214"/>
      <c r="K555" s="214"/>
      <c r="L555" s="214"/>
      <c r="M555" s="215"/>
      <c r="N555" s="215"/>
      <c r="O555" s="216"/>
      <c r="P555" s="216"/>
      <c r="Q555" s="216"/>
      <c r="R555" s="216"/>
      <c r="S555" s="216"/>
      <c r="T555" s="216"/>
      <c r="U555" s="216"/>
      <c r="V555" s="216"/>
      <c r="W555" s="216"/>
      <c r="X555" s="216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16"/>
      <c r="AN555" s="216"/>
      <c r="AO555" s="216"/>
      <c r="AP555" s="216"/>
      <c r="AQ555" s="216"/>
      <c r="AR555" s="216"/>
      <c r="AS555" s="216"/>
      <c r="AT555" s="216"/>
      <c r="AU555" s="216"/>
      <c r="AV555" s="216"/>
      <c r="AW555" s="216"/>
      <c r="AX555" s="216"/>
      <c r="AY555" s="216"/>
      <c r="AZ555" s="216"/>
      <c r="BA555" s="216"/>
      <c r="BB555" s="216"/>
      <c r="BC555" s="216"/>
      <c r="BD555" s="216"/>
      <c r="BE555" s="216"/>
      <c r="BF555" s="216"/>
      <c r="BG555" s="216"/>
      <c r="BH555" s="216"/>
      <c r="BI555" s="216"/>
      <c r="BJ555" s="216"/>
      <c r="BK555" s="216"/>
      <c r="BL555" s="216"/>
      <c r="BM555" s="216"/>
      <c r="BN555" s="216"/>
      <c r="BO555" s="216"/>
      <c r="BP555" s="216"/>
      <c r="BQ555" s="216"/>
      <c r="BR555" s="216"/>
    </row>
    <row r="556" spans="1:70" ht="12.75" x14ac:dyDescent="0.2">
      <c r="A556" s="214"/>
      <c r="B556" s="214"/>
      <c r="C556" s="214"/>
      <c r="D556" s="214"/>
      <c r="E556" s="214"/>
      <c r="F556" s="214"/>
      <c r="G556" s="214"/>
      <c r="H556" s="214"/>
      <c r="I556" s="214"/>
      <c r="J556" s="214"/>
      <c r="K556" s="214"/>
      <c r="L556" s="214"/>
      <c r="M556" s="215"/>
      <c r="N556" s="215"/>
      <c r="O556" s="216"/>
      <c r="P556" s="216"/>
      <c r="Q556" s="216"/>
      <c r="R556" s="216"/>
      <c r="S556" s="216"/>
      <c r="T556" s="216"/>
      <c r="U556" s="216"/>
      <c r="V556" s="216"/>
      <c r="W556" s="216"/>
      <c r="X556" s="216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16"/>
      <c r="AN556" s="216"/>
      <c r="AO556" s="216"/>
      <c r="AP556" s="216"/>
      <c r="AQ556" s="216"/>
      <c r="AR556" s="216"/>
      <c r="AS556" s="216"/>
      <c r="AT556" s="216"/>
      <c r="AU556" s="216"/>
      <c r="AV556" s="216"/>
      <c r="AW556" s="216"/>
      <c r="AX556" s="216"/>
      <c r="AY556" s="216"/>
      <c r="AZ556" s="216"/>
      <c r="BA556" s="216"/>
      <c r="BB556" s="216"/>
      <c r="BC556" s="216"/>
      <c r="BD556" s="216"/>
      <c r="BE556" s="216"/>
      <c r="BF556" s="216"/>
      <c r="BG556" s="216"/>
      <c r="BH556" s="216"/>
      <c r="BI556" s="216"/>
      <c r="BJ556" s="216"/>
      <c r="BK556" s="216"/>
      <c r="BL556" s="216"/>
      <c r="BM556" s="216"/>
      <c r="BN556" s="216"/>
      <c r="BO556" s="216"/>
      <c r="BP556" s="216"/>
      <c r="BQ556" s="216"/>
      <c r="BR556" s="216"/>
    </row>
    <row r="557" spans="1:70" ht="12.75" x14ac:dyDescent="0.2">
      <c r="A557" s="214"/>
      <c r="B557" s="214"/>
      <c r="C557" s="214"/>
      <c r="D557" s="214"/>
      <c r="E557" s="214"/>
      <c r="F557" s="214"/>
      <c r="G557" s="214"/>
      <c r="H557" s="214"/>
      <c r="I557" s="214"/>
      <c r="J557" s="214"/>
      <c r="K557" s="214"/>
      <c r="L557" s="214"/>
      <c r="M557" s="215"/>
      <c r="N557" s="215"/>
      <c r="O557" s="216"/>
      <c r="P557" s="216"/>
      <c r="Q557" s="216"/>
      <c r="R557" s="216"/>
      <c r="S557" s="216"/>
      <c r="T557" s="216"/>
      <c r="U557" s="216"/>
      <c r="V557" s="216"/>
      <c r="W557" s="216"/>
      <c r="X557" s="216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16"/>
      <c r="AN557" s="216"/>
      <c r="AO557" s="216"/>
      <c r="AP557" s="216"/>
      <c r="AQ557" s="216"/>
      <c r="AR557" s="216"/>
      <c r="AS557" s="216"/>
      <c r="AT557" s="216"/>
      <c r="AU557" s="216"/>
      <c r="AV557" s="216"/>
      <c r="AW557" s="216"/>
      <c r="AX557" s="216"/>
      <c r="AY557" s="216"/>
      <c r="AZ557" s="216"/>
      <c r="BA557" s="216"/>
      <c r="BB557" s="216"/>
      <c r="BC557" s="216"/>
      <c r="BD557" s="216"/>
      <c r="BE557" s="216"/>
      <c r="BF557" s="216"/>
      <c r="BG557" s="216"/>
      <c r="BH557" s="216"/>
      <c r="BI557" s="216"/>
      <c r="BJ557" s="216"/>
      <c r="BK557" s="216"/>
      <c r="BL557" s="216"/>
      <c r="BM557" s="216"/>
      <c r="BN557" s="216"/>
      <c r="BO557" s="216"/>
      <c r="BP557" s="216"/>
      <c r="BQ557" s="216"/>
      <c r="BR557" s="216"/>
    </row>
    <row r="558" spans="1:70" ht="12.75" x14ac:dyDescent="0.2">
      <c r="A558" s="214"/>
      <c r="B558" s="214"/>
      <c r="C558" s="214"/>
      <c r="D558" s="214"/>
      <c r="E558" s="214"/>
      <c r="F558" s="214"/>
      <c r="G558" s="214"/>
      <c r="H558" s="214"/>
      <c r="I558" s="214"/>
      <c r="J558" s="214"/>
      <c r="K558" s="214"/>
      <c r="L558" s="214"/>
      <c r="M558" s="215"/>
      <c r="N558" s="215"/>
      <c r="O558" s="216"/>
      <c r="P558" s="216"/>
      <c r="Q558" s="216"/>
      <c r="R558" s="216"/>
      <c r="S558" s="216"/>
      <c r="T558" s="216"/>
      <c r="U558" s="216"/>
      <c r="V558" s="216"/>
      <c r="W558" s="216"/>
      <c r="X558" s="216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16"/>
      <c r="AN558" s="216"/>
      <c r="AO558" s="216"/>
      <c r="AP558" s="216"/>
      <c r="AQ558" s="216"/>
      <c r="AR558" s="216"/>
      <c r="AS558" s="216"/>
      <c r="AT558" s="216"/>
      <c r="AU558" s="216"/>
      <c r="AV558" s="216"/>
      <c r="AW558" s="216"/>
      <c r="AX558" s="216"/>
      <c r="AY558" s="216"/>
      <c r="AZ558" s="216"/>
      <c r="BA558" s="216"/>
      <c r="BB558" s="216"/>
      <c r="BC558" s="216"/>
      <c r="BD558" s="216"/>
      <c r="BE558" s="216"/>
      <c r="BF558" s="216"/>
      <c r="BG558" s="216"/>
      <c r="BH558" s="216"/>
      <c r="BI558" s="216"/>
      <c r="BJ558" s="216"/>
      <c r="BK558" s="216"/>
      <c r="BL558" s="216"/>
      <c r="BM558" s="216"/>
      <c r="BN558" s="216"/>
      <c r="BO558" s="216"/>
      <c r="BP558" s="216"/>
      <c r="BQ558" s="216"/>
      <c r="BR558" s="216"/>
    </row>
    <row r="559" spans="1:70" ht="12.75" x14ac:dyDescent="0.2">
      <c r="A559" s="214"/>
      <c r="B559" s="214"/>
      <c r="C559" s="214"/>
      <c r="D559" s="214"/>
      <c r="E559" s="214"/>
      <c r="F559" s="214"/>
      <c r="G559" s="214"/>
      <c r="H559" s="214"/>
      <c r="I559" s="214"/>
      <c r="J559" s="214"/>
      <c r="K559" s="214"/>
      <c r="L559" s="214"/>
      <c r="M559" s="215"/>
      <c r="N559" s="215"/>
      <c r="O559" s="216"/>
      <c r="P559" s="216"/>
      <c r="Q559" s="216"/>
      <c r="R559" s="216"/>
      <c r="S559" s="216"/>
      <c r="T559" s="216"/>
      <c r="U559" s="216"/>
      <c r="V559" s="216"/>
      <c r="W559" s="216"/>
      <c r="X559" s="216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16"/>
      <c r="AN559" s="216"/>
      <c r="AO559" s="216"/>
      <c r="AP559" s="216"/>
      <c r="AQ559" s="216"/>
      <c r="AR559" s="216"/>
      <c r="AS559" s="216"/>
      <c r="AT559" s="216"/>
      <c r="AU559" s="216"/>
      <c r="AV559" s="216"/>
      <c r="AW559" s="216"/>
      <c r="AX559" s="216"/>
      <c r="AY559" s="216"/>
      <c r="AZ559" s="216"/>
      <c r="BA559" s="216"/>
      <c r="BB559" s="216"/>
      <c r="BC559" s="216"/>
      <c r="BD559" s="216"/>
      <c r="BE559" s="216"/>
      <c r="BF559" s="216"/>
      <c r="BG559" s="216"/>
      <c r="BH559" s="216"/>
      <c r="BI559" s="216"/>
      <c r="BJ559" s="216"/>
      <c r="BK559" s="216"/>
      <c r="BL559" s="216"/>
      <c r="BM559" s="216"/>
      <c r="BN559" s="216"/>
      <c r="BO559" s="216"/>
      <c r="BP559" s="216"/>
      <c r="BQ559" s="216"/>
      <c r="BR559" s="216"/>
    </row>
    <row r="560" spans="1:70" ht="12.75" x14ac:dyDescent="0.2">
      <c r="A560" s="214"/>
      <c r="B560" s="214"/>
      <c r="C560" s="214"/>
      <c r="D560" s="214"/>
      <c r="E560" s="214"/>
      <c r="F560" s="214"/>
      <c r="G560" s="214"/>
      <c r="H560" s="214"/>
      <c r="I560" s="214"/>
      <c r="J560" s="214"/>
      <c r="K560" s="214"/>
      <c r="L560" s="214"/>
      <c r="M560" s="215"/>
      <c r="N560" s="215"/>
      <c r="O560" s="216"/>
      <c r="P560" s="216"/>
      <c r="Q560" s="216"/>
      <c r="R560" s="216"/>
      <c r="S560" s="216"/>
      <c r="T560" s="216"/>
      <c r="U560" s="216"/>
      <c r="V560" s="216"/>
      <c r="W560" s="216"/>
      <c r="X560" s="216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16"/>
      <c r="AN560" s="216"/>
      <c r="AO560" s="216"/>
      <c r="AP560" s="216"/>
      <c r="AQ560" s="216"/>
      <c r="AR560" s="216"/>
      <c r="AS560" s="216"/>
      <c r="AT560" s="216"/>
      <c r="AU560" s="216"/>
      <c r="AV560" s="216"/>
      <c r="AW560" s="216"/>
      <c r="AX560" s="216"/>
      <c r="AY560" s="216"/>
      <c r="AZ560" s="216"/>
      <c r="BA560" s="216"/>
      <c r="BB560" s="216"/>
      <c r="BC560" s="216"/>
      <c r="BD560" s="216"/>
      <c r="BE560" s="216"/>
      <c r="BF560" s="216"/>
      <c r="BG560" s="216"/>
      <c r="BH560" s="216"/>
      <c r="BI560" s="216"/>
      <c r="BJ560" s="216"/>
      <c r="BK560" s="216"/>
      <c r="BL560" s="216"/>
      <c r="BM560" s="216"/>
      <c r="BN560" s="216"/>
      <c r="BO560" s="216"/>
      <c r="BP560" s="216"/>
      <c r="BQ560" s="216"/>
      <c r="BR560" s="216"/>
    </row>
    <row r="561" spans="1:70" ht="12.75" x14ac:dyDescent="0.2">
      <c r="A561" s="214"/>
      <c r="B561" s="214"/>
      <c r="C561" s="214"/>
      <c r="D561" s="214"/>
      <c r="E561" s="214"/>
      <c r="F561" s="214"/>
      <c r="G561" s="214"/>
      <c r="H561" s="214"/>
      <c r="I561" s="214"/>
      <c r="J561" s="214"/>
      <c r="K561" s="214"/>
      <c r="L561" s="214"/>
      <c r="M561" s="215"/>
      <c r="N561" s="215"/>
      <c r="O561" s="216"/>
      <c r="P561" s="216"/>
      <c r="Q561" s="216"/>
      <c r="R561" s="216"/>
      <c r="S561" s="216"/>
      <c r="T561" s="216"/>
      <c r="U561" s="216"/>
      <c r="V561" s="216"/>
      <c r="W561" s="216"/>
      <c r="X561" s="216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16"/>
      <c r="AN561" s="216"/>
      <c r="AO561" s="216"/>
      <c r="AP561" s="216"/>
      <c r="AQ561" s="216"/>
      <c r="AR561" s="216"/>
      <c r="AS561" s="216"/>
      <c r="AT561" s="216"/>
      <c r="AU561" s="216"/>
      <c r="AV561" s="216"/>
      <c r="AW561" s="216"/>
      <c r="AX561" s="216"/>
      <c r="AY561" s="216"/>
      <c r="AZ561" s="216"/>
      <c r="BA561" s="216"/>
      <c r="BB561" s="216"/>
      <c r="BC561" s="216"/>
      <c r="BD561" s="216"/>
      <c r="BE561" s="216"/>
      <c r="BF561" s="216"/>
      <c r="BG561" s="216"/>
      <c r="BH561" s="216"/>
      <c r="BI561" s="216"/>
      <c r="BJ561" s="216"/>
      <c r="BK561" s="216"/>
      <c r="BL561" s="216"/>
      <c r="BM561" s="216"/>
      <c r="BN561" s="216"/>
      <c r="BO561" s="216"/>
      <c r="BP561" s="216"/>
      <c r="BQ561" s="216"/>
      <c r="BR561" s="216"/>
    </row>
    <row r="562" spans="1:70" ht="12.75" x14ac:dyDescent="0.2">
      <c r="A562" s="214"/>
      <c r="B562" s="214"/>
      <c r="C562" s="214"/>
      <c r="D562" s="214"/>
      <c r="E562" s="214"/>
      <c r="F562" s="214"/>
      <c r="G562" s="214"/>
      <c r="H562" s="214"/>
      <c r="I562" s="214"/>
      <c r="J562" s="214"/>
      <c r="K562" s="214"/>
      <c r="L562" s="214"/>
      <c r="M562" s="215"/>
      <c r="N562" s="215"/>
      <c r="O562" s="216"/>
      <c r="P562" s="216"/>
      <c r="Q562" s="216"/>
      <c r="R562" s="216"/>
      <c r="S562" s="216"/>
      <c r="T562" s="216"/>
      <c r="U562" s="216"/>
      <c r="V562" s="216"/>
      <c r="W562" s="216"/>
      <c r="X562" s="216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16"/>
      <c r="AN562" s="216"/>
      <c r="AO562" s="216"/>
      <c r="AP562" s="216"/>
      <c r="AQ562" s="216"/>
      <c r="AR562" s="216"/>
      <c r="AS562" s="216"/>
      <c r="AT562" s="216"/>
      <c r="AU562" s="216"/>
      <c r="AV562" s="216"/>
      <c r="AW562" s="216"/>
      <c r="AX562" s="216"/>
      <c r="AY562" s="216"/>
      <c r="AZ562" s="216"/>
      <c r="BA562" s="216"/>
      <c r="BB562" s="216"/>
      <c r="BC562" s="216"/>
      <c r="BD562" s="216"/>
      <c r="BE562" s="216"/>
      <c r="BF562" s="216"/>
      <c r="BG562" s="216"/>
      <c r="BH562" s="216"/>
      <c r="BI562" s="216"/>
      <c r="BJ562" s="216"/>
      <c r="BK562" s="216"/>
      <c r="BL562" s="216"/>
      <c r="BM562" s="216"/>
      <c r="BN562" s="216"/>
      <c r="BO562" s="216"/>
      <c r="BP562" s="216"/>
      <c r="BQ562" s="216"/>
      <c r="BR562" s="216"/>
    </row>
    <row r="563" spans="1:70" ht="12.75" x14ac:dyDescent="0.2">
      <c r="A563" s="214"/>
      <c r="B563" s="214"/>
      <c r="C563" s="214"/>
      <c r="D563" s="214"/>
      <c r="E563" s="214"/>
      <c r="F563" s="214"/>
      <c r="G563" s="214"/>
      <c r="H563" s="214"/>
      <c r="I563" s="214"/>
      <c r="J563" s="214"/>
      <c r="K563" s="214"/>
      <c r="L563" s="214"/>
      <c r="M563" s="215"/>
      <c r="N563" s="215"/>
      <c r="O563" s="216"/>
      <c r="P563" s="216"/>
      <c r="Q563" s="216"/>
      <c r="R563" s="216"/>
      <c r="S563" s="216"/>
      <c r="T563" s="216"/>
      <c r="U563" s="216"/>
      <c r="V563" s="216"/>
      <c r="W563" s="216"/>
      <c r="X563" s="216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16"/>
      <c r="AN563" s="216"/>
      <c r="AO563" s="216"/>
      <c r="AP563" s="216"/>
      <c r="AQ563" s="216"/>
      <c r="AR563" s="216"/>
      <c r="AS563" s="216"/>
      <c r="AT563" s="216"/>
      <c r="AU563" s="216"/>
      <c r="AV563" s="216"/>
      <c r="AW563" s="216"/>
      <c r="AX563" s="216"/>
      <c r="AY563" s="216"/>
      <c r="AZ563" s="216"/>
      <c r="BA563" s="216"/>
      <c r="BB563" s="216"/>
      <c r="BC563" s="216"/>
      <c r="BD563" s="216"/>
      <c r="BE563" s="216"/>
      <c r="BF563" s="216"/>
      <c r="BG563" s="216"/>
      <c r="BH563" s="216"/>
      <c r="BI563" s="216"/>
      <c r="BJ563" s="216"/>
      <c r="BK563" s="216"/>
      <c r="BL563" s="216"/>
      <c r="BM563" s="216"/>
      <c r="BN563" s="216"/>
      <c r="BO563" s="216"/>
      <c r="BP563" s="216"/>
      <c r="BQ563" s="216"/>
      <c r="BR563" s="216"/>
    </row>
    <row r="564" spans="1:70" ht="12.75" x14ac:dyDescent="0.2">
      <c r="A564" s="214"/>
      <c r="B564" s="214"/>
      <c r="C564" s="214"/>
      <c r="D564" s="214"/>
      <c r="E564" s="214"/>
      <c r="F564" s="214"/>
      <c r="G564" s="214"/>
      <c r="H564" s="214"/>
      <c r="I564" s="214"/>
      <c r="J564" s="214"/>
      <c r="K564" s="214"/>
      <c r="L564" s="214"/>
      <c r="M564" s="215"/>
      <c r="N564" s="215"/>
      <c r="O564" s="216"/>
      <c r="P564" s="216"/>
      <c r="Q564" s="216"/>
      <c r="R564" s="216"/>
      <c r="S564" s="216"/>
      <c r="T564" s="216"/>
      <c r="U564" s="216"/>
      <c r="V564" s="216"/>
      <c r="W564" s="216"/>
      <c r="X564" s="216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16"/>
      <c r="AN564" s="216"/>
      <c r="AO564" s="216"/>
      <c r="AP564" s="216"/>
      <c r="AQ564" s="216"/>
      <c r="AR564" s="216"/>
      <c r="AS564" s="216"/>
      <c r="AT564" s="216"/>
      <c r="AU564" s="216"/>
      <c r="AV564" s="216"/>
      <c r="AW564" s="216"/>
      <c r="AX564" s="216"/>
      <c r="AY564" s="216"/>
      <c r="AZ564" s="216"/>
      <c r="BA564" s="216"/>
      <c r="BB564" s="216"/>
      <c r="BC564" s="216"/>
      <c r="BD564" s="216"/>
      <c r="BE564" s="216"/>
      <c r="BF564" s="216"/>
      <c r="BG564" s="216"/>
      <c r="BH564" s="216"/>
      <c r="BI564" s="216"/>
      <c r="BJ564" s="216"/>
      <c r="BK564" s="216"/>
      <c r="BL564" s="216"/>
      <c r="BM564" s="216"/>
      <c r="BN564" s="216"/>
      <c r="BO564" s="216"/>
      <c r="BP564" s="216"/>
      <c r="BQ564" s="216"/>
      <c r="BR564" s="216"/>
    </row>
    <row r="565" spans="1:70" ht="12.75" x14ac:dyDescent="0.2">
      <c r="A565" s="214"/>
      <c r="B565" s="214"/>
      <c r="C565" s="214"/>
      <c r="D565" s="214"/>
      <c r="E565" s="214"/>
      <c r="F565" s="214"/>
      <c r="G565" s="214"/>
      <c r="H565" s="214"/>
      <c r="I565" s="214"/>
      <c r="J565" s="214"/>
      <c r="K565" s="214"/>
      <c r="L565" s="214"/>
      <c r="M565" s="215"/>
      <c r="N565" s="215"/>
      <c r="O565" s="216"/>
      <c r="P565" s="216"/>
      <c r="Q565" s="216"/>
      <c r="R565" s="216"/>
      <c r="S565" s="216"/>
      <c r="T565" s="216"/>
      <c r="U565" s="216"/>
      <c r="V565" s="216"/>
      <c r="W565" s="216"/>
      <c r="X565" s="216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16"/>
      <c r="AN565" s="216"/>
      <c r="AO565" s="216"/>
      <c r="AP565" s="216"/>
      <c r="AQ565" s="216"/>
      <c r="AR565" s="216"/>
      <c r="AS565" s="216"/>
      <c r="AT565" s="216"/>
      <c r="AU565" s="216"/>
      <c r="AV565" s="216"/>
      <c r="AW565" s="216"/>
      <c r="AX565" s="216"/>
      <c r="AY565" s="216"/>
      <c r="AZ565" s="216"/>
      <c r="BA565" s="216"/>
      <c r="BB565" s="216"/>
      <c r="BC565" s="216"/>
      <c r="BD565" s="216"/>
      <c r="BE565" s="216"/>
      <c r="BF565" s="216"/>
      <c r="BG565" s="216"/>
      <c r="BH565" s="216"/>
      <c r="BI565" s="216"/>
      <c r="BJ565" s="216"/>
      <c r="BK565" s="216"/>
      <c r="BL565" s="216"/>
      <c r="BM565" s="216"/>
      <c r="BN565" s="216"/>
      <c r="BO565" s="216"/>
      <c r="BP565" s="216"/>
      <c r="BQ565" s="216"/>
      <c r="BR565" s="216"/>
    </row>
    <row r="566" spans="1:70" ht="12.75" x14ac:dyDescent="0.2">
      <c r="A566" s="214"/>
      <c r="B566" s="214"/>
      <c r="C566" s="214"/>
      <c r="D566" s="214"/>
      <c r="E566" s="214"/>
      <c r="F566" s="214"/>
      <c r="G566" s="214"/>
      <c r="H566" s="214"/>
      <c r="I566" s="214"/>
      <c r="J566" s="214"/>
      <c r="K566" s="214"/>
      <c r="L566" s="214"/>
      <c r="M566" s="215"/>
      <c r="N566" s="215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16"/>
      <c r="AN566" s="216"/>
      <c r="AO566" s="216"/>
      <c r="AP566" s="216"/>
      <c r="AQ566" s="216"/>
      <c r="AR566" s="216"/>
      <c r="AS566" s="216"/>
      <c r="AT566" s="216"/>
      <c r="AU566" s="216"/>
      <c r="AV566" s="216"/>
      <c r="AW566" s="216"/>
      <c r="AX566" s="216"/>
      <c r="AY566" s="216"/>
      <c r="AZ566" s="216"/>
      <c r="BA566" s="216"/>
      <c r="BB566" s="216"/>
      <c r="BC566" s="216"/>
      <c r="BD566" s="216"/>
      <c r="BE566" s="216"/>
      <c r="BF566" s="216"/>
      <c r="BG566" s="216"/>
      <c r="BH566" s="216"/>
      <c r="BI566" s="216"/>
      <c r="BJ566" s="216"/>
      <c r="BK566" s="216"/>
      <c r="BL566" s="216"/>
      <c r="BM566" s="216"/>
      <c r="BN566" s="216"/>
      <c r="BO566" s="216"/>
      <c r="BP566" s="216"/>
      <c r="BQ566" s="216"/>
      <c r="BR566" s="216"/>
    </row>
    <row r="567" spans="1:70" ht="12.75" x14ac:dyDescent="0.2">
      <c r="A567" s="214"/>
      <c r="B567" s="214"/>
      <c r="C567" s="214"/>
      <c r="D567" s="214"/>
      <c r="E567" s="214"/>
      <c r="F567" s="214"/>
      <c r="G567" s="214"/>
      <c r="H567" s="214"/>
      <c r="I567" s="214"/>
      <c r="J567" s="214"/>
      <c r="K567" s="214"/>
      <c r="L567" s="214"/>
      <c r="M567" s="215"/>
      <c r="N567" s="215"/>
      <c r="O567" s="216"/>
      <c r="P567" s="216"/>
      <c r="Q567" s="216"/>
      <c r="R567" s="216"/>
      <c r="S567" s="216"/>
      <c r="T567" s="216"/>
      <c r="U567" s="216"/>
      <c r="V567" s="216"/>
      <c r="W567" s="216"/>
      <c r="X567" s="216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16"/>
      <c r="AN567" s="216"/>
      <c r="AO567" s="216"/>
      <c r="AP567" s="216"/>
      <c r="AQ567" s="216"/>
      <c r="AR567" s="216"/>
      <c r="AS567" s="216"/>
      <c r="AT567" s="216"/>
      <c r="AU567" s="216"/>
      <c r="AV567" s="216"/>
      <c r="AW567" s="216"/>
      <c r="AX567" s="216"/>
      <c r="AY567" s="216"/>
      <c r="AZ567" s="216"/>
      <c r="BA567" s="216"/>
      <c r="BB567" s="216"/>
      <c r="BC567" s="216"/>
      <c r="BD567" s="216"/>
      <c r="BE567" s="216"/>
      <c r="BF567" s="216"/>
      <c r="BG567" s="216"/>
      <c r="BH567" s="216"/>
      <c r="BI567" s="216"/>
      <c r="BJ567" s="216"/>
      <c r="BK567" s="216"/>
      <c r="BL567" s="216"/>
      <c r="BM567" s="216"/>
      <c r="BN567" s="216"/>
      <c r="BO567" s="216"/>
      <c r="BP567" s="216"/>
      <c r="BQ567" s="216"/>
      <c r="BR567" s="216"/>
    </row>
    <row r="568" spans="1:70" ht="12.75" x14ac:dyDescent="0.2">
      <c r="A568" s="214"/>
      <c r="B568" s="214"/>
      <c r="C568" s="214"/>
      <c r="D568" s="214"/>
      <c r="E568" s="214"/>
      <c r="F568" s="214"/>
      <c r="G568" s="214"/>
      <c r="H568" s="214"/>
      <c r="I568" s="214"/>
      <c r="J568" s="214"/>
      <c r="K568" s="214"/>
      <c r="L568" s="214"/>
      <c r="M568" s="215"/>
      <c r="N568" s="215"/>
      <c r="O568" s="216"/>
      <c r="P568" s="216"/>
      <c r="Q568" s="216"/>
      <c r="R568" s="216"/>
      <c r="S568" s="216"/>
      <c r="T568" s="216"/>
      <c r="U568" s="216"/>
      <c r="V568" s="216"/>
      <c r="W568" s="216"/>
      <c r="X568" s="216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16"/>
      <c r="AN568" s="216"/>
      <c r="AO568" s="216"/>
      <c r="AP568" s="216"/>
      <c r="AQ568" s="216"/>
      <c r="AR568" s="216"/>
      <c r="AS568" s="216"/>
      <c r="AT568" s="216"/>
      <c r="AU568" s="216"/>
      <c r="AV568" s="216"/>
      <c r="AW568" s="216"/>
      <c r="AX568" s="216"/>
      <c r="AY568" s="216"/>
      <c r="AZ568" s="216"/>
      <c r="BA568" s="216"/>
      <c r="BB568" s="216"/>
      <c r="BC568" s="216"/>
      <c r="BD568" s="216"/>
      <c r="BE568" s="216"/>
      <c r="BF568" s="216"/>
      <c r="BG568" s="216"/>
      <c r="BH568" s="216"/>
      <c r="BI568" s="216"/>
      <c r="BJ568" s="216"/>
      <c r="BK568" s="216"/>
      <c r="BL568" s="216"/>
      <c r="BM568" s="216"/>
      <c r="BN568" s="216"/>
      <c r="BO568" s="216"/>
      <c r="BP568" s="216"/>
      <c r="BQ568" s="216"/>
      <c r="BR568" s="216"/>
    </row>
    <row r="569" spans="1:70" ht="12.75" x14ac:dyDescent="0.2">
      <c r="A569" s="214"/>
      <c r="B569" s="214"/>
      <c r="C569" s="214"/>
      <c r="D569" s="214"/>
      <c r="E569" s="214"/>
      <c r="F569" s="214"/>
      <c r="G569" s="214"/>
      <c r="H569" s="214"/>
      <c r="I569" s="214"/>
      <c r="J569" s="214"/>
      <c r="K569" s="214"/>
      <c r="L569" s="214"/>
      <c r="M569" s="215"/>
      <c r="N569" s="215"/>
      <c r="O569" s="216"/>
      <c r="P569" s="216"/>
      <c r="Q569" s="216"/>
      <c r="R569" s="216"/>
      <c r="S569" s="216"/>
      <c r="T569" s="216"/>
      <c r="U569" s="216"/>
      <c r="V569" s="216"/>
      <c r="W569" s="216"/>
      <c r="X569" s="216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16"/>
      <c r="AN569" s="216"/>
      <c r="AO569" s="216"/>
      <c r="AP569" s="216"/>
      <c r="AQ569" s="216"/>
      <c r="AR569" s="216"/>
      <c r="AS569" s="216"/>
      <c r="AT569" s="216"/>
      <c r="AU569" s="216"/>
      <c r="AV569" s="216"/>
      <c r="AW569" s="216"/>
      <c r="AX569" s="216"/>
      <c r="AY569" s="216"/>
      <c r="AZ569" s="216"/>
      <c r="BA569" s="216"/>
      <c r="BB569" s="216"/>
      <c r="BC569" s="216"/>
      <c r="BD569" s="216"/>
      <c r="BE569" s="216"/>
      <c r="BF569" s="216"/>
      <c r="BG569" s="216"/>
      <c r="BH569" s="216"/>
      <c r="BI569" s="216"/>
      <c r="BJ569" s="216"/>
      <c r="BK569" s="216"/>
      <c r="BL569" s="216"/>
      <c r="BM569" s="216"/>
      <c r="BN569" s="216"/>
      <c r="BO569" s="216"/>
      <c r="BP569" s="216"/>
      <c r="BQ569" s="216"/>
      <c r="BR569" s="216"/>
    </row>
    <row r="570" spans="1:70" ht="12.75" x14ac:dyDescent="0.2">
      <c r="A570" s="214"/>
      <c r="B570" s="214"/>
      <c r="C570" s="214"/>
      <c r="D570" s="214"/>
      <c r="E570" s="214"/>
      <c r="F570" s="214"/>
      <c r="G570" s="214"/>
      <c r="H570" s="214"/>
      <c r="I570" s="214"/>
      <c r="J570" s="214"/>
      <c r="K570" s="214"/>
      <c r="L570" s="214"/>
      <c r="M570" s="215"/>
      <c r="N570" s="215"/>
      <c r="O570" s="216"/>
      <c r="P570" s="216"/>
      <c r="Q570" s="216"/>
      <c r="R570" s="216"/>
      <c r="S570" s="216"/>
      <c r="T570" s="216"/>
      <c r="U570" s="216"/>
      <c r="V570" s="216"/>
      <c r="W570" s="216"/>
      <c r="X570" s="216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16"/>
      <c r="AN570" s="216"/>
      <c r="AO570" s="216"/>
      <c r="AP570" s="216"/>
      <c r="AQ570" s="216"/>
      <c r="AR570" s="216"/>
      <c r="AS570" s="216"/>
      <c r="AT570" s="216"/>
      <c r="AU570" s="216"/>
      <c r="AV570" s="216"/>
      <c r="AW570" s="216"/>
      <c r="AX570" s="216"/>
      <c r="AY570" s="216"/>
      <c r="AZ570" s="216"/>
      <c r="BA570" s="216"/>
      <c r="BB570" s="216"/>
      <c r="BC570" s="216"/>
      <c r="BD570" s="216"/>
      <c r="BE570" s="216"/>
      <c r="BF570" s="216"/>
      <c r="BG570" s="216"/>
      <c r="BH570" s="216"/>
      <c r="BI570" s="216"/>
      <c r="BJ570" s="216"/>
      <c r="BK570" s="216"/>
      <c r="BL570" s="216"/>
      <c r="BM570" s="216"/>
      <c r="BN570" s="216"/>
      <c r="BO570" s="216"/>
      <c r="BP570" s="216"/>
      <c r="BQ570" s="216"/>
      <c r="BR570" s="216"/>
    </row>
    <row r="571" spans="1:70" ht="12.75" x14ac:dyDescent="0.2">
      <c r="A571" s="214"/>
      <c r="B571" s="214"/>
      <c r="C571" s="214"/>
      <c r="D571" s="214"/>
      <c r="E571" s="214"/>
      <c r="F571" s="214"/>
      <c r="G571" s="214"/>
      <c r="H571" s="214"/>
      <c r="I571" s="214"/>
      <c r="J571" s="214"/>
      <c r="K571" s="214"/>
      <c r="L571" s="214"/>
      <c r="M571" s="215"/>
      <c r="N571" s="215"/>
      <c r="O571" s="216"/>
      <c r="P571" s="216"/>
      <c r="Q571" s="216"/>
      <c r="R571" s="216"/>
      <c r="S571" s="216"/>
      <c r="T571" s="216"/>
      <c r="U571" s="216"/>
      <c r="V571" s="216"/>
      <c r="W571" s="216"/>
      <c r="X571" s="216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16"/>
      <c r="AN571" s="216"/>
      <c r="AO571" s="216"/>
      <c r="AP571" s="216"/>
      <c r="AQ571" s="216"/>
      <c r="AR571" s="216"/>
      <c r="AS571" s="216"/>
      <c r="AT571" s="216"/>
      <c r="AU571" s="216"/>
      <c r="AV571" s="216"/>
      <c r="AW571" s="216"/>
      <c r="AX571" s="216"/>
      <c r="AY571" s="216"/>
      <c r="AZ571" s="216"/>
      <c r="BA571" s="216"/>
      <c r="BB571" s="216"/>
      <c r="BC571" s="216"/>
      <c r="BD571" s="216"/>
      <c r="BE571" s="216"/>
      <c r="BF571" s="216"/>
      <c r="BG571" s="216"/>
      <c r="BH571" s="216"/>
      <c r="BI571" s="216"/>
      <c r="BJ571" s="216"/>
      <c r="BK571" s="216"/>
      <c r="BL571" s="216"/>
      <c r="BM571" s="216"/>
      <c r="BN571" s="216"/>
      <c r="BO571" s="216"/>
      <c r="BP571" s="216"/>
      <c r="BQ571" s="216"/>
      <c r="BR571" s="216"/>
    </row>
    <row r="572" spans="1:70" ht="12.75" x14ac:dyDescent="0.2">
      <c r="A572" s="214"/>
      <c r="B572" s="214"/>
      <c r="C572" s="214"/>
      <c r="D572" s="214"/>
      <c r="E572" s="214"/>
      <c r="F572" s="214"/>
      <c r="G572" s="214"/>
      <c r="H572" s="214"/>
      <c r="I572" s="214"/>
      <c r="J572" s="214"/>
      <c r="K572" s="214"/>
      <c r="L572" s="214"/>
      <c r="M572" s="215"/>
      <c r="N572" s="215"/>
      <c r="O572" s="216"/>
      <c r="P572" s="216"/>
      <c r="Q572" s="216"/>
      <c r="R572" s="216"/>
      <c r="S572" s="216"/>
      <c r="T572" s="216"/>
      <c r="U572" s="216"/>
      <c r="V572" s="216"/>
      <c r="W572" s="216"/>
      <c r="X572" s="216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16"/>
      <c r="AN572" s="216"/>
      <c r="AO572" s="216"/>
      <c r="AP572" s="216"/>
      <c r="AQ572" s="216"/>
      <c r="AR572" s="216"/>
      <c r="AS572" s="216"/>
      <c r="AT572" s="216"/>
      <c r="AU572" s="216"/>
      <c r="AV572" s="216"/>
      <c r="AW572" s="216"/>
      <c r="AX572" s="216"/>
      <c r="AY572" s="216"/>
      <c r="AZ572" s="216"/>
      <c r="BA572" s="216"/>
      <c r="BB572" s="216"/>
      <c r="BC572" s="216"/>
      <c r="BD572" s="216"/>
      <c r="BE572" s="216"/>
      <c r="BF572" s="216"/>
      <c r="BG572" s="216"/>
      <c r="BH572" s="216"/>
      <c r="BI572" s="216"/>
      <c r="BJ572" s="216"/>
      <c r="BK572" s="216"/>
      <c r="BL572" s="216"/>
      <c r="BM572" s="216"/>
      <c r="BN572" s="216"/>
      <c r="BO572" s="216"/>
      <c r="BP572" s="216"/>
      <c r="BQ572" s="216"/>
      <c r="BR572" s="216"/>
    </row>
    <row r="573" spans="1:70" ht="12.75" x14ac:dyDescent="0.2">
      <c r="A573" s="214"/>
      <c r="B573" s="214"/>
      <c r="C573" s="214"/>
      <c r="D573" s="214"/>
      <c r="E573" s="214"/>
      <c r="F573" s="214"/>
      <c r="G573" s="214"/>
      <c r="H573" s="214"/>
      <c r="I573" s="214"/>
      <c r="J573" s="214"/>
      <c r="K573" s="214"/>
      <c r="L573" s="214"/>
      <c r="M573" s="215"/>
      <c r="N573" s="215"/>
      <c r="O573" s="216"/>
      <c r="P573" s="216"/>
      <c r="Q573" s="216"/>
      <c r="R573" s="216"/>
      <c r="S573" s="216"/>
      <c r="T573" s="216"/>
      <c r="U573" s="216"/>
      <c r="V573" s="216"/>
      <c r="W573" s="216"/>
      <c r="X573" s="216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16"/>
      <c r="AN573" s="216"/>
      <c r="AO573" s="216"/>
      <c r="AP573" s="216"/>
      <c r="AQ573" s="216"/>
      <c r="AR573" s="216"/>
      <c r="AS573" s="216"/>
      <c r="AT573" s="216"/>
      <c r="AU573" s="216"/>
      <c r="AV573" s="216"/>
      <c r="AW573" s="216"/>
      <c r="AX573" s="216"/>
      <c r="AY573" s="216"/>
      <c r="AZ573" s="216"/>
      <c r="BA573" s="216"/>
      <c r="BB573" s="216"/>
      <c r="BC573" s="216"/>
      <c r="BD573" s="216"/>
      <c r="BE573" s="216"/>
      <c r="BF573" s="216"/>
      <c r="BG573" s="216"/>
      <c r="BH573" s="216"/>
      <c r="BI573" s="216"/>
      <c r="BJ573" s="216"/>
      <c r="BK573" s="216"/>
      <c r="BL573" s="216"/>
      <c r="BM573" s="216"/>
      <c r="BN573" s="216"/>
      <c r="BO573" s="216"/>
      <c r="BP573" s="216"/>
      <c r="BQ573" s="216"/>
      <c r="BR573" s="216"/>
    </row>
    <row r="574" spans="1:70" ht="12.75" x14ac:dyDescent="0.2">
      <c r="A574" s="214"/>
      <c r="B574" s="214"/>
      <c r="C574" s="214"/>
      <c r="D574" s="214"/>
      <c r="E574" s="214"/>
      <c r="F574" s="214"/>
      <c r="G574" s="214"/>
      <c r="H574" s="214"/>
      <c r="I574" s="214"/>
      <c r="J574" s="214"/>
      <c r="K574" s="214"/>
      <c r="L574" s="214"/>
      <c r="M574" s="215"/>
      <c r="N574" s="215"/>
      <c r="O574" s="216"/>
      <c r="P574" s="216"/>
      <c r="Q574" s="216"/>
      <c r="R574" s="216"/>
      <c r="S574" s="216"/>
      <c r="T574" s="216"/>
      <c r="U574" s="216"/>
      <c r="V574" s="216"/>
      <c r="W574" s="216"/>
      <c r="X574" s="216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16"/>
      <c r="AN574" s="216"/>
      <c r="AO574" s="216"/>
      <c r="AP574" s="216"/>
      <c r="AQ574" s="216"/>
      <c r="AR574" s="216"/>
      <c r="AS574" s="216"/>
      <c r="AT574" s="216"/>
      <c r="AU574" s="216"/>
      <c r="AV574" s="216"/>
      <c r="AW574" s="216"/>
      <c r="AX574" s="216"/>
      <c r="AY574" s="216"/>
      <c r="AZ574" s="216"/>
      <c r="BA574" s="216"/>
      <c r="BB574" s="216"/>
      <c r="BC574" s="216"/>
      <c r="BD574" s="216"/>
      <c r="BE574" s="216"/>
      <c r="BF574" s="216"/>
      <c r="BG574" s="216"/>
      <c r="BH574" s="216"/>
      <c r="BI574" s="216"/>
      <c r="BJ574" s="216"/>
      <c r="BK574" s="216"/>
      <c r="BL574" s="216"/>
      <c r="BM574" s="216"/>
      <c r="BN574" s="216"/>
      <c r="BO574" s="216"/>
      <c r="BP574" s="216"/>
      <c r="BQ574" s="216"/>
      <c r="BR574" s="216"/>
    </row>
    <row r="575" spans="1:70" ht="12.75" x14ac:dyDescent="0.2">
      <c r="A575" s="214"/>
      <c r="B575" s="214"/>
      <c r="C575" s="214"/>
      <c r="D575" s="214"/>
      <c r="E575" s="214"/>
      <c r="F575" s="214"/>
      <c r="G575" s="214"/>
      <c r="H575" s="214"/>
      <c r="I575" s="214"/>
      <c r="J575" s="214"/>
      <c r="K575" s="214"/>
      <c r="L575" s="214"/>
      <c r="M575" s="215"/>
      <c r="N575" s="215"/>
      <c r="O575" s="216"/>
      <c r="P575" s="216"/>
      <c r="Q575" s="216"/>
      <c r="R575" s="216"/>
      <c r="S575" s="216"/>
      <c r="T575" s="216"/>
      <c r="U575" s="216"/>
      <c r="V575" s="216"/>
      <c r="W575" s="216"/>
      <c r="X575" s="216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16"/>
      <c r="AN575" s="216"/>
      <c r="AO575" s="216"/>
      <c r="AP575" s="216"/>
      <c r="AQ575" s="216"/>
      <c r="AR575" s="216"/>
      <c r="AS575" s="216"/>
      <c r="AT575" s="216"/>
      <c r="AU575" s="216"/>
      <c r="AV575" s="216"/>
      <c r="AW575" s="216"/>
      <c r="AX575" s="216"/>
      <c r="AY575" s="216"/>
      <c r="AZ575" s="216"/>
      <c r="BA575" s="216"/>
      <c r="BB575" s="216"/>
      <c r="BC575" s="216"/>
      <c r="BD575" s="216"/>
      <c r="BE575" s="216"/>
      <c r="BF575" s="216"/>
      <c r="BG575" s="216"/>
      <c r="BH575" s="216"/>
      <c r="BI575" s="216"/>
      <c r="BJ575" s="216"/>
      <c r="BK575" s="216"/>
      <c r="BL575" s="216"/>
      <c r="BM575" s="216"/>
      <c r="BN575" s="216"/>
      <c r="BO575" s="216"/>
      <c r="BP575" s="216"/>
      <c r="BQ575" s="216"/>
      <c r="BR575" s="216"/>
    </row>
    <row r="576" spans="1:70" ht="12.75" x14ac:dyDescent="0.2">
      <c r="A576" s="214"/>
      <c r="B576" s="214"/>
      <c r="C576" s="214"/>
      <c r="D576" s="214"/>
      <c r="E576" s="214"/>
      <c r="F576" s="214"/>
      <c r="G576" s="214"/>
      <c r="H576" s="214"/>
      <c r="I576" s="214"/>
      <c r="J576" s="214"/>
      <c r="K576" s="214"/>
      <c r="L576" s="214"/>
      <c r="M576" s="215"/>
      <c r="N576" s="215"/>
      <c r="O576" s="216"/>
      <c r="P576" s="216"/>
      <c r="Q576" s="216"/>
      <c r="R576" s="216"/>
      <c r="S576" s="216"/>
      <c r="T576" s="216"/>
      <c r="U576" s="216"/>
      <c r="V576" s="216"/>
      <c r="W576" s="216"/>
      <c r="X576" s="216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16"/>
      <c r="AN576" s="216"/>
      <c r="AO576" s="216"/>
      <c r="AP576" s="216"/>
      <c r="AQ576" s="216"/>
      <c r="AR576" s="216"/>
      <c r="AS576" s="216"/>
      <c r="AT576" s="216"/>
      <c r="AU576" s="216"/>
      <c r="AV576" s="216"/>
      <c r="AW576" s="216"/>
      <c r="AX576" s="216"/>
      <c r="AY576" s="216"/>
      <c r="AZ576" s="216"/>
      <c r="BA576" s="216"/>
      <c r="BB576" s="216"/>
      <c r="BC576" s="216"/>
      <c r="BD576" s="216"/>
      <c r="BE576" s="216"/>
      <c r="BF576" s="216"/>
      <c r="BG576" s="216"/>
      <c r="BH576" s="216"/>
      <c r="BI576" s="216"/>
      <c r="BJ576" s="216"/>
      <c r="BK576" s="216"/>
      <c r="BL576" s="216"/>
      <c r="BM576" s="216"/>
      <c r="BN576" s="216"/>
      <c r="BO576" s="216"/>
      <c r="BP576" s="216"/>
      <c r="BQ576" s="216"/>
      <c r="BR576" s="216"/>
    </row>
    <row r="577" spans="1:70" ht="12.75" x14ac:dyDescent="0.2">
      <c r="A577" s="214"/>
      <c r="B577" s="214"/>
      <c r="C577" s="214"/>
      <c r="D577" s="214"/>
      <c r="E577" s="214"/>
      <c r="F577" s="214"/>
      <c r="G577" s="214"/>
      <c r="H577" s="214"/>
      <c r="I577" s="214"/>
      <c r="J577" s="214"/>
      <c r="K577" s="214"/>
      <c r="L577" s="214"/>
      <c r="M577" s="215"/>
      <c r="N577" s="215"/>
      <c r="O577" s="216"/>
      <c r="P577" s="216"/>
      <c r="Q577" s="216"/>
      <c r="R577" s="216"/>
      <c r="S577" s="216"/>
      <c r="T577" s="216"/>
      <c r="U577" s="216"/>
      <c r="V577" s="216"/>
      <c r="W577" s="216"/>
      <c r="X577" s="216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16"/>
      <c r="AN577" s="216"/>
      <c r="AO577" s="216"/>
      <c r="AP577" s="216"/>
      <c r="AQ577" s="216"/>
      <c r="AR577" s="216"/>
      <c r="AS577" s="216"/>
      <c r="AT577" s="216"/>
      <c r="AU577" s="216"/>
      <c r="AV577" s="216"/>
      <c r="AW577" s="216"/>
      <c r="AX577" s="216"/>
      <c r="AY577" s="216"/>
      <c r="AZ577" s="216"/>
      <c r="BA577" s="216"/>
      <c r="BB577" s="216"/>
      <c r="BC577" s="216"/>
      <c r="BD577" s="216"/>
      <c r="BE577" s="216"/>
      <c r="BF577" s="216"/>
      <c r="BG577" s="216"/>
      <c r="BH577" s="216"/>
      <c r="BI577" s="216"/>
      <c r="BJ577" s="216"/>
      <c r="BK577" s="216"/>
      <c r="BL577" s="216"/>
      <c r="BM577" s="216"/>
      <c r="BN577" s="216"/>
      <c r="BO577" s="216"/>
      <c r="BP577" s="216"/>
      <c r="BQ577" s="216"/>
      <c r="BR577" s="216"/>
    </row>
    <row r="578" spans="1:70" ht="12.75" x14ac:dyDescent="0.2">
      <c r="A578" s="214"/>
      <c r="B578" s="214"/>
      <c r="C578" s="214"/>
      <c r="D578" s="214"/>
      <c r="E578" s="214"/>
      <c r="F578" s="214"/>
      <c r="G578" s="214"/>
      <c r="H578" s="214"/>
      <c r="I578" s="214"/>
      <c r="J578" s="214"/>
      <c r="K578" s="214"/>
      <c r="L578" s="214"/>
      <c r="M578" s="215"/>
      <c r="N578" s="215"/>
      <c r="O578" s="216"/>
      <c r="P578" s="216"/>
      <c r="Q578" s="216"/>
      <c r="R578" s="216"/>
      <c r="S578" s="216"/>
      <c r="T578" s="216"/>
      <c r="U578" s="216"/>
      <c r="V578" s="216"/>
      <c r="W578" s="216"/>
      <c r="X578" s="216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16"/>
      <c r="AN578" s="216"/>
      <c r="AO578" s="216"/>
      <c r="AP578" s="216"/>
      <c r="AQ578" s="216"/>
      <c r="AR578" s="216"/>
      <c r="AS578" s="216"/>
      <c r="AT578" s="216"/>
      <c r="AU578" s="216"/>
      <c r="AV578" s="216"/>
      <c r="AW578" s="216"/>
      <c r="AX578" s="216"/>
      <c r="AY578" s="216"/>
      <c r="AZ578" s="216"/>
      <c r="BA578" s="216"/>
      <c r="BB578" s="216"/>
      <c r="BC578" s="216"/>
      <c r="BD578" s="216"/>
      <c r="BE578" s="216"/>
      <c r="BF578" s="216"/>
      <c r="BG578" s="216"/>
      <c r="BH578" s="216"/>
      <c r="BI578" s="216"/>
      <c r="BJ578" s="216"/>
      <c r="BK578" s="216"/>
      <c r="BL578" s="216"/>
      <c r="BM578" s="216"/>
      <c r="BN578" s="216"/>
      <c r="BO578" s="216"/>
      <c r="BP578" s="216"/>
      <c r="BQ578" s="216"/>
      <c r="BR578" s="216"/>
    </row>
    <row r="579" spans="1:70" ht="12.75" x14ac:dyDescent="0.2">
      <c r="A579" s="214"/>
      <c r="B579" s="214"/>
      <c r="C579" s="214"/>
      <c r="D579" s="214"/>
      <c r="E579" s="214"/>
      <c r="F579" s="214"/>
      <c r="G579" s="214"/>
      <c r="H579" s="214"/>
      <c r="I579" s="214"/>
      <c r="J579" s="214"/>
      <c r="K579" s="214"/>
      <c r="L579" s="214"/>
      <c r="M579" s="215"/>
      <c r="N579" s="215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16"/>
      <c r="AN579" s="216"/>
      <c r="AO579" s="216"/>
      <c r="AP579" s="216"/>
      <c r="AQ579" s="216"/>
      <c r="AR579" s="216"/>
      <c r="AS579" s="216"/>
      <c r="AT579" s="216"/>
      <c r="AU579" s="216"/>
      <c r="AV579" s="216"/>
      <c r="AW579" s="216"/>
      <c r="AX579" s="216"/>
      <c r="AY579" s="216"/>
      <c r="AZ579" s="216"/>
      <c r="BA579" s="216"/>
      <c r="BB579" s="216"/>
      <c r="BC579" s="216"/>
      <c r="BD579" s="216"/>
      <c r="BE579" s="216"/>
      <c r="BF579" s="216"/>
      <c r="BG579" s="216"/>
      <c r="BH579" s="216"/>
      <c r="BI579" s="216"/>
      <c r="BJ579" s="216"/>
      <c r="BK579" s="216"/>
      <c r="BL579" s="216"/>
      <c r="BM579" s="216"/>
      <c r="BN579" s="216"/>
      <c r="BO579" s="216"/>
      <c r="BP579" s="216"/>
      <c r="BQ579" s="216"/>
      <c r="BR579" s="216"/>
    </row>
    <row r="580" spans="1:70" ht="12.75" x14ac:dyDescent="0.2">
      <c r="A580" s="214"/>
      <c r="B580" s="214"/>
      <c r="C580" s="214"/>
      <c r="D580" s="214"/>
      <c r="E580" s="214"/>
      <c r="F580" s="214"/>
      <c r="G580" s="214"/>
      <c r="H580" s="214"/>
      <c r="I580" s="214"/>
      <c r="J580" s="214"/>
      <c r="K580" s="214"/>
      <c r="L580" s="214"/>
      <c r="M580" s="215"/>
      <c r="N580" s="215"/>
      <c r="O580" s="216"/>
      <c r="P580" s="216"/>
      <c r="Q580" s="216"/>
      <c r="R580" s="216"/>
      <c r="S580" s="216"/>
      <c r="T580" s="216"/>
      <c r="U580" s="216"/>
      <c r="V580" s="216"/>
      <c r="W580" s="216"/>
      <c r="X580" s="216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16"/>
      <c r="AN580" s="216"/>
      <c r="AO580" s="216"/>
      <c r="AP580" s="216"/>
      <c r="AQ580" s="216"/>
      <c r="AR580" s="216"/>
      <c r="AS580" s="216"/>
      <c r="AT580" s="216"/>
      <c r="AU580" s="216"/>
      <c r="AV580" s="216"/>
      <c r="AW580" s="216"/>
      <c r="AX580" s="216"/>
      <c r="AY580" s="216"/>
      <c r="AZ580" s="216"/>
      <c r="BA580" s="216"/>
      <c r="BB580" s="216"/>
      <c r="BC580" s="216"/>
      <c r="BD580" s="216"/>
      <c r="BE580" s="216"/>
      <c r="BF580" s="216"/>
      <c r="BG580" s="216"/>
      <c r="BH580" s="216"/>
      <c r="BI580" s="216"/>
      <c r="BJ580" s="216"/>
      <c r="BK580" s="216"/>
      <c r="BL580" s="216"/>
      <c r="BM580" s="216"/>
      <c r="BN580" s="216"/>
      <c r="BO580" s="216"/>
      <c r="BP580" s="216"/>
      <c r="BQ580" s="216"/>
      <c r="BR580" s="216"/>
    </row>
    <row r="581" spans="1:70" ht="12.75" x14ac:dyDescent="0.2">
      <c r="A581" s="214"/>
      <c r="B581" s="214"/>
      <c r="C581" s="214"/>
      <c r="D581" s="214"/>
      <c r="E581" s="214"/>
      <c r="F581" s="214"/>
      <c r="G581" s="214"/>
      <c r="H581" s="214"/>
      <c r="I581" s="214"/>
      <c r="J581" s="214"/>
      <c r="K581" s="214"/>
      <c r="L581" s="214"/>
      <c r="M581" s="215"/>
      <c r="N581" s="215"/>
      <c r="O581" s="216"/>
      <c r="P581" s="216"/>
      <c r="Q581" s="216"/>
      <c r="R581" s="216"/>
      <c r="S581" s="216"/>
      <c r="T581" s="216"/>
      <c r="U581" s="216"/>
      <c r="V581" s="216"/>
      <c r="W581" s="216"/>
      <c r="X581" s="216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16"/>
      <c r="AN581" s="216"/>
      <c r="AO581" s="216"/>
      <c r="AP581" s="216"/>
      <c r="AQ581" s="216"/>
      <c r="AR581" s="216"/>
      <c r="AS581" s="216"/>
      <c r="AT581" s="216"/>
      <c r="AU581" s="216"/>
      <c r="AV581" s="216"/>
      <c r="AW581" s="216"/>
      <c r="AX581" s="216"/>
      <c r="AY581" s="216"/>
      <c r="AZ581" s="216"/>
      <c r="BA581" s="216"/>
      <c r="BB581" s="216"/>
      <c r="BC581" s="216"/>
      <c r="BD581" s="216"/>
      <c r="BE581" s="216"/>
      <c r="BF581" s="216"/>
      <c r="BG581" s="216"/>
      <c r="BH581" s="216"/>
      <c r="BI581" s="216"/>
      <c r="BJ581" s="216"/>
      <c r="BK581" s="216"/>
      <c r="BL581" s="216"/>
      <c r="BM581" s="216"/>
      <c r="BN581" s="216"/>
      <c r="BO581" s="216"/>
      <c r="BP581" s="216"/>
      <c r="BQ581" s="216"/>
      <c r="BR581" s="216"/>
    </row>
    <row r="582" spans="1:70" ht="12.75" x14ac:dyDescent="0.2">
      <c r="A582" s="214"/>
      <c r="B582" s="214"/>
      <c r="C582" s="214"/>
      <c r="D582" s="214"/>
      <c r="E582" s="214"/>
      <c r="F582" s="214"/>
      <c r="G582" s="214"/>
      <c r="H582" s="214"/>
      <c r="I582" s="214"/>
      <c r="J582" s="214"/>
      <c r="K582" s="214"/>
      <c r="L582" s="214"/>
      <c r="M582" s="215"/>
      <c r="N582" s="215"/>
      <c r="O582" s="216"/>
      <c r="P582" s="216"/>
      <c r="Q582" s="216"/>
      <c r="R582" s="216"/>
      <c r="S582" s="216"/>
      <c r="T582" s="216"/>
      <c r="U582" s="216"/>
      <c r="V582" s="216"/>
      <c r="W582" s="216"/>
      <c r="X582" s="216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16"/>
      <c r="AN582" s="216"/>
      <c r="AO582" s="216"/>
      <c r="AP582" s="216"/>
      <c r="AQ582" s="216"/>
      <c r="AR582" s="216"/>
      <c r="AS582" s="216"/>
      <c r="AT582" s="216"/>
      <c r="AU582" s="216"/>
      <c r="AV582" s="216"/>
      <c r="AW582" s="216"/>
      <c r="AX582" s="216"/>
      <c r="AY582" s="216"/>
      <c r="AZ582" s="216"/>
      <c r="BA582" s="216"/>
      <c r="BB582" s="216"/>
      <c r="BC582" s="216"/>
      <c r="BD582" s="216"/>
      <c r="BE582" s="216"/>
      <c r="BF582" s="216"/>
      <c r="BG582" s="216"/>
      <c r="BH582" s="216"/>
      <c r="BI582" s="216"/>
      <c r="BJ582" s="216"/>
      <c r="BK582" s="216"/>
      <c r="BL582" s="216"/>
      <c r="BM582" s="216"/>
      <c r="BN582" s="216"/>
      <c r="BO582" s="216"/>
      <c r="BP582" s="216"/>
      <c r="BQ582" s="216"/>
      <c r="BR582" s="216"/>
    </row>
    <row r="583" spans="1:70" ht="12.75" x14ac:dyDescent="0.2">
      <c r="A583" s="214"/>
      <c r="B583" s="214"/>
      <c r="C583" s="214"/>
      <c r="D583" s="214"/>
      <c r="E583" s="214"/>
      <c r="F583" s="214"/>
      <c r="G583" s="214"/>
      <c r="H583" s="214"/>
      <c r="I583" s="214"/>
      <c r="J583" s="214"/>
      <c r="K583" s="214"/>
      <c r="L583" s="214"/>
      <c r="M583" s="215"/>
      <c r="N583" s="215"/>
      <c r="O583" s="216"/>
      <c r="P583" s="216"/>
      <c r="Q583" s="216"/>
      <c r="R583" s="216"/>
      <c r="S583" s="216"/>
      <c r="T583" s="216"/>
      <c r="U583" s="216"/>
      <c r="V583" s="216"/>
      <c r="W583" s="216"/>
      <c r="X583" s="216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16"/>
      <c r="AN583" s="216"/>
      <c r="AO583" s="216"/>
      <c r="AP583" s="216"/>
      <c r="AQ583" s="216"/>
      <c r="AR583" s="216"/>
      <c r="AS583" s="216"/>
      <c r="AT583" s="216"/>
      <c r="AU583" s="216"/>
      <c r="AV583" s="216"/>
      <c r="AW583" s="216"/>
      <c r="AX583" s="216"/>
      <c r="AY583" s="216"/>
      <c r="AZ583" s="216"/>
      <c r="BA583" s="216"/>
      <c r="BB583" s="216"/>
      <c r="BC583" s="216"/>
      <c r="BD583" s="216"/>
      <c r="BE583" s="216"/>
      <c r="BF583" s="216"/>
      <c r="BG583" s="216"/>
      <c r="BH583" s="216"/>
      <c r="BI583" s="216"/>
      <c r="BJ583" s="216"/>
      <c r="BK583" s="216"/>
      <c r="BL583" s="216"/>
      <c r="BM583" s="216"/>
      <c r="BN583" s="216"/>
      <c r="BO583" s="216"/>
      <c r="BP583" s="216"/>
      <c r="BQ583" s="216"/>
      <c r="BR583" s="216"/>
    </row>
    <row r="584" spans="1:70" ht="12.75" x14ac:dyDescent="0.2">
      <c r="A584" s="214"/>
      <c r="B584" s="214"/>
      <c r="C584" s="214"/>
      <c r="D584" s="214"/>
      <c r="E584" s="214"/>
      <c r="F584" s="214"/>
      <c r="G584" s="214"/>
      <c r="H584" s="214"/>
      <c r="I584" s="214"/>
      <c r="J584" s="214"/>
      <c r="K584" s="214"/>
      <c r="L584" s="214"/>
      <c r="M584" s="215"/>
      <c r="N584" s="215"/>
      <c r="O584" s="216"/>
      <c r="P584" s="216"/>
      <c r="Q584" s="216"/>
      <c r="R584" s="216"/>
      <c r="S584" s="216"/>
      <c r="T584" s="216"/>
      <c r="U584" s="216"/>
      <c r="V584" s="216"/>
      <c r="W584" s="216"/>
      <c r="X584" s="216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16"/>
      <c r="AN584" s="216"/>
      <c r="AO584" s="216"/>
      <c r="AP584" s="216"/>
      <c r="AQ584" s="216"/>
      <c r="AR584" s="216"/>
      <c r="AS584" s="216"/>
      <c r="AT584" s="216"/>
      <c r="AU584" s="216"/>
      <c r="AV584" s="216"/>
      <c r="AW584" s="216"/>
      <c r="AX584" s="216"/>
      <c r="AY584" s="216"/>
      <c r="AZ584" s="216"/>
      <c r="BA584" s="216"/>
      <c r="BB584" s="216"/>
      <c r="BC584" s="216"/>
      <c r="BD584" s="216"/>
      <c r="BE584" s="216"/>
      <c r="BF584" s="216"/>
      <c r="BG584" s="216"/>
      <c r="BH584" s="216"/>
      <c r="BI584" s="216"/>
      <c r="BJ584" s="216"/>
      <c r="BK584" s="216"/>
      <c r="BL584" s="216"/>
      <c r="BM584" s="216"/>
      <c r="BN584" s="216"/>
      <c r="BO584" s="216"/>
      <c r="BP584" s="216"/>
      <c r="BQ584" s="216"/>
      <c r="BR584" s="216"/>
    </row>
    <row r="585" spans="1:70" ht="12.75" x14ac:dyDescent="0.2">
      <c r="A585" s="214"/>
      <c r="B585" s="214"/>
      <c r="C585" s="214"/>
      <c r="D585" s="214"/>
      <c r="E585" s="214"/>
      <c r="F585" s="214"/>
      <c r="G585" s="214"/>
      <c r="H585" s="214"/>
      <c r="I585" s="214"/>
      <c r="J585" s="214"/>
      <c r="K585" s="214"/>
      <c r="L585" s="214"/>
      <c r="M585" s="215"/>
      <c r="N585" s="215"/>
      <c r="O585" s="216"/>
      <c r="P585" s="216"/>
      <c r="Q585" s="216"/>
      <c r="R585" s="216"/>
      <c r="S585" s="216"/>
      <c r="T585" s="216"/>
      <c r="U585" s="216"/>
      <c r="V585" s="216"/>
      <c r="W585" s="216"/>
      <c r="X585" s="216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16"/>
      <c r="AN585" s="216"/>
      <c r="AO585" s="216"/>
      <c r="AP585" s="216"/>
      <c r="AQ585" s="216"/>
      <c r="AR585" s="216"/>
      <c r="AS585" s="216"/>
      <c r="AT585" s="216"/>
      <c r="AU585" s="216"/>
      <c r="AV585" s="216"/>
      <c r="AW585" s="216"/>
      <c r="AX585" s="216"/>
      <c r="AY585" s="216"/>
      <c r="AZ585" s="216"/>
      <c r="BA585" s="216"/>
      <c r="BB585" s="216"/>
      <c r="BC585" s="216"/>
      <c r="BD585" s="216"/>
      <c r="BE585" s="216"/>
      <c r="BF585" s="216"/>
      <c r="BG585" s="216"/>
      <c r="BH585" s="216"/>
      <c r="BI585" s="216"/>
      <c r="BJ585" s="216"/>
      <c r="BK585" s="216"/>
      <c r="BL585" s="216"/>
      <c r="BM585" s="216"/>
      <c r="BN585" s="216"/>
      <c r="BO585" s="216"/>
      <c r="BP585" s="216"/>
      <c r="BQ585" s="216"/>
      <c r="BR585" s="216"/>
    </row>
    <row r="586" spans="1:70" ht="12.75" x14ac:dyDescent="0.2">
      <c r="A586" s="214"/>
      <c r="B586" s="214"/>
      <c r="C586" s="214"/>
      <c r="D586" s="214"/>
      <c r="E586" s="214"/>
      <c r="F586" s="214"/>
      <c r="G586" s="214"/>
      <c r="H586" s="214"/>
      <c r="I586" s="214"/>
      <c r="J586" s="214"/>
      <c r="K586" s="214"/>
      <c r="L586" s="214"/>
      <c r="M586" s="215"/>
      <c r="N586" s="215"/>
      <c r="O586" s="216"/>
      <c r="P586" s="216"/>
      <c r="Q586" s="216"/>
      <c r="R586" s="216"/>
      <c r="S586" s="216"/>
      <c r="T586" s="216"/>
      <c r="U586" s="216"/>
      <c r="V586" s="216"/>
      <c r="W586" s="216"/>
      <c r="X586" s="216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16"/>
      <c r="AN586" s="216"/>
      <c r="AO586" s="216"/>
      <c r="AP586" s="216"/>
      <c r="AQ586" s="216"/>
      <c r="AR586" s="216"/>
      <c r="AS586" s="216"/>
      <c r="AT586" s="216"/>
      <c r="AU586" s="216"/>
      <c r="AV586" s="216"/>
      <c r="AW586" s="216"/>
      <c r="AX586" s="216"/>
      <c r="AY586" s="216"/>
      <c r="AZ586" s="216"/>
      <c r="BA586" s="216"/>
      <c r="BB586" s="216"/>
      <c r="BC586" s="216"/>
      <c r="BD586" s="216"/>
      <c r="BE586" s="216"/>
      <c r="BF586" s="216"/>
      <c r="BG586" s="216"/>
      <c r="BH586" s="216"/>
      <c r="BI586" s="216"/>
      <c r="BJ586" s="216"/>
      <c r="BK586" s="216"/>
      <c r="BL586" s="216"/>
      <c r="BM586" s="216"/>
      <c r="BN586" s="216"/>
      <c r="BO586" s="216"/>
      <c r="BP586" s="216"/>
      <c r="BQ586" s="216"/>
      <c r="BR586" s="216"/>
    </row>
    <row r="587" spans="1:70" ht="12.75" x14ac:dyDescent="0.2">
      <c r="A587" s="214"/>
      <c r="B587" s="214"/>
      <c r="C587" s="214"/>
      <c r="D587" s="214"/>
      <c r="E587" s="214"/>
      <c r="F587" s="214"/>
      <c r="G587" s="214"/>
      <c r="H587" s="214"/>
      <c r="I587" s="214"/>
      <c r="J587" s="214"/>
      <c r="K587" s="214"/>
      <c r="L587" s="214"/>
      <c r="M587" s="215"/>
      <c r="N587" s="215"/>
      <c r="O587" s="216"/>
      <c r="P587" s="216"/>
      <c r="Q587" s="216"/>
      <c r="R587" s="216"/>
      <c r="S587" s="216"/>
      <c r="T587" s="216"/>
      <c r="U587" s="216"/>
      <c r="V587" s="216"/>
      <c r="W587" s="216"/>
      <c r="X587" s="216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16"/>
      <c r="AN587" s="216"/>
      <c r="AO587" s="216"/>
      <c r="AP587" s="216"/>
      <c r="AQ587" s="216"/>
      <c r="AR587" s="216"/>
      <c r="AS587" s="216"/>
      <c r="AT587" s="216"/>
      <c r="AU587" s="216"/>
      <c r="AV587" s="216"/>
      <c r="AW587" s="216"/>
      <c r="AX587" s="216"/>
      <c r="AY587" s="216"/>
      <c r="AZ587" s="216"/>
      <c r="BA587" s="216"/>
      <c r="BB587" s="216"/>
      <c r="BC587" s="216"/>
      <c r="BD587" s="216"/>
      <c r="BE587" s="216"/>
      <c r="BF587" s="216"/>
      <c r="BG587" s="216"/>
      <c r="BH587" s="216"/>
      <c r="BI587" s="216"/>
      <c r="BJ587" s="216"/>
      <c r="BK587" s="216"/>
      <c r="BL587" s="216"/>
      <c r="BM587" s="216"/>
      <c r="BN587" s="216"/>
      <c r="BO587" s="216"/>
      <c r="BP587" s="216"/>
      <c r="BQ587" s="216"/>
      <c r="BR587" s="216"/>
    </row>
    <row r="588" spans="1:70" ht="12.75" x14ac:dyDescent="0.2">
      <c r="A588" s="214"/>
      <c r="B588" s="214"/>
      <c r="C588" s="214"/>
      <c r="D588" s="214"/>
      <c r="E588" s="214"/>
      <c r="F588" s="214"/>
      <c r="G588" s="214"/>
      <c r="H588" s="214"/>
      <c r="I588" s="214"/>
      <c r="J588" s="214"/>
      <c r="K588" s="214"/>
      <c r="L588" s="214"/>
      <c r="M588" s="215"/>
      <c r="N588" s="215"/>
      <c r="O588" s="216"/>
      <c r="P588" s="216"/>
      <c r="Q588" s="216"/>
      <c r="R588" s="216"/>
      <c r="S588" s="216"/>
      <c r="T588" s="216"/>
      <c r="U588" s="216"/>
      <c r="V588" s="216"/>
      <c r="W588" s="216"/>
      <c r="X588" s="216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16"/>
      <c r="AN588" s="216"/>
      <c r="AO588" s="216"/>
      <c r="AP588" s="216"/>
      <c r="AQ588" s="216"/>
      <c r="AR588" s="216"/>
      <c r="AS588" s="216"/>
      <c r="AT588" s="216"/>
      <c r="AU588" s="216"/>
      <c r="AV588" s="216"/>
      <c r="AW588" s="216"/>
      <c r="AX588" s="216"/>
      <c r="AY588" s="216"/>
      <c r="AZ588" s="216"/>
      <c r="BA588" s="216"/>
      <c r="BB588" s="216"/>
      <c r="BC588" s="216"/>
      <c r="BD588" s="216"/>
      <c r="BE588" s="216"/>
      <c r="BF588" s="216"/>
      <c r="BG588" s="216"/>
      <c r="BH588" s="216"/>
      <c r="BI588" s="216"/>
      <c r="BJ588" s="216"/>
      <c r="BK588" s="216"/>
      <c r="BL588" s="216"/>
      <c r="BM588" s="216"/>
      <c r="BN588" s="216"/>
      <c r="BO588" s="216"/>
      <c r="BP588" s="216"/>
      <c r="BQ588" s="216"/>
      <c r="BR588" s="216"/>
    </row>
    <row r="589" spans="1:70" ht="12.75" x14ac:dyDescent="0.2">
      <c r="A589" s="214"/>
      <c r="B589" s="214"/>
      <c r="C589" s="214"/>
      <c r="D589" s="214"/>
      <c r="E589" s="214"/>
      <c r="F589" s="214"/>
      <c r="G589" s="214"/>
      <c r="H589" s="214"/>
      <c r="I589" s="214"/>
      <c r="J589" s="214"/>
      <c r="K589" s="214"/>
      <c r="L589" s="214"/>
      <c r="M589" s="215"/>
      <c r="N589" s="215"/>
      <c r="O589" s="216"/>
      <c r="P589" s="216"/>
      <c r="Q589" s="216"/>
      <c r="R589" s="216"/>
      <c r="S589" s="216"/>
      <c r="T589" s="216"/>
      <c r="U589" s="216"/>
      <c r="V589" s="216"/>
      <c r="W589" s="216"/>
      <c r="X589" s="216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16"/>
      <c r="AN589" s="216"/>
      <c r="AO589" s="216"/>
      <c r="AP589" s="216"/>
      <c r="AQ589" s="216"/>
      <c r="AR589" s="216"/>
      <c r="AS589" s="216"/>
      <c r="AT589" s="216"/>
      <c r="AU589" s="216"/>
      <c r="AV589" s="216"/>
      <c r="AW589" s="216"/>
      <c r="AX589" s="216"/>
      <c r="AY589" s="216"/>
      <c r="AZ589" s="216"/>
      <c r="BA589" s="216"/>
      <c r="BB589" s="216"/>
      <c r="BC589" s="216"/>
      <c r="BD589" s="216"/>
      <c r="BE589" s="216"/>
      <c r="BF589" s="216"/>
      <c r="BG589" s="216"/>
      <c r="BH589" s="216"/>
      <c r="BI589" s="216"/>
      <c r="BJ589" s="216"/>
      <c r="BK589" s="216"/>
      <c r="BL589" s="216"/>
      <c r="BM589" s="216"/>
      <c r="BN589" s="216"/>
      <c r="BO589" s="216"/>
      <c r="BP589" s="216"/>
      <c r="BQ589" s="216"/>
      <c r="BR589" s="216"/>
    </row>
    <row r="590" spans="1:70" ht="12.75" x14ac:dyDescent="0.2">
      <c r="A590" s="214"/>
      <c r="B590" s="214"/>
      <c r="C590" s="214"/>
      <c r="D590" s="214"/>
      <c r="E590" s="214"/>
      <c r="F590" s="214"/>
      <c r="G590" s="214"/>
      <c r="H590" s="214"/>
      <c r="I590" s="214"/>
      <c r="J590" s="214"/>
      <c r="K590" s="214"/>
      <c r="L590" s="214"/>
      <c r="M590" s="215"/>
      <c r="N590" s="215"/>
      <c r="O590" s="216"/>
      <c r="P590" s="216"/>
      <c r="Q590" s="216"/>
      <c r="R590" s="216"/>
      <c r="S590" s="216"/>
      <c r="T590" s="216"/>
      <c r="U590" s="216"/>
      <c r="V590" s="216"/>
      <c r="W590" s="216"/>
      <c r="X590" s="216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16"/>
      <c r="AN590" s="216"/>
      <c r="AO590" s="216"/>
      <c r="AP590" s="216"/>
      <c r="AQ590" s="216"/>
      <c r="AR590" s="216"/>
      <c r="AS590" s="216"/>
      <c r="AT590" s="216"/>
      <c r="AU590" s="216"/>
      <c r="AV590" s="216"/>
      <c r="AW590" s="216"/>
      <c r="AX590" s="216"/>
      <c r="AY590" s="216"/>
      <c r="AZ590" s="216"/>
      <c r="BA590" s="216"/>
      <c r="BB590" s="216"/>
      <c r="BC590" s="216"/>
      <c r="BD590" s="216"/>
      <c r="BE590" s="216"/>
      <c r="BF590" s="216"/>
      <c r="BG590" s="216"/>
      <c r="BH590" s="216"/>
      <c r="BI590" s="216"/>
      <c r="BJ590" s="216"/>
      <c r="BK590" s="216"/>
      <c r="BL590" s="216"/>
      <c r="BM590" s="216"/>
      <c r="BN590" s="216"/>
      <c r="BO590" s="216"/>
      <c r="BP590" s="216"/>
      <c r="BQ590" s="216"/>
      <c r="BR590" s="216"/>
    </row>
    <row r="591" spans="1:70" ht="12.75" x14ac:dyDescent="0.2">
      <c r="A591" s="214"/>
      <c r="B591" s="214"/>
      <c r="C591" s="214"/>
      <c r="D591" s="214"/>
      <c r="E591" s="214"/>
      <c r="F591" s="214"/>
      <c r="G591" s="214"/>
      <c r="H591" s="214"/>
      <c r="I591" s="214"/>
      <c r="J591" s="214"/>
      <c r="K591" s="214"/>
      <c r="L591" s="214"/>
      <c r="M591" s="215"/>
      <c r="N591" s="215"/>
      <c r="O591" s="216"/>
      <c r="P591" s="216"/>
      <c r="Q591" s="216"/>
      <c r="R591" s="216"/>
      <c r="S591" s="216"/>
      <c r="T591" s="216"/>
      <c r="U591" s="216"/>
      <c r="V591" s="216"/>
      <c r="W591" s="216"/>
      <c r="X591" s="216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16"/>
      <c r="AN591" s="216"/>
      <c r="AO591" s="216"/>
      <c r="AP591" s="216"/>
      <c r="AQ591" s="216"/>
      <c r="AR591" s="216"/>
      <c r="AS591" s="216"/>
      <c r="AT591" s="216"/>
      <c r="AU591" s="216"/>
      <c r="AV591" s="216"/>
      <c r="AW591" s="216"/>
      <c r="AX591" s="216"/>
      <c r="AY591" s="216"/>
      <c r="AZ591" s="216"/>
      <c r="BA591" s="216"/>
      <c r="BB591" s="216"/>
      <c r="BC591" s="216"/>
      <c r="BD591" s="216"/>
      <c r="BE591" s="216"/>
      <c r="BF591" s="216"/>
      <c r="BG591" s="216"/>
      <c r="BH591" s="216"/>
      <c r="BI591" s="216"/>
      <c r="BJ591" s="216"/>
      <c r="BK591" s="216"/>
      <c r="BL591" s="216"/>
      <c r="BM591" s="216"/>
      <c r="BN591" s="216"/>
      <c r="BO591" s="216"/>
      <c r="BP591" s="216"/>
      <c r="BQ591" s="216"/>
      <c r="BR591" s="216"/>
    </row>
    <row r="592" spans="1:70" ht="12.75" x14ac:dyDescent="0.2">
      <c r="A592" s="214"/>
      <c r="B592" s="214"/>
      <c r="C592" s="214"/>
      <c r="D592" s="214"/>
      <c r="E592" s="214"/>
      <c r="F592" s="214"/>
      <c r="G592" s="214"/>
      <c r="H592" s="214"/>
      <c r="I592" s="214"/>
      <c r="J592" s="214"/>
      <c r="K592" s="214"/>
      <c r="L592" s="214"/>
      <c r="M592" s="215"/>
      <c r="N592" s="215"/>
      <c r="O592" s="216"/>
      <c r="P592" s="216"/>
      <c r="Q592" s="216"/>
      <c r="R592" s="216"/>
      <c r="S592" s="216"/>
      <c r="T592" s="216"/>
      <c r="U592" s="216"/>
      <c r="V592" s="216"/>
      <c r="W592" s="216"/>
      <c r="X592" s="216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16"/>
      <c r="AN592" s="216"/>
      <c r="AO592" s="216"/>
      <c r="AP592" s="216"/>
      <c r="AQ592" s="216"/>
      <c r="AR592" s="216"/>
      <c r="AS592" s="216"/>
      <c r="AT592" s="216"/>
      <c r="AU592" s="216"/>
      <c r="AV592" s="216"/>
      <c r="AW592" s="216"/>
      <c r="AX592" s="216"/>
      <c r="AY592" s="216"/>
      <c r="AZ592" s="216"/>
      <c r="BA592" s="216"/>
      <c r="BB592" s="216"/>
      <c r="BC592" s="216"/>
      <c r="BD592" s="216"/>
      <c r="BE592" s="216"/>
      <c r="BF592" s="216"/>
      <c r="BG592" s="216"/>
      <c r="BH592" s="216"/>
      <c r="BI592" s="216"/>
      <c r="BJ592" s="216"/>
      <c r="BK592" s="216"/>
      <c r="BL592" s="216"/>
      <c r="BM592" s="216"/>
      <c r="BN592" s="216"/>
      <c r="BO592" s="216"/>
      <c r="BP592" s="216"/>
      <c r="BQ592" s="216"/>
      <c r="BR592" s="216"/>
    </row>
    <row r="593" spans="1:70" ht="12.75" x14ac:dyDescent="0.2">
      <c r="A593" s="214"/>
      <c r="B593" s="214"/>
      <c r="C593" s="214"/>
      <c r="D593" s="214"/>
      <c r="E593" s="214"/>
      <c r="F593" s="214"/>
      <c r="G593" s="214"/>
      <c r="H593" s="214"/>
      <c r="I593" s="214"/>
      <c r="J593" s="214"/>
      <c r="K593" s="214"/>
      <c r="L593" s="214"/>
      <c r="M593" s="215"/>
      <c r="N593" s="215"/>
      <c r="O593" s="216"/>
      <c r="P593" s="216"/>
      <c r="Q593" s="216"/>
      <c r="R593" s="216"/>
      <c r="S593" s="216"/>
      <c r="T593" s="216"/>
      <c r="U593" s="216"/>
      <c r="V593" s="216"/>
      <c r="W593" s="216"/>
      <c r="X593" s="216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16"/>
      <c r="AN593" s="216"/>
      <c r="AO593" s="216"/>
      <c r="AP593" s="216"/>
      <c r="AQ593" s="216"/>
      <c r="AR593" s="216"/>
      <c r="AS593" s="216"/>
      <c r="AT593" s="216"/>
      <c r="AU593" s="216"/>
      <c r="AV593" s="216"/>
      <c r="AW593" s="216"/>
      <c r="AX593" s="216"/>
      <c r="AY593" s="216"/>
      <c r="AZ593" s="216"/>
      <c r="BA593" s="216"/>
      <c r="BB593" s="216"/>
      <c r="BC593" s="216"/>
      <c r="BD593" s="216"/>
      <c r="BE593" s="216"/>
      <c r="BF593" s="216"/>
      <c r="BG593" s="216"/>
      <c r="BH593" s="216"/>
      <c r="BI593" s="216"/>
      <c r="BJ593" s="216"/>
      <c r="BK593" s="216"/>
      <c r="BL593" s="216"/>
      <c r="BM593" s="216"/>
      <c r="BN593" s="216"/>
      <c r="BO593" s="216"/>
      <c r="BP593" s="216"/>
      <c r="BQ593" s="216"/>
      <c r="BR593" s="216"/>
    </row>
    <row r="594" spans="1:70" ht="12.75" x14ac:dyDescent="0.2">
      <c r="A594" s="214"/>
      <c r="B594" s="214"/>
      <c r="C594" s="214"/>
      <c r="D594" s="214"/>
      <c r="E594" s="214"/>
      <c r="F594" s="214"/>
      <c r="G594" s="214"/>
      <c r="H594" s="214"/>
      <c r="I594" s="214"/>
      <c r="J594" s="214"/>
      <c r="K594" s="214"/>
      <c r="L594" s="214"/>
      <c r="M594" s="215"/>
      <c r="N594" s="215"/>
      <c r="O594" s="216"/>
      <c r="P594" s="216"/>
      <c r="Q594" s="216"/>
      <c r="R594" s="216"/>
      <c r="S594" s="216"/>
      <c r="T594" s="216"/>
      <c r="U594" s="216"/>
      <c r="V594" s="216"/>
      <c r="W594" s="216"/>
      <c r="X594" s="216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16"/>
      <c r="AN594" s="216"/>
      <c r="AO594" s="216"/>
      <c r="AP594" s="216"/>
      <c r="AQ594" s="216"/>
      <c r="AR594" s="216"/>
      <c r="AS594" s="216"/>
      <c r="AT594" s="216"/>
      <c r="AU594" s="216"/>
      <c r="AV594" s="216"/>
      <c r="AW594" s="216"/>
      <c r="AX594" s="216"/>
      <c r="AY594" s="216"/>
      <c r="AZ594" s="216"/>
      <c r="BA594" s="216"/>
      <c r="BB594" s="216"/>
      <c r="BC594" s="216"/>
      <c r="BD594" s="216"/>
      <c r="BE594" s="216"/>
      <c r="BF594" s="216"/>
      <c r="BG594" s="216"/>
      <c r="BH594" s="216"/>
      <c r="BI594" s="216"/>
      <c r="BJ594" s="216"/>
      <c r="BK594" s="216"/>
      <c r="BL594" s="216"/>
      <c r="BM594" s="216"/>
      <c r="BN594" s="216"/>
      <c r="BO594" s="216"/>
      <c r="BP594" s="216"/>
      <c r="BQ594" s="216"/>
      <c r="BR594" s="216"/>
    </row>
    <row r="595" spans="1:70" ht="12.75" x14ac:dyDescent="0.2">
      <c r="A595" s="214"/>
      <c r="B595" s="214"/>
      <c r="C595" s="214"/>
      <c r="D595" s="214"/>
      <c r="E595" s="214"/>
      <c r="F595" s="214"/>
      <c r="G595" s="214"/>
      <c r="H595" s="214"/>
      <c r="I595" s="214"/>
      <c r="J595" s="214"/>
      <c r="K595" s="214"/>
      <c r="L595" s="214"/>
      <c r="M595" s="215"/>
      <c r="N595" s="215"/>
      <c r="O595" s="216"/>
      <c r="P595" s="216"/>
      <c r="Q595" s="216"/>
      <c r="R595" s="216"/>
      <c r="S595" s="216"/>
      <c r="T595" s="216"/>
      <c r="U595" s="216"/>
      <c r="V595" s="216"/>
      <c r="W595" s="216"/>
      <c r="X595" s="216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16"/>
      <c r="AN595" s="216"/>
      <c r="AO595" s="216"/>
      <c r="AP595" s="216"/>
      <c r="AQ595" s="216"/>
      <c r="AR595" s="216"/>
      <c r="AS595" s="216"/>
      <c r="AT595" s="216"/>
      <c r="AU595" s="216"/>
      <c r="AV595" s="216"/>
      <c r="AW595" s="216"/>
      <c r="AX595" s="216"/>
      <c r="AY595" s="216"/>
      <c r="AZ595" s="216"/>
      <c r="BA595" s="216"/>
      <c r="BB595" s="216"/>
      <c r="BC595" s="216"/>
      <c r="BD595" s="216"/>
      <c r="BE595" s="216"/>
      <c r="BF595" s="216"/>
      <c r="BG595" s="216"/>
      <c r="BH595" s="216"/>
      <c r="BI595" s="216"/>
      <c r="BJ595" s="216"/>
      <c r="BK595" s="216"/>
      <c r="BL595" s="216"/>
      <c r="BM595" s="216"/>
      <c r="BN595" s="216"/>
      <c r="BO595" s="216"/>
      <c r="BP595" s="216"/>
      <c r="BQ595" s="216"/>
      <c r="BR595" s="216"/>
    </row>
    <row r="596" spans="1:70" ht="12.75" x14ac:dyDescent="0.2">
      <c r="A596" s="214"/>
      <c r="B596" s="214"/>
      <c r="C596" s="214"/>
      <c r="D596" s="214"/>
      <c r="E596" s="214"/>
      <c r="F596" s="214"/>
      <c r="G596" s="214"/>
      <c r="H596" s="214"/>
      <c r="I596" s="214"/>
      <c r="J596" s="214"/>
      <c r="K596" s="214"/>
      <c r="L596" s="214"/>
      <c r="M596" s="215"/>
      <c r="N596" s="215"/>
      <c r="O596" s="216"/>
      <c r="P596" s="216"/>
      <c r="Q596" s="216"/>
      <c r="R596" s="216"/>
      <c r="S596" s="216"/>
      <c r="T596" s="216"/>
      <c r="U596" s="216"/>
      <c r="V596" s="216"/>
      <c r="W596" s="216"/>
      <c r="X596" s="216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16"/>
      <c r="AN596" s="216"/>
      <c r="AO596" s="216"/>
      <c r="AP596" s="216"/>
      <c r="AQ596" s="216"/>
      <c r="AR596" s="216"/>
      <c r="AS596" s="216"/>
      <c r="AT596" s="216"/>
      <c r="AU596" s="216"/>
      <c r="AV596" s="216"/>
      <c r="AW596" s="216"/>
      <c r="AX596" s="216"/>
      <c r="AY596" s="216"/>
      <c r="AZ596" s="216"/>
      <c r="BA596" s="216"/>
      <c r="BB596" s="216"/>
      <c r="BC596" s="216"/>
      <c r="BD596" s="216"/>
      <c r="BE596" s="216"/>
      <c r="BF596" s="216"/>
      <c r="BG596" s="216"/>
      <c r="BH596" s="216"/>
      <c r="BI596" s="216"/>
      <c r="BJ596" s="216"/>
      <c r="BK596" s="216"/>
      <c r="BL596" s="216"/>
      <c r="BM596" s="216"/>
      <c r="BN596" s="216"/>
      <c r="BO596" s="216"/>
      <c r="BP596" s="216"/>
      <c r="BQ596" s="216"/>
      <c r="BR596" s="216"/>
    </row>
    <row r="597" spans="1:70" ht="12.75" x14ac:dyDescent="0.2">
      <c r="A597" s="214"/>
      <c r="B597" s="214"/>
      <c r="C597" s="214"/>
      <c r="D597" s="214"/>
      <c r="E597" s="214"/>
      <c r="F597" s="214"/>
      <c r="G597" s="214"/>
      <c r="H597" s="214"/>
      <c r="I597" s="214"/>
      <c r="J597" s="214"/>
      <c r="K597" s="214"/>
      <c r="L597" s="214"/>
      <c r="M597" s="215"/>
      <c r="N597" s="215"/>
      <c r="O597" s="216"/>
      <c r="P597" s="216"/>
      <c r="Q597" s="216"/>
      <c r="R597" s="216"/>
      <c r="S597" s="216"/>
      <c r="T597" s="216"/>
      <c r="U597" s="216"/>
      <c r="V597" s="216"/>
      <c r="W597" s="216"/>
      <c r="X597" s="216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16"/>
      <c r="AN597" s="216"/>
      <c r="AO597" s="216"/>
      <c r="AP597" s="216"/>
      <c r="AQ597" s="216"/>
      <c r="AR597" s="216"/>
      <c r="AS597" s="216"/>
      <c r="AT597" s="216"/>
      <c r="AU597" s="216"/>
      <c r="AV597" s="216"/>
      <c r="AW597" s="216"/>
      <c r="AX597" s="216"/>
      <c r="AY597" s="216"/>
      <c r="AZ597" s="216"/>
      <c r="BA597" s="216"/>
      <c r="BB597" s="216"/>
      <c r="BC597" s="216"/>
      <c r="BD597" s="216"/>
      <c r="BE597" s="216"/>
      <c r="BF597" s="216"/>
      <c r="BG597" s="216"/>
      <c r="BH597" s="216"/>
      <c r="BI597" s="216"/>
      <c r="BJ597" s="216"/>
      <c r="BK597" s="216"/>
      <c r="BL597" s="216"/>
      <c r="BM597" s="216"/>
      <c r="BN597" s="216"/>
      <c r="BO597" s="216"/>
      <c r="BP597" s="216"/>
      <c r="BQ597" s="216"/>
      <c r="BR597" s="216"/>
    </row>
    <row r="598" spans="1:70" ht="12.75" x14ac:dyDescent="0.2">
      <c r="A598" s="214"/>
      <c r="B598" s="214"/>
      <c r="C598" s="214"/>
      <c r="D598" s="214"/>
      <c r="E598" s="214"/>
      <c r="F598" s="214"/>
      <c r="G598" s="214"/>
      <c r="H598" s="214"/>
      <c r="I598" s="214"/>
      <c r="J598" s="214"/>
      <c r="K598" s="214"/>
      <c r="L598" s="214"/>
      <c r="M598" s="215"/>
      <c r="N598" s="215"/>
      <c r="O598" s="216"/>
      <c r="P598" s="216"/>
      <c r="Q598" s="216"/>
      <c r="R598" s="216"/>
      <c r="S598" s="216"/>
      <c r="T598" s="216"/>
      <c r="U598" s="216"/>
      <c r="V598" s="216"/>
      <c r="W598" s="216"/>
      <c r="X598" s="216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16"/>
      <c r="AN598" s="216"/>
      <c r="AO598" s="216"/>
      <c r="AP598" s="216"/>
      <c r="AQ598" s="216"/>
      <c r="AR598" s="216"/>
      <c r="AS598" s="216"/>
      <c r="AT598" s="216"/>
      <c r="AU598" s="216"/>
      <c r="AV598" s="216"/>
      <c r="AW598" s="216"/>
      <c r="AX598" s="216"/>
      <c r="AY598" s="216"/>
      <c r="AZ598" s="216"/>
      <c r="BA598" s="216"/>
      <c r="BB598" s="216"/>
      <c r="BC598" s="216"/>
      <c r="BD598" s="216"/>
      <c r="BE598" s="216"/>
      <c r="BF598" s="216"/>
      <c r="BG598" s="216"/>
      <c r="BH598" s="216"/>
      <c r="BI598" s="216"/>
      <c r="BJ598" s="216"/>
      <c r="BK598" s="216"/>
      <c r="BL598" s="216"/>
      <c r="BM598" s="216"/>
      <c r="BN598" s="216"/>
      <c r="BO598" s="216"/>
      <c r="BP598" s="216"/>
      <c r="BQ598" s="216"/>
      <c r="BR598" s="216"/>
    </row>
    <row r="599" spans="1:70" ht="12.75" x14ac:dyDescent="0.2">
      <c r="A599" s="214"/>
      <c r="B599" s="214"/>
      <c r="C599" s="214"/>
      <c r="D599" s="214"/>
      <c r="E599" s="214"/>
      <c r="F599" s="214"/>
      <c r="G599" s="214"/>
      <c r="H599" s="214"/>
      <c r="I599" s="214"/>
      <c r="J599" s="214"/>
      <c r="K599" s="214"/>
      <c r="L599" s="214"/>
      <c r="M599" s="215"/>
      <c r="N599" s="215"/>
      <c r="O599" s="216"/>
      <c r="P599" s="216"/>
      <c r="Q599" s="216"/>
      <c r="R599" s="216"/>
      <c r="S599" s="216"/>
      <c r="T599" s="216"/>
      <c r="U599" s="216"/>
      <c r="V599" s="216"/>
      <c r="W599" s="216"/>
      <c r="X599" s="216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16"/>
      <c r="AN599" s="216"/>
      <c r="AO599" s="216"/>
      <c r="AP599" s="216"/>
      <c r="AQ599" s="216"/>
      <c r="AR599" s="216"/>
      <c r="AS599" s="216"/>
      <c r="AT599" s="216"/>
      <c r="AU599" s="216"/>
      <c r="AV599" s="216"/>
      <c r="AW599" s="216"/>
      <c r="AX599" s="216"/>
      <c r="AY599" s="216"/>
      <c r="AZ599" s="216"/>
      <c r="BA599" s="216"/>
      <c r="BB599" s="216"/>
      <c r="BC599" s="216"/>
      <c r="BD599" s="216"/>
      <c r="BE599" s="216"/>
      <c r="BF599" s="216"/>
      <c r="BG599" s="216"/>
      <c r="BH599" s="216"/>
      <c r="BI599" s="216"/>
      <c r="BJ599" s="216"/>
      <c r="BK599" s="216"/>
      <c r="BL599" s="216"/>
      <c r="BM599" s="216"/>
      <c r="BN599" s="216"/>
      <c r="BO599" s="216"/>
      <c r="BP599" s="216"/>
      <c r="BQ599" s="216"/>
      <c r="BR599" s="216"/>
    </row>
    <row r="600" spans="1:70" ht="12.75" x14ac:dyDescent="0.2">
      <c r="A600" s="214"/>
      <c r="B600" s="214"/>
      <c r="C600" s="214"/>
      <c r="D600" s="214"/>
      <c r="E600" s="214"/>
      <c r="F600" s="214"/>
      <c r="G600" s="214"/>
      <c r="H600" s="214"/>
      <c r="I600" s="214"/>
      <c r="J600" s="214"/>
      <c r="K600" s="214"/>
      <c r="L600" s="214"/>
      <c r="M600" s="215"/>
      <c r="N600" s="215"/>
      <c r="O600" s="216"/>
      <c r="P600" s="216"/>
      <c r="Q600" s="216"/>
      <c r="R600" s="216"/>
      <c r="S600" s="216"/>
      <c r="T600" s="216"/>
      <c r="U600" s="216"/>
      <c r="V600" s="216"/>
      <c r="W600" s="216"/>
      <c r="X600" s="216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16"/>
      <c r="AN600" s="216"/>
      <c r="AO600" s="216"/>
      <c r="AP600" s="216"/>
      <c r="AQ600" s="216"/>
      <c r="AR600" s="216"/>
      <c r="AS600" s="216"/>
      <c r="AT600" s="216"/>
      <c r="AU600" s="216"/>
      <c r="AV600" s="216"/>
      <c r="AW600" s="216"/>
      <c r="AX600" s="216"/>
      <c r="AY600" s="216"/>
      <c r="AZ600" s="216"/>
      <c r="BA600" s="216"/>
      <c r="BB600" s="216"/>
      <c r="BC600" s="216"/>
      <c r="BD600" s="216"/>
      <c r="BE600" s="216"/>
      <c r="BF600" s="216"/>
      <c r="BG600" s="216"/>
      <c r="BH600" s="216"/>
      <c r="BI600" s="216"/>
      <c r="BJ600" s="216"/>
      <c r="BK600" s="216"/>
      <c r="BL600" s="216"/>
      <c r="BM600" s="216"/>
      <c r="BN600" s="216"/>
      <c r="BO600" s="216"/>
      <c r="BP600" s="216"/>
      <c r="BQ600" s="216"/>
      <c r="BR600" s="216"/>
    </row>
    <row r="601" spans="1:70" ht="12.75" x14ac:dyDescent="0.2">
      <c r="A601" s="214"/>
      <c r="B601" s="214"/>
      <c r="C601" s="214"/>
      <c r="D601" s="214"/>
      <c r="E601" s="214"/>
      <c r="F601" s="214"/>
      <c r="G601" s="214"/>
      <c r="H601" s="214"/>
      <c r="I601" s="214"/>
      <c r="J601" s="214"/>
      <c r="K601" s="214"/>
      <c r="L601" s="214"/>
      <c r="M601" s="215"/>
      <c r="N601" s="215"/>
      <c r="O601" s="216"/>
      <c r="P601" s="216"/>
      <c r="Q601" s="216"/>
      <c r="R601" s="216"/>
      <c r="S601" s="216"/>
      <c r="T601" s="216"/>
      <c r="U601" s="216"/>
      <c r="V601" s="216"/>
      <c r="W601" s="216"/>
      <c r="X601" s="216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16"/>
      <c r="AN601" s="216"/>
      <c r="AO601" s="216"/>
      <c r="AP601" s="216"/>
      <c r="AQ601" s="216"/>
      <c r="AR601" s="216"/>
      <c r="AS601" s="216"/>
      <c r="AT601" s="216"/>
      <c r="AU601" s="216"/>
      <c r="AV601" s="216"/>
      <c r="AW601" s="216"/>
      <c r="AX601" s="216"/>
      <c r="AY601" s="216"/>
      <c r="AZ601" s="216"/>
      <c r="BA601" s="216"/>
      <c r="BB601" s="216"/>
      <c r="BC601" s="216"/>
      <c r="BD601" s="216"/>
      <c r="BE601" s="216"/>
      <c r="BF601" s="216"/>
      <c r="BG601" s="216"/>
      <c r="BH601" s="216"/>
      <c r="BI601" s="216"/>
      <c r="BJ601" s="216"/>
      <c r="BK601" s="216"/>
      <c r="BL601" s="216"/>
      <c r="BM601" s="216"/>
      <c r="BN601" s="216"/>
      <c r="BO601" s="216"/>
      <c r="BP601" s="216"/>
      <c r="BQ601" s="216"/>
      <c r="BR601" s="216"/>
    </row>
    <row r="602" spans="1:70" ht="12.75" x14ac:dyDescent="0.2">
      <c r="A602" s="214"/>
      <c r="B602" s="214"/>
      <c r="C602" s="214"/>
      <c r="D602" s="214"/>
      <c r="E602" s="214"/>
      <c r="F602" s="214"/>
      <c r="G602" s="214"/>
      <c r="H602" s="214"/>
      <c r="I602" s="214"/>
      <c r="J602" s="214"/>
      <c r="K602" s="214"/>
      <c r="L602" s="214"/>
      <c r="M602" s="215"/>
      <c r="N602" s="215"/>
      <c r="O602" s="216"/>
      <c r="P602" s="216"/>
      <c r="Q602" s="216"/>
      <c r="R602" s="216"/>
      <c r="S602" s="216"/>
      <c r="T602" s="216"/>
      <c r="U602" s="216"/>
      <c r="V602" s="216"/>
      <c r="W602" s="216"/>
      <c r="X602" s="216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16"/>
      <c r="AN602" s="216"/>
      <c r="AO602" s="216"/>
      <c r="AP602" s="216"/>
      <c r="AQ602" s="216"/>
      <c r="AR602" s="216"/>
      <c r="AS602" s="216"/>
      <c r="AT602" s="216"/>
      <c r="AU602" s="216"/>
      <c r="AV602" s="216"/>
      <c r="AW602" s="216"/>
      <c r="AX602" s="216"/>
      <c r="AY602" s="216"/>
      <c r="AZ602" s="216"/>
      <c r="BA602" s="216"/>
      <c r="BB602" s="216"/>
      <c r="BC602" s="216"/>
      <c r="BD602" s="216"/>
      <c r="BE602" s="216"/>
      <c r="BF602" s="216"/>
      <c r="BG602" s="216"/>
      <c r="BH602" s="216"/>
      <c r="BI602" s="216"/>
      <c r="BJ602" s="216"/>
      <c r="BK602" s="216"/>
      <c r="BL602" s="216"/>
      <c r="BM602" s="216"/>
      <c r="BN602" s="216"/>
      <c r="BO602" s="216"/>
      <c r="BP602" s="216"/>
      <c r="BQ602" s="216"/>
      <c r="BR602" s="216"/>
    </row>
    <row r="603" spans="1:70" ht="12.75" x14ac:dyDescent="0.2">
      <c r="A603" s="214"/>
      <c r="B603" s="214"/>
      <c r="C603" s="214"/>
      <c r="D603" s="214"/>
      <c r="E603" s="214"/>
      <c r="F603" s="214"/>
      <c r="G603" s="214"/>
      <c r="H603" s="214"/>
      <c r="I603" s="214"/>
      <c r="J603" s="214"/>
      <c r="K603" s="214"/>
      <c r="L603" s="214"/>
      <c r="M603" s="215"/>
      <c r="N603" s="215"/>
      <c r="O603" s="216"/>
      <c r="P603" s="216"/>
      <c r="Q603" s="216"/>
      <c r="R603" s="216"/>
      <c r="S603" s="216"/>
      <c r="T603" s="216"/>
      <c r="U603" s="216"/>
      <c r="V603" s="216"/>
      <c r="W603" s="216"/>
      <c r="X603" s="216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16"/>
      <c r="AN603" s="216"/>
      <c r="AO603" s="216"/>
      <c r="AP603" s="216"/>
      <c r="AQ603" s="216"/>
      <c r="AR603" s="216"/>
      <c r="AS603" s="216"/>
      <c r="AT603" s="216"/>
      <c r="AU603" s="216"/>
      <c r="AV603" s="216"/>
      <c r="AW603" s="216"/>
      <c r="AX603" s="216"/>
      <c r="AY603" s="216"/>
      <c r="AZ603" s="216"/>
      <c r="BA603" s="216"/>
      <c r="BB603" s="216"/>
      <c r="BC603" s="216"/>
      <c r="BD603" s="216"/>
      <c r="BE603" s="216"/>
      <c r="BF603" s="216"/>
      <c r="BG603" s="216"/>
      <c r="BH603" s="216"/>
      <c r="BI603" s="216"/>
      <c r="BJ603" s="216"/>
      <c r="BK603" s="216"/>
      <c r="BL603" s="216"/>
      <c r="BM603" s="216"/>
      <c r="BN603" s="216"/>
      <c r="BO603" s="216"/>
      <c r="BP603" s="216"/>
      <c r="BQ603" s="216"/>
      <c r="BR603" s="216"/>
    </row>
    <row r="604" spans="1:70" ht="12.75" x14ac:dyDescent="0.2">
      <c r="A604" s="214"/>
      <c r="B604" s="214"/>
      <c r="C604" s="214"/>
      <c r="D604" s="214"/>
      <c r="E604" s="214"/>
      <c r="F604" s="214"/>
      <c r="G604" s="214"/>
      <c r="H604" s="214"/>
      <c r="I604" s="214"/>
      <c r="J604" s="214"/>
      <c r="K604" s="214"/>
      <c r="L604" s="214"/>
      <c r="M604" s="215"/>
      <c r="N604" s="215"/>
      <c r="O604" s="216"/>
      <c r="P604" s="216"/>
      <c r="Q604" s="216"/>
      <c r="R604" s="216"/>
      <c r="S604" s="216"/>
      <c r="T604" s="216"/>
      <c r="U604" s="216"/>
      <c r="V604" s="216"/>
      <c r="W604" s="216"/>
      <c r="X604" s="216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16"/>
      <c r="AN604" s="216"/>
      <c r="AO604" s="216"/>
      <c r="AP604" s="216"/>
      <c r="AQ604" s="216"/>
      <c r="AR604" s="216"/>
      <c r="AS604" s="216"/>
      <c r="AT604" s="216"/>
      <c r="AU604" s="216"/>
      <c r="AV604" s="216"/>
      <c r="AW604" s="216"/>
      <c r="AX604" s="216"/>
      <c r="AY604" s="216"/>
      <c r="AZ604" s="216"/>
      <c r="BA604" s="216"/>
      <c r="BB604" s="216"/>
      <c r="BC604" s="216"/>
      <c r="BD604" s="216"/>
      <c r="BE604" s="216"/>
      <c r="BF604" s="216"/>
      <c r="BG604" s="216"/>
      <c r="BH604" s="216"/>
      <c r="BI604" s="216"/>
      <c r="BJ604" s="216"/>
      <c r="BK604" s="216"/>
      <c r="BL604" s="216"/>
      <c r="BM604" s="216"/>
      <c r="BN604" s="216"/>
      <c r="BO604" s="216"/>
      <c r="BP604" s="216"/>
      <c r="BQ604" s="216"/>
      <c r="BR604" s="216"/>
    </row>
    <row r="605" spans="1:70" ht="12.75" x14ac:dyDescent="0.2">
      <c r="A605" s="214"/>
      <c r="B605" s="214"/>
      <c r="C605" s="214"/>
      <c r="D605" s="214"/>
      <c r="E605" s="214"/>
      <c r="F605" s="214"/>
      <c r="G605" s="214"/>
      <c r="H605" s="214"/>
      <c r="I605" s="214"/>
      <c r="J605" s="214"/>
      <c r="K605" s="214"/>
      <c r="L605" s="214"/>
      <c r="M605" s="215"/>
      <c r="N605" s="215"/>
      <c r="O605" s="216"/>
      <c r="P605" s="216"/>
      <c r="Q605" s="216"/>
      <c r="R605" s="216"/>
      <c r="S605" s="216"/>
      <c r="T605" s="216"/>
      <c r="U605" s="216"/>
      <c r="V605" s="216"/>
      <c r="W605" s="216"/>
      <c r="X605" s="216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16"/>
      <c r="AN605" s="216"/>
      <c r="AO605" s="216"/>
      <c r="AP605" s="216"/>
      <c r="AQ605" s="216"/>
      <c r="AR605" s="216"/>
      <c r="AS605" s="216"/>
      <c r="AT605" s="216"/>
      <c r="AU605" s="216"/>
      <c r="AV605" s="216"/>
      <c r="AW605" s="216"/>
      <c r="AX605" s="216"/>
      <c r="AY605" s="216"/>
      <c r="AZ605" s="216"/>
      <c r="BA605" s="216"/>
      <c r="BB605" s="216"/>
      <c r="BC605" s="216"/>
      <c r="BD605" s="216"/>
      <c r="BE605" s="216"/>
      <c r="BF605" s="216"/>
      <c r="BG605" s="216"/>
      <c r="BH605" s="216"/>
      <c r="BI605" s="216"/>
      <c r="BJ605" s="216"/>
      <c r="BK605" s="216"/>
      <c r="BL605" s="216"/>
      <c r="BM605" s="216"/>
      <c r="BN605" s="216"/>
      <c r="BO605" s="216"/>
      <c r="BP605" s="216"/>
      <c r="BQ605" s="216"/>
      <c r="BR605" s="216"/>
    </row>
    <row r="606" spans="1:70" ht="12.75" x14ac:dyDescent="0.2">
      <c r="A606" s="214"/>
      <c r="B606" s="214"/>
      <c r="C606" s="214"/>
      <c r="D606" s="214"/>
      <c r="E606" s="214"/>
      <c r="F606" s="214"/>
      <c r="G606" s="214"/>
      <c r="H606" s="214"/>
      <c r="I606" s="214"/>
      <c r="J606" s="214"/>
      <c r="K606" s="214"/>
      <c r="L606" s="214"/>
      <c r="M606" s="215"/>
      <c r="N606" s="215"/>
      <c r="O606" s="216"/>
      <c r="P606" s="216"/>
      <c r="Q606" s="216"/>
      <c r="R606" s="216"/>
      <c r="S606" s="216"/>
      <c r="T606" s="216"/>
      <c r="U606" s="216"/>
      <c r="V606" s="216"/>
      <c r="W606" s="216"/>
      <c r="X606" s="216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16"/>
      <c r="AN606" s="216"/>
      <c r="AO606" s="216"/>
      <c r="AP606" s="216"/>
      <c r="AQ606" s="216"/>
      <c r="AR606" s="216"/>
      <c r="AS606" s="216"/>
      <c r="AT606" s="216"/>
      <c r="AU606" s="216"/>
      <c r="AV606" s="216"/>
      <c r="AW606" s="216"/>
      <c r="AX606" s="216"/>
      <c r="AY606" s="216"/>
      <c r="AZ606" s="216"/>
      <c r="BA606" s="216"/>
      <c r="BB606" s="216"/>
      <c r="BC606" s="216"/>
      <c r="BD606" s="216"/>
      <c r="BE606" s="216"/>
      <c r="BF606" s="216"/>
      <c r="BG606" s="216"/>
      <c r="BH606" s="216"/>
      <c r="BI606" s="216"/>
      <c r="BJ606" s="216"/>
      <c r="BK606" s="216"/>
      <c r="BL606" s="216"/>
      <c r="BM606" s="216"/>
      <c r="BN606" s="216"/>
      <c r="BO606" s="216"/>
      <c r="BP606" s="216"/>
      <c r="BQ606" s="216"/>
      <c r="BR606" s="216"/>
    </row>
    <row r="607" spans="1:70" ht="12.75" x14ac:dyDescent="0.2">
      <c r="A607" s="214"/>
      <c r="B607" s="214"/>
      <c r="C607" s="214"/>
      <c r="D607" s="214"/>
      <c r="E607" s="214"/>
      <c r="F607" s="214"/>
      <c r="G607" s="214"/>
      <c r="H607" s="214"/>
      <c r="I607" s="214"/>
      <c r="J607" s="214"/>
      <c r="K607" s="214"/>
      <c r="L607" s="214"/>
      <c r="M607" s="215"/>
      <c r="N607" s="215"/>
      <c r="O607" s="216"/>
      <c r="P607" s="216"/>
      <c r="Q607" s="216"/>
      <c r="R607" s="216"/>
      <c r="S607" s="216"/>
      <c r="T607" s="216"/>
      <c r="U607" s="216"/>
      <c r="V607" s="216"/>
      <c r="W607" s="216"/>
      <c r="X607" s="216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16"/>
      <c r="AN607" s="216"/>
      <c r="AO607" s="216"/>
      <c r="AP607" s="216"/>
      <c r="AQ607" s="216"/>
      <c r="AR607" s="216"/>
      <c r="AS607" s="216"/>
      <c r="AT607" s="216"/>
      <c r="AU607" s="216"/>
      <c r="AV607" s="216"/>
      <c r="AW607" s="216"/>
      <c r="AX607" s="216"/>
      <c r="AY607" s="216"/>
      <c r="AZ607" s="216"/>
      <c r="BA607" s="216"/>
      <c r="BB607" s="216"/>
      <c r="BC607" s="216"/>
      <c r="BD607" s="216"/>
      <c r="BE607" s="216"/>
      <c r="BF607" s="216"/>
      <c r="BG607" s="216"/>
      <c r="BH607" s="216"/>
      <c r="BI607" s="216"/>
      <c r="BJ607" s="216"/>
      <c r="BK607" s="216"/>
      <c r="BL607" s="216"/>
      <c r="BM607" s="216"/>
      <c r="BN607" s="216"/>
      <c r="BO607" s="216"/>
      <c r="BP607" s="216"/>
      <c r="BQ607" s="216"/>
      <c r="BR607" s="216"/>
    </row>
    <row r="608" spans="1:70" ht="12.75" x14ac:dyDescent="0.2">
      <c r="A608" s="214"/>
      <c r="B608" s="214"/>
      <c r="C608" s="214"/>
      <c r="D608" s="214"/>
      <c r="E608" s="214"/>
      <c r="F608" s="214"/>
      <c r="G608" s="214"/>
      <c r="H608" s="214"/>
      <c r="I608" s="214"/>
      <c r="J608" s="214"/>
      <c r="K608" s="214"/>
      <c r="L608" s="214"/>
      <c r="M608" s="215"/>
      <c r="N608" s="215"/>
      <c r="O608" s="216"/>
      <c r="P608" s="216"/>
      <c r="Q608" s="216"/>
      <c r="R608" s="216"/>
      <c r="S608" s="216"/>
      <c r="T608" s="216"/>
      <c r="U608" s="216"/>
      <c r="V608" s="216"/>
      <c r="W608" s="216"/>
      <c r="X608" s="216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16"/>
      <c r="AN608" s="216"/>
      <c r="AO608" s="216"/>
      <c r="AP608" s="216"/>
      <c r="AQ608" s="216"/>
      <c r="AR608" s="216"/>
      <c r="AS608" s="216"/>
      <c r="AT608" s="216"/>
      <c r="AU608" s="216"/>
      <c r="AV608" s="216"/>
      <c r="AW608" s="216"/>
      <c r="AX608" s="216"/>
      <c r="AY608" s="216"/>
      <c r="AZ608" s="216"/>
      <c r="BA608" s="216"/>
      <c r="BB608" s="216"/>
      <c r="BC608" s="216"/>
      <c r="BD608" s="216"/>
      <c r="BE608" s="216"/>
      <c r="BF608" s="216"/>
      <c r="BG608" s="216"/>
      <c r="BH608" s="216"/>
      <c r="BI608" s="216"/>
      <c r="BJ608" s="216"/>
      <c r="BK608" s="216"/>
      <c r="BL608" s="216"/>
      <c r="BM608" s="216"/>
      <c r="BN608" s="216"/>
      <c r="BO608" s="216"/>
      <c r="BP608" s="216"/>
      <c r="BQ608" s="216"/>
      <c r="BR608" s="216"/>
    </row>
    <row r="609" spans="1:70" ht="12.75" x14ac:dyDescent="0.2">
      <c r="A609" s="214"/>
      <c r="B609" s="214"/>
      <c r="C609" s="214"/>
      <c r="D609" s="214"/>
      <c r="E609" s="214"/>
      <c r="F609" s="214"/>
      <c r="G609" s="214"/>
      <c r="H609" s="214"/>
      <c r="I609" s="214"/>
      <c r="J609" s="214"/>
      <c r="K609" s="214"/>
      <c r="L609" s="214"/>
      <c r="M609" s="215"/>
      <c r="N609" s="215"/>
      <c r="O609" s="216"/>
      <c r="P609" s="216"/>
      <c r="Q609" s="216"/>
      <c r="R609" s="216"/>
      <c r="S609" s="216"/>
      <c r="T609" s="216"/>
      <c r="U609" s="216"/>
      <c r="V609" s="216"/>
      <c r="W609" s="216"/>
      <c r="X609" s="216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16"/>
      <c r="AN609" s="216"/>
      <c r="AO609" s="216"/>
      <c r="AP609" s="216"/>
      <c r="AQ609" s="216"/>
      <c r="AR609" s="216"/>
      <c r="AS609" s="216"/>
      <c r="AT609" s="216"/>
      <c r="AU609" s="216"/>
      <c r="AV609" s="216"/>
      <c r="AW609" s="216"/>
      <c r="AX609" s="216"/>
      <c r="AY609" s="216"/>
      <c r="AZ609" s="216"/>
      <c r="BA609" s="216"/>
      <c r="BB609" s="216"/>
      <c r="BC609" s="216"/>
      <c r="BD609" s="216"/>
      <c r="BE609" s="216"/>
      <c r="BF609" s="216"/>
      <c r="BG609" s="216"/>
      <c r="BH609" s="216"/>
      <c r="BI609" s="216"/>
      <c r="BJ609" s="216"/>
      <c r="BK609" s="216"/>
      <c r="BL609" s="216"/>
      <c r="BM609" s="216"/>
      <c r="BN609" s="216"/>
      <c r="BO609" s="216"/>
      <c r="BP609" s="216"/>
      <c r="BQ609" s="216"/>
      <c r="BR609" s="216"/>
    </row>
    <row r="610" spans="1:70" ht="12.75" x14ac:dyDescent="0.2">
      <c r="A610" s="214"/>
      <c r="B610" s="214"/>
      <c r="C610" s="214"/>
      <c r="D610" s="214"/>
      <c r="E610" s="214"/>
      <c r="F610" s="214"/>
      <c r="G610" s="214"/>
      <c r="H610" s="214"/>
      <c r="I610" s="214"/>
      <c r="J610" s="214"/>
      <c r="K610" s="214"/>
      <c r="L610" s="214"/>
      <c r="M610" s="215"/>
      <c r="N610" s="215"/>
      <c r="O610" s="216"/>
      <c r="P610" s="216"/>
      <c r="Q610" s="216"/>
      <c r="R610" s="216"/>
      <c r="S610" s="216"/>
      <c r="T610" s="216"/>
      <c r="U610" s="216"/>
      <c r="V610" s="216"/>
      <c r="W610" s="216"/>
      <c r="X610" s="216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16"/>
      <c r="AN610" s="216"/>
      <c r="AO610" s="216"/>
      <c r="AP610" s="216"/>
      <c r="AQ610" s="216"/>
      <c r="AR610" s="216"/>
      <c r="AS610" s="216"/>
      <c r="AT610" s="216"/>
      <c r="AU610" s="216"/>
      <c r="AV610" s="216"/>
      <c r="AW610" s="216"/>
      <c r="AX610" s="216"/>
      <c r="AY610" s="216"/>
      <c r="AZ610" s="216"/>
      <c r="BA610" s="216"/>
      <c r="BB610" s="216"/>
      <c r="BC610" s="216"/>
      <c r="BD610" s="216"/>
      <c r="BE610" s="216"/>
      <c r="BF610" s="216"/>
      <c r="BG610" s="216"/>
      <c r="BH610" s="216"/>
      <c r="BI610" s="216"/>
      <c r="BJ610" s="216"/>
      <c r="BK610" s="216"/>
      <c r="BL610" s="216"/>
      <c r="BM610" s="216"/>
      <c r="BN610" s="216"/>
      <c r="BO610" s="216"/>
      <c r="BP610" s="216"/>
      <c r="BQ610" s="216"/>
      <c r="BR610" s="216"/>
    </row>
    <row r="611" spans="1:70" ht="12.75" x14ac:dyDescent="0.2">
      <c r="A611" s="214"/>
      <c r="B611" s="214"/>
      <c r="C611" s="214"/>
      <c r="D611" s="214"/>
      <c r="E611" s="214"/>
      <c r="F611" s="214"/>
      <c r="G611" s="214"/>
      <c r="H611" s="214"/>
      <c r="I611" s="214"/>
      <c r="J611" s="214"/>
      <c r="K611" s="214"/>
      <c r="L611" s="214"/>
      <c r="M611" s="215"/>
      <c r="N611" s="215"/>
      <c r="O611" s="216"/>
      <c r="P611" s="216"/>
      <c r="Q611" s="216"/>
      <c r="R611" s="216"/>
      <c r="S611" s="216"/>
      <c r="T611" s="216"/>
      <c r="U611" s="216"/>
      <c r="V611" s="216"/>
      <c r="W611" s="216"/>
      <c r="X611" s="216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16"/>
      <c r="AN611" s="216"/>
      <c r="AO611" s="216"/>
      <c r="AP611" s="216"/>
      <c r="AQ611" s="216"/>
      <c r="AR611" s="216"/>
      <c r="AS611" s="216"/>
      <c r="AT611" s="216"/>
      <c r="AU611" s="216"/>
      <c r="AV611" s="216"/>
      <c r="AW611" s="216"/>
      <c r="AX611" s="216"/>
      <c r="AY611" s="216"/>
      <c r="AZ611" s="216"/>
      <c r="BA611" s="216"/>
      <c r="BB611" s="216"/>
      <c r="BC611" s="216"/>
      <c r="BD611" s="216"/>
      <c r="BE611" s="216"/>
      <c r="BF611" s="216"/>
      <c r="BG611" s="216"/>
      <c r="BH611" s="216"/>
      <c r="BI611" s="216"/>
      <c r="BJ611" s="216"/>
      <c r="BK611" s="216"/>
      <c r="BL611" s="216"/>
      <c r="BM611" s="216"/>
      <c r="BN611" s="216"/>
      <c r="BO611" s="216"/>
      <c r="BP611" s="216"/>
      <c r="BQ611" s="216"/>
      <c r="BR611" s="216"/>
    </row>
    <row r="612" spans="1:70" ht="12.75" x14ac:dyDescent="0.2">
      <c r="A612" s="214"/>
      <c r="B612" s="214"/>
      <c r="C612" s="214"/>
      <c r="D612" s="214"/>
      <c r="E612" s="214"/>
      <c r="F612" s="214"/>
      <c r="G612" s="214"/>
      <c r="H612" s="214"/>
      <c r="I612" s="214"/>
      <c r="J612" s="214"/>
      <c r="K612" s="214"/>
      <c r="L612" s="214"/>
      <c r="M612" s="215"/>
      <c r="N612" s="215"/>
      <c r="O612" s="216"/>
      <c r="P612" s="216"/>
      <c r="Q612" s="216"/>
      <c r="R612" s="216"/>
      <c r="S612" s="216"/>
      <c r="T612" s="216"/>
      <c r="U612" s="216"/>
      <c r="V612" s="216"/>
      <c r="W612" s="216"/>
      <c r="X612" s="216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16"/>
      <c r="AN612" s="216"/>
      <c r="AO612" s="216"/>
      <c r="AP612" s="216"/>
      <c r="AQ612" s="216"/>
      <c r="AR612" s="216"/>
      <c r="AS612" s="216"/>
      <c r="AT612" s="216"/>
      <c r="AU612" s="216"/>
      <c r="AV612" s="216"/>
      <c r="AW612" s="216"/>
      <c r="AX612" s="216"/>
      <c r="AY612" s="216"/>
      <c r="AZ612" s="216"/>
      <c r="BA612" s="216"/>
      <c r="BB612" s="216"/>
      <c r="BC612" s="216"/>
      <c r="BD612" s="216"/>
      <c r="BE612" s="216"/>
      <c r="BF612" s="216"/>
      <c r="BG612" s="216"/>
      <c r="BH612" s="216"/>
      <c r="BI612" s="216"/>
      <c r="BJ612" s="216"/>
      <c r="BK612" s="216"/>
      <c r="BL612" s="216"/>
      <c r="BM612" s="216"/>
      <c r="BN612" s="216"/>
      <c r="BO612" s="216"/>
      <c r="BP612" s="216"/>
      <c r="BQ612" s="216"/>
      <c r="BR612" s="216"/>
    </row>
    <row r="613" spans="1:70" ht="12.75" x14ac:dyDescent="0.2">
      <c r="A613" s="214"/>
      <c r="B613" s="214"/>
      <c r="C613" s="214"/>
      <c r="D613" s="214"/>
      <c r="E613" s="214"/>
      <c r="F613" s="214"/>
      <c r="G613" s="214"/>
      <c r="H613" s="214"/>
      <c r="I613" s="214"/>
      <c r="J613" s="214"/>
      <c r="K613" s="214"/>
      <c r="L613" s="214"/>
      <c r="M613" s="215"/>
      <c r="N613" s="215"/>
      <c r="O613" s="216"/>
      <c r="P613" s="216"/>
      <c r="Q613" s="216"/>
      <c r="R613" s="216"/>
      <c r="S613" s="216"/>
      <c r="T613" s="216"/>
      <c r="U613" s="216"/>
      <c r="V613" s="216"/>
      <c r="W613" s="216"/>
      <c r="X613" s="216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16"/>
      <c r="AN613" s="216"/>
      <c r="AO613" s="216"/>
      <c r="AP613" s="216"/>
      <c r="AQ613" s="216"/>
      <c r="AR613" s="216"/>
      <c r="AS613" s="216"/>
      <c r="AT613" s="216"/>
      <c r="AU613" s="216"/>
      <c r="AV613" s="216"/>
      <c r="AW613" s="216"/>
      <c r="AX613" s="216"/>
      <c r="AY613" s="216"/>
      <c r="AZ613" s="216"/>
      <c r="BA613" s="216"/>
      <c r="BB613" s="216"/>
      <c r="BC613" s="216"/>
      <c r="BD613" s="216"/>
      <c r="BE613" s="216"/>
      <c r="BF613" s="216"/>
      <c r="BG613" s="216"/>
      <c r="BH613" s="216"/>
      <c r="BI613" s="216"/>
      <c r="BJ613" s="216"/>
      <c r="BK613" s="216"/>
      <c r="BL613" s="216"/>
      <c r="BM613" s="216"/>
      <c r="BN613" s="216"/>
      <c r="BO613" s="216"/>
      <c r="BP613" s="216"/>
      <c r="BQ613" s="216"/>
      <c r="BR613" s="216"/>
    </row>
    <row r="614" spans="1:70" ht="12.75" x14ac:dyDescent="0.2">
      <c r="A614" s="214"/>
      <c r="B614" s="214"/>
      <c r="C614" s="214"/>
      <c r="D614" s="214"/>
      <c r="E614" s="214"/>
      <c r="F614" s="214"/>
      <c r="G614" s="214"/>
      <c r="H614" s="214"/>
      <c r="I614" s="214"/>
      <c r="J614" s="214"/>
      <c r="K614" s="214"/>
      <c r="L614" s="214"/>
      <c r="M614" s="215"/>
      <c r="N614" s="215"/>
      <c r="O614" s="216"/>
      <c r="P614" s="216"/>
      <c r="Q614" s="216"/>
      <c r="R614" s="216"/>
      <c r="S614" s="216"/>
      <c r="T614" s="216"/>
      <c r="U614" s="216"/>
      <c r="V614" s="216"/>
      <c r="W614" s="216"/>
      <c r="X614" s="216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16"/>
      <c r="AN614" s="216"/>
      <c r="AO614" s="216"/>
      <c r="AP614" s="216"/>
      <c r="AQ614" s="216"/>
      <c r="AR614" s="216"/>
      <c r="AS614" s="216"/>
      <c r="AT614" s="216"/>
      <c r="AU614" s="216"/>
      <c r="AV614" s="216"/>
      <c r="AW614" s="216"/>
      <c r="AX614" s="216"/>
      <c r="AY614" s="216"/>
      <c r="AZ614" s="216"/>
      <c r="BA614" s="216"/>
      <c r="BB614" s="216"/>
      <c r="BC614" s="216"/>
      <c r="BD614" s="216"/>
      <c r="BE614" s="216"/>
      <c r="BF614" s="216"/>
      <c r="BG614" s="216"/>
      <c r="BH614" s="216"/>
      <c r="BI614" s="216"/>
      <c r="BJ614" s="216"/>
      <c r="BK614" s="216"/>
      <c r="BL614" s="216"/>
      <c r="BM614" s="216"/>
      <c r="BN614" s="216"/>
      <c r="BO614" s="216"/>
      <c r="BP614" s="216"/>
      <c r="BQ614" s="216"/>
      <c r="BR614" s="216"/>
    </row>
    <row r="615" spans="1:70" ht="12.75" x14ac:dyDescent="0.2">
      <c r="A615" s="214"/>
      <c r="B615" s="214"/>
      <c r="C615" s="214"/>
      <c r="D615" s="214"/>
      <c r="E615" s="214"/>
      <c r="F615" s="214"/>
      <c r="G615" s="214"/>
      <c r="H615" s="214"/>
      <c r="I615" s="214"/>
      <c r="J615" s="214"/>
      <c r="K615" s="214"/>
      <c r="L615" s="214"/>
      <c r="M615" s="215"/>
      <c r="N615" s="215"/>
      <c r="O615" s="216"/>
      <c r="P615" s="216"/>
      <c r="Q615" s="216"/>
      <c r="R615" s="216"/>
      <c r="S615" s="216"/>
      <c r="T615" s="216"/>
      <c r="U615" s="216"/>
      <c r="V615" s="216"/>
      <c r="W615" s="216"/>
      <c r="X615" s="216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16"/>
      <c r="AN615" s="216"/>
      <c r="AO615" s="216"/>
      <c r="AP615" s="216"/>
      <c r="AQ615" s="216"/>
      <c r="AR615" s="216"/>
      <c r="AS615" s="216"/>
      <c r="AT615" s="216"/>
      <c r="AU615" s="216"/>
      <c r="AV615" s="216"/>
      <c r="AW615" s="216"/>
      <c r="AX615" s="216"/>
      <c r="AY615" s="216"/>
      <c r="AZ615" s="216"/>
      <c r="BA615" s="216"/>
      <c r="BB615" s="216"/>
      <c r="BC615" s="216"/>
      <c r="BD615" s="216"/>
      <c r="BE615" s="216"/>
      <c r="BF615" s="216"/>
      <c r="BG615" s="216"/>
      <c r="BH615" s="216"/>
      <c r="BI615" s="216"/>
      <c r="BJ615" s="216"/>
      <c r="BK615" s="216"/>
      <c r="BL615" s="216"/>
      <c r="BM615" s="216"/>
      <c r="BN615" s="216"/>
      <c r="BO615" s="216"/>
      <c r="BP615" s="216"/>
      <c r="BQ615" s="216"/>
      <c r="BR615" s="216"/>
    </row>
    <row r="616" spans="1:70" ht="12.75" x14ac:dyDescent="0.2">
      <c r="A616" s="214"/>
      <c r="B616" s="214"/>
      <c r="C616" s="214"/>
      <c r="D616" s="214"/>
      <c r="E616" s="214"/>
      <c r="F616" s="214"/>
      <c r="G616" s="214"/>
      <c r="H616" s="214"/>
      <c r="I616" s="214"/>
      <c r="J616" s="214"/>
      <c r="K616" s="214"/>
      <c r="L616" s="214"/>
      <c r="M616" s="215"/>
      <c r="N616" s="215"/>
      <c r="O616" s="216"/>
      <c r="P616" s="216"/>
      <c r="Q616" s="216"/>
      <c r="R616" s="216"/>
      <c r="S616" s="216"/>
      <c r="T616" s="216"/>
      <c r="U616" s="216"/>
      <c r="V616" s="216"/>
      <c r="W616" s="216"/>
      <c r="X616" s="216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16"/>
      <c r="AN616" s="216"/>
      <c r="AO616" s="216"/>
      <c r="AP616" s="216"/>
      <c r="AQ616" s="216"/>
      <c r="AR616" s="216"/>
      <c r="AS616" s="216"/>
      <c r="AT616" s="216"/>
      <c r="AU616" s="216"/>
      <c r="AV616" s="216"/>
      <c r="AW616" s="216"/>
      <c r="AX616" s="216"/>
      <c r="AY616" s="216"/>
      <c r="AZ616" s="216"/>
      <c r="BA616" s="216"/>
      <c r="BB616" s="216"/>
      <c r="BC616" s="216"/>
      <c r="BD616" s="216"/>
      <c r="BE616" s="216"/>
      <c r="BF616" s="216"/>
      <c r="BG616" s="216"/>
      <c r="BH616" s="216"/>
      <c r="BI616" s="216"/>
      <c r="BJ616" s="216"/>
      <c r="BK616" s="216"/>
      <c r="BL616" s="216"/>
      <c r="BM616" s="216"/>
      <c r="BN616" s="216"/>
      <c r="BO616" s="216"/>
      <c r="BP616" s="216"/>
      <c r="BQ616" s="216"/>
      <c r="BR616" s="216"/>
    </row>
    <row r="617" spans="1:70" ht="12.75" x14ac:dyDescent="0.2">
      <c r="A617" s="214"/>
      <c r="B617" s="214"/>
      <c r="C617" s="214"/>
      <c r="D617" s="214"/>
      <c r="E617" s="214"/>
      <c r="F617" s="214"/>
      <c r="G617" s="214"/>
      <c r="H617" s="214"/>
      <c r="I617" s="214"/>
      <c r="J617" s="214"/>
      <c r="K617" s="214"/>
      <c r="L617" s="214"/>
      <c r="M617" s="215"/>
      <c r="N617" s="215"/>
      <c r="O617" s="216"/>
      <c r="P617" s="216"/>
      <c r="Q617" s="216"/>
      <c r="R617" s="216"/>
      <c r="S617" s="216"/>
      <c r="T617" s="216"/>
      <c r="U617" s="216"/>
      <c r="V617" s="216"/>
      <c r="W617" s="216"/>
      <c r="X617" s="216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16"/>
      <c r="AN617" s="216"/>
      <c r="AO617" s="216"/>
      <c r="AP617" s="216"/>
      <c r="AQ617" s="216"/>
      <c r="AR617" s="216"/>
      <c r="AS617" s="216"/>
      <c r="AT617" s="216"/>
      <c r="AU617" s="216"/>
      <c r="AV617" s="216"/>
      <c r="AW617" s="216"/>
      <c r="AX617" s="216"/>
      <c r="AY617" s="216"/>
      <c r="AZ617" s="216"/>
      <c r="BA617" s="216"/>
      <c r="BB617" s="216"/>
      <c r="BC617" s="216"/>
      <c r="BD617" s="216"/>
      <c r="BE617" s="216"/>
      <c r="BF617" s="216"/>
      <c r="BG617" s="216"/>
      <c r="BH617" s="216"/>
      <c r="BI617" s="216"/>
      <c r="BJ617" s="216"/>
      <c r="BK617" s="216"/>
      <c r="BL617" s="216"/>
      <c r="BM617" s="216"/>
      <c r="BN617" s="216"/>
      <c r="BO617" s="216"/>
      <c r="BP617" s="216"/>
      <c r="BQ617" s="216"/>
      <c r="BR617" s="216"/>
    </row>
    <row r="618" spans="1:70" ht="12.75" x14ac:dyDescent="0.2">
      <c r="A618" s="214"/>
      <c r="B618" s="214"/>
      <c r="C618" s="214"/>
      <c r="D618" s="214"/>
      <c r="E618" s="214"/>
      <c r="F618" s="214"/>
      <c r="G618" s="214"/>
      <c r="H618" s="214"/>
      <c r="I618" s="214"/>
      <c r="J618" s="214"/>
      <c r="K618" s="214"/>
      <c r="L618" s="214"/>
      <c r="M618" s="215"/>
      <c r="N618" s="215"/>
      <c r="O618" s="216"/>
      <c r="P618" s="216"/>
      <c r="Q618" s="216"/>
      <c r="R618" s="216"/>
      <c r="S618" s="216"/>
      <c r="T618" s="216"/>
      <c r="U618" s="216"/>
      <c r="V618" s="216"/>
      <c r="W618" s="216"/>
      <c r="X618" s="216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16"/>
      <c r="AN618" s="216"/>
      <c r="AO618" s="216"/>
      <c r="AP618" s="216"/>
      <c r="AQ618" s="216"/>
      <c r="AR618" s="216"/>
      <c r="AS618" s="216"/>
      <c r="AT618" s="216"/>
      <c r="AU618" s="216"/>
      <c r="AV618" s="216"/>
      <c r="AW618" s="216"/>
      <c r="AX618" s="216"/>
      <c r="AY618" s="216"/>
      <c r="AZ618" s="216"/>
      <c r="BA618" s="216"/>
      <c r="BB618" s="216"/>
      <c r="BC618" s="216"/>
      <c r="BD618" s="216"/>
      <c r="BE618" s="216"/>
      <c r="BF618" s="216"/>
      <c r="BG618" s="216"/>
      <c r="BH618" s="216"/>
      <c r="BI618" s="216"/>
      <c r="BJ618" s="216"/>
      <c r="BK618" s="216"/>
      <c r="BL618" s="216"/>
      <c r="BM618" s="216"/>
      <c r="BN618" s="216"/>
      <c r="BO618" s="216"/>
      <c r="BP618" s="216"/>
      <c r="BQ618" s="216"/>
      <c r="BR618" s="216"/>
    </row>
    <row r="619" spans="1:70" ht="12.75" x14ac:dyDescent="0.2">
      <c r="A619" s="214"/>
      <c r="B619" s="214"/>
      <c r="C619" s="214"/>
      <c r="D619" s="214"/>
      <c r="E619" s="214"/>
      <c r="F619" s="214"/>
      <c r="G619" s="214"/>
      <c r="H619" s="214"/>
      <c r="I619" s="214"/>
      <c r="J619" s="214"/>
      <c r="K619" s="214"/>
      <c r="L619" s="214"/>
      <c r="M619" s="215"/>
      <c r="N619" s="215"/>
      <c r="O619" s="216"/>
      <c r="P619" s="216"/>
      <c r="Q619" s="216"/>
      <c r="R619" s="216"/>
      <c r="S619" s="216"/>
      <c r="T619" s="216"/>
      <c r="U619" s="216"/>
      <c r="V619" s="216"/>
      <c r="W619" s="216"/>
      <c r="X619" s="216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16"/>
      <c r="AN619" s="216"/>
      <c r="AO619" s="216"/>
      <c r="AP619" s="216"/>
      <c r="AQ619" s="216"/>
      <c r="AR619" s="216"/>
      <c r="AS619" s="216"/>
      <c r="AT619" s="216"/>
      <c r="AU619" s="216"/>
      <c r="AV619" s="216"/>
      <c r="AW619" s="216"/>
      <c r="AX619" s="216"/>
      <c r="AY619" s="216"/>
      <c r="AZ619" s="216"/>
      <c r="BA619" s="216"/>
      <c r="BB619" s="216"/>
      <c r="BC619" s="216"/>
      <c r="BD619" s="216"/>
      <c r="BE619" s="216"/>
      <c r="BF619" s="216"/>
      <c r="BG619" s="216"/>
      <c r="BH619" s="216"/>
      <c r="BI619" s="216"/>
      <c r="BJ619" s="216"/>
      <c r="BK619" s="216"/>
      <c r="BL619" s="216"/>
      <c r="BM619" s="216"/>
      <c r="BN619" s="216"/>
      <c r="BO619" s="216"/>
      <c r="BP619" s="216"/>
      <c r="BQ619" s="216"/>
      <c r="BR619" s="216"/>
    </row>
    <row r="620" spans="1:70" ht="12.75" x14ac:dyDescent="0.2">
      <c r="A620" s="214"/>
      <c r="B620" s="214"/>
      <c r="C620" s="214"/>
      <c r="D620" s="214"/>
      <c r="E620" s="214"/>
      <c r="F620" s="214"/>
      <c r="G620" s="214"/>
      <c r="H620" s="214"/>
      <c r="I620" s="214"/>
      <c r="J620" s="214"/>
      <c r="K620" s="214"/>
      <c r="L620" s="214"/>
      <c r="M620" s="215"/>
      <c r="N620" s="215"/>
      <c r="O620" s="216"/>
      <c r="P620" s="216"/>
      <c r="Q620" s="216"/>
      <c r="R620" s="216"/>
      <c r="S620" s="216"/>
      <c r="T620" s="216"/>
      <c r="U620" s="216"/>
      <c r="V620" s="216"/>
      <c r="W620" s="216"/>
      <c r="X620" s="216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16"/>
      <c r="AN620" s="216"/>
      <c r="AO620" s="216"/>
      <c r="AP620" s="216"/>
      <c r="AQ620" s="216"/>
      <c r="AR620" s="216"/>
      <c r="AS620" s="216"/>
      <c r="AT620" s="216"/>
      <c r="AU620" s="216"/>
      <c r="AV620" s="216"/>
      <c r="AW620" s="216"/>
      <c r="AX620" s="216"/>
      <c r="AY620" s="216"/>
      <c r="AZ620" s="216"/>
      <c r="BA620" s="216"/>
      <c r="BB620" s="216"/>
      <c r="BC620" s="216"/>
      <c r="BD620" s="216"/>
      <c r="BE620" s="216"/>
      <c r="BF620" s="216"/>
      <c r="BG620" s="216"/>
      <c r="BH620" s="216"/>
      <c r="BI620" s="216"/>
      <c r="BJ620" s="216"/>
      <c r="BK620" s="216"/>
      <c r="BL620" s="216"/>
      <c r="BM620" s="216"/>
      <c r="BN620" s="216"/>
      <c r="BO620" s="216"/>
      <c r="BP620" s="216"/>
      <c r="BQ620" s="216"/>
      <c r="BR620" s="216"/>
    </row>
    <row r="621" spans="1:70" ht="12.75" x14ac:dyDescent="0.2">
      <c r="A621" s="214"/>
      <c r="B621" s="214"/>
      <c r="C621" s="214"/>
      <c r="D621" s="214"/>
      <c r="E621" s="214"/>
      <c r="F621" s="214"/>
      <c r="G621" s="214"/>
      <c r="H621" s="214"/>
      <c r="I621" s="214"/>
      <c r="J621" s="214"/>
      <c r="K621" s="214"/>
      <c r="L621" s="214"/>
      <c r="M621" s="215"/>
      <c r="N621" s="215"/>
      <c r="O621" s="216"/>
      <c r="P621" s="216"/>
      <c r="Q621" s="216"/>
      <c r="R621" s="216"/>
      <c r="S621" s="216"/>
      <c r="T621" s="216"/>
      <c r="U621" s="216"/>
      <c r="V621" s="216"/>
      <c r="W621" s="216"/>
      <c r="X621" s="216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16"/>
      <c r="AN621" s="216"/>
      <c r="AO621" s="216"/>
      <c r="AP621" s="216"/>
      <c r="AQ621" s="216"/>
      <c r="AR621" s="216"/>
      <c r="AS621" s="216"/>
      <c r="AT621" s="216"/>
      <c r="AU621" s="216"/>
      <c r="AV621" s="216"/>
      <c r="AW621" s="216"/>
      <c r="AX621" s="216"/>
      <c r="AY621" s="216"/>
      <c r="AZ621" s="216"/>
      <c r="BA621" s="216"/>
      <c r="BB621" s="216"/>
      <c r="BC621" s="216"/>
      <c r="BD621" s="216"/>
      <c r="BE621" s="216"/>
      <c r="BF621" s="216"/>
      <c r="BG621" s="216"/>
      <c r="BH621" s="216"/>
      <c r="BI621" s="216"/>
      <c r="BJ621" s="216"/>
      <c r="BK621" s="216"/>
      <c r="BL621" s="216"/>
      <c r="BM621" s="216"/>
      <c r="BN621" s="216"/>
      <c r="BO621" s="216"/>
      <c r="BP621" s="216"/>
      <c r="BQ621" s="216"/>
      <c r="BR621" s="216"/>
    </row>
    <row r="622" spans="1:70" ht="12.75" x14ac:dyDescent="0.2">
      <c r="A622" s="214"/>
      <c r="B622" s="214"/>
      <c r="C622" s="214"/>
      <c r="D622" s="214"/>
      <c r="E622" s="214"/>
      <c r="F622" s="214"/>
      <c r="G622" s="214"/>
      <c r="H622" s="214"/>
      <c r="I622" s="214"/>
      <c r="J622" s="214"/>
      <c r="K622" s="214"/>
      <c r="L622" s="214"/>
      <c r="M622" s="215"/>
      <c r="N622" s="215"/>
      <c r="O622" s="216"/>
      <c r="P622" s="216"/>
      <c r="Q622" s="216"/>
      <c r="R622" s="216"/>
      <c r="S622" s="216"/>
      <c r="T622" s="216"/>
      <c r="U622" s="216"/>
      <c r="V622" s="216"/>
      <c r="W622" s="216"/>
      <c r="X622" s="216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16"/>
      <c r="AN622" s="216"/>
      <c r="AO622" s="216"/>
      <c r="AP622" s="216"/>
      <c r="AQ622" s="216"/>
      <c r="AR622" s="216"/>
      <c r="AS622" s="216"/>
      <c r="AT622" s="216"/>
      <c r="AU622" s="216"/>
      <c r="AV622" s="216"/>
      <c r="AW622" s="216"/>
      <c r="AX622" s="216"/>
      <c r="AY622" s="216"/>
      <c r="AZ622" s="216"/>
      <c r="BA622" s="216"/>
      <c r="BB622" s="216"/>
      <c r="BC622" s="216"/>
      <c r="BD622" s="216"/>
      <c r="BE622" s="216"/>
      <c r="BF622" s="216"/>
      <c r="BG622" s="216"/>
      <c r="BH622" s="216"/>
      <c r="BI622" s="216"/>
      <c r="BJ622" s="216"/>
      <c r="BK622" s="216"/>
      <c r="BL622" s="216"/>
      <c r="BM622" s="216"/>
      <c r="BN622" s="216"/>
      <c r="BO622" s="216"/>
      <c r="BP622" s="216"/>
      <c r="BQ622" s="216"/>
      <c r="BR622" s="216"/>
    </row>
    <row r="623" spans="1:70" ht="12.75" x14ac:dyDescent="0.2">
      <c r="A623" s="214"/>
      <c r="B623" s="214"/>
      <c r="C623" s="214"/>
      <c r="D623" s="214"/>
      <c r="E623" s="214"/>
      <c r="F623" s="214"/>
      <c r="G623" s="214"/>
      <c r="H623" s="214"/>
      <c r="I623" s="214"/>
      <c r="J623" s="214"/>
      <c r="K623" s="214"/>
      <c r="L623" s="214"/>
      <c r="M623" s="215"/>
      <c r="N623" s="215"/>
      <c r="O623" s="216"/>
      <c r="P623" s="216"/>
      <c r="Q623" s="216"/>
      <c r="R623" s="216"/>
      <c r="S623" s="216"/>
      <c r="T623" s="216"/>
      <c r="U623" s="216"/>
      <c r="V623" s="216"/>
      <c r="W623" s="216"/>
      <c r="X623" s="216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16"/>
      <c r="AN623" s="216"/>
      <c r="AO623" s="216"/>
      <c r="AP623" s="216"/>
      <c r="AQ623" s="216"/>
      <c r="AR623" s="216"/>
      <c r="AS623" s="216"/>
      <c r="AT623" s="216"/>
      <c r="AU623" s="216"/>
      <c r="AV623" s="216"/>
      <c r="AW623" s="216"/>
      <c r="AX623" s="216"/>
      <c r="AY623" s="216"/>
      <c r="AZ623" s="216"/>
      <c r="BA623" s="216"/>
      <c r="BB623" s="216"/>
      <c r="BC623" s="216"/>
      <c r="BD623" s="216"/>
      <c r="BE623" s="216"/>
      <c r="BF623" s="216"/>
      <c r="BG623" s="216"/>
      <c r="BH623" s="216"/>
      <c r="BI623" s="216"/>
      <c r="BJ623" s="216"/>
      <c r="BK623" s="216"/>
      <c r="BL623" s="216"/>
      <c r="BM623" s="216"/>
      <c r="BN623" s="216"/>
      <c r="BO623" s="216"/>
      <c r="BP623" s="216"/>
      <c r="BQ623" s="216"/>
      <c r="BR623" s="216"/>
    </row>
    <row r="624" spans="1:70" ht="12.75" x14ac:dyDescent="0.2">
      <c r="A624" s="214"/>
      <c r="B624" s="214"/>
      <c r="C624" s="214"/>
      <c r="D624" s="214"/>
      <c r="E624" s="214"/>
      <c r="F624" s="214"/>
      <c r="G624" s="214"/>
      <c r="H624" s="214"/>
      <c r="I624" s="214"/>
      <c r="J624" s="214"/>
      <c r="K624" s="214"/>
      <c r="L624" s="214"/>
      <c r="M624" s="215"/>
      <c r="N624" s="215"/>
      <c r="O624" s="216"/>
      <c r="P624" s="216"/>
      <c r="Q624" s="216"/>
      <c r="R624" s="216"/>
      <c r="S624" s="216"/>
      <c r="T624" s="216"/>
      <c r="U624" s="216"/>
      <c r="V624" s="216"/>
      <c r="W624" s="216"/>
      <c r="X624" s="216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16"/>
      <c r="AN624" s="216"/>
      <c r="AO624" s="216"/>
      <c r="AP624" s="216"/>
      <c r="AQ624" s="216"/>
      <c r="AR624" s="216"/>
      <c r="AS624" s="216"/>
      <c r="AT624" s="216"/>
      <c r="AU624" s="216"/>
      <c r="AV624" s="216"/>
      <c r="AW624" s="216"/>
      <c r="AX624" s="216"/>
      <c r="AY624" s="216"/>
      <c r="AZ624" s="216"/>
      <c r="BA624" s="216"/>
      <c r="BB624" s="216"/>
      <c r="BC624" s="216"/>
      <c r="BD624" s="216"/>
      <c r="BE624" s="216"/>
      <c r="BF624" s="216"/>
      <c r="BG624" s="216"/>
      <c r="BH624" s="216"/>
      <c r="BI624" s="216"/>
      <c r="BJ624" s="216"/>
      <c r="BK624" s="216"/>
      <c r="BL624" s="216"/>
      <c r="BM624" s="216"/>
      <c r="BN624" s="216"/>
      <c r="BO624" s="216"/>
      <c r="BP624" s="216"/>
      <c r="BQ624" s="216"/>
      <c r="BR624" s="216"/>
    </row>
    <row r="625" spans="1:70" ht="12.75" x14ac:dyDescent="0.2">
      <c r="A625" s="214"/>
      <c r="B625" s="214"/>
      <c r="C625" s="214"/>
      <c r="D625" s="214"/>
      <c r="E625" s="214"/>
      <c r="F625" s="214"/>
      <c r="G625" s="214"/>
      <c r="H625" s="214"/>
      <c r="I625" s="214"/>
      <c r="J625" s="214"/>
      <c r="K625" s="214"/>
      <c r="L625" s="214"/>
      <c r="M625" s="215"/>
      <c r="N625" s="215"/>
      <c r="O625" s="216"/>
      <c r="P625" s="216"/>
      <c r="Q625" s="216"/>
      <c r="R625" s="216"/>
      <c r="S625" s="216"/>
      <c r="T625" s="216"/>
      <c r="U625" s="216"/>
      <c r="V625" s="216"/>
      <c r="W625" s="216"/>
      <c r="X625" s="216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16"/>
      <c r="AN625" s="216"/>
      <c r="AO625" s="216"/>
      <c r="AP625" s="216"/>
      <c r="AQ625" s="216"/>
      <c r="AR625" s="216"/>
      <c r="AS625" s="216"/>
      <c r="AT625" s="216"/>
      <c r="AU625" s="216"/>
      <c r="AV625" s="216"/>
      <c r="AW625" s="216"/>
      <c r="AX625" s="216"/>
      <c r="AY625" s="216"/>
      <c r="AZ625" s="216"/>
      <c r="BA625" s="216"/>
      <c r="BB625" s="216"/>
      <c r="BC625" s="216"/>
      <c r="BD625" s="216"/>
      <c r="BE625" s="216"/>
      <c r="BF625" s="216"/>
      <c r="BG625" s="216"/>
      <c r="BH625" s="216"/>
      <c r="BI625" s="216"/>
      <c r="BJ625" s="216"/>
      <c r="BK625" s="216"/>
      <c r="BL625" s="216"/>
      <c r="BM625" s="216"/>
      <c r="BN625" s="216"/>
      <c r="BO625" s="216"/>
      <c r="BP625" s="216"/>
      <c r="BQ625" s="216"/>
      <c r="BR625" s="216"/>
    </row>
    <row r="626" spans="1:70" ht="12.75" x14ac:dyDescent="0.2">
      <c r="A626" s="214"/>
      <c r="B626" s="214"/>
      <c r="C626" s="214"/>
      <c r="D626" s="214"/>
      <c r="E626" s="214"/>
      <c r="F626" s="214"/>
      <c r="G626" s="214"/>
      <c r="H626" s="214"/>
      <c r="I626" s="214"/>
      <c r="J626" s="214"/>
      <c r="K626" s="214"/>
      <c r="L626" s="214"/>
      <c r="M626" s="215"/>
      <c r="N626" s="215"/>
      <c r="O626" s="216"/>
      <c r="P626" s="216"/>
      <c r="Q626" s="216"/>
      <c r="R626" s="216"/>
      <c r="S626" s="216"/>
      <c r="T626" s="216"/>
      <c r="U626" s="216"/>
      <c r="V626" s="216"/>
      <c r="W626" s="216"/>
      <c r="X626" s="216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16"/>
      <c r="AN626" s="216"/>
      <c r="AO626" s="216"/>
      <c r="AP626" s="216"/>
      <c r="AQ626" s="216"/>
      <c r="AR626" s="216"/>
      <c r="AS626" s="216"/>
      <c r="AT626" s="216"/>
      <c r="AU626" s="216"/>
      <c r="AV626" s="216"/>
      <c r="AW626" s="216"/>
      <c r="AX626" s="216"/>
      <c r="AY626" s="216"/>
      <c r="AZ626" s="216"/>
      <c r="BA626" s="216"/>
      <c r="BB626" s="216"/>
      <c r="BC626" s="216"/>
      <c r="BD626" s="216"/>
      <c r="BE626" s="216"/>
      <c r="BF626" s="216"/>
      <c r="BG626" s="216"/>
      <c r="BH626" s="216"/>
      <c r="BI626" s="216"/>
      <c r="BJ626" s="216"/>
      <c r="BK626" s="216"/>
      <c r="BL626" s="216"/>
      <c r="BM626" s="216"/>
      <c r="BN626" s="216"/>
      <c r="BO626" s="216"/>
      <c r="BP626" s="216"/>
      <c r="BQ626" s="216"/>
      <c r="BR626" s="216"/>
    </row>
    <row r="627" spans="1:70" ht="12.75" x14ac:dyDescent="0.2">
      <c r="A627" s="214"/>
      <c r="B627" s="214"/>
      <c r="C627" s="214"/>
      <c r="D627" s="214"/>
      <c r="E627" s="214"/>
      <c r="F627" s="214"/>
      <c r="G627" s="214"/>
      <c r="H627" s="214"/>
      <c r="I627" s="214"/>
      <c r="J627" s="214"/>
      <c r="K627" s="214"/>
      <c r="L627" s="214"/>
      <c r="M627" s="215"/>
      <c r="N627" s="215"/>
      <c r="O627" s="216"/>
      <c r="P627" s="216"/>
      <c r="Q627" s="216"/>
      <c r="R627" s="216"/>
      <c r="S627" s="216"/>
      <c r="T627" s="216"/>
      <c r="U627" s="216"/>
      <c r="V627" s="216"/>
      <c r="W627" s="216"/>
      <c r="X627" s="216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16"/>
      <c r="AN627" s="216"/>
      <c r="AO627" s="216"/>
      <c r="AP627" s="216"/>
      <c r="AQ627" s="216"/>
      <c r="AR627" s="216"/>
      <c r="AS627" s="216"/>
      <c r="AT627" s="216"/>
      <c r="AU627" s="216"/>
      <c r="AV627" s="216"/>
      <c r="AW627" s="216"/>
      <c r="AX627" s="216"/>
      <c r="AY627" s="216"/>
      <c r="AZ627" s="216"/>
      <c r="BA627" s="216"/>
      <c r="BB627" s="216"/>
      <c r="BC627" s="216"/>
      <c r="BD627" s="216"/>
      <c r="BE627" s="216"/>
      <c r="BF627" s="216"/>
      <c r="BG627" s="216"/>
      <c r="BH627" s="216"/>
      <c r="BI627" s="216"/>
      <c r="BJ627" s="216"/>
      <c r="BK627" s="216"/>
      <c r="BL627" s="216"/>
      <c r="BM627" s="216"/>
      <c r="BN627" s="216"/>
      <c r="BO627" s="216"/>
      <c r="BP627" s="216"/>
      <c r="BQ627" s="216"/>
      <c r="BR627" s="216"/>
    </row>
    <row r="628" spans="1:70" ht="12.75" x14ac:dyDescent="0.2">
      <c r="A628" s="214"/>
      <c r="B628" s="214"/>
      <c r="C628" s="214"/>
      <c r="D628" s="214"/>
      <c r="E628" s="214"/>
      <c r="F628" s="214"/>
      <c r="G628" s="214"/>
      <c r="H628" s="214"/>
      <c r="I628" s="214"/>
      <c r="J628" s="214"/>
      <c r="K628" s="214"/>
      <c r="L628" s="214"/>
      <c r="M628" s="215"/>
      <c r="N628" s="215"/>
      <c r="O628" s="216"/>
      <c r="P628" s="216"/>
      <c r="Q628" s="216"/>
      <c r="R628" s="216"/>
      <c r="S628" s="216"/>
      <c r="T628" s="216"/>
      <c r="U628" s="216"/>
      <c r="V628" s="216"/>
      <c r="W628" s="216"/>
      <c r="X628" s="216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16"/>
      <c r="AN628" s="216"/>
      <c r="AO628" s="216"/>
      <c r="AP628" s="216"/>
      <c r="AQ628" s="216"/>
      <c r="AR628" s="216"/>
      <c r="AS628" s="216"/>
      <c r="AT628" s="216"/>
      <c r="AU628" s="216"/>
      <c r="AV628" s="216"/>
      <c r="AW628" s="216"/>
      <c r="AX628" s="216"/>
      <c r="AY628" s="216"/>
      <c r="AZ628" s="216"/>
      <c r="BA628" s="216"/>
      <c r="BB628" s="216"/>
      <c r="BC628" s="216"/>
      <c r="BD628" s="216"/>
      <c r="BE628" s="216"/>
      <c r="BF628" s="216"/>
      <c r="BG628" s="216"/>
      <c r="BH628" s="216"/>
      <c r="BI628" s="216"/>
      <c r="BJ628" s="216"/>
      <c r="BK628" s="216"/>
      <c r="BL628" s="216"/>
      <c r="BM628" s="216"/>
      <c r="BN628" s="216"/>
      <c r="BO628" s="216"/>
      <c r="BP628" s="216"/>
      <c r="BQ628" s="216"/>
      <c r="BR628" s="216"/>
    </row>
    <row r="629" spans="1:70" ht="12.75" x14ac:dyDescent="0.2">
      <c r="A629" s="214"/>
      <c r="B629" s="214"/>
      <c r="C629" s="214"/>
      <c r="D629" s="214"/>
      <c r="E629" s="214"/>
      <c r="F629" s="214"/>
      <c r="G629" s="214"/>
      <c r="H629" s="214"/>
      <c r="I629" s="214"/>
      <c r="J629" s="214"/>
      <c r="K629" s="214"/>
      <c r="L629" s="214"/>
      <c r="M629" s="215"/>
      <c r="N629" s="215"/>
      <c r="O629" s="216"/>
      <c r="P629" s="216"/>
      <c r="Q629" s="216"/>
      <c r="R629" s="216"/>
      <c r="S629" s="216"/>
      <c r="T629" s="216"/>
      <c r="U629" s="216"/>
      <c r="V629" s="216"/>
      <c r="W629" s="216"/>
      <c r="X629" s="216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16"/>
      <c r="AN629" s="216"/>
      <c r="AO629" s="216"/>
      <c r="AP629" s="216"/>
      <c r="AQ629" s="216"/>
      <c r="AR629" s="216"/>
      <c r="AS629" s="216"/>
      <c r="AT629" s="216"/>
      <c r="AU629" s="216"/>
      <c r="AV629" s="216"/>
      <c r="AW629" s="216"/>
      <c r="AX629" s="216"/>
      <c r="AY629" s="216"/>
      <c r="AZ629" s="216"/>
      <c r="BA629" s="216"/>
      <c r="BB629" s="216"/>
      <c r="BC629" s="216"/>
      <c r="BD629" s="216"/>
      <c r="BE629" s="216"/>
      <c r="BF629" s="216"/>
      <c r="BG629" s="216"/>
      <c r="BH629" s="216"/>
      <c r="BI629" s="216"/>
      <c r="BJ629" s="216"/>
      <c r="BK629" s="216"/>
      <c r="BL629" s="216"/>
      <c r="BM629" s="216"/>
      <c r="BN629" s="216"/>
      <c r="BO629" s="216"/>
      <c r="BP629" s="216"/>
      <c r="BQ629" s="216"/>
      <c r="BR629" s="216"/>
    </row>
    <row r="630" spans="1:70" ht="12.75" x14ac:dyDescent="0.2">
      <c r="A630" s="214"/>
      <c r="B630" s="214"/>
      <c r="C630" s="214"/>
      <c r="D630" s="214"/>
      <c r="E630" s="214"/>
      <c r="F630" s="214"/>
      <c r="G630" s="214"/>
      <c r="H630" s="214"/>
      <c r="I630" s="214"/>
      <c r="J630" s="214"/>
      <c r="K630" s="214"/>
      <c r="L630" s="214"/>
      <c r="M630" s="215"/>
      <c r="N630" s="215"/>
      <c r="O630" s="216"/>
      <c r="P630" s="216"/>
      <c r="Q630" s="216"/>
      <c r="R630" s="216"/>
      <c r="S630" s="216"/>
      <c r="T630" s="216"/>
      <c r="U630" s="216"/>
      <c r="V630" s="216"/>
      <c r="W630" s="216"/>
      <c r="X630" s="216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16"/>
      <c r="AN630" s="216"/>
      <c r="AO630" s="216"/>
      <c r="AP630" s="216"/>
      <c r="AQ630" s="216"/>
      <c r="AR630" s="216"/>
      <c r="AS630" s="216"/>
      <c r="AT630" s="216"/>
      <c r="AU630" s="216"/>
      <c r="AV630" s="216"/>
      <c r="AW630" s="216"/>
      <c r="AX630" s="216"/>
      <c r="AY630" s="216"/>
      <c r="AZ630" s="216"/>
      <c r="BA630" s="216"/>
      <c r="BB630" s="216"/>
      <c r="BC630" s="216"/>
      <c r="BD630" s="216"/>
      <c r="BE630" s="216"/>
      <c r="BF630" s="216"/>
      <c r="BG630" s="216"/>
      <c r="BH630" s="216"/>
      <c r="BI630" s="216"/>
      <c r="BJ630" s="216"/>
      <c r="BK630" s="216"/>
      <c r="BL630" s="216"/>
      <c r="BM630" s="216"/>
      <c r="BN630" s="216"/>
      <c r="BO630" s="216"/>
      <c r="BP630" s="216"/>
      <c r="BQ630" s="216"/>
      <c r="BR630" s="216"/>
    </row>
    <row r="631" spans="1:70" ht="12.75" x14ac:dyDescent="0.2">
      <c r="A631" s="214"/>
      <c r="B631" s="214"/>
      <c r="C631" s="214"/>
      <c r="D631" s="214"/>
      <c r="E631" s="214"/>
      <c r="F631" s="214"/>
      <c r="G631" s="214"/>
      <c r="H631" s="214"/>
      <c r="I631" s="214"/>
      <c r="J631" s="214"/>
      <c r="K631" s="214"/>
      <c r="L631" s="214"/>
      <c r="M631" s="215"/>
      <c r="N631" s="215"/>
      <c r="O631" s="216"/>
      <c r="P631" s="216"/>
      <c r="Q631" s="216"/>
      <c r="R631" s="216"/>
      <c r="S631" s="216"/>
      <c r="T631" s="216"/>
      <c r="U631" s="216"/>
      <c r="V631" s="216"/>
      <c r="W631" s="216"/>
      <c r="X631" s="216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16"/>
      <c r="AN631" s="216"/>
      <c r="AO631" s="216"/>
      <c r="AP631" s="216"/>
      <c r="AQ631" s="216"/>
      <c r="AR631" s="216"/>
      <c r="AS631" s="216"/>
      <c r="AT631" s="216"/>
      <c r="AU631" s="216"/>
      <c r="AV631" s="216"/>
      <c r="AW631" s="216"/>
      <c r="AX631" s="216"/>
      <c r="AY631" s="216"/>
      <c r="AZ631" s="216"/>
      <c r="BA631" s="216"/>
      <c r="BB631" s="216"/>
      <c r="BC631" s="216"/>
      <c r="BD631" s="216"/>
      <c r="BE631" s="216"/>
      <c r="BF631" s="216"/>
      <c r="BG631" s="216"/>
      <c r="BH631" s="216"/>
      <c r="BI631" s="216"/>
      <c r="BJ631" s="216"/>
      <c r="BK631" s="216"/>
      <c r="BL631" s="216"/>
      <c r="BM631" s="216"/>
      <c r="BN631" s="216"/>
      <c r="BO631" s="216"/>
      <c r="BP631" s="216"/>
      <c r="BQ631" s="216"/>
      <c r="BR631" s="216"/>
    </row>
    <row r="632" spans="1:70" ht="12.75" x14ac:dyDescent="0.2">
      <c r="A632" s="214"/>
      <c r="B632" s="214"/>
      <c r="C632" s="214"/>
      <c r="D632" s="214"/>
      <c r="E632" s="214"/>
      <c r="F632" s="214"/>
      <c r="G632" s="214"/>
      <c r="H632" s="214"/>
      <c r="I632" s="214"/>
      <c r="J632" s="214"/>
      <c r="K632" s="214"/>
      <c r="L632" s="214"/>
      <c r="M632" s="215"/>
      <c r="N632" s="215"/>
      <c r="O632" s="216"/>
      <c r="P632" s="216"/>
      <c r="Q632" s="216"/>
      <c r="R632" s="216"/>
      <c r="S632" s="216"/>
      <c r="T632" s="216"/>
      <c r="U632" s="216"/>
      <c r="V632" s="216"/>
      <c r="W632" s="216"/>
      <c r="X632" s="216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16"/>
      <c r="AN632" s="216"/>
      <c r="AO632" s="216"/>
      <c r="AP632" s="216"/>
      <c r="AQ632" s="216"/>
      <c r="AR632" s="216"/>
      <c r="AS632" s="216"/>
      <c r="AT632" s="216"/>
      <c r="AU632" s="216"/>
      <c r="AV632" s="216"/>
      <c r="AW632" s="216"/>
      <c r="AX632" s="216"/>
      <c r="AY632" s="216"/>
      <c r="AZ632" s="216"/>
      <c r="BA632" s="216"/>
      <c r="BB632" s="216"/>
      <c r="BC632" s="216"/>
      <c r="BD632" s="216"/>
      <c r="BE632" s="216"/>
      <c r="BF632" s="216"/>
      <c r="BG632" s="216"/>
      <c r="BH632" s="216"/>
      <c r="BI632" s="216"/>
      <c r="BJ632" s="216"/>
      <c r="BK632" s="216"/>
      <c r="BL632" s="216"/>
      <c r="BM632" s="216"/>
      <c r="BN632" s="216"/>
      <c r="BO632" s="216"/>
      <c r="BP632" s="216"/>
      <c r="BQ632" s="216"/>
      <c r="BR632" s="216"/>
    </row>
    <row r="633" spans="1:70" ht="12.75" x14ac:dyDescent="0.2">
      <c r="A633" s="214"/>
      <c r="B633" s="214"/>
      <c r="C633" s="214"/>
      <c r="D633" s="214"/>
      <c r="E633" s="214"/>
      <c r="F633" s="214"/>
      <c r="G633" s="214"/>
      <c r="H633" s="214"/>
      <c r="I633" s="214"/>
      <c r="J633" s="214"/>
      <c r="K633" s="214"/>
      <c r="L633" s="214"/>
      <c r="M633" s="215"/>
      <c r="N633" s="215"/>
      <c r="O633" s="216"/>
      <c r="P633" s="216"/>
      <c r="Q633" s="216"/>
      <c r="R633" s="216"/>
      <c r="S633" s="216"/>
      <c r="T633" s="216"/>
      <c r="U633" s="216"/>
      <c r="V633" s="216"/>
      <c r="W633" s="216"/>
      <c r="X633" s="216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16"/>
      <c r="AN633" s="216"/>
      <c r="AO633" s="216"/>
      <c r="AP633" s="216"/>
      <c r="AQ633" s="216"/>
      <c r="AR633" s="216"/>
      <c r="AS633" s="216"/>
      <c r="AT633" s="216"/>
      <c r="AU633" s="216"/>
      <c r="AV633" s="216"/>
      <c r="AW633" s="216"/>
      <c r="AX633" s="216"/>
      <c r="AY633" s="216"/>
      <c r="AZ633" s="216"/>
      <c r="BA633" s="216"/>
      <c r="BB633" s="216"/>
      <c r="BC633" s="216"/>
      <c r="BD633" s="216"/>
      <c r="BE633" s="216"/>
      <c r="BF633" s="216"/>
      <c r="BG633" s="216"/>
      <c r="BH633" s="216"/>
      <c r="BI633" s="216"/>
      <c r="BJ633" s="216"/>
      <c r="BK633" s="216"/>
      <c r="BL633" s="216"/>
      <c r="BM633" s="216"/>
      <c r="BN633" s="216"/>
      <c r="BO633" s="216"/>
      <c r="BP633" s="216"/>
      <c r="BQ633" s="216"/>
      <c r="BR633" s="216"/>
    </row>
    <row r="634" spans="1:70" ht="12.75" x14ac:dyDescent="0.2">
      <c r="A634" s="214"/>
      <c r="B634" s="214"/>
      <c r="C634" s="214"/>
      <c r="D634" s="214"/>
      <c r="E634" s="214"/>
      <c r="F634" s="214"/>
      <c r="G634" s="214"/>
      <c r="H634" s="214"/>
      <c r="I634" s="214"/>
      <c r="J634" s="214"/>
      <c r="K634" s="214"/>
      <c r="L634" s="214"/>
      <c r="M634" s="215"/>
      <c r="N634" s="215"/>
      <c r="O634" s="216"/>
      <c r="P634" s="216"/>
      <c r="Q634" s="216"/>
      <c r="R634" s="216"/>
      <c r="S634" s="216"/>
      <c r="T634" s="216"/>
      <c r="U634" s="216"/>
      <c r="V634" s="216"/>
      <c r="W634" s="216"/>
      <c r="X634" s="216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16"/>
      <c r="AN634" s="216"/>
      <c r="AO634" s="216"/>
      <c r="AP634" s="216"/>
      <c r="AQ634" s="216"/>
      <c r="AR634" s="216"/>
      <c r="AS634" s="216"/>
      <c r="AT634" s="216"/>
      <c r="AU634" s="216"/>
      <c r="AV634" s="216"/>
      <c r="AW634" s="216"/>
      <c r="AX634" s="216"/>
      <c r="AY634" s="216"/>
      <c r="AZ634" s="216"/>
      <c r="BA634" s="216"/>
      <c r="BB634" s="216"/>
      <c r="BC634" s="216"/>
      <c r="BD634" s="216"/>
      <c r="BE634" s="216"/>
      <c r="BF634" s="216"/>
      <c r="BG634" s="216"/>
      <c r="BH634" s="216"/>
      <c r="BI634" s="216"/>
      <c r="BJ634" s="216"/>
      <c r="BK634" s="216"/>
      <c r="BL634" s="216"/>
      <c r="BM634" s="216"/>
      <c r="BN634" s="216"/>
      <c r="BO634" s="216"/>
      <c r="BP634" s="216"/>
      <c r="BQ634" s="216"/>
      <c r="BR634" s="216"/>
    </row>
    <row r="635" spans="1:70" ht="12.75" x14ac:dyDescent="0.2">
      <c r="A635" s="214"/>
      <c r="B635" s="214"/>
      <c r="C635" s="214"/>
      <c r="D635" s="214"/>
      <c r="E635" s="214"/>
      <c r="F635" s="214"/>
      <c r="G635" s="214"/>
      <c r="H635" s="214"/>
      <c r="I635" s="214"/>
      <c r="J635" s="214"/>
      <c r="K635" s="214"/>
      <c r="L635" s="214"/>
      <c r="M635" s="215"/>
      <c r="N635" s="215"/>
      <c r="O635" s="216"/>
      <c r="P635" s="216"/>
      <c r="Q635" s="216"/>
      <c r="R635" s="216"/>
      <c r="S635" s="216"/>
      <c r="T635" s="216"/>
      <c r="U635" s="216"/>
      <c r="V635" s="216"/>
      <c r="W635" s="216"/>
      <c r="X635" s="216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16"/>
      <c r="AN635" s="216"/>
      <c r="AO635" s="216"/>
      <c r="AP635" s="216"/>
      <c r="AQ635" s="216"/>
      <c r="AR635" s="216"/>
      <c r="AS635" s="216"/>
      <c r="AT635" s="216"/>
      <c r="AU635" s="216"/>
      <c r="AV635" s="216"/>
      <c r="AW635" s="216"/>
      <c r="AX635" s="216"/>
      <c r="AY635" s="216"/>
      <c r="AZ635" s="216"/>
      <c r="BA635" s="216"/>
      <c r="BB635" s="216"/>
      <c r="BC635" s="216"/>
      <c r="BD635" s="216"/>
      <c r="BE635" s="216"/>
      <c r="BF635" s="216"/>
      <c r="BG635" s="216"/>
      <c r="BH635" s="216"/>
      <c r="BI635" s="216"/>
      <c r="BJ635" s="216"/>
      <c r="BK635" s="216"/>
      <c r="BL635" s="216"/>
      <c r="BM635" s="216"/>
      <c r="BN635" s="216"/>
      <c r="BO635" s="216"/>
      <c r="BP635" s="216"/>
      <c r="BQ635" s="216"/>
      <c r="BR635" s="216"/>
    </row>
    <row r="636" spans="1:70" ht="12.75" x14ac:dyDescent="0.2">
      <c r="A636" s="214"/>
      <c r="B636" s="214"/>
      <c r="C636" s="214"/>
      <c r="D636" s="214"/>
      <c r="E636" s="214"/>
      <c r="F636" s="214"/>
      <c r="G636" s="214"/>
      <c r="H636" s="214"/>
      <c r="I636" s="214"/>
      <c r="J636" s="214"/>
      <c r="K636" s="214"/>
      <c r="L636" s="214"/>
      <c r="M636" s="215"/>
      <c r="N636" s="215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16"/>
      <c r="BN636" s="216"/>
      <c r="BO636" s="216"/>
      <c r="BP636" s="216"/>
      <c r="BQ636" s="216"/>
      <c r="BR636" s="216"/>
    </row>
    <row r="637" spans="1:70" ht="12.75" x14ac:dyDescent="0.2">
      <c r="A637" s="214"/>
      <c r="B637" s="214"/>
      <c r="C637" s="214"/>
      <c r="D637" s="214"/>
      <c r="E637" s="214"/>
      <c r="F637" s="214"/>
      <c r="G637" s="214"/>
      <c r="H637" s="214"/>
      <c r="I637" s="214"/>
      <c r="J637" s="214"/>
      <c r="K637" s="214"/>
      <c r="L637" s="214"/>
      <c r="M637" s="215"/>
      <c r="N637" s="215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16"/>
      <c r="BN637" s="216"/>
      <c r="BO637" s="216"/>
      <c r="BP637" s="216"/>
      <c r="BQ637" s="216"/>
      <c r="BR637" s="216"/>
    </row>
    <row r="638" spans="1:70" ht="12.75" x14ac:dyDescent="0.2">
      <c r="A638" s="214"/>
      <c r="B638" s="214"/>
      <c r="C638" s="214"/>
      <c r="D638" s="214"/>
      <c r="E638" s="214"/>
      <c r="F638" s="214"/>
      <c r="G638" s="214"/>
      <c r="H638" s="214"/>
      <c r="I638" s="214"/>
      <c r="J638" s="214"/>
      <c r="K638" s="214"/>
      <c r="L638" s="214"/>
      <c r="M638" s="215"/>
      <c r="N638" s="215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  <c r="BI638" s="216"/>
      <c r="BJ638" s="216"/>
      <c r="BK638" s="216"/>
      <c r="BL638" s="216"/>
      <c r="BM638" s="216"/>
      <c r="BN638" s="216"/>
      <c r="BO638" s="216"/>
      <c r="BP638" s="216"/>
      <c r="BQ638" s="216"/>
      <c r="BR638" s="216"/>
    </row>
    <row r="639" spans="1:70" ht="12.75" x14ac:dyDescent="0.2">
      <c r="A639" s="214"/>
      <c r="B639" s="214"/>
      <c r="C639" s="214"/>
      <c r="D639" s="214"/>
      <c r="E639" s="214"/>
      <c r="F639" s="214"/>
      <c r="G639" s="214"/>
      <c r="H639" s="214"/>
      <c r="I639" s="214"/>
      <c r="J639" s="214"/>
      <c r="K639" s="214"/>
      <c r="L639" s="214"/>
      <c r="M639" s="215"/>
      <c r="N639" s="215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6"/>
      <c r="AT639" s="216"/>
      <c r="AU639" s="216"/>
      <c r="AV639" s="216"/>
      <c r="AW639" s="216"/>
      <c r="AX639" s="216"/>
      <c r="AY639" s="216"/>
      <c r="AZ639" s="216"/>
      <c r="BA639" s="216"/>
      <c r="BB639" s="216"/>
      <c r="BC639" s="216"/>
      <c r="BD639" s="216"/>
      <c r="BE639" s="216"/>
      <c r="BF639" s="216"/>
      <c r="BG639" s="216"/>
      <c r="BH639" s="216"/>
      <c r="BI639" s="216"/>
      <c r="BJ639" s="216"/>
      <c r="BK639" s="216"/>
      <c r="BL639" s="216"/>
      <c r="BM639" s="216"/>
      <c r="BN639" s="216"/>
      <c r="BO639" s="216"/>
      <c r="BP639" s="216"/>
      <c r="BQ639" s="216"/>
      <c r="BR639" s="216"/>
    </row>
    <row r="640" spans="1:70" ht="12.75" x14ac:dyDescent="0.2">
      <c r="A640" s="214"/>
      <c r="B640" s="214"/>
      <c r="C640" s="214"/>
      <c r="D640" s="214"/>
      <c r="E640" s="214"/>
      <c r="F640" s="214"/>
      <c r="G640" s="214"/>
      <c r="H640" s="214"/>
      <c r="I640" s="214"/>
      <c r="J640" s="214"/>
      <c r="K640" s="214"/>
      <c r="L640" s="214"/>
      <c r="M640" s="215"/>
      <c r="N640" s="215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  <c r="BI640" s="216"/>
      <c r="BJ640" s="216"/>
      <c r="BK640" s="216"/>
      <c r="BL640" s="216"/>
      <c r="BM640" s="216"/>
      <c r="BN640" s="216"/>
      <c r="BO640" s="216"/>
      <c r="BP640" s="216"/>
      <c r="BQ640" s="216"/>
      <c r="BR640" s="216"/>
    </row>
    <row r="641" spans="1:70" ht="12.75" x14ac:dyDescent="0.2">
      <c r="A641" s="214"/>
      <c r="B641" s="214"/>
      <c r="C641" s="214"/>
      <c r="D641" s="214"/>
      <c r="E641" s="214"/>
      <c r="F641" s="214"/>
      <c r="G641" s="214"/>
      <c r="H641" s="214"/>
      <c r="I641" s="214"/>
      <c r="J641" s="214"/>
      <c r="K641" s="214"/>
      <c r="L641" s="214"/>
      <c r="M641" s="215"/>
      <c r="N641" s="215"/>
      <c r="O641" s="216"/>
      <c r="P641" s="216"/>
      <c r="Q641" s="216"/>
      <c r="R641" s="216"/>
      <c r="S641" s="216"/>
      <c r="T641" s="216"/>
      <c r="U641" s="216"/>
      <c r="V641" s="216"/>
      <c r="W641" s="216"/>
      <c r="X641" s="216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16"/>
      <c r="AN641" s="216"/>
      <c r="AO641" s="216"/>
      <c r="AP641" s="216"/>
      <c r="AQ641" s="216"/>
      <c r="AR641" s="216"/>
      <c r="AS641" s="216"/>
      <c r="AT641" s="216"/>
      <c r="AU641" s="216"/>
      <c r="AV641" s="216"/>
      <c r="AW641" s="216"/>
      <c r="AX641" s="216"/>
      <c r="AY641" s="216"/>
      <c r="AZ641" s="216"/>
      <c r="BA641" s="216"/>
      <c r="BB641" s="216"/>
      <c r="BC641" s="216"/>
      <c r="BD641" s="216"/>
      <c r="BE641" s="216"/>
      <c r="BF641" s="216"/>
      <c r="BG641" s="216"/>
      <c r="BH641" s="216"/>
      <c r="BI641" s="216"/>
      <c r="BJ641" s="216"/>
      <c r="BK641" s="216"/>
      <c r="BL641" s="216"/>
      <c r="BM641" s="216"/>
      <c r="BN641" s="216"/>
      <c r="BO641" s="216"/>
      <c r="BP641" s="216"/>
      <c r="BQ641" s="216"/>
      <c r="BR641" s="216"/>
    </row>
    <row r="642" spans="1:70" ht="12.75" x14ac:dyDescent="0.2">
      <c r="A642" s="214"/>
      <c r="B642" s="214"/>
      <c r="C642" s="214"/>
      <c r="D642" s="214"/>
      <c r="E642" s="214"/>
      <c r="F642" s="214"/>
      <c r="G642" s="214"/>
      <c r="H642" s="214"/>
      <c r="I642" s="214"/>
      <c r="J642" s="214"/>
      <c r="K642" s="214"/>
      <c r="L642" s="214"/>
      <c r="M642" s="215"/>
      <c r="N642" s="215"/>
      <c r="O642" s="216"/>
      <c r="P642" s="216"/>
      <c r="Q642" s="216"/>
      <c r="R642" s="216"/>
      <c r="S642" s="216"/>
      <c r="T642" s="216"/>
      <c r="U642" s="216"/>
      <c r="V642" s="216"/>
      <c r="W642" s="216"/>
      <c r="X642" s="216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16"/>
      <c r="AN642" s="216"/>
      <c r="AO642" s="216"/>
      <c r="AP642" s="216"/>
      <c r="AQ642" s="216"/>
      <c r="AR642" s="216"/>
      <c r="AS642" s="216"/>
      <c r="AT642" s="216"/>
      <c r="AU642" s="216"/>
      <c r="AV642" s="216"/>
      <c r="AW642" s="216"/>
      <c r="AX642" s="216"/>
      <c r="AY642" s="216"/>
      <c r="AZ642" s="216"/>
      <c r="BA642" s="216"/>
      <c r="BB642" s="216"/>
      <c r="BC642" s="216"/>
      <c r="BD642" s="216"/>
      <c r="BE642" s="216"/>
      <c r="BF642" s="216"/>
      <c r="BG642" s="216"/>
      <c r="BH642" s="216"/>
      <c r="BI642" s="216"/>
      <c r="BJ642" s="216"/>
      <c r="BK642" s="216"/>
      <c r="BL642" s="216"/>
      <c r="BM642" s="216"/>
      <c r="BN642" s="216"/>
      <c r="BO642" s="216"/>
      <c r="BP642" s="216"/>
      <c r="BQ642" s="216"/>
      <c r="BR642" s="216"/>
    </row>
    <row r="643" spans="1:70" ht="12.75" x14ac:dyDescent="0.2">
      <c r="A643" s="214"/>
      <c r="B643" s="214"/>
      <c r="C643" s="214"/>
      <c r="D643" s="214"/>
      <c r="E643" s="214"/>
      <c r="F643" s="214"/>
      <c r="G643" s="214"/>
      <c r="H643" s="214"/>
      <c r="I643" s="214"/>
      <c r="J643" s="214"/>
      <c r="K643" s="214"/>
      <c r="L643" s="214"/>
      <c r="M643" s="215"/>
      <c r="N643" s="215"/>
      <c r="O643" s="216"/>
      <c r="P643" s="216"/>
      <c r="Q643" s="216"/>
      <c r="R643" s="216"/>
      <c r="S643" s="216"/>
      <c r="T643" s="216"/>
      <c r="U643" s="216"/>
      <c r="V643" s="216"/>
      <c r="W643" s="216"/>
      <c r="X643" s="216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16"/>
      <c r="AN643" s="216"/>
      <c r="AO643" s="216"/>
      <c r="AP643" s="216"/>
      <c r="AQ643" s="216"/>
      <c r="AR643" s="216"/>
      <c r="AS643" s="216"/>
      <c r="AT643" s="216"/>
      <c r="AU643" s="216"/>
      <c r="AV643" s="216"/>
      <c r="AW643" s="216"/>
      <c r="AX643" s="216"/>
      <c r="AY643" s="216"/>
      <c r="AZ643" s="216"/>
      <c r="BA643" s="216"/>
      <c r="BB643" s="216"/>
      <c r="BC643" s="216"/>
      <c r="BD643" s="216"/>
      <c r="BE643" s="216"/>
      <c r="BF643" s="216"/>
      <c r="BG643" s="216"/>
      <c r="BH643" s="216"/>
      <c r="BI643" s="216"/>
      <c r="BJ643" s="216"/>
      <c r="BK643" s="216"/>
      <c r="BL643" s="216"/>
      <c r="BM643" s="216"/>
      <c r="BN643" s="216"/>
      <c r="BO643" s="216"/>
      <c r="BP643" s="216"/>
      <c r="BQ643" s="216"/>
      <c r="BR643" s="216"/>
    </row>
    <row r="644" spans="1:70" ht="12.75" x14ac:dyDescent="0.2">
      <c r="A644" s="214"/>
      <c r="B644" s="214"/>
      <c r="C644" s="214"/>
      <c r="D644" s="214"/>
      <c r="E644" s="214"/>
      <c r="F644" s="214"/>
      <c r="G644" s="214"/>
      <c r="H644" s="214"/>
      <c r="I644" s="214"/>
      <c r="J644" s="214"/>
      <c r="K644" s="214"/>
      <c r="L644" s="214"/>
      <c r="M644" s="215"/>
      <c r="N644" s="215"/>
      <c r="O644" s="216"/>
      <c r="P644" s="216"/>
      <c r="Q644" s="216"/>
      <c r="R644" s="216"/>
      <c r="S644" s="216"/>
      <c r="T644" s="216"/>
      <c r="U644" s="216"/>
      <c r="V644" s="216"/>
      <c r="W644" s="216"/>
      <c r="X644" s="216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16"/>
      <c r="AN644" s="216"/>
      <c r="AO644" s="216"/>
      <c r="AP644" s="216"/>
      <c r="AQ644" s="216"/>
      <c r="AR644" s="216"/>
      <c r="AS644" s="216"/>
      <c r="AT644" s="216"/>
      <c r="AU644" s="216"/>
      <c r="AV644" s="216"/>
      <c r="AW644" s="216"/>
      <c r="AX644" s="216"/>
      <c r="AY644" s="216"/>
      <c r="AZ644" s="216"/>
      <c r="BA644" s="216"/>
      <c r="BB644" s="216"/>
      <c r="BC644" s="216"/>
      <c r="BD644" s="216"/>
      <c r="BE644" s="216"/>
      <c r="BF644" s="216"/>
      <c r="BG644" s="216"/>
      <c r="BH644" s="216"/>
      <c r="BI644" s="216"/>
      <c r="BJ644" s="216"/>
      <c r="BK644" s="216"/>
      <c r="BL644" s="216"/>
      <c r="BM644" s="216"/>
      <c r="BN644" s="216"/>
      <c r="BO644" s="216"/>
      <c r="BP644" s="216"/>
      <c r="BQ644" s="216"/>
      <c r="BR644" s="216"/>
    </row>
    <row r="645" spans="1:70" ht="12.75" x14ac:dyDescent="0.2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214"/>
      <c r="L645" s="214"/>
      <c r="M645" s="215"/>
      <c r="N645" s="215"/>
      <c r="O645" s="216"/>
      <c r="P645" s="216"/>
      <c r="Q645" s="216"/>
      <c r="R645" s="216"/>
      <c r="S645" s="216"/>
      <c r="T645" s="216"/>
      <c r="U645" s="216"/>
      <c r="V645" s="216"/>
      <c r="W645" s="216"/>
      <c r="X645" s="216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16"/>
      <c r="AN645" s="216"/>
      <c r="AO645" s="216"/>
      <c r="AP645" s="216"/>
      <c r="AQ645" s="216"/>
      <c r="AR645" s="216"/>
      <c r="AS645" s="216"/>
      <c r="AT645" s="216"/>
      <c r="AU645" s="216"/>
      <c r="AV645" s="216"/>
      <c r="AW645" s="216"/>
      <c r="AX645" s="216"/>
      <c r="AY645" s="216"/>
      <c r="AZ645" s="216"/>
      <c r="BA645" s="216"/>
      <c r="BB645" s="216"/>
      <c r="BC645" s="216"/>
      <c r="BD645" s="216"/>
      <c r="BE645" s="216"/>
      <c r="BF645" s="216"/>
      <c r="BG645" s="216"/>
      <c r="BH645" s="216"/>
      <c r="BI645" s="216"/>
      <c r="BJ645" s="216"/>
      <c r="BK645" s="216"/>
      <c r="BL645" s="216"/>
      <c r="BM645" s="216"/>
      <c r="BN645" s="216"/>
      <c r="BO645" s="216"/>
      <c r="BP645" s="216"/>
      <c r="BQ645" s="216"/>
      <c r="BR645" s="216"/>
    </row>
    <row r="646" spans="1:70" ht="12.75" x14ac:dyDescent="0.2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214"/>
      <c r="L646" s="214"/>
      <c r="M646" s="215"/>
      <c r="N646" s="215"/>
      <c r="O646" s="216"/>
      <c r="P646" s="216"/>
      <c r="Q646" s="216"/>
      <c r="R646" s="216"/>
      <c r="S646" s="216"/>
      <c r="T646" s="216"/>
      <c r="U646" s="216"/>
      <c r="V646" s="216"/>
      <c r="W646" s="216"/>
      <c r="X646" s="216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16"/>
      <c r="AN646" s="216"/>
      <c r="AO646" s="216"/>
      <c r="AP646" s="216"/>
      <c r="AQ646" s="216"/>
      <c r="AR646" s="216"/>
      <c r="AS646" s="216"/>
      <c r="AT646" s="216"/>
      <c r="AU646" s="216"/>
      <c r="AV646" s="216"/>
      <c r="AW646" s="216"/>
      <c r="AX646" s="216"/>
      <c r="AY646" s="216"/>
      <c r="AZ646" s="216"/>
      <c r="BA646" s="216"/>
      <c r="BB646" s="216"/>
      <c r="BC646" s="216"/>
      <c r="BD646" s="216"/>
      <c r="BE646" s="216"/>
      <c r="BF646" s="216"/>
      <c r="BG646" s="216"/>
      <c r="BH646" s="216"/>
      <c r="BI646" s="216"/>
      <c r="BJ646" s="216"/>
      <c r="BK646" s="216"/>
      <c r="BL646" s="216"/>
      <c r="BM646" s="216"/>
      <c r="BN646" s="216"/>
      <c r="BO646" s="216"/>
      <c r="BP646" s="216"/>
      <c r="BQ646" s="216"/>
      <c r="BR646" s="216"/>
    </row>
    <row r="647" spans="1:70" ht="12.75" x14ac:dyDescent="0.2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214"/>
      <c r="L647" s="214"/>
      <c r="M647" s="215"/>
      <c r="N647" s="215"/>
      <c r="O647" s="216"/>
      <c r="P647" s="216"/>
      <c r="Q647" s="216"/>
      <c r="R647" s="216"/>
      <c r="S647" s="216"/>
      <c r="T647" s="216"/>
      <c r="U647" s="216"/>
      <c r="V647" s="216"/>
      <c r="W647" s="216"/>
      <c r="X647" s="216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16"/>
      <c r="AN647" s="216"/>
      <c r="AO647" s="216"/>
      <c r="AP647" s="216"/>
      <c r="AQ647" s="216"/>
      <c r="AR647" s="216"/>
      <c r="AS647" s="216"/>
      <c r="AT647" s="216"/>
      <c r="AU647" s="216"/>
      <c r="AV647" s="216"/>
      <c r="AW647" s="216"/>
      <c r="AX647" s="216"/>
      <c r="AY647" s="216"/>
      <c r="AZ647" s="216"/>
      <c r="BA647" s="216"/>
      <c r="BB647" s="216"/>
      <c r="BC647" s="216"/>
      <c r="BD647" s="216"/>
      <c r="BE647" s="216"/>
      <c r="BF647" s="216"/>
      <c r="BG647" s="216"/>
      <c r="BH647" s="216"/>
      <c r="BI647" s="216"/>
      <c r="BJ647" s="216"/>
      <c r="BK647" s="216"/>
      <c r="BL647" s="216"/>
      <c r="BM647" s="216"/>
      <c r="BN647" s="216"/>
      <c r="BO647" s="216"/>
      <c r="BP647" s="216"/>
      <c r="BQ647" s="216"/>
      <c r="BR647" s="216"/>
    </row>
    <row r="648" spans="1:70" ht="12.75" x14ac:dyDescent="0.2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214"/>
      <c r="L648" s="214"/>
      <c r="M648" s="215"/>
      <c r="N648" s="215"/>
      <c r="O648" s="216"/>
      <c r="P648" s="216"/>
      <c r="Q648" s="216"/>
      <c r="R648" s="216"/>
      <c r="S648" s="216"/>
      <c r="T648" s="216"/>
      <c r="U648" s="216"/>
      <c r="V648" s="216"/>
      <c r="W648" s="216"/>
      <c r="X648" s="216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6"/>
      <c r="AT648" s="216"/>
      <c r="AU648" s="216"/>
      <c r="AV648" s="216"/>
      <c r="AW648" s="216"/>
      <c r="AX648" s="216"/>
      <c r="AY648" s="216"/>
      <c r="AZ648" s="216"/>
      <c r="BA648" s="216"/>
      <c r="BB648" s="216"/>
      <c r="BC648" s="216"/>
      <c r="BD648" s="216"/>
      <c r="BE648" s="216"/>
      <c r="BF648" s="216"/>
      <c r="BG648" s="216"/>
      <c r="BH648" s="216"/>
      <c r="BI648" s="216"/>
      <c r="BJ648" s="216"/>
      <c r="BK648" s="216"/>
      <c r="BL648" s="216"/>
      <c r="BM648" s="216"/>
      <c r="BN648" s="216"/>
      <c r="BO648" s="216"/>
      <c r="BP648" s="216"/>
      <c r="BQ648" s="216"/>
      <c r="BR648" s="216"/>
    </row>
    <row r="649" spans="1:70" ht="12.75" x14ac:dyDescent="0.2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214"/>
      <c r="L649" s="214"/>
      <c r="M649" s="215"/>
      <c r="N649" s="215"/>
      <c r="O649" s="216"/>
      <c r="P649" s="216"/>
      <c r="Q649" s="216"/>
      <c r="R649" s="216"/>
      <c r="S649" s="216"/>
      <c r="T649" s="216"/>
      <c r="U649" s="216"/>
      <c r="V649" s="216"/>
      <c r="W649" s="216"/>
      <c r="X649" s="216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6"/>
      <c r="BF649" s="216"/>
      <c r="BG649" s="216"/>
      <c r="BH649" s="216"/>
      <c r="BI649" s="216"/>
      <c r="BJ649" s="216"/>
      <c r="BK649" s="216"/>
      <c r="BL649" s="216"/>
      <c r="BM649" s="216"/>
      <c r="BN649" s="216"/>
      <c r="BO649" s="216"/>
      <c r="BP649" s="216"/>
      <c r="BQ649" s="216"/>
      <c r="BR649" s="216"/>
    </row>
    <row r="650" spans="1:70" ht="12.75" x14ac:dyDescent="0.2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214"/>
      <c r="L650" s="214"/>
      <c r="M650" s="215"/>
      <c r="N650" s="215"/>
      <c r="O650" s="216"/>
      <c r="P650" s="216"/>
      <c r="Q650" s="216"/>
      <c r="R650" s="216"/>
      <c r="S650" s="216"/>
      <c r="T650" s="216"/>
      <c r="U650" s="216"/>
      <c r="V650" s="216"/>
      <c r="W650" s="216"/>
      <c r="X650" s="216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6"/>
      <c r="BN650" s="216"/>
      <c r="BO650" s="216"/>
      <c r="BP650" s="216"/>
      <c r="BQ650" s="216"/>
      <c r="BR650" s="216"/>
    </row>
    <row r="651" spans="1:70" ht="12.75" x14ac:dyDescent="0.2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214"/>
      <c r="L651" s="214"/>
      <c r="M651" s="215"/>
      <c r="N651" s="215"/>
      <c r="O651" s="216"/>
      <c r="P651" s="216"/>
      <c r="Q651" s="216"/>
      <c r="R651" s="216"/>
      <c r="S651" s="216"/>
      <c r="T651" s="216"/>
      <c r="U651" s="216"/>
      <c r="V651" s="216"/>
      <c r="W651" s="216"/>
      <c r="X651" s="216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6"/>
      <c r="BN651" s="216"/>
      <c r="BO651" s="216"/>
      <c r="BP651" s="216"/>
      <c r="BQ651" s="216"/>
      <c r="BR651" s="216"/>
    </row>
    <row r="652" spans="1:70" ht="12.75" x14ac:dyDescent="0.2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214"/>
      <c r="L652" s="214"/>
      <c r="M652" s="215"/>
      <c r="N652" s="215"/>
      <c r="O652" s="216"/>
      <c r="P652" s="216"/>
      <c r="Q652" s="216"/>
      <c r="R652" s="216"/>
      <c r="S652" s="216"/>
      <c r="T652" s="216"/>
      <c r="U652" s="216"/>
      <c r="V652" s="216"/>
      <c r="W652" s="216"/>
      <c r="X652" s="216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16"/>
      <c r="BN652" s="216"/>
      <c r="BO652" s="216"/>
      <c r="BP652" s="216"/>
      <c r="BQ652" s="216"/>
      <c r="BR652" s="216"/>
    </row>
    <row r="653" spans="1:70" ht="12.75" x14ac:dyDescent="0.2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214"/>
      <c r="L653" s="214"/>
      <c r="M653" s="215"/>
      <c r="N653" s="215"/>
      <c r="O653" s="216"/>
      <c r="P653" s="216"/>
      <c r="Q653" s="216"/>
      <c r="R653" s="216"/>
      <c r="S653" s="216"/>
      <c r="T653" s="216"/>
      <c r="U653" s="216"/>
      <c r="V653" s="216"/>
      <c r="W653" s="216"/>
      <c r="X653" s="216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16"/>
      <c r="BN653" s="216"/>
      <c r="BO653" s="216"/>
      <c r="BP653" s="216"/>
      <c r="BQ653" s="216"/>
      <c r="BR653" s="216"/>
    </row>
    <row r="654" spans="1:70" ht="12.75" x14ac:dyDescent="0.2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214"/>
      <c r="L654" s="214"/>
      <c r="M654" s="215"/>
      <c r="N654" s="215"/>
      <c r="O654" s="216"/>
      <c r="P654" s="216"/>
      <c r="Q654" s="216"/>
      <c r="R654" s="216"/>
      <c r="S654" s="216"/>
      <c r="T654" s="216"/>
      <c r="U654" s="216"/>
      <c r="V654" s="216"/>
      <c r="W654" s="216"/>
      <c r="X654" s="216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16"/>
      <c r="BN654" s="216"/>
      <c r="BO654" s="216"/>
      <c r="BP654" s="216"/>
      <c r="BQ654" s="216"/>
      <c r="BR654" s="216"/>
    </row>
    <row r="655" spans="1:70" ht="12.75" x14ac:dyDescent="0.2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214"/>
      <c r="L655" s="214"/>
      <c r="M655" s="215"/>
      <c r="N655" s="215"/>
      <c r="O655" s="216"/>
      <c r="P655" s="216"/>
      <c r="Q655" s="216"/>
      <c r="R655" s="216"/>
      <c r="S655" s="216"/>
      <c r="T655" s="216"/>
      <c r="U655" s="216"/>
      <c r="V655" s="216"/>
      <c r="W655" s="216"/>
      <c r="X655" s="216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16"/>
      <c r="AN655" s="216"/>
      <c r="AO655" s="216"/>
      <c r="AP655" s="216"/>
      <c r="AQ655" s="216"/>
      <c r="AR655" s="216"/>
      <c r="AS655" s="216"/>
      <c r="AT655" s="216"/>
      <c r="AU655" s="216"/>
      <c r="AV655" s="216"/>
      <c r="AW655" s="216"/>
      <c r="AX655" s="216"/>
      <c r="AY655" s="216"/>
      <c r="AZ655" s="216"/>
      <c r="BA655" s="216"/>
      <c r="BB655" s="216"/>
      <c r="BC655" s="216"/>
      <c r="BD655" s="216"/>
      <c r="BE655" s="216"/>
      <c r="BF655" s="216"/>
      <c r="BG655" s="216"/>
      <c r="BH655" s="216"/>
      <c r="BI655" s="216"/>
      <c r="BJ655" s="216"/>
      <c r="BK655" s="216"/>
      <c r="BL655" s="216"/>
      <c r="BM655" s="216"/>
      <c r="BN655" s="216"/>
      <c r="BO655" s="216"/>
      <c r="BP655" s="216"/>
      <c r="BQ655" s="216"/>
      <c r="BR655" s="216"/>
    </row>
    <row r="656" spans="1:70" ht="12.75" x14ac:dyDescent="0.2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214"/>
      <c r="L656" s="214"/>
      <c r="M656" s="215"/>
      <c r="N656" s="215"/>
      <c r="O656" s="216"/>
      <c r="P656" s="216"/>
      <c r="Q656" s="216"/>
      <c r="R656" s="216"/>
      <c r="S656" s="216"/>
      <c r="T656" s="216"/>
      <c r="U656" s="216"/>
      <c r="V656" s="216"/>
      <c r="W656" s="216"/>
      <c r="X656" s="216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16"/>
      <c r="AN656" s="216"/>
      <c r="AO656" s="216"/>
      <c r="AP656" s="216"/>
      <c r="AQ656" s="216"/>
      <c r="AR656" s="216"/>
      <c r="AS656" s="216"/>
      <c r="AT656" s="216"/>
      <c r="AU656" s="216"/>
      <c r="AV656" s="216"/>
      <c r="AW656" s="216"/>
      <c r="AX656" s="216"/>
      <c r="AY656" s="216"/>
      <c r="AZ656" s="216"/>
      <c r="BA656" s="216"/>
      <c r="BB656" s="216"/>
      <c r="BC656" s="216"/>
      <c r="BD656" s="216"/>
      <c r="BE656" s="216"/>
      <c r="BF656" s="216"/>
      <c r="BG656" s="216"/>
      <c r="BH656" s="216"/>
      <c r="BI656" s="216"/>
      <c r="BJ656" s="216"/>
      <c r="BK656" s="216"/>
      <c r="BL656" s="216"/>
      <c r="BM656" s="216"/>
      <c r="BN656" s="216"/>
      <c r="BO656" s="216"/>
      <c r="BP656" s="216"/>
      <c r="BQ656" s="216"/>
      <c r="BR656" s="216"/>
    </row>
    <row r="657" spans="1:70" ht="12.75" x14ac:dyDescent="0.2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214"/>
      <c r="L657" s="214"/>
      <c r="M657" s="215"/>
      <c r="N657" s="215"/>
      <c r="O657" s="216"/>
      <c r="P657" s="216"/>
      <c r="Q657" s="216"/>
      <c r="R657" s="216"/>
      <c r="S657" s="216"/>
      <c r="T657" s="216"/>
      <c r="U657" s="216"/>
      <c r="V657" s="216"/>
      <c r="W657" s="216"/>
      <c r="X657" s="216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  <c r="AM657" s="216"/>
      <c r="AN657" s="216"/>
      <c r="AO657" s="216"/>
      <c r="AP657" s="216"/>
      <c r="AQ657" s="216"/>
      <c r="AR657" s="216"/>
      <c r="AS657" s="216"/>
      <c r="AT657" s="216"/>
      <c r="AU657" s="216"/>
      <c r="AV657" s="216"/>
      <c r="AW657" s="216"/>
      <c r="AX657" s="216"/>
      <c r="AY657" s="216"/>
      <c r="AZ657" s="216"/>
      <c r="BA657" s="216"/>
      <c r="BB657" s="216"/>
      <c r="BC657" s="216"/>
      <c r="BD657" s="216"/>
      <c r="BE657" s="216"/>
      <c r="BF657" s="216"/>
      <c r="BG657" s="216"/>
      <c r="BH657" s="216"/>
      <c r="BI657" s="216"/>
      <c r="BJ657" s="216"/>
      <c r="BK657" s="216"/>
      <c r="BL657" s="216"/>
      <c r="BM657" s="216"/>
      <c r="BN657" s="216"/>
      <c r="BO657" s="216"/>
      <c r="BP657" s="216"/>
      <c r="BQ657" s="216"/>
      <c r="BR657" s="216"/>
    </row>
    <row r="658" spans="1:70" ht="12.75" x14ac:dyDescent="0.2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214"/>
      <c r="L658" s="214"/>
      <c r="M658" s="215"/>
      <c r="N658" s="215"/>
      <c r="O658" s="216"/>
      <c r="P658" s="216"/>
      <c r="Q658" s="216"/>
      <c r="R658" s="216"/>
      <c r="S658" s="216"/>
      <c r="T658" s="216"/>
      <c r="U658" s="216"/>
      <c r="V658" s="216"/>
      <c r="W658" s="216"/>
      <c r="X658" s="216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  <c r="AM658" s="216"/>
      <c r="AN658" s="216"/>
      <c r="AO658" s="216"/>
      <c r="AP658" s="216"/>
      <c r="AQ658" s="216"/>
      <c r="AR658" s="216"/>
      <c r="AS658" s="216"/>
      <c r="AT658" s="216"/>
      <c r="AU658" s="216"/>
      <c r="AV658" s="216"/>
      <c r="AW658" s="216"/>
      <c r="AX658" s="216"/>
      <c r="AY658" s="216"/>
      <c r="AZ658" s="216"/>
      <c r="BA658" s="216"/>
      <c r="BB658" s="216"/>
      <c r="BC658" s="216"/>
      <c r="BD658" s="216"/>
      <c r="BE658" s="216"/>
      <c r="BF658" s="216"/>
      <c r="BG658" s="216"/>
      <c r="BH658" s="216"/>
      <c r="BI658" s="216"/>
      <c r="BJ658" s="216"/>
      <c r="BK658" s="216"/>
      <c r="BL658" s="216"/>
      <c r="BM658" s="216"/>
      <c r="BN658" s="216"/>
      <c r="BO658" s="216"/>
      <c r="BP658" s="216"/>
      <c r="BQ658" s="216"/>
      <c r="BR658" s="216"/>
    </row>
    <row r="659" spans="1:70" ht="12.75" x14ac:dyDescent="0.2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214"/>
      <c r="L659" s="214"/>
      <c r="M659" s="215"/>
      <c r="N659" s="215"/>
      <c r="O659" s="216"/>
      <c r="P659" s="216"/>
      <c r="Q659" s="216"/>
      <c r="R659" s="216"/>
      <c r="S659" s="216"/>
      <c r="T659" s="216"/>
      <c r="U659" s="216"/>
      <c r="V659" s="216"/>
      <c r="W659" s="216"/>
      <c r="X659" s="216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  <c r="AM659" s="216"/>
      <c r="AN659" s="216"/>
      <c r="AO659" s="216"/>
      <c r="AP659" s="216"/>
      <c r="AQ659" s="216"/>
      <c r="AR659" s="216"/>
      <c r="AS659" s="216"/>
      <c r="AT659" s="216"/>
      <c r="AU659" s="216"/>
      <c r="AV659" s="216"/>
      <c r="AW659" s="216"/>
      <c r="AX659" s="216"/>
      <c r="AY659" s="216"/>
      <c r="AZ659" s="216"/>
      <c r="BA659" s="216"/>
      <c r="BB659" s="216"/>
      <c r="BC659" s="216"/>
      <c r="BD659" s="216"/>
      <c r="BE659" s="216"/>
      <c r="BF659" s="216"/>
      <c r="BG659" s="216"/>
      <c r="BH659" s="216"/>
      <c r="BI659" s="216"/>
      <c r="BJ659" s="216"/>
      <c r="BK659" s="216"/>
      <c r="BL659" s="216"/>
      <c r="BM659" s="216"/>
      <c r="BN659" s="216"/>
      <c r="BO659" s="216"/>
      <c r="BP659" s="216"/>
      <c r="BQ659" s="216"/>
      <c r="BR659" s="216"/>
    </row>
    <row r="660" spans="1:70" ht="12.75" x14ac:dyDescent="0.2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214"/>
      <c r="L660" s="214"/>
      <c r="M660" s="215"/>
      <c r="N660" s="215"/>
      <c r="O660" s="216"/>
      <c r="P660" s="216"/>
      <c r="Q660" s="216"/>
      <c r="R660" s="216"/>
      <c r="S660" s="216"/>
      <c r="T660" s="216"/>
      <c r="U660" s="216"/>
      <c r="V660" s="216"/>
      <c r="W660" s="216"/>
      <c r="X660" s="216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16"/>
      <c r="AN660" s="216"/>
      <c r="AO660" s="216"/>
      <c r="AP660" s="216"/>
      <c r="AQ660" s="216"/>
      <c r="AR660" s="216"/>
      <c r="AS660" s="216"/>
      <c r="AT660" s="216"/>
      <c r="AU660" s="216"/>
      <c r="AV660" s="216"/>
      <c r="AW660" s="216"/>
      <c r="AX660" s="216"/>
      <c r="AY660" s="216"/>
      <c r="AZ660" s="216"/>
      <c r="BA660" s="216"/>
      <c r="BB660" s="216"/>
      <c r="BC660" s="216"/>
      <c r="BD660" s="216"/>
      <c r="BE660" s="216"/>
      <c r="BF660" s="216"/>
      <c r="BG660" s="216"/>
      <c r="BH660" s="216"/>
      <c r="BI660" s="216"/>
      <c r="BJ660" s="216"/>
      <c r="BK660" s="216"/>
      <c r="BL660" s="216"/>
      <c r="BM660" s="216"/>
      <c r="BN660" s="216"/>
      <c r="BO660" s="216"/>
      <c r="BP660" s="216"/>
      <c r="BQ660" s="216"/>
      <c r="BR660" s="216"/>
    </row>
    <row r="661" spans="1:70" ht="12.75" x14ac:dyDescent="0.2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214"/>
      <c r="L661" s="214"/>
      <c r="M661" s="215"/>
      <c r="N661" s="215"/>
      <c r="O661" s="216"/>
      <c r="P661" s="216"/>
      <c r="Q661" s="216"/>
      <c r="R661" s="216"/>
      <c r="S661" s="216"/>
      <c r="T661" s="216"/>
      <c r="U661" s="216"/>
      <c r="V661" s="216"/>
      <c r="W661" s="216"/>
      <c r="X661" s="216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16"/>
      <c r="AN661" s="216"/>
      <c r="AO661" s="216"/>
      <c r="AP661" s="216"/>
      <c r="AQ661" s="216"/>
      <c r="AR661" s="216"/>
      <c r="AS661" s="216"/>
      <c r="AT661" s="216"/>
      <c r="AU661" s="216"/>
      <c r="AV661" s="216"/>
      <c r="AW661" s="216"/>
      <c r="AX661" s="216"/>
      <c r="AY661" s="216"/>
      <c r="AZ661" s="216"/>
      <c r="BA661" s="216"/>
      <c r="BB661" s="216"/>
      <c r="BC661" s="216"/>
      <c r="BD661" s="216"/>
      <c r="BE661" s="216"/>
      <c r="BF661" s="216"/>
      <c r="BG661" s="216"/>
      <c r="BH661" s="216"/>
      <c r="BI661" s="216"/>
      <c r="BJ661" s="216"/>
      <c r="BK661" s="216"/>
      <c r="BL661" s="216"/>
      <c r="BM661" s="216"/>
      <c r="BN661" s="216"/>
      <c r="BO661" s="216"/>
      <c r="BP661" s="216"/>
      <c r="BQ661" s="216"/>
      <c r="BR661" s="216"/>
    </row>
    <row r="662" spans="1:70" ht="12.75" x14ac:dyDescent="0.2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214"/>
      <c r="L662" s="214"/>
      <c r="M662" s="215"/>
      <c r="N662" s="215"/>
      <c r="O662" s="216"/>
      <c r="P662" s="216"/>
      <c r="Q662" s="216"/>
      <c r="R662" s="216"/>
      <c r="S662" s="216"/>
      <c r="T662" s="216"/>
      <c r="U662" s="216"/>
      <c r="V662" s="216"/>
      <c r="W662" s="216"/>
      <c r="X662" s="216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16"/>
      <c r="AN662" s="216"/>
      <c r="AO662" s="216"/>
      <c r="AP662" s="216"/>
      <c r="AQ662" s="216"/>
      <c r="AR662" s="216"/>
      <c r="AS662" s="216"/>
      <c r="AT662" s="216"/>
      <c r="AU662" s="216"/>
      <c r="AV662" s="216"/>
      <c r="AW662" s="216"/>
      <c r="AX662" s="216"/>
      <c r="AY662" s="216"/>
      <c r="AZ662" s="216"/>
      <c r="BA662" s="216"/>
      <c r="BB662" s="216"/>
      <c r="BC662" s="216"/>
      <c r="BD662" s="216"/>
      <c r="BE662" s="216"/>
      <c r="BF662" s="216"/>
      <c r="BG662" s="216"/>
      <c r="BH662" s="216"/>
      <c r="BI662" s="216"/>
      <c r="BJ662" s="216"/>
      <c r="BK662" s="216"/>
      <c r="BL662" s="216"/>
      <c r="BM662" s="216"/>
      <c r="BN662" s="216"/>
      <c r="BO662" s="216"/>
      <c r="BP662" s="216"/>
      <c r="BQ662" s="216"/>
      <c r="BR662" s="216"/>
    </row>
    <row r="663" spans="1:70" ht="12.75" x14ac:dyDescent="0.2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214"/>
      <c r="L663" s="214"/>
      <c r="M663" s="215"/>
      <c r="N663" s="215"/>
      <c r="O663" s="216"/>
      <c r="P663" s="216"/>
      <c r="Q663" s="216"/>
      <c r="R663" s="216"/>
      <c r="S663" s="216"/>
      <c r="T663" s="216"/>
      <c r="U663" s="216"/>
      <c r="V663" s="216"/>
      <c r="W663" s="216"/>
      <c r="X663" s="216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16"/>
      <c r="AN663" s="216"/>
      <c r="AO663" s="216"/>
      <c r="AP663" s="216"/>
      <c r="AQ663" s="216"/>
      <c r="AR663" s="216"/>
      <c r="AS663" s="216"/>
      <c r="AT663" s="216"/>
      <c r="AU663" s="216"/>
      <c r="AV663" s="216"/>
      <c r="AW663" s="216"/>
      <c r="AX663" s="216"/>
      <c r="AY663" s="216"/>
      <c r="AZ663" s="216"/>
      <c r="BA663" s="216"/>
      <c r="BB663" s="216"/>
      <c r="BC663" s="216"/>
      <c r="BD663" s="216"/>
      <c r="BE663" s="216"/>
      <c r="BF663" s="216"/>
      <c r="BG663" s="216"/>
      <c r="BH663" s="216"/>
      <c r="BI663" s="216"/>
      <c r="BJ663" s="216"/>
      <c r="BK663" s="216"/>
      <c r="BL663" s="216"/>
      <c r="BM663" s="216"/>
      <c r="BN663" s="216"/>
      <c r="BO663" s="216"/>
      <c r="BP663" s="216"/>
      <c r="BQ663" s="216"/>
      <c r="BR663" s="216"/>
    </row>
    <row r="664" spans="1:70" ht="12.75" x14ac:dyDescent="0.2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214"/>
      <c r="L664" s="214"/>
      <c r="M664" s="215"/>
      <c r="N664" s="215"/>
      <c r="O664" s="216"/>
      <c r="P664" s="216"/>
      <c r="Q664" s="216"/>
      <c r="R664" s="216"/>
      <c r="S664" s="216"/>
      <c r="T664" s="216"/>
      <c r="U664" s="216"/>
      <c r="V664" s="216"/>
      <c r="W664" s="216"/>
      <c r="X664" s="216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16"/>
      <c r="AN664" s="216"/>
      <c r="AO664" s="216"/>
      <c r="AP664" s="216"/>
      <c r="AQ664" s="216"/>
      <c r="AR664" s="216"/>
      <c r="AS664" s="216"/>
      <c r="AT664" s="216"/>
      <c r="AU664" s="216"/>
      <c r="AV664" s="216"/>
      <c r="AW664" s="216"/>
      <c r="AX664" s="216"/>
      <c r="AY664" s="216"/>
      <c r="AZ664" s="216"/>
      <c r="BA664" s="216"/>
      <c r="BB664" s="216"/>
      <c r="BC664" s="216"/>
      <c r="BD664" s="216"/>
      <c r="BE664" s="216"/>
      <c r="BF664" s="216"/>
      <c r="BG664" s="216"/>
      <c r="BH664" s="216"/>
      <c r="BI664" s="216"/>
      <c r="BJ664" s="216"/>
      <c r="BK664" s="216"/>
      <c r="BL664" s="216"/>
      <c r="BM664" s="216"/>
      <c r="BN664" s="216"/>
      <c r="BO664" s="216"/>
      <c r="BP664" s="216"/>
      <c r="BQ664" s="216"/>
      <c r="BR664" s="216"/>
    </row>
    <row r="665" spans="1:70" ht="12.75" x14ac:dyDescent="0.2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214"/>
      <c r="L665" s="214"/>
      <c r="M665" s="215"/>
      <c r="N665" s="215"/>
      <c r="O665" s="216"/>
      <c r="P665" s="216"/>
      <c r="Q665" s="216"/>
      <c r="R665" s="216"/>
      <c r="S665" s="216"/>
      <c r="T665" s="216"/>
      <c r="U665" s="216"/>
      <c r="V665" s="216"/>
      <c r="W665" s="216"/>
      <c r="X665" s="216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16"/>
      <c r="AN665" s="216"/>
      <c r="AO665" s="216"/>
      <c r="AP665" s="216"/>
      <c r="AQ665" s="216"/>
      <c r="AR665" s="216"/>
      <c r="AS665" s="216"/>
      <c r="AT665" s="216"/>
      <c r="AU665" s="216"/>
      <c r="AV665" s="216"/>
      <c r="AW665" s="216"/>
      <c r="AX665" s="216"/>
      <c r="AY665" s="216"/>
      <c r="AZ665" s="216"/>
      <c r="BA665" s="216"/>
      <c r="BB665" s="216"/>
      <c r="BC665" s="216"/>
      <c r="BD665" s="216"/>
      <c r="BE665" s="216"/>
      <c r="BF665" s="216"/>
      <c r="BG665" s="216"/>
      <c r="BH665" s="216"/>
      <c r="BI665" s="216"/>
      <c r="BJ665" s="216"/>
      <c r="BK665" s="216"/>
      <c r="BL665" s="216"/>
      <c r="BM665" s="216"/>
      <c r="BN665" s="216"/>
      <c r="BO665" s="216"/>
      <c r="BP665" s="216"/>
      <c r="BQ665" s="216"/>
      <c r="BR665" s="216"/>
    </row>
    <row r="666" spans="1:70" ht="12.75" x14ac:dyDescent="0.2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214"/>
      <c r="L666" s="214"/>
      <c r="M666" s="215"/>
      <c r="N666" s="215"/>
      <c r="O666" s="216"/>
      <c r="P666" s="216"/>
      <c r="Q666" s="216"/>
      <c r="R666" s="216"/>
      <c r="S666" s="216"/>
      <c r="T666" s="216"/>
      <c r="U666" s="216"/>
      <c r="V666" s="216"/>
      <c r="W666" s="216"/>
      <c r="X666" s="216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6"/>
      <c r="BN666" s="216"/>
      <c r="BO666" s="216"/>
      <c r="BP666" s="216"/>
      <c r="BQ666" s="216"/>
      <c r="BR666" s="216"/>
    </row>
    <row r="667" spans="1:70" ht="12.75" x14ac:dyDescent="0.2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214"/>
      <c r="L667" s="214"/>
      <c r="M667" s="215"/>
      <c r="N667" s="215"/>
      <c r="O667" s="216"/>
      <c r="P667" s="216"/>
      <c r="Q667" s="216"/>
      <c r="R667" s="216"/>
      <c r="S667" s="216"/>
      <c r="T667" s="216"/>
      <c r="U667" s="216"/>
      <c r="V667" s="216"/>
      <c r="W667" s="216"/>
      <c r="X667" s="216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6"/>
      <c r="BN667" s="216"/>
      <c r="BO667" s="216"/>
      <c r="BP667" s="216"/>
      <c r="BQ667" s="216"/>
      <c r="BR667" s="216"/>
    </row>
    <row r="668" spans="1:70" ht="12.75" x14ac:dyDescent="0.2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214"/>
      <c r="L668" s="214"/>
      <c r="M668" s="215"/>
      <c r="N668" s="215"/>
      <c r="O668" s="216"/>
      <c r="P668" s="216"/>
      <c r="Q668" s="216"/>
      <c r="R668" s="216"/>
      <c r="S668" s="216"/>
      <c r="T668" s="216"/>
      <c r="U668" s="216"/>
      <c r="V668" s="216"/>
      <c r="W668" s="216"/>
      <c r="X668" s="216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6"/>
      <c r="BN668" s="216"/>
      <c r="BO668" s="216"/>
      <c r="BP668" s="216"/>
      <c r="BQ668" s="216"/>
      <c r="BR668" s="216"/>
    </row>
    <row r="669" spans="1:70" ht="12.75" x14ac:dyDescent="0.2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214"/>
      <c r="L669" s="214"/>
      <c r="M669" s="215"/>
      <c r="N669" s="215"/>
      <c r="O669" s="216"/>
      <c r="P669" s="216"/>
      <c r="Q669" s="216"/>
      <c r="R669" s="216"/>
      <c r="S669" s="216"/>
      <c r="T669" s="216"/>
      <c r="U669" s="216"/>
      <c r="V669" s="216"/>
      <c r="W669" s="216"/>
      <c r="X669" s="216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  <c r="BI669" s="216"/>
      <c r="BJ669" s="216"/>
      <c r="BK669" s="216"/>
      <c r="BL669" s="216"/>
      <c r="BM669" s="216"/>
      <c r="BN669" s="216"/>
      <c r="BO669" s="216"/>
      <c r="BP669" s="216"/>
      <c r="BQ669" s="216"/>
      <c r="BR669" s="216"/>
    </row>
    <row r="670" spans="1:70" ht="12.75" x14ac:dyDescent="0.2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214"/>
      <c r="L670" s="214"/>
      <c r="M670" s="215"/>
      <c r="N670" s="215"/>
      <c r="O670" s="216"/>
      <c r="P670" s="216"/>
      <c r="Q670" s="216"/>
      <c r="R670" s="216"/>
      <c r="S670" s="216"/>
      <c r="T670" s="216"/>
      <c r="U670" s="216"/>
      <c r="V670" s="216"/>
      <c r="W670" s="216"/>
      <c r="X670" s="216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16"/>
      <c r="AT670" s="216"/>
      <c r="AU670" s="216"/>
      <c r="AV670" s="216"/>
      <c r="AW670" s="216"/>
      <c r="AX670" s="216"/>
      <c r="AY670" s="216"/>
      <c r="AZ670" s="216"/>
      <c r="BA670" s="216"/>
      <c r="BB670" s="216"/>
      <c r="BC670" s="216"/>
      <c r="BD670" s="216"/>
      <c r="BE670" s="216"/>
      <c r="BF670" s="216"/>
      <c r="BG670" s="216"/>
      <c r="BH670" s="216"/>
      <c r="BI670" s="216"/>
      <c r="BJ670" s="216"/>
      <c r="BK670" s="216"/>
      <c r="BL670" s="216"/>
      <c r="BM670" s="216"/>
      <c r="BN670" s="216"/>
      <c r="BO670" s="216"/>
      <c r="BP670" s="216"/>
      <c r="BQ670" s="216"/>
      <c r="BR670" s="216"/>
    </row>
    <row r="671" spans="1:70" ht="12.75" x14ac:dyDescent="0.2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214"/>
      <c r="L671" s="214"/>
      <c r="M671" s="215"/>
      <c r="N671" s="215"/>
      <c r="O671" s="216"/>
      <c r="P671" s="216"/>
      <c r="Q671" s="216"/>
      <c r="R671" s="216"/>
      <c r="S671" s="216"/>
      <c r="T671" s="216"/>
      <c r="U671" s="216"/>
      <c r="V671" s="216"/>
      <c r="W671" s="216"/>
      <c r="X671" s="216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16"/>
      <c r="AN671" s="216"/>
      <c r="AO671" s="216"/>
      <c r="AP671" s="216"/>
      <c r="AQ671" s="216"/>
      <c r="AR671" s="216"/>
      <c r="AS671" s="216"/>
      <c r="AT671" s="216"/>
      <c r="AU671" s="216"/>
      <c r="AV671" s="216"/>
      <c r="AW671" s="216"/>
      <c r="AX671" s="216"/>
      <c r="AY671" s="216"/>
      <c r="AZ671" s="216"/>
      <c r="BA671" s="216"/>
      <c r="BB671" s="216"/>
      <c r="BC671" s="216"/>
      <c r="BD671" s="216"/>
      <c r="BE671" s="216"/>
      <c r="BF671" s="216"/>
      <c r="BG671" s="216"/>
      <c r="BH671" s="216"/>
      <c r="BI671" s="216"/>
      <c r="BJ671" s="216"/>
      <c r="BK671" s="216"/>
      <c r="BL671" s="216"/>
      <c r="BM671" s="216"/>
      <c r="BN671" s="216"/>
      <c r="BO671" s="216"/>
      <c r="BP671" s="216"/>
      <c r="BQ671" s="216"/>
      <c r="BR671" s="216"/>
    </row>
    <row r="672" spans="1:70" ht="12.75" x14ac:dyDescent="0.2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214"/>
      <c r="L672" s="214"/>
      <c r="M672" s="215"/>
      <c r="N672" s="215"/>
      <c r="O672" s="216"/>
      <c r="P672" s="216"/>
      <c r="Q672" s="216"/>
      <c r="R672" s="216"/>
      <c r="S672" s="216"/>
      <c r="T672" s="216"/>
      <c r="U672" s="216"/>
      <c r="V672" s="216"/>
      <c r="W672" s="216"/>
      <c r="X672" s="216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16"/>
      <c r="AN672" s="216"/>
      <c r="AO672" s="216"/>
      <c r="AP672" s="216"/>
      <c r="AQ672" s="216"/>
      <c r="AR672" s="216"/>
      <c r="AS672" s="216"/>
      <c r="AT672" s="216"/>
      <c r="AU672" s="216"/>
      <c r="AV672" s="216"/>
      <c r="AW672" s="216"/>
      <c r="AX672" s="216"/>
      <c r="AY672" s="216"/>
      <c r="AZ672" s="216"/>
      <c r="BA672" s="216"/>
      <c r="BB672" s="216"/>
      <c r="BC672" s="216"/>
      <c r="BD672" s="216"/>
      <c r="BE672" s="216"/>
      <c r="BF672" s="216"/>
      <c r="BG672" s="216"/>
      <c r="BH672" s="216"/>
      <c r="BI672" s="216"/>
      <c r="BJ672" s="216"/>
      <c r="BK672" s="216"/>
      <c r="BL672" s="216"/>
      <c r="BM672" s="216"/>
      <c r="BN672" s="216"/>
      <c r="BO672" s="216"/>
      <c r="BP672" s="216"/>
      <c r="BQ672" s="216"/>
      <c r="BR672" s="216"/>
    </row>
    <row r="673" spans="1:70" ht="12.75" x14ac:dyDescent="0.2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214"/>
      <c r="L673" s="214"/>
      <c r="M673" s="215"/>
      <c r="N673" s="215"/>
      <c r="O673" s="216"/>
      <c r="P673" s="216"/>
      <c r="Q673" s="216"/>
      <c r="R673" s="216"/>
      <c r="S673" s="216"/>
      <c r="T673" s="216"/>
      <c r="U673" s="216"/>
      <c r="V673" s="216"/>
      <c r="W673" s="216"/>
      <c r="X673" s="216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16"/>
      <c r="AN673" s="216"/>
      <c r="AO673" s="216"/>
      <c r="AP673" s="216"/>
      <c r="AQ673" s="216"/>
      <c r="AR673" s="216"/>
      <c r="AS673" s="216"/>
      <c r="AT673" s="216"/>
      <c r="AU673" s="216"/>
      <c r="AV673" s="216"/>
      <c r="AW673" s="216"/>
      <c r="AX673" s="216"/>
      <c r="AY673" s="216"/>
      <c r="AZ673" s="216"/>
      <c r="BA673" s="216"/>
      <c r="BB673" s="216"/>
      <c r="BC673" s="216"/>
      <c r="BD673" s="216"/>
      <c r="BE673" s="216"/>
      <c r="BF673" s="216"/>
      <c r="BG673" s="216"/>
      <c r="BH673" s="216"/>
      <c r="BI673" s="216"/>
      <c r="BJ673" s="216"/>
      <c r="BK673" s="216"/>
      <c r="BL673" s="216"/>
      <c r="BM673" s="216"/>
      <c r="BN673" s="216"/>
      <c r="BO673" s="216"/>
      <c r="BP673" s="216"/>
      <c r="BQ673" s="216"/>
      <c r="BR673" s="216"/>
    </row>
    <row r="674" spans="1:70" ht="12.75" x14ac:dyDescent="0.2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214"/>
      <c r="L674" s="214"/>
      <c r="M674" s="215"/>
      <c r="N674" s="215"/>
      <c r="O674" s="216"/>
      <c r="P674" s="216"/>
      <c r="Q674" s="216"/>
      <c r="R674" s="216"/>
      <c r="S674" s="216"/>
      <c r="T674" s="216"/>
      <c r="U674" s="216"/>
      <c r="V674" s="216"/>
      <c r="W674" s="216"/>
      <c r="X674" s="216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16"/>
      <c r="AN674" s="216"/>
      <c r="AO674" s="216"/>
      <c r="AP674" s="216"/>
      <c r="AQ674" s="216"/>
      <c r="AR674" s="216"/>
      <c r="AS674" s="216"/>
      <c r="AT674" s="216"/>
      <c r="AU674" s="216"/>
      <c r="AV674" s="216"/>
      <c r="AW674" s="216"/>
      <c r="AX674" s="216"/>
      <c r="AY674" s="216"/>
      <c r="AZ674" s="216"/>
      <c r="BA674" s="216"/>
      <c r="BB674" s="216"/>
      <c r="BC674" s="216"/>
      <c r="BD674" s="216"/>
      <c r="BE674" s="216"/>
      <c r="BF674" s="216"/>
      <c r="BG674" s="216"/>
      <c r="BH674" s="216"/>
      <c r="BI674" s="216"/>
      <c r="BJ674" s="216"/>
      <c r="BK674" s="216"/>
      <c r="BL674" s="216"/>
      <c r="BM674" s="216"/>
      <c r="BN674" s="216"/>
      <c r="BO674" s="216"/>
      <c r="BP674" s="216"/>
      <c r="BQ674" s="216"/>
      <c r="BR674" s="216"/>
    </row>
    <row r="675" spans="1:70" ht="12.75" x14ac:dyDescent="0.2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214"/>
      <c r="L675" s="214"/>
      <c r="M675" s="215"/>
      <c r="N675" s="215"/>
      <c r="O675" s="216"/>
      <c r="P675" s="216"/>
      <c r="Q675" s="216"/>
      <c r="R675" s="216"/>
      <c r="S675" s="216"/>
      <c r="T675" s="216"/>
      <c r="U675" s="216"/>
      <c r="V675" s="216"/>
      <c r="W675" s="216"/>
      <c r="X675" s="216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16"/>
      <c r="AN675" s="216"/>
      <c r="AO675" s="216"/>
      <c r="AP675" s="216"/>
      <c r="AQ675" s="216"/>
      <c r="AR675" s="216"/>
      <c r="AS675" s="216"/>
      <c r="AT675" s="216"/>
      <c r="AU675" s="216"/>
      <c r="AV675" s="216"/>
      <c r="AW675" s="216"/>
      <c r="AX675" s="216"/>
      <c r="AY675" s="216"/>
      <c r="AZ675" s="216"/>
      <c r="BA675" s="216"/>
      <c r="BB675" s="216"/>
      <c r="BC675" s="216"/>
      <c r="BD675" s="216"/>
      <c r="BE675" s="216"/>
      <c r="BF675" s="216"/>
      <c r="BG675" s="216"/>
      <c r="BH675" s="216"/>
      <c r="BI675" s="216"/>
      <c r="BJ675" s="216"/>
      <c r="BK675" s="216"/>
      <c r="BL675" s="216"/>
      <c r="BM675" s="216"/>
      <c r="BN675" s="216"/>
      <c r="BO675" s="216"/>
      <c r="BP675" s="216"/>
      <c r="BQ675" s="216"/>
      <c r="BR675" s="216"/>
    </row>
    <row r="676" spans="1:70" ht="12.75" x14ac:dyDescent="0.2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214"/>
      <c r="L676" s="214"/>
      <c r="M676" s="215"/>
      <c r="N676" s="215"/>
      <c r="O676" s="216"/>
      <c r="P676" s="216"/>
      <c r="Q676" s="216"/>
      <c r="R676" s="216"/>
      <c r="S676" s="216"/>
      <c r="T676" s="216"/>
      <c r="U676" s="216"/>
      <c r="V676" s="216"/>
      <c r="W676" s="216"/>
      <c r="X676" s="216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  <c r="AM676" s="216"/>
      <c r="AN676" s="216"/>
      <c r="AO676" s="216"/>
      <c r="AP676" s="216"/>
      <c r="AQ676" s="216"/>
      <c r="AR676" s="216"/>
      <c r="AS676" s="216"/>
      <c r="AT676" s="216"/>
      <c r="AU676" s="216"/>
      <c r="AV676" s="216"/>
      <c r="AW676" s="216"/>
      <c r="AX676" s="216"/>
      <c r="AY676" s="216"/>
      <c r="AZ676" s="216"/>
      <c r="BA676" s="216"/>
      <c r="BB676" s="216"/>
      <c r="BC676" s="216"/>
      <c r="BD676" s="216"/>
      <c r="BE676" s="216"/>
      <c r="BF676" s="216"/>
      <c r="BG676" s="216"/>
      <c r="BH676" s="216"/>
      <c r="BI676" s="216"/>
      <c r="BJ676" s="216"/>
      <c r="BK676" s="216"/>
      <c r="BL676" s="216"/>
      <c r="BM676" s="216"/>
      <c r="BN676" s="216"/>
      <c r="BO676" s="216"/>
      <c r="BP676" s="216"/>
      <c r="BQ676" s="216"/>
      <c r="BR676" s="216"/>
    </row>
    <row r="677" spans="1:70" ht="12.75" x14ac:dyDescent="0.2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214"/>
      <c r="L677" s="214"/>
      <c r="M677" s="215"/>
      <c r="N677" s="215"/>
      <c r="O677" s="216"/>
      <c r="P677" s="216"/>
      <c r="Q677" s="216"/>
      <c r="R677" s="216"/>
      <c r="S677" s="216"/>
      <c r="T677" s="216"/>
      <c r="U677" s="216"/>
      <c r="V677" s="216"/>
      <c r="W677" s="216"/>
      <c r="X677" s="216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  <c r="AM677" s="216"/>
      <c r="AN677" s="216"/>
      <c r="AO677" s="216"/>
      <c r="AP677" s="216"/>
      <c r="AQ677" s="216"/>
      <c r="AR677" s="216"/>
      <c r="AS677" s="216"/>
      <c r="AT677" s="216"/>
      <c r="AU677" s="216"/>
      <c r="AV677" s="216"/>
      <c r="AW677" s="216"/>
      <c r="AX677" s="216"/>
      <c r="AY677" s="216"/>
      <c r="AZ677" s="216"/>
      <c r="BA677" s="216"/>
      <c r="BB677" s="216"/>
      <c r="BC677" s="216"/>
      <c r="BD677" s="216"/>
      <c r="BE677" s="216"/>
      <c r="BF677" s="216"/>
      <c r="BG677" s="216"/>
      <c r="BH677" s="216"/>
      <c r="BI677" s="216"/>
      <c r="BJ677" s="216"/>
      <c r="BK677" s="216"/>
      <c r="BL677" s="216"/>
      <c r="BM677" s="216"/>
      <c r="BN677" s="216"/>
      <c r="BO677" s="216"/>
      <c r="BP677" s="216"/>
      <c r="BQ677" s="216"/>
      <c r="BR677" s="216"/>
    </row>
    <row r="678" spans="1:70" ht="12.75" x14ac:dyDescent="0.2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214"/>
      <c r="L678" s="214"/>
      <c r="M678" s="215"/>
      <c r="N678" s="215"/>
      <c r="O678" s="216"/>
      <c r="P678" s="216"/>
      <c r="Q678" s="216"/>
      <c r="R678" s="216"/>
      <c r="S678" s="216"/>
      <c r="T678" s="216"/>
      <c r="U678" s="216"/>
      <c r="V678" s="216"/>
      <c r="W678" s="216"/>
      <c r="X678" s="216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  <c r="AM678" s="216"/>
      <c r="AN678" s="216"/>
      <c r="AO678" s="216"/>
      <c r="AP678" s="216"/>
      <c r="AQ678" s="216"/>
      <c r="AR678" s="216"/>
      <c r="AS678" s="216"/>
      <c r="AT678" s="216"/>
      <c r="AU678" s="216"/>
      <c r="AV678" s="216"/>
      <c r="AW678" s="216"/>
      <c r="AX678" s="216"/>
      <c r="AY678" s="216"/>
      <c r="AZ678" s="216"/>
      <c r="BA678" s="216"/>
      <c r="BB678" s="216"/>
      <c r="BC678" s="216"/>
      <c r="BD678" s="216"/>
      <c r="BE678" s="216"/>
      <c r="BF678" s="216"/>
      <c r="BG678" s="216"/>
      <c r="BH678" s="216"/>
      <c r="BI678" s="216"/>
      <c r="BJ678" s="216"/>
      <c r="BK678" s="216"/>
      <c r="BL678" s="216"/>
      <c r="BM678" s="216"/>
      <c r="BN678" s="216"/>
      <c r="BO678" s="216"/>
      <c r="BP678" s="216"/>
      <c r="BQ678" s="216"/>
      <c r="BR678" s="216"/>
    </row>
    <row r="679" spans="1:70" ht="12.75" x14ac:dyDescent="0.2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214"/>
      <c r="L679" s="214"/>
      <c r="M679" s="215"/>
      <c r="N679" s="215"/>
      <c r="O679" s="216"/>
      <c r="P679" s="216"/>
      <c r="Q679" s="216"/>
      <c r="R679" s="216"/>
      <c r="S679" s="216"/>
      <c r="T679" s="216"/>
      <c r="U679" s="216"/>
      <c r="V679" s="216"/>
      <c r="W679" s="216"/>
      <c r="X679" s="216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16"/>
      <c r="AN679" s="216"/>
      <c r="AO679" s="216"/>
      <c r="AP679" s="216"/>
      <c r="AQ679" s="216"/>
      <c r="AR679" s="216"/>
      <c r="AS679" s="216"/>
      <c r="AT679" s="216"/>
      <c r="AU679" s="216"/>
      <c r="AV679" s="216"/>
      <c r="AW679" s="216"/>
      <c r="AX679" s="216"/>
      <c r="AY679" s="216"/>
      <c r="AZ679" s="216"/>
      <c r="BA679" s="216"/>
      <c r="BB679" s="216"/>
      <c r="BC679" s="216"/>
      <c r="BD679" s="216"/>
      <c r="BE679" s="216"/>
      <c r="BF679" s="216"/>
      <c r="BG679" s="216"/>
      <c r="BH679" s="216"/>
      <c r="BI679" s="216"/>
      <c r="BJ679" s="216"/>
      <c r="BK679" s="216"/>
      <c r="BL679" s="216"/>
      <c r="BM679" s="216"/>
      <c r="BN679" s="216"/>
      <c r="BO679" s="216"/>
      <c r="BP679" s="216"/>
      <c r="BQ679" s="216"/>
      <c r="BR679" s="216"/>
    </row>
    <row r="680" spans="1:70" ht="12.75" x14ac:dyDescent="0.2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214"/>
      <c r="L680" s="214"/>
      <c r="M680" s="215"/>
      <c r="N680" s="215"/>
      <c r="O680" s="216"/>
      <c r="P680" s="216"/>
      <c r="Q680" s="216"/>
      <c r="R680" s="216"/>
      <c r="S680" s="216"/>
      <c r="T680" s="216"/>
      <c r="U680" s="216"/>
      <c r="V680" s="216"/>
      <c r="W680" s="216"/>
      <c r="X680" s="216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16"/>
      <c r="AN680" s="216"/>
      <c r="AO680" s="216"/>
      <c r="AP680" s="216"/>
      <c r="AQ680" s="216"/>
      <c r="AR680" s="216"/>
      <c r="AS680" s="216"/>
      <c r="AT680" s="216"/>
      <c r="AU680" s="216"/>
      <c r="AV680" s="216"/>
      <c r="AW680" s="216"/>
      <c r="AX680" s="216"/>
      <c r="AY680" s="216"/>
      <c r="AZ680" s="216"/>
      <c r="BA680" s="216"/>
      <c r="BB680" s="216"/>
      <c r="BC680" s="216"/>
      <c r="BD680" s="216"/>
      <c r="BE680" s="216"/>
      <c r="BF680" s="216"/>
      <c r="BG680" s="216"/>
      <c r="BH680" s="216"/>
      <c r="BI680" s="216"/>
      <c r="BJ680" s="216"/>
      <c r="BK680" s="216"/>
      <c r="BL680" s="216"/>
      <c r="BM680" s="216"/>
      <c r="BN680" s="216"/>
      <c r="BO680" s="216"/>
      <c r="BP680" s="216"/>
      <c r="BQ680" s="216"/>
      <c r="BR680" s="216"/>
    </row>
    <row r="681" spans="1:70" ht="12.75" x14ac:dyDescent="0.2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214"/>
      <c r="L681" s="214"/>
      <c r="M681" s="215"/>
      <c r="N681" s="215"/>
      <c r="O681" s="216"/>
      <c r="P681" s="216"/>
      <c r="Q681" s="216"/>
      <c r="R681" s="216"/>
      <c r="S681" s="216"/>
      <c r="T681" s="216"/>
      <c r="U681" s="216"/>
      <c r="V681" s="216"/>
      <c r="W681" s="216"/>
      <c r="X681" s="216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16"/>
      <c r="AN681" s="216"/>
      <c r="AO681" s="216"/>
      <c r="AP681" s="216"/>
      <c r="AQ681" s="216"/>
      <c r="AR681" s="216"/>
      <c r="AS681" s="216"/>
      <c r="AT681" s="216"/>
      <c r="AU681" s="216"/>
      <c r="AV681" s="216"/>
      <c r="AW681" s="216"/>
      <c r="AX681" s="216"/>
      <c r="AY681" s="216"/>
      <c r="AZ681" s="216"/>
      <c r="BA681" s="216"/>
      <c r="BB681" s="216"/>
      <c r="BC681" s="216"/>
      <c r="BD681" s="216"/>
      <c r="BE681" s="216"/>
      <c r="BF681" s="216"/>
      <c r="BG681" s="216"/>
      <c r="BH681" s="216"/>
      <c r="BI681" s="216"/>
      <c r="BJ681" s="216"/>
      <c r="BK681" s="216"/>
      <c r="BL681" s="216"/>
      <c r="BM681" s="216"/>
      <c r="BN681" s="216"/>
      <c r="BO681" s="216"/>
      <c r="BP681" s="216"/>
      <c r="BQ681" s="216"/>
      <c r="BR681" s="216"/>
    </row>
    <row r="682" spans="1:70" ht="12.75" x14ac:dyDescent="0.2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214"/>
      <c r="L682" s="214"/>
      <c r="M682" s="215"/>
      <c r="N682" s="215"/>
      <c r="O682" s="216"/>
      <c r="P682" s="216"/>
      <c r="Q682" s="216"/>
      <c r="R682" s="216"/>
      <c r="S682" s="216"/>
      <c r="T682" s="216"/>
      <c r="U682" s="216"/>
      <c r="V682" s="216"/>
      <c r="W682" s="216"/>
      <c r="X682" s="216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16"/>
      <c r="AN682" s="216"/>
      <c r="AO682" s="216"/>
      <c r="AP682" s="216"/>
      <c r="AQ682" s="216"/>
      <c r="AR682" s="216"/>
      <c r="AS682" s="216"/>
      <c r="AT682" s="216"/>
      <c r="AU682" s="216"/>
      <c r="AV682" s="216"/>
      <c r="AW682" s="216"/>
      <c r="AX682" s="216"/>
      <c r="AY682" s="216"/>
      <c r="AZ682" s="216"/>
      <c r="BA682" s="216"/>
      <c r="BB682" s="216"/>
      <c r="BC682" s="216"/>
      <c r="BD682" s="216"/>
      <c r="BE682" s="216"/>
      <c r="BF682" s="216"/>
      <c r="BG682" s="216"/>
      <c r="BH682" s="216"/>
      <c r="BI682" s="216"/>
      <c r="BJ682" s="216"/>
      <c r="BK682" s="216"/>
      <c r="BL682" s="216"/>
      <c r="BM682" s="216"/>
      <c r="BN682" s="216"/>
      <c r="BO682" s="216"/>
      <c r="BP682" s="216"/>
      <c r="BQ682" s="216"/>
      <c r="BR682" s="216"/>
    </row>
    <row r="683" spans="1:70" ht="12.75" x14ac:dyDescent="0.2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214"/>
      <c r="L683" s="214"/>
      <c r="M683" s="215"/>
      <c r="N683" s="215"/>
      <c r="O683" s="216"/>
      <c r="P683" s="216"/>
      <c r="Q683" s="216"/>
      <c r="R683" s="216"/>
      <c r="S683" s="216"/>
      <c r="T683" s="216"/>
      <c r="U683" s="216"/>
      <c r="V683" s="216"/>
      <c r="W683" s="216"/>
      <c r="X683" s="216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16"/>
      <c r="AN683" s="216"/>
      <c r="AO683" s="216"/>
      <c r="AP683" s="216"/>
      <c r="AQ683" s="216"/>
      <c r="AR683" s="216"/>
      <c r="AS683" s="216"/>
      <c r="AT683" s="216"/>
      <c r="AU683" s="216"/>
      <c r="AV683" s="216"/>
      <c r="AW683" s="216"/>
      <c r="AX683" s="216"/>
      <c r="AY683" s="216"/>
      <c r="AZ683" s="216"/>
      <c r="BA683" s="216"/>
      <c r="BB683" s="216"/>
      <c r="BC683" s="216"/>
      <c r="BD683" s="216"/>
      <c r="BE683" s="216"/>
      <c r="BF683" s="216"/>
      <c r="BG683" s="216"/>
      <c r="BH683" s="216"/>
      <c r="BI683" s="216"/>
      <c r="BJ683" s="216"/>
      <c r="BK683" s="216"/>
      <c r="BL683" s="216"/>
      <c r="BM683" s="216"/>
      <c r="BN683" s="216"/>
      <c r="BO683" s="216"/>
      <c r="BP683" s="216"/>
      <c r="BQ683" s="216"/>
      <c r="BR683" s="216"/>
    </row>
    <row r="684" spans="1:70" ht="12.75" x14ac:dyDescent="0.2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214"/>
      <c r="L684" s="214"/>
      <c r="M684" s="215"/>
      <c r="N684" s="215"/>
      <c r="O684" s="216"/>
      <c r="P684" s="216"/>
      <c r="Q684" s="216"/>
      <c r="R684" s="216"/>
      <c r="S684" s="216"/>
      <c r="T684" s="216"/>
      <c r="U684" s="216"/>
      <c r="V684" s="216"/>
      <c r="W684" s="216"/>
      <c r="X684" s="216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16"/>
      <c r="AN684" s="216"/>
      <c r="AO684" s="216"/>
      <c r="AP684" s="216"/>
      <c r="AQ684" s="216"/>
      <c r="AR684" s="216"/>
      <c r="AS684" s="216"/>
      <c r="AT684" s="216"/>
      <c r="AU684" s="216"/>
      <c r="AV684" s="216"/>
      <c r="AW684" s="216"/>
      <c r="AX684" s="216"/>
      <c r="AY684" s="216"/>
      <c r="AZ684" s="216"/>
      <c r="BA684" s="216"/>
      <c r="BB684" s="216"/>
      <c r="BC684" s="216"/>
      <c r="BD684" s="216"/>
      <c r="BE684" s="216"/>
      <c r="BF684" s="216"/>
      <c r="BG684" s="216"/>
      <c r="BH684" s="216"/>
      <c r="BI684" s="216"/>
      <c r="BJ684" s="216"/>
      <c r="BK684" s="216"/>
      <c r="BL684" s="216"/>
      <c r="BM684" s="216"/>
      <c r="BN684" s="216"/>
      <c r="BO684" s="216"/>
      <c r="BP684" s="216"/>
      <c r="BQ684" s="216"/>
      <c r="BR684" s="216"/>
    </row>
    <row r="685" spans="1:70" ht="12.75" x14ac:dyDescent="0.2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214"/>
      <c r="L685" s="214"/>
      <c r="M685" s="215"/>
      <c r="N685" s="215"/>
      <c r="O685" s="216"/>
      <c r="P685" s="216"/>
      <c r="Q685" s="216"/>
      <c r="R685" s="216"/>
      <c r="S685" s="216"/>
      <c r="T685" s="216"/>
      <c r="U685" s="216"/>
      <c r="V685" s="216"/>
      <c r="W685" s="216"/>
      <c r="X685" s="216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16"/>
      <c r="AN685" s="216"/>
      <c r="AO685" s="216"/>
      <c r="AP685" s="216"/>
      <c r="AQ685" s="216"/>
      <c r="AR685" s="216"/>
      <c r="AS685" s="216"/>
      <c r="AT685" s="216"/>
      <c r="AU685" s="216"/>
      <c r="AV685" s="216"/>
      <c r="AW685" s="216"/>
      <c r="AX685" s="216"/>
      <c r="AY685" s="216"/>
      <c r="AZ685" s="216"/>
      <c r="BA685" s="216"/>
      <c r="BB685" s="216"/>
      <c r="BC685" s="216"/>
      <c r="BD685" s="216"/>
      <c r="BE685" s="216"/>
      <c r="BF685" s="216"/>
      <c r="BG685" s="216"/>
      <c r="BH685" s="216"/>
      <c r="BI685" s="216"/>
      <c r="BJ685" s="216"/>
      <c r="BK685" s="216"/>
      <c r="BL685" s="216"/>
      <c r="BM685" s="216"/>
      <c r="BN685" s="216"/>
      <c r="BO685" s="216"/>
      <c r="BP685" s="216"/>
      <c r="BQ685" s="216"/>
      <c r="BR685" s="216"/>
    </row>
    <row r="686" spans="1:70" ht="12.75" x14ac:dyDescent="0.2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214"/>
      <c r="L686" s="214"/>
      <c r="M686" s="215"/>
      <c r="N686" s="215"/>
      <c r="O686" s="216"/>
      <c r="P686" s="216"/>
      <c r="Q686" s="216"/>
      <c r="R686" s="216"/>
      <c r="S686" s="216"/>
      <c r="T686" s="216"/>
      <c r="U686" s="216"/>
      <c r="V686" s="216"/>
      <c r="W686" s="216"/>
      <c r="X686" s="216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16"/>
      <c r="AN686" s="216"/>
      <c r="AO686" s="216"/>
      <c r="AP686" s="216"/>
      <c r="AQ686" s="216"/>
      <c r="AR686" s="216"/>
      <c r="AS686" s="216"/>
      <c r="AT686" s="216"/>
      <c r="AU686" s="216"/>
      <c r="AV686" s="216"/>
      <c r="AW686" s="216"/>
      <c r="AX686" s="216"/>
      <c r="AY686" s="216"/>
      <c r="AZ686" s="216"/>
      <c r="BA686" s="216"/>
      <c r="BB686" s="216"/>
      <c r="BC686" s="216"/>
      <c r="BD686" s="216"/>
      <c r="BE686" s="216"/>
      <c r="BF686" s="216"/>
      <c r="BG686" s="216"/>
      <c r="BH686" s="216"/>
      <c r="BI686" s="216"/>
      <c r="BJ686" s="216"/>
      <c r="BK686" s="216"/>
      <c r="BL686" s="216"/>
      <c r="BM686" s="216"/>
      <c r="BN686" s="216"/>
      <c r="BO686" s="216"/>
      <c r="BP686" s="216"/>
      <c r="BQ686" s="216"/>
      <c r="BR686" s="216"/>
    </row>
    <row r="687" spans="1:70" ht="12.75" x14ac:dyDescent="0.2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214"/>
      <c r="L687" s="214"/>
      <c r="M687" s="215"/>
      <c r="N687" s="215"/>
      <c r="O687" s="216"/>
      <c r="P687" s="216"/>
      <c r="Q687" s="216"/>
      <c r="R687" s="216"/>
      <c r="S687" s="216"/>
      <c r="T687" s="216"/>
      <c r="U687" s="216"/>
      <c r="V687" s="216"/>
      <c r="W687" s="216"/>
      <c r="X687" s="216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16"/>
      <c r="AN687" s="216"/>
      <c r="AO687" s="216"/>
      <c r="AP687" s="216"/>
      <c r="AQ687" s="216"/>
      <c r="AR687" s="216"/>
      <c r="AS687" s="216"/>
      <c r="AT687" s="216"/>
      <c r="AU687" s="216"/>
      <c r="AV687" s="216"/>
      <c r="AW687" s="216"/>
      <c r="AX687" s="216"/>
      <c r="AY687" s="216"/>
      <c r="AZ687" s="216"/>
      <c r="BA687" s="216"/>
      <c r="BB687" s="216"/>
      <c r="BC687" s="216"/>
      <c r="BD687" s="216"/>
      <c r="BE687" s="216"/>
      <c r="BF687" s="216"/>
      <c r="BG687" s="216"/>
      <c r="BH687" s="216"/>
      <c r="BI687" s="216"/>
      <c r="BJ687" s="216"/>
      <c r="BK687" s="216"/>
      <c r="BL687" s="216"/>
      <c r="BM687" s="216"/>
      <c r="BN687" s="216"/>
      <c r="BO687" s="216"/>
      <c r="BP687" s="216"/>
      <c r="BQ687" s="216"/>
      <c r="BR687" s="216"/>
    </row>
    <row r="688" spans="1:70" ht="12.75" x14ac:dyDescent="0.2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214"/>
      <c r="L688" s="214"/>
      <c r="M688" s="215"/>
      <c r="N688" s="215"/>
      <c r="O688" s="216"/>
      <c r="P688" s="216"/>
      <c r="Q688" s="216"/>
      <c r="R688" s="216"/>
      <c r="S688" s="216"/>
      <c r="T688" s="216"/>
      <c r="U688" s="216"/>
      <c r="V688" s="216"/>
      <c r="W688" s="216"/>
      <c r="X688" s="216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16"/>
      <c r="AN688" s="216"/>
      <c r="AO688" s="216"/>
      <c r="AP688" s="216"/>
      <c r="AQ688" s="216"/>
      <c r="AR688" s="216"/>
      <c r="AS688" s="216"/>
      <c r="AT688" s="216"/>
      <c r="AU688" s="216"/>
      <c r="AV688" s="216"/>
      <c r="AW688" s="216"/>
      <c r="AX688" s="216"/>
      <c r="AY688" s="216"/>
      <c r="AZ688" s="216"/>
      <c r="BA688" s="216"/>
      <c r="BB688" s="216"/>
      <c r="BC688" s="216"/>
      <c r="BD688" s="216"/>
      <c r="BE688" s="216"/>
      <c r="BF688" s="216"/>
      <c r="BG688" s="216"/>
      <c r="BH688" s="216"/>
      <c r="BI688" s="216"/>
      <c r="BJ688" s="216"/>
      <c r="BK688" s="216"/>
      <c r="BL688" s="216"/>
      <c r="BM688" s="216"/>
      <c r="BN688" s="216"/>
      <c r="BO688" s="216"/>
      <c r="BP688" s="216"/>
      <c r="BQ688" s="216"/>
      <c r="BR688" s="216"/>
    </row>
    <row r="689" spans="1:70" ht="12.75" x14ac:dyDescent="0.2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214"/>
      <c r="L689" s="214"/>
      <c r="M689" s="215"/>
      <c r="N689" s="215"/>
      <c r="O689" s="216"/>
      <c r="P689" s="216"/>
      <c r="Q689" s="216"/>
      <c r="R689" s="216"/>
      <c r="S689" s="216"/>
      <c r="T689" s="216"/>
      <c r="U689" s="216"/>
      <c r="V689" s="216"/>
      <c r="W689" s="216"/>
      <c r="X689" s="216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16"/>
      <c r="AN689" s="216"/>
      <c r="AO689" s="216"/>
      <c r="AP689" s="216"/>
      <c r="AQ689" s="216"/>
      <c r="AR689" s="216"/>
      <c r="AS689" s="216"/>
      <c r="AT689" s="216"/>
      <c r="AU689" s="216"/>
      <c r="AV689" s="216"/>
      <c r="AW689" s="216"/>
      <c r="AX689" s="216"/>
      <c r="AY689" s="216"/>
      <c r="AZ689" s="216"/>
      <c r="BA689" s="216"/>
      <c r="BB689" s="216"/>
      <c r="BC689" s="216"/>
      <c r="BD689" s="216"/>
      <c r="BE689" s="216"/>
      <c r="BF689" s="216"/>
      <c r="BG689" s="216"/>
      <c r="BH689" s="216"/>
      <c r="BI689" s="216"/>
      <c r="BJ689" s="216"/>
      <c r="BK689" s="216"/>
      <c r="BL689" s="216"/>
      <c r="BM689" s="216"/>
      <c r="BN689" s="216"/>
      <c r="BO689" s="216"/>
      <c r="BP689" s="216"/>
      <c r="BQ689" s="216"/>
      <c r="BR689" s="216"/>
    </row>
    <row r="690" spans="1:70" ht="12.75" x14ac:dyDescent="0.2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214"/>
      <c r="L690" s="214"/>
      <c r="M690" s="215"/>
      <c r="N690" s="215"/>
      <c r="O690" s="216"/>
      <c r="P690" s="216"/>
      <c r="Q690" s="216"/>
      <c r="R690" s="216"/>
      <c r="S690" s="216"/>
      <c r="T690" s="216"/>
      <c r="U690" s="216"/>
      <c r="V690" s="216"/>
      <c r="W690" s="216"/>
      <c r="X690" s="216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16"/>
      <c r="AN690" s="216"/>
      <c r="AO690" s="216"/>
      <c r="AP690" s="216"/>
      <c r="AQ690" s="216"/>
      <c r="AR690" s="216"/>
      <c r="AS690" s="216"/>
      <c r="AT690" s="216"/>
      <c r="AU690" s="216"/>
      <c r="AV690" s="216"/>
      <c r="AW690" s="216"/>
      <c r="AX690" s="216"/>
      <c r="AY690" s="216"/>
      <c r="AZ690" s="216"/>
      <c r="BA690" s="216"/>
      <c r="BB690" s="216"/>
      <c r="BC690" s="216"/>
      <c r="BD690" s="216"/>
      <c r="BE690" s="216"/>
      <c r="BF690" s="216"/>
      <c r="BG690" s="216"/>
      <c r="BH690" s="216"/>
      <c r="BI690" s="216"/>
      <c r="BJ690" s="216"/>
      <c r="BK690" s="216"/>
      <c r="BL690" s="216"/>
      <c r="BM690" s="216"/>
      <c r="BN690" s="216"/>
      <c r="BO690" s="216"/>
      <c r="BP690" s="216"/>
      <c r="BQ690" s="216"/>
      <c r="BR690" s="216"/>
    </row>
    <row r="691" spans="1:70" ht="12.75" x14ac:dyDescent="0.2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214"/>
      <c r="L691" s="214"/>
      <c r="M691" s="215"/>
      <c r="N691" s="215"/>
      <c r="O691" s="216"/>
      <c r="P691" s="216"/>
      <c r="Q691" s="216"/>
      <c r="R691" s="216"/>
      <c r="S691" s="216"/>
      <c r="T691" s="216"/>
      <c r="U691" s="216"/>
      <c r="V691" s="216"/>
      <c r="W691" s="216"/>
      <c r="X691" s="216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16"/>
      <c r="AN691" s="216"/>
      <c r="AO691" s="216"/>
      <c r="AP691" s="216"/>
      <c r="AQ691" s="216"/>
      <c r="AR691" s="216"/>
      <c r="AS691" s="216"/>
      <c r="AT691" s="216"/>
      <c r="AU691" s="216"/>
      <c r="AV691" s="216"/>
      <c r="AW691" s="216"/>
      <c r="AX691" s="216"/>
      <c r="AY691" s="216"/>
      <c r="AZ691" s="216"/>
      <c r="BA691" s="216"/>
      <c r="BB691" s="216"/>
      <c r="BC691" s="216"/>
      <c r="BD691" s="216"/>
      <c r="BE691" s="216"/>
      <c r="BF691" s="216"/>
      <c r="BG691" s="216"/>
      <c r="BH691" s="216"/>
      <c r="BI691" s="216"/>
      <c r="BJ691" s="216"/>
      <c r="BK691" s="216"/>
      <c r="BL691" s="216"/>
      <c r="BM691" s="216"/>
      <c r="BN691" s="216"/>
      <c r="BO691" s="216"/>
      <c r="BP691" s="216"/>
      <c r="BQ691" s="216"/>
      <c r="BR691" s="216"/>
    </row>
    <row r="692" spans="1:70" ht="12.75" x14ac:dyDescent="0.2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214"/>
      <c r="L692" s="214"/>
      <c r="M692" s="215"/>
      <c r="N692" s="215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16"/>
      <c r="BN692" s="216"/>
      <c r="BO692" s="216"/>
      <c r="BP692" s="216"/>
      <c r="BQ692" s="216"/>
      <c r="BR692" s="216"/>
    </row>
    <row r="693" spans="1:70" ht="12.75" x14ac:dyDescent="0.2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214"/>
      <c r="L693" s="214"/>
      <c r="M693" s="215"/>
      <c r="N693" s="215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216"/>
      <c r="AR693" s="216"/>
      <c r="AS693" s="216"/>
      <c r="AT693" s="216"/>
      <c r="AU693" s="216"/>
      <c r="AV693" s="216"/>
      <c r="AW693" s="216"/>
      <c r="AX693" s="216"/>
      <c r="AY693" s="216"/>
      <c r="AZ693" s="216"/>
      <c r="BA693" s="216"/>
      <c r="BB693" s="216"/>
      <c r="BC693" s="216"/>
      <c r="BD693" s="216"/>
      <c r="BE693" s="216"/>
      <c r="BF693" s="216"/>
      <c r="BG693" s="216"/>
      <c r="BH693" s="216"/>
      <c r="BI693" s="216"/>
      <c r="BJ693" s="216"/>
      <c r="BK693" s="216"/>
      <c r="BL693" s="216"/>
      <c r="BM693" s="216"/>
      <c r="BN693" s="216"/>
      <c r="BO693" s="216"/>
      <c r="BP693" s="216"/>
      <c r="BQ693" s="216"/>
      <c r="BR693" s="216"/>
    </row>
    <row r="694" spans="1:70" ht="12.75" x14ac:dyDescent="0.2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214"/>
      <c r="L694" s="214"/>
      <c r="M694" s="215"/>
      <c r="N694" s="215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6"/>
      <c r="BF694" s="216"/>
      <c r="BG694" s="216"/>
      <c r="BH694" s="216"/>
      <c r="BI694" s="216"/>
      <c r="BJ694" s="216"/>
      <c r="BK694" s="216"/>
      <c r="BL694" s="216"/>
      <c r="BM694" s="216"/>
      <c r="BN694" s="216"/>
      <c r="BO694" s="216"/>
      <c r="BP694" s="216"/>
      <c r="BQ694" s="216"/>
      <c r="BR694" s="216"/>
    </row>
    <row r="695" spans="1:70" ht="12.75" x14ac:dyDescent="0.2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214"/>
      <c r="L695" s="214"/>
      <c r="M695" s="215"/>
      <c r="N695" s="215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216"/>
      <c r="AR695" s="216"/>
      <c r="AS695" s="216"/>
      <c r="AT695" s="216"/>
      <c r="AU695" s="216"/>
      <c r="AV695" s="216"/>
      <c r="AW695" s="216"/>
      <c r="AX695" s="216"/>
      <c r="AY695" s="216"/>
      <c r="AZ695" s="216"/>
      <c r="BA695" s="216"/>
      <c r="BB695" s="216"/>
      <c r="BC695" s="216"/>
      <c r="BD695" s="216"/>
      <c r="BE695" s="216"/>
      <c r="BF695" s="216"/>
      <c r="BG695" s="216"/>
      <c r="BH695" s="216"/>
      <c r="BI695" s="216"/>
      <c r="BJ695" s="216"/>
      <c r="BK695" s="216"/>
      <c r="BL695" s="216"/>
      <c r="BM695" s="216"/>
      <c r="BN695" s="216"/>
      <c r="BO695" s="216"/>
      <c r="BP695" s="216"/>
      <c r="BQ695" s="216"/>
      <c r="BR695" s="216"/>
    </row>
    <row r="696" spans="1:70" ht="12.75" x14ac:dyDescent="0.2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214"/>
      <c r="L696" s="214"/>
      <c r="M696" s="215"/>
      <c r="N696" s="215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216"/>
      <c r="AR696" s="216"/>
      <c r="AS696" s="216"/>
      <c r="AT696" s="216"/>
      <c r="AU696" s="216"/>
      <c r="AV696" s="216"/>
      <c r="AW696" s="216"/>
      <c r="AX696" s="216"/>
      <c r="AY696" s="216"/>
      <c r="AZ696" s="216"/>
      <c r="BA696" s="216"/>
      <c r="BB696" s="216"/>
      <c r="BC696" s="216"/>
      <c r="BD696" s="216"/>
      <c r="BE696" s="216"/>
      <c r="BF696" s="216"/>
      <c r="BG696" s="216"/>
      <c r="BH696" s="216"/>
      <c r="BI696" s="216"/>
      <c r="BJ696" s="216"/>
      <c r="BK696" s="216"/>
      <c r="BL696" s="216"/>
      <c r="BM696" s="216"/>
      <c r="BN696" s="216"/>
      <c r="BO696" s="216"/>
      <c r="BP696" s="216"/>
      <c r="BQ696" s="216"/>
      <c r="BR696" s="216"/>
    </row>
    <row r="697" spans="1:70" ht="12.75" x14ac:dyDescent="0.2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214"/>
      <c r="L697" s="214"/>
      <c r="M697" s="215"/>
      <c r="N697" s="215"/>
      <c r="O697" s="216"/>
      <c r="P697" s="216"/>
      <c r="Q697" s="216"/>
      <c r="R697" s="216"/>
      <c r="S697" s="216"/>
      <c r="T697" s="216"/>
      <c r="U697" s="216"/>
      <c r="V697" s="216"/>
      <c r="W697" s="216"/>
      <c r="X697" s="216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16"/>
      <c r="AN697" s="216"/>
      <c r="AO697" s="216"/>
      <c r="AP697" s="216"/>
      <c r="AQ697" s="216"/>
      <c r="AR697" s="216"/>
      <c r="AS697" s="216"/>
      <c r="AT697" s="216"/>
      <c r="AU697" s="216"/>
      <c r="AV697" s="216"/>
      <c r="AW697" s="216"/>
      <c r="AX697" s="216"/>
      <c r="AY697" s="216"/>
      <c r="AZ697" s="216"/>
      <c r="BA697" s="216"/>
      <c r="BB697" s="216"/>
      <c r="BC697" s="216"/>
      <c r="BD697" s="216"/>
      <c r="BE697" s="216"/>
      <c r="BF697" s="216"/>
      <c r="BG697" s="216"/>
      <c r="BH697" s="216"/>
      <c r="BI697" s="216"/>
      <c r="BJ697" s="216"/>
      <c r="BK697" s="216"/>
      <c r="BL697" s="216"/>
      <c r="BM697" s="216"/>
      <c r="BN697" s="216"/>
      <c r="BO697" s="216"/>
      <c r="BP697" s="216"/>
      <c r="BQ697" s="216"/>
      <c r="BR697" s="216"/>
    </row>
    <row r="698" spans="1:70" ht="12.75" x14ac:dyDescent="0.2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214"/>
      <c r="L698" s="214"/>
      <c r="M698" s="215"/>
      <c r="N698" s="215"/>
      <c r="O698" s="216"/>
      <c r="P698" s="216"/>
      <c r="Q698" s="216"/>
      <c r="R698" s="216"/>
      <c r="S698" s="216"/>
      <c r="T698" s="216"/>
      <c r="U698" s="216"/>
      <c r="V698" s="216"/>
      <c r="W698" s="216"/>
      <c r="X698" s="216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16"/>
      <c r="AN698" s="216"/>
      <c r="AO698" s="216"/>
      <c r="AP698" s="216"/>
      <c r="AQ698" s="216"/>
      <c r="AR698" s="216"/>
      <c r="AS698" s="216"/>
      <c r="AT698" s="216"/>
      <c r="AU698" s="216"/>
      <c r="AV698" s="216"/>
      <c r="AW698" s="216"/>
      <c r="AX698" s="216"/>
      <c r="AY698" s="216"/>
      <c r="AZ698" s="216"/>
      <c r="BA698" s="216"/>
      <c r="BB698" s="216"/>
      <c r="BC698" s="216"/>
      <c r="BD698" s="216"/>
      <c r="BE698" s="216"/>
      <c r="BF698" s="216"/>
      <c r="BG698" s="216"/>
      <c r="BH698" s="216"/>
      <c r="BI698" s="216"/>
      <c r="BJ698" s="216"/>
      <c r="BK698" s="216"/>
      <c r="BL698" s="216"/>
      <c r="BM698" s="216"/>
      <c r="BN698" s="216"/>
      <c r="BO698" s="216"/>
      <c r="BP698" s="216"/>
      <c r="BQ698" s="216"/>
      <c r="BR698" s="216"/>
    </row>
    <row r="699" spans="1:70" ht="12.75" x14ac:dyDescent="0.2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214"/>
      <c r="L699" s="214"/>
      <c r="M699" s="215"/>
      <c r="N699" s="215"/>
      <c r="O699" s="216"/>
      <c r="P699" s="216"/>
      <c r="Q699" s="216"/>
      <c r="R699" s="216"/>
      <c r="S699" s="216"/>
      <c r="T699" s="216"/>
      <c r="U699" s="216"/>
      <c r="V699" s="216"/>
      <c r="W699" s="216"/>
      <c r="X699" s="216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16"/>
      <c r="AN699" s="216"/>
      <c r="AO699" s="216"/>
      <c r="AP699" s="216"/>
      <c r="AQ699" s="216"/>
      <c r="AR699" s="216"/>
      <c r="AS699" s="216"/>
      <c r="AT699" s="216"/>
      <c r="AU699" s="216"/>
      <c r="AV699" s="216"/>
      <c r="AW699" s="216"/>
      <c r="AX699" s="216"/>
      <c r="AY699" s="216"/>
      <c r="AZ699" s="216"/>
      <c r="BA699" s="216"/>
      <c r="BB699" s="216"/>
      <c r="BC699" s="216"/>
      <c r="BD699" s="216"/>
      <c r="BE699" s="216"/>
      <c r="BF699" s="216"/>
      <c r="BG699" s="216"/>
      <c r="BH699" s="216"/>
      <c r="BI699" s="216"/>
      <c r="BJ699" s="216"/>
      <c r="BK699" s="216"/>
      <c r="BL699" s="216"/>
      <c r="BM699" s="216"/>
      <c r="BN699" s="216"/>
      <c r="BO699" s="216"/>
      <c r="BP699" s="216"/>
      <c r="BQ699" s="216"/>
      <c r="BR699" s="216"/>
    </row>
    <row r="700" spans="1:70" ht="12.75" x14ac:dyDescent="0.2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214"/>
      <c r="L700" s="214"/>
      <c r="M700" s="215"/>
      <c r="N700" s="215"/>
      <c r="O700" s="216"/>
      <c r="P700" s="216"/>
      <c r="Q700" s="216"/>
      <c r="R700" s="216"/>
      <c r="S700" s="216"/>
      <c r="T700" s="216"/>
      <c r="U700" s="216"/>
      <c r="V700" s="216"/>
      <c r="W700" s="216"/>
      <c r="X700" s="216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16"/>
      <c r="AN700" s="216"/>
      <c r="AO700" s="216"/>
      <c r="AP700" s="216"/>
      <c r="AQ700" s="216"/>
      <c r="AR700" s="216"/>
      <c r="AS700" s="216"/>
      <c r="AT700" s="216"/>
      <c r="AU700" s="216"/>
      <c r="AV700" s="216"/>
      <c r="AW700" s="216"/>
      <c r="AX700" s="216"/>
      <c r="AY700" s="216"/>
      <c r="AZ700" s="216"/>
      <c r="BA700" s="216"/>
      <c r="BB700" s="216"/>
      <c r="BC700" s="216"/>
      <c r="BD700" s="216"/>
      <c r="BE700" s="216"/>
      <c r="BF700" s="216"/>
      <c r="BG700" s="216"/>
      <c r="BH700" s="216"/>
      <c r="BI700" s="216"/>
      <c r="BJ700" s="216"/>
      <c r="BK700" s="216"/>
      <c r="BL700" s="216"/>
      <c r="BM700" s="216"/>
      <c r="BN700" s="216"/>
      <c r="BO700" s="216"/>
      <c r="BP700" s="216"/>
      <c r="BQ700" s="216"/>
      <c r="BR700" s="216"/>
    </row>
    <row r="701" spans="1:70" ht="12.75" x14ac:dyDescent="0.2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214"/>
      <c r="L701" s="214"/>
      <c r="M701" s="215"/>
      <c r="N701" s="215"/>
      <c r="O701" s="216"/>
      <c r="P701" s="216"/>
      <c r="Q701" s="216"/>
      <c r="R701" s="216"/>
      <c r="S701" s="216"/>
      <c r="T701" s="216"/>
      <c r="U701" s="216"/>
      <c r="V701" s="216"/>
      <c r="W701" s="216"/>
      <c r="X701" s="216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16"/>
      <c r="AN701" s="216"/>
      <c r="AO701" s="216"/>
      <c r="AP701" s="216"/>
      <c r="AQ701" s="216"/>
      <c r="AR701" s="216"/>
      <c r="AS701" s="216"/>
      <c r="AT701" s="216"/>
      <c r="AU701" s="216"/>
      <c r="AV701" s="216"/>
      <c r="AW701" s="216"/>
      <c r="AX701" s="216"/>
      <c r="AY701" s="216"/>
      <c r="AZ701" s="216"/>
      <c r="BA701" s="216"/>
      <c r="BB701" s="216"/>
      <c r="BC701" s="216"/>
      <c r="BD701" s="216"/>
      <c r="BE701" s="216"/>
      <c r="BF701" s="216"/>
      <c r="BG701" s="216"/>
      <c r="BH701" s="216"/>
      <c r="BI701" s="216"/>
      <c r="BJ701" s="216"/>
      <c r="BK701" s="216"/>
      <c r="BL701" s="216"/>
      <c r="BM701" s="216"/>
      <c r="BN701" s="216"/>
      <c r="BO701" s="216"/>
      <c r="BP701" s="216"/>
      <c r="BQ701" s="216"/>
      <c r="BR701" s="216"/>
    </row>
    <row r="702" spans="1:70" ht="12.75" x14ac:dyDescent="0.2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214"/>
      <c r="L702" s="214"/>
      <c r="M702" s="215"/>
      <c r="N702" s="215"/>
      <c r="O702" s="216"/>
      <c r="P702" s="216"/>
      <c r="Q702" s="216"/>
      <c r="R702" s="216"/>
      <c r="S702" s="216"/>
      <c r="T702" s="216"/>
      <c r="U702" s="216"/>
      <c r="V702" s="216"/>
      <c r="W702" s="216"/>
      <c r="X702" s="216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16"/>
      <c r="AN702" s="216"/>
      <c r="AO702" s="216"/>
      <c r="AP702" s="216"/>
      <c r="AQ702" s="216"/>
      <c r="AR702" s="216"/>
      <c r="AS702" s="216"/>
      <c r="AT702" s="216"/>
      <c r="AU702" s="216"/>
      <c r="AV702" s="216"/>
      <c r="AW702" s="216"/>
      <c r="AX702" s="216"/>
      <c r="AY702" s="216"/>
      <c r="AZ702" s="216"/>
      <c r="BA702" s="216"/>
      <c r="BB702" s="216"/>
      <c r="BC702" s="216"/>
      <c r="BD702" s="216"/>
      <c r="BE702" s="216"/>
      <c r="BF702" s="216"/>
      <c r="BG702" s="216"/>
      <c r="BH702" s="216"/>
      <c r="BI702" s="216"/>
      <c r="BJ702" s="216"/>
      <c r="BK702" s="216"/>
      <c r="BL702" s="216"/>
      <c r="BM702" s="216"/>
      <c r="BN702" s="216"/>
      <c r="BO702" s="216"/>
      <c r="BP702" s="216"/>
      <c r="BQ702" s="216"/>
      <c r="BR702" s="216"/>
    </row>
    <row r="703" spans="1:70" ht="12.75" x14ac:dyDescent="0.2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214"/>
      <c r="L703" s="214"/>
      <c r="M703" s="215"/>
      <c r="N703" s="215"/>
      <c r="O703" s="216"/>
      <c r="P703" s="216"/>
      <c r="Q703" s="216"/>
      <c r="R703" s="216"/>
      <c r="S703" s="216"/>
      <c r="T703" s="216"/>
      <c r="U703" s="216"/>
      <c r="V703" s="216"/>
      <c r="W703" s="216"/>
      <c r="X703" s="216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16"/>
      <c r="AN703" s="216"/>
      <c r="AO703" s="216"/>
      <c r="AP703" s="216"/>
      <c r="AQ703" s="216"/>
      <c r="AR703" s="216"/>
      <c r="AS703" s="216"/>
      <c r="AT703" s="216"/>
      <c r="AU703" s="216"/>
      <c r="AV703" s="216"/>
      <c r="AW703" s="216"/>
      <c r="AX703" s="216"/>
      <c r="AY703" s="216"/>
      <c r="AZ703" s="216"/>
      <c r="BA703" s="216"/>
      <c r="BB703" s="216"/>
      <c r="BC703" s="216"/>
      <c r="BD703" s="216"/>
      <c r="BE703" s="216"/>
      <c r="BF703" s="216"/>
      <c r="BG703" s="216"/>
      <c r="BH703" s="216"/>
      <c r="BI703" s="216"/>
      <c r="BJ703" s="216"/>
      <c r="BK703" s="216"/>
      <c r="BL703" s="216"/>
      <c r="BM703" s="216"/>
      <c r="BN703" s="216"/>
      <c r="BO703" s="216"/>
      <c r="BP703" s="216"/>
      <c r="BQ703" s="216"/>
      <c r="BR703" s="216"/>
    </row>
    <row r="704" spans="1:70" ht="12.75" x14ac:dyDescent="0.2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214"/>
      <c r="L704" s="214"/>
      <c r="M704" s="215"/>
      <c r="N704" s="215"/>
      <c r="O704" s="216"/>
      <c r="P704" s="216"/>
      <c r="Q704" s="216"/>
      <c r="R704" s="216"/>
      <c r="S704" s="216"/>
      <c r="T704" s="216"/>
      <c r="U704" s="216"/>
      <c r="V704" s="216"/>
      <c r="W704" s="216"/>
      <c r="X704" s="216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16"/>
      <c r="AN704" s="216"/>
      <c r="AO704" s="216"/>
      <c r="AP704" s="216"/>
      <c r="AQ704" s="216"/>
      <c r="AR704" s="216"/>
      <c r="AS704" s="216"/>
      <c r="AT704" s="216"/>
      <c r="AU704" s="216"/>
      <c r="AV704" s="216"/>
      <c r="AW704" s="216"/>
      <c r="AX704" s="216"/>
      <c r="AY704" s="216"/>
      <c r="AZ704" s="216"/>
      <c r="BA704" s="216"/>
      <c r="BB704" s="216"/>
      <c r="BC704" s="216"/>
      <c r="BD704" s="216"/>
      <c r="BE704" s="216"/>
      <c r="BF704" s="216"/>
      <c r="BG704" s="216"/>
      <c r="BH704" s="216"/>
      <c r="BI704" s="216"/>
      <c r="BJ704" s="216"/>
      <c r="BK704" s="216"/>
      <c r="BL704" s="216"/>
      <c r="BM704" s="216"/>
      <c r="BN704" s="216"/>
      <c r="BO704" s="216"/>
      <c r="BP704" s="216"/>
      <c r="BQ704" s="216"/>
      <c r="BR704" s="216"/>
    </row>
    <row r="705" spans="1:70" ht="12.75" x14ac:dyDescent="0.2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214"/>
      <c r="L705" s="214"/>
      <c r="M705" s="215"/>
      <c r="N705" s="215"/>
      <c r="O705" s="216"/>
      <c r="P705" s="216"/>
      <c r="Q705" s="216"/>
      <c r="R705" s="216"/>
      <c r="S705" s="216"/>
      <c r="T705" s="216"/>
      <c r="U705" s="216"/>
      <c r="V705" s="216"/>
      <c r="W705" s="216"/>
      <c r="X705" s="216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16"/>
      <c r="AN705" s="216"/>
      <c r="AO705" s="216"/>
      <c r="AP705" s="216"/>
      <c r="AQ705" s="216"/>
      <c r="AR705" s="216"/>
      <c r="AS705" s="216"/>
      <c r="AT705" s="216"/>
      <c r="AU705" s="216"/>
      <c r="AV705" s="216"/>
      <c r="AW705" s="216"/>
      <c r="AX705" s="216"/>
      <c r="AY705" s="216"/>
      <c r="AZ705" s="216"/>
      <c r="BA705" s="216"/>
      <c r="BB705" s="216"/>
      <c r="BC705" s="216"/>
      <c r="BD705" s="216"/>
      <c r="BE705" s="216"/>
      <c r="BF705" s="216"/>
      <c r="BG705" s="216"/>
      <c r="BH705" s="216"/>
      <c r="BI705" s="216"/>
      <c r="BJ705" s="216"/>
      <c r="BK705" s="216"/>
      <c r="BL705" s="216"/>
      <c r="BM705" s="216"/>
      <c r="BN705" s="216"/>
      <c r="BO705" s="216"/>
      <c r="BP705" s="216"/>
      <c r="BQ705" s="216"/>
      <c r="BR705" s="216"/>
    </row>
    <row r="706" spans="1:70" ht="12.75" x14ac:dyDescent="0.2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214"/>
      <c r="L706" s="214"/>
      <c r="M706" s="215"/>
      <c r="N706" s="215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6"/>
      <c r="BN706" s="216"/>
      <c r="BO706" s="216"/>
      <c r="BP706" s="216"/>
      <c r="BQ706" s="216"/>
      <c r="BR706" s="216"/>
    </row>
    <row r="707" spans="1:70" ht="12.75" x14ac:dyDescent="0.2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214"/>
      <c r="L707" s="214"/>
      <c r="M707" s="215"/>
      <c r="N707" s="215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6"/>
      <c r="BN707" s="216"/>
      <c r="BO707" s="216"/>
      <c r="BP707" s="216"/>
      <c r="BQ707" s="216"/>
      <c r="BR707" s="216"/>
    </row>
    <row r="708" spans="1:70" ht="12.75" x14ac:dyDescent="0.2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214"/>
      <c r="L708" s="214"/>
      <c r="M708" s="215"/>
      <c r="N708" s="215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16"/>
      <c r="BN708" s="216"/>
      <c r="BO708" s="216"/>
      <c r="BP708" s="216"/>
      <c r="BQ708" s="216"/>
      <c r="BR708" s="216"/>
    </row>
    <row r="709" spans="1:70" ht="12.75" x14ac:dyDescent="0.2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214"/>
      <c r="L709" s="214"/>
      <c r="M709" s="215"/>
      <c r="N709" s="215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16"/>
      <c r="BN709" s="216"/>
      <c r="BO709" s="216"/>
      <c r="BP709" s="216"/>
      <c r="BQ709" s="216"/>
      <c r="BR709" s="216"/>
    </row>
    <row r="710" spans="1:70" ht="12.75" x14ac:dyDescent="0.2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214"/>
      <c r="L710" s="214"/>
      <c r="M710" s="215"/>
      <c r="N710" s="215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16"/>
      <c r="BN710" s="216"/>
      <c r="BO710" s="216"/>
      <c r="BP710" s="216"/>
      <c r="BQ710" s="216"/>
      <c r="BR710" s="216"/>
    </row>
    <row r="711" spans="1:70" ht="12.75" x14ac:dyDescent="0.2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214"/>
      <c r="L711" s="214"/>
      <c r="M711" s="215"/>
      <c r="N711" s="215"/>
      <c r="O711" s="216"/>
      <c r="P711" s="216"/>
      <c r="Q711" s="216"/>
      <c r="R711" s="216"/>
      <c r="S711" s="216"/>
      <c r="T711" s="216"/>
      <c r="U711" s="216"/>
      <c r="V711" s="216"/>
      <c r="W711" s="216"/>
      <c r="X711" s="216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16"/>
      <c r="AN711" s="216"/>
      <c r="AO711" s="216"/>
      <c r="AP711" s="216"/>
      <c r="AQ711" s="216"/>
      <c r="AR711" s="216"/>
      <c r="AS711" s="216"/>
      <c r="AT711" s="216"/>
      <c r="AU711" s="216"/>
      <c r="AV711" s="216"/>
      <c r="AW711" s="216"/>
      <c r="AX711" s="216"/>
      <c r="AY711" s="216"/>
      <c r="AZ711" s="216"/>
      <c r="BA711" s="216"/>
      <c r="BB711" s="216"/>
      <c r="BC711" s="216"/>
      <c r="BD711" s="216"/>
      <c r="BE711" s="216"/>
      <c r="BF711" s="216"/>
      <c r="BG711" s="216"/>
      <c r="BH711" s="216"/>
      <c r="BI711" s="216"/>
      <c r="BJ711" s="216"/>
      <c r="BK711" s="216"/>
      <c r="BL711" s="216"/>
      <c r="BM711" s="216"/>
      <c r="BN711" s="216"/>
      <c r="BO711" s="216"/>
      <c r="BP711" s="216"/>
      <c r="BQ711" s="216"/>
      <c r="BR711" s="216"/>
    </row>
    <row r="712" spans="1:70" ht="12.75" x14ac:dyDescent="0.2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214"/>
      <c r="L712" s="214"/>
      <c r="M712" s="215"/>
      <c r="N712" s="215"/>
      <c r="O712" s="216"/>
      <c r="P712" s="216"/>
      <c r="Q712" s="216"/>
      <c r="R712" s="216"/>
      <c r="S712" s="216"/>
      <c r="T712" s="216"/>
      <c r="U712" s="216"/>
      <c r="V712" s="216"/>
      <c r="W712" s="216"/>
      <c r="X712" s="216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16"/>
      <c r="AN712" s="216"/>
      <c r="AO712" s="216"/>
      <c r="AP712" s="216"/>
      <c r="AQ712" s="216"/>
      <c r="AR712" s="216"/>
      <c r="AS712" s="216"/>
      <c r="AT712" s="216"/>
      <c r="AU712" s="216"/>
      <c r="AV712" s="216"/>
      <c r="AW712" s="216"/>
      <c r="AX712" s="216"/>
      <c r="AY712" s="216"/>
      <c r="AZ712" s="216"/>
      <c r="BA712" s="216"/>
      <c r="BB712" s="216"/>
      <c r="BC712" s="216"/>
      <c r="BD712" s="216"/>
      <c r="BE712" s="216"/>
      <c r="BF712" s="216"/>
      <c r="BG712" s="216"/>
      <c r="BH712" s="216"/>
      <c r="BI712" s="216"/>
      <c r="BJ712" s="216"/>
      <c r="BK712" s="216"/>
      <c r="BL712" s="216"/>
      <c r="BM712" s="216"/>
      <c r="BN712" s="216"/>
      <c r="BO712" s="216"/>
      <c r="BP712" s="216"/>
      <c r="BQ712" s="216"/>
      <c r="BR712" s="216"/>
    </row>
    <row r="713" spans="1:70" ht="12.75" x14ac:dyDescent="0.2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214"/>
      <c r="L713" s="214"/>
      <c r="M713" s="215"/>
      <c r="N713" s="215"/>
      <c r="O713" s="216"/>
      <c r="P713" s="216"/>
      <c r="Q713" s="216"/>
      <c r="R713" s="216"/>
      <c r="S713" s="216"/>
      <c r="T713" s="216"/>
      <c r="U713" s="216"/>
      <c r="V713" s="216"/>
      <c r="W713" s="216"/>
      <c r="X713" s="216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  <c r="AM713" s="216"/>
      <c r="AN713" s="216"/>
      <c r="AO713" s="216"/>
      <c r="AP713" s="216"/>
      <c r="AQ713" s="216"/>
      <c r="AR713" s="216"/>
      <c r="AS713" s="216"/>
      <c r="AT713" s="216"/>
      <c r="AU713" s="216"/>
      <c r="AV713" s="216"/>
      <c r="AW713" s="216"/>
      <c r="AX713" s="216"/>
      <c r="AY713" s="216"/>
      <c r="AZ713" s="216"/>
      <c r="BA713" s="216"/>
      <c r="BB713" s="216"/>
      <c r="BC713" s="216"/>
      <c r="BD713" s="216"/>
      <c r="BE713" s="216"/>
      <c r="BF713" s="216"/>
      <c r="BG713" s="216"/>
      <c r="BH713" s="216"/>
      <c r="BI713" s="216"/>
      <c r="BJ713" s="216"/>
      <c r="BK713" s="216"/>
      <c r="BL713" s="216"/>
      <c r="BM713" s="216"/>
      <c r="BN713" s="216"/>
      <c r="BO713" s="216"/>
      <c r="BP713" s="216"/>
      <c r="BQ713" s="216"/>
      <c r="BR713" s="216"/>
    </row>
    <row r="714" spans="1:70" ht="12.75" x14ac:dyDescent="0.2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214"/>
      <c r="L714" s="214"/>
      <c r="M714" s="215"/>
      <c r="N714" s="215"/>
      <c r="O714" s="216"/>
      <c r="P714" s="216"/>
      <c r="Q714" s="216"/>
      <c r="R714" s="216"/>
      <c r="S714" s="216"/>
      <c r="T714" s="216"/>
      <c r="U714" s="216"/>
      <c r="V714" s="216"/>
      <c r="W714" s="216"/>
      <c r="X714" s="216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  <c r="AM714" s="216"/>
      <c r="AN714" s="216"/>
      <c r="AO714" s="216"/>
      <c r="AP714" s="216"/>
      <c r="AQ714" s="216"/>
      <c r="AR714" s="216"/>
      <c r="AS714" s="216"/>
      <c r="AT714" s="216"/>
      <c r="AU714" s="216"/>
      <c r="AV714" s="216"/>
      <c r="AW714" s="216"/>
      <c r="AX714" s="216"/>
      <c r="AY714" s="216"/>
      <c r="AZ714" s="216"/>
      <c r="BA714" s="216"/>
      <c r="BB714" s="216"/>
      <c r="BC714" s="216"/>
      <c r="BD714" s="216"/>
      <c r="BE714" s="216"/>
      <c r="BF714" s="216"/>
      <c r="BG714" s="216"/>
      <c r="BH714" s="216"/>
      <c r="BI714" s="216"/>
      <c r="BJ714" s="216"/>
      <c r="BK714" s="216"/>
      <c r="BL714" s="216"/>
      <c r="BM714" s="216"/>
      <c r="BN714" s="216"/>
      <c r="BO714" s="216"/>
      <c r="BP714" s="216"/>
      <c r="BQ714" s="216"/>
      <c r="BR714" s="216"/>
    </row>
    <row r="715" spans="1:70" ht="12.75" x14ac:dyDescent="0.2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214"/>
      <c r="L715" s="214"/>
      <c r="M715" s="215"/>
      <c r="N715" s="215"/>
      <c r="O715" s="216"/>
      <c r="P715" s="216"/>
      <c r="Q715" s="216"/>
      <c r="R715" s="216"/>
      <c r="S715" s="216"/>
      <c r="T715" s="216"/>
      <c r="U715" s="216"/>
      <c r="V715" s="216"/>
      <c r="W715" s="216"/>
      <c r="X715" s="216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  <c r="AM715" s="216"/>
      <c r="AN715" s="216"/>
      <c r="AO715" s="216"/>
      <c r="AP715" s="216"/>
      <c r="AQ715" s="216"/>
      <c r="AR715" s="216"/>
      <c r="AS715" s="216"/>
      <c r="AT715" s="216"/>
      <c r="AU715" s="216"/>
      <c r="AV715" s="216"/>
      <c r="AW715" s="216"/>
      <c r="AX715" s="216"/>
      <c r="AY715" s="216"/>
      <c r="AZ715" s="216"/>
      <c r="BA715" s="216"/>
      <c r="BB715" s="216"/>
      <c r="BC715" s="216"/>
      <c r="BD715" s="216"/>
      <c r="BE715" s="216"/>
      <c r="BF715" s="216"/>
      <c r="BG715" s="216"/>
      <c r="BH715" s="216"/>
      <c r="BI715" s="216"/>
      <c r="BJ715" s="216"/>
      <c r="BK715" s="216"/>
      <c r="BL715" s="216"/>
      <c r="BM715" s="216"/>
      <c r="BN715" s="216"/>
      <c r="BO715" s="216"/>
      <c r="BP715" s="216"/>
      <c r="BQ715" s="216"/>
      <c r="BR715" s="216"/>
    </row>
    <row r="716" spans="1:70" ht="12.75" x14ac:dyDescent="0.2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214"/>
      <c r="L716" s="214"/>
      <c r="M716" s="215"/>
      <c r="N716" s="215"/>
      <c r="O716" s="216"/>
      <c r="P716" s="216"/>
      <c r="Q716" s="216"/>
      <c r="R716" s="216"/>
      <c r="S716" s="216"/>
      <c r="T716" s="216"/>
      <c r="U716" s="216"/>
      <c r="V716" s="216"/>
      <c r="W716" s="216"/>
      <c r="X716" s="216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  <c r="AM716" s="216"/>
      <c r="AN716" s="216"/>
      <c r="AO716" s="216"/>
      <c r="AP716" s="216"/>
      <c r="AQ716" s="216"/>
      <c r="AR716" s="216"/>
      <c r="AS716" s="216"/>
      <c r="AT716" s="216"/>
      <c r="AU716" s="216"/>
      <c r="AV716" s="216"/>
      <c r="AW716" s="216"/>
      <c r="AX716" s="216"/>
      <c r="AY716" s="216"/>
      <c r="AZ716" s="216"/>
      <c r="BA716" s="216"/>
      <c r="BB716" s="216"/>
      <c r="BC716" s="216"/>
      <c r="BD716" s="216"/>
      <c r="BE716" s="216"/>
      <c r="BF716" s="216"/>
      <c r="BG716" s="216"/>
      <c r="BH716" s="216"/>
      <c r="BI716" s="216"/>
      <c r="BJ716" s="216"/>
      <c r="BK716" s="216"/>
      <c r="BL716" s="216"/>
      <c r="BM716" s="216"/>
      <c r="BN716" s="216"/>
      <c r="BO716" s="216"/>
      <c r="BP716" s="216"/>
      <c r="BQ716" s="216"/>
      <c r="BR716" s="216"/>
    </row>
    <row r="717" spans="1:70" ht="12.75" x14ac:dyDescent="0.2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214"/>
      <c r="L717" s="214"/>
      <c r="M717" s="215"/>
      <c r="N717" s="215"/>
      <c r="O717" s="216"/>
      <c r="P717" s="216"/>
      <c r="Q717" s="216"/>
      <c r="R717" s="216"/>
      <c r="S717" s="216"/>
      <c r="T717" s="216"/>
      <c r="U717" s="216"/>
      <c r="V717" s="216"/>
      <c r="W717" s="216"/>
      <c r="X717" s="216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16"/>
      <c r="AN717" s="216"/>
      <c r="AO717" s="216"/>
      <c r="AP717" s="216"/>
      <c r="AQ717" s="216"/>
      <c r="AR717" s="216"/>
      <c r="AS717" s="216"/>
      <c r="AT717" s="216"/>
      <c r="AU717" s="216"/>
      <c r="AV717" s="216"/>
      <c r="AW717" s="216"/>
      <c r="AX717" s="216"/>
      <c r="AY717" s="216"/>
      <c r="AZ717" s="216"/>
      <c r="BA717" s="216"/>
      <c r="BB717" s="216"/>
      <c r="BC717" s="216"/>
      <c r="BD717" s="216"/>
      <c r="BE717" s="216"/>
      <c r="BF717" s="216"/>
      <c r="BG717" s="216"/>
      <c r="BH717" s="216"/>
      <c r="BI717" s="216"/>
      <c r="BJ717" s="216"/>
      <c r="BK717" s="216"/>
      <c r="BL717" s="216"/>
      <c r="BM717" s="216"/>
      <c r="BN717" s="216"/>
      <c r="BO717" s="216"/>
      <c r="BP717" s="216"/>
      <c r="BQ717" s="216"/>
      <c r="BR717" s="216"/>
    </row>
    <row r="718" spans="1:70" ht="12.75" x14ac:dyDescent="0.2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214"/>
      <c r="L718" s="214"/>
      <c r="M718" s="215"/>
      <c r="N718" s="215"/>
      <c r="O718" s="216"/>
      <c r="P718" s="216"/>
      <c r="Q718" s="216"/>
      <c r="R718" s="216"/>
      <c r="S718" s="216"/>
      <c r="T718" s="216"/>
      <c r="U718" s="216"/>
      <c r="V718" s="216"/>
      <c r="W718" s="216"/>
      <c r="X718" s="216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16"/>
      <c r="AN718" s="216"/>
      <c r="AO718" s="216"/>
      <c r="AP718" s="216"/>
      <c r="AQ718" s="216"/>
      <c r="AR718" s="216"/>
      <c r="AS718" s="216"/>
      <c r="AT718" s="216"/>
      <c r="AU718" s="216"/>
      <c r="AV718" s="216"/>
      <c r="AW718" s="216"/>
      <c r="AX718" s="216"/>
      <c r="AY718" s="216"/>
      <c r="AZ718" s="216"/>
      <c r="BA718" s="216"/>
      <c r="BB718" s="216"/>
      <c r="BC718" s="216"/>
      <c r="BD718" s="216"/>
      <c r="BE718" s="216"/>
      <c r="BF718" s="216"/>
      <c r="BG718" s="216"/>
      <c r="BH718" s="216"/>
      <c r="BI718" s="216"/>
      <c r="BJ718" s="216"/>
      <c r="BK718" s="216"/>
      <c r="BL718" s="216"/>
      <c r="BM718" s="216"/>
      <c r="BN718" s="216"/>
      <c r="BO718" s="216"/>
      <c r="BP718" s="216"/>
      <c r="BQ718" s="216"/>
      <c r="BR718" s="216"/>
    </row>
    <row r="719" spans="1:70" ht="12.75" x14ac:dyDescent="0.2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214"/>
      <c r="L719" s="214"/>
      <c r="M719" s="215"/>
      <c r="N719" s="215"/>
      <c r="O719" s="216"/>
      <c r="P719" s="216"/>
      <c r="Q719" s="216"/>
      <c r="R719" s="216"/>
      <c r="S719" s="216"/>
      <c r="T719" s="216"/>
      <c r="U719" s="216"/>
      <c r="V719" s="216"/>
      <c r="W719" s="216"/>
      <c r="X719" s="216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16"/>
      <c r="AN719" s="216"/>
      <c r="AO719" s="216"/>
      <c r="AP719" s="216"/>
      <c r="AQ719" s="216"/>
      <c r="AR719" s="216"/>
      <c r="AS719" s="216"/>
      <c r="AT719" s="216"/>
      <c r="AU719" s="216"/>
      <c r="AV719" s="216"/>
      <c r="AW719" s="216"/>
      <c r="AX719" s="216"/>
      <c r="AY719" s="216"/>
      <c r="AZ719" s="216"/>
      <c r="BA719" s="216"/>
      <c r="BB719" s="216"/>
      <c r="BC719" s="216"/>
      <c r="BD719" s="216"/>
      <c r="BE719" s="216"/>
      <c r="BF719" s="216"/>
      <c r="BG719" s="216"/>
      <c r="BH719" s="216"/>
      <c r="BI719" s="216"/>
      <c r="BJ719" s="216"/>
      <c r="BK719" s="216"/>
      <c r="BL719" s="216"/>
      <c r="BM719" s="216"/>
      <c r="BN719" s="216"/>
      <c r="BO719" s="216"/>
      <c r="BP719" s="216"/>
      <c r="BQ719" s="216"/>
      <c r="BR719" s="216"/>
    </row>
    <row r="720" spans="1:70" ht="12.75" x14ac:dyDescent="0.2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214"/>
      <c r="L720" s="214"/>
      <c r="M720" s="215"/>
      <c r="N720" s="215"/>
      <c r="O720" s="216"/>
      <c r="P720" s="216"/>
      <c r="Q720" s="216"/>
      <c r="R720" s="216"/>
      <c r="S720" s="216"/>
      <c r="T720" s="216"/>
      <c r="U720" s="216"/>
      <c r="V720" s="216"/>
      <c r="W720" s="216"/>
      <c r="X720" s="216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16"/>
      <c r="AN720" s="216"/>
      <c r="AO720" s="216"/>
      <c r="AP720" s="216"/>
      <c r="AQ720" s="216"/>
      <c r="AR720" s="216"/>
      <c r="AS720" s="216"/>
      <c r="AT720" s="216"/>
      <c r="AU720" s="216"/>
      <c r="AV720" s="216"/>
      <c r="AW720" s="216"/>
      <c r="AX720" s="216"/>
      <c r="AY720" s="216"/>
      <c r="AZ720" s="216"/>
      <c r="BA720" s="216"/>
      <c r="BB720" s="216"/>
      <c r="BC720" s="216"/>
      <c r="BD720" s="216"/>
      <c r="BE720" s="216"/>
      <c r="BF720" s="216"/>
      <c r="BG720" s="216"/>
      <c r="BH720" s="216"/>
      <c r="BI720" s="216"/>
      <c r="BJ720" s="216"/>
      <c r="BK720" s="216"/>
      <c r="BL720" s="216"/>
      <c r="BM720" s="216"/>
      <c r="BN720" s="216"/>
      <c r="BO720" s="216"/>
      <c r="BP720" s="216"/>
      <c r="BQ720" s="216"/>
      <c r="BR720" s="216"/>
    </row>
    <row r="721" spans="1:70" ht="12.75" x14ac:dyDescent="0.2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214"/>
      <c r="L721" s="214"/>
      <c r="M721" s="215"/>
      <c r="N721" s="215"/>
      <c r="O721" s="216"/>
      <c r="P721" s="216"/>
      <c r="Q721" s="216"/>
      <c r="R721" s="216"/>
      <c r="S721" s="216"/>
      <c r="T721" s="216"/>
      <c r="U721" s="216"/>
      <c r="V721" s="216"/>
      <c r="W721" s="216"/>
      <c r="X721" s="216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16"/>
      <c r="AN721" s="216"/>
      <c r="AO721" s="216"/>
      <c r="AP721" s="216"/>
      <c r="AQ721" s="216"/>
      <c r="AR721" s="216"/>
      <c r="AS721" s="216"/>
      <c r="AT721" s="216"/>
      <c r="AU721" s="216"/>
      <c r="AV721" s="216"/>
      <c r="AW721" s="216"/>
      <c r="AX721" s="216"/>
      <c r="AY721" s="216"/>
      <c r="AZ721" s="216"/>
      <c r="BA721" s="216"/>
      <c r="BB721" s="216"/>
      <c r="BC721" s="216"/>
      <c r="BD721" s="216"/>
      <c r="BE721" s="216"/>
      <c r="BF721" s="216"/>
      <c r="BG721" s="216"/>
      <c r="BH721" s="216"/>
      <c r="BI721" s="216"/>
      <c r="BJ721" s="216"/>
      <c r="BK721" s="216"/>
      <c r="BL721" s="216"/>
      <c r="BM721" s="216"/>
      <c r="BN721" s="216"/>
      <c r="BO721" s="216"/>
      <c r="BP721" s="216"/>
      <c r="BQ721" s="216"/>
      <c r="BR721" s="216"/>
    </row>
    <row r="722" spans="1:70" ht="12.75" x14ac:dyDescent="0.2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214"/>
      <c r="L722" s="214"/>
      <c r="M722" s="215"/>
      <c r="N722" s="215"/>
      <c r="O722" s="216"/>
      <c r="P722" s="216"/>
      <c r="Q722" s="216"/>
      <c r="R722" s="216"/>
      <c r="S722" s="216"/>
      <c r="T722" s="216"/>
      <c r="U722" s="216"/>
      <c r="V722" s="216"/>
      <c r="W722" s="216"/>
      <c r="X722" s="216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16"/>
      <c r="AN722" s="216"/>
      <c r="AO722" s="216"/>
      <c r="AP722" s="216"/>
      <c r="AQ722" s="216"/>
      <c r="AR722" s="216"/>
      <c r="AS722" s="216"/>
      <c r="AT722" s="216"/>
      <c r="AU722" s="216"/>
      <c r="AV722" s="216"/>
      <c r="AW722" s="216"/>
      <c r="AX722" s="216"/>
      <c r="AY722" s="216"/>
      <c r="AZ722" s="216"/>
      <c r="BA722" s="216"/>
      <c r="BB722" s="216"/>
      <c r="BC722" s="216"/>
      <c r="BD722" s="216"/>
      <c r="BE722" s="216"/>
      <c r="BF722" s="216"/>
      <c r="BG722" s="216"/>
      <c r="BH722" s="216"/>
      <c r="BI722" s="216"/>
      <c r="BJ722" s="216"/>
      <c r="BK722" s="216"/>
      <c r="BL722" s="216"/>
      <c r="BM722" s="216"/>
      <c r="BN722" s="216"/>
      <c r="BO722" s="216"/>
      <c r="BP722" s="216"/>
      <c r="BQ722" s="216"/>
      <c r="BR722" s="216"/>
    </row>
    <row r="723" spans="1:70" ht="12.75" x14ac:dyDescent="0.2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214"/>
      <c r="L723" s="214"/>
      <c r="M723" s="215"/>
      <c r="N723" s="215"/>
      <c r="O723" s="216"/>
      <c r="P723" s="216"/>
      <c r="Q723" s="216"/>
      <c r="R723" s="216"/>
      <c r="S723" s="216"/>
      <c r="T723" s="216"/>
      <c r="U723" s="216"/>
      <c r="V723" s="216"/>
      <c r="W723" s="216"/>
      <c r="X723" s="216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16"/>
      <c r="AN723" s="216"/>
      <c r="AO723" s="216"/>
      <c r="AP723" s="216"/>
      <c r="AQ723" s="216"/>
      <c r="AR723" s="216"/>
      <c r="AS723" s="216"/>
      <c r="AT723" s="216"/>
      <c r="AU723" s="216"/>
      <c r="AV723" s="216"/>
      <c r="AW723" s="216"/>
      <c r="AX723" s="216"/>
      <c r="AY723" s="216"/>
      <c r="AZ723" s="216"/>
      <c r="BA723" s="216"/>
      <c r="BB723" s="216"/>
      <c r="BC723" s="216"/>
      <c r="BD723" s="216"/>
      <c r="BE723" s="216"/>
      <c r="BF723" s="216"/>
      <c r="BG723" s="216"/>
      <c r="BH723" s="216"/>
      <c r="BI723" s="216"/>
      <c r="BJ723" s="216"/>
      <c r="BK723" s="216"/>
      <c r="BL723" s="216"/>
      <c r="BM723" s="216"/>
      <c r="BN723" s="216"/>
      <c r="BO723" s="216"/>
      <c r="BP723" s="216"/>
      <c r="BQ723" s="216"/>
      <c r="BR723" s="216"/>
    </row>
    <row r="724" spans="1:70" ht="12.75" x14ac:dyDescent="0.2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214"/>
      <c r="L724" s="214"/>
      <c r="M724" s="215"/>
      <c r="N724" s="215"/>
      <c r="O724" s="216"/>
      <c r="P724" s="216"/>
      <c r="Q724" s="216"/>
      <c r="R724" s="216"/>
      <c r="S724" s="216"/>
      <c r="T724" s="216"/>
      <c r="U724" s="216"/>
      <c r="V724" s="216"/>
      <c r="W724" s="216"/>
      <c r="X724" s="216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16"/>
      <c r="AN724" s="216"/>
      <c r="AO724" s="216"/>
      <c r="AP724" s="216"/>
      <c r="AQ724" s="216"/>
      <c r="AR724" s="216"/>
      <c r="AS724" s="216"/>
      <c r="AT724" s="216"/>
      <c r="AU724" s="216"/>
      <c r="AV724" s="216"/>
      <c r="AW724" s="216"/>
      <c r="AX724" s="216"/>
      <c r="AY724" s="216"/>
      <c r="AZ724" s="216"/>
      <c r="BA724" s="216"/>
      <c r="BB724" s="216"/>
      <c r="BC724" s="216"/>
      <c r="BD724" s="216"/>
      <c r="BE724" s="216"/>
      <c r="BF724" s="216"/>
      <c r="BG724" s="216"/>
      <c r="BH724" s="216"/>
      <c r="BI724" s="216"/>
      <c r="BJ724" s="216"/>
      <c r="BK724" s="216"/>
      <c r="BL724" s="216"/>
      <c r="BM724" s="216"/>
      <c r="BN724" s="216"/>
      <c r="BO724" s="216"/>
      <c r="BP724" s="216"/>
      <c r="BQ724" s="216"/>
      <c r="BR724" s="216"/>
    </row>
    <row r="725" spans="1:70" ht="12.75" x14ac:dyDescent="0.2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214"/>
      <c r="L725" s="214"/>
      <c r="M725" s="215"/>
      <c r="N725" s="215"/>
      <c r="O725" s="216"/>
      <c r="P725" s="216"/>
      <c r="Q725" s="216"/>
      <c r="R725" s="216"/>
      <c r="S725" s="216"/>
      <c r="T725" s="216"/>
      <c r="U725" s="216"/>
      <c r="V725" s="216"/>
      <c r="W725" s="216"/>
      <c r="X725" s="216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16"/>
      <c r="AN725" s="216"/>
      <c r="AO725" s="216"/>
      <c r="AP725" s="216"/>
      <c r="AQ725" s="216"/>
      <c r="AR725" s="216"/>
      <c r="AS725" s="216"/>
      <c r="AT725" s="216"/>
      <c r="AU725" s="216"/>
      <c r="AV725" s="216"/>
      <c r="AW725" s="216"/>
      <c r="AX725" s="216"/>
      <c r="AY725" s="216"/>
      <c r="AZ725" s="216"/>
      <c r="BA725" s="216"/>
      <c r="BB725" s="216"/>
      <c r="BC725" s="216"/>
      <c r="BD725" s="216"/>
      <c r="BE725" s="216"/>
      <c r="BF725" s="216"/>
      <c r="BG725" s="216"/>
      <c r="BH725" s="216"/>
      <c r="BI725" s="216"/>
      <c r="BJ725" s="216"/>
      <c r="BK725" s="216"/>
      <c r="BL725" s="216"/>
      <c r="BM725" s="216"/>
      <c r="BN725" s="216"/>
      <c r="BO725" s="216"/>
      <c r="BP725" s="216"/>
      <c r="BQ725" s="216"/>
      <c r="BR725" s="216"/>
    </row>
    <row r="726" spans="1:70" ht="12.75" x14ac:dyDescent="0.2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214"/>
      <c r="L726" s="214"/>
      <c r="M726" s="215"/>
      <c r="N726" s="215"/>
      <c r="O726" s="216"/>
      <c r="P726" s="216"/>
      <c r="Q726" s="216"/>
      <c r="R726" s="216"/>
      <c r="S726" s="216"/>
      <c r="T726" s="216"/>
      <c r="U726" s="216"/>
      <c r="V726" s="216"/>
      <c r="W726" s="216"/>
      <c r="X726" s="216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16"/>
      <c r="AN726" s="216"/>
      <c r="AO726" s="216"/>
      <c r="AP726" s="216"/>
      <c r="AQ726" s="216"/>
      <c r="AR726" s="216"/>
      <c r="AS726" s="216"/>
      <c r="AT726" s="216"/>
      <c r="AU726" s="216"/>
      <c r="AV726" s="216"/>
      <c r="AW726" s="216"/>
      <c r="AX726" s="216"/>
      <c r="AY726" s="216"/>
      <c r="AZ726" s="216"/>
      <c r="BA726" s="216"/>
      <c r="BB726" s="216"/>
      <c r="BC726" s="216"/>
      <c r="BD726" s="216"/>
      <c r="BE726" s="216"/>
      <c r="BF726" s="216"/>
      <c r="BG726" s="216"/>
      <c r="BH726" s="216"/>
      <c r="BI726" s="216"/>
      <c r="BJ726" s="216"/>
      <c r="BK726" s="216"/>
      <c r="BL726" s="216"/>
      <c r="BM726" s="216"/>
      <c r="BN726" s="216"/>
      <c r="BO726" s="216"/>
      <c r="BP726" s="216"/>
      <c r="BQ726" s="216"/>
      <c r="BR726" s="216"/>
    </row>
    <row r="727" spans="1:70" ht="12.75" x14ac:dyDescent="0.2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214"/>
      <c r="L727" s="214"/>
      <c r="M727" s="215"/>
      <c r="N727" s="215"/>
      <c r="O727" s="216"/>
      <c r="P727" s="216"/>
      <c r="Q727" s="216"/>
      <c r="R727" s="216"/>
      <c r="S727" s="216"/>
      <c r="T727" s="216"/>
      <c r="U727" s="216"/>
      <c r="V727" s="216"/>
      <c r="W727" s="216"/>
      <c r="X727" s="216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  <c r="AM727" s="216"/>
      <c r="AN727" s="216"/>
      <c r="AO727" s="216"/>
      <c r="AP727" s="216"/>
      <c r="AQ727" s="216"/>
      <c r="AR727" s="216"/>
      <c r="AS727" s="216"/>
      <c r="AT727" s="216"/>
      <c r="AU727" s="216"/>
      <c r="AV727" s="216"/>
      <c r="AW727" s="216"/>
      <c r="AX727" s="216"/>
      <c r="AY727" s="216"/>
      <c r="AZ727" s="216"/>
      <c r="BA727" s="216"/>
      <c r="BB727" s="216"/>
      <c r="BC727" s="216"/>
      <c r="BD727" s="216"/>
      <c r="BE727" s="216"/>
      <c r="BF727" s="216"/>
      <c r="BG727" s="216"/>
      <c r="BH727" s="216"/>
      <c r="BI727" s="216"/>
      <c r="BJ727" s="216"/>
      <c r="BK727" s="216"/>
      <c r="BL727" s="216"/>
      <c r="BM727" s="216"/>
      <c r="BN727" s="216"/>
      <c r="BO727" s="216"/>
      <c r="BP727" s="216"/>
      <c r="BQ727" s="216"/>
      <c r="BR727" s="216"/>
    </row>
    <row r="728" spans="1:70" ht="12.75" x14ac:dyDescent="0.2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214"/>
      <c r="L728" s="214"/>
      <c r="M728" s="215"/>
      <c r="N728" s="215"/>
      <c r="O728" s="216"/>
      <c r="P728" s="216"/>
      <c r="Q728" s="216"/>
      <c r="R728" s="216"/>
      <c r="S728" s="216"/>
      <c r="T728" s="216"/>
      <c r="U728" s="216"/>
      <c r="V728" s="216"/>
      <c r="W728" s="216"/>
      <c r="X728" s="216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  <c r="AM728" s="216"/>
      <c r="AN728" s="216"/>
      <c r="AO728" s="216"/>
      <c r="AP728" s="216"/>
      <c r="AQ728" s="216"/>
      <c r="AR728" s="216"/>
      <c r="AS728" s="216"/>
      <c r="AT728" s="216"/>
      <c r="AU728" s="216"/>
      <c r="AV728" s="216"/>
      <c r="AW728" s="216"/>
      <c r="AX728" s="216"/>
      <c r="AY728" s="216"/>
      <c r="AZ728" s="216"/>
      <c r="BA728" s="216"/>
      <c r="BB728" s="216"/>
      <c r="BC728" s="216"/>
      <c r="BD728" s="216"/>
      <c r="BE728" s="216"/>
      <c r="BF728" s="216"/>
      <c r="BG728" s="216"/>
      <c r="BH728" s="216"/>
      <c r="BI728" s="216"/>
      <c r="BJ728" s="216"/>
      <c r="BK728" s="216"/>
      <c r="BL728" s="216"/>
      <c r="BM728" s="216"/>
      <c r="BN728" s="216"/>
      <c r="BO728" s="216"/>
      <c r="BP728" s="216"/>
      <c r="BQ728" s="216"/>
      <c r="BR728" s="216"/>
    </row>
    <row r="729" spans="1:70" ht="12.75" x14ac:dyDescent="0.2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214"/>
      <c r="L729" s="214"/>
      <c r="M729" s="215"/>
      <c r="N729" s="215"/>
      <c r="O729" s="216"/>
      <c r="P729" s="216"/>
      <c r="Q729" s="216"/>
      <c r="R729" s="216"/>
      <c r="S729" s="216"/>
      <c r="T729" s="216"/>
      <c r="U729" s="216"/>
      <c r="V729" s="216"/>
      <c r="W729" s="216"/>
      <c r="X729" s="216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  <c r="AM729" s="216"/>
      <c r="AN729" s="216"/>
      <c r="AO729" s="216"/>
      <c r="AP729" s="216"/>
      <c r="AQ729" s="216"/>
      <c r="AR729" s="216"/>
      <c r="AS729" s="216"/>
      <c r="AT729" s="216"/>
      <c r="AU729" s="216"/>
      <c r="AV729" s="216"/>
      <c r="AW729" s="216"/>
      <c r="AX729" s="216"/>
      <c r="AY729" s="216"/>
      <c r="AZ729" s="216"/>
      <c r="BA729" s="216"/>
      <c r="BB729" s="216"/>
      <c r="BC729" s="216"/>
      <c r="BD729" s="216"/>
      <c r="BE729" s="216"/>
      <c r="BF729" s="216"/>
      <c r="BG729" s="216"/>
      <c r="BH729" s="216"/>
      <c r="BI729" s="216"/>
      <c r="BJ729" s="216"/>
      <c r="BK729" s="216"/>
      <c r="BL729" s="216"/>
      <c r="BM729" s="216"/>
      <c r="BN729" s="216"/>
      <c r="BO729" s="216"/>
      <c r="BP729" s="216"/>
      <c r="BQ729" s="216"/>
      <c r="BR729" s="216"/>
    </row>
    <row r="730" spans="1:70" ht="12.75" x14ac:dyDescent="0.2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214"/>
      <c r="L730" s="214"/>
      <c r="M730" s="215"/>
      <c r="N730" s="215"/>
      <c r="O730" s="216"/>
      <c r="P730" s="216"/>
      <c r="Q730" s="216"/>
      <c r="R730" s="216"/>
      <c r="S730" s="216"/>
      <c r="T730" s="216"/>
      <c r="U730" s="216"/>
      <c r="V730" s="216"/>
      <c r="W730" s="216"/>
      <c r="X730" s="216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  <c r="AM730" s="216"/>
      <c r="AN730" s="216"/>
      <c r="AO730" s="216"/>
      <c r="AP730" s="216"/>
      <c r="AQ730" s="216"/>
      <c r="AR730" s="216"/>
      <c r="AS730" s="216"/>
      <c r="AT730" s="216"/>
      <c r="AU730" s="216"/>
      <c r="AV730" s="216"/>
      <c r="AW730" s="216"/>
      <c r="AX730" s="216"/>
      <c r="AY730" s="216"/>
      <c r="AZ730" s="216"/>
      <c r="BA730" s="216"/>
      <c r="BB730" s="216"/>
      <c r="BC730" s="216"/>
      <c r="BD730" s="216"/>
      <c r="BE730" s="216"/>
      <c r="BF730" s="216"/>
      <c r="BG730" s="216"/>
      <c r="BH730" s="216"/>
      <c r="BI730" s="216"/>
      <c r="BJ730" s="216"/>
      <c r="BK730" s="216"/>
      <c r="BL730" s="216"/>
      <c r="BM730" s="216"/>
      <c r="BN730" s="216"/>
      <c r="BO730" s="216"/>
      <c r="BP730" s="216"/>
      <c r="BQ730" s="216"/>
      <c r="BR730" s="216"/>
    </row>
    <row r="731" spans="1:70" ht="12.75" x14ac:dyDescent="0.2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214"/>
      <c r="L731" s="214"/>
      <c r="M731" s="215"/>
      <c r="N731" s="215"/>
      <c r="O731" s="216"/>
      <c r="P731" s="216"/>
      <c r="Q731" s="216"/>
      <c r="R731" s="216"/>
      <c r="S731" s="216"/>
      <c r="T731" s="216"/>
      <c r="U731" s="216"/>
      <c r="V731" s="216"/>
      <c r="W731" s="216"/>
      <c r="X731" s="216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  <c r="AM731" s="216"/>
      <c r="AN731" s="216"/>
      <c r="AO731" s="216"/>
      <c r="AP731" s="216"/>
      <c r="AQ731" s="216"/>
      <c r="AR731" s="216"/>
      <c r="AS731" s="216"/>
      <c r="AT731" s="216"/>
      <c r="AU731" s="216"/>
      <c r="AV731" s="216"/>
      <c r="AW731" s="216"/>
      <c r="AX731" s="216"/>
      <c r="AY731" s="216"/>
      <c r="AZ731" s="216"/>
      <c r="BA731" s="216"/>
      <c r="BB731" s="216"/>
      <c r="BC731" s="216"/>
      <c r="BD731" s="216"/>
      <c r="BE731" s="216"/>
      <c r="BF731" s="216"/>
      <c r="BG731" s="216"/>
      <c r="BH731" s="216"/>
      <c r="BI731" s="216"/>
      <c r="BJ731" s="216"/>
      <c r="BK731" s="216"/>
      <c r="BL731" s="216"/>
      <c r="BM731" s="216"/>
      <c r="BN731" s="216"/>
      <c r="BO731" s="216"/>
      <c r="BP731" s="216"/>
      <c r="BQ731" s="216"/>
      <c r="BR731" s="216"/>
    </row>
    <row r="732" spans="1:70" ht="12.75" x14ac:dyDescent="0.2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214"/>
      <c r="L732" s="214"/>
      <c r="M732" s="215"/>
      <c r="N732" s="215"/>
      <c r="O732" s="216"/>
      <c r="P732" s="216"/>
      <c r="Q732" s="216"/>
      <c r="R732" s="216"/>
      <c r="S732" s="216"/>
      <c r="T732" s="216"/>
      <c r="U732" s="216"/>
      <c r="V732" s="216"/>
      <c r="W732" s="216"/>
      <c r="X732" s="216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  <c r="AM732" s="216"/>
      <c r="AN732" s="216"/>
      <c r="AO732" s="216"/>
      <c r="AP732" s="216"/>
      <c r="AQ732" s="216"/>
      <c r="AR732" s="216"/>
      <c r="AS732" s="216"/>
      <c r="AT732" s="216"/>
      <c r="AU732" s="216"/>
      <c r="AV732" s="216"/>
      <c r="AW732" s="216"/>
      <c r="AX732" s="216"/>
      <c r="AY732" s="216"/>
      <c r="AZ732" s="216"/>
      <c r="BA732" s="216"/>
      <c r="BB732" s="216"/>
      <c r="BC732" s="216"/>
      <c r="BD732" s="216"/>
      <c r="BE732" s="216"/>
      <c r="BF732" s="216"/>
      <c r="BG732" s="216"/>
      <c r="BH732" s="216"/>
      <c r="BI732" s="216"/>
      <c r="BJ732" s="216"/>
      <c r="BK732" s="216"/>
      <c r="BL732" s="216"/>
      <c r="BM732" s="216"/>
      <c r="BN732" s="216"/>
      <c r="BO732" s="216"/>
      <c r="BP732" s="216"/>
      <c r="BQ732" s="216"/>
      <c r="BR732" s="216"/>
    </row>
    <row r="733" spans="1:70" ht="12.75" x14ac:dyDescent="0.2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214"/>
      <c r="L733" s="214"/>
      <c r="M733" s="215"/>
      <c r="N733" s="215"/>
      <c r="O733" s="216"/>
      <c r="P733" s="216"/>
      <c r="Q733" s="216"/>
      <c r="R733" s="216"/>
      <c r="S733" s="216"/>
      <c r="T733" s="216"/>
      <c r="U733" s="216"/>
      <c r="V733" s="216"/>
      <c r="W733" s="216"/>
      <c r="X733" s="216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  <c r="AM733" s="216"/>
      <c r="AN733" s="216"/>
      <c r="AO733" s="216"/>
      <c r="AP733" s="216"/>
      <c r="AQ733" s="216"/>
      <c r="AR733" s="216"/>
      <c r="AS733" s="216"/>
      <c r="AT733" s="216"/>
      <c r="AU733" s="216"/>
      <c r="AV733" s="216"/>
      <c r="AW733" s="216"/>
      <c r="AX733" s="216"/>
      <c r="AY733" s="216"/>
      <c r="AZ733" s="216"/>
      <c r="BA733" s="216"/>
      <c r="BB733" s="216"/>
      <c r="BC733" s="216"/>
      <c r="BD733" s="216"/>
      <c r="BE733" s="216"/>
      <c r="BF733" s="216"/>
      <c r="BG733" s="216"/>
      <c r="BH733" s="216"/>
      <c r="BI733" s="216"/>
      <c r="BJ733" s="216"/>
      <c r="BK733" s="216"/>
      <c r="BL733" s="216"/>
      <c r="BM733" s="216"/>
      <c r="BN733" s="216"/>
      <c r="BO733" s="216"/>
      <c r="BP733" s="216"/>
      <c r="BQ733" s="216"/>
      <c r="BR733" s="216"/>
    </row>
    <row r="734" spans="1:70" ht="12.75" x14ac:dyDescent="0.2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214"/>
      <c r="L734" s="214"/>
      <c r="M734" s="215"/>
      <c r="N734" s="215"/>
      <c r="O734" s="216"/>
      <c r="P734" s="216"/>
      <c r="Q734" s="216"/>
      <c r="R734" s="216"/>
      <c r="S734" s="216"/>
      <c r="T734" s="216"/>
      <c r="U734" s="216"/>
      <c r="V734" s="216"/>
      <c r="W734" s="216"/>
      <c r="X734" s="216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  <c r="AM734" s="216"/>
      <c r="AN734" s="216"/>
      <c r="AO734" s="216"/>
      <c r="AP734" s="216"/>
      <c r="AQ734" s="216"/>
      <c r="AR734" s="216"/>
      <c r="AS734" s="216"/>
      <c r="AT734" s="216"/>
      <c r="AU734" s="216"/>
      <c r="AV734" s="216"/>
      <c r="AW734" s="216"/>
      <c r="AX734" s="216"/>
      <c r="AY734" s="216"/>
      <c r="AZ734" s="216"/>
      <c r="BA734" s="216"/>
      <c r="BB734" s="216"/>
      <c r="BC734" s="216"/>
      <c r="BD734" s="216"/>
      <c r="BE734" s="216"/>
      <c r="BF734" s="216"/>
      <c r="BG734" s="216"/>
      <c r="BH734" s="216"/>
      <c r="BI734" s="216"/>
      <c r="BJ734" s="216"/>
      <c r="BK734" s="216"/>
      <c r="BL734" s="216"/>
      <c r="BM734" s="216"/>
      <c r="BN734" s="216"/>
      <c r="BO734" s="216"/>
      <c r="BP734" s="216"/>
      <c r="BQ734" s="216"/>
      <c r="BR734" s="216"/>
    </row>
    <row r="735" spans="1:70" ht="12.75" x14ac:dyDescent="0.2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214"/>
      <c r="L735" s="214"/>
      <c r="M735" s="215"/>
      <c r="N735" s="215"/>
      <c r="O735" s="216"/>
      <c r="P735" s="216"/>
      <c r="Q735" s="216"/>
      <c r="R735" s="216"/>
      <c r="S735" s="216"/>
      <c r="T735" s="216"/>
      <c r="U735" s="216"/>
      <c r="V735" s="216"/>
      <c r="W735" s="216"/>
      <c r="X735" s="216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  <c r="AM735" s="216"/>
      <c r="AN735" s="216"/>
      <c r="AO735" s="216"/>
      <c r="AP735" s="216"/>
      <c r="AQ735" s="216"/>
      <c r="AR735" s="216"/>
      <c r="AS735" s="216"/>
      <c r="AT735" s="216"/>
      <c r="AU735" s="216"/>
      <c r="AV735" s="216"/>
      <c r="AW735" s="216"/>
      <c r="AX735" s="216"/>
      <c r="AY735" s="216"/>
      <c r="AZ735" s="216"/>
      <c r="BA735" s="216"/>
      <c r="BB735" s="216"/>
      <c r="BC735" s="216"/>
      <c r="BD735" s="216"/>
      <c r="BE735" s="216"/>
      <c r="BF735" s="216"/>
      <c r="BG735" s="216"/>
      <c r="BH735" s="216"/>
      <c r="BI735" s="216"/>
      <c r="BJ735" s="216"/>
      <c r="BK735" s="216"/>
      <c r="BL735" s="216"/>
      <c r="BM735" s="216"/>
      <c r="BN735" s="216"/>
      <c r="BO735" s="216"/>
      <c r="BP735" s="216"/>
      <c r="BQ735" s="216"/>
      <c r="BR735" s="216"/>
    </row>
    <row r="736" spans="1:70" ht="12.75" x14ac:dyDescent="0.2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214"/>
      <c r="L736" s="214"/>
      <c r="M736" s="215"/>
      <c r="N736" s="215"/>
      <c r="O736" s="216"/>
      <c r="P736" s="216"/>
      <c r="Q736" s="216"/>
      <c r="R736" s="216"/>
      <c r="S736" s="216"/>
      <c r="T736" s="216"/>
      <c r="U736" s="216"/>
      <c r="V736" s="216"/>
      <c r="W736" s="216"/>
      <c r="X736" s="216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  <c r="AM736" s="216"/>
      <c r="AN736" s="216"/>
      <c r="AO736" s="216"/>
      <c r="AP736" s="216"/>
      <c r="AQ736" s="216"/>
      <c r="AR736" s="216"/>
      <c r="AS736" s="216"/>
      <c r="AT736" s="216"/>
      <c r="AU736" s="216"/>
      <c r="AV736" s="216"/>
      <c r="AW736" s="216"/>
      <c r="AX736" s="216"/>
      <c r="AY736" s="216"/>
      <c r="AZ736" s="216"/>
      <c r="BA736" s="216"/>
      <c r="BB736" s="216"/>
      <c r="BC736" s="216"/>
      <c r="BD736" s="216"/>
      <c r="BE736" s="216"/>
      <c r="BF736" s="216"/>
      <c r="BG736" s="216"/>
      <c r="BH736" s="216"/>
      <c r="BI736" s="216"/>
      <c r="BJ736" s="216"/>
      <c r="BK736" s="216"/>
      <c r="BL736" s="216"/>
      <c r="BM736" s="216"/>
      <c r="BN736" s="216"/>
      <c r="BO736" s="216"/>
      <c r="BP736" s="216"/>
      <c r="BQ736" s="216"/>
      <c r="BR736" s="216"/>
    </row>
    <row r="737" spans="1:70" ht="12.75" x14ac:dyDescent="0.2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214"/>
      <c r="L737" s="214"/>
      <c r="M737" s="215"/>
      <c r="N737" s="215"/>
      <c r="O737" s="216"/>
      <c r="P737" s="216"/>
      <c r="Q737" s="216"/>
      <c r="R737" s="216"/>
      <c r="S737" s="216"/>
      <c r="T737" s="216"/>
      <c r="U737" s="216"/>
      <c r="V737" s="216"/>
      <c r="W737" s="216"/>
      <c r="X737" s="216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  <c r="AM737" s="216"/>
      <c r="AN737" s="216"/>
      <c r="AO737" s="216"/>
      <c r="AP737" s="216"/>
      <c r="AQ737" s="216"/>
      <c r="AR737" s="216"/>
      <c r="AS737" s="216"/>
      <c r="AT737" s="216"/>
      <c r="AU737" s="216"/>
      <c r="AV737" s="216"/>
      <c r="AW737" s="216"/>
      <c r="AX737" s="216"/>
      <c r="AY737" s="216"/>
      <c r="AZ737" s="216"/>
      <c r="BA737" s="216"/>
      <c r="BB737" s="216"/>
      <c r="BC737" s="216"/>
      <c r="BD737" s="216"/>
      <c r="BE737" s="216"/>
      <c r="BF737" s="216"/>
      <c r="BG737" s="216"/>
      <c r="BH737" s="216"/>
      <c r="BI737" s="216"/>
      <c r="BJ737" s="216"/>
      <c r="BK737" s="216"/>
      <c r="BL737" s="216"/>
      <c r="BM737" s="216"/>
      <c r="BN737" s="216"/>
      <c r="BO737" s="216"/>
      <c r="BP737" s="216"/>
      <c r="BQ737" s="216"/>
      <c r="BR737" s="216"/>
    </row>
    <row r="738" spans="1:70" ht="12.75" x14ac:dyDescent="0.2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214"/>
      <c r="L738" s="214"/>
      <c r="M738" s="215"/>
      <c r="N738" s="215"/>
      <c r="O738" s="216"/>
      <c r="P738" s="216"/>
      <c r="Q738" s="216"/>
      <c r="R738" s="216"/>
      <c r="S738" s="216"/>
      <c r="T738" s="216"/>
      <c r="U738" s="216"/>
      <c r="V738" s="216"/>
      <c r="W738" s="216"/>
      <c r="X738" s="216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  <c r="AM738" s="216"/>
      <c r="AN738" s="216"/>
      <c r="AO738" s="216"/>
      <c r="AP738" s="216"/>
      <c r="AQ738" s="216"/>
      <c r="AR738" s="216"/>
      <c r="AS738" s="216"/>
      <c r="AT738" s="216"/>
      <c r="AU738" s="216"/>
      <c r="AV738" s="216"/>
      <c r="AW738" s="216"/>
      <c r="AX738" s="216"/>
      <c r="AY738" s="216"/>
      <c r="AZ738" s="216"/>
      <c r="BA738" s="216"/>
      <c r="BB738" s="216"/>
      <c r="BC738" s="216"/>
      <c r="BD738" s="216"/>
      <c r="BE738" s="216"/>
      <c r="BF738" s="216"/>
      <c r="BG738" s="216"/>
      <c r="BH738" s="216"/>
      <c r="BI738" s="216"/>
      <c r="BJ738" s="216"/>
      <c r="BK738" s="216"/>
      <c r="BL738" s="216"/>
      <c r="BM738" s="216"/>
      <c r="BN738" s="216"/>
      <c r="BO738" s="216"/>
      <c r="BP738" s="216"/>
      <c r="BQ738" s="216"/>
      <c r="BR738" s="216"/>
    </row>
    <row r="739" spans="1:70" ht="12.75" x14ac:dyDescent="0.2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214"/>
      <c r="L739" s="214"/>
      <c r="M739" s="215"/>
      <c r="N739" s="215"/>
      <c r="O739" s="216"/>
      <c r="P739" s="216"/>
      <c r="Q739" s="216"/>
      <c r="R739" s="216"/>
      <c r="S739" s="216"/>
      <c r="T739" s="216"/>
      <c r="U739" s="216"/>
      <c r="V739" s="216"/>
      <c r="W739" s="216"/>
      <c r="X739" s="216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16"/>
      <c r="AN739" s="216"/>
      <c r="AO739" s="216"/>
      <c r="AP739" s="216"/>
      <c r="AQ739" s="216"/>
      <c r="AR739" s="216"/>
      <c r="AS739" s="216"/>
      <c r="AT739" s="216"/>
      <c r="AU739" s="216"/>
      <c r="AV739" s="216"/>
      <c r="AW739" s="216"/>
      <c r="AX739" s="216"/>
      <c r="AY739" s="216"/>
      <c r="AZ739" s="216"/>
      <c r="BA739" s="216"/>
      <c r="BB739" s="216"/>
      <c r="BC739" s="216"/>
      <c r="BD739" s="216"/>
      <c r="BE739" s="216"/>
      <c r="BF739" s="216"/>
      <c r="BG739" s="216"/>
      <c r="BH739" s="216"/>
      <c r="BI739" s="216"/>
      <c r="BJ739" s="216"/>
      <c r="BK739" s="216"/>
      <c r="BL739" s="216"/>
      <c r="BM739" s="216"/>
      <c r="BN739" s="216"/>
      <c r="BO739" s="216"/>
      <c r="BP739" s="216"/>
      <c r="BQ739" s="216"/>
      <c r="BR739" s="216"/>
    </row>
    <row r="740" spans="1:70" ht="12.75" x14ac:dyDescent="0.2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214"/>
      <c r="L740" s="214"/>
      <c r="M740" s="215"/>
      <c r="N740" s="215"/>
      <c r="O740" s="216"/>
      <c r="P740" s="216"/>
      <c r="Q740" s="216"/>
      <c r="R740" s="216"/>
      <c r="S740" s="216"/>
      <c r="T740" s="216"/>
      <c r="U740" s="216"/>
      <c r="V740" s="216"/>
      <c r="W740" s="216"/>
      <c r="X740" s="216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16"/>
      <c r="AN740" s="216"/>
      <c r="AO740" s="216"/>
      <c r="AP740" s="216"/>
      <c r="AQ740" s="216"/>
      <c r="AR740" s="216"/>
      <c r="AS740" s="216"/>
      <c r="AT740" s="216"/>
      <c r="AU740" s="216"/>
      <c r="AV740" s="216"/>
      <c r="AW740" s="216"/>
      <c r="AX740" s="216"/>
      <c r="AY740" s="216"/>
      <c r="AZ740" s="216"/>
      <c r="BA740" s="216"/>
      <c r="BB740" s="216"/>
      <c r="BC740" s="216"/>
      <c r="BD740" s="216"/>
      <c r="BE740" s="216"/>
      <c r="BF740" s="216"/>
      <c r="BG740" s="216"/>
      <c r="BH740" s="216"/>
      <c r="BI740" s="216"/>
      <c r="BJ740" s="216"/>
      <c r="BK740" s="216"/>
      <c r="BL740" s="216"/>
      <c r="BM740" s="216"/>
      <c r="BN740" s="216"/>
      <c r="BO740" s="216"/>
      <c r="BP740" s="216"/>
      <c r="BQ740" s="216"/>
      <c r="BR740" s="216"/>
    </row>
    <row r="741" spans="1:70" ht="12.75" x14ac:dyDescent="0.2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214"/>
      <c r="L741" s="214"/>
      <c r="M741" s="215"/>
      <c r="N741" s="215"/>
      <c r="O741" s="216"/>
      <c r="P741" s="216"/>
      <c r="Q741" s="216"/>
      <c r="R741" s="216"/>
      <c r="S741" s="216"/>
      <c r="T741" s="216"/>
      <c r="U741" s="216"/>
      <c r="V741" s="216"/>
      <c r="W741" s="216"/>
      <c r="X741" s="216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16"/>
      <c r="AN741" s="216"/>
      <c r="AO741" s="216"/>
      <c r="AP741" s="216"/>
      <c r="AQ741" s="216"/>
      <c r="AR741" s="216"/>
      <c r="AS741" s="216"/>
      <c r="AT741" s="216"/>
      <c r="AU741" s="216"/>
      <c r="AV741" s="216"/>
      <c r="AW741" s="216"/>
      <c r="AX741" s="216"/>
      <c r="AY741" s="216"/>
      <c r="AZ741" s="216"/>
      <c r="BA741" s="216"/>
      <c r="BB741" s="216"/>
      <c r="BC741" s="216"/>
      <c r="BD741" s="216"/>
      <c r="BE741" s="216"/>
      <c r="BF741" s="216"/>
      <c r="BG741" s="216"/>
      <c r="BH741" s="216"/>
      <c r="BI741" s="216"/>
      <c r="BJ741" s="216"/>
      <c r="BK741" s="216"/>
      <c r="BL741" s="216"/>
      <c r="BM741" s="216"/>
      <c r="BN741" s="216"/>
      <c r="BO741" s="216"/>
      <c r="BP741" s="216"/>
      <c r="BQ741" s="216"/>
      <c r="BR741" s="216"/>
    </row>
    <row r="742" spans="1:70" ht="12.75" x14ac:dyDescent="0.2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214"/>
      <c r="L742" s="214"/>
      <c r="M742" s="215"/>
      <c r="N742" s="215"/>
      <c r="O742" s="216"/>
      <c r="P742" s="216"/>
      <c r="Q742" s="216"/>
      <c r="R742" s="216"/>
      <c r="S742" s="216"/>
      <c r="T742" s="216"/>
      <c r="U742" s="216"/>
      <c r="V742" s="216"/>
      <c r="W742" s="216"/>
      <c r="X742" s="216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16"/>
      <c r="AN742" s="216"/>
      <c r="AO742" s="216"/>
      <c r="AP742" s="216"/>
      <c r="AQ742" s="216"/>
      <c r="AR742" s="216"/>
      <c r="AS742" s="216"/>
      <c r="AT742" s="216"/>
      <c r="AU742" s="216"/>
      <c r="AV742" s="216"/>
      <c r="AW742" s="216"/>
      <c r="AX742" s="216"/>
      <c r="AY742" s="216"/>
      <c r="AZ742" s="216"/>
      <c r="BA742" s="216"/>
      <c r="BB742" s="216"/>
      <c r="BC742" s="216"/>
      <c r="BD742" s="216"/>
      <c r="BE742" s="216"/>
      <c r="BF742" s="216"/>
      <c r="BG742" s="216"/>
      <c r="BH742" s="216"/>
      <c r="BI742" s="216"/>
      <c r="BJ742" s="216"/>
      <c r="BK742" s="216"/>
      <c r="BL742" s="216"/>
      <c r="BM742" s="216"/>
      <c r="BN742" s="216"/>
      <c r="BO742" s="216"/>
      <c r="BP742" s="216"/>
      <c r="BQ742" s="216"/>
      <c r="BR742" s="216"/>
    </row>
    <row r="743" spans="1:70" ht="12.75" x14ac:dyDescent="0.2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214"/>
      <c r="L743" s="214"/>
      <c r="M743" s="215"/>
      <c r="N743" s="215"/>
      <c r="O743" s="216"/>
      <c r="P743" s="216"/>
      <c r="Q743" s="216"/>
      <c r="R743" s="216"/>
      <c r="S743" s="216"/>
      <c r="T743" s="216"/>
      <c r="U743" s="216"/>
      <c r="V743" s="216"/>
      <c r="W743" s="216"/>
      <c r="X743" s="216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16"/>
      <c r="AN743" s="216"/>
      <c r="AO743" s="216"/>
      <c r="AP743" s="216"/>
      <c r="AQ743" s="216"/>
      <c r="AR743" s="216"/>
      <c r="AS743" s="216"/>
      <c r="AT743" s="216"/>
      <c r="AU743" s="216"/>
      <c r="AV743" s="216"/>
      <c r="AW743" s="216"/>
      <c r="AX743" s="216"/>
      <c r="AY743" s="216"/>
      <c r="AZ743" s="216"/>
      <c r="BA743" s="216"/>
      <c r="BB743" s="216"/>
      <c r="BC743" s="216"/>
      <c r="BD743" s="216"/>
      <c r="BE743" s="216"/>
      <c r="BF743" s="216"/>
      <c r="BG743" s="216"/>
      <c r="BH743" s="216"/>
      <c r="BI743" s="216"/>
      <c r="BJ743" s="216"/>
      <c r="BK743" s="216"/>
      <c r="BL743" s="216"/>
      <c r="BM743" s="216"/>
      <c r="BN743" s="216"/>
      <c r="BO743" s="216"/>
      <c r="BP743" s="216"/>
      <c r="BQ743" s="216"/>
      <c r="BR743" s="216"/>
    </row>
    <row r="744" spans="1:70" ht="12.75" x14ac:dyDescent="0.2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214"/>
      <c r="L744" s="214"/>
      <c r="M744" s="215"/>
      <c r="N744" s="215"/>
      <c r="O744" s="216"/>
      <c r="P744" s="216"/>
      <c r="Q744" s="216"/>
      <c r="R744" s="216"/>
      <c r="S744" s="216"/>
      <c r="T744" s="216"/>
      <c r="U744" s="216"/>
      <c r="V744" s="216"/>
      <c r="W744" s="216"/>
      <c r="X744" s="216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16"/>
      <c r="AN744" s="216"/>
      <c r="AO744" s="216"/>
      <c r="AP744" s="216"/>
      <c r="AQ744" s="216"/>
      <c r="AR744" s="216"/>
      <c r="AS744" s="216"/>
      <c r="AT744" s="216"/>
      <c r="AU744" s="216"/>
      <c r="AV744" s="216"/>
      <c r="AW744" s="216"/>
      <c r="AX744" s="216"/>
      <c r="AY744" s="216"/>
      <c r="AZ744" s="216"/>
      <c r="BA744" s="216"/>
      <c r="BB744" s="216"/>
      <c r="BC744" s="216"/>
      <c r="BD744" s="216"/>
      <c r="BE744" s="216"/>
      <c r="BF744" s="216"/>
      <c r="BG744" s="216"/>
      <c r="BH744" s="216"/>
      <c r="BI744" s="216"/>
      <c r="BJ744" s="216"/>
      <c r="BK744" s="216"/>
      <c r="BL744" s="216"/>
      <c r="BM744" s="216"/>
      <c r="BN744" s="216"/>
      <c r="BO744" s="216"/>
      <c r="BP744" s="216"/>
      <c r="BQ744" s="216"/>
      <c r="BR744" s="216"/>
    </row>
    <row r="745" spans="1:70" ht="12.75" x14ac:dyDescent="0.2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214"/>
      <c r="L745" s="214"/>
      <c r="M745" s="215"/>
      <c r="N745" s="215"/>
      <c r="O745" s="216"/>
      <c r="P745" s="216"/>
      <c r="Q745" s="216"/>
      <c r="R745" s="216"/>
      <c r="S745" s="216"/>
      <c r="T745" s="216"/>
      <c r="U745" s="216"/>
      <c r="V745" s="216"/>
      <c r="W745" s="216"/>
      <c r="X745" s="216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16"/>
      <c r="AN745" s="216"/>
      <c r="AO745" s="216"/>
      <c r="AP745" s="216"/>
      <c r="AQ745" s="216"/>
      <c r="AR745" s="216"/>
      <c r="AS745" s="216"/>
      <c r="AT745" s="216"/>
      <c r="AU745" s="216"/>
      <c r="AV745" s="216"/>
      <c r="AW745" s="216"/>
      <c r="AX745" s="216"/>
      <c r="AY745" s="216"/>
      <c r="AZ745" s="216"/>
      <c r="BA745" s="216"/>
      <c r="BB745" s="216"/>
      <c r="BC745" s="216"/>
      <c r="BD745" s="216"/>
      <c r="BE745" s="216"/>
      <c r="BF745" s="216"/>
      <c r="BG745" s="216"/>
      <c r="BH745" s="216"/>
      <c r="BI745" s="216"/>
      <c r="BJ745" s="216"/>
      <c r="BK745" s="216"/>
      <c r="BL745" s="216"/>
      <c r="BM745" s="216"/>
      <c r="BN745" s="216"/>
      <c r="BO745" s="216"/>
      <c r="BP745" s="216"/>
      <c r="BQ745" s="216"/>
      <c r="BR745" s="216"/>
    </row>
    <row r="746" spans="1:70" ht="12.75" x14ac:dyDescent="0.2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214"/>
      <c r="L746" s="214"/>
      <c r="M746" s="215"/>
      <c r="N746" s="215"/>
      <c r="O746" s="216"/>
      <c r="P746" s="216"/>
      <c r="Q746" s="216"/>
      <c r="R746" s="216"/>
      <c r="S746" s="216"/>
      <c r="T746" s="216"/>
      <c r="U746" s="216"/>
      <c r="V746" s="216"/>
      <c r="W746" s="216"/>
      <c r="X746" s="216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16"/>
      <c r="AN746" s="216"/>
      <c r="AO746" s="216"/>
      <c r="AP746" s="216"/>
      <c r="AQ746" s="216"/>
      <c r="AR746" s="216"/>
      <c r="AS746" s="216"/>
      <c r="AT746" s="216"/>
      <c r="AU746" s="216"/>
      <c r="AV746" s="216"/>
      <c r="AW746" s="216"/>
      <c r="AX746" s="216"/>
      <c r="AY746" s="216"/>
      <c r="AZ746" s="216"/>
      <c r="BA746" s="216"/>
      <c r="BB746" s="216"/>
      <c r="BC746" s="216"/>
      <c r="BD746" s="216"/>
      <c r="BE746" s="216"/>
      <c r="BF746" s="216"/>
      <c r="BG746" s="216"/>
      <c r="BH746" s="216"/>
      <c r="BI746" s="216"/>
      <c r="BJ746" s="216"/>
      <c r="BK746" s="216"/>
      <c r="BL746" s="216"/>
      <c r="BM746" s="216"/>
      <c r="BN746" s="216"/>
      <c r="BO746" s="216"/>
      <c r="BP746" s="216"/>
      <c r="BQ746" s="216"/>
      <c r="BR746" s="216"/>
    </row>
    <row r="747" spans="1:70" ht="12.75" x14ac:dyDescent="0.2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214"/>
      <c r="L747" s="214"/>
      <c r="M747" s="215"/>
      <c r="N747" s="215"/>
      <c r="O747" s="216"/>
      <c r="P747" s="216"/>
      <c r="Q747" s="216"/>
      <c r="R747" s="216"/>
      <c r="S747" s="216"/>
      <c r="T747" s="216"/>
      <c r="U747" s="216"/>
      <c r="V747" s="216"/>
      <c r="W747" s="216"/>
      <c r="X747" s="216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16"/>
      <c r="AN747" s="216"/>
      <c r="AO747" s="216"/>
      <c r="AP747" s="216"/>
      <c r="AQ747" s="216"/>
      <c r="AR747" s="216"/>
      <c r="AS747" s="216"/>
      <c r="AT747" s="216"/>
      <c r="AU747" s="216"/>
      <c r="AV747" s="216"/>
      <c r="AW747" s="216"/>
      <c r="AX747" s="216"/>
      <c r="AY747" s="216"/>
      <c r="AZ747" s="216"/>
      <c r="BA747" s="216"/>
      <c r="BB747" s="216"/>
      <c r="BC747" s="216"/>
      <c r="BD747" s="216"/>
      <c r="BE747" s="216"/>
      <c r="BF747" s="216"/>
      <c r="BG747" s="216"/>
      <c r="BH747" s="216"/>
      <c r="BI747" s="216"/>
      <c r="BJ747" s="216"/>
      <c r="BK747" s="216"/>
      <c r="BL747" s="216"/>
      <c r="BM747" s="216"/>
      <c r="BN747" s="216"/>
      <c r="BO747" s="216"/>
      <c r="BP747" s="216"/>
      <c r="BQ747" s="216"/>
      <c r="BR747" s="216"/>
    </row>
    <row r="748" spans="1:70" ht="12.75" x14ac:dyDescent="0.2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214"/>
      <c r="L748" s="214"/>
      <c r="M748" s="215"/>
      <c r="N748" s="215"/>
      <c r="O748" s="216"/>
      <c r="P748" s="216"/>
      <c r="Q748" s="216"/>
      <c r="R748" s="216"/>
      <c r="S748" s="216"/>
      <c r="T748" s="216"/>
      <c r="U748" s="216"/>
      <c r="V748" s="216"/>
      <c r="W748" s="216"/>
      <c r="X748" s="216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16"/>
      <c r="AN748" s="216"/>
      <c r="AO748" s="216"/>
      <c r="AP748" s="216"/>
      <c r="AQ748" s="216"/>
      <c r="AR748" s="216"/>
      <c r="AS748" s="216"/>
      <c r="AT748" s="216"/>
      <c r="AU748" s="216"/>
      <c r="AV748" s="216"/>
      <c r="AW748" s="216"/>
      <c r="AX748" s="216"/>
      <c r="AY748" s="216"/>
      <c r="AZ748" s="216"/>
      <c r="BA748" s="216"/>
      <c r="BB748" s="216"/>
      <c r="BC748" s="216"/>
      <c r="BD748" s="216"/>
      <c r="BE748" s="216"/>
      <c r="BF748" s="216"/>
      <c r="BG748" s="216"/>
      <c r="BH748" s="216"/>
      <c r="BI748" s="216"/>
      <c r="BJ748" s="216"/>
      <c r="BK748" s="216"/>
      <c r="BL748" s="216"/>
      <c r="BM748" s="216"/>
      <c r="BN748" s="216"/>
      <c r="BO748" s="216"/>
      <c r="BP748" s="216"/>
      <c r="BQ748" s="216"/>
      <c r="BR748" s="216"/>
    </row>
    <row r="749" spans="1:70" ht="12.75" x14ac:dyDescent="0.2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214"/>
      <c r="L749" s="214"/>
      <c r="M749" s="215"/>
      <c r="N749" s="215"/>
      <c r="O749" s="216"/>
      <c r="P749" s="216"/>
      <c r="Q749" s="216"/>
      <c r="R749" s="216"/>
      <c r="S749" s="216"/>
      <c r="T749" s="216"/>
      <c r="U749" s="216"/>
      <c r="V749" s="216"/>
      <c r="W749" s="216"/>
      <c r="X749" s="216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  <c r="AM749" s="216"/>
      <c r="AN749" s="216"/>
      <c r="AO749" s="216"/>
      <c r="AP749" s="216"/>
      <c r="AQ749" s="216"/>
      <c r="AR749" s="216"/>
      <c r="AS749" s="216"/>
      <c r="AT749" s="216"/>
      <c r="AU749" s="216"/>
      <c r="AV749" s="216"/>
      <c r="AW749" s="216"/>
      <c r="AX749" s="216"/>
      <c r="AY749" s="216"/>
      <c r="AZ749" s="216"/>
      <c r="BA749" s="216"/>
      <c r="BB749" s="216"/>
      <c r="BC749" s="216"/>
      <c r="BD749" s="216"/>
      <c r="BE749" s="216"/>
      <c r="BF749" s="216"/>
      <c r="BG749" s="216"/>
      <c r="BH749" s="216"/>
      <c r="BI749" s="216"/>
      <c r="BJ749" s="216"/>
      <c r="BK749" s="216"/>
      <c r="BL749" s="216"/>
      <c r="BM749" s="216"/>
      <c r="BN749" s="216"/>
      <c r="BO749" s="216"/>
      <c r="BP749" s="216"/>
      <c r="BQ749" s="216"/>
      <c r="BR749" s="216"/>
    </row>
    <row r="750" spans="1:70" ht="12.75" x14ac:dyDescent="0.2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214"/>
      <c r="L750" s="214"/>
      <c r="M750" s="215"/>
      <c r="N750" s="215"/>
      <c r="O750" s="216"/>
      <c r="P750" s="216"/>
      <c r="Q750" s="216"/>
      <c r="R750" s="216"/>
      <c r="S750" s="216"/>
      <c r="T750" s="216"/>
      <c r="U750" s="216"/>
      <c r="V750" s="216"/>
      <c r="W750" s="216"/>
      <c r="X750" s="216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16"/>
      <c r="AN750" s="216"/>
      <c r="AO750" s="216"/>
      <c r="AP750" s="216"/>
      <c r="AQ750" s="216"/>
      <c r="AR750" s="216"/>
      <c r="AS750" s="216"/>
      <c r="AT750" s="216"/>
      <c r="AU750" s="216"/>
      <c r="AV750" s="216"/>
      <c r="AW750" s="216"/>
      <c r="AX750" s="216"/>
      <c r="AY750" s="216"/>
      <c r="AZ750" s="216"/>
      <c r="BA750" s="216"/>
      <c r="BB750" s="216"/>
      <c r="BC750" s="216"/>
      <c r="BD750" s="216"/>
      <c r="BE750" s="216"/>
      <c r="BF750" s="216"/>
      <c r="BG750" s="216"/>
      <c r="BH750" s="216"/>
      <c r="BI750" s="216"/>
      <c r="BJ750" s="216"/>
      <c r="BK750" s="216"/>
      <c r="BL750" s="216"/>
      <c r="BM750" s="216"/>
      <c r="BN750" s="216"/>
      <c r="BO750" s="216"/>
      <c r="BP750" s="216"/>
      <c r="BQ750" s="216"/>
      <c r="BR750" s="216"/>
    </row>
    <row r="751" spans="1:70" ht="12.75" x14ac:dyDescent="0.2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214"/>
      <c r="L751" s="214"/>
      <c r="M751" s="215"/>
      <c r="N751" s="215"/>
      <c r="O751" s="216"/>
      <c r="P751" s="216"/>
      <c r="Q751" s="216"/>
      <c r="R751" s="216"/>
      <c r="S751" s="216"/>
      <c r="T751" s="216"/>
      <c r="U751" s="216"/>
      <c r="V751" s="216"/>
      <c r="W751" s="216"/>
      <c r="X751" s="216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16"/>
      <c r="AN751" s="216"/>
      <c r="AO751" s="216"/>
      <c r="AP751" s="216"/>
      <c r="AQ751" s="216"/>
      <c r="AR751" s="216"/>
      <c r="AS751" s="216"/>
      <c r="AT751" s="216"/>
      <c r="AU751" s="216"/>
      <c r="AV751" s="216"/>
      <c r="AW751" s="216"/>
      <c r="AX751" s="216"/>
      <c r="AY751" s="216"/>
      <c r="AZ751" s="216"/>
      <c r="BA751" s="216"/>
      <c r="BB751" s="216"/>
      <c r="BC751" s="216"/>
      <c r="BD751" s="216"/>
      <c r="BE751" s="216"/>
      <c r="BF751" s="216"/>
      <c r="BG751" s="216"/>
      <c r="BH751" s="216"/>
      <c r="BI751" s="216"/>
      <c r="BJ751" s="216"/>
      <c r="BK751" s="216"/>
      <c r="BL751" s="216"/>
      <c r="BM751" s="216"/>
      <c r="BN751" s="216"/>
      <c r="BO751" s="216"/>
      <c r="BP751" s="216"/>
      <c r="BQ751" s="216"/>
      <c r="BR751" s="216"/>
    </row>
    <row r="752" spans="1:70" ht="12.75" x14ac:dyDescent="0.2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214"/>
      <c r="L752" s="214"/>
      <c r="M752" s="215"/>
      <c r="N752" s="215"/>
      <c r="O752" s="216"/>
      <c r="P752" s="216"/>
      <c r="Q752" s="216"/>
      <c r="R752" s="216"/>
      <c r="S752" s="216"/>
      <c r="T752" s="216"/>
      <c r="U752" s="216"/>
      <c r="V752" s="216"/>
      <c r="W752" s="216"/>
      <c r="X752" s="216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16"/>
      <c r="AN752" s="216"/>
      <c r="AO752" s="216"/>
      <c r="AP752" s="216"/>
      <c r="AQ752" s="216"/>
      <c r="AR752" s="216"/>
      <c r="AS752" s="216"/>
      <c r="AT752" s="216"/>
      <c r="AU752" s="216"/>
      <c r="AV752" s="216"/>
      <c r="AW752" s="216"/>
      <c r="AX752" s="216"/>
      <c r="AY752" s="216"/>
      <c r="AZ752" s="216"/>
      <c r="BA752" s="216"/>
      <c r="BB752" s="216"/>
      <c r="BC752" s="216"/>
      <c r="BD752" s="216"/>
      <c r="BE752" s="216"/>
      <c r="BF752" s="216"/>
      <c r="BG752" s="216"/>
      <c r="BH752" s="216"/>
      <c r="BI752" s="216"/>
      <c r="BJ752" s="216"/>
      <c r="BK752" s="216"/>
      <c r="BL752" s="216"/>
      <c r="BM752" s="216"/>
      <c r="BN752" s="216"/>
      <c r="BO752" s="216"/>
      <c r="BP752" s="216"/>
      <c r="BQ752" s="216"/>
      <c r="BR752" s="216"/>
    </row>
    <row r="753" spans="1:70" ht="12.75" x14ac:dyDescent="0.2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214"/>
      <c r="L753" s="214"/>
      <c r="M753" s="215"/>
      <c r="N753" s="215"/>
      <c r="O753" s="216"/>
      <c r="P753" s="216"/>
      <c r="Q753" s="216"/>
      <c r="R753" s="216"/>
      <c r="S753" s="216"/>
      <c r="T753" s="216"/>
      <c r="U753" s="216"/>
      <c r="V753" s="216"/>
      <c r="W753" s="216"/>
      <c r="X753" s="216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16"/>
      <c r="AN753" s="216"/>
      <c r="AO753" s="216"/>
      <c r="AP753" s="216"/>
      <c r="AQ753" s="216"/>
      <c r="AR753" s="216"/>
      <c r="AS753" s="216"/>
      <c r="AT753" s="216"/>
      <c r="AU753" s="216"/>
      <c r="AV753" s="216"/>
      <c r="AW753" s="216"/>
      <c r="AX753" s="216"/>
      <c r="AY753" s="216"/>
      <c r="AZ753" s="216"/>
      <c r="BA753" s="216"/>
      <c r="BB753" s="216"/>
      <c r="BC753" s="216"/>
      <c r="BD753" s="216"/>
      <c r="BE753" s="216"/>
      <c r="BF753" s="216"/>
      <c r="BG753" s="216"/>
      <c r="BH753" s="216"/>
      <c r="BI753" s="216"/>
      <c r="BJ753" s="216"/>
      <c r="BK753" s="216"/>
      <c r="BL753" s="216"/>
      <c r="BM753" s="216"/>
      <c r="BN753" s="216"/>
      <c r="BO753" s="216"/>
      <c r="BP753" s="216"/>
      <c r="BQ753" s="216"/>
      <c r="BR753" s="216"/>
    </row>
    <row r="754" spans="1:70" ht="12.75" x14ac:dyDescent="0.2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214"/>
      <c r="L754" s="214"/>
      <c r="M754" s="215"/>
      <c r="N754" s="215"/>
      <c r="O754" s="216"/>
      <c r="P754" s="216"/>
      <c r="Q754" s="216"/>
      <c r="R754" s="216"/>
      <c r="S754" s="216"/>
      <c r="T754" s="216"/>
      <c r="U754" s="216"/>
      <c r="V754" s="216"/>
      <c r="W754" s="216"/>
      <c r="X754" s="216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16"/>
      <c r="AN754" s="216"/>
      <c r="AO754" s="216"/>
      <c r="AP754" s="216"/>
      <c r="AQ754" s="216"/>
      <c r="AR754" s="216"/>
      <c r="AS754" s="216"/>
      <c r="AT754" s="216"/>
      <c r="AU754" s="216"/>
      <c r="AV754" s="216"/>
      <c r="AW754" s="216"/>
      <c r="AX754" s="216"/>
      <c r="AY754" s="216"/>
      <c r="AZ754" s="216"/>
      <c r="BA754" s="216"/>
      <c r="BB754" s="216"/>
      <c r="BC754" s="216"/>
      <c r="BD754" s="216"/>
      <c r="BE754" s="216"/>
      <c r="BF754" s="216"/>
      <c r="BG754" s="216"/>
      <c r="BH754" s="216"/>
      <c r="BI754" s="216"/>
      <c r="BJ754" s="216"/>
      <c r="BK754" s="216"/>
      <c r="BL754" s="216"/>
      <c r="BM754" s="216"/>
      <c r="BN754" s="216"/>
      <c r="BO754" s="216"/>
      <c r="BP754" s="216"/>
      <c r="BQ754" s="216"/>
      <c r="BR754" s="216"/>
    </row>
    <row r="755" spans="1:70" ht="12.75" x14ac:dyDescent="0.2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214"/>
      <c r="L755" s="214"/>
      <c r="M755" s="215"/>
      <c r="N755" s="215"/>
      <c r="O755" s="216"/>
      <c r="P755" s="216"/>
      <c r="Q755" s="216"/>
      <c r="R755" s="216"/>
      <c r="S755" s="216"/>
      <c r="T755" s="216"/>
      <c r="U755" s="216"/>
      <c r="V755" s="216"/>
      <c r="W755" s="216"/>
      <c r="X755" s="216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16"/>
      <c r="AN755" s="216"/>
      <c r="AO755" s="216"/>
      <c r="AP755" s="216"/>
      <c r="AQ755" s="216"/>
      <c r="AR755" s="216"/>
      <c r="AS755" s="216"/>
      <c r="AT755" s="216"/>
      <c r="AU755" s="216"/>
      <c r="AV755" s="216"/>
      <c r="AW755" s="216"/>
      <c r="AX755" s="216"/>
      <c r="AY755" s="216"/>
      <c r="AZ755" s="216"/>
      <c r="BA755" s="216"/>
      <c r="BB755" s="216"/>
      <c r="BC755" s="216"/>
      <c r="BD755" s="216"/>
      <c r="BE755" s="216"/>
      <c r="BF755" s="216"/>
      <c r="BG755" s="216"/>
      <c r="BH755" s="216"/>
      <c r="BI755" s="216"/>
      <c r="BJ755" s="216"/>
      <c r="BK755" s="216"/>
      <c r="BL755" s="216"/>
      <c r="BM755" s="216"/>
      <c r="BN755" s="216"/>
      <c r="BO755" s="216"/>
      <c r="BP755" s="216"/>
      <c r="BQ755" s="216"/>
      <c r="BR755" s="216"/>
    </row>
    <row r="756" spans="1:70" ht="12.75" x14ac:dyDescent="0.2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214"/>
      <c r="L756" s="214"/>
      <c r="M756" s="215"/>
      <c r="N756" s="215"/>
      <c r="O756" s="216"/>
      <c r="P756" s="216"/>
      <c r="Q756" s="216"/>
      <c r="R756" s="216"/>
      <c r="S756" s="216"/>
      <c r="T756" s="216"/>
      <c r="U756" s="216"/>
      <c r="V756" s="216"/>
      <c r="W756" s="216"/>
      <c r="X756" s="216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16"/>
      <c r="AN756" s="216"/>
      <c r="AO756" s="216"/>
      <c r="AP756" s="216"/>
      <c r="AQ756" s="216"/>
      <c r="AR756" s="216"/>
      <c r="AS756" s="216"/>
      <c r="AT756" s="216"/>
      <c r="AU756" s="216"/>
      <c r="AV756" s="216"/>
      <c r="AW756" s="216"/>
      <c r="AX756" s="216"/>
      <c r="AY756" s="216"/>
      <c r="AZ756" s="216"/>
      <c r="BA756" s="216"/>
      <c r="BB756" s="216"/>
      <c r="BC756" s="216"/>
      <c r="BD756" s="216"/>
      <c r="BE756" s="216"/>
      <c r="BF756" s="216"/>
      <c r="BG756" s="216"/>
      <c r="BH756" s="216"/>
      <c r="BI756" s="216"/>
      <c r="BJ756" s="216"/>
      <c r="BK756" s="216"/>
      <c r="BL756" s="216"/>
      <c r="BM756" s="216"/>
      <c r="BN756" s="216"/>
      <c r="BO756" s="216"/>
      <c r="BP756" s="216"/>
      <c r="BQ756" s="216"/>
      <c r="BR756" s="216"/>
    </row>
    <row r="757" spans="1:70" ht="12.75" x14ac:dyDescent="0.2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214"/>
      <c r="L757" s="214"/>
      <c r="M757" s="215"/>
      <c r="N757" s="215"/>
      <c r="O757" s="216"/>
      <c r="P757" s="216"/>
      <c r="Q757" s="216"/>
      <c r="R757" s="216"/>
      <c r="S757" s="216"/>
      <c r="T757" s="216"/>
      <c r="U757" s="216"/>
      <c r="V757" s="216"/>
      <c r="W757" s="216"/>
      <c r="X757" s="216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16"/>
      <c r="AN757" s="216"/>
      <c r="AO757" s="216"/>
      <c r="AP757" s="216"/>
      <c r="AQ757" s="216"/>
      <c r="AR757" s="216"/>
      <c r="AS757" s="216"/>
      <c r="AT757" s="216"/>
      <c r="AU757" s="216"/>
      <c r="AV757" s="216"/>
      <c r="AW757" s="216"/>
      <c r="AX757" s="216"/>
      <c r="AY757" s="216"/>
      <c r="AZ757" s="216"/>
      <c r="BA757" s="216"/>
      <c r="BB757" s="216"/>
      <c r="BC757" s="216"/>
      <c r="BD757" s="216"/>
      <c r="BE757" s="216"/>
      <c r="BF757" s="216"/>
      <c r="BG757" s="216"/>
      <c r="BH757" s="216"/>
      <c r="BI757" s="216"/>
      <c r="BJ757" s="216"/>
      <c r="BK757" s="216"/>
      <c r="BL757" s="216"/>
      <c r="BM757" s="216"/>
      <c r="BN757" s="216"/>
      <c r="BO757" s="216"/>
      <c r="BP757" s="216"/>
      <c r="BQ757" s="216"/>
      <c r="BR757" s="216"/>
    </row>
    <row r="758" spans="1:70" ht="12.75" x14ac:dyDescent="0.2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214"/>
      <c r="L758" s="214"/>
      <c r="M758" s="215"/>
      <c r="N758" s="215"/>
      <c r="O758" s="216"/>
      <c r="P758" s="216"/>
      <c r="Q758" s="216"/>
      <c r="R758" s="216"/>
      <c r="S758" s="216"/>
      <c r="T758" s="216"/>
      <c r="U758" s="216"/>
      <c r="V758" s="216"/>
      <c r="W758" s="216"/>
      <c r="X758" s="216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16"/>
      <c r="AN758" s="216"/>
      <c r="AO758" s="216"/>
      <c r="AP758" s="216"/>
      <c r="AQ758" s="216"/>
      <c r="AR758" s="216"/>
      <c r="AS758" s="216"/>
      <c r="AT758" s="216"/>
      <c r="AU758" s="216"/>
      <c r="AV758" s="216"/>
      <c r="AW758" s="216"/>
      <c r="AX758" s="216"/>
      <c r="AY758" s="216"/>
      <c r="AZ758" s="216"/>
      <c r="BA758" s="216"/>
      <c r="BB758" s="216"/>
      <c r="BC758" s="216"/>
      <c r="BD758" s="216"/>
      <c r="BE758" s="216"/>
      <c r="BF758" s="216"/>
      <c r="BG758" s="216"/>
      <c r="BH758" s="216"/>
      <c r="BI758" s="216"/>
      <c r="BJ758" s="216"/>
      <c r="BK758" s="216"/>
      <c r="BL758" s="216"/>
      <c r="BM758" s="216"/>
      <c r="BN758" s="216"/>
      <c r="BO758" s="216"/>
      <c r="BP758" s="216"/>
      <c r="BQ758" s="216"/>
      <c r="BR758" s="216"/>
    </row>
    <row r="759" spans="1:70" ht="12.75" x14ac:dyDescent="0.2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214"/>
      <c r="L759" s="214"/>
      <c r="M759" s="215"/>
      <c r="N759" s="215"/>
      <c r="O759" s="216"/>
      <c r="P759" s="216"/>
      <c r="Q759" s="216"/>
      <c r="R759" s="216"/>
      <c r="S759" s="216"/>
      <c r="T759" s="216"/>
      <c r="U759" s="216"/>
      <c r="V759" s="216"/>
      <c r="W759" s="216"/>
      <c r="X759" s="216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16"/>
      <c r="AN759" s="216"/>
      <c r="AO759" s="216"/>
      <c r="AP759" s="216"/>
      <c r="AQ759" s="216"/>
      <c r="AR759" s="216"/>
      <c r="AS759" s="216"/>
      <c r="AT759" s="216"/>
      <c r="AU759" s="216"/>
      <c r="AV759" s="216"/>
      <c r="AW759" s="216"/>
      <c r="AX759" s="216"/>
      <c r="AY759" s="216"/>
      <c r="AZ759" s="216"/>
      <c r="BA759" s="216"/>
      <c r="BB759" s="216"/>
      <c r="BC759" s="216"/>
      <c r="BD759" s="216"/>
      <c r="BE759" s="216"/>
      <c r="BF759" s="216"/>
      <c r="BG759" s="216"/>
      <c r="BH759" s="216"/>
      <c r="BI759" s="216"/>
      <c r="BJ759" s="216"/>
      <c r="BK759" s="216"/>
      <c r="BL759" s="216"/>
      <c r="BM759" s="216"/>
      <c r="BN759" s="216"/>
      <c r="BO759" s="216"/>
      <c r="BP759" s="216"/>
      <c r="BQ759" s="216"/>
      <c r="BR759" s="216"/>
    </row>
    <row r="760" spans="1:70" ht="12.75" x14ac:dyDescent="0.2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214"/>
      <c r="L760" s="214"/>
      <c r="M760" s="215"/>
      <c r="N760" s="215"/>
      <c r="O760" s="216"/>
      <c r="P760" s="216"/>
      <c r="Q760" s="216"/>
      <c r="R760" s="216"/>
      <c r="S760" s="216"/>
      <c r="T760" s="216"/>
      <c r="U760" s="216"/>
      <c r="V760" s="216"/>
      <c r="W760" s="216"/>
      <c r="X760" s="216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16"/>
      <c r="AN760" s="216"/>
      <c r="AO760" s="216"/>
      <c r="AP760" s="216"/>
      <c r="AQ760" s="216"/>
      <c r="AR760" s="216"/>
      <c r="AS760" s="216"/>
      <c r="AT760" s="216"/>
      <c r="AU760" s="216"/>
      <c r="AV760" s="216"/>
      <c r="AW760" s="216"/>
      <c r="AX760" s="216"/>
      <c r="AY760" s="216"/>
      <c r="AZ760" s="216"/>
      <c r="BA760" s="216"/>
      <c r="BB760" s="216"/>
      <c r="BC760" s="216"/>
      <c r="BD760" s="216"/>
      <c r="BE760" s="216"/>
      <c r="BF760" s="216"/>
      <c r="BG760" s="216"/>
      <c r="BH760" s="216"/>
      <c r="BI760" s="216"/>
      <c r="BJ760" s="216"/>
      <c r="BK760" s="216"/>
      <c r="BL760" s="216"/>
      <c r="BM760" s="216"/>
      <c r="BN760" s="216"/>
      <c r="BO760" s="216"/>
      <c r="BP760" s="216"/>
      <c r="BQ760" s="216"/>
      <c r="BR760" s="216"/>
    </row>
    <row r="761" spans="1:70" ht="12.75" x14ac:dyDescent="0.2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214"/>
      <c r="L761" s="214"/>
      <c r="M761" s="215"/>
      <c r="N761" s="215"/>
      <c r="O761" s="216"/>
      <c r="P761" s="216"/>
      <c r="Q761" s="216"/>
      <c r="R761" s="216"/>
      <c r="S761" s="216"/>
      <c r="T761" s="216"/>
      <c r="U761" s="216"/>
      <c r="V761" s="216"/>
      <c r="W761" s="216"/>
      <c r="X761" s="216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16"/>
      <c r="AN761" s="216"/>
      <c r="AO761" s="216"/>
      <c r="AP761" s="216"/>
      <c r="AQ761" s="216"/>
      <c r="AR761" s="216"/>
      <c r="AS761" s="216"/>
      <c r="AT761" s="216"/>
      <c r="AU761" s="216"/>
      <c r="AV761" s="216"/>
      <c r="AW761" s="216"/>
      <c r="AX761" s="216"/>
      <c r="AY761" s="216"/>
      <c r="AZ761" s="216"/>
      <c r="BA761" s="216"/>
      <c r="BB761" s="216"/>
      <c r="BC761" s="216"/>
      <c r="BD761" s="216"/>
      <c r="BE761" s="216"/>
      <c r="BF761" s="216"/>
      <c r="BG761" s="216"/>
      <c r="BH761" s="216"/>
      <c r="BI761" s="216"/>
      <c r="BJ761" s="216"/>
      <c r="BK761" s="216"/>
      <c r="BL761" s="216"/>
      <c r="BM761" s="216"/>
      <c r="BN761" s="216"/>
      <c r="BO761" s="216"/>
      <c r="BP761" s="216"/>
      <c r="BQ761" s="216"/>
      <c r="BR761" s="216"/>
    </row>
    <row r="762" spans="1:70" ht="12.75" x14ac:dyDescent="0.2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214"/>
      <c r="L762" s="214"/>
      <c r="M762" s="215"/>
      <c r="N762" s="215"/>
      <c r="O762" s="216"/>
      <c r="P762" s="216"/>
      <c r="Q762" s="216"/>
      <c r="R762" s="216"/>
      <c r="S762" s="216"/>
      <c r="T762" s="216"/>
      <c r="U762" s="216"/>
      <c r="V762" s="216"/>
      <c r="W762" s="216"/>
      <c r="X762" s="216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16"/>
      <c r="AN762" s="216"/>
      <c r="AO762" s="216"/>
      <c r="AP762" s="216"/>
      <c r="AQ762" s="216"/>
      <c r="AR762" s="216"/>
      <c r="AS762" s="216"/>
      <c r="AT762" s="216"/>
      <c r="AU762" s="216"/>
      <c r="AV762" s="216"/>
      <c r="AW762" s="216"/>
      <c r="AX762" s="216"/>
      <c r="AY762" s="216"/>
      <c r="AZ762" s="216"/>
      <c r="BA762" s="216"/>
      <c r="BB762" s="216"/>
      <c r="BC762" s="216"/>
      <c r="BD762" s="216"/>
      <c r="BE762" s="216"/>
      <c r="BF762" s="216"/>
      <c r="BG762" s="216"/>
      <c r="BH762" s="216"/>
      <c r="BI762" s="216"/>
      <c r="BJ762" s="216"/>
      <c r="BK762" s="216"/>
      <c r="BL762" s="216"/>
      <c r="BM762" s="216"/>
      <c r="BN762" s="216"/>
      <c r="BO762" s="216"/>
      <c r="BP762" s="216"/>
      <c r="BQ762" s="216"/>
      <c r="BR762" s="216"/>
    </row>
    <row r="763" spans="1:70" ht="12.75" x14ac:dyDescent="0.2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214"/>
      <c r="L763" s="214"/>
      <c r="M763" s="215"/>
      <c r="N763" s="215"/>
      <c r="O763" s="216"/>
      <c r="P763" s="216"/>
      <c r="Q763" s="216"/>
      <c r="R763" s="216"/>
      <c r="S763" s="216"/>
      <c r="T763" s="216"/>
      <c r="U763" s="216"/>
      <c r="V763" s="216"/>
      <c r="W763" s="216"/>
      <c r="X763" s="216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16"/>
      <c r="AN763" s="216"/>
      <c r="AO763" s="216"/>
      <c r="AP763" s="216"/>
      <c r="AQ763" s="216"/>
      <c r="AR763" s="216"/>
      <c r="AS763" s="216"/>
      <c r="AT763" s="216"/>
      <c r="AU763" s="216"/>
      <c r="AV763" s="216"/>
      <c r="AW763" s="216"/>
      <c r="AX763" s="216"/>
      <c r="AY763" s="216"/>
      <c r="AZ763" s="216"/>
      <c r="BA763" s="216"/>
      <c r="BB763" s="216"/>
      <c r="BC763" s="216"/>
      <c r="BD763" s="216"/>
      <c r="BE763" s="216"/>
      <c r="BF763" s="216"/>
      <c r="BG763" s="216"/>
      <c r="BH763" s="216"/>
      <c r="BI763" s="216"/>
      <c r="BJ763" s="216"/>
      <c r="BK763" s="216"/>
      <c r="BL763" s="216"/>
      <c r="BM763" s="216"/>
      <c r="BN763" s="216"/>
      <c r="BO763" s="216"/>
      <c r="BP763" s="216"/>
      <c r="BQ763" s="216"/>
      <c r="BR763" s="216"/>
    </row>
    <row r="764" spans="1:70" ht="12.75" x14ac:dyDescent="0.2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214"/>
      <c r="L764" s="214"/>
      <c r="M764" s="215"/>
      <c r="N764" s="215"/>
      <c r="O764" s="216"/>
      <c r="P764" s="216"/>
      <c r="Q764" s="216"/>
      <c r="R764" s="216"/>
      <c r="S764" s="216"/>
      <c r="T764" s="216"/>
      <c r="U764" s="216"/>
      <c r="V764" s="216"/>
      <c r="W764" s="216"/>
      <c r="X764" s="216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16"/>
      <c r="AN764" s="216"/>
      <c r="AO764" s="216"/>
      <c r="AP764" s="216"/>
      <c r="AQ764" s="216"/>
      <c r="AR764" s="216"/>
      <c r="AS764" s="216"/>
      <c r="AT764" s="216"/>
      <c r="AU764" s="216"/>
      <c r="AV764" s="216"/>
      <c r="AW764" s="216"/>
      <c r="AX764" s="216"/>
      <c r="AY764" s="216"/>
      <c r="AZ764" s="216"/>
      <c r="BA764" s="216"/>
      <c r="BB764" s="216"/>
      <c r="BC764" s="216"/>
      <c r="BD764" s="216"/>
      <c r="BE764" s="216"/>
      <c r="BF764" s="216"/>
      <c r="BG764" s="216"/>
      <c r="BH764" s="216"/>
      <c r="BI764" s="216"/>
      <c r="BJ764" s="216"/>
      <c r="BK764" s="216"/>
      <c r="BL764" s="216"/>
      <c r="BM764" s="216"/>
      <c r="BN764" s="216"/>
      <c r="BO764" s="216"/>
      <c r="BP764" s="216"/>
      <c r="BQ764" s="216"/>
      <c r="BR764" s="216"/>
    </row>
    <row r="765" spans="1:70" ht="12.75" x14ac:dyDescent="0.2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214"/>
      <c r="L765" s="214"/>
      <c r="M765" s="215"/>
      <c r="N765" s="215"/>
      <c r="O765" s="216"/>
      <c r="P765" s="216"/>
      <c r="Q765" s="216"/>
      <c r="R765" s="216"/>
      <c r="S765" s="216"/>
      <c r="T765" s="216"/>
      <c r="U765" s="216"/>
      <c r="V765" s="216"/>
      <c r="W765" s="216"/>
      <c r="X765" s="216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16"/>
      <c r="AN765" s="216"/>
      <c r="AO765" s="216"/>
      <c r="AP765" s="216"/>
      <c r="AQ765" s="216"/>
      <c r="AR765" s="216"/>
      <c r="AS765" s="216"/>
      <c r="AT765" s="216"/>
      <c r="AU765" s="216"/>
      <c r="AV765" s="216"/>
      <c r="AW765" s="216"/>
      <c r="AX765" s="216"/>
      <c r="AY765" s="216"/>
      <c r="AZ765" s="216"/>
      <c r="BA765" s="216"/>
      <c r="BB765" s="216"/>
      <c r="BC765" s="216"/>
      <c r="BD765" s="216"/>
      <c r="BE765" s="216"/>
      <c r="BF765" s="216"/>
      <c r="BG765" s="216"/>
      <c r="BH765" s="216"/>
      <c r="BI765" s="216"/>
      <c r="BJ765" s="216"/>
      <c r="BK765" s="216"/>
      <c r="BL765" s="216"/>
      <c r="BM765" s="216"/>
      <c r="BN765" s="216"/>
      <c r="BO765" s="216"/>
      <c r="BP765" s="216"/>
      <c r="BQ765" s="216"/>
      <c r="BR765" s="216"/>
    </row>
    <row r="766" spans="1:70" ht="12.75" x14ac:dyDescent="0.2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214"/>
      <c r="L766" s="214"/>
      <c r="M766" s="215"/>
      <c r="N766" s="215"/>
      <c r="O766" s="216"/>
      <c r="P766" s="216"/>
      <c r="Q766" s="216"/>
      <c r="R766" s="216"/>
      <c r="S766" s="216"/>
      <c r="T766" s="216"/>
      <c r="U766" s="216"/>
      <c r="V766" s="216"/>
      <c r="W766" s="216"/>
      <c r="X766" s="216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  <c r="AM766" s="216"/>
      <c r="AN766" s="216"/>
      <c r="AO766" s="216"/>
      <c r="AP766" s="216"/>
      <c r="AQ766" s="216"/>
      <c r="AR766" s="216"/>
      <c r="AS766" s="216"/>
      <c r="AT766" s="216"/>
      <c r="AU766" s="216"/>
      <c r="AV766" s="216"/>
      <c r="AW766" s="216"/>
      <c r="AX766" s="216"/>
      <c r="AY766" s="216"/>
      <c r="AZ766" s="216"/>
      <c r="BA766" s="216"/>
      <c r="BB766" s="216"/>
      <c r="BC766" s="216"/>
      <c r="BD766" s="216"/>
      <c r="BE766" s="216"/>
      <c r="BF766" s="216"/>
      <c r="BG766" s="216"/>
      <c r="BH766" s="216"/>
      <c r="BI766" s="216"/>
      <c r="BJ766" s="216"/>
      <c r="BK766" s="216"/>
      <c r="BL766" s="216"/>
      <c r="BM766" s="216"/>
      <c r="BN766" s="216"/>
      <c r="BO766" s="216"/>
      <c r="BP766" s="216"/>
      <c r="BQ766" s="216"/>
      <c r="BR766" s="216"/>
    </row>
    <row r="767" spans="1:70" ht="12.75" x14ac:dyDescent="0.2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214"/>
      <c r="L767" s="214"/>
      <c r="M767" s="215"/>
      <c r="N767" s="215"/>
      <c r="O767" s="216"/>
      <c r="P767" s="216"/>
      <c r="Q767" s="216"/>
      <c r="R767" s="216"/>
      <c r="S767" s="216"/>
      <c r="T767" s="216"/>
      <c r="U767" s="216"/>
      <c r="V767" s="216"/>
      <c r="W767" s="216"/>
      <c r="X767" s="216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  <c r="AM767" s="216"/>
      <c r="AN767" s="216"/>
      <c r="AO767" s="216"/>
      <c r="AP767" s="216"/>
      <c r="AQ767" s="216"/>
      <c r="AR767" s="216"/>
      <c r="AS767" s="216"/>
      <c r="AT767" s="216"/>
      <c r="AU767" s="216"/>
      <c r="AV767" s="216"/>
      <c r="AW767" s="216"/>
      <c r="AX767" s="216"/>
      <c r="AY767" s="216"/>
      <c r="AZ767" s="216"/>
      <c r="BA767" s="216"/>
      <c r="BB767" s="216"/>
      <c r="BC767" s="216"/>
      <c r="BD767" s="216"/>
      <c r="BE767" s="216"/>
      <c r="BF767" s="216"/>
      <c r="BG767" s="216"/>
      <c r="BH767" s="216"/>
      <c r="BI767" s="216"/>
      <c r="BJ767" s="216"/>
      <c r="BK767" s="216"/>
      <c r="BL767" s="216"/>
      <c r="BM767" s="216"/>
      <c r="BN767" s="216"/>
      <c r="BO767" s="216"/>
      <c r="BP767" s="216"/>
      <c r="BQ767" s="216"/>
      <c r="BR767" s="216"/>
    </row>
    <row r="768" spans="1:70" ht="12.75" x14ac:dyDescent="0.2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214"/>
      <c r="L768" s="214"/>
      <c r="M768" s="215"/>
      <c r="N768" s="215"/>
      <c r="O768" s="216"/>
      <c r="P768" s="216"/>
      <c r="Q768" s="216"/>
      <c r="R768" s="216"/>
      <c r="S768" s="216"/>
      <c r="T768" s="216"/>
      <c r="U768" s="216"/>
      <c r="V768" s="216"/>
      <c r="W768" s="216"/>
      <c r="X768" s="216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  <c r="AM768" s="216"/>
      <c r="AN768" s="216"/>
      <c r="AO768" s="216"/>
      <c r="AP768" s="216"/>
      <c r="AQ768" s="216"/>
      <c r="AR768" s="216"/>
      <c r="AS768" s="216"/>
      <c r="AT768" s="216"/>
      <c r="AU768" s="216"/>
      <c r="AV768" s="216"/>
      <c r="AW768" s="216"/>
      <c r="AX768" s="216"/>
      <c r="AY768" s="216"/>
      <c r="AZ768" s="216"/>
      <c r="BA768" s="216"/>
      <c r="BB768" s="216"/>
      <c r="BC768" s="216"/>
      <c r="BD768" s="216"/>
      <c r="BE768" s="216"/>
      <c r="BF768" s="216"/>
      <c r="BG768" s="216"/>
      <c r="BH768" s="216"/>
      <c r="BI768" s="216"/>
      <c r="BJ768" s="216"/>
      <c r="BK768" s="216"/>
      <c r="BL768" s="216"/>
      <c r="BM768" s="216"/>
      <c r="BN768" s="216"/>
      <c r="BO768" s="216"/>
      <c r="BP768" s="216"/>
      <c r="BQ768" s="216"/>
      <c r="BR768" s="216"/>
    </row>
    <row r="769" spans="1:70" ht="12.75" x14ac:dyDescent="0.2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214"/>
      <c r="L769" s="214"/>
      <c r="M769" s="215"/>
      <c r="N769" s="215"/>
      <c r="O769" s="216"/>
      <c r="P769" s="216"/>
      <c r="Q769" s="216"/>
      <c r="R769" s="216"/>
      <c r="S769" s="216"/>
      <c r="T769" s="216"/>
      <c r="U769" s="216"/>
      <c r="V769" s="216"/>
      <c r="W769" s="216"/>
      <c r="X769" s="216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16"/>
      <c r="AN769" s="216"/>
      <c r="AO769" s="216"/>
      <c r="AP769" s="216"/>
      <c r="AQ769" s="216"/>
      <c r="AR769" s="216"/>
      <c r="AS769" s="216"/>
      <c r="AT769" s="216"/>
      <c r="AU769" s="216"/>
      <c r="AV769" s="216"/>
      <c r="AW769" s="216"/>
      <c r="AX769" s="216"/>
      <c r="AY769" s="216"/>
      <c r="AZ769" s="216"/>
      <c r="BA769" s="216"/>
      <c r="BB769" s="216"/>
      <c r="BC769" s="216"/>
      <c r="BD769" s="216"/>
      <c r="BE769" s="216"/>
      <c r="BF769" s="216"/>
      <c r="BG769" s="216"/>
      <c r="BH769" s="216"/>
      <c r="BI769" s="216"/>
      <c r="BJ769" s="216"/>
      <c r="BK769" s="216"/>
      <c r="BL769" s="216"/>
      <c r="BM769" s="216"/>
      <c r="BN769" s="216"/>
      <c r="BO769" s="216"/>
      <c r="BP769" s="216"/>
      <c r="BQ769" s="216"/>
      <c r="BR769" s="216"/>
    </row>
    <row r="770" spans="1:70" ht="12.75" x14ac:dyDescent="0.2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214"/>
      <c r="L770" s="214"/>
      <c r="M770" s="215"/>
      <c r="N770" s="215"/>
      <c r="O770" s="216"/>
      <c r="P770" s="216"/>
      <c r="Q770" s="216"/>
      <c r="R770" s="216"/>
      <c r="S770" s="216"/>
      <c r="T770" s="216"/>
      <c r="U770" s="216"/>
      <c r="V770" s="216"/>
      <c r="W770" s="216"/>
      <c r="X770" s="216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16"/>
      <c r="AN770" s="216"/>
      <c r="AO770" s="216"/>
      <c r="AP770" s="216"/>
      <c r="AQ770" s="216"/>
      <c r="AR770" s="216"/>
      <c r="AS770" s="216"/>
      <c r="AT770" s="216"/>
      <c r="AU770" s="216"/>
      <c r="AV770" s="216"/>
      <c r="AW770" s="216"/>
      <c r="AX770" s="216"/>
      <c r="AY770" s="216"/>
      <c r="AZ770" s="216"/>
      <c r="BA770" s="216"/>
      <c r="BB770" s="216"/>
      <c r="BC770" s="216"/>
      <c r="BD770" s="216"/>
      <c r="BE770" s="216"/>
      <c r="BF770" s="216"/>
      <c r="BG770" s="216"/>
      <c r="BH770" s="216"/>
      <c r="BI770" s="216"/>
      <c r="BJ770" s="216"/>
      <c r="BK770" s="216"/>
      <c r="BL770" s="216"/>
      <c r="BM770" s="216"/>
      <c r="BN770" s="216"/>
      <c r="BO770" s="216"/>
      <c r="BP770" s="216"/>
      <c r="BQ770" s="216"/>
      <c r="BR770" s="216"/>
    </row>
    <row r="771" spans="1:70" ht="12.75" x14ac:dyDescent="0.2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214"/>
      <c r="L771" s="214"/>
      <c r="M771" s="215"/>
      <c r="N771" s="215"/>
      <c r="O771" s="216"/>
      <c r="P771" s="216"/>
      <c r="Q771" s="216"/>
      <c r="R771" s="216"/>
      <c r="S771" s="216"/>
      <c r="T771" s="216"/>
      <c r="U771" s="216"/>
      <c r="V771" s="216"/>
      <c r="W771" s="216"/>
      <c r="X771" s="216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16"/>
      <c r="AN771" s="216"/>
      <c r="AO771" s="216"/>
      <c r="AP771" s="216"/>
      <c r="AQ771" s="216"/>
      <c r="AR771" s="216"/>
      <c r="AS771" s="216"/>
      <c r="AT771" s="216"/>
      <c r="AU771" s="216"/>
      <c r="AV771" s="216"/>
      <c r="AW771" s="216"/>
      <c r="AX771" s="216"/>
      <c r="AY771" s="216"/>
      <c r="AZ771" s="216"/>
      <c r="BA771" s="216"/>
      <c r="BB771" s="216"/>
      <c r="BC771" s="216"/>
      <c r="BD771" s="216"/>
      <c r="BE771" s="216"/>
      <c r="BF771" s="216"/>
      <c r="BG771" s="216"/>
      <c r="BH771" s="216"/>
      <c r="BI771" s="216"/>
      <c r="BJ771" s="216"/>
      <c r="BK771" s="216"/>
      <c r="BL771" s="216"/>
      <c r="BM771" s="216"/>
      <c r="BN771" s="216"/>
      <c r="BO771" s="216"/>
      <c r="BP771" s="216"/>
      <c r="BQ771" s="216"/>
      <c r="BR771" s="216"/>
    </row>
    <row r="772" spans="1:70" ht="12.75" x14ac:dyDescent="0.2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214"/>
      <c r="L772" s="214"/>
      <c r="M772" s="215"/>
      <c r="N772" s="215"/>
      <c r="O772" s="216"/>
      <c r="P772" s="216"/>
      <c r="Q772" s="216"/>
      <c r="R772" s="216"/>
      <c r="S772" s="216"/>
      <c r="T772" s="216"/>
      <c r="U772" s="216"/>
      <c r="V772" s="216"/>
      <c r="W772" s="216"/>
      <c r="X772" s="216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16"/>
      <c r="AN772" s="216"/>
      <c r="AO772" s="216"/>
      <c r="AP772" s="216"/>
      <c r="AQ772" s="216"/>
      <c r="AR772" s="216"/>
      <c r="AS772" s="216"/>
      <c r="AT772" s="216"/>
      <c r="AU772" s="216"/>
      <c r="AV772" s="216"/>
      <c r="AW772" s="216"/>
      <c r="AX772" s="216"/>
      <c r="AY772" s="216"/>
      <c r="AZ772" s="216"/>
      <c r="BA772" s="216"/>
      <c r="BB772" s="216"/>
      <c r="BC772" s="216"/>
      <c r="BD772" s="216"/>
      <c r="BE772" s="216"/>
      <c r="BF772" s="216"/>
      <c r="BG772" s="216"/>
      <c r="BH772" s="216"/>
      <c r="BI772" s="216"/>
      <c r="BJ772" s="216"/>
      <c r="BK772" s="216"/>
      <c r="BL772" s="216"/>
      <c r="BM772" s="216"/>
      <c r="BN772" s="216"/>
      <c r="BO772" s="216"/>
      <c r="BP772" s="216"/>
      <c r="BQ772" s="216"/>
      <c r="BR772" s="216"/>
    </row>
    <row r="773" spans="1:70" ht="12.75" x14ac:dyDescent="0.2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214"/>
      <c r="L773" s="214"/>
      <c r="M773" s="215"/>
      <c r="N773" s="215"/>
      <c r="O773" s="216"/>
      <c r="P773" s="216"/>
      <c r="Q773" s="216"/>
      <c r="R773" s="216"/>
      <c r="S773" s="216"/>
      <c r="T773" s="216"/>
      <c r="U773" s="216"/>
      <c r="V773" s="216"/>
      <c r="W773" s="216"/>
      <c r="X773" s="216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16"/>
      <c r="AN773" s="216"/>
      <c r="AO773" s="216"/>
      <c r="AP773" s="216"/>
      <c r="AQ773" s="216"/>
      <c r="AR773" s="216"/>
      <c r="AS773" s="216"/>
      <c r="AT773" s="216"/>
      <c r="AU773" s="216"/>
      <c r="AV773" s="216"/>
      <c r="AW773" s="216"/>
      <c r="AX773" s="216"/>
      <c r="AY773" s="216"/>
      <c r="AZ773" s="216"/>
      <c r="BA773" s="216"/>
      <c r="BB773" s="216"/>
      <c r="BC773" s="216"/>
      <c r="BD773" s="216"/>
      <c r="BE773" s="216"/>
      <c r="BF773" s="216"/>
      <c r="BG773" s="216"/>
      <c r="BH773" s="216"/>
      <c r="BI773" s="216"/>
      <c r="BJ773" s="216"/>
      <c r="BK773" s="216"/>
      <c r="BL773" s="216"/>
      <c r="BM773" s="216"/>
      <c r="BN773" s="216"/>
      <c r="BO773" s="216"/>
      <c r="BP773" s="216"/>
      <c r="BQ773" s="216"/>
      <c r="BR773" s="216"/>
    </row>
    <row r="774" spans="1:70" ht="12.75" x14ac:dyDescent="0.2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214"/>
      <c r="L774" s="214"/>
      <c r="M774" s="215"/>
      <c r="N774" s="215"/>
      <c r="O774" s="216"/>
      <c r="P774" s="216"/>
      <c r="Q774" s="216"/>
      <c r="R774" s="216"/>
      <c r="S774" s="216"/>
      <c r="T774" s="216"/>
      <c r="U774" s="216"/>
      <c r="V774" s="216"/>
      <c r="W774" s="216"/>
      <c r="X774" s="216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16"/>
      <c r="AN774" s="216"/>
      <c r="AO774" s="216"/>
      <c r="AP774" s="216"/>
      <c r="AQ774" s="216"/>
      <c r="AR774" s="216"/>
      <c r="AS774" s="216"/>
      <c r="AT774" s="216"/>
      <c r="AU774" s="216"/>
      <c r="AV774" s="216"/>
      <c r="AW774" s="216"/>
      <c r="AX774" s="216"/>
      <c r="AY774" s="216"/>
      <c r="AZ774" s="216"/>
      <c r="BA774" s="216"/>
      <c r="BB774" s="216"/>
      <c r="BC774" s="216"/>
      <c r="BD774" s="216"/>
      <c r="BE774" s="216"/>
      <c r="BF774" s="216"/>
      <c r="BG774" s="216"/>
      <c r="BH774" s="216"/>
      <c r="BI774" s="216"/>
      <c r="BJ774" s="216"/>
      <c r="BK774" s="216"/>
      <c r="BL774" s="216"/>
      <c r="BM774" s="216"/>
      <c r="BN774" s="216"/>
      <c r="BO774" s="216"/>
      <c r="BP774" s="216"/>
      <c r="BQ774" s="216"/>
      <c r="BR774" s="216"/>
    </row>
    <row r="775" spans="1:70" ht="12.75" x14ac:dyDescent="0.2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214"/>
      <c r="L775" s="214"/>
      <c r="M775" s="215"/>
      <c r="N775" s="215"/>
      <c r="O775" s="216"/>
      <c r="P775" s="216"/>
      <c r="Q775" s="216"/>
      <c r="R775" s="216"/>
      <c r="S775" s="216"/>
      <c r="T775" s="216"/>
      <c r="U775" s="216"/>
      <c r="V775" s="216"/>
      <c r="W775" s="216"/>
      <c r="X775" s="216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16"/>
      <c r="AN775" s="216"/>
      <c r="AO775" s="216"/>
      <c r="AP775" s="216"/>
      <c r="AQ775" s="216"/>
      <c r="AR775" s="216"/>
      <c r="AS775" s="216"/>
      <c r="AT775" s="216"/>
      <c r="AU775" s="216"/>
      <c r="AV775" s="216"/>
      <c r="AW775" s="216"/>
      <c r="AX775" s="216"/>
      <c r="AY775" s="216"/>
      <c r="AZ775" s="216"/>
      <c r="BA775" s="216"/>
      <c r="BB775" s="216"/>
      <c r="BC775" s="216"/>
      <c r="BD775" s="216"/>
      <c r="BE775" s="216"/>
      <c r="BF775" s="216"/>
      <c r="BG775" s="216"/>
      <c r="BH775" s="216"/>
      <c r="BI775" s="216"/>
      <c r="BJ775" s="216"/>
      <c r="BK775" s="216"/>
      <c r="BL775" s="216"/>
      <c r="BM775" s="216"/>
      <c r="BN775" s="216"/>
      <c r="BO775" s="216"/>
      <c r="BP775" s="216"/>
      <c r="BQ775" s="216"/>
      <c r="BR775" s="216"/>
    </row>
    <row r="776" spans="1:70" ht="12.75" x14ac:dyDescent="0.2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214"/>
      <c r="L776" s="214"/>
      <c r="M776" s="215"/>
      <c r="N776" s="215"/>
      <c r="O776" s="216"/>
      <c r="P776" s="216"/>
      <c r="Q776" s="216"/>
      <c r="R776" s="216"/>
      <c r="S776" s="216"/>
      <c r="T776" s="216"/>
      <c r="U776" s="216"/>
      <c r="V776" s="216"/>
      <c r="W776" s="216"/>
      <c r="X776" s="216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16"/>
      <c r="AN776" s="216"/>
      <c r="AO776" s="216"/>
      <c r="AP776" s="216"/>
      <c r="AQ776" s="216"/>
      <c r="AR776" s="216"/>
      <c r="AS776" s="216"/>
      <c r="AT776" s="216"/>
      <c r="AU776" s="216"/>
      <c r="AV776" s="216"/>
      <c r="AW776" s="216"/>
      <c r="AX776" s="216"/>
      <c r="AY776" s="216"/>
      <c r="AZ776" s="216"/>
      <c r="BA776" s="216"/>
      <c r="BB776" s="216"/>
      <c r="BC776" s="216"/>
      <c r="BD776" s="216"/>
      <c r="BE776" s="216"/>
      <c r="BF776" s="216"/>
      <c r="BG776" s="216"/>
      <c r="BH776" s="216"/>
      <c r="BI776" s="216"/>
      <c r="BJ776" s="216"/>
      <c r="BK776" s="216"/>
      <c r="BL776" s="216"/>
      <c r="BM776" s="216"/>
      <c r="BN776" s="216"/>
      <c r="BO776" s="216"/>
      <c r="BP776" s="216"/>
      <c r="BQ776" s="216"/>
      <c r="BR776" s="216"/>
    </row>
    <row r="777" spans="1:70" ht="12.75" x14ac:dyDescent="0.2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214"/>
      <c r="L777" s="214"/>
      <c r="M777" s="215"/>
      <c r="N777" s="215"/>
      <c r="O777" s="216"/>
      <c r="P777" s="216"/>
      <c r="Q777" s="216"/>
      <c r="R777" s="216"/>
      <c r="S777" s="216"/>
      <c r="T777" s="216"/>
      <c r="U777" s="216"/>
      <c r="V777" s="216"/>
      <c r="W777" s="216"/>
      <c r="X777" s="216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16"/>
      <c r="AN777" s="216"/>
      <c r="AO777" s="216"/>
      <c r="AP777" s="216"/>
      <c r="AQ777" s="216"/>
      <c r="AR777" s="216"/>
      <c r="AS777" s="216"/>
      <c r="AT777" s="216"/>
      <c r="AU777" s="216"/>
      <c r="AV777" s="216"/>
      <c r="AW777" s="216"/>
      <c r="AX777" s="216"/>
      <c r="AY777" s="216"/>
      <c r="AZ777" s="216"/>
      <c r="BA777" s="216"/>
      <c r="BB777" s="216"/>
      <c r="BC777" s="216"/>
      <c r="BD777" s="216"/>
      <c r="BE777" s="216"/>
      <c r="BF777" s="216"/>
      <c r="BG777" s="216"/>
      <c r="BH777" s="216"/>
      <c r="BI777" s="216"/>
      <c r="BJ777" s="216"/>
      <c r="BK777" s="216"/>
      <c r="BL777" s="216"/>
      <c r="BM777" s="216"/>
      <c r="BN777" s="216"/>
      <c r="BO777" s="216"/>
      <c r="BP777" s="216"/>
      <c r="BQ777" s="216"/>
      <c r="BR777" s="216"/>
    </row>
    <row r="778" spans="1:70" ht="12.75" x14ac:dyDescent="0.2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214"/>
      <c r="L778" s="214"/>
      <c r="M778" s="215"/>
      <c r="N778" s="215"/>
      <c r="O778" s="216"/>
      <c r="P778" s="216"/>
      <c r="Q778" s="216"/>
      <c r="R778" s="216"/>
      <c r="S778" s="216"/>
      <c r="T778" s="216"/>
      <c r="U778" s="216"/>
      <c r="V778" s="216"/>
      <c r="W778" s="216"/>
      <c r="X778" s="216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16"/>
      <c r="AN778" s="216"/>
      <c r="AO778" s="216"/>
      <c r="AP778" s="216"/>
      <c r="AQ778" s="216"/>
      <c r="AR778" s="216"/>
      <c r="AS778" s="216"/>
      <c r="AT778" s="216"/>
      <c r="AU778" s="216"/>
      <c r="AV778" s="216"/>
      <c r="AW778" s="216"/>
      <c r="AX778" s="216"/>
      <c r="AY778" s="216"/>
      <c r="AZ778" s="216"/>
      <c r="BA778" s="216"/>
      <c r="BB778" s="216"/>
      <c r="BC778" s="216"/>
      <c r="BD778" s="216"/>
      <c r="BE778" s="216"/>
      <c r="BF778" s="216"/>
      <c r="BG778" s="216"/>
      <c r="BH778" s="216"/>
      <c r="BI778" s="216"/>
      <c r="BJ778" s="216"/>
      <c r="BK778" s="216"/>
      <c r="BL778" s="216"/>
      <c r="BM778" s="216"/>
      <c r="BN778" s="216"/>
      <c r="BO778" s="216"/>
      <c r="BP778" s="216"/>
      <c r="BQ778" s="216"/>
      <c r="BR778" s="216"/>
    </row>
    <row r="779" spans="1:70" ht="12.75" x14ac:dyDescent="0.2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214"/>
      <c r="L779" s="214"/>
      <c r="M779" s="215"/>
      <c r="N779" s="215"/>
      <c r="O779" s="216"/>
      <c r="P779" s="216"/>
      <c r="Q779" s="216"/>
      <c r="R779" s="216"/>
      <c r="S779" s="216"/>
      <c r="T779" s="216"/>
      <c r="U779" s="216"/>
      <c r="V779" s="216"/>
      <c r="W779" s="216"/>
      <c r="X779" s="216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16"/>
      <c r="AN779" s="216"/>
      <c r="AO779" s="216"/>
      <c r="AP779" s="216"/>
      <c r="AQ779" s="216"/>
      <c r="AR779" s="216"/>
      <c r="AS779" s="216"/>
      <c r="AT779" s="216"/>
      <c r="AU779" s="216"/>
      <c r="AV779" s="216"/>
      <c r="AW779" s="216"/>
      <c r="AX779" s="216"/>
      <c r="AY779" s="216"/>
      <c r="AZ779" s="216"/>
      <c r="BA779" s="216"/>
      <c r="BB779" s="216"/>
      <c r="BC779" s="216"/>
      <c r="BD779" s="216"/>
      <c r="BE779" s="216"/>
      <c r="BF779" s="216"/>
      <c r="BG779" s="216"/>
      <c r="BH779" s="216"/>
      <c r="BI779" s="216"/>
      <c r="BJ779" s="216"/>
      <c r="BK779" s="216"/>
      <c r="BL779" s="216"/>
      <c r="BM779" s="216"/>
      <c r="BN779" s="216"/>
      <c r="BO779" s="216"/>
      <c r="BP779" s="216"/>
      <c r="BQ779" s="216"/>
      <c r="BR779" s="216"/>
    </row>
    <row r="780" spans="1:70" ht="12.75" x14ac:dyDescent="0.2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214"/>
      <c r="L780" s="214"/>
      <c r="M780" s="215"/>
      <c r="N780" s="215"/>
      <c r="O780" s="216"/>
      <c r="P780" s="216"/>
      <c r="Q780" s="216"/>
      <c r="R780" s="216"/>
      <c r="S780" s="216"/>
      <c r="T780" s="216"/>
      <c r="U780" s="216"/>
      <c r="V780" s="216"/>
      <c r="W780" s="216"/>
      <c r="X780" s="216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16"/>
      <c r="AN780" s="216"/>
      <c r="AO780" s="216"/>
      <c r="AP780" s="216"/>
      <c r="AQ780" s="216"/>
      <c r="AR780" s="216"/>
      <c r="AS780" s="216"/>
      <c r="AT780" s="216"/>
      <c r="AU780" s="216"/>
      <c r="AV780" s="216"/>
      <c r="AW780" s="216"/>
      <c r="AX780" s="216"/>
      <c r="AY780" s="216"/>
      <c r="AZ780" s="216"/>
      <c r="BA780" s="216"/>
      <c r="BB780" s="216"/>
      <c r="BC780" s="216"/>
      <c r="BD780" s="216"/>
      <c r="BE780" s="216"/>
      <c r="BF780" s="216"/>
      <c r="BG780" s="216"/>
      <c r="BH780" s="216"/>
      <c r="BI780" s="216"/>
      <c r="BJ780" s="216"/>
      <c r="BK780" s="216"/>
      <c r="BL780" s="216"/>
      <c r="BM780" s="216"/>
      <c r="BN780" s="216"/>
      <c r="BO780" s="216"/>
      <c r="BP780" s="216"/>
      <c r="BQ780" s="216"/>
      <c r="BR780" s="216"/>
    </row>
    <row r="781" spans="1:70" ht="12.75" x14ac:dyDescent="0.2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214"/>
      <c r="L781" s="214"/>
      <c r="M781" s="215"/>
      <c r="N781" s="215"/>
      <c r="O781" s="216"/>
      <c r="P781" s="216"/>
      <c r="Q781" s="216"/>
      <c r="R781" s="216"/>
      <c r="S781" s="216"/>
      <c r="T781" s="216"/>
      <c r="U781" s="216"/>
      <c r="V781" s="216"/>
      <c r="W781" s="216"/>
      <c r="X781" s="216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16"/>
      <c r="AN781" s="216"/>
      <c r="AO781" s="216"/>
      <c r="AP781" s="216"/>
      <c r="AQ781" s="216"/>
      <c r="AR781" s="216"/>
      <c r="AS781" s="216"/>
      <c r="AT781" s="216"/>
      <c r="AU781" s="216"/>
      <c r="AV781" s="216"/>
      <c r="AW781" s="216"/>
      <c r="AX781" s="216"/>
      <c r="AY781" s="216"/>
      <c r="AZ781" s="216"/>
      <c r="BA781" s="216"/>
      <c r="BB781" s="216"/>
      <c r="BC781" s="216"/>
      <c r="BD781" s="216"/>
      <c r="BE781" s="216"/>
      <c r="BF781" s="216"/>
      <c r="BG781" s="216"/>
      <c r="BH781" s="216"/>
      <c r="BI781" s="216"/>
      <c r="BJ781" s="216"/>
      <c r="BK781" s="216"/>
      <c r="BL781" s="216"/>
      <c r="BM781" s="216"/>
      <c r="BN781" s="216"/>
      <c r="BO781" s="216"/>
      <c r="BP781" s="216"/>
      <c r="BQ781" s="216"/>
      <c r="BR781" s="216"/>
    </row>
    <row r="782" spans="1:70" ht="12.75" x14ac:dyDescent="0.2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214"/>
      <c r="L782" s="214"/>
      <c r="M782" s="215"/>
      <c r="N782" s="215"/>
      <c r="O782" s="216"/>
      <c r="P782" s="216"/>
      <c r="Q782" s="216"/>
      <c r="R782" s="216"/>
      <c r="S782" s="216"/>
      <c r="T782" s="216"/>
      <c r="U782" s="216"/>
      <c r="V782" s="216"/>
      <c r="W782" s="216"/>
      <c r="X782" s="216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16"/>
      <c r="AN782" s="216"/>
      <c r="AO782" s="216"/>
      <c r="AP782" s="216"/>
      <c r="AQ782" s="216"/>
      <c r="AR782" s="216"/>
      <c r="AS782" s="216"/>
      <c r="AT782" s="216"/>
      <c r="AU782" s="216"/>
      <c r="AV782" s="216"/>
      <c r="AW782" s="216"/>
      <c r="AX782" s="216"/>
      <c r="AY782" s="216"/>
      <c r="AZ782" s="216"/>
      <c r="BA782" s="216"/>
      <c r="BB782" s="216"/>
      <c r="BC782" s="216"/>
      <c r="BD782" s="216"/>
      <c r="BE782" s="216"/>
      <c r="BF782" s="216"/>
      <c r="BG782" s="216"/>
      <c r="BH782" s="216"/>
      <c r="BI782" s="216"/>
      <c r="BJ782" s="216"/>
      <c r="BK782" s="216"/>
      <c r="BL782" s="216"/>
      <c r="BM782" s="216"/>
      <c r="BN782" s="216"/>
      <c r="BO782" s="216"/>
      <c r="BP782" s="216"/>
      <c r="BQ782" s="216"/>
      <c r="BR782" s="216"/>
    </row>
    <row r="783" spans="1:70" ht="12.75" x14ac:dyDescent="0.2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214"/>
      <c r="L783" s="214"/>
      <c r="M783" s="215"/>
      <c r="N783" s="215"/>
      <c r="O783" s="216"/>
      <c r="P783" s="216"/>
      <c r="Q783" s="216"/>
      <c r="R783" s="216"/>
      <c r="S783" s="216"/>
      <c r="T783" s="216"/>
      <c r="U783" s="216"/>
      <c r="V783" s="216"/>
      <c r="W783" s="216"/>
      <c r="X783" s="216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  <c r="AM783" s="216"/>
      <c r="AN783" s="216"/>
      <c r="AO783" s="216"/>
      <c r="AP783" s="216"/>
      <c r="AQ783" s="216"/>
      <c r="AR783" s="216"/>
      <c r="AS783" s="216"/>
      <c r="AT783" s="216"/>
      <c r="AU783" s="216"/>
      <c r="AV783" s="216"/>
      <c r="AW783" s="216"/>
      <c r="AX783" s="216"/>
      <c r="AY783" s="216"/>
      <c r="AZ783" s="216"/>
      <c r="BA783" s="216"/>
      <c r="BB783" s="216"/>
      <c r="BC783" s="216"/>
      <c r="BD783" s="216"/>
      <c r="BE783" s="216"/>
      <c r="BF783" s="216"/>
      <c r="BG783" s="216"/>
      <c r="BH783" s="216"/>
      <c r="BI783" s="216"/>
      <c r="BJ783" s="216"/>
      <c r="BK783" s="216"/>
      <c r="BL783" s="216"/>
      <c r="BM783" s="216"/>
      <c r="BN783" s="216"/>
      <c r="BO783" s="216"/>
      <c r="BP783" s="216"/>
      <c r="BQ783" s="216"/>
      <c r="BR783" s="216"/>
    </row>
    <row r="784" spans="1:70" ht="12.75" x14ac:dyDescent="0.2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214"/>
      <c r="L784" s="214"/>
      <c r="M784" s="215"/>
      <c r="N784" s="215"/>
      <c r="O784" s="216"/>
      <c r="P784" s="216"/>
      <c r="Q784" s="216"/>
      <c r="R784" s="216"/>
      <c r="S784" s="216"/>
      <c r="T784" s="216"/>
      <c r="U784" s="216"/>
      <c r="V784" s="216"/>
      <c r="W784" s="216"/>
      <c r="X784" s="216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  <c r="AM784" s="216"/>
      <c r="AN784" s="216"/>
      <c r="AO784" s="216"/>
      <c r="AP784" s="216"/>
      <c r="AQ784" s="216"/>
      <c r="AR784" s="216"/>
      <c r="AS784" s="216"/>
      <c r="AT784" s="216"/>
      <c r="AU784" s="216"/>
      <c r="AV784" s="216"/>
      <c r="AW784" s="216"/>
      <c r="AX784" s="216"/>
      <c r="AY784" s="216"/>
      <c r="AZ784" s="216"/>
      <c r="BA784" s="216"/>
      <c r="BB784" s="216"/>
      <c r="BC784" s="216"/>
      <c r="BD784" s="216"/>
      <c r="BE784" s="216"/>
      <c r="BF784" s="216"/>
      <c r="BG784" s="216"/>
      <c r="BH784" s="216"/>
      <c r="BI784" s="216"/>
      <c r="BJ784" s="216"/>
      <c r="BK784" s="216"/>
      <c r="BL784" s="216"/>
      <c r="BM784" s="216"/>
      <c r="BN784" s="216"/>
      <c r="BO784" s="216"/>
      <c r="BP784" s="216"/>
      <c r="BQ784" s="216"/>
      <c r="BR784" s="216"/>
    </row>
    <row r="785" spans="1:70" ht="12.75" x14ac:dyDescent="0.2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214"/>
      <c r="L785" s="214"/>
      <c r="M785" s="215"/>
      <c r="N785" s="215"/>
      <c r="O785" s="216"/>
      <c r="P785" s="216"/>
      <c r="Q785" s="216"/>
      <c r="R785" s="216"/>
      <c r="S785" s="216"/>
      <c r="T785" s="216"/>
      <c r="U785" s="216"/>
      <c r="V785" s="216"/>
      <c r="W785" s="216"/>
      <c r="X785" s="216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  <c r="AM785" s="216"/>
      <c r="AN785" s="216"/>
      <c r="AO785" s="216"/>
      <c r="AP785" s="216"/>
      <c r="AQ785" s="216"/>
      <c r="AR785" s="216"/>
      <c r="AS785" s="216"/>
      <c r="AT785" s="216"/>
      <c r="AU785" s="216"/>
      <c r="AV785" s="216"/>
      <c r="AW785" s="216"/>
      <c r="AX785" s="216"/>
      <c r="AY785" s="216"/>
      <c r="AZ785" s="216"/>
      <c r="BA785" s="216"/>
      <c r="BB785" s="216"/>
      <c r="BC785" s="216"/>
      <c r="BD785" s="216"/>
      <c r="BE785" s="216"/>
      <c r="BF785" s="216"/>
      <c r="BG785" s="216"/>
      <c r="BH785" s="216"/>
      <c r="BI785" s="216"/>
      <c r="BJ785" s="216"/>
      <c r="BK785" s="216"/>
      <c r="BL785" s="216"/>
      <c r="BM785" s="216"/>
      <c r="BN785" s="216"/>
      <c r="BO785" s="216"/>
      <c r="BP785" s="216"/>
      <c r="BQ785" s="216"/>
      <c r="BR785" s="216"/>
    </row>
    <row r="786" spans="1:70" ht="12.75" x14ac:dyDescent="0.2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214"/>
      <c r="L786" s="214"/>
      <c r="M786" s="215"/>
      <c r="N786" s="215"/>
      <c r="O786" s="216"/>
      <c r="P786" s="216"/>
      <c r="Q786" s="216"/>
      <c r="R786" s="216"/>
      <c r="S786" s="216"/>
      <c r="T786" s="216"/>
      <c r="U786" s="216"/>
      <c r="V786" s="216"/>
      <c r="W786" s="216"/>
      <c r="X786" s="216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  <c r="AM786" s="216"/>
      <c r="AN786" s="216"/>
      <c r="AO786" s="216"/>
      <c r="AP786" s="216"/>
      <c r="AQ786" s="216"/>
      <c r="AR786" s="216"/>
      <c r="AS786" s="216"/>
      <c r="AT786" s="216"/>
      <c r="AU786" s="216"/>
      <c r="AV786" s="216"/>
      <c r="AW786" s="216"/>
      <c r="AX786" s="216"/>
      <c r="AY786" s="216"/>
      <c r="AZ786" s="216"/>
      <c r="BA786" s="216"/>
      <c r="BB786" s="216"/>
      <c r="BC786" s="216"/>
      <c r="BD786" s="216"/>
      <c r="BE786" s="216"/>
      <c r="BF786" s="216"/>
      <c r="BG786" s="216"/>
      <c r="BH786" s="216"/>
      <c r="BI786" s="216"/>
      <c r="BJ786" s="216"/>
      <c r="BK786" s="216"/>
      <c r="BL786" s="216"/>
      <c r="BM786" s="216"/>
      <c r="BN786" s="216"/>
      <c r="BO786" s="216"/>
      <c r="BP786" s="216"/>
      <c r="BQ786" s="216"/>
      <c r="BR786" s="216"/>
    </row>
    <row r="787" spans="1:70" ht="12.75" x14ac:dyDescent="0.2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214"/>
      <c r="L787" s="214"/>
      <c r="M787" s="215"/>
      <c r="N787" s="215"/>
      <c r="O787" s="216"/>
      <c r="P787" s="216"/>
      <c r="Q787" s="216"/>
      <c r="R787" s="216"/>
      <c r="S787" s="216"/>
      <c r="T787" s="216"/>
      <c r="U787" s="216"/>
      <c r="V787" s="216"/>
      <c r="W787" s="216"/>
      <c r="X787" s="216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  <c r="AM787" s="216"/>
      <c r="AN787" s="216"/>
      <c r="AO787" s="216"/>
      <c r="AP787" s="216"/>
      <c r="AQ787" s="216"/>
      <c r="AR787" s="216"/>
      <c r="AS787" s="216"/>
      <c r="AT787" s="216"/>
      <c r="AU787" s="216"/>
      <c r="AV787" s="216"/>
      <c r="AW787" s="216"/>
      <c r="AX787" s="216"/>
      <c r="AY787" s="216"/>
      <c r="AZ787" s="216"/>
      <c r="BA787" s="216"/>
      <c r="BB787" s="216"/>
      <c r="BC787" s="216"/>
      <c r="BD787" s="216"/>
      <c r="BE787" s="216"/>
      <c r="BF787" s="216"/>
      <c r="BG787" s="216"/>
      <c r="BH787" s="216"/>
      <c r="BI787" s="216"/>
      <c r="BJ787" s="216"/>
      <c r="BK787" s="216"/>
      <c r="BL787" s="216"/>
      <c r="BM787" s="216"/>
      <c r="BN787" s="216"/>
      <c r="BO787" s="216"/>
      <c r="BP787" s="216"/>
      <c r="BQ787" s="216"/>
      <c r="BR787" s="216"/>
    </row>
    <row r="788" spans="1:70" ht="12.75" x14ac:dyDescent="0.2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214"/>
      <c r="L788" s="214"/>
      <c r="M788" s="215"/>
      <c r="N788" s="215"/>
      <c r="O788" s="216"/>
      <c r="P788" s="216"/>
      <c r="Q788" s="216"/>
      <c r="R788" s="216"/>
      <c r="S788" s="216"/>
      <c r="T788" s="216"/>
      <c r="U788" s="216"/>
      <c r="V788" s="216"/>
      <c r="W788" s="216"/>
      <c r="X788" s="216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  <c r="AM788" s="216"/>
      <c r="AN788" s="216"/>
      <c r="AO788" s="216"/>
      <c r="AP788" s="216"/>
      <c r="AQ788" s="216"/>
      <c r="AR788" s="216"/>
      <c r="AS788" s="216"/>
      <c r="AT788" s="216"/>
      <c r="AU788" s="216"/>
      <c r="AV788" s="216"/>
      <c r="AW788" s="216"/>
      <c r="AX788" s="216"/>
      <c r="AY788" s="216"/>
      <c r="AZ788" s="216"/>
      <c r="BA788" s="216"/>
      <c r="BB788" s="216"/>
      <c r="BC788" s="216"/>
      <c r="BD788" s="216"/>
      <c r="BE788" s="216"/>
      <c r="BF788" s="216"/>
      <c r="BG788" s="216"/>
      <c r="BH788" s="216"/>
      <c r="BI788" s="216"/>
      <c r="BJ788" s="216"/>
      <c r="BK788" s="216"/>
      <c r="BL788" s="216"/>
      <c r="BM788" s="216"/>
      <c r="BN788" s="216"/>
      <c r="BO788" s="216"/>
      <c r="BP788" s="216"/>
      <c r="BQ788" s="216"/>
      <c r="BR788" s="216"/>
    </row>
    <row r="789" spans="1:70" ht="12.75" x14ac:dyDescent="0.2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214"/>
      <c r="L789" s="214"/>
      <c r="M789" s="215"/>
      <c r="N789" s="215"/>
      <c r="O789" s="216"/>
      <c r="P789" s="216"/>
      <c r="Q789" s="216"/>
      <c r="R789" s="216"/>
      <c r="S789" s="216"/>
      <c r="T789" s="216"/>
      <c r="U789" s="216"/>
      <c r="V789" s="216"/>
      <c r="W789" s="216"/>
      <c r="X789" s="216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  <c r="AM789" s="216"/>
      <c r="AN789" s="216"/>
      <c r="AO789" s="216"/>
      <c r="AP789" s="216"/>
      <c r="AQ789" s="216"/>
      <c r="AR789" s="216"/>
      <c r="AS789" s="216"/>
      <c r="AT789" s="216"/>
      <c r="AU789" s="216"/>
      <c r="AV789" s="216"/>
      <c r="AW789" s="216"/>
      <c r="AX789" s="216"/>
      <c r="AY789" s="216"/>
      <c r="AZ789" s="216"/>
      <c r="BA789" s="216"/>
      <c r="BB789" s="216"/>
      <c r="BC789" s="216"/>
      <c r="BD789" s="216"/>
      <c r="BE789" s="216"/>
      <c r="BF789" s="216"/>
      <c r="BG789" s="216"/>
      <c r="BH789" s="216"/>
      <c r="BI789" s="216"/>
      <c r="BJ789" s="216"/>
      <c r="BK789" s="216"/>
      <c r="BL789" s="216"/>
      <c r="BM789" s="216"/>
      <c r="BN789" s="216"/>
      <c r="BO789" s="216"/>
      <c r="BP789" s="216"/>
      <c r="BQ789" s="216"/>
      <c r="BR789" s="216"/>
    </row>
    <row r="790" spans="1:70" ht="12.75" x14ac:dyDescent="0.2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214"/>
      <c r="L790" s="214"/>
      <c r="M790" s="215"/>
      <c r="N790" s="215"/>
      <c r="O790" s="216"/>
      <c r="P790" s="216"/>
      <c r="Q790" s="216"/>
      <c r="R790" s="216"/>
      <c r="S790" s="216"/>
      <c r="T790" s="216"/>
      <c r="U790" s="216"/>
      <c r="V790" s="216"/>
      <c r="W790" s="216"/>
      <c r="X790" s="216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  <c r="AM790" s="216"/>
      <c r="AN790" s="216"/>
      <c r="AO790" s="216"/>
      <c r="AP790" s="216"/>
      <c r="AQ790" s="216"/>
      <c r="AR790" s="216"/>
      <c r="AS790" s="216"/>
      <c r="AT790" s="216"/>
      <c r="AU790" s="216"/>
      <c r="AV790" s="216"/>
      <c r="AW790" s="216"/>
      <c r="AX790" s="216"/>
      <c r="AY790" s="216"/>
      <c r="AZ790" s="216"/>
      <c r="BA790" s="216"/>
      <c r="BB790" s="216"/>
      <c r="BC790" s="216"/>
      <c r="BD790" s="216"/>
      <c r="BE790" s="216"/>
      <c r="BF790" s="216"/>
      <c r="BG790" s="216"/>
      <c r="BH790" s="216"/>
      <c r="BI790" s="216"/>
      <c r="BJ790" s="216"/>
      <c r="BK790" s="216"/>
      <c r="BL790" s="216"/>
      <c r="BM790" s="216"/>
      <c r="BN790" s="216"/>
      <c r="BO790" s="216"/>
      <c r="BP790" s="216"/>
      <c r="BQ790" s="216"/>
      <c r="BR790" s="216"/>
    </row>
    <row r="791" spans="1:70" ht="12.75" x14ac:dyDescent="0.2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214"/>
      <c r="L791" s="214"/>
      <c r="M791" s="215"/>
      <c r="N791" s="215"/>
      <c r="O791" s="216"/>
      <c r="P791" s="216"/>
      <c r="Q791" s="216"/>
      <c r="R791" s="216"/>
      <c r="S791" s="216"/>
      <c r="T791" s="216"/>
      <c r="U791" s="216"/>
      <c r="V791" s="216"/>
      <c r="W791" s="216"/>
      <c r="X791" s="216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  <c r="AM791" s="216"/>
      <c r="AN791" s="216"/>
      <c r="AO791" s="216"/>
      <c r="AP791" s="216"/>
      <c r="AQ791" s="216"/>
      <c r="AR791" s="216"/>
      <c r="AS791" s="216"/>
      <c r="AT791" s="216"/>
      <c r="AU791" s="216"/>
      <c r="AV791" s="216"/>
      <c r="AW791" s="216"/>
      <c r="AX791" s="216"/>
      <c r="AY791" s="216"/>
      <c r="AZ791" s="216"/>
      <c r="BA791" s="216"/>
      <c r="BB791" s="216"/>
      <c r="BC791" s="216"/>
      <c r="BD791" s="216"/>
      <c r="BE791" s="216"/>
      <c r="BF791" s="216"/>
      <c r="BG791" s="216"/>
      <c r="BH791" s="216"/>
      <c r="BI791" s="216"/>
      <c r="BJ791" s="216"/>
      <c r="BK791" s="216"/>
      <c r="BL791" s="216"/>
      <c r="BM791" s="216"/>
      <c r="BN791" s="216"/>
      <c r="BO791" s="216"/>
      <c r="BP791" s="216"/>
      <c r="BQ791" s="216"/>
      <c r="BR791" s="216"/>
    </row>
    <row r="792" spans="1:70" ht="12.75" x14ac:dyDescent="0.2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214"/>
      <c r="L792" s="214"/>
      <c r="M792" s="215"/>
      <c r="N792" s="215"/>
      <c r="O792" s="216"/>
      <c r="P792" s="216"/>
      <c r="Q792" s="216"/>
      <c r="R792" s="216"/>
      <c r="S792" s="216"/>
      <c r="T792" s="216"/>
      <c r="U792" s="216"/>
      <c r="V792" s="216"/>
      <c r="W792" s="216"/>
      <c r="X792" s="216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16"/>
      <c r="AN792" s="216"/>
      <c r="AO792" s="216"/>
      <c r="AP792" s="216"/>
      <c r="AQ792" s="216"/>
      <c r="AR792" s="216"/>
      <c r="AS792" s="216"/>
      <c r="AT792" s="216"/>
      <c r="AU792" s="216"/>
      <c r="AV792" s="216"/>
      <c r="AW792" s="216"/>
      <c r="AX792" s="216"/>
      <c r="AY792" s="216"/>
      <c r="AZ792" s="216"/>
      <c r="BA792" s="216"/>
      <c r="BB792" s="216"/>
      <c r="BC792" s="216"/>
      <c r="BD792" s="216"/>
      <c r="BE792" s="216"/>
      <c r="BF792" s="216"/>
      <c r="BG792" s="216"/>
      <c r="BH792" s="216"/>
      <c r="BI792" s="216"/>
      <c r="BJ792" s="216"/>
      <c r="BK792" s="216"/>
      <c r="BL792" s="216"/>
      <c r="BM792" s="216"/>
      <c r="BN792" s="216"/>
      <c r="BO792" s="216"/>
      <c r="BP792" s="216"/>
      <c r="BQ792" s="216"/>
      <c r="BR792" s="216"/>
    </row>
    <row r="793" spans="1:70" ht="12.75" x14ac:dyDescent="0.2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214"/>
      <c r="L793" s="214"/>
      <c r="M793" s="215"/>
      <c r="N793" s="215"/>
      <c r="O793" s="216"/>
      <c r="P793" s="216"/>
      <c r="Q793" s="216"/>
      <c r="R793" s="216"/>
      <c r="S793" s="216"/>
      <c r="T793" s="216"/>
      <c r="U793" s="216"/>
      <c r="V793" s="216"/>
      <c r="W793" s="216"/>
      <c r="X793" s="216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16"/>
      <c r="AN793" s="216"/>
      <c r="AO793" s="216"/>
      <c r="AP793" s="216"/>
      <c r="AQ793" s="216"/>
      <c r="AR793" s="216"/>
      <c r="AS793" s="216"/>
      <c r="AT793" s="216"/>
      <c r="AU793" s="216"/>
      <c r="AV793" s="216"/>
      <c r="AW793" s="216"/>
      <c r="AX793" s="216"/>
      <c r="AY793" s="216"/>
      <c r="AZ793" s="216"/>
      <c r="BA793" s="216"/>
      <c r="BB793" s="216"/>
      <c r="BC793" s="216"/>
      <c r="BD793" s="216"/>
      <c r="BE793" s="216"/>
      <c r="BF793" s="216"/>
      <c r="BG793" s="216"/>
      <c r="BH793" s="216"/>
      <c r="BI793" s="216"/>
      <c r="BJ793" s="216"/>
      <c r="BK793" s="216"/>
      <c r="BL793" s="216"/>
      <c r="BM793" s="216"/>
      <c r="BN793" s="216"/>
      <c r="BO793" s="216"/>
      <c r="BP793" s="216"/>
      <c r="BQ793" s="216"/>
      <c r="BR793" s="216"/>
    </row>
    <row r="794" spans="1:70" ht="12.75" x14ac:dyDescent="0.2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214"/>
      <c r="L794" s="214"/>
      <c r="M794" s="215"/>
      <c r="N794" s="215"/>
      <c r="O794" s="216"/>
      <c r="P794" s="216"/>
      <c r="Q794" s="216"/>
      <c r="R794" s="216"/>
      <c r="S794" s="216"/>
      <c r="T794" s="216"/>
      <c r="U794" s="216"/>
      <c r="V794" s="216"/>
      <c r="W794" s="216"/>
      <c r="X794" s="216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16"/>
      <c r="AN794" s="216"/>
      <c r="AO794" s="216"/>
      <c r="AP794" s="216"/>
      <c r="AQ794" s="216"/>
      <c r="AR794" s="216"/>
      <c r="AS794" s="216"/>
      <c r="AT794" s="216"/>
      <c r="AU794" s="216"/>
      <c r="AV794" s="216"/>
      <c r="AW794" s="216"/>
      <c r="AX794" s="216"/>
      <c r="AY794" s="216"/>
      <c r="AZ794" s="216"/>
      <c r="BA794" s="216"/>
      <c r="BB794" s="216"/>
      <c r="BC794" s="216"/>
      <c r="BD794" s="216"/>
      <c r="BE794" s="216"/>
      <c r="BF794" s="216"/>
      <c r="BG794" s="216"/>
      <c r="BH794" s="216"/>
      <c r="BI794" s="216"/>
      <c r="BJ794" s="216"/>
      <c r="BK794" s="216"/>
      <c r="BL794" s="216"/>
      <c r="BM794" s="216"/>
      <c r="BN794" s="216"/>
      <c r="BO794" s="216"/>
      <c r="BP794" s="216"/>
      <c r="BQ794" s="216"/>
      <c r="BR794" s="216"/>
    </row>
    <row r="795" spans="1:70" ht="12.75" x14ac:dyDescent="0.2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214"/>
      <c r="L795" s="214"/>
      <c r="M795" s="215"/>
      <c r="N795" s="215"/>
      <c r="O795" s="216"/>
      <c r="P795" s="216"/>
      <c r="Q795" s="216"/>
      <c r="R795" s="216"/>
      <c r="S795" s="216"/>
      <c r="T795" s="216"/>
      <c r="U795" s="216"/>
      <c r="V795" s="216"/>
      <c r="W795" s="216"/>
      <c r="X795" s="216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16"/>
      <c r="AN795" s="216"/>
      <c r="AO795" s="216"/>
      <c r="AP795" s="216"/>
      <c r="AQ795" s="216"/>
      <c r="AR795" s="216"/>
      <c r="AS795" s="216"/>
      <c r="AT795" s="216"/>
      <c r="AU795" s="216"/>
      <c r="AV795" s="216"/>
      <c r="AW795" s="216"/>
      <c r="AX795" s="216"/>
      <c r="AY795" s="216"/>
      <c r="AZ795" s="216"/>
      <c r="BA795" s="216"/>
      <c r="BB795" s="216"/>
      <c r="BC795" s="216"/>
      <c r="BD795" s="216"/>
      <c r="BE795" s="216"/>
      <c r="BF795" s="216"/>
      <c r="BG795" s="216"/>
      <c r="BH795" s="216"/>
      <c r="BI795" s="216"/>
      <c r="BJ795" s="216"/>
      <c r="BK795" s="216"/>
      <c r="BL795" s="216"/>
      <c r="BM795" s="216"/>
      <c r="BN795" s="216"/>
      <c r="BO795" s="216"/>
      <c r="BP795" s="216"/>
      <c r="BQ795" s="216"/>
      <c r="BR795" s="216"/>
    </row>
    <row r="796" spans="1:70" ht="12.75" x14ac:dyDescent="0.2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214"/>
      <c r="L796" s="214"/>
      <c r="M796" s="215"/>
      <c r="N796" s="215"/>
      <c r="O796" s="216"/>
      <c r="P796" s="216"/>
      <c r="Q796" s="216"/>
      <c r="R796" s="216"/>
      <c r="S796" s="216"/>
      <c r="T796" s="216"/>
      <c r="U796" s="216"/>
      <c r="V796" s="216"/>
      <c r="W796" s="216"/>
      <c r="X796" s="216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16"/>
      <c r="AN796" s="216"/>
      <c r="AO796" s="216"/>
      <c r="AP796" s="216"/>
      <c r="AQ796" s="216"/>
      <c r="AR796" s="216"/>
      <c r="AS796" s="216"/>
      <c r="AT796" s="216"/>
      <c r="AU796" s="216"/>
      <c r="AV796" s="216"/>
      <c r="AW796" s="216"/>
      <c r="AX796" s="216"/>
      <c r="AY796" s="216"/>
      <c r="AZ796" s="216"/>
      <c r="BA796" s="216"/>
      <c r="BB796" s="216"/>
      <c r="BC796" s="216"/>
      <c r="BD796" s="216"/>
      <c r="BE796" s="216"/>
      <c r="BF796" s="216"/>
      <c r="BG796" s="216"/>
      <c r="BH796" s="216"/>
      <c r="BI796" s="216"/>
      <c r="BJ796" s="216"/>
      <c r="BK796" s="216"/>
      <c r="BL796" s="216"/>
      <c r="BM796" s="216"/>
      <c r="BN796" s="216"/>
      <c r="BO796" s="216"/>
      <c r="BP796" s="216"/>
      <c r="BQ796" s="216"/>
      <c r="BR796" s="216"/>
    </row>
    <row r="797" spans="1:70" ht="12.75" x14ac:dyDescent="0.2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214"/>
      <c r="L797" s="214"/>
      <c r="M797" s="215"/>
      <c r="N797" s="215"/>
      <c r="O797" s="216"/>
      <c r="P797" s="216"/>
      <c r="Q797" s="216"/>
      <c r="R797" s="216"/>
      <c r="S797" s="216"/>
      <c r="T797" s="216"/>
      <c r="U797" s="216"/>
      <c r="V797" s="216"/>
      <c r="W797" s="216"/>
      <c r="X797" s="216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16"/>
      <c r="AN797" s="216"/>
      <c r="AO797" s="216"/>
      <c r="AP797" s="216"/>
      <c r="AQ797" s="216"/>
      <c r="AR797" s="216"/>
      <c r="AS797" s="216"/>
      <c r="AT797" s="216"/>
      <c r="AU797" s="216"/>
      <c r="AV797" s="216"/>
      <c r="AW797" s="216"/>
      <c r="AX797" s="216"/>
      <c r="AY797" s="216"/>
      <c r="AZ797" s="216"/>
      <c r="BA797" s="216"/>
      <c r="BB797" s="216"/>
      <c r="BC797" s="216"/>
      <c r="BD797" s="216"/>
      <c r="BE797" s="216"/>
      <c r="BF797" s="216"/>
      <c r="BG797" s="216"/>
      <c r="BH797" s="216"/>
      <c r="BI797" s="216"/>
      <c r="BJ797" s="216"/>
      <c r="BK797" s="216"/>
      <c r="BL797" s="216"/>
      <c r="BM797" s="216"/>
      <c r="BN797" s="216"/>
      <c r="BO797" s="216"/>
      <c r="BP797" s="216"/>
      <c r="BQ797" s="216"/>
      <c r="BR797" s="216"/>
    </row>
    <row r="798" spans="1:70" ht="12.75" x14ac:dyDescent="0.2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214"/>
      <c r="L798" s="214"/>
      <c r="M798" s="215"/>
      <c r="N798" s="215"/>
      <c r="O798" s="216"/>
      <c r="P798" s="216"/>
      <c r="Q798" s="216"/>
      <c r="R798" s="216"/>
      <c r="S798" s="216"/>
      <c r="T798" s="216"/>
      <c r="U798" s="216"/>
      <c r="V798" s="216"/>
      <c r="W798" s="216"/>
      <c r="X798" s="216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16"/>
      <c r="AN798" s="216"/>
      <c r="AO798" s="216"/>
      <c r="AP798" s="216"/>
      <c r="AQ798" s="216"/>
      <c r="AR798" s="216"/>
      <c r="AS798" s="216"/>
      <c r="AT798" s="216"/>
      <c r="AU798" s="216"/>
      <c r="AV798" s="216"/>
      <c r="AW798" s="216"/>
      <c r="AX798" s="216"/>
      <c r="AY798" s="216"/>
      <c r="AZ798" s="216"/>
      <c r="BA798" s="216"/>
      <c r="BB798" s="216"/>
      <c r="BC798" s="216"/>
      <c r="BD798" s="216"/>
      <c r="BE798" s="216"/>
      <c r="BF798" s="216"/>
      <c r="BG798" s="216"/>
      <c r="BH798" s="216"/>
      <c r="BI798" s="216"/>
      <c r="BJ798" s="216"/>
      <c r="BK798" s="216"/>
      <c r="BL798" s="216"/>
      <c r="BM798" s="216"/>
      <c r="BN798" s="216"/>
      <c r="BO798" s="216"/>
      <c r="BP798" s="216"/>
      <c r="BQ798" s="216"/>
      <c r="BR798" s="216"/>
    </row>
    <row r="799" spans="1:70" ht="12.75" x14ac:dyDescent="0.2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214"/>
      <c r="L799" s="214"/>
      <c r="M799" s="215"/>
      <c r="N799" s="215"/>
      <c r="O799" s="216"/>
      <c r="P799" s="216"/>
      <c r="Q799" s="216"/>
      <c r="R799" s="216"/>
      <c r="S799" s="216"/>
      <c r="T799" s="216"/>
      <c r="U799" s="216"/>
      <c r="V799" s="216"/>
      <c r="W799" s="216"/>
      <c r="X799" s="216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16"/>
      <c r="AN799" s="216"/>
      <c r="AO799" s="216"/>
      <c r="AP799" s="216"/>
      <c r="AQ799" s="216"/>
      <c r="AR799" s="216"/>
      <c r="AS799" s="216"/>
      <c r="AT799" s="216"/>
      <c r="AU799" s="216"/>
      <c r="AV799" s="216"/>
      <c r="AW799" s="216"/>
      <c r="AX799" s="216"/>
      <c r="AY799" s="216"/>
      <c r="AZ799" s="216"/>
      <c r="BA799" s="216"/>
      <c r="BB799" s="216"/>
      <c r="BC799" s="216"/>
      <c r="BD799" s="216"/>
      <c r="BE799" s="216"/>
      <c r="BF799" s="216"/>
      <c r="BG799" s="216"/>
      <c r="BH799" s="216"/>
      <c r="BI799" s="216"/>
      <c r="BJ799" s="216"/>
      <c r="BK799" s="216"/>
      <c r="BL799" s="216"/>
      <c r="BM799" s="216"/>
      <c r="BN799" s="216"/>
      <c r="BO799" s="216"/>
      <c r="BP799" s="216"/>
      <c r="BQ799" s="216"/>
      <c r="BR799" s="216"/>
    </row>
    <row r="800" spans="1:70" ht="12.75" x14ac:dyDescent="0.2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214"/>
      <c r="L800" s="214"/>
      <c r="M800" s="215"/>
      <c r="N800" s="215"/>
      <c r="O800" s="216"/>
      <c r="P800" s="216"/>
      <c r="Q800" s="216"/>
      <c r="R800" s="216"/>
      <c r="S800" s="216"/>
      <c r="T800" s="216"/>
      <c r="U800" s="216"/>
      <c r="V800" s="216"/>
      <c r="W800" s="216"/>
      <c r="X800" s="216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16"/>
      <c r="AN800" s="216"/>
      <c r="AO800" s="216"/>
      <c r="AP800" s="216"/>
      <c r="AQ800" s="216"/>
      <c r="AR800" s="216"/>
      <c r="AS800" s="216"/>
      <c r="AT800" s="216"/>
      <c r="AU800" s="216"/>
      <c r="AV800" s="216"/>
      <c r="AW800" s="216"/>
      <c r="AX800" s="216"/>
      <c r="AY800" s="216"/>
      <c r="AZ800" s="216"/>
      <c r="BA800" s="216"/>
      <c r="BB800" s="216"/>
      <c r="BC800" s="216"/>
      <c r="BD800" s="216"/>
      <c r="BE800" s="216"/>
      <c r="BF800" s="216"/>
      <c r="BG800" s="216"/>
      <c r="BH800" s="216"/>
      <c r="BI800" s="216"/>
      <c r="BJ800" s="216"/>
      <c r="BK800" s="216"/>
      <c r="BL800" s="216"/>
      <c r="BM800" s="216"/>
      <c r="BN800" s="216"/>
      <c r="BO800" s="216"/>
      <c r="BP800" s="216"/>
      <c r="BQ800" s="216"/>
      <c r="BR800" s="216"/>
    </row>
    <row r="801" spans="1:70" ht="12.75" x14ac:dyDescent="0.2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214"/>
      <c r="L801" s="214"/>
      <c r="M801" s="215"/>
      <c r="N801" s="215"/>
      <c r="O801" s="216"/>
      <c r="P801" s="216"/>
      <c r="Q801" s="216"/>
      <c r="R801" s="216"/>
      <c r="S801" s="216"/>
      <c r="T801" s="216"/>
      <c r="U801" s="216"/>
      <c r="V801" s="216"/>
      <c r="W801" s="216"/>
      <c r="X801" s="216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  <c r="AM801" s="216"/>
      <c r="AN801" s="216"/>
      <c r="AO801" s="216"/>
      <c r="AP801" s="216"/>
      <c r="AQ801" s="216"/>
      <c r="AR801" s="216"/>
      <c r="AS801" s="216"/>
      <c r="AT801" s="216"/>
      <c r="AU801" s="216"/>
      <c r="AV801" s="216"/>
      <c r="AW801" s="216"/>
      <c r="AX801" s="216"/>
      <c r="AY801" s="216"/>
      <c r="AZ801" s="216"/>
      <c r="BA801" s="216"/>
      <c r="BB801" s="216"/>
      <c r="BC801" s="216"/>
      <c r="BD801" s="216"/>
      <c r="BE801" s="216"/>
      <c r="BF801" s="216"/>
      <c r="BG801" s="216"/>
      <c r="BH801" s="216"/>
      <c r="BI801" s="216"/>
      <c r="BJ801" s="216"/>
      <c r="BK801" s="216"/>
      <c r="BL801" s="216"/>
      <c r="BM801" s="216"/>
      <c r="BN801" s="216"/>
      <c r="BO801" s="216"/>
      <c r="BP801" s="216"/>
      <c r="BQ801" s="216"/>
      <c r="BR801" s="216"/>
    </row>
    <row r="802" spans="1:70" ht="12.75" x14ac:dyDescent="0.2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214"/>
      <c r="L802" s="214"/>
      <c r="M802" s="215"/>
      <c r="N802" s="215"/>
      <c r="O802" s="216"/>
      <c r="P802" s="216"/>
      <c r="Q802" s="216"/>
      <c r="R802" s="216"/>
      <c r="S802" s="216"/>
      <c r="T802" s="216"/>
      <c r="U802" s="216"/>
      <c r="V802" s="216"/>
      <c r="W802" s="216"/>
      <c r="X802" s="216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  <c r="AM802" s="216"/>
      <c r="AN802" s="216"/>
      <c r="AO802" s="216"/>
      <c r="AP802" s="216"/>
      <c r="AQ802" s="216"/>
      <c r="AR802" s="216"/>
      <c r="AS802" s="216"/>
      <c r="AT802" s="216"/>
      <c r="AU802" s="216"/>
      <c r="AV802" s="216"/>
      <c r="AW802" s="216"/>
      <c r="AX802" s="216"/>
      <c r="AY802" s="216"/>
      <c r="AZ802" s="216"/>
      <c r="BA802" s="216"/>
      <c r="BB802" s="216"/>
      <c r="BC802" s="216"/>
      <c r="BD802" s="216"/>
      <c r="BE802" s="216"/>
      <c r="BF802" s="216"/>
      <c r="BG802" s="216"/>
      <c r="BH802" s="216"/>
      <c r="BI802" s="216"/>
      <c r="BJ802" s="216"/>
      <c r="BK802" s="216"/>
      <c r="BL802" s="216"/>
      <c r="BM802" s="216"/>
      <c r="BN802" s="216"/>
      <c r="BO802" s="216"/>
      <c r="BP802" s="216"/>
      <c r="BQ802" s="216"/>
      <c r="BR802" s="216"/>
    </row>
    <row r="803" spans="1:70" ht="12.75" x14ac:dyDescent="0.2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214"/>
      <c r="L803" s="214"/>
      <c r="M803" s="215"/>
      <c r="N803" s="215"/>
      <c r="O803" s="216"/>
      <c r="P803" s="216"/>
      <c r="Q803" s="216"/>
      <c r="R803" s="216"/>
      <c r="S803" s="216"/>
      <c r="T803" s="216"/>
      <c r="U803" s="216"/>
      <c r="V803" s="216"/>
      <c r="W803" s="216"/>
      <c r="X803" s="216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16"/>
      <c r="AN803" s="216"/>
      <c r="AO803" s="216"/>
      <c r="AP803" s="216"/>
      <c r="AQ803" s="216"/>
      <c r="AR803" s="216"/>
      <c r="AS803" s="216"/>
      <c r="AT803" s="216"/>
      <c r="AU803" s="216"/>
      <c r="AV803" s="216"/>
      <c r="AW803" s="216"/>
      <c r="AX803" s="216"/>
      <c r="AY803" s="216"/>
      <c r="AZ803" s="216"/>
      <c r="BA803" s="216"/>
      <c r="BB803" s="216"/>
      <c r="BC803" s="216"/>
      <c r="BD803" s="216"/>
      <c r="BE803" s="216"/>
      <c r="BF803" s="216"/>
      <c r="BG803" s="216"/>
      <c r="BH803" s="216"/>
      <c r="BI803" s="216"/>
      <c r="BJ803" s="216"/>
      <c r="BK803" s="216"/>
      <c r="BL803" s="216"/>
      <c r="BM803" s="216"/>
      <c r="BN803" s="216"/>
      <c r="BO803" s="216"/>
      <c r="BP803" s="216"/>
      <c r="BQ803" s="216"/>
      <c r="BR803" s="216"/>
    </row>
    <row r="804" spans="1:70" ht="12.75" x14ac:dyDescent="0.2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214"/>
      <c r="L804" s="214"/>
      <c r="M804" s="215"/>
      <c r="N804" s="215"/>
      <c r="O804" s="216"/>
      <c r="P804" s="216"/>
      <c r="Q804" s="216"/>
      <c r="R804" s="216"/>
      <c r="S804" s="216"/>
      <c r="T804" s="216"/>
      <c r="U804" s="216"/>
      <c r="V804" s="216"/>
      <c r="W804" s="216"/>
      <c r="X804" s="216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  <c r="AM804" s="216"/>
      <c r="AN804" s="216"/>
      <c r="AO804" s="216"/>
      <c r="AP804" s="216"/>
      <c r="AQ804" s="216"/>
      <c r="AR804" s="216"/>
      <c r="AS804" s="216"/>
      <c r="AT804" s="216"/>
      <c r="AU804" s="216"/>
      <c r="AV804" s="216"/>
      <c r="AW804" s="216"/>
      <c r="AX804" s="216"/>
      <c r="AY804" s="216"/>
      <c r="AZ804" s="216"/>
      <c r="BA804" s="216"/>
      <c r="BB804" s="216"/>
      <c r="BC804" s="216"/>
      <c r="BD804" s="216"/>
      <c r="BE804" s="216"/>
      <c r="BF804" s="216"/>
      <c r="BG804" s="216"/>
      <c r="BH804" s="216"/>
      <c r="BI804" s="216"/>
      <c r="BJ804" s="216"/>
      <c r="BK804" s="216"/>
      <c r="BL804" s="216"/>
      <c r="BM804" s="216"/>
      <c r="BN804" s="216"/>
      <c r="BO804" s="216"/>
      <c r="BP804" s="216"/>
      <c r="BQ804" s="216"/>
      <c r="BR804" s="216"/>
    </row>
    <row r="805" spans="1:70" ht="12.75" x14ac:dyDescent="0.2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214"/>
      <c r="L805" s="214"/>
      <c r="M805" s="215"/>
      <c r="N805" s="215"/>
      <c r="O805" s="216"/>
      <c r="P805" s="216"/>
      <c r="Q805" s="216"/>
      <c r="R805" s="216"/>
      <c r="S805" s="216"/>
      <c r="T805" s="216"/>
      <c r="U805" s="216"/>
      <c r="V805" s="216"/>
      <c r="W805" s="216"/>
      <c r="X805" s="216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  <c r="AM805" s="216"/>
      <c r="AN805" s="216"/>
      <c r="AO805" s="216"/>
      <c r="AP805" s="216"/>
      <c r="AQ805" s="216"/>
      <c r="AR805" s="216"/>
      <c r="AS805" s="216"/>
      <c r="AT805" s="216"/>
      <c r="AU805" s="216"/>
      <c r="AV805" s="216"/>
      <c r="AW805" s="216"/>
      <c r="AX805" s="216"/>
      <c r="AY805" s="216"/>
      <c r="AZ805" s="216"/>
      <c r="BA805" s="216"/>
      <c r="BB805" s="216"/>
      <c r="BC805" s="216"/>
      <c r="BD805" s="216"/>
      <c r="BE805" s="216"/>
      <c r="BF805" s="216"/>
      <c r="BG805" s="216"/>
      <c r="BH805" s="216"/>
      <c r="BI805" s="216"/>
      <c r="BJ805" s="216"/>
      <c r="BK805" s="216"/>
      <c r="BL805" s="216"/>
      <c r="BM805" s="216"/>
      <c r="BN805" s="216"/>
      <c r="BO805" s="216"/>
      <c r="BP805" s="216"/>
      <c r="BQ805" s="216"/>
      <c r="BR805" s="216"/>
    </row>
    <row r="806" spans="1:70" ht="12.75" x14ac:dyDescent="0.2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214"/>
      <c r="L806" s="214"/>
      <c r="M806" s="215"/>
      <c r="N806" s="215"/>
      <c r="O806" s="216"/>
      <c r="P806" s="216"/>
      <c r="Q806" s="216"/>
      <c r="R806" s="216"/>
      <c r="S806" s="216"/>
      <c r="T806" s="216"/>
      <c r="U806" s="216"/>
      <c r="V806" s="216"/>
      <c r="W806" s="216"/>
      <c r="X806" s="216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  <c r="AM806" s="216"/>
      <c r="AN806" s="216"/>
      <c r="AO806" s="216"/>
      <c r="AP806" s="216"/>
      <c r="AQ806" s="216"/>
      <c r="AR806" s="216"/>
      <c r="AS806" s="216"/>
      <c r="AT806" s="216"/>
      <c r="AU806" s="216"/>
      <c r="AV806" s="216"/>
      <c r="AW806" s="216"/>
      <c r="AX806" s="216"/>
      <c r="AY806" s="216"/>
      <c r="AZ806" s="216"/>
      <c r="BA806" s="216"/>
      <c r="BB806" s="216"/>
      <c r="BC806" s="216"/>
      <c r="BD806" s="216"/>
      <c r="BE806" s="216"/>
      <c r="BF806" s="216"/>
      <c r="BG806" s="216"/>
      <c r="BH806" s="216"/>
      <c r="BI806" s="216"/>
      <c r="BJ806" s="216"/>
      <c r="BK806" s="216"/>
      <c r="BL806" s="216"/>
      <c r="BM806" s="216"/>
      <c r="BN806" s="216"/>
      <c r="BO806" s="216"/>
      <c r="BP806" s="216"/>
      <c r="BQ806" s="216"/>
      <c r="BR806" s="216"/>
    </row>
    <row r="807" spans="1:70" ht="12.75" x14ac:dyDescent="0.2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214"/>
      <c r="L807" s="214"/>
      <c r="M807" s="215"/>
      <c r="N807" s="215"/>
      <c r="O807" s="216"/>
      <c r="P807" s="216"/>
      <c r="Q807" s="216"/>
      <c r="R807" s="216"/>
      <c r="S807" s="216"/>
      <c r="T807" s="216"/>
      <c r="U807" s="216"/>
      <c r="V807" s="216"/>
      <c r="W807" s="216"/>
      <c r="X807" s="216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16"/>
      <c r="AN807" s="216"/>
      <c r="AO807" s="216"/>
      <c r="AP807" s="216"/>
      <c r="AQ807" s="216"/>
      <c r="AR807" s="216"/>
      <c r="AS807" s="216"/>
      <c r="AT807" s="216"/>
      <c r="AU807" s="216"/>
      <c r="AV807" s="216"/>
      <c r="AW807" s="216"/>
      <c r="AX807" s="216"/>
      <c r="AY807" s="216"/>
      <c r="AZ807" s="216"/>
      <c r="BA807" s="216"/>
      <c r="BB807" s="216"/>
      <c r="BC807" s="216"/>
      <c r="BD807" s="216"/>
      <c r="BE807" s="216"/>
      <c r="BF807" s="216"/>
      <c r="BG807" s="216"/>
      <c r="BH807" s="216"/>
      <c r="BI807" s="216"/>
      <c r="BJ807" s="216"/>
      <c r="BK807" s="216"/>
      <c r="BL807" s="216"/>
      <c r="BM807" s="216"/>
      <c r="BN807" s="216"/>
      <c r="BO807" s="216"/>
      <c r="BP807" s="216"/>
      <c r="BQ807" s="216"/>
      <c r="BR807" s="216"/>
    </row>
    <row r="808" spans="1:70" ht="12.75" x14ac:dyDescent="0.2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214"/>
      <c r="L808" s="214"/>
      <c r="M808" s="215"/>
      <c r="N808" s="215"/>
      <c r="O808" s="216"/>
      <c r="P808" s="216"/>
      <c r="Q808" s="216"/>
      <c r="R808" s="216"/>
      <c r="S808" s="216"/>
      <c r="T808" s="216"/>
      <c r="U808" s="216"/>
      <c r="V808" s="216"/>
      <c r="W808" s="216"/>
      <c r="X808" s="216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16"/>
      <c r="AN808" s="216"/>
      <c r="AO808" s="216"/>
      <c r="AP808" s="216"/>
      <c r="AQ808" s="216"/>
      <c r="AR808" s="216"/>
      <c r="AS808" s="216"/>
      <c r="AT808" s="216"/>
      <c r="AU808" s="216"/>
      <c r="AV808" s="216"/>
      <c r="AW808" s="216"/>
      <c r="AX808" s="216"/>
      <c r="AY808" s="216"/>
      <c r="AZ808" s="216"/>
      <c r="BA808" s="216"/>
      <c r="BB808" s="216"/>
      <c r="BC808" s="216"/>
      <c r="BD808" s="216"/>
      <c r="BE808" s="216"/>
      <c r="BF808" s="216"/>
      <c r="BG808" s="216"/>
      <c r="BH808" s="216"/>
      <c r="BI808" s="216"/>
      <c r="BJ808" s="216"/>
      <c r="BK808" s="216"/>
      <c r="BL808" s="216"/>
      <c r="BM808" s="216"/>
      <c r="BN808" s="216"/>
      <c r="BO808" s="216"/>
      <c r="BP808" s="216"/>
      <c r="BQ808" s="216"/>
      <c r="BR808" s="216"/>
    </row>
    <row r="809" spans="1:70" ht="12.75" x14ac:dyDescent="0.2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214"/>
      <c r="L809" s="214"/>
      <c r="M809" s="215"/>
      <c r="N809" s="215"/>
      <c r="O809" s="216"/>
      <c r="P809" s="216"/>
      <c r="Q809" s="216"/>
      <c r="R809" s="216"/>
      <c r="S809" s="216"/>
      <c r="T809" s="216"/>
      <c r="U809" s="216"/>
      <c r="V809" s="216"/>
      <c r="W809" s="216"/>
      <c r="X809" s="216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16"/>
      <c r="AN809" s="216"/>
      <c r="AO809" s="216"/>
      <c r="AP809" s="216"/>
      <c r="AQ809" s="216"/>
      <c r="AR809" s="216"/>
      <c r="AS809" s="216"/>
      <c r="AT809" s="216"/>
      <c r="AU809" s="216"/>
      <c r="AV809" s="216"/>
      <c r="AW809" s="216"/>
      <c r="AX809" s="216"/>
      <c r="AY809" s="216"/>
      <c r="AZ809" s="216"/>
      <c r="BA809" s="216"/>
      <c r="BB809" s="216"/>
      <c r="BC809" s="216"/>
      <c r="BD809" s="216"/>
      <c r="BE809" s="216"/>
      <c r="BF809" s="216"/>
      <c r="BG809" s="216"/>
      <c r="BH809" s="216"/>
      <c r="BI809" s="216"/>
      <c r="BJ809" s="216"/>
      <c r="BK809" s="216"/>
      <c r="BL809" s="216"/>
      <c r="BM809" s="216"/>
      <c r="BN809" s="216"/>
      <c r="BO809" s="216"/>
      <c r="BP809" s="216"/>
      <c r="BQ809" s="216"/>
      <c r="BR809" s="216"/>
    </row>
    <row r="810" spans="1:70" ht="12.75" x14ac:dyDescent="0.2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214"/>
      <c r="L810" s="214"/>
      <c r="M810" s="215"/>
      <c r="N810" s="215"/>
      <c r="O810" s="216"/>
      <c r="P810" s="216"/>
      <c r="Q810" s="216"/>
      <c r="R810" s="216"/>
      <c r="S810" s="216"/>
      <c r="T810" s="216"/>
      <c r="U810" s="216"/>
      <c r="V810" s="216"/>
      <c r="W810" s="216"/>
      <c r="X810" s="216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16"/>
      <c r="AN810" s="216"/>
      <c r="AO810" s="216"/>
      <c r="AP810" s="216"/>
      <c r="AQ810" s="216"/>
      <c r="AR810" s="216"/>
      <c r="AS810" s="216"/>
      <c r="AT810" s="216"/>
      <c r="AU810" s="216"/>
      <c r="AV810" s="216"/>
      <c r="AW810" s="216"/>
      <c r="AX810" s="216"/>
      <c r="AY810" s="216"/>
      <c r="AZ810" s="216"/>
      <c r="BA810" s="216"/>
      <c r="BB810" s="216"/>
      <c r="BC810" s="216"/>
      <c r="BD810" s="216"/>
      <c r="BE810" s="216"/>
      <c r="BF810" s="216"/>
      <c r="BG810" s="216"/>
      <c r="BH810" s="216"/>
      <c r="BI810" s="216"/>
      <c r="BJ810" s="216"/>
      <c r="BK810" s="216"/>
      <c r="BL810" s="216"/>
      <c r="BM810" s="216"/>
      <c r="BN810" s="216"/>
      <c r="BO810" s="216"/>
      <c r="BP810" s="216"/>
      <c r="BQ810" s="216"/>
      <c r="BR810" s="216"/>
    </row>
    <row r="811" spans="1:70" ht="12.75" x14ac:dyDescent="0.2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214"/>
      <c r="L811" s="214"/>
      <c r="M811" s="215"/>
      <c r="N811" s="215"/>
      <c r="O811" s="216"/>
      <c r="P811" s="216"/>
      <c r="Q811" s="216"/>
      <c r="R811" s="216"/>
      <c r="S811" s="216"/>
      <c r="T811" s="216"/>
      <c r="U811" s="216"/>
      <c r="V811" s="216"/>
      <c r="W811" s="216"/>
      <c r="X811" s="216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16"/>
      <c r="AN811" s="216"/>
      <c r="AO811" s="216"/>
      <c r="AP811" s="216"/>
      <c r="AQ811" s="216"/>
      <c r="AR811" s="216"/>
      <c r="AS811" s="216"/>
      <c r="AT811" s="216"/>
      <c r="AU811" s="216"/>
      <c r="AV811" s="216"/>
      <c r="AW811" s="216"/>
      <c r="AX811" s="216"/>
      <c r="AY811" s="216"/>
      <c r="AZ811" s="216"/>
      <c r="BA811" s="216"/>
      <c r="BB811" s="216"/>
      <c r="BC811" s="216"/>
      <c r="BD811" s="216"/>
      <c r="BE811" s="216"/>
      <c r="BF811" s="216"/>
      <c r="BG811" s="216"/>
      <c r="BH811" s="216"/>
      <c r="BI811" s="216"/>
      <c r="BJ811" s="216"/>
      <c r="BK811" s="216"/>
      <c r="BL811" s="216"/>
      <c r="BM811" s="216"/>
      <c r="BN811" s="216"/>
      <c r="BO811" s="216"/>
      <c r="BP811" s="216"/>
      <c r="BQ811" s="216"/>
      <c r="BR811" s="216"/>
    </row>
    <row r="812" spans="1:70" ht="12.75" x14ac:dyDescent="0.2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214"/>
      <c r="L812" s="214"/>
      <c r="M812" s="215"/>
      <c r="N812" s="215"/>
      <c r="O812" s="216"/>
      <c r="P812" s="216"/>
      <c r="Q812" s="216"/>
      <c r="R812" s="216"/>
      <c r="S812" s="216"/>
      <c r="T812" s="216"/>
      <c r="U812" s="216"/>
      <c r="V812" s="216"/>
      <c r="W812" s="216"/>
      <c r="X812" s="216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16"/>
      <c r="AN812" s="216"/>
      <c r="AO812" s="216"/>
      <c r="AP812" s="216"/>
      <c r="AQ812" s="216"/>
      <c r="AR812" s="216"/>
      <c r="AS812" s="216"/>
      <c r="AT812" s="216"/>
      <c r="AU812" s="216"/>
      <c r="AV812" s="216"/>
      <c r="AW812" s="216"/>
      <c r="AX812" s="216"/>
      <c r="AY812" s="216"/>
      <c r="AZ812" s="216"/>
      <c r="BA812" s="216"/>
      <c r="BB812" s="216"/>
      <c r="BC812" s="216"/>
      <c r="BD812" s="216"/>
      <c r="BE812" s="216"/>
      <c r="BF812" s="216"/>
      <c r="BG812" s="216"/>
      <c r="BH812" s="216"/>
      <c r="BI812" s="216"/>
      <c r="BJ812" s="216"/>
      <c r="BK812" s="216"/>
      <c r="BL812" s="216"/>
      <c r="BM812" s="216"/>
      <c r="BN812" s="216"/>
      <c r="BO812" s="216"/>
      <c r="BP812" s="216"/>
      <c r="BQ812" s="216"/>
      <c r="BR812" s="216"/>
    </row>
    <row r="813" spans="1:70" ht="12.75" x14ac:dyDescent="0.2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214"/>
      <c r="L813" s="214"/>
      <c r="M813" s="215"/>
      <c r="N813" s="215"/>
      <c r="O813" s="216"/>
      <c r="P813" s="216"/>
      <c r="Q813" s="216"/>
      <c r="R813" s="216"/>
      <c r="S813" s="216"/>
      <c r="T813" s="216"/>
      <c r="U813" s="216"/>
      <c r="V813" s="216"/>
      <c r="W813" s="216"/>
      <c r="X813" s="216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16"/>
      <c r="AN813" s="216"/>
      <c r="AO813" s="216"/>
      <c r="AP813" s="216"/>
      <c r="AQ813" s="216"/>
      <c r="AR813" s="216"/>
      <c r="AS813" s="216"/>
      <c r="AT813" s="216"/>
      <c r="AU813" s="216"/>
      <c r="AV813" s="216"/>
      <c r="AW813" s="216"/>
      <c r="AX813" s="216"/>
      <c r="AY813" s="216"/>
      <c r="AZ813" s="216"/>
      <c r="BA813" s="216"/>
      <c r="BB813" s="216"/>
      <c r="BC813" s="216"/>
      <c r="BD813" s="216"/>
      <c r="BE813" s="216"/>
      <c r="BF813" s="216"/>
      <c r="BG813" s="216"/>
      <c r="BH813" s="216"/>
      <c r="BI813" s="216"/>
      <c r="BJ813" s="216"/>
      <c r="BK813" s="216"/>
      <c r="BL813" s="216"/>
      <c r="BM813" s="216"/>
      <c r="BN813" s="216"/>
      <c r="BO813" s="216"/>
      <c r="BP813" s="216"/>
      <c r="BQ813" s="216"/>
      <c r="BR813" s="216"/>
    </row>
    <row r="814" spans="1:70" ht="12.75" x14ac:dyDescent="0.2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214"/>
      <c r="L814" s="214"/>
      <c r="M814" s="215"/>
      <c r="N814" s="215"/>
      <c r="O814" s="216"/>
      <c r="P814" s="216"/>
      <c r="Q814" s="216"/>
      <c r="R814" s="216"/>
      <c r="S814" s="216"/>
      <c r="T814" s="216"/>
      <c r="U814" s="216"/>
      <c r="V814" s="216"/>
      <c r="W814" s="216"/>
      <c r="X814" s="216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16"/>
      <c r="AN814" s="216"/>
      <c r="AO814" s="216"/>
      <c r="AP814" s="216"/>
      <c r="AQ814" s="216"/>
      <c r="AR814" s="216"/>
      <c r="AS814" s="216"/>
      <c r="AT814" s="216"/>
      <c r="AU814" s="216"/>
      <c r="AV814" s="216"/>
      <c r="AW814" s="216"/>
      <c r="AX814" s="216"/>
      <c r="AY814" s="216"/>
      <c r="AZ814" s="216"/>
      <c r="BA814" s="216"/>
      <c r="BB814" s="216"/>
      <c r="BC814" s="216"/>
      <c r="BD814" s="216"/>
      <c r="BE814" s="216"/>
      <c r="BF814" s="216"/>
      <c r="BG814" s="216"/>
      <c r="BH814" s="216"/>
      <c r="BI814" s="216"/>
      <c r="BJ814" s="216"/>
      <c r="BK814" s="216"/>
      <c r="BL814" s="216"/>
      <c r="BM814" s="216"/>
      <c r="BN814" s="216"/>
      <c r="BO814" s="216"/>
      <c r="BP814" s="216"/>
      <c r="BQ814" s="216"/>
      <c r="BR814" s="216"/>
    </row>
    <row r="815" spans="1:70" ht="12.75" x14ac:dyDescent="0.2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214"/>
      <c r="L815" s="214"/>
      <c r="M815" s="215"/>
      <c r="N815" s="215"/>
      <c r="O815" s="216"/>
      <c r="P815" s="216"/>
      <c r="Q815" s="216"/>
      <c r="R815" s="216"/>
      <c r="S815" s="216"/>
      <c r="T815" s="216"/>
      <c r="U815" s="216"/>
      <c r="V815" s="216"/>
      <c r="W815" s="216"/>
      <c r="X815" s="216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16"/>
      <c r="AN815" s="216"/>
      <c r="AO815" s="216"/>
      <c r="AP815" s="216"/>
      <c r="AQ815" s="216"/>
      <c r="AR815" s="216"/>
      <c r="AS815" s="216"/>
      <c r="AT815" s="216"/>
      <c r="AU815" s="216"/>
      <c r="AV815" s="216"/>
      <c r="AW815" s="216"/>
      <c r="AX815" s="216"/>
      <c r="AY815" s="216"/>
      <c r="AZ815" s="216"/>
      <c r="BA815" s="216"/>
      <c r="BB815" s="216"/>
      <c r="BC815" s="216"/>
      <c r="BD815" s="216"/>
      <c r="BE815" s="216"/>
      <c r="BF815" s="216"/>
      <c r="BG815" s="216"/>
      <c r="BH815" s="216"/>
      <c r="BI815" s="216"/>
      <c r="BJ815" s="216"/>
      <c r="BK815" s="216"/>
      <c r="BL815" s="216"/>
      <c r="BM815" s="216"/>
      <c r="BN815" s="216"/>
      <c r="BO815" s="216"/>
      <c r="BP815" s="216"/>
      <c r="BQ815" s="216"/>
      <c r="BR815" s="216"/>
    </row>
    <row r="816" spans="1:70" ht="12.75" x14ac:dyDescent="0.2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214"/>
      <c r="L816" s="214"/>
      <c r="M816" s="215"/>
      <c r="N816" s="215"/>
      <c r="O816" s="216"/>
      <c r="P816" s="216"/>
      <c r="Q816" s="216"/>
      <c r="R816" s="216"/>
      <c r="S816" s="216"/>
      <c r="T816" s="216"/>
      <c r="U816" s="216"/>
      <c r="V816" s="216"/>
      <c r="W816" s="216"/>
      <c r="X816" s="216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16"/>
      <c r="AN816" s="216"/>
      <c r="AO816" s="216"/>
      <c r="AP816" s="216"/>
      <c r="AQ816" s="216"/>
      <c r="AR816" s="216"/>
      <c r="AS816" s="216"/>
      <c r="AT816" s="216"/>
      <c r="AU816" s="216"/>
      <c r="AV816" s="216"/>
      <c r="AW816" s="216"/>
      <c r="AX816" s="216"/>
      <c r="AY816" s="216"/>
      <c r="AZ816" s="216"/>
      <c r="BA816" s="216"/>
      <c r="BB816" s="216"/>
      <c r="BC816" s="216"/>
      <c r="BD816" s="216"/>
      <c r="BE816" s="216"/>
      <c r="BF816" s="216"/>
      <c r="BG816" s="216"/>
      <c r="BH816" s="216"/>
      <c r="BI816" s="216"/>
      <c r="BJ816" s="216"/>
      <c r="BK816" s="216"/>
      <c r="BL816" s="216"/>
      <c r="BM816" s="216"/>
      <c r="BN816" s="216"/>
      <c r="BO816" s="216"/>
      <c r="BP816" s="216"/>
      <c r="BQ816" s="216"/>
      <c r="BR816" s="216"/>
    </row>
    <row r="817" spans="1:70" ht="12.75" x14ac:dyDescent="0.2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214"/>
      <c r="L817" s="214"/>
      <c r="M817" s="215"/>
      <c r="N817" s="215"/>
      <c r="O817" s="216"/>
      <c r="P817" s="216"/>
      <c r="Q817" s="216"/>
      <c r="R817" s="216"/>
      <c r="S817" s="216"/>
      <c r="T817" s="216"/>
      <c r="U817" s="216"/>
      <c r="V817" s="216"/>
      <c r="W817" s="216"/>
      <c r="X817" s="216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  <c r="AM817" s="216"/>
      <c r="AN817" s="216"/>
      <c r="AO817" s="216"/>
      <c r="AP817" s="216"/>
      <c r="AQ817" s="216"/>
      <c r="AR817" s="216"/>
      <c r="AS817" s="216"/>
      <c r="AT817" s="216"/>
      <c r="AU817" s="216"/>
      <c r="AV817" s="216"/>
      <c r="AW817" s="216"/>
      <c r="AX817" s="216"/>
      <c r="AY817" s="216"/>
      <c r="AZ817" s="216"/>
      <c r="BA817" s="216"/>
      <c r="BB817" s="216"/>
      <c r="BC817" s="216"/>
      <c r="BD817" s="216"/>
      <c r="BE817" s="216"/>
      <c r="BF817" s="216"/>
      <c r="BG817" s="216"/>
      <c r="BH817" s="216"/>
      <c r="BI817" s="216"/>
      <c r="BJ817" s="216"/>
      <c r="BK817" s="216"/>
      <c r="BL817" s="216"/>
      <c r="BM817" s="216"/>
      <c r="BN817" s="216"/>
      <c r="BO817" s="216"/>
      <c r="BP817" s="216"/>
      <c r="BQ817" s="216"/>
      <c r="BR817" s="216"/>
    </row>
    <row r="818" spans="1:70" ht="12.75" x14ac:dyDescent="0.2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214"/>
      <c r="L818" s="214"/>
      <c r="M818" s="215"/>
      <c r="N818" s="215"/>
      <c r="O818" s="216"/>
      <c r="P818" s="216"/>
      <c r="Q818" s="216"/>
      <c r="R818" s="216"/>
      <c r="S818" s="216"/>
      <c r="T818" s="216"/>
      <c r="U818" s="216"/>
      <c r="V818" s="216"/>
      <c r="W818" s="216"/>
      <c r="X818" s="216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  <c r="AM818" s="216"/>
      <c r="AN818" s="216"/>
      <c r="AO818" s="216"/>
      <c r="AP818" s="216"/>
      <c r="AQ818" s="216"/>
      <c r="AR818" s="216"/>
      <c r="AS818" s="216"/>
      <c r="AT818" s="216"/>
      <c r="AU818" s="216"/>
      <c r="AV818" s="216"/>
      <c r="AW818" s="216"/>
      <c r="AX818" s="216"/>
      <c r="AY818" s="216"/>
      <c r="AZ818" s="216"/>
      <c r="BA818" s="216"/>
      <c r="BB818" s="216"/>
      <c r="BC818" s="216"/>
      <c r="BD818" s="216"/>
      <c r="BE818" s="216"/>
      <c r="BF818" s="216"/>
      <c r="BG818" s="216"/>
      <c r="BH818" s="216"/>
      <c r="BI818" s="216"/>
      <c r="BJ818" s="216"/>
      <c r="BK818" s="216"/>
      <c r="BL818" s="216"/>
      <c r="BM818" s="216"/>
      <c r="BN818" s="216"/>
      <c r="BO818" s="216"/>
      <c r="BP818" s="216"/>
      <c r="BQ818" s="216"/>
      <c r="BR818" s="216"/>
    </row>
    <row r="819" spans="1:70" ht="12.75" x14ac:dyDescent="0.2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214"/>
      <c r="L819" s="214"/>
      <c r="M819" s="215"/>
      <c r="N819" s="215"/>
      <c r="O819" s="216"/>
      <c r="P819" s="216"/>
      <c r="Q819" s="216"/>
      <c r="R819" s="216"/>
      <c r="S819" s="216"/>
      <c r="T819" s="216"/>
      <c r="U819" s="216"/>
      <c r="V819" s="216"/>
      <c r="W819" s="216"/>
      <c r="X819" s="216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  <c r="AM819" s="216"/>
      <c r="AN819" s="216"/>
      <c r="AO819" s="216"/>
      <c r="AP819" s="216"/>
      <c r="AQ819" s="216"/>
      <c r="AR819" s="216"/>
      <c r="AS819" s="216"/>
      <c r="AT819" s="216"/>
      <c r="AU819" s="216"/>
      <c r="AV819" s="216"/>
      <c r="AW819" s="216"/>
      <c r="AX819" s="216"/>
      <c r="AY819" s="216"/>
      <c r="AZ819" s="216"/>
      <c r="BA819" s="216"/>
      <c r="BB819" s="216"/>
      <c r="BC819" s="216"/>
      <c r="BD819" s="216"/>
      <c r="BE819" s="216"/>
      <c r="BF819" s="216"/>
      <c r="BG819" s="216"/>
      <c r="BH819" s="216"/>
      <c r="BI819" s="216"/>
      <c r="BJ819" s="216"/>
      <c r="BK819" s="216"/>
      <c r="BL819" s="216"/>
      <c r="BM819" s="216"/>
      <c r="BN819" s="216"/>
      <c r="BO819" s="216"/>
      <c r="BP819" s="216"/>
      <c r="BQ819" s="216"/>
      <c r="BR819" s="216"/>
    </row>
    <row r="820" spans="1:70" ht="12.75" x14ac:dyDescent="0.2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214"/>
      <c r="L820" s="214"/>
      <c r="M820" s="215"/>
      <c r="N820" s="215"/>
      <c r="O820" s="216"/>
      <c r="P820" s="216"/>
      <c r="Q820" s="216"/>
      <c r="R820" s="216"/>
      <c r="S820" s="216"/>
      <c r="T820" s="216"/>
      <c r="U820" s="216"/>
      <c r="V820" s="216"/>
      <c r="W820" s="216"/>
      <c r="X820" s="216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  <c r="AM820" s="216"/>
      <c r="AN820" s="216"/>
      <c r="AO820" s="216"/>
      <c r="AP820" s="216"/>
      <c r="AQ820" s="216"/>
      <c r="AR820" s="216"/>
      <c r="AS820" s="216"/>
      <c r="AT820" s="216"/>
      <c r="AU820" s="216"/>
      <c r="AV820" s="216"/>
      <c r="AW820" s="216"/>
      <c r="AX820" s="216"/>
      <c r="AY820" s="216"/>
      <c r="AZ820" s="216"/>
      <c r="BA820" s="216"/>
      <c r="BB820" s="216"/>
      <c r="BC820" s="216"/>
      <c r="BD820" s="216"/>
      <c r="BE820" s="216"/>
      <c r="BF820" s="216"/>
      <c r="BG820" s="216"/>
      <c r="BH820" s="216"/>
      <c r="BI820" s="216"/>
      <c r="BJ820" s="216"/>
      <c r="BK820" s="216"/>
      <c r="BL820" s="216"/>
      <c r="BM820" s="216"/>
      <c r="BN820" s="216"/>
      <c r="BO820" s="216"/>
      <c r="BP820" s="216"/>
      <c r="BQ820" s="216"/>
      <c r="BR820" s="216"/>
    </row>
    <row r="821" spans="1:70" ht="12.75" x14ac:dyDescent="0.2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214"/>
      <c r="L821" s="214"/>
      <c r="M821" s="215"/>
      <c r="N821" s="215"/>
      <c r="O821" s="216"/>
      <c r="P821" s="216"/>
      <c r="Q821" s="216"/>
      <c r="R821" s="216"/>
      <c r="S821" s="216"/>
      <c r="T821" s="216"/>
      <c r="U821" s="216"/>
      <c r="V821" s="216"/>
      <c r="W821" s="216"/>
      <c r="X821" s="216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  <c r="AM821" s="216"/>
      <c r="AN821" s="216"/>
      <c r="AO821" s="216"/>
      <c r="AP821" s="216"/>
      <c r="AQ821" s="216"/>
      <c r="AR821" s="216"/>
      <c r="AS821" s="216"/>
      <c r="AT821" s="216"/>
      <c r="AU821" s="216"/>
      <c r="AV821" s="216"/>
      <c r="AW821" s="216"/>
      <c r="AX821" s="216"/>
      <c r="AY821" s="216"/>
      <c r="AZ821" s="216"/>
      <c r="BA821" s="216"/>
      <c r="BB821" s="216"/>
      <c r="BC821" s="216"/>
      <c r="BD821" s="216"/>
      <c r="BE821" s="216"/>
      <c r="BF821" s="216"/>
      <c r="BG821" s="216"/>
      <c r="BH821" s="216"/>
      <c r="BI821" s="216"/>
      <c r="BJ821" s="216"/>
      <c r="BK821" s="216"/>
      <c r="BL821" s="216"/>
      <c r="BM821" s="216"/>
      <c r="BN821" s="216"/>
      <c r="BO821" s="216"/>
      <c r="BP821" s="216"/>
      <c r="BQ821" s="216"/>
      <c r="BR821" s="216"/>
    </row>
    <row r="822" spans="1:70" ht="12.75" x14ac:dyDescent="0.2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214"/>
      <c r="L822" s="214"/>
      <c r="M822" s="215"/>
      <c r="N822" s="215"/>
      <c r="O822" s="216"/>
      <c r="P822" s="216"/>
      <c r="Q822" s="216"/>
      <c r="R822" s="216"/>
      <c r="S822" s="216"/>
      <c r="T822" s="216"/>
      <c r="U822" s="216"/>
      <c r="V822" s="216"/>
      <c r="W822" s="216"/>
      <c r="X822" s="216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  <c r="AM822" s="216"/>
      <c r="AN822" s="216"/>
      <c r="AO822" s="216"/>
      <c r="AP822" s="216"/>
      <c r="AQ822" s="216"/>
      <c r="AR822" s="216"/>
      <c r="AS822" s="216"/>
      <c r="AT822" s="216"/>
      <c r="AU822" s="216"/>
      <c r="AV822" s="216"/>
      <c r="AW822" s="216"/>
      <c r="AX822" s="216"/>
      <c r="AY822" s="216"/>
      <c r="AZ822" s="216"/>
      <c r="BA822" s="216"/>
      <c r="BB822" s="216"/>
      <c r="BC822" s="216"/>
      <c r="BD822" s="216"/>
      <c r="BE822" s="216"/>
      <c r="BF822" s="216"/>
      <c r="BG822" s="216"/>
      <c r="BH822" s="216"/>
      <c r="BI822" s="216"/>
      <c r="BJ822" s="216"/>
      <c r="BK822" s="216"/>
      <c r="BL822" s="216"/>
      <c r="BM822" s="216"/>
      <c r="BN822" s="216"/>
      <c r="BO822" s="216"/>
      <c r="BP822" s="216"/>
      <c r="BQ822" s="216"/>
      <c r="BR822" s="216"/>
    </row>
    <row r="823" spans="1:70" ht="12.75" x14ac:dyDescent="0.2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214"/>
      <c r="L823" s="214"/>
      <c r="M823" s="215"/>
      <c r="N823" s="215"/>
      <c r="O823" s="216"/>
      <c r="P823" s="216"/>
      <c r="Q823" s="216"/>
      <c r="R823" s="216"/>
      <c r="S823" s="216"/>
      <c r="T823" s="216"/>
      <c r="U823" s="216"/>
      <c r="V823" s="216"/>
      <c r="W823" s="216"/>
      <c r="X823" s="216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  <c r="AM823" s="216"/>
      <c r="AN823" s="216"/>
      <c r="AO823" s="216"/>
      <c r="AP823" s="216"/>
      <c r="AQ823" s="216"/>
      <c r="AR823" s="216"/>
      <c r="AS823" s="216"/>
      <c r="AT823" s="216"/>
      <c r="AU823" s="216"/>
      <c r="AV823" s="216"/>
      <c r="AW823" s="216"/>
      <c r="AX823" s="216"/>
      <c r="AY823" s="216"/>
      <c r="AZ823" s="216"/>
      <c r="BA823" s="216"/>
      <c r="BB823" s="216"/>
      <c r="BC823" s="216"/>
      <c r="BD823" s="216"/>
      <c r="BE823" s="216"/>
      <c r="BF823" s="216"/>
      <c r="BG823" s="216"/>
      <c r="BH823" s="216"/>
      <c r="BI823" s="216"/>
      <c r="BJ823" s="216"/>
      <c r="BK823" s="216"/>
      <c r="BL823" s="216"/>
      <c r="BM823" s="216"/>
      <c r="BN823" s="216"/>
      <c r="BO823" s="216"/>
      <c r="BP823" s="216"/>
      <c r="BQ823" s="216"/>
      <c r="BR823" s="216"/>
    </row>
    <row r="824" spans="1:70" ht="12.75" x14ac:dyDescent="0.2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214"/>
      <c r="L824" s="214"/>
      <c r="M824" s="215"/>
      <c r="N824" s="215"/>
      <c r="O824" s="216"/>
      <c r="P824" s="216"/>
      <c r="Q824" s="216"/>
      <c r="R824" s="216"/>
      <c r="S824" s="216"/>
      <c r="T824" s="216"/>
      <c r="U824" s="216"/>
      <c r="V824" s="216"/>
      <c r="W824" s="216"/>
      <c r="X824" s="216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  <c r="AM824" s="216"/>
      <c r="AN824" s="216"/>
      <c r="AO824" s="216"/>
      <c r="AP824" s="216"/>
      <c r="AQ824" s="216"/>
      <c r="AR824" s="216"/>
      <c r="AS824" s="216"/>
      <c r="AT824" s="216"/>
      <c r="AU824" s="216"/>
      <c r="AV824" s="216"/>
      <c r="AW824" s="216"/>
      <c r="AX824" s="216"/>
      <c r="AY824" s="216"/>
      <c r="AZ824" s="216"/>
      <c r="BA824" s="216"/>
      <c r="BB824" s="216"/>
      <c r="BC824" s="216"/>
      <c r="BD824" s="216"/>
      <c r="BE824" s="216"/>
      <c r="BF824" s="216"/>
      <c r="BG824" s="216"/>
      <c r="BH824" s="216"/>
      <c r="BI824" s="216"/>
      <c r="BJ824" s="216"/>
      <c r="BK824" s="216"/>
      <c r="BL824" s="216"/>
      <c r="BM824" s="216"/>
      <c r="BN824" s="216"/>
      <c r="BO824" s="216"/>
      <c r="BP824" s="216"/>
      <c r="BQ824" s="216"/>
      <c r="BR824" s="216"/>
    </row>
    <row r="825" spans="1:70" ht="12.75" x14ac:dyDescent="0.2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214"/>
      <c r="L825" s="214"/>
      <c r="M825" s="215"/>
      <c r="N825" s="215"/>
      <c r="O825" s="216"/>
      <c r="P825" s="216"/>
      <c r="Q825" s="216"/>
      <c r="R825" s="216"/>
      <c r="S825" s="216"/>
      <c r="T825" s="216"/>
      <c r="U825" s="216"/>
      <c r="V825" s="216"/>
      <c r="W825" s="216"/>
      <c r="X825" s="216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16"/>
      <c r="AN825" s="216"/>
      <c r="AO825" s="216"/>
      <c r="AP825" s="216"/>
      <c r="AQ825" s="216"/>
      <c r="AR825" s="216"/>
      <c r="AS825" s="216"/>
      <c r="AT825" s="216"/>
      <c r="AU825" s="216"/>
      <c r="AV825" s="216"/>
      <c r="AW825" s="216"/>
      <c r="AX825" s="216"/>
      <c r="AY825" s="216"/>
      <c r="AZ825" s="216"/>
      <c r="BA825" s="216"/>
      <c r="BB825" s="216"/>
      <c r="BC825" s="216"/>
      <c r="BD825" s="216"/>
      <c r="BE825" s="216"/>
      <c r="BF825" s="216"/>
      <c r="BG825" s="216"/>
      <c r="BH825" s="216"/>
      <c r="BI825" s="216"/>
      <c r="BJ825" s="216"/>
      <c r="BK825" s="216"/>
      <c r="BL825" s="216"/>
      <c r="BM825" s="216"/>
      <c r="BN825" s="216"/>
      <c r="BO825" s="216"/>
      <c r="BP825" s="216"/>
      <c r="BQ825" s="216"/>
      <c r="BR825" s="216"/>
    </row>
    <row r="826" spans="1:70" ht="12.75" x14ac:dyDescent="0.2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214"/>
      <c r="L826" s="214"/>
      <c r="M826" s="215"/>
      <c r="N826" s="215"/>
      <c r="O826" s="216"/>
      <c r="P826" s="216"/>
      <c r="Q826" s="216"/>
      <c r="R826" s="216"/>
      <c r="S826" s="216"/>
      <c r="T826" s="216"/>
      <c r="U826" s="216"/>
      <c r="V826" s="216"/>
      <c r="W826" s="216"/>
      <c r="X826" s="216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16"/>
      <c r="AN826" s="216"/>
      <c r="AO826" s="216"/>
      <c r="AP826" s="216"/>
      <c r="AQ826" s="216"/>
      <c r="AR826" s="216"/>
      <c r="AS826" s="216"/>
      <c r="AT826" s="216"/>
      <c r="AU826" s="216"/>
      <c r="AV826" s="216"/>
      <c r="AW826" s="216"/>
      <c r="AX826" s="216"/>
      <c r="AY826" s="216"/>
      <c r="AZ826" s="216"/>
      <c r="BA826" s="216"/>
      <c r="BB826" s="216"/>
      <c r="BC826" s="216"/>
      <c r="BD826" s="216"/>
      <c r="BE826" s="216"/>
      <c r="BF826" s="216"/>
      <c r="BG826" s="216"/>
      <c r="BH826" s="216"/>
      <c r="BI826" s="216"/>
      <c r="BJ826" s="216"/>
      <c r="BK826" s="216"/>
      <c r="BL826" s="216"/>
      <c r="BM826" s="216"/>
      <c r="BN826" s="216"/>
      <c r="BO826" s="216"/>
      <c r="BP826" s="216"/>
      <c r="BQ826" s="216"/>
      <c r="BR826" s="216"/>
    </row>
    <row r="827" spans="1:70" ht="12.75" x14ac:dyDescent="0.2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214"/>
      <c r="L827" s="214"/>
      <c r="M827" s="215"/>
      <c r="N827" s="215"/>
      <c r="O827" s="216"/>
      <c r="P827" s="216"/>
      <c r="Q827" s="216"/>
      <c r="R827" s="216"/>
      <c r="S827" s="216"/>
      <c r="T827" s="216"/>
      <c r="U827" s="216"/>
      <c r="V827" s="216"/>
      <c r="W827" s="216"/>
      <c r="X827" s="216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16"/>
      <c r="AN827" s="216"/>
      <c r="AO827" s="216"/>
      <c r="AP827" s="216"/>
      <c r="AQ827" s="216"/>
      <c r="AR827" s="216"/>
      <c r="AS827" s="216"/>
      <c r="AT827" s="216"/>
      <c r="AU827" s="216"/>
      <c r="AV827" s="216"/>
      <c r="AW827" s="216"/>
      <c r="AX827" s="216"/>
      <c r="AY827" s="216"/>
      <c r="AZ827" s="216"/>
      <c r="BA827" s="216"/>
      <c r="BB827" s="216"/>
      <c r="BC827" s="216"/>
      <c r="BD827" s="216"/>
      <c r="BE827" s="216"/>
      <c r="BF827" s="216"/>
      <c r="BG827" s="216"/>
      <c r="BH827" s="216"/>
      <c r="BI827" s="216"/>
      <c r="BJ827" s="216"/>
      <c r="BK827" s="216"/>
      <c r="BL827" s="216"/>
      <c r="BM827" s="216"/>
      <c r="BN827" s="216"/>
      <c r="BO827" s="216"/>
      <c r="BP827" s="216"/>
      <c r="BQ827" s="216"/>
      <c r="BR827" s="216"/>
    </row>
    <row r="828" spans="1:70" ht="12.75" x14ac:dyDescent="0.2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214"/>
      <c r="L828" s="214"/>
      <c r="M828" s="215"/>
      <c r="N828" s="215"/>
      <c r="O828" s="216"/>
      <c r="P828" s="216"/>
      <c r="Q828" s="216"/>
      <c r="R828" s="216"/>
      <c r="S828" s="216"/>
      <c r="T828" s="216"/>
      <c r="U828" s="216"/>
      <c r="V828" s="216"/>
      <c r="W828" s="216"/>
      <c r="X828" s="216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16"/>
      <c r="AN828" s="216"/>
      <c r="AO828" s="216"/>
      <c r="AP828" s="216"/>
      <c r="AQ828" s="216"/>
      <c r="AR828" s="216"/>
      <c r="AS828" s="216"/>
      <c r="AT828" s="216"/>
      <c r="AU828" s="216"/>
      <c r="AV828" s="216"/>
      <c r="AW828" s="216"/>
      <c r="AX828" s="216"/>
      <c r="AY828" s="216"/>
      <c r="AZ828" s="216"/>
      <c r="BA828" s="216"/>
      <c r="BB828" s="216"/>
      <c r="BC828" s="216"/>
      <c r="BD828" s="216"/>
      <c r="BE828" s="216"/>
      <c r="BF828" s="216"/>
      <c r="BG828" s="216"/>
      <c r="BH828" s="216"/>
      <c r="BI828" s="216"/>
      <c r="BJ828" s="216"/>
      <c r="BK828" s="216"/>
      <c r="BL828" s="216"/>
      <c r="BM828" s="216"/>
      <c r="BN828" s="216"/>
      <c r="BO828" s="216"/>
      <c r="BP828" s="216"/>
      <c r="BQ828" s="216"/>
      <c r="BR828" s="216"/>
    </row>
    <row r="829" spans="1:70" ht="12.75" x14ac:dyDescent="0.2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214"/>
      <c r="L829" s="214"/>
      <c r="M829" s="215"/>
      <c r="N829" s="215"/>
      <c r="O829" s="216"/>
      <c r="P829" s="216"/>
      <c r="Q829" s="216"/>
      <c r="R829" s="216"/>
      <c r="S829" s="216"/>
      <c r="T829" s="216"/>
      <c r="U829" s="216"/>
      <c r="V829" s="216"/>
      <c r="W829" s="216"/>
      <c r="X829" s="216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16"/>
      <c r="AN829" s="216"/>
      <c r="AO829" s="216"/>
      <c r="AP829" s="216"/>
      <c r="AQ829" s="216"/>
      <c r="AR829" s="216"/>
      <c r="AS829" s="216"/>
      <c r="AT829" s="216"/>
      <c r="AU829" s="216"/>
      <c r="AV829" s="216"/>
      <c r="AW829" s="216"/>
      <c r="AX829" s="216"/>
      <c r="AY829" s="216"/>
      <c r="AZ829" s="216"/>
      <c r="BA829" s="216"/>
      <c r="BB829" s="216"/>
      <c r="BC829" s="216"/>
      <c r="BD829" s="216"/>
      <c r="BE829" s="216"/>
      <c r="BF829" s="216"/>
      <c r="BG829" s="216"/>
      <c r="BH829" s="216"/>
      <c r="BI829" s="216"/>
      <c r="BJ829" s="216"/>
      <c r="BK829" s="216"/>
      <c r="BL829" s="216"/>
      <c r="BM829" s="216"/>
      <c r="BN829" s="216"/>
      <c r="BO829" s="216"/>
      <c r="BP829" s="216"/>
      <c r="BQ829" s="216"/>
      <c r="BR829" s="216"/>
    </row>
    <row r="830" spans="1:70" ht="12.75" x14ac:dyDescent="0.2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214"/>
      <c r="L830" s="214"/>
      <c r="M830" s="215"/>
      <c r="N830" s="215"/>
      <c r="O830" s="216"/>
      <c r="P830" s="216"/>
      <c r="Q830" s="216"/>
      <c r="R830" s="216"/>
      <c r="S830" s="216"/>
      <c r="T830" s="216"/>
      <c r="U830" s="216"/>
      <c r="V830" s="216"/>
      <c r="W830" s="216"/>
      <c r="X830" s="216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16"/>
      <c r="AN830" s="216"/>
      <c r="AO830" s="216"/>
      <c r="AP830" s="216"/>
      <c r="AQ830" s="216"/>
      <c r="AR830" s="216"/>
      <c r="AS830" s="216"/>
      <c r="AT830" s="216"/>
      <c r="AU830" s="216"/>
      <c r="AV830" s="216"/>
      <c r="AW830" s="216"/>
      <c r="AX830" s="216"/>
      <c r="AY830" s="216"/>
      <c r="AZ830" s="216"/>
      <c r="BA830" s="216"/>
      <c r="BB830" s="216"/>
      <c r="BC830" s="216"/>
      <c r="BD830" s="216"/>
      <c r="BE830" s="216"/>
      <c r="BF830" s="216"/>
      <c r="BG830" s="216"/>
      <c r="BH830" s="216"/>
      <c r="BI830" s="216"/>
      <c r="BJ830" s="216"/>
      <c r="BK830" s="216"/>
      <c r="BL830" s="216"/>
      <c r="BM830" s="216"/>
      <c r="BN830" s="216"/>
      <c r="BO830" s="216"/>
      <c r="BP830" s="216"/>
      <c r="BQ830" s="216"/>
      <c r="BR830" s="216"/>
    </row>
    <row r="831" spans="1:70" ht="12.75" x14ac:dyDescent="0.2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214"/>
      <c r="L831" s="214"/>
      <c r="M831" s="215"/>
      <c r="N831" s="215"/>
      <c r="O831" s="216"/>
      <c r="P831" s="216"/>
      <c r="Q831" s="216"/>
      <c r="R831" s="216"/>
      <c r="S831" s="216"/>
      <c r="T831" s="216"/>
      <c r="U831" s="216"/>
      <c r="V831" s="216"/>
      <c r="W831" s="216"/>
      <c r="X831" s="216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16"/>
      <c r="AN831" s="216"/>
      <c r="AO831" s="216"/>
      <c r="AP831" s="216"/>
      <c r="AQ831" s="216"/>
      <c r="AR831" s="216"/>
      <c r="AS831" s="216"/>
      <c r="AT831" s="216"/>
      <c r="AU831" s="216"/>
      <c r="AV831" s="216"/>
      <c r="AW831" s="216"/>
      <c r="AX831" s="216"/>
      <c r="AY831" s="216"/>
      <c r="AZ831" s="216"/>
      <c r="BA831" s="216"/>
      <c r="BB831" s="216"/>
      <c r="BC831" s="216"/>
      <c r="BD831" s="216"/>
      <c r="BE831" s="216"/>
      <c r="BF831" s="216"/>
      <c r="BG831" s="216"/>
      <c r="BH831" s="216"/>
      <c r="BI831" s="216"/>
      <c r="BJ831" s="216"/>
      <c r="BK831" s="216"/>
      <c r="BL831" s="216"/>
      <c r="BM831" s="216"/>
      <c r="BN831" s="216"/>
      <c r="BO831" s="216"/>
      <c r="BP831" s="216"/>
      <c r="BQ831" s="216"/>
      <c r="BR831" s="216"/>
    </row>
    <row r="832" spans="1:70" ht="12.75" x14ac:dyDescent="0.2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214"/>
      <c r="L832" s="214"/>
      <c r="M832" s="215"/>
      <c r="N832" s="215"/>
      <c r="O832" s="216"/>
      <c r="P832" s="216"/>
      <c r="Q832" s="216"/>
      <c r="R832" s="216"/>
      <c r="S832" s="216"/>
      <c r="T832" s="216"/>
      <c r="U832" s="216"/>
      <c r="V832" s="216"/>
      <c r="W832" s="216"/>
      <c r="X832" s="216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16"/>
      <c r="AN832" s="216"/>
      <c r="AO832" s="216"/>
      <c r="AP832" s="216"/>
      <c r="AQ832" s="216"/>
      <c r="AR832" s="216"/>
      <c r="AS832" s="216"/>
      <c r="AT832" s="216"/>
      <c r="AU832" s="216"/>
      <c r="AV832" s="216"/>
      <c r="AW832" s="216"/>
      <c r="AX832" s="216"/>
      <c r="AY832" s="216"/>
      <c r="AZ832" s="216"/>
      <c r="BA832" s="216"/>
      <c r="BB832" s="216"/>
      <c r="BC832" s="216"/>
      <c r="BD832" s="216"/>
      <c r="BE832" s="216"/>
      <c r="BF832" s="216"/>
      <c r="BG832" s="216"/>
      <c r="BH832" s="216"/>
      <c r="BI832" s="216"/>
      <c r="BJ832" s="216"/>
      <c r="BK832" s="216"/>
      <c r="BL832" s="216"/>
      <c r="BM832" s="216"/>
      <c r="BN832" s="216"/>
      <c r="BO832" s="216"/>
      <c r="BP832" s="216"/>
      <c r="BQ832" s="216"/>
      <c r="BR832" s="216"/>
    </row>
    <row r="833" spans="1:70" ht="12.75" x14ac:dyDescent="0.2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214"/>
      <c r="L833" s="214"/>
      <c r="M833" s="215"/>
      <c r="N833" s="215"/>
      <c r="O833" s="216"/>
      <c r="P833" s="216"/>
      <c r="Q833" s="216"/>
      <c r="R833" s="216"/>
      <c r="S833" s="216"/>
      <c r="T833" s="216"/>
      <c r="U833" s="216"/>
      <c r="V833" s="216"/>
      <c r="W833" s="216"/>
      <c r="X833" s="216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16"/>
      <c r="AN833" s="216"/>
      <c r="AO833" s="216"/>
      <c r="AP833" s="216"/>
      <c r="AQ833" s="216"/>
      <c r="AR833" s="216"/>
      <c r="AS833" s="216"/>
      <c r="AT833" s="216"/>
      <c r="AU833" s="216"/>
      <c r="AV833" s="216"/>
      <c r="AW833" s="216"/>
      <c r="AX833" s="216"/>
      <c r="AY833" s="216"/>
      <c r="AZ833" s="216"/>
      <c r="BA833" s="216"/>
      <c r="BB833" s="216"/>
      <c r="BC833" s="216"/>
      <c r="BD833" s="216"/>
      <c r="BE833" s="216"/>
      <c r="BF833" s="216"/>
      <c r="BG833" s="216"/>
      <c r="BH833" s="216"/>
      <c r="BI833" s="216"/>
      <c r="BJ833" s="216"/>
      <c r="BK833" s="216"/>
      <c r="BL833" s="216"/>
      <c r="BM833" s="216"/>
      <c r="BN833" s="216"/>
      <c r="BO833" s="216"/>
      <c r="BP833" s="216"/>
      <c r="BQ833" s="216"/>
      <c r="BR833" s="216"/>
    </row>
    <row r="834" spans="1:70" ht="12.75" x14ac:dyDescent="0.2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214"/>
      <c r="L834" s="214"/>
      <c r="M834" s="215"/>
      <c r="N834" s="215"/>
      <c r="O834" s="216"/>
      <c r="P834" s="216"/>
      <c r="Q834" s="216"/>
      <c r="R834" s="216"/>
      <c r="S834" s="216"/>
      <c r="T834" s="216"/>
      <c r="U834" s="216"/>
      <c r="V834" s="216"/>
      <c r="W834" s="216"/>
      <c r="X834" s="216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16"/>
      <c r="AN834" s="216"/>
      <c r="AO834" s="216"/>
      <c r="AP834" s="216"/>
      <c r="AQ834" s="216"/>
      <c r="AR834" s="216"/>
      <c r="AS834" s="216"/>
      <c r="AT834" s="216"/>
      <c r="AU834" s="216"/>
      <c r="AV834" s="216"/>
      <c r="AW834" s="216"/>
      <c r="AX834" s="216"/>
      <c r="AY834" s="216"/>
      <c r="AZ834" s="216"/>
      <c r="BA834" s="216"/>
      <c r="BB834" s="216"/>
      <c r="BC834" s="216"/>
      <c r="BD834" s="216"/>
      <c r="BE834" s="216"/>
      <c r="BF834" s="216"/>
      <c r="BG834" s="216"/>
      <c r="BH834" s="216"/>
      <c r="BI834" s="216"/>
      <c r="BJ834" s="216"/>
      <c r="BK834" s="216"/>
      <c r="BL834" s="216"/>
      <c r="BM834" s="216"/>
      <c r="BN834" s="216"/>
      <c r="BO834" s="216"/>
      <c r="BP834" s="216"/>
      <c r="BQ834" s="216"/>
      <c r="BR834" s="216"/>
    </row>
    <row r="835" spans="1:70" ht="12.75" x14ac:dyDescent="0.2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214"/>
      <c r="L835" s="214"/>
      <c r="M835" s="215"/>
      <c r="N835" s="215"/>
      <c r="O835" s="216"/>
      <c r="P835" s="216"/>
      <c r="Q835" s="216"/>
      <c r="R835" s="216"/>
      <c r="S835" s="216"/>
      <c r="T835" s="216"/>
      <c r="U835" s="216"/>
      <c r="V835" s="216"/>
      <c r="W835" s="216"/>
      <c r="X835" s="216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  <c r="AM835" s="216"/>
      <c r="AN835" s="216"/>
      <c r="AO835" s="216"/>
      <c r="AP835" s="216"/>
      <c r="AQ835" s="216"/>
      <c r="AR835" s="216"/>
      <c r="AS835" s="216"/>
      <c r="AT835" s="216"/>
      <c r="AU835" s="216"/>
      <c r="AV835" s="216"/>
      <c r="AW835" s="216"/>
      <c r="AX835" s="216"/>
      <c r="AY835" s="216"/>
      <c r="AZ835" s="216"/>
      <c r="BA835" s="216"/>
      <c r="BB835" s="216"/>
      <c r="BC835" s="216"/>
      <c r="BD835" s="216"/>
      <c r="BE835" s="216"/>
      <c r="BF835" s="216"/>
      <c r="BG835" s="216"/>
      <c r="BH835" s="216"/>
      <c r="BI835" s="216"/>
      <c r="BJ835" s="216"/>
      <c r="BK835" s="216"/>
      <c r="BL835" s="216"/>
      <c r="BM835" s="216"/>
      <c r="BN835" s="216"/>
      <c r="BO835" s="216"/>
      <c r="BP835" s="216"/>
      <c r="BQ835" s="216"/>
      <c r="BR835" s="216"/>
    </row>
    <row r="836" spans="1:70" ht="12.75" x14ac:dyDescent="0.2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214"/>
      <c r="L836" s="214"/>
      <c r="M836" s="215"/>
      <c r="N836" s="215"/>
      <c r="O836" s="216"/>
      <c r="P836" s="216"/>
      <c r="Q836" s="216"/>
      <c r="R836" s="216"/>
      <c r="S836" s="216"/>
      <c r="T836" s="216"/>
      <c r="U836" s="216"/>
      <c r="V836" s="216"/>
      <c r="W836" s="216"/>
      <c r="X836" s="216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  <c r="AM836" s="216"/>
      <c r="AN836" s="216"/>
      <c r="AO836" s="216"/>
      <c r="AP836" s="216"/>
      <c r="AQ836" s="216"/>
      <c r="AR836" s="216"/>
      <c r="AS836" s="216"/>
      <c r="AT836" s="216"/>
      <c r="AU836" s="216"/>
      <c r="AV836" s="216"/>
      <c r="AW836" s="216"/>
      <c r="AX836" s="216"/>
      <c r="AY836" s="216"/>
      <c r="AZ836" s="216"/>
      <c r="BA836" s="216"/>
      <c r="BB836" s="216"/>
      <c r="BC836" s="216"/>
      <c r="BD836" s="216"/>
      <c r="BE836" s="216"/>
      <c r="BF836" s="216"/>
      <c r="BG836" s="216"/>
      <c r="BH836" s="216"/>
      <c r="BI836" s="216"/>
      <c r="BJ836" s="216"/>
      <c r="BK836" s="216"/>
      <c r="BL836" s="216"/>
      <c r="BM836" s="216"/>
      <c r="BN836" s="216"/>
      <c r="BO836" s="216"/>
      <c r="BP836" s="216"/>
      <c r="BQ836" s="216"/>
      <c r="BR836" s="216"/>
    </row>
    <row r="837" spans="1:70" ht="12.75" x14ac:dyDescent="0.2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214"/>
      <c r="L837" s="214"/>
      <c r="M837" s="215"/>
      <c r="N837" s="215"/>
      <c r="O837" s="216"/>
      <c r="P837" s="216"/>
      <c r="Q837" s="216"/>
      <c r="R837" s="216"/>
      <c r="S837" s="216"/>
      <c r="T837" s="216"/>
      <c r="U837" s="216"/>
      <c r="V837" s="216"/>
      <c r="W837" s="216"/>
      <c r="X837" s="216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16"/>
      <c r="AN837" s="216"/>
      <c r="AO837" s="216"/>
      <c r="AP837" s="216"/>
      <c r="AQ837" s="216"/>
      <c r="AR837" s="216"/>
      <c r="AS837" s="216"/>
      <c r="AT837" s="216"/>
      <c r="AU837" s="216"/>
      <c r="AV837" s="216"/>
      <c r="AW837" s="216"/>
      <c r="AX837" s="216"/>
      <c r="AY837" s="216"/>
      <c r="AZ837" s="216"/>
      <c r="BA837" s="216"/>
      <c r="BB837" s="216"/>
      <c r="BC837" s="216"/>
      <c r="BD837" s="216"/>
      <c r="BE837" s="216"/>
      <c r="BF837" s="216"/>
      <c r="BG837" s="216"/>
      <c r="BH837" s="216"/>
      <c r="BI837" s="216"/>
      <c r="BJ837" s="216"/>
      <c r="BK837" s="216"/>
      <c r="BL837" s="216"/>
      <c r="BM837" s="216"/>
      <c r="BN837" s="216"/>
      <c r="BO837" s="216"/>
      <c r="BP837" s="216"/>
      <c r="BQ837" s="216"/>
      <c r="BR837" s="216"/>
    </row>
    <row r="838" spans="1:70" ht="12.75" x14ac:dyDescent="0.2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214"/>
      <c r="L838" s="214"/>
      <c r="M838" s="215"/>
      <c r="N838" s="215"/>
      <c r="O838" s="216"/>
      <c r="P838" s="216"/>
      <c r="Q838" s="216"/>
      <c r="R838" s="216"/>
      <c r="S838" s="216"/>
      <c r="T838" s="216"/>
      <c r="U838" s="216"/>
      <c r="V838" s="216"/>
      <c r="W838" s="216"/>
      <c r="X838" s="216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  <c r="AM838" s="216"/>
      <c r="AN838" s="216"/>
      <c r="AO838" s="216"/>
      <c r="AP838" s="216"/>
      <c r="AQ838" s="216"/>
      <c r="AR838" s="216"/>
      <c r="AS838" s="216"/>
      <c r="AT838" s="216"/>
      <c r="AU838" s="216"/>
      <c r="AV838" s="216"/>
      <c r="AW838" s="216"/>
      <c r="AX838" s="216"/>
      <c r="AY838" s="216"/>
      <c r="AZ838" s="216"/>
      <c r="BA838" s="216"/>
      <c r="BB838" s="216"/>
      <c r="BC838" s="216"/>
      <c r="BD838" s="216"/>
      <c r="BE838" s="216"/>
      <c r="BF838" s="216"/>
      <c r="BG838" s="216"/>
      <c r="BH838" s="216"/>
      <c r="BI838" s="216"/>
      <c r="BJ838" s="216"/>
      <c r="BK838" s="216"/>
      <c r="BL838" s="216"/>
      <c r="BM838" s="216"/>
      <c r="BN838" s="216"/>
      <c r="BO838" s="216"/>
      <c r="BP838" s="216"/>
      <c r="BQ838" s="216"/>
      <c r="BR838" s="216"/>
    </row>
    <row r="839" spans="1:70" ht="12.75" x14ac:dyDescent="0.2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214"/>
      <c r="L839" s="214"/>
      <c r="M839" s="215"/>
      <c r="N839" s="215"/>
      <c r="O839" s="216"/>
      <c r="P839" s="216"/>
      <c r="Q839" s="216"/>
      <c r="R839" s="216"/>
      <c r="S839" s="216"/>
      <c r="T839" s="216"/>
      <c r="U839" s="216"/>
      <c r="V839" s="216"/>
      <c r="W839" s="216"/>
      <c r="X839" s="216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  <c r="AM839" s="216"/>
      <c r="AN839" s="216"/>
      <c r="AO839" s="216"/>
      <c r="AP839" s="216"/>
      <c r="AQ839" s="216"/>
      <c r="AR839" s="216"/>
      <c r="AS839" s="216"/>
      <c r="AT839" s="216"/>
      <c r="AU839" s="216"/>
      <c r="AV839" s="216"/>
      <c r="AW839" s="216"/>
      <c r="AX839" s="216"/>
      <c r="AY839" s="216"/>
      <c r="AZ839" s="216"/>
      <c r="BA839" s="216"/>
      <c r="BB839" s="216"/>
      <c r="BC839" s="216"/>
      <c r="BD839" s="216"/>
      <c r="BE839" s="216"/>
      <c r="BF839" s="216"/>
      <c r="BG839" s="216"/>
      <c r="BH839" s="216"/>
      <c r="BI839" s="216"/>
      <c r="BJ839" s="216"/>
      <c r="BK839" s="216"/>
      <c r="BL839" s="216"/>
      <c r="BM839" s="216"/>
      <c r="BN839" s="216"/>
      <c r="BO839" s="216"/>
      <c r="BP839" s="216"/>
      <c r="BQ839" s="216"/>
      <c r="BR839" s="216"/>
    </row>
    <row r="840" spans="1:70" ht="12.75" x14ac:dyDescent="0.2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214"/>
      <c r="L840" s="214"/>
      <c r="M840" s="215"/>
      <c r="N840" s="215"/>
      <c r="O840" s="216"/>
      <c r="P840" s="216"/>
      <c r="Q840" s="216"/>
      <c r="R840" s="216"/>
      <c r="S840" s="216"/>
      <c r="T840" s="216"/>
      <c r="U840" s="216"/>
      <c r="V840" s="216"/>
      <c r="W840" s="216"/>
      <c r="X840" s="216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  <c r="AM840" s="216"/>
      <c r="AN840" s="216"/>
      <c r="AO840" s="216"/>
      <c r="AP840" s="216"/>
      <c r="AQ840" s="216"/>
      <c r="AR840" s="216"/>
      <c r="AS840" s="216"/>
      <c r="AT840" s="216"/>
      <c r="AU840" s="216"/>
      <c r="AV840" s="216"/>
      <c r="AW840" s="216"/>
      <c r="AX840" s="216"/>
      <c r="AY840" s="216"/>
      <c r="AZ840" s="216"/>
      <c r="BA840" s="216"/>
      <c r="BB840" s="216"/>
      <c r="BC840" s="216"/>
      <c r="BD840" s="216"/>
      <c r="BE840" s="216"/>
      <c r="BF840" s="216"/>
      <c r="BG840" s="216"/>
      <c r="BH840" s="216"/>
      <c r="BI840" s="216"/>
      <c r="BJ840" s="216"/>
      <c r="BK840" s="216"/>
      <c r="BL840" s="216"/>
      <c r="BM840" s="216"/>
      <c r="BN840" s="216"/>
      <c r="BO840" s="216"/>
      <c r="BP840" s="216"/>
      <c r="BQ840" s="216"/>
      <c r="BR840" s="216"/>
    </row>
    <row r="841" spans="1:70" ht="12.75" x14ac:dyDescent="0.2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214"/>
      <c r="L841" s="214"/>
      <c r="M841" s="215"/>
      <c r="N841" s="215"/>
      <c r="O841" s="216"/>
      <c r="P841" s="216"/>
      <c r="Q841" s="216"/>
      <c r="R841" s="216"/>
      <c r="S841" s="216"/>
      <c r="T841" s="216"/>
      <c r="U841" s="216"/>
      <c r="V841" s="216"/>
      <c r="W841" s="216"/>
      <c r="X841" s="216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  <c r="AM841" s="216"/>
      <c r="AN841" s="216"/>
      <c r="AO841" s="216"/>
      <c r="AP841" s="216"/>
      <c r="AQ841" s="216"/>
      <c r="AR841" s="216"/>
      <c r="AS841" s="216"/>
      <c r="AT841" s="216"/>
      <c r="AU841" s="216"/>
      <c r="AV841" s="216"/>
      <c r="AW841" s="216"/>
      <c r="AX841" s="216"/>
      <c r="AY841" s="216"/>
      <c r="AZ841" s="216"/>
      <c r="BA841" s="216"/>
      <c r="BB841" s="216"/>
      <c r="BC841" s="216"/>
      <c r="BD841" s="216"/>
      <c r="BE841" s="216"/>
      <c r="BF841" s="216"/>
      <c r="BG841" s="216"/>
      <c r="BH841" s="216"/>
      <c r="BI841" s="216"/>
      <c r="BJ841" s="216"/>
      <c r="BK841" s="216"/>
      <c r="BL841" s="216"/>
      <c r="BM841" s="216"/>
      <c r="BN841" s="216"/>
      <c r="BO841" s="216"/>
      <c r="BP841" s="216"/>
      <c r="BQ841" s="216"/>
      <c r="BR841" s="216"/>
    </row>
    <row r="842" spans="1:70" ht="12.75" x14ac:dyDescent="0.2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214"/>
      <c r="L842" s="214"/>
      <c r="M842" s="215"/>
      <c r="N842" s="215"/>
      <c r="O842" s="216"/>
      <c r="P842" s="216"/>
      <c r="Q842" s="216"/>
      <c r="R842" s="216"/>
      <c r="S842" s="216"/>
      <c r="T842" s="216"/>
      <c r="U842" s="216"/>
      <c r="V842" s="216"/>
      <c r="W842" s="216"/>
      <c r="X842" s="216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  <c r="AM842" s="216"/>
      <c r="AN842" s="216"/>
      <c r="AO842" s="216"/>
      <c r="AP842" s="216"/>
      <c r="AQ842" s="216"/>
      <c r="AR842" s="216"/>
      <c r="AS842" s="216"/>
      <c r="AT842" s="216"/>
      <c r="AU842" s="216"/>
      <c r="AV842" s="216"/>
      <c r="AW842" s="216"/>
      <c r="AX842" s="216"/>
      <c r="AY842" s="216"/>
      <c r="AZ842" s="216"/>
      <c r="BA842" s="216"/>
      <c r="BB842" s="216"/>
      <c r="BC842" s="216"/>
      <c r="BD842" s="216"/>
      <c r="BE842" s="216"/>
      <c r="BF842" s="216"/>
      <c r="BG842" s="216"/>
      <c r="BH842" s="216"/>
      <c r="BI842" s="216"/>
      <c r="BJ842" s="216"/>
      <c r="BK842" s="216"/>
      <c r="BL842" s="216"/>
      <c r="BM842" s="216"/>
      <c r="BN842" s="216"/>
      <c r="BO842" s="216"/>
      <c r="BP842" s="216"/>
      <c r="BQ842" s="216"/>
      <c r="BR842" s="216"/>
    </row>
    <row r="843" spans="1:70" ht="12.75" x14ac:dyDescent="0.2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214"/>
      <c r="L843" s="214"/>
      <c r="M843" s="215"/>
      <c r="N843" s="215"/>
      <c r="O843" s="216"/>
      <c r="P843" s="216"/>
      <c r="Q843" s="216"/>
      <c r="R843" s="216"/>
      <c r="S843" s="216"/>
      <c r="T843" s="216"/>
      <c r="U843" s="216"/>
      <c r="V843" s="216"/>
      <c r="W843" s="216"/>
      <c r="X843" s="216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  <c r="AM843" s="216"/>
      <c r="AN843" s="216"/>
      <c r="AO843" s="216"/>
      <c r="AP843" s="216"/>
      <c r="AQ843" s="216"/>
      <c r="AR843" s="216"/>
      <c r="AS843" s="216"/>
      <c r="AT843" s="216"/>
      <c r="AU843" s="216"/>
      <c r="AV843" s="216"/>
      <c r="AW843" s="216"/>
      <c r="AX843" s="216"/>
      <c r="AY843" s="216"/>
      <c r="AZ843" s="216"/>
      <c r="BA843" s="216"/>
      <c r="BB843" s="216"/>
      <c r="BC843" s="216"/>
      <c r="BD843" s="216"/>
      <c r="BE843" s="216"/>
      <c r="BF843" s="216"/>
      <c r="BG843" s="216"/>
      <c r="BH843" s="216"/>
      <c r="BI843" s="216"/>
      <c r="BJ843" s="216"/>
      <c r="BK843" s="216"/>
      <c r="BL843" s="216"/>
      <c r="BM843" s="216"/>
      <c r="BN843" s="216"/>
      <c r="BO843" s="216"/>
      <c r="BP843" s="216"/>
      <c r="BQ843" s="216"/>
      <c r="BR843" s="216"/>
    </row>
    <row r="844" spans="1:70" ht="12.75" x14ac:dyDescent="0.2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214"/>
      <c r="L844" s="214"/>
      <c r="M844" s="215"/>
      <c r="N844" s="215"/>
      <c r="O844" s="216"/>
      <c r="P844" s="216"/>
      <c r="Q844" s="216"/>
      <c r="R844" s="216"/>
      <c r="S844" s="216"/>
      <c r="T844" s="216"/>
      <c r="U844" s="216"/>
      <c r="V844" s="216"/>
      <c r="W844" s="216"/>
      <c r="X844" s="216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  <c r="AM844" s="216"/>
      <c r="AN844" s="216"/>
      <c r="AO844" s="216"/>
      <c r="AP844" s="216"/>
      <c r="AQ844" s="216"/>
      <c r="AR844" s="216"/>
      <c r="AS844" s="216"/>
      <c r="AT844" s="216"/>
      <c r="AU844" s="216"/>
      <c r="AV844" s="216"/>
      <c r="AW844" s="216"/>
      <c r="AX844" s="216"/>
      <c r="AY844" s="216"/>
      <c r="AZ844" s="216"/>
      <c r="BA844" s="216"/>
      <c r="BB844" s="216"/>
      <c r="BC844" s="216"/>
      <c r="BD844" s="216"/>
      <c r="BE844" s="216"/>
      <c r="BF844" s="216"/>
      <c r="BG844" s="216"/>
      <c r="BH844" s="216"/>
      <c r="BI844" s="216"/>
      <c r="BJ844" s="216"/>
      <c r="BK844" s="216"/>
      <c r="BL844" s="216"/>
      <c r="BM844" s="216"/>
      <c r="BN844" s="216"/>
      <c r="BO844" s="216"/>
      <c r="BP844" s="216"/>
      <c r="BQ844" s="216"/>
      <c r="BR844" s="216"/>
    </row>
    <row r="845" spans="1:70" ht="12.75" x14ac:dyDescent="0.2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214"/>
      <c r="L845" s="214"/>
      <c r="M845" s="215"/>
      <c r="N845" s="215"/>
      <c r="O845" s="216"/>
      <c r="P845" s="216"/>
      <c r="Q845" s="216"/>
      <c r="R845" s="216"/>
      <c r="S845" s="216"/>
      <c r="T845" s="216"/>
      <c r="U845" s="216"/>
      <c r="V845" s="216"/>
      <c r="W845" s="216"/>
      <c r="X845" s="216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  <c r="AM845" s="216"/>
      <c r="AN845" s="216"/>
      <c r="AO845" s="216"/>
      <c r="AP845" s="216"/>
      <c r="AQ845" s="216"/>
      <c r="AR845" s="216"/>
      <c r="AS845" s="216"/>
      <c r="AT845" s="216"/>
      <c r="AU845" s="216"/>
      <c r="AV845" s="216"/>
      <c r="AW845" s="216"/>
      <c r="AX845" s="216"/>
      <c r="AY845" s="216"/>
      <c r="AZ845" s="216"/>
      <c r="BA845" s="216"/>
      <c r="BB845" s="216"/>
      <c r="BC845" s="216"/>
      <c r="BD845" s="216"/>
      <c r="BE845" s="216"/>
      <c r="BF845" s="216"/>
      <c r="BG845" s="216"/>
      <c r="BH845" s="216"/>
      <c r="BI845" s="216"/>
      <c r="BJ845" s="216"/>
      <c r="BK845" s="216"/>
      <c r="BL845" s="216"/>
      <c r="BM845" s="216"/>
      <c r="BN845" s="216"/>
      <c r="BO845" s="216"/>
      <c r="BP845" s="216"/>
      <c r="BQ845" s="216"/>
      <c r="BR845" s="216"/>
    </row>
    <row r="846" spans="1:70" ht="12.75" x14ac:dyDescent="0.2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214"/>
      <c r="L846" s="214"/>
      <c r="M846" s="215"/>
      <c r="N846" s="215"/>
      <c r="O846" s="216"/>
      <c r="P846" s="216"/>
      <c r="Q846" s="216"/>
      <c r="R846" s="216"/>
      <c r="S846" s="216"/>
      <c r="T846" s="216"/>
      <c r="U846" s="216"/>
      <c r="V846" s="216"/>
      <c r="W846" s="216"/>
      <c r="X846" s="216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  <c r="AM846" s="216"/>
      <c r="AN846" s="216"/>
      <c r="AO846" s="216"/>
      <c r="AP846" s="216"/>
      <c r="AQ846" s="216"/>
      <c r="AR846" s="216"/>
      <c r="AS846" s="216"/>
      <c r="AT846" s="216"/>
      <c r="AU846" s="216"/>
      <c r="AV846" s="216"/>
      <c r="AW846" s="216"/>
      <c r="AX846" s="216"/>
      <c r="AY846" s="216"/>
      <c r="AZ846" s="216"/>
      <c r="BA846" s="216"/>
      <c r="BB846" s="216"/>
      <c r="BC846" s="216"/>
      <c r="BD846" s="216"/>
      <c r="BE846" s="216"/>
      <c r="BF846" s="216"/>
      <c r="BG846" s="216"/>
      <c r="BH846" s="216"/>
      <c r="BI846" s="216"/>
      <c r="BJ846" s="216"/>
      <c r="BK846" s="216"/>
      <c r="BL846" s="216"/>
      <c r="BM846" s="216"/>
      <c r="BN846" s="216"/>
      <c r="BO846" s="216"/>
      <c r="BP846" s="216"/>
      <c r="BQ846" s="216"/>
      <c r="BR846" s="216"/>
    </row>
    <row r="847" spans="1:70" ht="12.75" x14ac:dyDescent="0.2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214"/>
      <c r="L847" s="214"/>
      <c r="M847" s="215"/>
      <c r="N847" s="215"/>
      <c r="O847" s="216"/>
      <c r="P847" s="216"/>
      <c r="Q847" s="216"/>
      <c r="R847" s="216"/>
      <c r="S847" s="216"/>
      <c r="T847" s="216"/>
      <c r="U847" s="216"/>
      <c r="V847" s="216"/>
      <c r="W847" s="216"/>
      <c r="X847" s="216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  <c r="AM847" s="216"/>
      <c r="AN847" s="216"/>
      <c r="AO847" s="216"/>
      <c r="AP847" s="216"/>
      <c r="AQ847" s="216"/>
      <c r="AR847" s="216"/>
      <c r="AS847" s="216"/>
      <c r="AT847" s="216"/>
      <c r="AU847" s="216"/>
      <c r="AV847" s="216"/>
      <c r="AW847" s="216"/>
      <c r="AX847" s="216"/>
      <c r="AY847" s="216"/>
      <c r="AZ847" s="216"/>
      <c r="BA847" s="216"/>
      <c r="BB847" s="216"/>
      <c r="BC847" s="216"/>
      <c r="BD847" s="216"/>
      <c r="BE847" s="216"/>
      <c r="BF847" s="216"/>
      <c r="BG847" s="216"/>
      <c r="BH847" s="216"/>
      <c r="BI847" s="216"/>
      <c r="BJ847" s="216"/>
      <c r="BK847" s="216"/>
      <c r="BL847" s="216"/>
      <c r="BM847" s="216"/>
      <c r="BN847" s="216"/>
      <c r="BO847" s="216"/>
      <c r="BP847" s="216"/>
      <c r="BQ847" s="216"/>
      <c r="BR847" s="216"/>
    </row>
    <row r="848" spans="1:70" ht="12.75" x14ac:dyDescent="0.2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214"/>
      <c r="L848" s="214"/>
      <c r="M848" s="215"/>
      <c r="N848" s="215"/>
      <c r="O848" s="216"/>
      <c r="P848" s="216"/>
      <c r="Q848" s="216"/>
      <c r="R848" s="216"/>
      <c r="S848" s="216"/>
      <c r="T848" s="216"/>
      <c r="U848" s="216"/>
      <c r="V848" s="216"/>
      <c r="W848" s="216"/>
      <c r="X848" s="216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  <c r="AM848" s="216"/>
      <c r="AN848" s="216"/>
      <c r="AO848" s="216"/>
      <c r="AP848" s="216"/>
      <c r="AQ848" s="216"/>
      <c r="AR848" s="216"/>
      <c r="AS848" s="216"/>
      <c r="AT848" s="216"/>
      <c r="AU848" s="216"/>
      <c r="AV848" s="216"/>
      <c r="AW848" s="216"/>
      <c r="AX848" s="216"/>
      <c r="AY848" s="216"/>
      <c r="AZ848" s="216"/>
      <c r="BA848" s="216"/>
      <c r="BB848" s="216"/>
      <c r="BC848" s="216"/>
      <c r="BD848" s="216"/>
      <c r="BE848" s="216"/>
      <c r="BF848" s="216"/>
      <c r="BG848" s="216"/>
      <c r="BH848" s="216"/>
      <c r="BI848" s="216"/>
      <c r="BJ848" s="216"/>
      <c r="BK848" s="216"/>
      <c r="BL848" s="216"/>
      <c r="BM848" s="216"/>
      <c r="BN848" s="216"/>
      <c r="BO848" s="216"/>
      <c r="BP848" s="216"/>
      <c r="BQ848" s="216"/>
      <c r="BR848" s="216"/>
    </row>
    <row r="849" spans="1:70" ht="12.75" x14ac:dyDescent="0.2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214"/>
      <c r="L849" s="214"/>
      <c r="M849" s="215"/>
      <c r="N849" s="215"/>
      <c r="O849" s="216"/>
      <c r="P849" s="216"/>
      <c r="Q849" s="216"/>
      <c r="R849" s="216"/>
      <c r="S849" s="216"/>
      <c r="T849" s="216"/>
      <c r="U849" s="216"/>
      <c r="V849" s="216"/>
      <c r="W849" s="216"/>
      <c r="X849" s="216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16"/>
      <c r="AN849" s="216"/>
      <c r="AO849" s="216"/>
      <c r="AP849" s="216"/>
      <c r="AQ849" s="216"/>
      <c r="AR849" s="216"/>
      <c r="AS849" s="216"/>
      <c r="AT849" s="216"/>
      <c r="AU849" s="216"/>
      <c r="AV849" s="216"/>
      <c r="AW849" s="216"/>
      <c r="AX849" s="216"/>
      <c r="AY849" s="216"/>
      <c r="AZ849" s="216"/>
      <c r="BA849" s="216"/>
      <c r="BB849" s="216"/>
      <c r="BC849" s="216"/>
      <c r="BD849" s="216"/>
      <c r="BE849" s="216"/>
      <c r="BF849" s="216"/>
      <c r="BG849" s="216"/>
      <c r="BH849" s="216"/>
      <c r="BI849" s="216"/>
      <c r="BJ849" s="216"/>
      <c r="BK849" s="216"/>
      <c r="BL849" s="216"/>
      <c r="BM849" s="216"/>
      <c r="BN849" s="216"/>
      <c r="BO849" s="216"/>
      <c r="BP849" s="216"/>
      <c r="BQ849" s="216"/>
      <c r="BR849" s="216"/>
    </row>
    <row r="850" spans="1:70" ht="12.75" x14ac:dyDescent="0.2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214"/>
      <c r="L850" s="214"/>
      <c r="M850" s="215"/>
      <c r="N850" s="215"/>
      <c r="O850" s="216"/>
      <c r="P850" s="216"/>
      <c r="Q850" s="216"/>
      <c r="R850" s="216"/>
      <c r="S850" s="216"/>
      <c r="T850" s="216"/>
      <c r="U850" s="216"/>
      <c r="V850" s="216"/>
      <c r="W850" s="216"/>
      <c r="X850" s="216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16"/>
      <c r="AN850" s="216"/>
      <c r="AO850" s="216"/>
      <c r="AP850" s="216"/>
      <c r="AQ850" s="216"/>
      <c r="AR850" s="216"/>
      <c r="AS850" s="216"/>
      <c r="AT850" s="216"/>
      <c r="AU850" s="216"/>
      <c r="AV850" s="216"/>
      <c r="AW850" s="216"/>
      <c r="AX850" s="216"/>
      <c r="AY850" s="216"/>
      <c r="AZ850" s="216"/>
      <c r="BA850" s="216"/>
      <c r="BB850" s="216"/>
      <c r="BC850" s="216"/>
      <c r="BD850" s="216"/>
      <c r="BE850" s="216"/>
      <c r="BF850" s="216"/>
      <c r="BG850" s="216"/>
      <c r="BH850" s="216"/>
      <c r="BI850" s="216"/>
      <c r="BJ850" s="216"/>
      <c r="BK850" s="216"/>
      <c r="BL850" s="216"/>
      <c r="BM850" s="216"/>
      <c r="BN850" s="216"/>
      <c r="BO850" s="216"/>
      <c r="BP850" s="216"/>
      <c r="BQ850" s="216"/>
      <c r="BR850" s="216"/>
    </row>
    <row r="851" spans="1:70" ht="12.75" x14ac:dyDescent="0.2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214"/>
      <c r="L851" s="214"/>
      <c r="M851" s="215"/>
      <c r="N851" s="215"/>
      <c r="O851" s="216"/>
      <c r="P851" s="216"/>
      <c r="Q851" s="216"/>
      <c r="R851" s="216"/>
      <c r="S851" s="216"/>
      <c r="T851" s="216"/>
      <c r="U851" s="216"/>
      <c r="V851" s="216"/>
      <c r="W851" s="216"/>
      <c r="X851" s="216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16"/>
      <c r="AN851" s="216"/>
      <c r="AO851" s="216"/>
      <c r="AP851" s="216"/>
      <c r="AQ851" s="216"/>
      <c r="AR851" s="216"/>
      <c r="AS851" s="216"/>
      <c r="AT851" s="216"/>
      <c r="AU851" s="216"/>
      <c r="AV851" s="216"/>
      <c r="AW851" s="216"/>
      <c r="AX851" s="216"/>
      <c r="AY851" s="216"/>
      <c r="AZ851" s="216"/>
      <c r="BA851" s="216"/>
      <c r="BB851" s="216"/>
      <c r="BC851" s="216"/>
      <c r="BD851" s="216"/>
      <c r="BE851" s="216"/>
      <c r="BF851" s="216"/>
      <c r="BG851" s="216"/>
      <c r="BH851" s="216"/>
      <c r="BI851" s="216"/>
      <c r="BJ851" s="216"/>
      <c r="BK851" s="216"/>
      <c r="BL851" s="216"/>
      <c r="BM851" s="216"/>
      <c r="BN851" s="216"/>
      <c r="BO851" s="216"/>
      <c r="BP851" s="216"/>
      <c r="BQ851" s="216"/>
      <c r="BR851" s="216"/>
    </row>
    <row r="852" spans="1:70" ht="12.75" x14ac:dyDescent="0.2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214"/>
      <c r="L852" s="214"/>
      <c r="M852" s="215"/>
      <c r="N852" s="215"/>
      <c r="O852" s="216"/>
      <c r="P852" s="216"/>
      <c r="Q852" s="216"/>
      <c r="R852" s="216"/>
      <c r="S852" s="216"/>
      <c r="T852" s="216"/>
      <c r="U852" s="216"/>
      <c r="V852" s="216"/>
      <c r="W852" s="216"/>
      <c r="X852" s="216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16"/>
      <c r="AN852" s="216"/>
      <c r="AO852" s="216"/>
      <c r="AP852" s="216"/>
      <c r="AQ852" s="216"/>
      <c r="AR852" s="216"/>
      <c r="AS852" s="216"/>
      <c r="AT852" s="216"/>
      <c r="AU852" s="216"/>
      <c r="AV852" s="216"/>
      <c r="AW852" s="216"/>
      <c r="AX852" s="216"/>
      <c r="AY852" s="216"/>
      <c r="AZ852" s="216"/>
      <c r="BA852" s="216"/>
      <c r="BB852" s="216"/>
      <c r="BC852" s="216"/>
      <c r="BD852" s="216"/>
      <c r="BE852" s="216"/>
      <c r="BF852" s="216"/>
      <c r="BG852" s="216"/>
      <c r="BH852" s="216"/>
      <c r="BI852" s="216"/>
      <c r="BJ852" s="216"/>
      <c r="BK852" s="216"/>
      <c r="BL852" s="216"/>
      <c r="BM852" s="216"/>
      <c r="BN852" s="216"/>
      <c r="BO852" s="216"/>
      <c r="BP852" s="216"/>
      <c r="BQ852" s="216"/>
      <c r="BR852" s="216"/>
    </row>
    <row r="853" spans="1:70" ht="12.75" x14ac:dyDescent="0.2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214"/>
      <c r="L853" s="214"/>
      <c r="M853" s="215"/>
      <c r="N853" s="215"/>
      <c r="O853" s="216"/>
      <c r="P853" s="216"/>
      <c r="Q853" s="216"/>
      <c r="R853" s="216"/>
      <c r="S853" s="216"/>
      <c r="T853" s="216"/>
      <c r="U853" s="216"/>
      <c r="V853" s="216"/>
      <c r="W853" s="216"/>
      <c r="X853" s="216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16"/>
      <c r="AN853" s="216"/>
      <c r="AO853" s="216"/>
      <c r="AP853" s="216"/>
      <c r="AQ853" s="216"/>
      <c r="AR853" s="216"/>
      <c r="AS853" s="216"/>
      <c r="AT853" s="216"/>
      <c r="AU853" s="216"/>
      <c r="AV853" s="216"/>
      <c r="AW853" s="216"/>
      <c r="AX853" s="216"/>
      <c r="AY853" s="216"/>
      <c r="AZ853" s="216"/>
      <c r="BA853" s="216"/>
      <c r="BB853" s="216"/>
      <c r="BC853" s="216"/>
      <c r="BD853" s="216"/>
      <c r="BE853" s="216"/>
      <c r="BF853" s="216"/>
      <c r="BG853" s="216"/>
      <c r="BH853" s="216"/>
      <c r="BI853" s="216"/>
      <c r="BJ853" s="216"/>
      <c r="BK853" s="216"/>
      <c r="BL853" s="216"/>
      <c r="BM853" s="216"/>
      <c r="BN853" s="216"/>
      <c r="BO853" s="216"/>
      <c r="BP853" s="216"/>
      <c r="BQ853" s="216"/>
      <c r="BR853" s="216"/>
    </row>
    <row r="854" spans="1:70" ht="12.75" x14ac:dyDescent="0.2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214"/>
      <c r="L854" s="214"/>
      <c r="M854" s="215"/>
      <c r="N854" s="215"/>
      <c r="O854" s="216"/>
      <c r="P854" s="216"/>
      <c r="Q854" s="216"/>
      <c r="R854" s="216"/>
      <c r="S854" s="216"/>
      <c r="T854" s="216"/>
      <c r="U854" s="216"/>
      <c r="V854" s="216"/>
      <c r="W854" s="216"/>
      <c r="X854" s="216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16"/>
      <c r="AN854" s="216"/>
      <c r="AO854" s="216"/>
      <c r="AP854" s="216"/>
      <c r="AQ854" s="216"/>
      <c r="AR854" s="216"/>
      <c r="AS854" s="216"/>
      <c r="AT854" s="216"/>
      <c r="AU854" s="216"/>
      <c r="AV854" s="216"/>
      <c r="AW854" s="216"/>
      <c r="AX854" s="216"/>
      <c r="AY854" s="216"/>
      <c r="AZ854" s="216"/>
      <c r="BA854" s="216"/>
      <c r="BB854" s="216"/>
      <c r="BC854" s="216"/>
      <c r="BD854" s="216"/>
      <c r="BE854" s="216"/>
      <c r="BF854" s="216"/>
      <c r="BG854" s="216"/>
      <c r="BH854" s="216"/>
      <c r="BI854" s="216"/>
      <c r="BJ854" s="216"/>
      <c r="BK854" s="216"/>
      <c r="BL854" s="216"/>
      <c r="BM854" s="216"/>
      <c r="BN854" s="216"/>
      <c r="BO854" s="216"/>
      <c r="BP854" s="216"/>
      <c r="BQ854" s="216"/>
      <c r="BR854" s="216"/>
    </row>
    <row r="855" spans="1:70" ht="12.75" x14ac:dyDescent="0.2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214"/>
      <c r="L855" s="214"/>
      <c r="M855" s="215"/>
      <c r="N855" s="215"/>
      <c r="O855" s="216"/>
      <c r="P855" s="216"/>
      <c r="Q855" s="216"/>
      <c r="R855" s="216"/>
      <c r="S855" s="216"/>
      <c r="T855" s="216"/>
      <c r="U855" s="216"/>
      <c r="V855" s="216"/>
      <c r="W855" s="216"/>
      <c r="X855" s="216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16"/>
      <c r="AN855" s="216"/>
      <c r="AO855" s="216"/>
      <c r="AP855" s="216"/>
      <c r="AQ855" s="216"/>
      <c r="AR855" s="216"/>
      <c r="AS855" s="216"/>
      <c r="AT855" s="216"/>
      <c r="AU855" s="216"/>
      <c r="AV855" s="216"/>
      <c r="AW855" s="216"/>
      <c r="AX855" s="216"/>
      <c r="AY855" s="216"/>
      <c r="AZ855" s="216"/>
      <c r="BA855" s="216"/>
      <c r="BB855" s="216"/>
      <c r="BC855" s="216"/>
      <c r="BD855" s="216"/>
      <c r="BE855" s="216"/>
      <c r="BF855" s="216"/>
      <c r="BG855" s="216"/>
      <c r="BH855" s="216"/>
      <c r="BI855" s="216"/>
      <c r="BJ855" s="216"/>
      <c r="BK855" s="216"/>
      <c r="BL855" s="216"/>
      <c r="BM855" s="216"/>
      <c r="BN855" s="216"/>
      <c r="BO855" s="216"/>
      <c r="BP855" s="216"/>
      <c r="BQ855" s="216"/>
      <c r="BR855" s="216"/>
    </row>
    <row r="856" spans="1:70" ht="12.75" x14ac:dyDescent="0.2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214"/>
      <c r="L856" s="214"/>
      <c r="M856" s="215"/>
      <c r="N856" s="215"/>
      <c r="O856" s="216"/>
      <c r="P856" s="216"/>
      <c r="Q856" s="216"/>
      <c r="R856" s="216"/>
      <c r="S856" s="216"/>
      <c r="T856" s="216"/>
      <c r="U856" s="216"/>
      <c r="V856" s="216"/>
      <c r="W856" s="216"/>
      <c r="X856" s="216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16"/>
      <c r="AN856" s="216"/>
      <c r="AO856" s="216"/>
      <c r="AP856" s="216"/>
      <c r="AQ856" s="216"/>
      <c r="AR856" s="216"/>
      <c r="AS856" s="216"/>
      <c r="AT856" s="216"/>
      <c r="AU856" s="216"/>
      <c r="AV856" s="216"/>
      <c r="AW856" s="216"/>
      <c r="AX856" s="216"/>
      <c r="AY856" s="216"/>
      <c r="AZ856" s="216"/>
      <c r="BA856" s="216"/>
      <c r="BB856" s="216"/>
      <c r="BC856" s="216"/>
      <c r="BD856" s="216"/>
      <c r="BE856" s="216"/>
      <c r="BF856" s="216"/>
      <c r="BG856" s="216"/>
      <c r="BH856" s="216"/>
      <c r="BI856" s="216"/>
      <c r="BJ856" s="216"/>
      <c r="BK856" s="216"/>
      <c r="BL856" s="216"/>
      <c r="BM856" s="216"/>
      <c r="BN856" s="216"/>
      <c r="BO856" s="216"/>
      <c r="BP856" s="216"/>
      <c r="BQ856" s="216"/>
      <c r="BR856" s="216"/>
    </row>
    <row r="857" spans="1:70" ht="12.75" x14ac:dyDescent="0.2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214"/>
      <c r="L857" s="214"/>
      <c r="M857" s="215"/>
      <c r="N857" s="215"/>
      <c r="O857" s="216"/>
      <c r="P857" s="216"/>
      <c r="Q857" s="216"/>
      <c r="R857" s="216"/>
      <c r="S857" s="216"/>
      <c r="T857" s="216"/>
      <c r="U857" s="216"/>
      <c r="V857" s="216"/>
      <c r="W857" s="216"/>
      <c r="X857" s="216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16"/>
      <c r="AN857" s="216"/>
      <c r="AO857" s="216"/>
      <c r="AP857" s="216"/>
      <c r="AQ857" s="216"/>
      <c r="AR857" s="216"/>
      <c r="AS857" s="216"/>
      <c r="AT857" s="216"/>
      <c r="AU857" s="216"/>
      <c r="AV857" s="216"/>
      <c r="AW857" s="216"/>
      <c r="AX857" s="216"/>
      <c r="AY857" s="216"/>
      <c r="AZ857" s="216"/>
      <c r="BA857" s="216"/>
      <c r="BB857" s="216"/>
      <c r="BC857" s="216"/>
      <c r="BD857" s="216"/>
      <c r="BE857" s="216"/>
      <c r="BF857" s="216"/>
      <c r="BG857" s="216"/>
      <c r="BH857" s="216"/>
      <c r="BI857" s="216"/>
      <c r="BJ857" s="216"/>
      <c r="BK857" s="216"/>
      <c r="BL857" s="216"/>
      <c r="BM857" s="216"/>
      <c r="BN857" s="216"/>
      <c r="BO857" s="216"/>
      <c r="BP857" s="216"/>
      <c r="BQ857" s="216"/>
      <c r="BR857" s="216"/>
    </row>
    <row r="858" spans="1:70" ht="12.75" x14ac:dyDescent="0.2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214"/>
      <c r="L858" s="214"/>
      <c r="M858" s="215"/>
      <c r="N858" s="215"/>
      <c r="O858" s="216"/>
      <c r="P858" s="216"/>
      <c r="Q858" s="216"/>
      <c r="R858" s="216"/>
      <c r="S858" s="216"/>
      <c r="T858" s="216"/>
      <c r="U858" s="216"/>
      <c r="V858" s="216"/>
      <c r="W858" s="216"/>
      <c r="X858" s="216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16"/>
      <c r="AN858" s="216"/>
      <c r="AO858" s="216"/>
      <c r="AP858" s="216"/>
      <c r="AQ858" s="216"/>
      <c r="AR858" s="216"/>
      <c r="AS858" s="216"/>
      <c r="AT858" s="216"/>
      <c r="AU858" s="216"/>
      <c r="AV858" s="216"/>
      <c r="AW858" s="216"/>
      <c r="AX858" s="216"/>
      <c r="AY858" s="216"/>
      <c r="AZ858" s="216"/>
      <c r="BA858" s="216"/>
      <c r="BB858" s="216"/>
      <c r="BC858" s="216"/>
      <c r="BD858" s="216"/>
      <c r="BE858" s="216"/>
      <c r="BF858" s="216"/>
      <c r="BG858" s="216"/>
      <c r="BH858" s="216"/>
      <c r="BI858" s="216"/>
      <c r="BJ858" s="216"/>
      <c r="BK858" s="216"/>
      <c r="BL858" s="216"/>
      <c r="BM858" s="216"/>
      <c r="BN858" s="216"/>
      <c r="BO858" s="216"/>
      <c r="BP858" s="216"/>
      <c r="BQ858" s="216"/>
      <c r="BR858" s="216"/>
    </row>
    <row r="859" spans="1:70" ht="12.75" x14ac:dyDescent="0.2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214"/>
      <c r="L859" s="214"/>
      <c r="M859" s="215"/>
      <c r="N859" s="215"/>
      <c r="O859" s="216"/>
      <c r="P859" s="216"/>
      <c r="Q859" s="216"/>
      <c r="R859" s="216"/>
      <c r="S859" s="216"/>
      <c r="T859" s="216"/>
      <c r="U859" s="216"/>
      <c r="V859" s="216"/>
      <c r="W859" s="216"/>
      <c r="X859" s="216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  <c r="AM859" s="216"/>
      <c r="AN859" s="216"/>
      <c r="AO859" s="216"/>
      <c r="AP859" s="216"/>
      <c r="AQ859" s="216"/>
      <c r="AR859" s="216"/>
      <c r="AS859" s="216"/>
      <c r="AT859" s="216"/>
      <c r="AU859" s="216"/>
      <c r="AV859" s="216"/>
      <c r="AW859" s="216"/>
      <c r="AX859" s="216"/>
      <c r="AY859" s="216"/>
      <c r="AZ859" s="216"/>
      <c r="BA859" s="216"/>
      <c r="BB859" s="216"/>
      <c r="BC859" s="216"/>
      <c r="BD859" s="216"/>
      <c r="BE859" s="216"/>
      <c r="BF859" s="216"/>
      <c r="BG859" s="216"/>
      <c r="BH859" s="216"/>
      <c r="BI859" s="216"/>
      <c r="BJ859" s="216"/>
      <c r="BK859" s="216"/>
      <c r="BL859" s="216"/>
      <c r="BM859" s="216"/>
      <c r="BN859" s="216"/>
      <c r="BO859" s="216"/>
      <c r="BP859" s="216"/>
      <c r="BQ859" s="216"/>
      <c r="BR859" s="216"/>
    </row>
    <row r="860" spans="1:70" ht="12.75" x14ac:dyDescent="0.2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214"/>
      <c r="L860" s="214"/>
      <c r="M860" s="215"/>
      <c r="N860" s="215"/>
      <c r="O860" s="216"/>
      <c r="P860" s="216"/>
      <c r="Q860" s="216"/>
      <c r="R860" s="216"/>
      <c r="S860" s="216"/>
      <c r="T860" s="216"/>
      <c r="U860" s="216"/>
      <c r="V860" s="216"/>
      <c r="W860" s="216"/>
      <c r="X860" s="216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  <c r="AM860" s="216"/>
      <c r="AN860" s="216"/>
      <c r="AO860" s="216"/>
      <c r="AP860" s="216"/>
      <c r="AQ860" s="216"/>
      <c r="AR860" s="216"/>
      <c r="AS860" s="216"/>
      <c r="AT860" s="216"/>
      <c r="AU860" s="216"/>
      <c r="AV860" s="216"/>
      <c r="AW860" s="216"/>
      <c r="AX860" s="216"/>
      <c r="AY860" s="216"/>
      <c r="AZ860" s="216"/>
      <c r="BA860" s="216"/>
      <c r="BB860" s="216"/>
      <c r="BC860" s="216"/>
      <c r="BD860" s="216"/>
      <c r="BE860" s="216"/>
      <c r="BF860" s="216"/>
      <c r="BG860" s="216"/>
      <c r="BH860" s="216"/>
      <c r="BI860" s="216"/>
      <c r="BJ860" s="216"/>
      <c r="BK860" s="216"/>
      <c r="BL860" s="216"/>
      <c r="BM860" s="216"/>
      <c r="BN860" s="216"/>
      <c r="BO860" s="216"/>
      <c r="BP860" s="216"/>
      <c r="BQ860" s="216"/>
      <c r="BR860" s="216"/>
    </row>
    <row r="861" spans="1:70" ht="12.75" x14ac:dyDescent="0.2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214"/>
      <c r="L861" s="214"/>
      <c r="M861" s="215"/>
      <c r="N861" s="215"/>
      <c r="O861" s="216"/>
      <c r="P861" s="216"/>
      <c r="Q861" s="216"/>
      <c r="R861" s="216"/>
      <c r="S861" s="216"/>
      <c r="T861" s="216"/>
      <c r="U861" s="216"/>
      <c r="V861" s="216"/>
      <c r="W861" s="216"/>
      <c r="X861" s="216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  <c r="AM861" s="216"/>
      <c r="AN861" s="216"/>
      <c r="AO861" s="216"/>
      <c r="AP861" s="216"/>
      <c r="AQ861" s="216"/>
      <c r="AR861" s="216"/>
      <c r="AS861" s="216"/>
      <c r="AT861" s="216"/>
      <c r="AU861" s="216"/>
      <c r="AV861" s="216"/>
      <c r="AW861" s="216"/>
      <c r="AX861" s="216"/>
      <c r="AY861" s="216"/>
      <c r="AZ861" s="216"/>
      <c r="BA861" s="216"/>
      <c r="BB861" s="216"/>
      <c r="BC861" s="216"/>
      <c r="BD861" s="216"/>
      <c r="BE861" s="216"/>
      <c r="BF861" s="216"/>
      <c r="BG861" s="216"/>
      <c r="BH861" s="216"/>
      <c r="BI861" s="216"/>
      <c r="BJ861" s="216"/>
      <c r="BK861" s="216"/>
      <c r="BL861" s="216"/>
      <c r="BM861" s="216"/>
      <c r="BN861" s="216"/>
      <c r="BO861" s="216"/>
      <c r="BP861" s="216"/>
      <c r="BQ861" s="216"/>
      <c r="BR861" s="216"/>
    </row>
    <row r="862" spans="1:70" ht="12.75" x14ac:dyDescent="0.2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214"/>
      <c r="L862" s="214"/>
      <c r="M862" s="215"/>
      <c r="N862" s="215"/>
      <c r="O862" s="216"/>
      <c r="P862" s="216"/>
      <c r="Q862" s="216"/>
      <c r="R862" s="216"/>
      <c r="S862" s="216"/>
      <c r="T862" s="216"/>
      <c r="U862" s="216"/>
      <c r="V862" s="216"/>
      <c r="W862" s="216"/>
      <c r="X862" s="216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  <c r="AM862" s="216"/>
      <c r="AN862" s="216"/>
      <c r="AO862" s="216"/>
      <c r="AP862" s="216"/>
      <c r="AQ862" s="216"/>
      <c r="AR862" s="216"/>
      <c r="AS862" s="216"/>
      <c r="AT862" s="216"/>
      <c r="AU862" s="216"/>
      <c r="AV862" s="216"/>
      <c r="AW862" s="216"/>
      <c r="AX862" s="216"/>
      <c r="AY862" s="216"/>
      <c r="AZ862" s="216"/>
      <c r="BA862" s="216"/>
      <c r="BB862" s="216"/>
      <c r="BC862" s="216"/>
      <c r="BD862" s="216"/>
      <c r="BE862" s="216"/>
      <c r="BF862" s="216"/>
      <c r="BG862" s="216"/>
      <c r="BH862" s="216"/>
      <c r="BI862" s="216"/>
      <c r="BJ862" s="216"/>
      <c r="BK862" s="216"/>
      <c r="BL862" s="216"/>
      <c r="BM862" s="216"/>
      <c r="BN862" s="216"/>
      <c r="BO862" s="216"/>
      <c r="BP862" s="216"/>
      <c r="BQ862" s="216"/>
      <c r="BR862" s="216"/>
    </row>
    <row r="863" spans="1:70" ht="12.75" x14ac:dyDescent="0.2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214"/>
      <c r="L863" s="214"/>
      <c r="M863" s="215"/>
      <c r="N863" s="215"/>
      <c r="O863" s="216"/>
      <c r="P863" s="216"/>
      <c r="Q863" s="216"/>
      <c r="R863" s="216"/>
      <c r="S863" s="216"/>
      <c r="T863" s="216"/>
      <c r="U863" s="216"/>
      <c r="V863" s="216"/>
      <c r="W863" s="216"/>
      <c r="X863" s="216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  <c r="AM863" s="216"/>
      <c r="AN863" s="216"/>
      <c r="AO863" s="216"/>
      <c r="AP863" s="216"/>
      <c r="AQ863" s="216"/>
      <c r="AR863" s="216"/>
      <c r="AS863" s="216"/>
      <c r="AT863" s="216"/>
      <c r="AU863" s="216"/>
      <c r="AV863" s="216"/>
      <c r="AW863" s="216"/>
      <c r="AX863" s="216"/>
      <c r="AY863" s="216"/>
      <c r="AZ863" s="216"/>
      <c r="BA863" s="216"/>
      <c r="BB863" s="216"/>
      <c r="BC863" s="216"/>
      <c r="BD863" s="216"/>
      <c r="BE863" s="216"/>
      <c r="BF863" s="216"/>
      <c r="BG863" s="216"/>
      <c r="BH863" s="216"/>
      <c r="BI863" s="216"/>
      <c r="BJ863" s="216"/>
      <c r="BK863" s="216"/>
      <c r="BL863" s="216"/>
      <c r="BM863" s="216"/>
      <c r="BN863" s="216"/>
      <c r="BO863" s="216"/>
      <c r="BP863" s="216"/>
      <c r="BQ863" s="216"/>
      <c r="BR863" s="216"/>
    </row>
    <row r="864" spans="1:70" ht="12.75" x14ac:dyDescent="0.2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214"/>
      <c r="L864" s="214"/>
      <c r="M864" s="215"/>
      <c r="N864" s="215"/>
      <c r="O864" s="216"/>
      <c r="P864" s="216"/>
      <c r="Q864" s="216"/>
      <c r="R864" s="216"/>
      <c r="S864" s="216"/>
      <c r="T864" s="216"/>
      <c r="U864" s="216"/>
      <c r="V864" s="216"/>
      <c r="W864" s="216"/>
      <c r="X864" s="216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  <c r="AM864" s="216"/>
      <c r="AN864" s="216"/>
      <c r="AO864" s="216"/>
      <c r="AP864" s="216"/>
      <c r="AQ864" s="216"/>
      <c r="AR864" s="216"/>
      <c r="AS864" s="216"/>
      <c r="AT864" s="216"/>
      <c r="AU864" s="216"/>
      <c r="AV864" s="216"/>
      <c r="AW864" s="216"/>
      <c r="AX864" s="216"/>
      <c r="AY864" s="216"/>
      <c r="AZ864" s="216"/>
      <c r="BA864" s="216"/>
      <c r="BB864" s="216"/>
      <c r="BC864" s="216"/>
      <c r="BD864" s="216"/>
      <c r="BE864" s="216"/>
      <c r="BF864" s="216"/>
      <c r="BG864" s="216"/>
      <c r="BH864" s="216"/>
      <c r="BI864" s="216"/>
      <c r="BJ864" s="216"/>
      <c r="BK864" s="216"/>
      <c r="BL864" s="216"/>
      <c r="BM864" s="216"/>
      <c r="BN864" s="216"/>
      <c r="BO864" s="216"/>
      <c r="BP864" s="216"/>
      <c r="BQ864" s="216"/>
      <c r="BR864" s="216"/>
    </row>
    <row r="865" spans="1:70" ht="12.75" x14ac:dyDescent="0.2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214"/>
      <c r="L865" s="214"/>
      <c r="M865" s="215"/>
      <c r="N865" s="215"/>
      <c r="O865" s="216"/>
      <c r="P865" s="216"/>
      <c r="Q865" s="216"/>
      <c r="R865" s="216"/>
      <c r="S865" s="216"/>
      <c r="T865" s="216"/>
      <c r="U865" s="216"/>
      <c r="V865" s="216"/>
      <c r="W865" s="216"/>
      <c r="X865" s="216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  <c r="AM865" s="216"/>
      <c r="AN865" s="216"/>
      <c r="AO865" s="216"/>
      <c r="AP865" s="216"/>
      <c r="AQ865" s="216"/>
      <c r="AR865" s="216"/>
      <c r="AS865" s="216"/>
      <c r="AT865" s="216"/>
      <c r="AU865" s="216"/>
      <c r="AV865" s="216"/>
      <c r="AW865" s="216"/>
      <c r="AX865" s="216"/>
      <c r="AY865" s="216"/>
      <c r="AZ865" s="216"/>
      <c r="BA865" s="216"/>
      <c r="BB865" s="216"/>
      <c r="BC865" s="216"/>
      <c r="BD865" s="216"/>
      <c r="BE865" s="216"/>
      <c r="BF865" s="216"/>
      <c r="BG865" s="216"/>
      <c r="BH865" s="216"/>
      <c r="BI865" s="216"/>
      <c r="BJ865" s="216"/>
      <c r="BK865" s="216"/>
      <c r="BL865" s="216"/>
      <c r="BM865" s="216"/>
      <c r="BN865" s="216"/>
      <c r="BO865" s="216"/>
      <c r="BP865" s="216"/>
      <c r="BQ865" s="216"/>
      <c r="BR865" s="216"/>
    </row>
    <row r="866" spans="1:70" ht="12.75" x14ac:dyDescent="0.2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214"/>
      <c r="L866" s="214"/>
      <c r="M866" s="215"/>
      <c r="N866" s="215"/>
      <c r="O866" s="216"/>
      <c r="P866" s="216"/>
      <c r="Q866" s="216"/>
      <c r="R866" s="216"/>
      <c r="S866" s="216"/>
      <c r="T866" s="216"/>
      <c r="U866" s="216"/>
      <c r="V866" s="216"/>
      <c r="W866" s="216"/>
      <c r="X866" s="216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  <c r="AM866" s="216"/>
      <c r="AN866" s="216"/>
      <c r="AO866" s="216"/>
      <c r="AP866" s="216"/>
      <c r="AQ866" s="216"/>
      <c r="AR866" s="216"/>
      <c r="AS866" s="216"/>
      <c r="AT866" s="216"/>
      <c r="AU866" s="216"/>
      <c r="AV866" s="216"/>
      <c r="AW866" s="216"/>
      <c r="AX866" s="216"/>
      <c r="AY866" s="216"/>
      <c r="AZ866" s="216"/>
      <c r="BA866" s="216"/>
      <c r="BB866" s="216"/>
      <c r="BC866" s="216"/>
      <c r="BD866" s="216"/>
      <c r="BE866" s="216"/>
      <c r="BF866" s="216"/>
      <c r="BG866" s="216"/>
      <c r="BH866" s="216"/>
      <c r="BI866" s="216"/>
      <c r="BJ866" s="216"/>
      <c r="BK866" s="216"/>
      <c r="BL866" s="216"/>
      <c r="BM866" s="216"/>
      <c r="BN866" s="216"/>
      <c r="BO866" s="216"/>
      <c r="BP866" s="216"/>
      <c r="BQ866" s="216"/>
      <c r="BR866" s="216"/>
    </row>
    <row r="867" spans="1:70" ht="12.75" x14ac:dyDescent="0.2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214"/>
      <c r="L867" s="214"/>
      <c r="M867" s="215"/>
      <c r="N867" s="215"/>
      <c r="O867" s="216"/>
      <c r="P867" s="216"/>
      <c r="Q867" s="216"/>
      <c r="R867" s="216"/>
      <c r="S867" s="216"/>
      <c r="T867" s="216"/>
      <c r="U867" s="216"/>
      <c r="V867" s="216"/>
      <c r="W867" s="216"/>
      <c r="X867" s="216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16"/>
      <c r="AN867" s="216"/>
      <c r="AO867" s="216"/>
      <c r="AP867" s="216"/>
      <c r="AQ867" s="216"/>
      <c r="AR867" s="216"/>
      <c r="AS867" s="216"/>
      <c r="AT867" s="216"/>
      <c r="AU867" s="216"/>
      <c r="AV867" s="216"/>
      <c r="AW867" s="216"/>
      <c r="AX867" s="216"/>
      <c r="AY867" s="216"/>
      <c r="AZ867" s="216"/>
      <c r="BA867" s="216"/>
      <c r="BB867" s="216"/>
      <c r="BC867" s="216"/>
      <c r="BD867" s="216"/>
      <c r="BE867" s="216"/>
      <c r="BF867" s="216"/>
      <c r="BG867" s="216"/>
      <c r="BH867" s="216"/>
      <c r="BI867" s="216"/>
      <c r="BJ867" s="216"/>
      <c r="BK867" s="216"/>
      <c r="BL867" s="216"/>
      <c r="BM867" s="216"/>
      <c r="BN867" s="216"/>
      <c r="BO867" s="216"/>
      <c r="BP867" s="216"/>
      <c r="BQ867" s="216"/>
      <c r="BR867" s="216"/>
    </row>
    <row r="868" spans="1:70" ht="12.75" x14ac:dyDescent="0.2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214"/>
      <c r="L868" s="214"/>
      <c r="M868" s="215"/>
      <c r="N868" s="215"/>
      <c r="O868" s="216"/>
      <c r="P868" s="216"/>
      <c r="Q868" s="216"/>
      <c r="R868" s="216"/>
      <c r="S868" s="216"/>
      <c r="T868" s="216"/>
      <c r="U868" s="216"/>
      <c r="V868" s="216"/>
      <c r="W868" s="216"/>
      <c r="X868" s="216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16"/>
      <c r="AN868" s="216"/>
      <c r="AO868" s="216"/>
      <c r="AP868" s="216"/>
      <c r="AQ868" s="216"/>
      <c r="AR868" s="216"/>
      <c r="AS868" s="216"/>
      <c r="AT868" s="216"/>
      <c r="AU868" s="216"/>
      <c r="AV868" s="216"/>
      <c r="AW868" s="216"/>
      <c r="AX868" s="216"/>
      <c r="AY868" s="216"/>
      <c r="AZ868" s="216"/>
      <c r="BA868" s="216"/>
      <c r="BB868" s="216"/>
      <c r="BC868" s="216"/>
      <c r="BD868" s="216"/>
      <c r="BE868" s="216"/>
      <c r="BF868" s="216"/>
      <c r="BG868" s="216"/>
      <c r="BH868" s="216"/>
      <c r="BI868" s="216"/>
      <c r="BJ868" s="216"/>
      <c r="BK868" s="216"/>
      <c r="BL868" s="216"/>
      <c r="BM868" s="216"/>
      <c r="BN868" s="216"/>
      <c r="BO868" s="216"/>
      <c r="BP868" s="216"/>
      <c r="BQ868" s="216"/>
      <c r="BR868" s="216"/>
    </row>
    <row r="869" spans="1:70" ht="12.75" x14ac:dyDescent="0.2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214"/>
      <c r="L869" s="214"/>
      <c r="M869" s="215"/>
      <c r="N869" s="215"/>
      <c r="O869" s="216"/>
      <c r="P869" s="216"/>
      <c r="Q869" s="216"/>
      <c r="R869" s="216"/>
      <c r="S869" s="216"/>
      <c r="T869" s="216"/>
      <c r="U869" s="216"/>
      <c r="V869" s="216"/>
      <c r="W869" s="216"/>
      <c r="X869" s="216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16"/>
      <c r="AN869" s="216"/>
      <c r="AO869" s="216"/>
      <c r="AP869" s="216"/>
      <c r="AQ869" s="216"/>
      <c r="AR869" s="216"/>
      <c r="AS869" s="216"/>
      <c r="AT869" s="216"/>
      <c r="AU869" s="216"/>
      <c r="AV869" s="216"/>
      <c r="AW869" s="216"/>
      <c r="AX869" s="216"/>
      <c r="AY869" s="216"/>
      <c r="AZ869" s="216"/>
      <c r="BA869" s="216"/>
      <c r="BB869" s="216"/>
      <c r="BC869" s="216"/>
      <c r="BD869" s="216"/>
      <c r="BE869" s="216"/>
      <c r="BF869" s="216"/>
      <c r="BG869" s="216"/>
      <c r="BH869" s="216"/>
      <c r="BI869" s="216"/>
      <c r="BJ869" s="216"/>
      <c r="BK869" s="216"/>
      <c r="BL869" s="216"/>
      <c r="BM869" s="216"/>
      <c r="BN869" s="216"/>
      <c r="BO869" s="216"/>
      <c r="BP869" s="216"/>
      <c r="BQ869" s="216"/>
      <c r="BR869" s="216"/>
    </row>
    <row r="870" spans="1:70" ht="12.75" x14ac:dyDescent="0.2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214"/>
      <c r="L870" s="214"/>
      <c r="M870" s="215"/>
      <c r="N870" s="215"/>
      <c r="O870" s="216"/>
      <c r="P870" s="216"/>
      <c r="Q870" s="216"/>
      <c r="R870" s="216"/>
      <c r="S870" s="216"/>
      <c r="T870" s="216"/>
      <c r="U870" s="216"/>
      <c r="V870" s="216"/>
      <c r="W870" s="216"/>
      <c r="X870" s="216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16"/>
      <c r="AN870" s="216"/>
      <c r="AO870" s="216"/>
      <c r="AP870" s="216"/>
      <c r="AQ870" s="216"/>
      <c r="AR870" s="216"/>
      <c r="AS870" s="216"/>
      <c r="AT870" s="216"/>
      <c r="AU870" s="216"/>
      <c r="AV870" s="216"/>
      <c r="AW870" s="216"/>
      <c r="AX870" s="216"/>
      <c r="AY870" s="216"/>
      <c r="AZ870" s="216"/>
      <c r="BA870" s="216"/>
      <c r="BB870" s="216"/>
      <c r="BC870" s="216"/>
      <c r="BD870" s="216"/>
      <c r="BE870" s="216"/>
      <c r="BF870" s="216"/>
      <c r="BG870" s="216"/>
      <c r="BH870" s="216"/>
      <c r="BI870" s="216"/>
      <c r="BJ870" s="216"/>
      <c r="BK870" s="216"/>
      <c r="BL870" s="216"/>
      <c r="BM870" s="216"/>
      <c r="BN870" s="216"/>
      <c r="BO870" s="216"/>
      <c r="BP870" s="216"/>
      <c r="BQ870" s="216"/>
      <c r="BR870" s="216"/>
    </row>
    <row r="871" spans="1:70" ht="12.75" x14ac:dyDescent="0.2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214"/>
      <c r="L871" s="214"/>
      <c r="M871" s="215"/>
      <c r="N871" s="215"/>
      <c r="O871" s="216"/>
      <c r="P871" s="216"/>
      <c r="Q871" s="216"/>
      <c r="R871" s="216"/>
      <c r="S871" s="216"/>
      <c r="T871" s="216"/>
      <c r="U871" s="216"/>
      <c r="V871" s="216"/>
      <c r="W871" s="216"/>
      <c r="X871" s="216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16"/>
      <c r="AN871" s="216"/>
      <c r="AO871" s="216"/>
      <c r="AP871" s="216"/>
      <c r="AQ871" s="216"/>
      <c r="AR871" s="216"/>
      <c r="AS871" s="216"/>
      <c r="AT871" s="216"/>
      <c r="AU871" s="216"/>
      <c r="AV871" s="216"/>
      <c r="AW871" s="216"/>
      <c r="AX871" s="216"/>
      <c r="AY871" s="216"/>
      <c r="AZ871" s="216"/>
      <c r="BA871" s="216"/>
      <c r="BB871" s="216"/>
      <c r="BC871" s="216"/>
      <c r="BD871" s="216"/>
      <c r="BE871" s="216"/>
      <c r="BF871" s="216"/>
      <c r="BG871" s="216"/>
      <c r="BH871" s="216"/>
      <c r="BI871" s="216"/>
      <c r="BJ871" s="216"/>
      <c r="BK871" s="216"/>
      <c r="BL871" s="216"/>
      <c r="BM871" s="216"/>
      <c r="BN871" s="216"/>
      <c r="BO871" s="216"/>
      <c r="BP871" s="216"/>
      <c r="BQ871" s="216"/>
      <c r="BR871" s="216"/>
    </row>
    <row r="872" spans="1:70" ht="12.75" x14ac:dyDescent="0.2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214"/>
      <c r="L872" s="214"/>
      <c r="M872" s="215"/>
      <c r="N872" s="215"/>
      <c r="O872" s="216"/>
      <c r="P872" s="216"/>
      <c r="Q872" s="216"/>
      <c r="R872" s="216"/>
      <c r="S872" s="216"/>
      <c r="T872" s="216"/>
      <c r="U872" s="216"/>
      <c r="V872" s="216"/>
      <c r="W872" s="216"/>
      <c r="X872" s="216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16"/>
      <c r="AN872" s="216"/>
      <c r="AO872" s="216"/>
      <c r="AP872" s="216"/>
      <c r="AQ872" s="216"/>
      <c r="AR872" s="216"/>
      <c r="AS872" s="216"/>
      <c r="AT872" s="216"/>
      <c r="AU872" s="216"/>
      <c r="AV872" s="216"/>
      <c r="AW872" s="216"/>
      <c r="AX872" s="216"/>
      <c r="AY872" s="216"/>
      <c r="AZ872" s="216"/>
      <c r="BA872" s="216"/>
      <c r="BB872" s="216"/>
      <c r="BC872" s="216"/>
      <c r="BD872" s="216"/>
      <c r="BE872" s="216"/>
      <c r="BF872" s="216"/>
      <c r="BG872" s="216"/>
      <c r="BH872" s="216"/>
      <c r="BI872" s="216"/>
      <c r="BJ872" s="216"/>
      <c r="BK872" s="216"/>
      <c r="BL872" s="216"/>
      <c r="BM872" s="216"/>
      <c r="BN872" s="216"/>
      <c r="BO872" s="216"/>
      <c r="BP872" s="216"/>
      <c r="BQ872" s="216"/>
      <c r="BR872" s="216"/>
    </row>
    <row r="873" spans="1:70" ht="12.75" x14ac:dyDescent="0.2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214"/>
      <c r="L873" s="214"/>
      <c r="M873" s="215"/>
      <c r="N873" s="215"/>
      <c r="O873" s="216"/>
      <c r="P873" s="216"/>
      <c r="Q873" s="216"/>
      <c r="R873" s="216"/>
      <c r="S873" s="216"/>
      <c r="T873" s="216"/>
      <c r="U873" s="216"/>
      <c r="V873" s="216"/>
      <c r="W873" s="216"/>
      <c r="X873" s="216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16"/>
      <c r="AN873" s="216"/>
      <c r="AO873" s="216"/>
      <c r="AP873" s="216"/>
      <c r="AQ873" s="216"/>
      <c r="AR873" s="216"/>
      <c r="AS873" s="216"/>
      <c r="AT873" s="216"/>
      <c r="AU873" s="216"/>
      <c r="AV873" s="216"/>
      <c r="AW873" s="216"/>
      <c r="AX873" s="216"/>
      <c r="AY873" s="216"/>
      <c r="AZ873" s="216"/>
      <c r="BA873" s="216"/>
      <c r="BB873" s="216"/>
      <c r="BC873" s="216"/>
      <c r="BD873" s="216"/>
      <c r="BE873" s="216"/>
      <c r="BF873" s="216"/>
      <c r="BG873" s="216"/>
      <c r="BH873" s="216"/>
      <c r="BI873" s="216"/>
      <c r="BJ873" s="216"/>
      <c r="BK873" s="216"/>
      <c r="BL873" s="216"/>
      <c r="BM873" s="216"/>
      <c r="BN873" s="216"/>
      <c r="BO873" s="216"/>
      <c r="BP873" s="216"/>
      <c r="BQ873" s="216"/>
      <c r="BR873" s="216"/>
    </row>
    <row r="874" spans="1:70" ht="12.75" x14ac:dyDescent="0.2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214"/>
      <c r="L874" s="214"/>
      <c r="M874" s="215"/>
      <c r="N874" s="215"/>
      <c r="O874" s="216"/>
      <c r="P874" s="216"/>
      <c r="Q874" s="216"/>
      <c r="R874" s="216"/>
      <c r="S874" s="216"/>
      <c r="T874" s="216"/>
      <c r="U874" s="216"/>
      <c r="V874" s="216"/>
      <c r="W874" s="216"/>
      <c r="X874" s="216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16"/>
      <c r="AN874" s="216"/>
      <c r="AO874" s="216"/>
      <c r="AP874" s="216"/>
      <c r="AQ874" s="216"/>
      <c r="AR874" s="216"/>
      <c r="AS874" s="216"/>
      <c r="AT874" s="216"/>
      <c r="AU874" s="216"/>
      <c r="AV874" s="216"/>
      <c r="AW874" s="216"/>
      <c r="AX874" s="216"/>
      <c r="AY874" s="216"/>
      <c r="AZ874" s="216"/>
      <c r="BA874" s="216"/>
      <c r="BB874" s="216"/>
      <c r="BC874" s="216"/>
      <c r="BD874" s="216"/>
      <c r="BE874" s="216"/>
      <c r="BF874" s="216"/>
      <c r="BG874" s="216"/>
      <c r="BH874" s="216"/>
      <c r="BI874" s="216"/>
      <c r="BJ874" s="216"/>
      <c r="BK874" s="216"/>
      <c r="BL874" s="216"/>
      <c r="BM874" s="216"/>
      <c r="BN874" s="216"/>
      <c r="BO874" s="216"/>
      <c r="BP874" s="216"/>
      <c r="BQ874" s="216"/>
      <c r="BR874" s="216"/>
    </row>
    <row r="875" spans="1:70" ht="12.75" x14ac:dyDescent="0.2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214"/>
      <c r="L875" s="214"/>
      <c r="M875" s="215"/>
      <c r="N875" s="215"/>
      <c r="O875" s="216"/>
      <c r="P875" s="216"/>
      <c r="Q875" s="216"/>
      <c r="R875" s="216"/>
      <c r="S875" s="216"/>
      <c r="T875" s="216"/>
      <c r="U875" s="216"/>
      <c r="V875" s="216"/>
      <c r="W875" s="216"/>
      <c r="X875" s="216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16"/>
      <c r="AN875" s="216"/>
      <c r="AO875" s="216"/>
      <c r="AP875" s="216"/>
      <c r="AQ875" s="216"/>
      <c r="AR875" s="216"/>
      <c r="AS875" s="216"/>
      <c r="AT875" s="216"/>
      <c r="AU875" s="216"/>
      <c r="AV875" s="216"/>
      <c r="AW875" s="216"/>
      <c r="AX875" s="216"/>
      <c r="AY875" s="216"/>
      <c r="AZ875" s="216"/>
      <c r="BA875" s="216"/>
      <c r="BB875" s="216"/>
      <c r="BC875" s="216"/>
      <c r="BD875" s="216"/>
      <c r="BE875" s="216"/>
      <c r="BF875" s="216"/>
      <c r="BG875" s="216"/>
      <c r="BH875" s="216"/>
      <c r="BI875" s="216"/>
      <c r="BJ875" s="216"/>
      <c r="BK875" s="216"/>
      <c r="BL875" s="216"/>
      <c r="BM875" s="216"/>
      <c r="BN875" s="216"/>
      <c r="BO875" s="216"/>
      <c r="BP875" s="216"/>
      <c r="BQ875" s="216"/>
      <c r="BR875" s="216"/>
    </row>
    <row r="876" spans="1:70" ht="12.75" x14ac:dyDescent="0.2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214"/>
      <c r="L876" s="214"/>
      <c r="M876" s="215"/>
      <c r="N876" s="215"/>
      <c r="O876" s="216"/>
      <c r="P876" s="216"/>
      <c r="Q876" s="216"/>
      <c r="R876" s="216"/>
      <c r="S876" s="216"/>
      <c r="T876" s="216"/>
      <c r="U876" s="216"/>
      <c r="V876" s="216"/>
      <c r="W876" s="216"/>
      <c r="X876" s="216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  <c r="AM876" s="216"/>
      <c r="AN876" s="216"/>
      <c r="AO876" s="216"/>
      <c r="AP876" s="216"/>
      <c r="AQ876" s="216"/>
      <c r="AR876" s="216"/>
      <c r="AS876" s="216"/>
      <c r="AT876" s="216"/>
      <c r="AU876" s="216"/>
      <c r="AV876" s="216"/>
      <c r="AW876" s="216"/>
      <c r="AX876" s="216"/>
      <c r="AY876" s="216"/>
      <c r="AZ876" s="216"/>
      <c r="BA876" s="216"/>
      <c r="BB876" s="216"/>
      <c r="BC876" s="216"/>
      <c r="BD876" s="216"/>
      <c r="BE876" s="216"/>
      <c r="BF876" s="216"/>
      <c r="BG876" s="216"/>
      <c r="BH876" s="216"/>
      <c r="BI876" s="216"/>
      <c r="BJ876" s="216"/>
      <c r="BK876" s="216"/>
      <c r="BL876" s="216"/>
      <c r="BM876" s="216"/>
      <c r="BN876" s="216"/>
      <c r="BO876" s="216"/>
      <c r="BP876" s="216"/>
      <c r="BQ876" s="216"/>
      <c r="BR876" s="216"/>
    </row>
    <row r="877" spans="1:70" ht="12.75" x14ac:dyDescent="0.2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214"/>
      <c r="L877" s="214"/>
      <c r="M877" s="215"/>
      <c r="N877" s="215"/>
      <c r="O877" s="216"/>
      <c r="P877" s="216"/>
      <c r="Q877" s="216"/>
      <c r="R877" s="216"/>
      <c r="S877" s="216"/>
      <c r="T877" s="216"/>
      <c r="U877" s="216"/>
      <c r="V877" s="216"/>
      <c r="W877" s="216"/>
      <c r="X877" s="216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  <c r="AM877" s="216"/>
      <c r="AN877" s="216"/>
      <c r="AO877" s="216"/>
      <c r="AP877" s="216"/>
      <c r="AQ877" s="216"/>
      <c r="AR877" s="216"/>
      <c r="AS877" s="216"/>
      <c r="AT877" s="216"/>
      <c r="AU877" s="216"/>
      <c r="AV877" s="216"/>
      <c r="AW877" s="216"/>
      <c r="AX877" s="216"/>
      <c r="AY877" s="216"/>
      <c r="AZ877" s="216"/>
      <c r="BA877" s="216"/>
      <c r="BB877" s="216"/>
      <c r="BC877" s="216"/>
      <c r="BD877" s="216"/>
      <c r="BE877" s="216"/>
      <c r="BF877" s="216"/>
      <c r="BG877" s="216"/>
      <c r="BH877" s="216"/>
      <c r="BI877" s="216"/>
      <c r="BJ877" s="216"/>
      <c r="BK877" s="216"/>
      <c r="BL877" s="216"/>
      <c r="BM877" s="216"/>
      <c r="BN877" s="216"/>
      <c r="BO877" s="216"/>
      <c r="BP877" s="216"/>
      <c r="BQ877" s="216"/>
      <c r="BR877" s="216"/>
    </row>
    <row r="878" spans="1:70" ht="12.75" x14ac:dyDescent="0.2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214"/>
      <c r="L878" s="214"/>
      <c r="M878" s="215"/>
      <c r="N878" s="215"/>
      <c r="O878" s="216"/>
      <c r="P878" s="216"/>
      <c r="Q878" s="216"/>
      <c r="R878" s="216"/>
      <c r="S878" s="216"/>
      <c r="T878" s="216"/>
      <c r="U878" s="216"/>
      <c r="V878" s="216"/>
      <c r="W878" s="216"/>
      <c r="X878" s="216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  <c r="AM878" s="216"/>
      <c r="AN878" s="216"/>
      <c r="AO878" s="216"/>
      <c r="AP878" s="216"/>
      <c r="AQ878" s="216"/>
      <c r="AR878" s="216"/>
      <c r="AS878" s="216"/>
      <c r="AT878" s="216"/>
      <c r="AU878" s="216"/>
      <c r="AV878" s="216"/>
      <c r="AW878" s="216"/>
      <c r="AX878" s="216"/>
      <c r="AY878" s="216"/>
      <c r="AZ878" s="216"/>
      <c r="BA878" s="216"/>
      <c r="BB878" s="216"/>
      <c r="BC878" s="216"/>
      <c r="BD878" s="216"/>
      <c r="BE878" s="216"/>
      <c r="BF878" s="216"/>
      <c r="BG878" s="216"/>
      <c r="BH878" s="216"/>
      <c r="BI878" s="216"/>
      <c r="BJ878" s="216"/>
      <c r="BK878" s="216"/>
      <c r="BL878" s="216"/>
      <c r="BM878" s="216"/>
      <c r="BN878" s="216"/>
      <c r="BO878" s="216"/>
      <c r="BP878" s="216"/>
      <c r="BQ878" s="216"/>
      <c r="BR878" s="216"/>
    </row>
    <row r="879" spans="1:70" ht="12.75" x14ac:dyDescent="0.2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214"/>
      <c r="L879" s="214"/>
      <c r="M879" s="215"/>
      <c r="N879" s="215"/>
      <c r="O879" s="216"/>
      <c r="P879" s="216"/>
      <c r="Q879" s="216"/>
      <c r="R879" s="216"/>
      <c r="S879" s="216"/>
      <c r="T879" s="216"/>
      <c r="U879" s="216"/>
      <c r="V879" s="216"/>
      <c r="W879" s="216"/>
      <c r="X879" s="216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  <c r="AM879" s="216"/>
      <c r="AN879" s="216"/>
      <c r="AO879" s="216"/>
      <c r="AP879" s="216"/>
      <c r="AQ879" s="216"/>
      <c r="AR879" s="216"/>
      <c r="AS879" s="216"/>
      <c r="AT879" s="216"/>
      <c r="AU879" s="216"/>
      <c r="AV879" s="216"/>
      <c r="AW879" s="216"/>
      <c r="AX879" s="216"/>
      <c r="AY879" s="216"/>
      <c r="AZ879" s="216"/>
      <c r="BA879" s="216"/>
      <c r="BB879" s="216"/>
      <c r="BC879" s="216"/>
      <c r="BD879" s="216"/>
      <c r="BE879" s="216"/>
      <c r="BF879" s="216"/>
      <c r="BG879" s="216"/>
      <c r="BH879" s="216"/>
      <c r="BI879" s="216"/>
      <c r="BJ879" s="216"/>
      <c r="BK879" s="216"/>
      <c r="BL879" s="216"/>
      <c r="BM879" s="216"/>
      <c r="BN879" s="216"/>
      <c r="BO879" s="216"/>
      <c r="BP879" s="216"/>
      <c r="BQ879" s="216"/>
      <c r="BR879" s="216"/>
    </row>
    <row r="880" spans="1:70" ht="12.75" x14ac:dyDescent="0.2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214"/>
      <c r="L880" s="214"/>
      <c r="M880" s="215"/>
      <c r="N880" s="215"/>
      <c r="O880" s="216"/>
      <c r="P880" s="216"/>
      <c r="Q880" s="216"/>
      <c r="R880" s="216"/>
      <c r="S880" s="216"/>
      <c r="T880" s="216"/>
      <c r="U880" s="216"/>
      <c r="V880" s="216"/>
      <c r="W880" s="216"/>
      <c r="X880" s="216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  <c r="AM880" s="216"/>
      <c r="AN880" s="216"/>
      <c r="AO880" s="216"/>
      <c r="AP880" s="216"/>
      <c r="AQ880" s="216"/>
      <c r="AR880" s="216"/>
      <c r="AS880" s="216"/>
      <c r="AT880" s="216"/>
      <c r="AU880" s="216"/>
      <c r="AV880" s="216"/>
      <c r="AW880" s="216"/>
      <c r="AX880" s="216"/>
      <c r="AY880" s="216"/>
      <c r="AZ880" s="216"/>
      <c r="BA880" s="216"/>
      <c r="BB880" s="216"/>
      <c r="BC880" s="216"/>
      <c r="BD880" s="216"/>
      <c r="BE880" s="216"/>
      <c r="BF880" s="216"/>
      <c r="BG880" s="216"/>
      <c r="BH880" s="216"/>
      <c r="BI880" s="216"/>
      <c r="BJ880" s="216"/>
      <c r="BK880" s="216"/>
      <c r="BL880" s="216"/>
      <c r="BM880" s="216"/>
      <c r="BN880" s="216"/>
      <c r="BO880" s="216"/>
      <c r="BP880" s="216"/>
      <c r="BQ880" s="216"/>
      <c r="BR880" s="216"/>
    </row>
    <row r="881" spans="1:70" ht="12.75" x14ac:dyDescent="0.2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214"/>
      <c r="L881" s="214"/>
      <c r="M881" s="215"/>
      <c r="N881" s="215"/>
      <c r="O881" s="216"/>
      <c r="P881" s="216"/>
      <c r="Q881" s="216"/>
      <c r="R881" s="216"/>
      <c r="S881" s="216"/>
      <c r="T881" s="216"/>
      <c r="U881" s="216"/>
      <c r="V881" s="216"/>
      <c r="W881" s="216"/>
      <c r="X881" s="216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  <c r="AM881" s="216"/>
      <c r="AN881" s="216"/>
      <c r="AO881" s="216"/>
      <c r="AP881" s="216"/>
      <c r="AQ881" s="216"/>
      <c r="AR881" s="216"/>
      <c r="AS881" s="216"/>
      <c r="AT881" s="216"/>
      <c r="AU881" s="216"/>
      <c r="AV881" s="216"/>
      <c r="AW881" s="216"/>
      <c r="AX881" s="216"/>
      <c r="AY881" s="216"/>
      <c r="AZ881" s="216"/>
      <c r="BA881" s="216"/>
      <c r="BB881" s="216"/>
      <c r="BC881" s="216"/>
      <c r="BD881" s="216"/>
      <c r="BE881" s="216"/>
      <c r="BF881" s="216"/>
      <c r="BG881" s="216"/>
      <c r="BH881" s="216"/>
      <c r="BI881" s="216"/>
      <c r="BJ881" s="216"/>
      <c r="BK881" s="216"/>
      <c r="BL881" s="216"/>
      <c r="BM881" s="216"/>
      <c r="BN881" s="216"/>
      <c r="BO881" s="216"/>
      <c r="BP881" s="216"/>
      <c r="BQ881" s="216"/>
      <c r="BR881" s="216"/>
    </row>
    <row r="882" spans="1:70" ht="12.75" x14ac:dyDescent="0.2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214"/>
      <c r="L882" s="214"/>
      <c r="M882" s="215"/>
      <c r="N882" s="215"/>
      <c r="O882" s="216"/>
      <c r="P882" s="216"/>
      <c r="Q882" s="216"/>
      <c r="R882" s="216"/>
      <c r="S882" s="216"/>
      <c r="T882" s="216"/>
      <c r="U882" s="216"/>
      <c r="V882" s="216"/>
      <c r="W882" s="216"/>
      <c r="X882" s="216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  <c r="AM882" s="216"/>
      <c r="AN882" s="216"/>
      <c r="AO882" s="216"/>
      <c r="AP882" s="216"/>
      <c r="AQ882" s="216"/>
      <c r="AR882" s="216"/>
      <c r="AS882" s="216"/>
      <c r="AT882" s="216"/>
      <c r="AU882" s="216"/>
      <c r="AV882" s="216"/>
      <c r="AW882" s="216"/>
      <c r="AX882" s="216"/>
      <c r="AY882" s="216"/>
      <c r="AZ882" s="216"/>
      <c r="BA882" s="216"/>
      <c r="BB882" s="216"/>
      <c r="BC882" s="216"/>
      <c r="BD882" s="216"/>
      <c r="BE882" s="216"/>
      <c r="BF882" s="216"/>
      <c r="BG882" s="216"/>
      <c r="BH882" s="216"/>
      <c r="BI882" s="216"/>
      <c r="BJ882" s="216"/>
      <c r="BK882" s="216"/>
      <c r="BL882" s="216"/>
      <c r="BM882" s="216"/>
      <c r="BN882" s="216"/>
      <c r="BO882" s="216"/>
      <c r="BP882" s="216"/>
      <c r="BQ882" s="216"/>
      <c r="BR882" s="216"/>
    </row>
    <row r="883" spans="1:70" ht="12.75" x14ac:dyDescent="0.2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214"/>
      <c r="L883" s="214"/>
      <c r="M883" s="215"/>
      <c r="N883" s="215"/>
      <c r="O883" s="216"/>
      <c r="P883" s="216"/>
      <c r="Q883" s="216"/>
      <c r="R883" s="216"/>
      <c r="S883" s="216"/>
      <c r="T883" s="216"/>
      <c r="U883" s="216"/>
      <c r="V883" s="216"/>
      <c r="W883" s="216"/>
      <c r="X883" s="216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  <c r="AM883" s="216"/>
      <c r="AN883" s="216"/>
      <c r="AO883" s="216"/>
      <c r="AP883" s="216"/>
      <c r="AQ883" s="216"/>
      <c r="AR883" s="216"/>
      <c r="AS883" s="216"/>
      <c r="AT883" s="216"/>
      <c r="AU883" s="216"/>
      <c r="AV883" s="216"/>
      <c r="AW883" s="216"/>
      <c r="AX883" s="216"/>
      <c r="AY883" s="216"/>
      <c r="AZ883" s="216"/>
      <c r="BA883" s="216"/>
      <c r="BB883" s="216"/>
      <c r="BC883" s="216"/>
      <c r="BD883" s="216"/>
      <c r="BE883" s="216"/>
      <c r="BF883" s="216"/>
      <c r="BG883" s="216"/>
      <c r="BH883" s="216"/>
      <c r="BI883" s="216"/>
      <c r="BJ883" s="216"/>
      <c r="BK883" s="216"/>
      <c r="BL883" s="216"/>
      <c r="BM883" s="216"/>
      <c r="BN883" s="216"/>
      <c r="BO883" s="216"/>
      <c r="BP883" s="216"/>
      <c r="BQ883" s="216"/>
      <c r="BR883" s="216"/>
    </row>
    <row r="884" spans="1:70" ht="12.75" x14ac:dyDescent="0.2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214"/>
      <c r="L884" s="214"/>
      <c r="M884" s="215"/>
      <c r="N884" s="215"/>
      <c r="O884" s="216"/>
      <c r="P884" s="216"/>
      <c r="Q884" s="216"/>
      <c r="R884" s="216"/>
      <c r="S884" s="216"/>
      <c r="T884" s="216"/>
      <c r="U884" s="216"/>
      <c r="V884" s="216"/>
      <c r="W884" s="216"/>
      <c r="X884" s="216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  <c r="AM884" s="216"/>
      <c r="AN884" s="216"/>
      <c r="AO884" s="216"/>
      <c r="AP884" s="216"/>
      <c r="AQ884" s="216"/>
      <c r="AR884" s="216"/>
      <c r="AS884" s="216"/>
      <c r="AT884" s="216"/>
      <c r="AU884" s="216"/>
      <c r="AV884" s="216"/>
      <c r="AW884" s="216"/>
      <c r="AX884" s="216"/>
      <c r="AY884" s="216"/>
      <c r="AZ884" s="216"/>
      <c r="BA884" s="216"/>
      <c r="BB884" s="216"/>
      <c r="BC884" s="216"/>
      <c r="BD884" s="216"/>
      <c r="BE884" s="216"/>
      <c r="BF884" s="216"/>
      <c r="BG884" s="216"/>
      <c r="BH884" s="216"/>
      <c r="BI884" s="216"/>
      <c r="BJ884" s="216"/>
      <c r="BK884" s="216"/>
      <c r="BL884" s="216"/>
      <c r="BM884" s="216"/>
      <c r="BN884" s="216"/>
      <c r="BO884" s="216"/>
      <c r="BP884" s="216"/>
      <c r="BQ884" s="216"/>
      <c r="BR884" s="216"/>
    </row>
    <row r="885" spans="1:70" ht="12.75" x14ac:dyDescent="0.2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214"/>
      <c r="L885" s="214"/>
      <c r="M885" s="215"/>
      <c r="N885" s="215"/>
      <c r="O885" s="216"/>
      <c r="P885" s="216"/>
      <c r="Q885" s="216"/>
      <c r="R885" s="216"/>
      <c r="S885" s="216"/>
      <c r="T885" s="216"/>
      <c r="U885" s="216"/>
      <c r="V885" s="216"/>
      <c r="W885" s="216"/>
      <c r="X885" s="216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  <c r="AM885" s="216"/>
      <c r="AN885" s="216"/>
      <c r="AO885" s="216"/>
      <c r="AP885" s="216"/>
      <c r="AQ885" s="216"/>
      <c r="AR885" s="216"/>
      <c r="AS885" s="216"/>
      <c r="AT885" s="216"/>
      <c r="AU885" s="216"/>
      <c r="AV885" s="216"/>
      <c r="AW885" s="216"/>
      <c r="AX885" s="216"/>
      <c r="AY885" s="216"/>
      <c r="AZ885" s="216"/>
      <c r="BA885" s="216"/>
      <c r="BB885" s="216"/>
      <c r="BC885" s="216"/>
      <c r="BD885" s="216"/>
      <c r="BE885" s="216"/>
      <c r="BF885" s="216"/>
      <c r="BG885" s="216"/>
      <c r="BH885" s="216"/>
      <c r="BI885" s="216"/>
      <c r="BJ885" s="216"/>
      <c r="BK885" s="216"/>
      <c r="BL885" s="216"/>
      <c r="BM885" s="216"/>
      <c r="BN885" s="216"/>
      <c r="BO885" s="216"/>
      <c r="BP885" s="216"/>
      <c r="BQ885" s="216"/>
      <c r="BR885" s="216"/>
    </row>
    <row r="886" spans="1:70" ht="12.75" x14ac:dyDescent="0.2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214"/>
      <c r="L886" s="214"/>
      <c r="M886" s="215"/>
      <c r="N886" s="215"/>
      <c r="O886" s="216"/>
      <c r="P886" s="216"/>
      <c r="Q886" s="216"/>
      <c r="R886" s="216"/>
      <c r="S886" s="216"/>
      <c r="T886" s="216"/>
      <c r="U886" s="216"/>
      <c r="V886" s="216"/>
      <c r="W886" s="216"/>
      <c r="X886" s="216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  <c r="AM886" s="216"/>
      <c r="AN886" s="216"/>
      <c r="AO886" s="216"/>
      <c r="AP886" s="216"/>
      <c r="AQ886" s="216"/>
      <c r="AR886" s="216"/>
      <c r="AS886" s="216"/>
      <c r="AT886" s="216"/>
      <c r="AU886" s="216"/>
      <c r="AV886" s="216"/>
      <c r="AW886" s="216"/>
      <c r="AX886" s="216"/>
      <c r="AY886" s="216"/>
      <c r="AZ886" s="216"/>
      <c r="BA886" s="216"/>
      <c r="BB886" s="216"/>
      <c r="BC886" s="216"/>
      <c r="BD886" s="216"/>
      <c r="BE886" s="216"/>
      <c r="BF886" s="216"/>
      <c r="BG886" s="216"/>
      <c r="BH886" s="216"/>
      <c r="BI886" s="216"/>
      <c r="BJ886" s="216"/>
      <c r="BK886" s="216"/>
      <c r="BL886" s="216"/>
      <c r="BM886" s="216"/>
      <c r="BN886" s="216"/>
      <c r="BO886" s="216"/>
      <c r="BP886" s="216"/>
      <c r="BQ886" s="216"/>
      <c r="BR886" s="216"/>
    </row>
    <row r="887" spans="1:70" ht="12.75" x14ac:dyDescent="0.2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214"/>
      <c r="L887" s="214"/>
      <c r="M887" s="215"/>
      <c r="N887" s="215"/>
      <c r="O887" s="216"/>
      <c r="P887" s="216"/>
      <c r="Q887" s="216"/>
      <c r="R887" s="216"/>
      <c r="S887" s="216"/>
      <c r="T887" s="216"/>
      <c r="U887" s="216"/>
      <c r="V887" s="216"/>
      <c r="W887" s="216"/>
      <c r="X887" s="216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  <c r="AM887" s="216"/>
      <c r="AN887" s="216"/>
      <c r="AO887" s="216"/>
      <c r="AP887" s="216"/>
      <c r="AQ887" s="216"/>
      <c r="AR887" s="216"/>
      <c r="AS887" s="216"/>
      <c r="AT887" s="216"/>
      <c r="AU887" s="216"/>
      <c r="AV887" s="216"/>
      <c r="AW887" s="216"/>
      <c r="AX887" s="216"/>
      <c r="AY887" s="216"/>
      <c r="AZ887" s="216"/>
      <c r="BA887" s="216"/>
      <c r="BB887" s="216"/>
      <c r="BC887" s="216"/>
      <c r="BD887" s="216"/>
      <c r="BE887" s="216"/>
      <c r="BF887" s="216"/>
      <c r="BG887" s="216"/>
      <c r="BH887" s="216"/>
      <c r="BI887" s="216"/>
      <c r="BJ887" s="216"/>
      <c r="BK887" s="216"/>
      <c r="BL887" s="216"/>
      <c r="BM887" s="216"/>
      <c r="BN887" s="216"/>
      <c r="BO887" s="216"/>
      <c r="BP887" s="216"/>
      <c r="BQ887" s="216"/>
      <c r="BR887" s="216"/>
    </row>
    <row r="888" spans="1:70" ht="12.75" x14ac:dyDescent="0.2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214"/>
      <c r="L888" s="214"/>
      <c r="M888" s="215"/>
      <c r="N888" s="215"/>
      <c r="O888" s="216"/>
      <c r="P888" s="216"/>
      <c r="Q888" s="216"/>
      <c r="R888" s="216"/>
      <c r="S888" s="216"/>
      <c r="T888" s="216"/>
      <c r="U888" s="216"/>
      <c r="V888" s="216"/>
      <c r="W888" s="216"/>
      <c r="X888" s="216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  <c r="AM888" s="216"/>
      <c r="AN888" s="216"/>
      <c r="AO888" s="216"/>
      <c r="AP888" s="216"/>
      <c r="AQ888" s="216"/>
      <c r="AR888" s="216"/>
      <c r="AS888" s="216"/>
      <c r="AT888" s="216"/>
      <c r="AU888" s="216"/>
      <c r="AV888" s="216"/>
      <c r="AW888" s="216"/>
      <c r="AX888" s="216"/>
      <c r="AY888" s="216"/>
      <c r="AZ888" s="216"/>
      <c r="BA888" s="216"/>
      <c r="BB888" s="216"/>
      <c r="BC888" s="216"/>
      <c r="BD888" s="216"/>
      <c r="BE888" s="216"/>
      <c r="BF888" s="216"/>
      <c r="BG888" s="216"/>
      <c r="BH888" s="216"/>
      <c r="BI888" s="216"/>
      <c r="BJ888" s="216"/>
      <c r="BK888" s="216"/>
      <c r="BL888" s="216"/>
      <c r="BM888" s="216"/>
      <c r="BN888" s="216"/>
      <c r="BO888" s="216"/>
      <c r="BP888" s="216"/>
      <c r="BQ888" s="216"/>
      <c r="BR888" s="216"/>
    </row>
    <row r="889" spans="1:70" ht="12.75" x14ac:dyDescent="0.2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214"/>
      <c r="L889" s="214"/>
      <c r="M889" s="215"/>
      <c r="N889" s="215"/>
      <c r="O889" s="216"/>
      <c r="P889" s="216"/>
      <c r="Q889" s="216"/>
      <c r="R889" s="216"/>
      <c r="S889" s="216"/>
      <c r="T889" s="216"/>
      <c r="U889" s="216"/>
      <c r="V889" s="216"/>
      <c r="W889" s="216"/>
      <c r="X889" s="216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  <c r="AM889" s="216"/>
      <c r="AN889" s="216"/>
      <c r="AO889" s="216"/>
      <c r="AP889" s="216"/>
      <c r="AQ889" s="216"/>
      <c r="AR889" s="216"/>
      <c r="AS889" s="216"/>
      <c r="AT889" s="216"/>
      <c r="AU889" s="216"/>
      <c r="AV889" s="216"/>
      <c r="AW889" s="216"/>
      <c r="AX889" s="216"/>
      <c r="AY889" s="216"/>
      <c r="AZ889" s="216"/>
      <c r="BA889" s="216"/>
      <c r="BB889" s="216"/>
      <c r="BC889" s="216"/>
      <c r="BD889" s="216"/>
      <c r="BE889" s="216"/>
      <c r="BF889" s="216"/>
      <c r="BG889" s="216"/>
      <c r="BH889" s="216"/>
      <c r="BI889" s="216"/>
      <c r="BJ889" s="216"/>
      <c r="BK889" s="216"/>
      <c r="BL889" s="216"/>
      <c r="BM889" s="216"/>
      <c r="BN889" s="216"/>
      <c r="BO889" s="216"/>
      <c r="BP889" s="216"/>
      <c r="BQ889" s="216"/>
      <c r="BR889" s="216"/>
    </row>
    <row r="890" spans="1:70" ht="12.75" x14ac:dyDescent="0.2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214"/>
      <c r="L890" s="214"/>
      <c r="M890" s="215"/>
      <c r="N890" s="215"/>
      <c r="O890" s="216"/>
      <c r="P890" s="216"/>
      <c r="Q890" s="216"/>
      <c r="R890" s="216"/>
      <c r="S890" s="216"/>
      <c r="T890" s="216"/>
      <c r="U890" s="216"/>
      <c r="V890" s="216"/>
      <c r="W890" s="216"/>
      <c r="X890" s="216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  <c r="AM890" s="216"/>
      <c r="AN890" s="216"/>
      <c r="AO890" s="216"/>
      <c r="AP890" s="216"/>
      <c r="AQ890" s="216"/>
      <c r="AR890" s="216"/>
      <c r="AS890" s="216"/>
      <c r="AT890" s="216"/>
      <c r="AU890" s="216"/>
      <c r="AV890" s="216"/>
      <c r="AW890" s="216"/>
      <c r="AX890" s="216"/>
      <c r="AY890" s="216"/>
      <c r="AZ890" s="216"/>
      <c r="BA890" s="216"/>
      <c r="BB890" s="216"/>
      <c r="BC890" s="216"/>
      <c r="BD890" s="216"/>
      <c r="BE890" s="216"/>
      <c r="BF890" s="216"/>
      <c r="BG890" s="216"/>
      <c r="BH890" s="216"/>
      <c r="BI890" s="216"/>
      <c r="BJ890" s="216"/>
      <c r="BK890" s="216"/>
      <c r="BL890" s="216"/>
      <c r="BM890" s="216"/>
      <c r="BN890" s="216"/>
      <c r="BO890" s="216"/>
      <c r="BP890" s="216"/>
      <c r="BQ890" s="216"/>
      <c r="BR890" s="216"/>
    </row>
    <row r="891" spans="1:70" ht="12.75" x14ac:dyDescent="0.2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214"/>
      <c r="L891" s="214"/>
      <c r="M891" s="215"/>
      <c r="N891" s="215"/>
      <c r="O891" s="216"/>
      <c r="P891" s="216"/>
      <c r="Q891" s="216"/>
      <c r="R891" s="216"/>
      <c r="S891" s="216"/>
      <c r="T891" s="216"/>
      <c r="U891" s="216"/>
      <c r="V891" s="216"/>
      <c r="W891" s="216"/>
      <c r="X891" s="216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  <c r="AM891" s="216"/>
      <c r="AN891" s="216"/>
      <c r="AO891" s="216"/>
      <c r="AP891" s="216"/>
      <c r="AQ891" s="216"/>
      <c r="AR891" s="216"/>
      <c r="AS891" s="216"/>
      <c r="AT891" s="216"/>
      <c r="AU891" s="216"/>
      <c r="AV891" s="216"/>
      <c r="AW891" s="216"/>
      <c r="AX891" s="216"/>
      <c r="AY891" s="216"/>
      <c r="AZ891" s="216"/>
      <c r="BA891" s="216"/>
      <c r="BB891" s="216"/>
      <c r="BC891" s="216"/>
      <c r="BD891" s="216"/>
      <c r="BE891" s="216"/>
      <c r="BF891" s="216"/>
      <c r="BG891" s="216"/>
      <c r="BH891" s="216"/>
      <c r="BI891" s="216"/>
      <c r="BJ891" s="216"/>
      <c r="BK891" s="216"/>
      <c r="BL891" s="216"/>
      <c r="BM891" s="216"/>
      <c r="BN891" s="216"/>
      <c r="BO891" s="216"/>
      <c r="BP891" s="216"/>
      <c r="BQ891" s="216"/>
      <c r="BR891" s="216"/>
    </row>
    <row r="892" spans="1:70" ht="12.75" x14ac:dyDescent="0.2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214"/>
      <c r="L892" s="214"/>
      <c r="M892" s="215"/>
      <c r="N892" s="215"/>
      <c r="O892" s="216"/>
      <c r="P892" s="216"/>
      <c r="Q892" s="216"/>
      <c r="R892" s="216"/>
      <c r="S892" s="216"/>
      <c r="T892" s="216"/>
      <c r="U892" s="216"/>
      <c r="V892" s="216"/>
      <c r="W892" s="216"/>
      <c r="X892" s="216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  <c r="AM892" s="216"/>
      <c r="AN892" s="216"/>
      <c r="AO892" s="216"/>
      <c r="AP892" s="216"/>
      <c r="AQ892" s="216"/>
      <c r="AR892" s="216"/>
      <c r="AS892" s="216"/>
      <c r="AT892" s="216"/>
      <c r="AU892" s="216"/>
      <c r="AV892" s="216"/>
      <c r="AW892" s="216"/>
      <c r="AX892" s="216"/>
      <c r="AY892" s="216"/>
      <c r="AZ892" s="216"/>
      <c r="BA892" s="216"/>
      <c r="BB892" s="216"/>
      <c r="BC892" s="216"/>
      <c r="BD892" s="216"/>
      <c r="BE892" s="216"/>
      <c r="BF892" s="216"/>
      <c r="BG892" s="216"/>
      <c r="BH892" s="216"/>
      <c r="BI892" s="216"/>
      <c r="BJ892" s="216"/>
      <c r="BK892" s="216"/>
      <c r="BL892" s="216"/>
      <c r="BM892" s="216"/>
      <c r="BN892" s="216"/>
      <c r="BO892" s="216"/>
      <c r="BP892" s="216"/>
      <c r="BQ892" s="216"/>
      <c r="BR892" s="216"/>
    </row>
    <row r="893" spans="1:70" ht="12.75" x14ac:dyDescent="0.2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214"/>
      <c r="L893" s="214"/>
      <c r="M893" s="215"/>
      <c r="N893" s="215"/>
      <c r="O893" s="216"/>
      <c r="P893" s="216"/>
      <c r="Q893" s="216"/>
      <c r="R893" s="216"/>
      <c r="S893" s="216"/>
      <c r="T893" s="216"/>
      <c r="U893" s="216"/>
      <c r="V893" s="216"/>
      <c r="W893" s="216"/>
      <c r="X893" s="216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  <c r="AM893" s="216"/>
      <c r="AN893" s="216"/>
      <c r="AO893" s="216"/>
      <c r="AP893" s="216"/>
      <c r="AQ893" s="216"/>
      <c r="AR893" s="216"/>
      <c r="AS893" s="216"/>
      <c r="AT893" s="216"/>
      <c r="AU893" s="216"/>
      <c r="AV893" s="216"/>
      <c r="AW893" s="216"/>
      <c r="AX893" s="216"/>
      <c r="AY893" s="216"/>
      <c r="AZ893" s="216"/>
      <c r="BA893" s="216"/>
      <c r="BB893" s="216"/>
      <c r="BC893" s="216"/>
      <c r="BD893" s="216"/>
      <c r="BE893" s="216"/>
      <c r="BF893" s="216"/>
      <c r="BG893" s="216"/>
      <c r="BH893" s="216"/>
      <c r="BI893" s="216"/>
      <c r="BJ893" s="216"/>
      <c r="BK893" s="216"/>
      <c r="BL893" s="216"/>
      <c r="BM893" s="216"/>
      <c r="BN893" s="216"/>
      <c r="BO893" s="216"/>
      <c r="BP893" s="216"/>
      <c r="BQ893" s="216"/>
      <c r="BR893" s="216"/>
    </row>
    <row r="894" spans="1:70" ht="12.75" x14ac:dyDescent="0.2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214"/>
      <c r="L894" s="214"/>
      <c r="M894" s="215"/>
      <c r="N894" s="215"/>
      <c r="O894" s="216"/>
      <c r="P894" s="216"/>
      <c r="Q894" s="216"/>
      <c r="R894" s="216"/>
      <c r="S894" s="216"/>
      <c r="T894" s="216"/>
      <c r="U894" s="216"/>
      <c r="V894" s="216"/>
      <c r="W894" s="216"/>
      <c r="X894" s="216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  <c r="AM894" s="216"/>
      <c r="AN894" s="216"/>
      <c r="AO894" s="216"/>
      <c r="AP894" s="216"/>
      <c r="AQ894" s="216"/>
      <c r="AR894" s="216"/>
      <c r="AS894" s="216"/>
      <c r="AT894" s="216"/>
      <c r="AU894" s="216"/>
      <c r="AV894" s="216"/>
      <c r="AW894" s="216"/>
      <c r="AX894" s="216"/>
      <c r="AY894" s="216"/>
      <c r="AZ894" s="216"/>
      <c r="BA894" s="216"/>
      <c r="BB894" s="216"/>
      <c r="BC894" s="216"/>
      <c r="BD894" s="216"/>
      <c r="BE894" s="216"/>
      <c r="BF894" s="216"/>
      <c r="BG894" s="216"/>
      <c r="BH894" s="216"/>
      <c r="BI894" s="216"/>
      <c r="BJ894" s="216"/>
      <c r="BK894" s="216"/>
      <c r="BL894" s="216"/>
      <c r="BM894" s="216"/>
      <c r="BN894" s="216"/>
      <c r="BO894" s="216"/>
      <c r="BP894" s="216"/>
      <c r="BQ894" s="216"/>
      <c r="BR894" s="216"/>
    </row>
    <row r="895" spans="1:70" ht="12.75" x14ac:dyDescent="0.2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214"/>
      <c r="L895" s="214"/>
      <c r="M895" s="215"/>
      <c r="N895" s="215"/>
      <c r="O895" s="216"/>
      <c r="P895" s="216"/>
      <c r="Q895" s="216"/>
      <c r="R895" s="216"/>
      <c r="S895" s="216"/>
      <c r="T895" s="216"/>
      <c r="U895" s="216"/>
      <c r="V895" s="216"/>
      <c r="W895" s="216"/>
      <c r="X895" s="216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  <c r="AM895" s="216"/>
      <c r="AN895" s="216"/>
      <c r="AO895" s="216"/>
      <c r="AP895" s="216"/>
      <c r="AQ895" s="216"/>
      <c r="AR895" s="216"/>
      <c r="AS895" s="216"/>
      <c r="AT895" s="216"/>
      <c r="AU895" s="216"/>
      <c r="AV895" s="216"/>
      <c r="AW895" s="216"/>
      <c r="AX895" s="216"/>
      <c r="AY895" s="216"/>
      <c r="AZ895" s="216"/>
      <c r="BA895" s="216"/>
      <c r="BB895" s="216"/>
      <c r="BC895" s="216"/>
      <c r="BD895" s="216"/>
      <c r="BE895" s="216"/>
      <c r="BF895" s="216"/>
      <c r="BG895" s="216"/>
      <c r="BH895" s="216"/>
      <c r="BI895" s="216"/>
      <c r="BJ895" s="216"/>
      <c r="BK895" s="216"/>
      <c r="BL895" s="216"/>
      <c r="BM895" s="216"/>
      <c r="BN895" s="216"/>
      <c r="BO895" s="216"/>
      <c r="BP895" s="216"/>
      <c r="BQ895" s="216"/>
      <c r="BR895" s="216"/>
    </row>
    <row r="896" spans="1:70" ht="12.75" x14ac:dyDescent="0.2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214"/>
      <c r="L896" s="214"/>
      <c r="M896" s="215"/>
      <c r="N896" s="215"/>
      <c r="O896" s="216"/>
      <c r="P896" s="216"/>
      <c r="Q896" s="216"/>
      <c r="R896" s="216"/>
      <c r="S896" s="216"/>
      <c r="T896" s="216"/>
      <c r="U896" s="216"/>
      <c r="V896" s="216"/>
      <c r="W896" s="216"/>
      <c r="X896" s="216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  <c r="AM896" s="216"/>
      <c r="AN896" s="216"/>
      <c r="AO896" s="216"/>
      <c r="AP896" s="216"/>
      <c r="AQ896" s="216"/>
      <c r="AR896" s="216"/>
      <c r="AS896" s="216"/>
      <c r="AT896" s="216"/>
      <c r="AU896" s="216"/>
      <c r="AV896" s="216"/>
      <c r="AW896" s="216"/>
      <c r="AX896" s="216"/>
      <c r="AY896" s="216"/>
      <c r="AZ896" s="216"/>
      <c r="BA896" s="216"/>
      <c r="BB896" s="216"/>
      <c r="BC896" s="216"/>
      <c r="BD896" s="216"/>
      <c r="BE896" s="216"/>
      <c r="BF896" s="216"/>
      <c r="BG896" s="216"/>
      <c r="BH896" s="216"/>
      <c r="BI896" s="216"/>
      <c r="BJ896" s="216"/>
      <c r="BK896" s="216"/>
      <c r="BL896" s="216"/>
      <c r="BM896" s="216"/>
      <c r="BN896" s="216"/>
      <c r="BO896" s="216"/>
      <c r="BP896" s="216"/>
      <c r="BQ896" s="216"/>
      <c r="BR896" s="216"/>
    </row>
    <row r="897" spans="1:70" ht="12.75" x14ac:dyDescent="0.2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214"/>
      <c r="L897" s="214"/>
      <c r="M897" s="215"/>
      <c r="N897" s="215"/>
      <c r="O897" s="216"/>
      <c r="P897" s="216"/>
      <c r="Q897" s="216"/>
      <c r="R897" s="216"/>
      <c r="S897" s="216"/>
      <c r="T897" s="216"/>
      <c r="U897" s="216"/>
      <c r="V897" s="216"/>
      <c r="W897" s="216"/>
      <c r="X897" s="216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16"/>
      <c r="AN897" s="216"/>
      <c r="AO897" s="216"/>
      <c r="AP897" s="216"/>
      <c r="AQ897" s="216"/>
      <c r="AR897" s="216"/>
      <c r="AS897" s="216"/>
      <c r="AT897" s="216"/>
      <c r="AU897" s="216"/>
      <c r="AV897" s="216"/>
      <c r="AW897" s="216"/>
      <c r="AX897" s="216"/>
      <c r="AY897" s="216"/>
      <c r="AZ897" s="216"/>
      <c r="BA897" s="216"/>
      <c r="BB897" s="216"/>
      <c r="BC897" s="216"/>
      <c r="BD897" s="216"/>
      <c r="BE897" s="216"/>
      <c r="BF897" s="216"/>
      <c r="BG897" s="216"/>
      <c r="BH897" s="216"/>
      <c r="BI897" s="216"/>
      <c r="BJ897" s="216"/>
      <c r="BK897" s="216"/>
      <c r="BL897" s="216"/>
      <c r="BM897" s="216"/>
      <c r="BN897" s="216"/>
      <c r="BO897" s="216"/>
      <c r="BP897" s="216"/>
      <c r="BQ897" s="216"/>
      <c r="BR897" s="216"/>
    </row>
    <row r="898" spans="1:70" ht="12.75" x14ac:dyDescent="0.2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214"/>
      <c r="L898" s="214"/>
      <c r="M898" s="215"/>
      <c r="N898" s="215"/>
      <c r="O898" s="216"/>
      <c r="P898" s="216"/>
      <c r="Q898" s="216"/>
      <c r="R898" s="216"/>
      <c r="S898" s="216"/>
      <c r="T898" s="216"/>
      <c r="U898" s="216"/>
      <c r="V898" s="216"/>
      <c r="W898" s="216"/>
      <c r="X898" s="216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16"/>
      <c r="AN898" s="216"/>
      <c r="AO898" s="216"/>
      <c r="AP898" s="216"/>
      <c r="AQ898" s="216"/>
      <c r="AR898" s="216"/>
      <c r="AS898" s="216"/>
      <c r="AT898" s="216"/>
      <c r="AU898" s="216"/>
      <c r="AV898" s="216"/>
      <c r="AW898" s="216"/>
      <c r="AX898" s="216"/>
      <c r="AY898" s="216"/>
      <c r="AZ898" s="216"/>
      <c r="BA898" s="216"/>
      <c r="BB898" s="216"/>
      <c r="BC898" s="216"/>
      <c r="BD898" s="216"/>
      <c r="BE898" s="216"/>
      <c r="BF898" s="216"/>
      <c r="BG898" s="216"/>
      <c r="BH898" s="216"/>
      <c r="BI898" s="216"/>
      <c r="BJ898" s="216"/>
      <c r="BK898" s="216"/>
      <c r="BL898" s="216"/>
      <c r="BM898" s="216"/>
      <c r="BN898" s="216"/>
      <c r="BO898" s="216"/>
      <c r="BP898" s="216"/>
      <c r="BQ898" s="216"/>
      <c r="BR898" s="216"/>
    </row>
    <row r="899" spans="1:70" ht="12.75" x14ac:dyDescent="0.2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214"/>
      <c r="L899" s="214"/>
      <c r="M899" s="215"/>
      <c r="N899" s="215"/>
      <c r="O899" s="216"/>
      <c r="P899" s="216"/>
      <c r="Q899" s="216"/>
      <c r="R899" s="216"/>
      <c r="S899" s="216"/>
      <c r="T899" s="216"/>
      <c r="U899" s="216"/>
      <c r="V899" s="216"/>
      <c r="W899" s="216"/>
      <c r="X899" s="216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16"/>
      <c r="AN899" s="216"/>
      <c r="AO899" s="216"/>
      <c r="AP899" s="216"/>
      <c r="AQ899" s="216"/>
      <c r="AR899" s="216"/>
      <c r="AS899" s="216"/>
      <c r="AT899" s="216"/>
      <c r="AU899" s="216"/>
      <c r="AV899" s="216"/>
      <c r="AW899" s="216"/>
      <c r="AX899" s="216"/>
      <c r="AY899" s="216"/>
      <c r="AZ899" s="216"/>
      <c r="BA899" s="216"/>
      <c r="BB899" s="216"/>
      <c r="BC899" s="216"/>
      <c r="BD899" s="216"/>
      <c r="BE899" s="216"/>
      <c r="BF899" s="216"/>
      <c r="BG899" s="216"/>
      <c r="BH899" s="216"/>
      <c r="BI899" s="216"/>
      <c r="BJ899" s="216"/>
      <c r="BK899" s="216"/>
      <c r="BL899" s="216"/>
      <c r="BM899" s="216"/>
      <c r="BN899" s="216"/>
      <c r="BO899" s="216"/>
      <c r="BP899" s="216"/>
      <c r="BQ899" s="216"/>
      <c r="BR899" s="216"/>
    </row>
    <row r="900" spans="1:70" ht="12.75" x14ac:dyDescent="0.2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214"/>
      <c r="L900" s="214"/>
      <c r="M900" s="215"/>
      <c r="N900" s="215"/>
      <c r="O900" s="216"/>
      <c r="P900" s="216"/>
      <c r="Q900" s="216"/>
      <c r="R900" s="216"/>
      <c r="S900" s="216"/>
      <c r="T900" s="216"/>
      <c r="U900" s="216"/>
      <c r="V900" s="216"/>
      <c r="W900" s="216"/>
      <c r="X900" s="216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16"/>
      <c r="AN900" s="216"/>
      <c r="AO900" s="216"/>
      <c r="AP900" s="216"/>
      <c r="AQ900" s="216"/>
      <c r="AR900" s="216"/>
      <c r="AS900" s="216"/>
      <c r="AT900" s="216"/>
      <c r="AU900" s="216"/>
      <c r="AV900" s="216"/>
      <c r="AW900" s="216"/>
      <c r="AX900" s="216"/>
      <c r="AY900" s="216"/>
      <c r="AZ900" s="216"/>
      <c r="BA900" s="216"/>
      <c r="BB900" s="216"/>
      <c r="BC900" s="216"/>
      <c r="BD900" s="216"/>
      <c r="BE900" s="216"/>
      <c r="BF900" s="216"/>
      <c r="BG900" s="216"/>
      <c r="BH900" s="216"/>
      <c r="BI900" s="216"/>
      <c r="BJ900" s="216"/>
      <c r="BK900" s="216"/>
      <c r="BL900" s="216"/>
      <c r="BM900" s="216"/>
      <c r="BN900" s="216"/>
      <c r="BO900" s="216"/>
      <c r="BP900" s="216"/>
      <c r="BQ900" s="216"/>
      <c r="BR900" s="216"/>
    </row>
    <row r="901" spans="1:70" ht="12.75" x14ac:dyDescent="0.2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214"/>
      <c r="L901" s="214"/>
      <c r="M901" s="215"/>
      <c r="N901" s="215"/>
      <c r="O901" s="216"/>
      <c r="P901" s="216"/>
      <c r="Q901" s="216"/>
      <c r="R901" s="216"/>
      <c r="S901" s="216"/>
      <c r="T901" s="216"/>
      <c r="U901" s="216"/>
      <c r="V901" s="216"/>
      <c r="W901" s="216"/>
      <c r="X901" s="216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16"/>
      <c r="AN901" s="216"/>
      <c r="AO901" s="216"/>
      <c r="AP901" s="216"/>
      <c r="AQ901" s="216"/>
      <c r="AR901" s="216"/>
      <c r="AS901" s="216"/>
      <c r="AT901" s="216"/>
      <c r="AU901" s="216"/>
      <c r="AV901" s="216"/>
      <c r="AW901" s="216"/>
      <c r="AX901" s="216"/>
      <c r="AY901" s="216"/>
      <c r="AZ901" s="216"/>
      <c r="BA901" s="216"/>
      <c r="BB901" s="216"/>
      <c r="BC901" s="216"/>
      <c r="BD901" s="216"/>
      <c r="BE901" s="216"/>
      <c r="BF901" s="216"/>
      <c r="BG901" s="216"/>
      <c r="BH901" s="216"/>
      <c r="BI901" s="216"/>
      <c r="BJ901" s="216"/>
      <c r="BK901" s="216"/>
      <c r="BL901" s="216"/>
      <c r="BM901" s="216"/>
      <c r="BN901" s="216"/>
      <c r="BO901" s="216"/>
      <c r="BP901" s="216"/>
      <c r="BQ901" s="216"/>
      <c r="BR901" s="216"/>
    </row>
    <row r="902" spans="1:70" ht="12.75" x14ac:dyDescent="0.2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214"/>
      <c r="L902" s="214"/>
      <c r="M902" s="215"/>
      <c r="N902" s="215"/>
      <c r="O902" s="216"/>
      <c r="P902" s="216"/>
      <c r="Q902" s="216"/>
      <c r="R902" s="216"/>
      <c r="S902" s="216"/>
      <c r="T902" s="216"/>
      <c r="U902" s="216"/>
      <c r="V902" s="216"/>
      <c r="W902" s="216"/>
      <c r="X902" s="216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16"/>
      <c r="AN902" s="216"/>
      <c r="AO902" s="216"/>
      <c r="AP902" s="216"/>
      <c r="AQ902" s="216"/>
      <c r="AR902" s="216"/>
      <c r="AS902" s="216"/>
      <c r="AT902" s="216"/>
      <c r="AU902" s="216"/>
      <c r="AV902" s="216"/>
      <c r="AW902" s="216"/>
      <c r="AX902" s="216"/>
      <c r="AY902" s="216"/>
      <c r="AZ902" s="216"/>
      <c r="BA902" s="216"/>
      <c r="BB902" s="216"/>
      <c r="BC902" s="216"/>
      <c r="BD902" s="216"/>
      <c r="BE902" s="216"/>
      <c r="BF902" s="216"/>
      <c r="BG902" s="216"/>
      <c r="BH902" s="216"/>
      <c r="BI902" s="216"/>
      <c r="BJ902" s="216"/>
      <c r="BK902" s="216"/>
      <c r="BL902" s="216"/>
      <c r="BM902" s="216"/>
      <c r="BN902" s="216"/>
      <c r="BO902" s="216"/>
      <c r="BP902" s="216"/>
      <c r="BQ902" s="216"/>
      <c r="BR902" s="216"/>
    </row>
    <row r="903" spans="1:70" ht="12.75" x14ac:dyDescent="0.2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214"/>
      <c r="L903" s="214"/>
      <c r="M903" s="215"/>
      <c r="N903" s="215"/>
      <c r="O903" s="216"/>
      <c r="P903" s="216"/>
      <c r="Q903" s="216"/>
      <c r="R903" s="216"/>
      <c r="S903" s="216"/>
      <c r="T903" s="216"/>
      <c r="U903" s="216"/>
      <c r="V903" s="216"/>
      <c r="W903" s="216"/>
      <c r="X903" s="216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16"/>
      <c r="AN903" s="216"/>
      <c r="AO903" s="216"/>
      <c r="AP903" s="216"/>
      <c r="AQ903" s="216"/>
      <c r="AR903" s="216"/>
      <c r="AS903" s="216"/>
      <c r="AT903" s="216"/>
      <c r="AU903" s="216"/>
      <c r="AV903" s="216"/>
      <c r="AW903" s="216"/>
      <c r="AX903" s="216"/>
      <c r="AY903" s="216"/>
      <c r="AZ903" s="216"/>
      <c r="BA903" s="216"/>
      <c r="BB903" s="216"/>
      <c r="BC903" s="216"/>
      <c r="BD903" s="216"/>
      <c r="BE903" s="216"/>
      <c r="BF903" s="216"/>
      <c r="BG903" s="216"/>
      <c r="BH903" s="216"/>
      <c r="BI903" s="216"/>
      <c r="BJ903" s="216"/>
      <c r="BK903" s="216"/>
      <c r="BL903" s="216"/>
      <c r="BM903" s="216"/>
      <c r="BN903" s="216"/>
      <c r="BO903" s="216"/>
      <c r="BP903" s="216"/>
      <c r="BQ903" s="216"/>
      <c r="BR903" s="216"/>
    </row>
    <row r="904" spans="1:70" ht="12.75" x14ac:dyDescent="0.2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214"/>
      <c r="L904" s="214"/>
      <c r="M904" s="215"/>
      <c r="N904" s="215"/>
      <c r="O904" s="216"/>
      <c r="P904" s="216"/>
      <c r="Q904" s="216"/>
      <c r="R904" s="216"/>
      <c r="S904" s="216"/>
      <c r="T904" s="216"/>
      <c r="U904" s="216"/>
      <c r="V904" s="216"/>
      <c r="W904" s="216"/>
      <c r="X904" s="216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16"/>
      <c r="AN904" s="216"/>
      <c r="AO904" s="216"/>
      <c r="AP904" s="216"/>
      <c r="AQ904" s="216"/>
      <c r="AR904" s="216"/>
      <c r="AS904" s="216"/>
      <c r="AT904" s="216"/>
      <c r="AU904" s="216"/>
      <c r="AV904" s="216"/>
      <c r="AW904" s="216"/>
      <c r="AX904" s="216"/>
      <c r="AY904" s="216"/>
      <c r="AZ904" s="216"/>
      <c r="BA904" s="216"/>
      <c r="BB904" s="216"/>
      <c r="BC904" s="216"/>
      <c r="BD904" s="216"/>
      <c r="BE904" s="216"/>
      <c r="BF904" s="216"/>
      <c r="BG904" s="216"/>
      <c r="BH904" s="216"/>
      <c r="BI904" s="216"/>
      <c r="BJ904" s="216"/>
      <c r="BK904" s="216"/>
      <c r="BL904" s="216"/>
      <c r="BM904" s="216"/>
      <c r="BN904" s="216"/>
      <c r="BO904" s="216"/>
      <c r="BP904" s="216"/>
      <c r="BQ904" s="216"/>
      <c r="BR904" s="216"/>
    </row>
    <row r="905" spans="1:70" ht="12.75" x14ac:dyDescent="0.2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214"/>
      <c r="L905" s="214"/>
      <c r="M905" s="215"/>
      <c r="N905" s="215"/>
      <c r="O905" s="216"/>
      <c r="P905" s="216"/>
      <c r="Q905" s="216"/>
      <c r="R905" s="216"/>
      <c r="S905" s="216"/>
      <c r="T905" s="216"/>
      <c r="U905" s="216"/>
      <c r="V905" s="216"/>
      <c r="W905" s="216"/>
      <c r="X905" s="216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16"/>
      <c r="AN905" s="216"/>
      <c r="AO905" s="216"/>
      <c r="AP905" s="216"/>
      <c r="AQ905" s="216"/>
      <c r="AR905" s="216"/>
      <c r="AS905" s="216"/>
      <c r="AT905" s="216"/>
      <c r="AU905" s="216"/>
      <c r="AV905" s="216"/>
      <c r="AW905" s="216"/>
      <c r="AX905" s="216"/>
      <c r="AY905" s="216"/>
      <c r="AZ905" s="216"/>
      <c r="BA905" s="216"/>
      <c r="BB905" s="216"/>
      <c r="BC905" s="216"/>
      <c r="BD905" s="216"/>
      <c r="BE905" s="216"/>
      <c r="BF905" s="216"/>
      <c r="BG905" s="216"/>
      <c r="BH905" s="216"/>
      <c r="BI905" s="216"/>
      <c r="BJ905" s="216"/>
      <c r="BK905" s="216"/>
      <c r="BL905" s="216"/>
      <c r="BM905" s="216"/>
      <c r="BN905" s="216"/>
      <c r="BO905" s="216"/>
      <c r="BP905" s="216"/>
      <c r="BQ905" s="216"/>
      <c r="BR905" s="216"/>
    </row>
    <row r="906" spans="1:70" ht="12.75" x14ac:dyDescent="0.2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214"/>
      <c r="L906" s="214"/>
      <c r="M906" s="215"/>
      <c r="N906" s="215"/>
      <c r="O906" s="216"/>
      <c r="P906" s="216"/>
      <c r="Q906" s="216"/>
      <c r="R906" s="216"/>
      <c r="S906" s="216"/>
      <c r="T906" s="216"/>
      <c r="U906" s="216"/>
      <c r="V906" s="216"/>
      <c r="W906" s="216"/>
      <c r="X906" s="216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16"/>
      <c r="AN906" s="216"/>
      <c r="AO906" s="216"/>
      <c r="AP906" s="216"/>
      <c r="AQ906" s="216"/>
      <c r="AR906" s="216"/>
      <c r="AS906" s="216"/>
      <c r="AT906" s="216"/>
      <c r="AU906" s="216"/>
      <c r="AV906" s="216"/>
      <c r="AW906" s="216"/>
      <c r="AX906" s="216"/>
      <c r="AY906" s="216"/>
      <c r="AZ906" s="216"/>
      <c r="BA906" s="216"/>
      <c r="BB906" s="216"/>
      <c r="BC906" s="216"/>
      <c r="BD906" s="216"/>
      <c r="BE906" s="216"/>
      <c r="BF906" s="216"/>
      <c r="BG906" s="216"/>
      <c r="BH906" s="216"/>
      <c r="BI906" s="216"/>
      <c r="BJ906" s="216"/>
      <c r="BK906" s="216"/>
      <c r="BL906" s="216"/>
      <c r="BM906" s="216"/>
      <c r="BN906" s="216"/>
      <c r="BO906" s="216"/>
      <c r="BP906" s="216"/>
      <c r="BQ906" s="216"/>
      <c r="BR906" s="216"/>
    </row>
    <row r="907" spans="1:70" ht="12.75" x14ac:dyDescent="0.2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214"/>
      <c r="L907" s="214"/>
      <c r="M907" s="215"/>
      <c r="N907" s="215"/>
      <c r="O907" s="216"/>
      <c r="P907" s="216"/>
      <c r="Q907" s="216"/>
      <c r="R907" s="216"/>
      <c r="S907" s="216"/>
      <c r="T907" s="216"/>
      <c r="U907" s="216"/>
      <c r="V907" s="216"/>
      <c r="W907" s="216"/>
      <c r="X907" s="216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16"/>
      <c r="AN907" s="216"/>
      <c r="AO907" s="216"/>
      <c r="AP907" s="216"/>
      <c r="AQ907" s="216"/>
      <c r="AR907" s="216"/>
      <c r="AS907" s="216"/>
      <c r="AT907" s="216"/>
      <c r="AU907" s="216"/>
      <c r="AV907" s="216"/>
      <c r="AW907" s="216"/>
      <c r="AX907" s="216"/>
      <c r="AY907" s="216"/>
      <c r="AZ907" s="216"/>
      <c r="BA907" s="216"/>
      <c r="BB907" s="216"/>
      <c r="BC907" s="216"/>
      <c r="BD907" s="216"/>
      <c r="BE907" s="216"/>
      <c r="BF907" s="216"/>
      <c r="BG907" s="216"/>
      <c r="BH907" s="216"/>
      <c r="BI907" s="216"/>
      <c r="BJ907" s="216"/>
      <c r="BK907" s="216"/>
      <c r="BL907" s="216"/>
      <c r="BM907" s="216"/>
      <c r="BN907" s="216"/>
      <c r="BO907" s="216"/>
      <c r="BP907" s="216"/>
      <c r="BQ907" s="216"/>
      <c r="BR907" s="216"/>
    </row>
    <row r="908" spans="1:70" ht="12.75" x14ac:dyDescent="0.2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214"/>
      <c r="L908" s="214"/>
      <c r="M908" s="215"/>
      <c r="N908" s="215"/>
      <c r="O908" s="216"/>
      <c r="P908" s="216"/>
      <c r="Q908" s="216"/>
      <c r="R908" s="216"/>
      <c r="S908" s="216"/>
      <c r="T908" s="216"/>
      <c r="U908" s="216"/>
      <c r="V908" s="216"/>
      <c r="W908" s="216"/>
      <c r="X908" s="216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16"/>
      <c r="AN908" s="216"/>
      <c r="AO908" s="216"/>
      <c r="AP908" s="216"/>
      <c r="AQ908" s="216"/>
      <c r="AR908" s="216"/>
      <c r="AS908" s="216"/>
      <c r="AT908" s="216"/>
      <c r="AU908" s="216"/>
      <c r="AV908" s="216"/>
      <c r="AW908" s="216"/>
      <c r="AX908" s="216"/>
      <c r="AY908" s="216"/>
      <c r="AZ908" s="216"/>
      <c r="BA908" s="216"/>
      <c r="BB908" s="216"/>
      <c r="BC908" s="216"/>
      <c r="BD908" s="216"/>
      <c r="BE908" s="216"/>
      <c r="BF908" s="216"/>
      <c r="BG908" s="216"/>
      <c r="BH908" s="216"/>
      <c r="BI908" s="216"/>
      <c r="BJ908" s="216"/>
      <c r="BK908" s="216"/>
      <c r="BL908" s="216"/>
      <c r="BM908" s="216"/>
      <c r="BN908" s="216"/>
      <c r="BO908" s="216"/>
      <c r="BP908" s="216"/>
      <c r="BQ908" s="216"/>
      <c r="BR908" s="216"/>
    </row>
    <row r="909" spans="1:70" ht="12.75" x14ac:dyDescent="0.2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214"/>
      <c r="L909" s="214"/>
      <c r="M909" s="215"/>
      <c r="N909" s="215"/>
      <c r="O909" s="216"/>
      <c r="P909" s="216"/>
      <c r="Q909" s="216"/>
      <c r="R909" s="216"/>
      <c r="S909" s="216"/>
      <c r="T909" s="216"/>
      <c r="U909" s="216"/>
      <c r="V909" s="216"/>
      <c r="W909" s="216"/>
      <c r="X909" s="216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16"/>
      <c r="AN909" s="216"/>
      <c r="AO909" s="216"/>
      <c r="AP909" s="216"/>
      <c r="AQ909" s="216"/>
      <c r="AR909" s="216"/>
      <c r="AS909" s="216"/>
      <c r="AT909" s="216"/>
      <c r="AU909" s="216"/>
      <c r="AV909" s="216"/>
      <c r="AW909" s="216"/>
      <c r="AX909" s="216"/>
      <c r="AY909" s="216"/>
      <c r="AZ909" s="216"/>
      <c r="BA909" s="216"/>
      <c r="BB909" s="216"/>
      <c r="BC909" s="216"/>
      <c r="BD909" s="216"/>
      <c r="BE909" s="216"/>
      <c r="BF909" s="216"/>
      <c r="BG909" s="216"/>
      <c r="BH909" s="216"/>
      <c r="BI909" s="216"/>
      <c r="BJ909" s="216"/>
      <c r="BK909" s="216"/>
      <c r="BL909" s="216"/>
      <c r="BM909" s="216"/>
      <c r="BN909" s="216"/>
      <c r="BO909" s="216"/>
      <c r="BP909" s="216"/>
      <c r="BQ909" s="216"/>
      <c r="BR909" s="216"/>
    </row>
    <row r="910" spans="1:70" ht="12.75" x14ac:dyDescent="0.2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214"/>
      <c r="L910" s="214"/>
      <c r="M910" s="215"/>
      <c r="N910" s="215"/>
      <c r="O910" s="216"/>
      <c r="P910" s="216"/>
      <c r="Q910" s="216"/>
      <c r="R910" s="216"/>
      <c r="S910" s="216"/>
      <c r="T910" s="216"/>
      <c r="U910" s="216"/>
      <c r="V910" s="216"/>
      <c r="W910" s="216"/>
      <c r="X910" s="216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16"/>
      <c r="AN910" s="216"/>
      <c r="AO910" s="216"/>
      <c r="AP910" s="216"/>
      <c r="AQ910" s="216"/>
      <c r="AR910" s="216"/>
      <c r="AS910" s="216"/>
      <c r="AT910" s="216"/>
      <c r="AU910" s="216"/>
      <c r="AV910" s="216"/>
      <c r="AW910" s="216"/>
      <c r="AX910" s="216"/>
      <c r="AY910" s="216"/>
      <c r="AZ910" s="216"/>
      <c r="BA910" s="216"/>
      <c r="BB910" s="216"/>
      <c r="BC910" s="216"/>
      <c r="BD910" s="216"/>
      <c r="BE910" s="216"/>
      <c r="BF910" s="216"/>
      <c r="BG910" s="216"/>
      <c r="BH910" s="216"/>
      <c r="BI910" s="216"/>
      <c r="BJ910" s="216"/>
      <c r="BK910" s="216"/>
      <c r="BL910" s="216"/>
      <c r="BM910" s="216"/>
      <c r="BN910" s="216"/>
      <c r="BO910" s="216"/>
      <c r="BP910" s="216"/>
      <c r="BQ910" s="216"/>
      <c r="BR910" s="216"/>
    </row>
    <row r="911" spans="1:70" ht="12.75" x14ac:dyDescent="0.2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214"/>
      <c r="L911" s="214"/>
      <c r="M911" s="215"/>
      <c r="N911" s="215"/>
      <c r="O911" s="216"/>
      <c r="P911" s="216"/>
      <c r="Q911" s="216"/>
      <c r="R911" s="216"/>
      <c r="S911" s="216"/>
      <c r="T911" s="216"/>
      <c r="U911" s="216"/>
      <c r="V911" s="216"/>
      <c r="W911" s="216"/>
      <c r="X911" s="216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16"/>
      <c r="AN911" s="216"/>
      <c r="AO911" s="216"/>
      <c r="AP911" s="216"/>
      <c r="AQ911" s="216"/>
      <c r="AR911" s="216"/>
      <c r="AS911" s="216"/>
      <c r="AT911" s="216"/>
      <c r="AU911" s="216"/>
      <c r="AV911" s="216"/>
      <c r="AW911" s="216"/>
      <c r="AX911" s="216"/>
      <c r="AY911" s="216"/>
      <c r="AZ911" s="216"/>
      <c r="BA911" s="216"/>
      <c r="BB911" s="216"/>
      <c r="BC911" s="216"/>
      <c r="BD911" s="216"/>
      <c r="BE911" s="216"/>
      <c r="BF911" s="216"/>
      <c r="BG911" s="216"/>
      <c r="BH911" s="216"/>
      <c r="BI911" s="216"/>
      <c r="BJ911" s="216"/>
      <c r="BK911" s="216"/>
      <c r="BL911" s="216"/>
      <c r="BM911" s="216"/>
      <c r="BN911" s="216"/>
      <c r="BO911" s="216"/>
      <c r="BP911" s="216"/>
      <c r="BQ911" s="216"/>
      <c r="BR911" s="216"/>
    </row>
    <row r="912" spans="1:70" ht="12.75" x14ac:dyDescent="0.2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214"/>
      <c r="L912" s="214"/>
      <c r="M912" s="215"/>
      <c r="N912" s="215"/>
      <c r="O912" s="216"/>
      <c r="P912" s="216"/>
      <c r="Q912" s="216"/>
      <c r="R912" s="216"/>
      <c r="S912" s="216"/>
      <c r="T912" s="216"/>
      <c r="U912" s="216"/>
      <c r="V912" s="216"/>
      <c r="W912" s="216"/>
      <c r="X912" s="216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16"/>
      <c r="AN912" s="216"/>
      <c r="AO912" s="216"/>
      <c r="AP912" s="216"/>
      <c r="AQ912" s="216"/>
      <c r="AR912" s="216"/>
      <c r="AS912" s="216"/>
      <c r="AT912" s="216"/>
      <c r="AU912" s="216"/>
      <c r="AV912" s="216"/>
      <c r="AW912" s="216"/>
      <c r="AX912" s="216"/>
      <c r="AY912" s="216"/>
      <c r="AZ912" s="216"/>
      <c r="BA912" s="216"/>
      <c r="BB912" s="216"/>
      <c r="BC912" s="216"/>
      <c r="BD912" s="216"/>
      <c r="BE912" s="216"/>
      <c r="BF912" s="216"/>
      <c r="BG912" s="216"/>
      <c r="BH912" s="216"/>
      <c r="BI912" s="216"/>
      <c r="BJ912" s="216"/>
      <c r="BK912" s="216"/>
      <c r="BL912" s="216"/>
      <c r="BM912" s="216"/>
      <c r="BN912" s="216"/>
      <c r="BO912" s="216"/>
      <c r="BP912" s="216"/>
      <c r="BQ912" s="216"/>
      <c r="BR912" s="216"/>
    </row>
    <row r="913" spans="1:70" ht="12.75" x14ac:dyDescent="0.2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214"/>
      <c r="L913" s="214"/>
      <c r="M913" s="215"/>
      <c r="N913" s="215"/>
      <c r="O913" s="216"/>
      <c r="P913" s="216"/>
      <c r="Q913" s="216"/>
      <c r="R913" s="216"/>
      <c r="S913" s="216"/>
      <c r="T913" s="216"/>
      <c r="U913" s="216"/>
      <c r="V913" s="216"/>
      <c r="W913" s="216"/>
      <c r="X913" s="216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  <c r="AJ913" s="216"/>
      <c r="AK913" s="216"/>
      <c r="AL913" s="216"/>
      <c r="AM913" s="216"/>
      <c r="AN913" s="216"/>
      <c r="AO913" s="216"/>
      <c r="AP913" s="216"/>
      <c r="AQ913" s="216"/>
      <c r="AR913" s="216"/>
      <c r="AS913" s="216"/>
      <c r="AT913" s="216"/>
      <c r="AU913" s="216"/>
      <c r="AV913" s="216"/>
      <c r="AW913" s="216"/>
      <c r="AX913" s="216"/>
      <c r="AY913" s="216"/>
      <c r="AZ913" s="216"/>
      <c r="BA913" s="216"/>
      <c r="BB913" s="216"/>
      <c r="BC913" s="216"/>
      <c r="BD913" s="216"/>
      <c r="BE913" s="216"/>
      <c r="BF913" s="216"/>
      <c r="BG913" s="216"/>
      <c r="BH913" s="216"/>
      <c r="BI913" s="216"/>
      <c r="BJ913" s="216"/>
      <c r="BK913" s="216"/>
      <c r="BL913" s="216"/>
      <c r="BM913" s="216"/>
      <c r="BN913" s="216"/>
      <c r="BO913" s="216"/>
      <c r="BP913" s="216"/>
      <c r="BQ913" s="216"/>
      <c r="BR913" s="216"/>
    </row>
    <row r="914" spans="1:70" ht="12.75" x14ac:dyDescent="0.2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214"/>
      <c r="L914" s="214"/>
      <c r="M914" s="215"/>
      <c r="N914" s="215"/>
      <c r="O914" s="216"/>
      <c r="P914" s="216"/>
      <c r="Q914" s="216"/>
      <c r="R914" s="216"/>
      <c r="S914" s="216"/>
      <c r="T914" s="216"/>
      <c r="U914" s="216"/>
      <c r="V914" s="216"/>
      <c r="W914" s="216"/>
      <c r="X914" s="216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  <c r="AJ914" s="216"/>
      <c r="AK914" s="216"/>
      <c r="AL914" s="216"/>
      <c r="AM914" s="216"/>
      <c r="AN914" s="216"/>
      <c r="AO914" s="216"/>
      <c r="AP914" s="216"/>
      <c r="AQ914" s="216"/>
      <c r="AR914" s="216"/>
      <c r="AS914" s="216"/>
      <c r="AT914" s="216"/>
      <c r="AU914" s="216"/>
      <c r="AV914" s="216"/>
      <c r="AW914" s="216"/>
      <c r="AX914" s="216"/>
      <c r="AY914" s="216"/>
      <c r="AZ914" s="216"/>
      <c r="BA914" s="216"/>
      <c r="BB914" s="216"/>
      <c r="BC914" s="216"/>
      <c r="BD914" s="216"/>
      <c r="BE914" s="216"/>
      <c r="BF914" s="216"/>
      <c r="BG914" s="216"/>
      <c r="BH914" s="216"/>
      <c r="BI914" s="216"/>
      <c r="BJ914" s="216"/>
      <c r="BK914" s="216"/>
      <c r="BL914" s="216"/>
      <c r="BM914" s="216"/>
      <c r="BN914" s="216"/>
      <c r="BO914" s="216"/>
      <c r="BP914" s="216"/>
      <c r="BQ914" s="216"/>
      <c r="BR914" s="216"/>
    </row>
    <row r="915" spans="1:70" ht="12.75" x14ac:dyDescent="0.2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214"/>
      <c r="L915" s="214"/>
      <c r="M915" s="215"/>
      <c r="N915" s="215"/>
      <c r="O915" s="216"/>
      <c r="P915" s="216"/>
      <c r="Q915" s="216"/>
      <c r="R915" s="216"/>
      <c r="S915" s="216"/>
      <c r="T915" s="216"/>
      <c r="U915" s="216"/>
      <c r="V915" s="216"/>
      <c r="W915" s="216"/>
      <c r="X915" s="216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  <c r="AJ915" s="216"/>
      <c r="AK915" s="216"/>
      <c r="AL915" s="216"/>
      <c r="AM915" s="216"/>
      <c r="AN915" s="216"/>
      <c r="AO915" s="216"/>
      <c r="AP915" s="216"/>
      <c r="AQ915" s="216"/>
      <c r="AR915" s="216"/>
      <c r="AS915" s="216"/>
      <c r="AT915" s="216"/>
      <c r="AU915" s="216"/>
      <c r="AV915" s="216"/>
      <c r="AW915" s="216"/>
      <c r="AX915" s="216"/>
      <c r="AY915" s="216"/>
      <c r="AZ915" s="216"/>
      <c r="BA915" s="216"/>
      <c r="BB915" s="216"/>
      <c r="BC915" s="216"/>
      <c r="BD915" s="216"/>
      <c r="BE915" s="216"/>
      <c r="BF915" s="216"/>
      <c r="BG915" s="216"/>
      <c r="BH915" s="216"/>
      <c r="BI915" s="216"/>
      <c r="BJ915" s="216"/>
      <c r="BK915" s="216"/>
      <c r="BL915" s="216"/>
      <c r="BM915" s="216"/>
      <c r="BN915" s="216"/>
      <c r="BO915" s="216"/>
      <c r="BP915" s="216"/>
      <c r="BQ915" s="216"/>
      <c r="BR915" s="216"/>
    </row>
    <row r="916" spans="1:70" ht="12.75" x14ac:dyDescent="0.2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214"/>
      <c r="L916" s="214"/>
      <c r="M916" s="215"/>
      <c r="N916" s="215"/>
      <c r="O916" s="216"/>
      <c r="P916" s="216"/>
      <c r="Q916" s="216"/>
      <c r="R916" s="216"/>
      <c r="S916" s="216"/>
      <c r="T916" s="216"/>
      <c r="U916" s="216"/>
      <c r="V916" s="216"/>
      <c r="W916" s="216"/>
      <c r="X916" s="216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  <c r="AJ916" s="216"/>
      <c r="AK916" s="216"/>
      <c r="AL916" s="216"/>
      <c r="AM916" s="216"/>
      <c r="AN916" s="216"/>
      <c r="AO916" s="216"/>
      <c r="AP916" s="216"/>
      <c r="AQ916" s="216"/>
      <c r="AR916" s="216"/>
      <c r="AS916" s="216"/>
      <c r="AT916" s="216"/>
      <c r="AU916" s="216"/>
      <c r="AV916" s="216"/>
      <c r="AW916" s="216"/>
      <c r="AX916" s="216"/>
      <c r="AY916" s="216"/>
      <c r="AZ916" s="216"/>
      <c r="BA916" s="216"/>
      <c r="BB916" s="216"/>
      <c r="BC916" s="216"/>
      <c r="BD916" s="216"/>
      <c r="BE916" s="216"/>
      <c r="BF916" s="216"/>
      <c r="BG916" s="216"/>
      <c r="BH916" s="216"/>
      <c r="BI916" s="216"/>
      <c r="BJ916" s="216"/>
      <c r="BK916" s="216"/>
      <c r="BL916" s="216"/>
      <c r="BM916" s="216"/>
      <c r="BN916" s="216"/>
      <c r="BO916" s="216"/>
      <c r="BP916" s="216"/>
      <c r="BQ916" s="216"/>
      <c r="BR916" s="216"/>
    </row>
    <row r="917" spans="1:70" ht="12.75" x14ac:dyDescent="0.2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214"/>
      <c r="L917" s="214"/>
      <c r="M917" s="215"/>
      <c r="N917" s="215"/>
      <c r="O917" s="216"/>
      <c r="P917" s="216"/>
      <c r="Q917" s="216"/>
      <c r="R917" s="216"/>
      <c r="S917" s="216"/>
      <c r="T917" s="216"/>
      <c r="U917" s="216"/>
      <c r="V917" s="216"/>
      <c r="W917" s="216"/>
      <c r="X917" s="216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  <c r="AJ917" s="216"/>
      <c r="AK917" s="216"/>
      <c r="AL917" s="216"/>
      <c r="AM917" s="216"/>
      <c r="AN917" s="216"/>
      <c r="AO917" s="216"/>
      <c r="AP917" s="216"/>
      <c r="AQ917" s="216"/>
      <c r="AR917" s="216"/>
      <c r="AS917" s="216"/>
      <c r="AT917" s="216"/>
      <c r="AU917" s="216"/>
      <c r="AV917" s="216"/>
      <c r="AW917" s="216"/>
      <c r="AX917" s="216"/>
      <c r="AY917" s="216"/>
      <c r="AZ917" s="216"/>
      <c r="BA917" s="216"/>
      <c r="BB917" s="216"/>
      <c r="BC917" s="216"/>
      <c r="BD917" s="216"/>
      <c r="BE917" s="216"/>
      <c r="BF917" s="216"/>
      <c r="BG917" s="216"/>
      <c r="BH917" s="216"/>
      <c r="BI917" s="216"/>
      <c r="BJ917" s="216"/>
      <c r="BK917" s="216"/>
      <c r="BL917" s="216"/>
      <c r="BM917" s="216"/>
      <c r="BN917" s="216"/>
      <c r="BO917" s="216"/>
      <c r="BP917" s="216"/>
      <c r="BQ917" s="216"/>
      <c r="BR917" s="216"/>
    </row>
    <row r="918" spans="1:70" ht="12.75" x14ac:dyDescent="0.2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214"/>
      <c r="L918" s="214"/>
      <c r="M918" s="215"/>
      <c r="N918" s="215"/>
      <c r="O918" s="216"/>
      <c r="P918" s="216"/>
      <c r="Q918" s="216"/>
      <c r="R918" s="216"/>
      <c r="S918" s="216"/>
      <c r="T918" s="216"/>
      <c r="U918" s="216"/>
      <c r="V918" s="216"/>
      <c r="W918" s="216"/>
      <c r="X918" s="216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  <c r="AJ918" s="216"/>
      <c r="AK918" s="216"/>
      <c r="AL918" s="216"/>
      <c r="AM918" s="216"/>
      <c r="AN918" s="216"/>
      <c r="AO918" s="216"/>
      <c r="AP918" s="216"/>
      <c r="AQ918" s="216"/>
      <c r="AR918" s="216"/>
      <c r="AS918" s="216"/>
      <c r="AT918" s="216"/>
      <c r="AU918" s="216"/>
      <c r="AV918" s="216"/>
      <c r="AW918" s="216"/>
      <c r="AX918" s="216"/>
      <c r="AY918" s="216"/>
      <c r="AZ918" s="216"/>
      <c r="BA918" s="216"/>
      <c r="BB918" s="216"/>
      <c r="BC918" s="216"/>
      <c r="BD918" s="216"/>
      <c r="BE918" s="216"/>
      <c r="BF918" s="216"/>
      <c r="BG918" s="216"/>
      <c r="BH918" s="216"/>
      <c r="BI918" s="216"/>
      <c r="BJ918" s="216"/>
      <c r="BK918" s="216"/>
      <c r="BL918" s="216"/>
      <c r="BM918" s="216"/>
      <c r="BN918" s="216"/>
      <c r="BO918" s="216"/>
      <c r="BP918" s="216"/>
      <c r="BQ918" s="216"/>
      <c r="BR918" s="216"/>
    </row>
    <row r="919" spans="1:70" ht="12.75" x14ac:dyDescent="0.2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214"/>
      <c r="L919" s="214"/>
      <c r="M919" s="215"/>
      <c r="N919" s="215"/>
      <c r="O919" s="216"/>
      <c r="P919" s="216"/>
      <c r="Q919" s="216"/>
      <c r="R919" s="216"/>
      <c r="S919" s="216"/>
      <c r="T919" s="216"/>
      <c r="U919" s="216"/>
      <c r="V919" s="216"/>
      <c r="W919" s="216"/>
      <c r="X919" s="216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  <c r="AJ919" s="216"/>
      <c r="AK919" s="216"/>
      <c r="AL919" s="216"/>
      <c r="AM919" s="216"/>
      <c r="AN919" s="216"/>
      <c r="AO919" s="216"/>
      <c r="AP919" s="216"/>
      <c r="AQ919" s="216"/>
      <c r="AR919" s="216"/>
      <c r="AS919" s="216"/>
      <c r="AT919" s="216"/>
      <c r="AU919" s="216"/>
      <c r="AV919" s="216"/>
      <c r="AW919" s="216"/>
      <c r="AX919" s="216"/>
      <c r="AY919" s="216"/>
      <c r="AZ919" s="216"/>
      <c r="BA919" s="216"/>
      <c r="BB919" s="216"/>
      <c r="BC919" s="216"/>
      <c r="BD919" s="216"/>
      <c r="BE919" s="216"/>
      <c r="BF919" s="216"/>
      <c r="BG919" s="216"/>
      <c r="BH919" s="216"/>
      <c r="BI919" s="216"/>
      <c r="BJ919" s="216"/>
      <c r="BK919" s="216"/>
      <c r="BL919" s="216"/>
      <c r="BM919" s="216"/>
      <c r="BN919" s="216"/>
      <c r="BO919" s="216"/>
      <c r="BP919" s="216"/>
      <c r="BQ919" s="216"/>
      <c r="BR919" s="216"/>
    </row>
    <row r="920" spans="1:70" ht="12.75" x14ac:dyDescent="0.2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214"/>
      <c r="L920" s="214"/>
      <c r="M920" s="215"/>
      <c r="N920" s="215"/>
      <c r="O920" s="216"/>
      <c r="P920" s="216"/>
      <c r="Q920" s="216"/>
      <c r="R920" s="216"/>
      <c r="S920" s="216"/>
      <c r="T920" s="216"/>
      <c r="U920" s="216"/>
      <c r="V920" s="216"/>
      <c r="W920" s="216"/>
      <c r="X920" s="216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  <c r="AJ920" s="216"/>
      <c r="AK920" s="216"/>
      <c r="AL920" s="216"/>
      <c r="AM920" s="216"/>
      <c r="AN920" s="216"/>
      <c r="AO920" s="216"/>
      <c r="AP920" s="216"/>
      <c r="AQ920" s="216"/>
      <c r="AR920" s="216"/>
      <c r="AS920" s="216"/>
      <c r="AT920" s="216"/>
      <c r="AU920" s="216"/>
      <c r="AV920" s="216"/>
      <c r="AW920" s="216"/>
      <c r="AX920" s="216"/>
      <c r="AY920" s="216"/>
      <c r="AZ920" s="216"/>
      <c r="BA920" s="216"/>
      <c r="BB920" s="216"/>
      <c r="BC920" s="216"/>
      <c r="BD920" s="216"/>
      <c r="BE920" s="216"/>
      <c r="BF920" s="216"/>
      <c r="BG920" s="216"/>
      <c r="BH920" s="216"/>
      <c r="BI920" s="216"/>
      <c r="BJ920" s="216"/>
      <c r="BK920" s="216"/>
      <c r="BL920" s="216"/>
      <c r="BM920" s="216"/>
      <c r="BN920" s="216"/>
      <c r="BO920" s="216"/>
      <c r="BP920" s="216"/>
      <c r="BQ920" s="216"/>
      <c r="BR920" s="216"/>
    </row>
    <row r="921" spans="1:70" ht="12.75" x14ac:dyDescent="0.2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214"/>
      <c r="L921" s="214"/>
      <c r="M921" s="215"/>
      <c r="N921" s="215"/>
      <c r="O921" s="216"/>
      <c r="P921" s="216"/>
      <c r="Q921" s="216"/>
      <c r="R921" s="216"/>
      <c r="S921" s="216"/>
      <c r="T921" s="216"/>
      <c r="U921" s="216"/>
      <c r="V921" s="216"/>
      <c r="W921" s="216"/>
      <c r="X921" s="216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  <c r="AJ921" s="216"/>
      <c r="AK921" s="216"/>
      <c r="AL921" s="216"/>
      <c r="AM921" s="216"/>
      <c r="AN921" s="216"/>
      <c r="AO921" s="216"/>
      <c r="AP921" s="216"/>
      <c r="AQ921" s="216"/>
      <c r="AR921" s="216"/>
      <c r="AS921" s="216"/>
      <c r="AT921" s="216"/>
      <c r="AU921" s="216"/>
      <c r="AV921" s="216"/>
      <c r="AW921" s="216"/>
      <c r="AX921" s="216"/>
      <c r="AY921" s="216"/>
      <c r="AZ921" s="216"/>
      <c r="BA921" s="216"/>
      <c r="BB921" s="216"/>
      <c r="BC921" s="216"/>
      <c r="BD921" s="216"/>
      <c r="BE921" s="216"/>
      <c r="BF921" s="216"/>
      <c r="BG921" s="216"/>
      <c r="BH921" s="216"/>
      <c r="BI921" s="216"/>
      <c r="BJ921" s="216"/>
      <c r="BK921" s="216"/>
      <c r="BL921" s="216"/>
      <c r="BM921" s="216"/>
      <c r="BN921" s="216"/>
      <c r="BO921" s="216"/>
      <c r="BP921" s="216"/>
      <c r="BQ921" s="216"/>
      <c r="BR921" s="216"/>
    </row>
    <row r="922" spans="1:70" ht="12.75" x14ac:dyDescent="0.2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214"/>
      <c r="L922" s="214"/>
      <c r="M922" s="215"/>
      <c r="N922" s="215"/>
      <c r="O922" s="216"/>
      <c r="P922" s="216"/>
      <c r="Q922" s="216"/>
      <c r="R922" s="216"/>
      <c r="S922" s="216"/>
      <c r="T922" s="216"/>
      <c r="U922" s="216"/>
      <c r="V922" s="216"/>
      <c r="W922" s="216"/>
      <c r="X922" s="216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  <c r="AJ922" s="216"/>
      <c r="AK922" s="216"/>
      <c r="AL922" s="216"/>
      <c r="AM922" s="216"/>
      <c r="AN922" s="216"/>
      <c r="AO922" s="216"/>
      <c r="AP922" s="216"/>
      <c r="AQ922" s="216"/>
      <c r="AR922" s="216"/>
      <c r="AS922" s="216"/>
      <c r="AT922" s="216"/>
      <c r="AU922" s="216"/>
      <c r="AV922" s="216"/>
      <c r="AW922" s="216"/>
      <c r="AX922" s="216"/>
      <c r="AY922" s="216"/>
      <c r="AZ922" s="216"/>
      <c r="BA922" s="216"/>
      <c r="BB922" s="216"/>
      <c r="BC922" s="216"/>
      <c r="BD922" s="216"/>
      <c r="BE922" s="216"/>
      <c r="BF922" s="216"/>
      <c r="BG922" s="216"/>
      <c r="BH922" s="216"/>
      <c r="BI922" s="216"/>
      <c r="BJ922" s="216"/>
      <c r="BK922" s="216"/>
      <c r="BL922" s="216"/>
      <c r="BM922" s="216"/>
      <c r="BN922" s="216"/>
      <c r="BO922" s="216"/>
      <c r="BP922" s="216"/>
      <c r="BQ922" s="216"/>
      <c r="BR922" s="216"/>
    </row>
    <row r="923" spans="1:70" ht="12.75" x14ac:dyDescent="0.2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214"/>
      <c r="L923" s="214"/>
      <c r="M923" s="215"/>
      <c r="N923" s="215"/>
      <c r="O923" s="216"/>
      <c r="P923" s="216"/>
      <c r="Q923" s="216"/>
      <c r="R923" s="216"/>
      <c r="S923" s="216"/>
      <c r="T923" s="216"/>
      <c r="U923" s="216"/>
      <c r="V923" s="216"/>
      <c r="W923" s="216"/>
      <c r="X923" s="216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  <c r="AJ923" s="216"/>
      <c r="AK923" s="216"/>
      <c r="AL923" s="216"/>
      <c r="AM923" s="216"/>
      <c r="AN923" s="216"/>
      <c r="AO923" s="216"/>
      <c r="AP923" s="216"/>
      <c r="AQ923" s="216"/>
      <c r="AR923" s="216"/>
      <c r="AS923" s="216"/>
      <c r="AT923" s="216"/>
      <c r="AU923" s="216"/>
      <c r="AV923" s="216"/>
      <c r="AW923" s="216"/>
      <c r="AX923" s="216"/>
      <c r="AY923" s="216"/>
      <c r="AZ923" s="216"/>
      <c r="BA923" s="216"/>
      <c r="BB923" s="216"/>
      <c r="BC923" s="216"/>
      <c r="BD923" s="216"/>
      <c r="BE923" s="216"/>
      <c r="BF923" s="216"/>
      <c r="BG923" s="216"/>
      <c r="BH923" s="216"/>
      <c r="BI923" s="216"/>
      <c r="BJ923" s="216"/>
      <c r="BK923" s="216"/>
      <c r="BL923" s="216"/>
      <c r="BM923" s="216"/>
      <c r="BN923" s="216"/>
      <c r="BO923" s="216"/>
      <c r="BP923" s="216"/>
      <c r="BQ923" s="216"/>
      <c r="BR923" s="216"/>
    </row>
    <row r="924" spans="1:70" ht="12.75" x14ac:dyDescent="0.2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214"/>
      <c r="L924" s="214"/>
      <c r="M924" s="215"/>
      <c r="N924" s="215"/>
      <c r="O924" s="216"/>
      <c r="P924" s="216"/>
      <c r="Q924" s="216"/>
      <c r="R924" s="216"/>
      <c r="S924" s="216"/>
      <c r="T924" s="216"/>
      <c r="U924" s="216"/>
      <c r="V924" s="216"/>
      <c r="W924" s="216"/>
      <c r="X924" s="216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  <c r="AJ924" s="216"/>
      <c r="AK924" s="216"/>
      <c r="AL924" s="216"/>
      <c r="AM924" s="216"/>
      <c r="AN924" s="216"/>
      <c r="AO924" s="216"/>
      <c r="AP924" s="216"/>
      <c r="AQ924" s="216"/>
      <c r="AR924" s="216"/>
      <c r="AS924" s="216"/>
      <c r="AT924" s="216"/>
      <c r="AU924" s="216"/>
      <c r="AV924" s="216"/>
      <c r="AW924" s="216"/>
      <c r="AX924" s="216"/>
      <c r="AY924" s="216"/>
      <c r="AZ924" s="216"/>
      <c r="BA924" s="216"/>
      <c r="BB924" s="216"/>
      <c r="BC924" s="216"/>
      <c r="BD924" s="216"/>
      <c r="BE924" s="216"/>
      <c r="BF924" s="216"/>
      <c r="BG924" s="216"/>
      <c r="BH924" s="216"/>
      <c r="BI924" s="216"/>
      <c r="BJ924" s="216"/>
      <c r="BK924" s="216"/>
      <c r="BL924" s="216"/>
      <c r="BM924" s="216"/>
      <c r="BN924" s="216"/>
      <c r="BO924" s="216"/>
      <c r="BP924" s="216"/>
      <c r="BQ924" s="216"/>
      <c r="BR924" s="216"/>
    </row>
    <row r="925" spans="1:70" ht="12.75" x14ac:dyDescent="0.2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214"/>
      <c r="L925" s="214"/>
      <c r="M925" s="215"/>
      <c r="N925" s="215"/>
      <c r="O925" s="216"/>
      <c r="P925" s="216"/>
      <c r="Q925" s="216"/>
      <c r="R925" s="216"/>
      <c r="S925" s="216"/>
      <c r="T925" s="216"/>
      <c r="U925" s="216"/>
      <c r="V925" s="216"/>
      <c r="W925" s="216"/>
      <c r="X925" s="216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  <c r="AJ925" s="216"/>
      <c r="AK925" s="216"/>
      <c r="AL925" s="216"/>
      <c r="AM925" s="216"/>
      <c r="AN925" s="216"/>
      <c r="AO925" s="216"/>
      <c r="AP925" s="216"/>
      <c r="AQ925" s="216"/>
      <c r="AR925" s="216"/>
      <c r="AS925" s="216"/>
      <c r="AT925" s="216"/>
      <c r="AU925" s="216"/>
      <c r="AV925" s="216"/>
      <c r="AW925" s="216"/>
      <c r="AX925" s="216"/>
      <c r="AY925" s="216"/>
      <c r="AZ925" s="216"/>
      <c r="BA925" s="216"/>
      <c r="BB925" s="216"/>
      <c r="BC925" s="216"/>
      <c r="BD925" s="216"/>
      <c r="BE925" s="216"/>
      <c r="BF925" s="216"/>
      <c r="BG925" s="216"/>
      <c r="BH925" s="216"/>
      <c r="BI925" s="216"/>
      <c r="BJ925" s="216"/>
      <c r="BK925" s="216"/>
      <c r="BL925" s="216"/>
      <c r="BM925" s="216"/>
      <c r="BN925" s="216"/>
      <c r="BO925" s="216"/>
      <c r="BP925" s="216"/>
      <c r="BQ925" s="216"/>
      <c r="BR925" s="216"/>
    </row>
    <row r="926" spans="1:70" ht="12.75" x14ac:dyDescent="0.2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214"/>
      <c r="L926" s="214"/>
      <c r="M926" s="215"/>
      <c r="N926" s="215"/>
      <c r="O926" s="216"/>
      <c r="P926" s="216"/>
      <c r="Q926" s="216"/>
      <c r="R926" s="216"/>
      <c r="S926" s="216"/>
      <c r="T926" s="216"/>
      <c r="U926" s="216"/>
      <c r="V926" s="216"/>
      <c r="W926" s="216"/>
      <c r="X926" s="216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  <c r="AJ926" s="216"/>
      <c r="AK926" s="216"/>
      <c r="AL926" s="216"/>
      <c r="AM926" s="216"/>
      <c r="AN926" s="216"/>
      <c r="AO926" s="216"/>
      <c r="AP926" s="216"/>
      <c r="AQ926" s="216"/>
      <c r="AR926" s="216"/>
      <c r="AS926" s="216"/>
      <c r="AT926" s="216"/>
      <c r="AU926" s="216"/>
      <c r="AV926" s="216"/>
      <c r="AW926" s="216"/>
      <c r="AX926" s="216"/>
      <c r="AY926" s="216"/>
      <c r="AZ926" s="216"/>
      <c r="BA926" s="216"/>
      <c r="BB926" s="216"/>
      <c r="BC926" s="216"/>
      <c r="BD926" s="216"/>
      <c r="BE926" s="216"/>
      <c r="BF926" s="216"/>
      <c r="BG926" s="216"/>
      <c r="BH926" s="216"/>
      <c r="BI926" s="216"/>
      <c r="BJ926" s="216"/>
      <c r="BK926" s="216"/>
      <c r="BL926" s="216"/>
      <c r="BM926" s="216"/>
      <c r="BN926" s="216"/>
      <c r="BO926" s="216"/>
      <c r="BP926" s="216"/>
      <c r="BQ926" s="216"/>
      <c r="BR926" s="216"/>
    </row>
    <row r="927" spans="1:70" ht="12.75" x14ac:dyDescent="0.2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214"/>
      <c r="L927" s="214"/>
      <c r="M927" s="215"/>
      <c r="N927" s="215"/>
      <c r="O927" s="216"/>
      <c r="P927" s="216"/>
      <c r="Q927" s="216"/>
      <c r="R927" s="216"/>
      <c r="S927" s="216"/>
      <c r="T927" s="216"/>
      <c r="U927" s="216"/>
      <c r="V927" s="216"/>
      <c r="W927" s="216"/>
      <c r="X927" s="216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  <c r="AJ927" s="216"/>
      <c r="AK927" s="216"/>
      <c r="AL927" s="216"/>
      <c r="AM927" s="216"/>
      <c r="AN927" s="216"/>
      <c r="AO927" s="216"/>
      <c r="AP927" s="216"/>
      <c r="AQ927" s="216"/>
      <c r="AR927" s="216"/>
      <c r="AS927" s="216"/>
      <c r="AT927" s="216"/>
      <c r="AU927" s="216"/>
      <c r="AV927" s="216"/>
      <c r="AW927" s="216"/>
      <c r="AX927" s="216"/>
      <c r="AY927" s="216"/>
      <c r="AZ927" s="216"/>
      <c r="BA927" s="216"/>
      <c r="BB927" s="216"/>
      <c r="BC927" s="216"/>
      <c r="BD927" s="216"/>
      <c r="BE927" s="216"/>
      <c r="BF927" s="216"/>
      <c r="BG927" s="216"/>
      <c r="BH927" s="216"/>
      <c r="BI927" s="216"/>
      <c r="BJ927" s="216"/>
      <c r="BK927" s="216"/>
      <c r="BL927" s="216"/>
      <c r="BM927" s="216"/>
      <c r="BN927" s="216"/>
      <c r="BO927" s="216"/>
      <c r="BP927" s="216"/>
      <c r="BQ927" s="216"/>
      <c r="BR927" s="216"/>
    </row>
    <row r="928" spans="1:70" ht="12.75" x14ac:dyDescent="0.2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214"/>
      <c r="L928" s="214"/>
      <c r="M928" s="215"/>
      <c r="N928" s="215"/>
      <c r="O928" s="216"/>
      <c r="P928" s="216"/>
      <c r="Q928" s="216"/>
      <c r="R928" s="216"/>
      <c r="S928" s="216"/>
      <c r="T928" s="216"/>
      <c r="U928" s="216"/>
      <c r="V928" s="216"/>
      <c r="W928" s="216"/>
      <c r="X928" s="216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  <c r="AJ928" s="216"/>
      <c r="AK928" s="216"/>
      <c r="AL928" s="216"/>
      <c r="AM928" s="216"/>
      <c r="AN928" s="216"/>
      <c r="AO928" s="216"/>
      <c r="AP928" s="216"/>
      <c r="AQ928" s="216"/>
      <c r="AR928" s="216"/>
      <c r="AS928" s="216"/>
      <c r="AT928" s="216"/>
      <c r="AU928" s="216"/>
      <c r="AV928" s="216"/>
      <c r="AW928" s="216"/>
      <c r="AX928" s="216"/>
      <c r="AY928" s="216"/>
      <c r="AZ928" s="216"/>
      <c r="BA928" s="216"/>
      <c r="BB928" s="216"/>
      <c r="BC928" s="216"/>
      <c r="BD928" s="216"/>
      <c r="BE928" s="216"/>
      <c r="BF928" s="216"/>
      <c r="BG928" s="216"/>
      <c r="BH928" s="216"/>
      <c r="BI928" s="216"/>
      <c r="BJ928" s="216"/>
      <c r="BK928" s="216"/>
      <c r="BL928" s="216"/>
      <c r="BM928" s="216"/>
      <c r="BN928" s="216"/>
      <c r="BO928" s="216"/>
      <c r="BP928" s="216"/>
      <c r="BQ928" s="216"/>
      <c r="BR928" s="216"/>
    </row>
    <row r="929" spans="1:70" ht="12.75" x14ac:dyDescent="0.2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214"/>
      <c r="L929" s="214"/>
      <c r="M929" s="215"/>
      <c r="N929" s="215"/>
      <c r="O929" s="216"/>
      <c r="P929" s="216"/>
      <c r="Q929" s="216"/>
      <c r="R929" s="216"/>
      <c r="S929" s="216"/>
      <c r="T929" s="216"/>
      <c r="U929" s="216"/>
      <c r="V929" s="216"/>
      <c r="W929" s="216"/>
      <c r="X929" s="216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  <c r="AJ929" s="216"/>
      <c r="AK929" s="216"/>
      <c r="AL929" s="216"/>
      <c r="AM929" s="216"/>
      <c r="AN929" s="216"/>
      <c r="AO929" s="216"/>
      <c r="AP929" s="216"/>
      <c r="AQ929" s="216"/>
      <c r="AR929" s="216"/>
      <c r="AS929" s="216"/>
      <c r="AT929" s="216"/>
      <c r="AU929" s="216"/>
      <c r="AV929" s="216"/>
      <c r="AW929" s="216"/>
      <c r="AX929" s="216"/>
      <c r="AY929" s="216"/>
      <c r="AZ929" s="216"/>
      <c r="BA929" s="216"/>
      <c r="BB929" s="216"/>
      <c r="BC929" s="216"/>
      <c r="BD929" s="216"/>
      <c r="BE929" s="216"/>
      <c r="BF929" s="216"/>
      <c r="BG929" s="216"/>
      <c r="BH929" s="216"/>
      <c r="BI929" s="216"/>
      <c r="BJ929" s="216"/>
      <c r="BK929" s="216"/>
      <c r="BL929" s="216"/>
      <c r="BM929" s="216"/>
      <c r="BN929" s="216"/>
      <c r="BO929" s="216"/>
      <c r="BP929" s="216"/>
      <c r="BQ929" s="216"/>
      <c r="BR929" s="216"/>
    </row>
    <row r="930" spans="1:70" ht="12.75" x14ac:dyDescent="0.2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214"/>
      <c r="L930" s="214"/>
      <c r="M930" s="215"/>
      <c r="N930" s="215"/>
      <c r="O930" s="216"/>
      <c r="P930" s="216"/>
      <c r="Q930" s="216"/>
      <c r="R930" s="216"/>
      <c r="S930" s="216"/>
      <c r="T930" s="216"/>
      <c r="U930" s="216"/>
      <c r="V930" s="216"/>
      <c r="W930" s="216"/>
      <c r="X930" s="216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  <c r="AJ930" s="216"/>
      <c r="AK930" s="216"/>
      <c r="AL930" s="216"/>
      <c r="AM930" s="216"/>
      <c r="AN930" s="216"/>
      <c r="AO930" s="216"/>
      <c r="AP930" s="216"/>
      <c r="AQ930" s="216"/>
      <c r="AR930" s="216"/>
      <c r="AS930" s="216"/>
      <c r="AT930" s="216"/>
      <c r="AU930" s="216"/>
      <c r="AV930" s="216"/>
      <c r="AW930" s="216"/>
      <c r="AX930" s="216"/>
      <c r="AY930" s="216"/>
      <c r="AZ930" s="216"/>
      <c r="BA930" s="216"/>
      <c r="BB930" s="216"/>
      <c r="BC930" s="216"/>
      <c r="BD930" s="216"/>
      <c r="BE930" s="216"/>
      <c r="BF930" s="216"/>
      <c r="BG930" s="216"/>
      <c r="BH930" s="216"/>
      <c r="BI930" s="216"/>
      <c r="BJ930" s="216"/>
      <c r="BK930" s="216"/>
      <c r="BL930" s="216"/>
      <c r="BM930" s="216"/>
      <c r="BN930" s="216"/>
      <c r="BO930" s="216"/>
      <c r="BP930" s="216"/>
      <c r="BQ930" s="216"/>
      <c r="BR930" s="216"/>
    </row>
    <row r="931" spans="1:70" ht="12.75" x14ac:dyDescent="0.2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214"/>
      <c r="L931" s="214"/>
      <c r="M931" s="215"/>
      <c r="N931" s="215"/>
      <c r="O931" s="216"/>
      <c r="P931" s="216"/>
      <c r="Q931" s="216"/>
      <c r="R931" s="216"/>
      <c r="S931" s="216"/>
      <c r="T931" s="216"/>
      <c r="U931" s="216"/>
      <c r="V931" s="216"/>
      <c r="W931" s="216"/>
      <c r="X931" s="216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  <c r="AJ931" s="216"/>
      <c r="AK931" s="216"/>
      <c r="AL931" s="216"/>
      <c r="AM931" s="216"/>
      <c r="AN931" s="216"/>
      <c r="AO931" s="216"/>
      <c r="AP931" s="216"/>
      <c r="AQ931" s="216"/>
      <c r="AR931" s="216"/>
      <c r="AS931" s="216"/>
      <c r="AT931" s="216"/>
      <c r="AU931" s="216"/>
      <c r="AV931" s="216"/>
      <c r="AW931" s="216"/>
      <c r="AX931" s="216"/>
      <c r="AY931" s="216"/>
      <c r="AZ931" s="216"/>
      <c r="BA931" s="216"/>
      <c r="BB931" s="216"/>
      <c r="BC931" s="216"/>
      <c r="BD931" s="216"/>
      <c r="BE931" s="216"/>
      <c r="BF931" s="216"/>
      <c r="BG931" s="216"/>
      <c r="BH931" s="216"/>
      <c r="BI931" s="216"/>
      <c r="BJ931" s="216"/>
      <c r="BK931" s="216"/>
      <c r="BL931" s="216"/>
      <c r="BM931" s="216"/>
      <c r="BN931" s="216"/>
      <c r="BO931" s="216"/>
      <c r="BP931" s="216"/>
      <c r="BQ931" s="216"/>
      <c r="BR931" s="216"/>
    </row>
    <row r="932" spans="1:70" ht="12.75" x14ac:dyDescent="0.2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214"/>
      <c r="L932" s="214"/>
      <c r="M932" s="215"/>
      <c r="N932" s="215"/>
      <c r="O932" s="216"/>
      <c r="P932" s="216"/>
      <c r="Q932" s="216"/>
      <c r="R932" s="216"/>
      <c r="S932" s="216"/>
      <c r="T932" s="216"/>
      <c r="U932" s="216"/>
      <c r="V932" s="216"/>
      <c r="W932" s="216"/>
      <c r="X932" s="216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  <c r="AJ932" s="216"/>
      <c r="AK932" s="216"/>
      <c r="AL932" s="216"/>
      <c r="AM932" s="216"/>
      <c r="AN932" s="216"/>
      <c r="AO932" s="216"/>
      <c r="AP932" s="216"/>
      <c r="AQ932" s="216"/>
      <c r="AR932" s="216"/>
      <c r="AS932" s="216"/>
      <c r="AT932" s="216"/>
      <c r="AU932" s="216"/>
      <c r="AV932" s="216"/>
      <c r="AW932" s="216"/>
      <c r="AX932" s="216"/>
      <c r="AY932" s="216"/>
      <c r="AZ932" s="216"/>
      <c r="BA932" s="216"/>
      <c r="BB932" s="216"/>
      <c r="BC932" s="216"/>
      <c r="BD932" s="216"/>
      <c r="BE932" s="216"/>
      <c r="BF932" s="216"/>
      <c r="BG932" s="216"/>
      <c r="BH932" s="216"/>
      <c r="BI932" s="216"/>
      <c r="BJ932" s="216"/>
      <c r="BK932" s="216"/>
      <c r="BL932" s="216"/>
      <c r="BM932" s="216"/>
      <c r="BN932" s="216"/>
      <c r="BO932" s="216"/>
      <c r="BP932" s="216"/>
      <c r="BQ932" s="216"/>
      <c r="BR932" s="216"/>
    </row>
    <row r="933" spans="1:70" ht="12.75" x14ac:dyDescent="0.2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214"/>
      <c r="L933" s="214"/>
      <c r="M933" s="215"/>
      <c r="N933" s="215"/>
      <c r="O933" s="216"/>
      <c r="P933" s="216"/>
      <c r="Q933" s="216"/>
      <c r="R933" s="216"/>
      <c r="S933" s="216"/>
      <c r="T933" s="216"/>
      <c r="U933" s="216"/>
      <c r="V933" s="216"/>
      <c r="W933" s="216"/>
      <c r="X933" s="216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  <c r="AJ933" s="216"/>
      <c r="AK933" s="216"/>
      <c r="AL933" s="216"/>
      <c r="AM933" s="216"/>
      <c r="AN933" s="216"/>
      <c r="AO933" s="216"/>
      <c r="AP933" s="216"/>
      <c r="AQ933" s="216"/>
      <c r="AR933" s="216"/>
      <c r="AS933" s="216"/>
      <c r="AT933" s="216"/>
      <c r="AU933" s="216"/>
      <c r="AV933" s="216"/>
      <c r="AW933" s="216"/>
      <c r="AX933" s="216"/>
      <c r="AY933" s="216"/>
      <c r="AZ933" s="216"/>
      <c r="BA933" s="216"/>
      <c r="BB933" s="216"/>
      <c r="BC933" s="216"/>
      <c r="BD933" s="216"/>
      <c r="BE933" s="216"/>
      <c r="BF933" s="216"/>
      <c r="BG933" s="216"/>
      <c r="BH933" s="216"/>
      <c r="BI933" s="216"/>
      <c r="BJ933" s="216"/>
      <c r="BK933" s="216"/>
      <c r="BL933" s="216"/>
      <c r="BM933" s="216"/>
      <c r="BN933" s="216"/>
      <c r="BO933" s="216"/>
      <c r="BP933" s="216"/>
      <c r="BQ933" s="216"/>
      <c r="BR933" s="216"/>
    </row>
    <row r="934" spans="1:70" ht="12.75" x14ac:dyDescent="0.2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214"/>
      <c r="L934" s="214"/>
      <c r="M934" s="215"/>
      <c r="N934" s="215"/>
      <c r="O934" s="216"/>
      <c r="P934" s="216"/>
      <c r="Q934" s="216"/>
      <c r="R934" s="216"/>
      <c r="S934" s="216"/>
      <c r="T934" s="216"/>
      <c r="U934" s="216"/>
      <c r="V934" s="216"/>
      <c r="W934" s="216"/>
      <c r="X934" s="216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  <c r="AJ934" s="216"/>
      <c r="AK934" s="216"/>
      <c r="AL934" s="216"/>
      <c r="AM934" s="216"/>
      <c r="AN934" s="216"/>
      <c r="AO934" s="216"/>
      <c r="AP934" s="216"/>
      <c r="AQ934" s="216"/>
      <c r="AR934" s="216"/>
      <c r="AS934" s="216"/>
      <c r="AT934" s="216"/>
      <c r="AU934" s="216"/>
      <c r="AV934" s="216"/>
      <c r="AW934" s="216"/>
      <c r="AX934" s="216"/>
      <c r="AY934" s="216"/>
      <c r="AZ934" s="216"/>
      <c r="BA934" s="216"/>
      <c r="BB934" s="216"/>
      <c r="BC934" s="216"/>
      <c r="BD934" s="216"/>
      <c r="BE934" s="216"/>
      <c r="BF934" s="216"/>
      <c r="BG934" s="216"/>
      <c r="BH934" s="216"/>
      <c r="BI934" s="216"/>
      <c r="BJ934" s="216"/>
      <c r="BK934" s="216"/>
      <c r="BL934" s="216"/>
      <c r="BM934" s="216"/>
      <c r="BN934" s="216"/>
      <c r="BO934" s="216"/>
      <c r="BP934" s="216"/>
      <c r="BQ934" s="216"/>
      <c r="BR934" s="216"/>
    </row>
    <row r="935" spans="1:70" ht="12.75" x14ac:dyDescent="0.2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214"/>
      <c r="L935" s="214"/>
      <c r="M935" s="215"/>
      <c r="N935" s="215"/>
      <c r="O935" s="216"/>
      <c r="P935" s="216"/>
      <c r="Q935" s="216"/>
      <c r="R935" s="216"/>
      <c r="S935" s="216"/>
      <c r="T935" s="216"/>
      <c r="U935" s="216"/>
      <c r="V935" s="216"/>
      <c r="W935" s="216"/>
      <c r="X935" s="216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  <c r="AJ935" s="216"/>
      <c r="AK935" s="216"/>
      <c r="AL935" s="216"/>
      <c r="AM935" s="216"/>
      <c r="AN935" s="216"/>
      <c r="AO935" s="216"/>
      <c r="AP935" s="216"/>
      <c r="AQ935" s="216"/>
      <c r="AR935" s="216"/>
      <c r="AS935" s="216"/>
      <c r="AT935" s="216"/>
      <c r="AU935" s="216"/>
      <c r="AV935" s="216"/>
      <c r="AW935" s="216"/>
      <c r="AX935" s="216"/>
      <c r="AY935" s="216"/>
      <c r="AZ935" s="216"/>
      <c r="BA935" s="216"/>
      <c r="BB935" s="216"/>
      <c r="BC935" s="216"/>
      <c r="BD935" s="216"/>
      <c r="BE935" s="216"/>
      <c r="BF935" s="216"/>
      <c r="BG935" s="216"/>
      <c r="BH935" s="216"/>
      <c r="BI935" s="216"/>
      <c r="BJ935" s="216"/>
      <c r="BK935" s="216"/>
      <c r="BL935" s="216"/>
      <c r="BM935" s="216"/>
      <c r="BN935" s="216"/>
      <c r="BO935" s="216"/>
      <c r="BP935" s="216"/>
      <c r="BQ935" s="216"/>
      <c r="BR935" s="216"/>
    </row>
    <row r="936" spans="1:70" ht="12.75" x14ac:dyDescent="0.2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214"/>
      <c r="L936" s="214"/>
      <c r="M936" s="215"/>
      <c r="N936" s="215"/>
      <c r="O936" s="216"/>
      <c r="P936" s="216"/>
      <c r="Q936" s="216"/>
      <c r="R936" s="216"/>
      <c r="S936" s="216"/>
      <c r="T936" s="216"/>
      <c r="U936" s="216"/>
      <c r="V936" s="216"/>
      <c r="W936" s="216"/>
      <c r="X936" s="216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  <c r="AJ936" s="216"/>
      <c r="AK936" s="216"/>
      <c r="AL936" s="216"/>
      <c r="AM936" s="216"/>
      <c r="AN936" s="216"/>
      <c r="AO936" s="216"/>
      <c r="AP936" s="216"/>
      <c r="AQ936" s="216"/>
      <c r="AR936" s="216"/>
      <c r="AS936" s="216"/>
      <c r="AT936" s="216"/>
      <c r="AU936" s="216"/>
      <c r="AV936" s="216"/>
      <c r="AW936" s="216"/>
      <c r="AX936" s="216"/>
      <c r="AY936" s="216"/>
      <c r="AZ936" s="216"/>
      <c r="BA936" s="216"/>
      <c r="BB936" s="216"/>
      <c r="BC936" s="216"/>
      <c r="BD936" s="216"/>
      <c r="BE936" s="216"/>
      <c r="BF936" s="216"/>
      <c r="BG936" s="216"/>
      <c r="BH936" s="216"/>
      <c r="BI936" s="216"/>
      <c r="BJ936" s="216"/>
      <c r="BK936" s="216"/>
      <c r="BL936" s="216"/>
      <c r="BM936" s="216"/>
      <c r="BN936" s="216"/>
      <c r="BO936" s="216"/>
      <c r="BP936" s="216"/>
      <c r="BQ936" s="216"/>
      <c r="BR936" s="216"/>
    </row>
    <row r="937" spans="1:70" ht="12.75" x14ac:dyDescent="0.2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214"/>
      <c r="L937" s="214"/>
      <c r="M937" s="215"/>
      <c r="N937" s="215"/>
      <c r="O937" s="216"/>
      <c r="P937" s="216"/>
      <c r="Q937" s="216"/>
      <c r="R937" s="216"/>
      <c r="S937" s="216"/>
      <c r="T937" s="216"/>
      <c r="U937" s="216"/>
      <c r="V937" s="216"/>
      <c r="W937" s="216"/>
      <c r="X937" s="216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  <c r="AJ937" s="216"/>
      <c r="AK937" s="216"/>
      <c r="AL937" s="216"/>
      <c r="AM937" s="216"/>
      <c r="AN937" s="216"/>
      <c r="AO937" s="216"/>
      <c r="AP937" s="216"/>
      <c r="AQ937" s="216"/>
      <c r="AR937" s="216"/>
      <c r="AS937" s="216"/>
      <c r="AT937" s="216"/>
      <c r="AU937" s="216"/>
      <c r="AV937" s="216"/>
      <c r="AW937" s="216"/>
      <c r="AX937" s="216"/>
      <c r="AY937" s="216"/>
      <c r="AZ937" s="216"/>
      <c r="BA937" s="216"/>
      <c r="BB937" s="216"/>
      <c r="BC937" s="216"/>
      <c r="BD937" s="216"/>
      <c r="BE937" s="216"/>
      <c r="BF937" s="216"/>
      <c r="BG937" s="216"/>
      <c r="BH937" s="216"/>
      <c r="BI937" s="216"/>
      <c r="BJ937" s="216"/>
      <c r="BK937" s="216"/>
      <c r="BL937" s="216"/>
      <c r="BM937" s="216"/>
      <c r="BN937" s="216"/>
      <c r="BO937" s="216"/>
      <c r="BP937" s="216"/>
      <c r="BQ937" s="216"/>
      <c r="BR937" s="216"/>
    </row>
    <row r="938" spans="1:70" ht="12.75" x14ac:dyDescent="0.2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214"/>
      <c r="L938" s="214"/>
      <c r="M938" s="215"/>
      <c r="N938" s="215"/>
      <c r="O938" s="216"/>
      <c r="P938" s="216"/>
      <c r="Q938" s="216"/>
      <c r="R938" s="216"/>
      <c r="S938" s="216"/>
      <c r="T938" s="216"/>
      <c r="U938" s="216"/>
      <c r="V938" s="216"/>
      <c r="W938" s="216"/>
      <c r="X938" s="216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  <c r="AJ938" s="216"/>
      <c r="AK938" s="216"/>
      <c r="AL938" s="216"/>
      <c r="AM938" s="216"/>
      <c r="AN938" s="216"/>
      <c r="AO938" s="216"/>
      <c r="AP938" s="216"/>
      <c r="AQ938" s="216"/>
      <c r="AR938" s="216"/>
      <c r="AS938" s="216"/>
      <c r="AT938" s="216"/>
      <c r="AU938" s="216"/>
      <c r="AV938" s="216"/>
      <c r="AW938" s="216"/>
      <c r="AX938" s="216"/>
      <c r="AY938" s="216"/>
      <c r="AZ938" s="216"/>
      <c r="BA938" s="216"/>
      <c r="BB938" s="216"/>
      <c r="BC938" s="216"/>
      <c r="BD938" s="216"/>
      <c r="BE938" s="216"/>
      <c r="BF938" s="216"/>
      <c r="BG938" s="216"/>
      <c r="BH938" s="216"/>
      <c r="BI938" s="216"/>
      <c r="BJ938" s="216"/>
      <c r="BK938" s="216"/>
      <c r="BL938" s="216"/>
      <c r="BM938" s="216"/>
      <c r="BN938" s="216"/>
      <c r="BO938" s="216"/>
      <c r="BP938" s="216"/>
      <c r="BQ938" s="216"/>
      <c r="BR938" s="216"/>
    </row>
    <row r="939" spans="1:70" ht="12.75" x14ac:dyDescent="0.2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214"/>
      <c r="L939" s="214"/>
      <c r="M939" s="215"/>
      <c r="N939" s="215"/>
      <c r="O939" s="216"/>
      <c r="P939" s="216"/>
      <c r="Q939" s="216"/>
      <c r="R939" s="216"/>
      <c r="S939" s="216"/>
      <c r="T939" s="216"/>
      <c r="U939" s="216"/>
      <c r="V939" s="216"/>
      <c r="W939" s="216"/>
      <c r="X939" s="216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16"/>
      <c r="AN939" s="216"/>
      <c r="AO939" s="216"/>
      <c r="AP939" s="216"/>
      <c r="AQ939" s="216"/>
      <c r="AR939" s="216"/>
      <c r="AS939" s="216"/>
      <c r="AT939" s="216"/>
      <c r="AU939" s="216"/>
      <c r="AV939" s="216"/>
      <c r="AW939" s="216"/>
      <c r="AX939" s="216"/>
      <c r="AY939" s="216"/>
      <c r="AZ939" s="216"/>
      <c r="BA939" s="216"/>
      <c r="BB939" s="216"/>
      <c r="BC939" s="216"/>
      <c r="BD939" s="216"/>
      <c r="BE939" s="216"/>
      <c r="BF939" s="216"/>
      <c r="BG939" s="216"/>
      <c r="BH939" s="216"/>
      <c r="BI939" s="216"/>
      <c r="BJ939" s="216"/>
      <c r="BK939" s="216"/>
      <c r="BL939" s="216"/>
      <c r="BM939" s="216"/>
      <c r="BN939" s="216"/>
      <c r="BO939" s="216"/>
      <c r="BP939" s="216"/>
      <c r="BQ939" s="216"/>
      <c r="BR939" s="216"/>
    </row>
    <row r="940" spans="1:70" ht="12.75" x14ac:dyDescent="0.2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214"/>
      <c r="L940" s="214"/>
      <c r="M940" s="215"/>
      <c r="N940" s="215"/>
      <c r="O940" s="216"/>
      <c r="P940" s="216"/>
      <c r="Q940" s="216"/>
      <c r="R940" s="216"/>
      <c r="S940" s="216"/>
      <c r="T940" s="216"/>
      <c r="U940" s="216"/>
      <c r="V940" s="216"/>
      <c r="W940" s="216"/>
      <c r="X940" s="216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16"/>
      <c r="AN940" s="216"/>
      <c r="AO940" s="216"/>
      <c r="AP940" s="216"/>
      <c r="AQ940" s="216"/>
      <c r="AR940" s="216"/>
      <c r="AS940" s="216"/>
      <c r="AT940" s="216"/>
      <c r="AU940" s="216"/>
      <c r="AV940" s="216"/>
      <c r="AW940" s="216"/>
      <c r="AX940" s="216"/>
      <c r="AY940" s="216"/>
      <c r="AZ940" s="216"/>
      <c r="BA940" s="216"/>
      <c r="BB940" s="216"/>
      <c r="BC940" s="216"/>
      <c r="BD940" s="216"/>
      <c r="BE940" s="216"/>
      <c r="BF940" s="216"/>
      <c r="BG940" s="216"/>
      <c r="BH940" s="216"/>
      <c r="BI940" s="216"/>
      <c r="BJ940" s="216"/>
      <c r="BK940" s="216"/>
      <c r="BL940" s="216"/>
      <c r="BM940" s="216"/>
      <c r="BN940" s="216"/>
      <c r="BO940" s="216"/>
      <c r="BP940" s="216"/>
      <c r="BQ940" s="216"/>
      <c r="BR940" s="216"/>
    </row>
    <row r="941" spans="1:70" ht="12.75" x14ac:dyDescent="0.2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214"/>
      <c r="L941" s="214"/>
      <c r="M941" s="215"/>
      <c r="N941" s="215"/>
      <c r="O941" s="216"/>
      <c r="P941" s="216"/>
      <c r="Q941" s="216"/>
      <c r="R941" s="216"/>
      <c r="S941" s="216"/>
      <c r="T941" s="216"/>
      <c r="U941" s="216"/>
      <c r="V941" s="216"/>
      <c r="W941" s="216"/>
      <c r="X941" s="216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16"/>
      <c r="AN941" s="216"/>
      <c r="AO941" s="216"/>
      <c r="AP941" s="216"/>
      <c r="AQ941" s="216"/>
      <c r="AR941" s="216"/>
      <c r="AS941" s="216"/>
      <c r="AT941" s="216"/>
      <c r="AU941" s="216"/>
      <c r="AV941" s="216"/>
      <c r="AW941" s="216"/>
      <c r="AX941" s="216"/>
      <c r="AY941" s="216"/>
      <c r="AZ941" s="216"/>
      <c r="BA941" s="216"/>
      <c r="BB941" s="216"/>
      <c r="BC941" s="216"/>
      <c r="BD941" s="216"/>
      <c r="BE941" s="216"/>
      <c r="BF941" s="216"/>
      <c r="BG941" s="216"/>
      <c r="BH941" s="216"/>
      <c r="BI941" s="216"/>
      <c r="BJ941" s="216"/>
      <c r="BK941" s="216"/>
      <c r="BL941" s="216"/>
      <c r="BM941" s="216"/>
      <c r="BN941" s="216"/>
      <c r="BO941" s="216"/>
      <c r="BP941" s="216"/>
      <c r="BQ941" s="216"/>
      <c r="BR941" s="216"/>
    </row>
    <row r="942" spans="1:70" ht="12.75" x14ac:dyDescent="0.2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214"/>
      <c r="L942" s="214"/>
      <c r="M942" s="215"/>
      <c r="N942" s="215"/>
      <c r="O942" s="216"/>
      <c r="P942" s="216"/>
      <c r="Q942" s="216"/>
      <c r="R942" s="216"/>
      <c r="S942" s="216"/>
      <c r="T942" s="216"/>
      <c r="U942" s="216"/>
      <c r="V942" s="216"/>
      <c r="W942" s="216"/>
      <c r="X942" s="216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16"/>
      <c r="AN942" s="216"/>
      <c r="AO942" s="216"/>
      <c r="AP942" s="216"/>
      <c r="AQ942" s="216"/>
      <c r="AR942" s="216"/>
      <c r="AS942" s="216"/>
      <c r="AT942" s="216"/>
      <c r="AU942" s="216"/>
      <c r="AV942" s="216"/>
      <c r="AW942" s="216"/>
      <c r="AX942" s="216"/>
      <c r="AY942" s="216"/>
      <c r="AZ942" s="216"/>
      <c r="BA942" s="216"/>
      <c r="BB942" s="216"/>
      <c r="BC942" s="216"/>
      <c r="BD942" s="216"/>
      <c r="BE942" s="216"/>
      <c r="BF942" s="216"/>
      <c r="BG942" s="216"/>
      <c r="BH942" s="216"/>
      <c r="BI942" s="216"/>
      <c r="BJ942" s="216"/>
      <c r="BK942" s="216"/>
      <c r="BL942" s="216"/>
      <c r="BM942" s="216"/>
      <c r="BN942" s="216"/>
      <c r="BO942" s="216"/>
      <c r="BP942" s="216"/>
      <c r="BQ942" s="216"/>
      <c r="BR942" s="216"/>
    </row>
    <row r="943" spans="1:70" ht="12.75" x14ac:dyDescent="0.2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214"/>
      <c r="L943" s="214"/>
      <c r="M943" s="215"/>
      <c r="N943" s="215"/>
      <c r="O943" s="216"/>
      <c r="P943" s="216"/>
      <c r="Q943" s="216"/>
      <c r="R943" s="216"/>
      <c r="S943" s="216"/>
      <c r="T943" s="216"/>
      <c r="U943" s="216"/>
      <c r="V943" s="216"/>
      <c r="W943" s="216"/>
      <c r="X943" s="216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16"/>
      <c r="AN943" s="216"/>
      <c r="AO943" s="216"/>
      <c r="AP943" s="216"/>
      <c r="AQ943" s="216"/>
      <c r="AR943" s="216"/>
      <c r="AS943" s="216"/>
      <c r="AT943" s="216"/>
      <c r="AU943" s="216"/>
      <c r="AV943" s="216"/>
      <c r="AW943" s="216"/>
      <c r="AX943" s="216"/>
      <c r="AY943" s="216"/>
      <c r="AZ943" s="216"/>
      <c r="BA943" s="216"/>
      <c r="BB943" s="216"/>
      <c r="BC943" s="216"/>
      <c r="BD943" s="216"/>
      <c r="BE943" s="216"/>
      <c r="BF943" s="216"/>
      <c r="BG943" s="216"/>
      <c r="BH943" s="216"/>
      <c r="BI943" s="216"/>
      <c r="BJ943" s="216"/>
      <c r="BK943" s="216"/>
      <c r="BL943" s="216"/>
      <c r="BM943" s="216"/>
      <c r="BN943" s="216"/>
      <c r="BO943" s="216"/>
      <c r="BP943" s="216"/>
      <c r="BQ943" s="216"/>
      <c r="BR943" s="216"/>
    </row>
    <row r="944" spans="1:70" ht="12.75" x14ac:dyDescent="0.2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214"/>
      <c r="L944" s="214"/>
      <c r="M944" s="215"/>
      <c r="N944" s="215"/>
      <c r="O944" s="216"/>
      <c r="P944" s="216"/>
      <c r="Q944" s="216"/>
      <c r="R944" s="216"/>
      <c r="S944" s="216"/>
      <c r="T944" s="216"/>
      <c r="U944" s="216"/>
      <c r="V944" s="216"/>
      <c r="W944" s="216"/>
      <c r="X944" s="216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16"/>
      <c r="AN944" s="216"/>
      <c r="AO944" s="216"/>
      <c r="AP944" s="216"/>
      <c r="AQ944" s="216"/>
      <c r="AR944" s="216"/>
      <c r="AS944" s="216"/>
      <c r="AT944" s="216"/>
      <c r="AU944" s="216"/>
      <c r="AV944" s="216"/>
      <c r="AW944" s="216"/>
      <c r="AX944" s="216"/>
      <c r="AY944" s="216"/>
      <c r="AZ944" s="216"/>
      <c r="BA944" s="216"/>
      <c r="BB944" s="216"/>
      <c r="BC944" s="216"/>
      <c r="BD944" s="216"/>
      <c r="BE944" s="216"/>
      <c r="BF944" s="216"/>
      <c r="BG944" s="216"/>
      <c r="BH944" s="216"/>
      <c r="BI944" s="216"/>
      <c r="BJ944" s="216"/>
      <c r="BK944" s="216"/>
      <c r="BL944" s="216"/>
      <c r="BM944" s="216"/>
      <c r="BN944" s="216"/>
      <c r="BO944" s="216"/>
      <c r="BP944" s="216"/>
      <c r="BQ944" s="216"/>
      <c r="BR944" s="216"/>
    </row>
    <row r="945" spans="1:70" ht="12.75" x14ac:dyDescent="0.2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214"/>
      <c r="L945" s="214"/>
      <c r="M945" s="215"/>
      <c r="N945" s="215"/>
      <c r="O945" s="216"/>
      <c r="P945" s="216"/>
      <c r="Q945" s="216"/>
      <c r="R945" s="216"/>
      <c r="S945" s="216"/>
      <c r="T945" s="216"/>
      <c r="U945" s="216"/>
      <c r="V945" s="216"/>
      <c r="W945" s="216"/>
      <c r="X945" s="216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16"/>
      <c r="AN945" s="216"/>
      <c r="AO945" s="216"/>
      <c r="AP945" s="216"/>
      <c r="AQ945" s="216"/>
      <c r="AR945" s="216"/>
      <c r="AS945" s="216"/>
      <c r="AT945" s="216"/>
      <c r="AU945" s="216"/>
      <c r="AV945" s="216"/>
      <c r="AW945" s="216"/>
      <c r="AX945" s="216"/>
      <c r="AY945" s="216"/>
      <c r="AZ945" s="216"/>
      <c r="BA945" s="216"/>
      <c r="BB945" s="216"/>
      <c r="BC945" s="216"/>
      <c r="BD945" s="216"/>
      <c r="BE945" s="216"/>
      <c r="BF945" s="216"/>
      <c r="BG945" s="216"/>
      <c r="BH945" s="216"/>
      <c r="BI945" s="216"/>
      <c r="BJ945" s="216"/>
      <c r="BK945" s="216"/>
      <c r="BL945" s="216"/>
      <c r="BM945" s="216"/>
      <c r="BN945" s="216"/>
      <c r="BO945" s="216"/>
      <c r="BP945" s="216"/>
      <c r="BQ945" s="216"/>
      <c r="BR945" s="216"/>
    </row>
    <row r="946" spans="1:70" ht="12.75" x14ac:dyDescent="0.2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214"/>
      <c r="L946" s="214"/>
      <c r="M946" s="215"/>
      <c r="N946" s="215"/>
      <c r="O946" s="216"/>
      <c r="P946" s="216"/>
      <c r="Q946" s="216"/>
      <c r="R946" s="216"/>
      <c r="S946" s="216"/>
      <c r="T946" s="216"/>
      <c r="U946" s="216"/>
      <c r="V946" s="216"/>
      <c r="W946" s="216"/>
      <c r="X946" s="216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16"/>
      <c r="AN946" s="216"/>
      <c r="AO946" s="216"/>
      <c r="AP946" s="216"/>
      <c r="AQ946" s="216"/>
      <c r="AR946" s="216"/>
      <c r="AS946" s="216"/>
      <c r="AT946" s="216"/>
      <c r="AU946" s="216"/>
      <c r="AV946" s="216"/>
      <c r="AW946" s="216"/>
      <c r="AX946" s="216"/>
      <c r="AY946" s="216"/>
      <c r="AZ946" s="216"/>
      <c r="BA946" s="216"/>
      <c r="BB946" s="216"/>
      <c r="BC946" s="216"/>
      <c r="BD946" s="216"/>
      <c r="BE946" s="216"/>
      <c r="BF946" s="216"/>
      <c r="BG946" s="216"/>
      <c r="BH946" s="216"/>
      <c r="BI946" s="216"/>
      <c r="BJ946" s="216"/>
      <c r="BK946" s="216"/>
      <c r="BL946" s="216"/>
      <c r="BM946" s="216"/>
      <c r="BN946" s="216"/>
      <c r="BO946" s="216"/>
      <c r="BP946" s="216"/>
      <c r="BQ946" s="216"/>
      <c r="BR946" s="216"/>
    </row>
    <row r="947" spans="1:70" ht="12.75" x14ac:dyDescent="0.2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214"/>
      <c r="L947" s="214"/>
      <c r="M947" s="215"/>
      <c r="N947" s="215"/>
      <c r="O947" s="216"/>
      <c r="P947" s="216"/>
      <c r="Q947" s="216"/>
      <c r="R947" s="216"/>
      <c r="S947" s="216"/>
      <c r="T947" s="216"/>
      <c r="U947" s="216"/>
      <c r="V947" s="216"/>
      <c r="W947" s="216"/>
      <c r="X947" s="216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16"/>
      <c r="AN947" s="216"/>
      <c r="AO947" s="216"/>
      <c r="AP947" s="216"/>
      <c r="AQ947" s="216"/>
      <c r="AR947" s="216"/>
      <c r="AS947" s="216"/>
      <c r="AT947" s="216"/>
      <c r="AU947" s="216"/>
      <c r="AV947" s="216"/>
      <c r="AW947" s="216"/>
      <c r="AX947" s="216"/>
      <c r="AY947" s="216"/>
      <c r="AZ947" s="216"/>
      <c r="BA947" s="216"/>
      <c r="BB947" s="216"/>
      <c r="BC947" s="216"/>
      <c r="BD947" s="216"/>
      <c r="BE947" s="216"/>
      <c r="BF947" s="216"/>
      <c r="BG947" s="216"/>
      <c r="BH947" s="216"/>
      <c r="BI947" s="216"/>
      <c r="BJ947" s="216"/>
      <c r="BK947" s="216"/>
      <c r="BL947" s="216"/>
      <c r="BM947" s="216"/>
      <c r="BN947" s="216"/>
      <c r="BO947" s="216"/>
      <c r="BP947" s="216"/>
      <c r="BQ947" s="216"/>
      <c r="BR947" s="216"/>
    </row>
    <row r="948" spans="1:70" ht="12.75" x14ac:dyDescent="0.2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214"/>
      <c r="L948" s="214"/>
      <c r="M948" s="215"/>
      <c r="N948" s="215"/>
      <c r="O948" s="216"/>
      <c r="P948" s="216"/>
      <c r="Q948" s="216"/>
      <c r="R948" s="216"/>
      <c r="S948" s="216"/>
      <c r="T948" s="216"/>
      <c r="U948" s="216"/>
      <c r="V948" s="216"/>
      <c r="W948" s="216"/>
      <c r="X948" s="216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  <c r="AJ948" s="216"/>
      <c r="AK948" s="216"/>
      <c r="AL948" s="216"/>
      <c r="AM948" s="216"/>
      <c r="AN948" s="216"/>
      <c r="AO948" s="216"/>
      <c r="AP948" s="216"/>
      <c r="AQ948" s="216"/>
      <c r="AR948" s="216"/>
      <c r="AS948" s="216"/>
      <c r="AT948" s="216"/>
      <c r="AU948" s="216"/>
      <c r="AV948" s="216"/>
      <c r="AW948" s="216"/>
      <c r="AX948" s="216"/>
      <c r="AY948" s="216"/>
      <c r="AZ948" s="216"/>
      <c r="BA948" s="216"/>
      <c r="BB948" s="216"/>
      <c r="BC948" s="216"/>
      <c r="BD948" s="216"/>
      <c r="BE948" s="216"/>
      <c r="BF948" s="216"/>
      <c r="BG948" s="216"/>
      <c r="BH948" s="216"/>
      <c r="BI948" s="216"/>
      <c r="BJ948" s="216"/>
      <c r="BK948" s="216"/>
      <c r="BL948" s="216"/>
      <c r="BM948" s="216"/>
      <c r="BN948" s="216"/>
      <c r="BO948" s="216"/>
      <c r="BP948" s="216"/>
      <c r="BQ948" s="216"/>
      <c r="BR948" s="216"/>
    </row>
    <row r="949" spans="1:70" ht="12.75" x14ac:dyDescent="0.2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214"/>
      <c r="L949" s="214"/>
      <c r="M949" s="215"/>
      <c r="N949" s="215"/>
      <c r="O949" s="216"/>
      <c r="P949" s="216"/>
      <c r="Q949" s="216"/>
      <c r="R949" s="216"/>
      <c r="S949" s="216"/>
      <c r="T949" s="216"/>
      <c r="U949" s="216"/>
      <c r="V949" s="216"/>
      <c r="W949" s="216"/>
      <c r="X949" s="216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  <c r="AJ949" s="216"/>
      <c r="AK949" s="216"/>
      <c r="AL949" s="216"/>
      <c r="AM949" s="216"/>
      <c r="AN949" s="216"/>
      <c r="AO949" s="216"/>
      <c r="AP949" s="216"/>
      <c r="AQ949" s="216"/>
      <c r="AR949" s="216"/>
      <c r="AS949" s="216"/>
      <c r="AT949" s="216"/>
      <c r="AU949" s="216"/>
      <c r="AV949" s="216"/>
      <c r="AW949" s="216"/>
      <c r="AX949" s="216"/>
      <c r="AY949" s="216"/>
      <c r="AZ949" s="216"/>
      <c r="BA949" s="216"/>
      <c r="BB949" s="216"/>
      <c r="BC949" s="216"/>
      <c r="BD949" s="216"/>
      <c r="BE949" s="216"/>
      <c r="BF949" s="216"/>
      <c r="BG949" s="216"/>
      <c r="BH949" s="216"/>
      <c r="BI949" s="216"/>
      <c r="BJ949" s="216"/>
      <c r="BK949" s="216"/>
      <c r="BL949" s="216"/>
      <c r="BM949" s="216"/>
      <c r="BN949" s="216"/>
      <c r="BO949" s="216"/>
      <c r="BP949" s="216"/>
      <c r="BQ949" s="216"/>
      <c r="BR949" s="216"/>
    </row>
    <row r="950" spans="1:70" ht="12.75" x14ac:dyDescent="0.2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214"/>
      <c r="L950" s="214"/>
      <c r="M950" s="215"/>
      <c r="N950" s="215"/>
      <c r="O950" s="216"/>
      <c r="P950" s="216"/>
      <c r="Q950" s="216"/>
      <c r="R950" s="216"/>
      <c r="S950" s="216"/>
      <c r="T950" s="216"/>
      <c r="U950" s="216"/>
      <c r="V950" s="216"/>
      <c r="W950" s="216"/>
      <c r="X950" s="216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  <c r="AJ950" s="216"/>
      <c r="AK950" s="216"/>
      <c r="AL950" s="216"/>
      <c r="AM950" s="216"/>
      <c r="AN950" s="216"/>
      <c r="AO950" s="216"/>
      <c r="AP950" s="216"/>
      <c r="AQ950" s="216"/>
      <c r="AR950" s="216"/>
      <c r="AS950" s="216"/>
      <c r="AT950" s="216"/>
      <c r="AU950" s="216"/>
      <c r="AV950" s="216"/>
      <c r="AW950" s="216"/>
      <c r="AX950" s="216"/>
      <c r="AY950" s="216"/>
      <c r="AZ950" s="216"/>
      <c r="BA950" s="216"/>
      <c r="BB950" s="216"/>
      <c r="BC950" s="216"/>
      <c r="BD950" s="216"/>
      <c r="BE950" s="216"/>
      <c r="BF950" s="216"/>
      <c r="BG950" s="216"/>
      <c r="BH950" s="216"/>
      <c r="BI950" s="216"/>
      <c r="BJ950" s="216"/>
      <c r="BK950" s="216"/>
      <c r="BL950" s="216"/>
      <c r="BM950" s="216"/>
      <c r="BN950" s="216"/>
      <c r="BO950" s="216"/>
      <c r="BP950" s="216"/>
      <c r="BQ950" s="216"/>
      <c r="BR950" s="216"/>
    </row>
    <row r="951" spans="1:70" ht="12.75" x14ac:dyDescent="0.2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214"/>
      <c r="L951" s="214"/>
      <c r="M951" s="215"/>
      <c r="N951" s="215"/>
      <c r="O951" s="216"/>
      <c r="P951" s="216"/>
      <c r="Q951" s="216"/>
      <c r="R951" s="216"/>
      <c r="S951" s="216"/>
      <c r="T951" s="216"/>
      <c r="U951" s="216"/>
      <c r="V951" s="216"/>
      <c r="W951" s="216"/>
      <c r="X951" s="216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  <c r="AJ951" s="216"/>
      <c r="AK951" s="216"/>
      <c r="AL951" s="216"/>
      <c r="AM951" s="216"/>
      <c r="AN951" s="216"/>
      <c r="AO951" s="216"/>
      <c r="AP951" s="216"/>
      <c r="AQ951" s="216"/>
      <c r="AR951" s="216"/>
      <c r="AS951" s="216"/>
      <c r="AT951" s="216"/>
      <c r="AU951" s="216"/>
      <c r="AV951" s="216"/>
      <c r="AW951" s="216"/>
      <c r="AX951" s="216"/>
      <c r="AY951" s="216"/>
      <c r="AZ951" s="216"/>
      <c r="BA951" s="216"/>
      <c r="BB951" s="216"/>
      <c r="BC951" s="216"/>
      <c r="BD951" s="216"/>
      <c r="BE951" s="216"/>
      <c r="BF951" s="216"/>
      <c r="BG951" s="216"/>
      <c r="BH951" s="216"/>
      <c r="BI951" s="216"/>
      <c r="BJ951" s="216"/>
      <c r="BK951" s="216"/>
      <c r="BL951" s="216"/>
      <c r="BM951" s="216"/>
      <c r="BN951" s="216"/>
      <c r="BO951" s="216"/>
      <c r="BP951" s="216"/>
      <c r="BQ951" s="216"/>
      <c r="BR951" s="216"/>
    </row>
    <row r="952" spans="1:70" ht="12.75" x14ac:dyDescent="0.2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214"/>
      <c r="L952" s="214"/>
      <c r="M952" s="215"/>
      <c r="N952" s="215"/>
      <c r="O952" s="216"/>
      <c r="P952" s="216"/>
      <c r="Q952" s="216"/>
      <c r="R952" s="216"/>
      <c r="S952" s="216"/>
      <c r="T952" s="216"/>
      <c r="U952" s="216"/>
      <c r="V952" s="216"/>
      <c r="W952" s="216"/>
      <c r="X952" s="216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16"/>
      <c r="AN952" s="216"/>
      <c r="AO952" s="216"/>
      <c r="AP952" s="216"/>
      <c r="AQ952" s="216"/>
      <c r="AR952" s="216"/>
      <c r="AS952" s="216"/>
      <c r="AT952" s="216"/>
      <c r="AU952" s="216"/>
      <c r="AV952" s="216"/>
      <c r="AW952" s="216"/>
      <c r="AX952" s="216"/>
      <c r="AY952" s="216"/>
      <c r="AZ952" s="216"/>
      <c r="BA952" s="216"/>
      <c r="BB952" s="216"/>
      <c r="BC952" s="216"/>
      <c r="BD952" s="216"/>
      <c r="BE952" s="216"/>
      <c r="BF952" s="216"/>
      <c r="BG952" s="216"/>
      <c r="BH952" s="216"/>
      <c r="BI952" s="216"/>
      <c r="BJ952" s="216"/>
      <c r="BK952" s="216"/>
      <c r="BL952" s="216"/>
      <c r="BM952" s="216"/>
      <c r="BN952" s="216"/>
      <c r="BO952" s="216"/>
      <c r="BP952" s="216"/>
      <c r="BQ952" s="216"/>
      <c r="BR952" s="216"/>
    </row>
    <row r="953" spans="1:70" ht="12.75" x14ac:dyDescent="0.2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214"/>
      <c r="L953" s="214"/>
      <c r="M953" s="215"/>
      <c r="N953" s="215"/>
      <c r="O953" s="216"/>
      <c r="P953" s="216"/>
      <c r="Q953" s="216"/>
      <c r="R953" s="216"/>
      <c r="S953" s="216"/>
      <c r="T953" s="216"/>
      <c r="U953" s="216"/>
      <c r="V953" s="216"/>
      <c r="W953" s="216"/>
      <c r="X953" s="216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16"/>
      <c r="AN953" s="216"/>
      <c r="AO953" s="216"/>
      <c r="AP953" s="216"/>
      <c r="AQ953" s="216"/>
      <c r="AR953" s="216"/>
      <c r="AS953" s="216"/>
      <c r="AT953" s="216"/>
      <c r="AU953" s="216"/>
      <c r="AV953" s="216"/>
      <c r="AW953" s="216"/>
      <c r="AX953" s="216"/>
      <c r="AY953" s="216"/>
      <c r="AZ953" s="216"/>
      <c r="BA953" s="216"/>
      <c r="BB953" s="216"/>
      <c r="BC953" s="216"/>
      <c r="BD953" s="216"/>
      <c r="BE953" s="216"/>
      <c r="BF953" s="216"/>
      <c r="BG953" s="216"/>
      <c r="BH953" s="216"/>
      <c r="BI953" s="216"/>
      <c r="BJ953" s="216"/>
      <c r="BK953" s="216"/>
      <c r="BL953" s="216"/>
      <c r="BM953" s="216"/>
      <c r="BN953" s="216"/>
      <c r="BO953" s="216"/>
      <c r="BP953" s="216"/>
      <c r="BQ953" s="216"/>
      <c r="BR953" s="216"/>
    </row>
    <row r="954" spans="1:70" ht="12.75" x14ac:dyDescent="0.2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214"/>
      <c r="L954" s="214"/>
      <c r="M954" s="215"/>
      <c r="N954" s="215"/>
      <c r="O954" s="216"/>
      <c r="P954" s="216"/>
      <c r="Q954" s="216"/>
      <c r="R954" s="216"/>
      <c r="S954" s="216"/>
      <c r="T954" s="216"/>
      <c r="U954" s="216"/>
      <c r="V954" s="216"/>
      <c r="W954" s="216"/>
      <c r="X954" s="216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16"/>
      <c r="AN954" s="216"/>
      <c r="AO954" s="216"/>
      <c r="AP954" s="216"/>
      <c r="AQ954" s="216"/>
      <c r="AR954" s="216"/>
      <c r="AS954" s="216"/>
      <c r="AT954" s="216"/>
      <c r="AU954" s="216"/>
      <c r="AV954" s="216"/>
      <c r="AW954" s="216"/>
      <c r="AX954" s="216"/>
      <c r="AY954" s="216"/>
      <c r="AZ954" s="216"/>
      <c r="BA954" s="216"/>
      <c r="BB954" s="216"/>
      <c r="BC954" s="216"/>
      <c r="BD954" s="216"/>
      <c r="BE954" s="216"/>
      <c r="BF954" s="216"/>
      <c r="BG954" s="216"/>
      <c r="BH954" s="216"/>
      <c r="BI954" s="216"/>
      <c r="BJ954" s="216"/>
      <c r="BK954" s="216"/>
      <c r="BL954" s="216"/>
      <c r="BM954" s="216"/>
      <c r="BN954" s="216"/>
      <c r="BO954" s="216"/>
      <c r="BP954" s="216"/>
      <c r="BQ954" s="216"/>
      <c r="BR954" s="216"/>
    </row>
    <row r="955" spans="1:70" ht="12.75" x14ac:dyDescent="0.2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214"/>
      <c r="L955" s="214"/>
      <c r="M955" s="215"/>
      <c r="N955" s="215"/>
      <c r="O955" s="216"/>
      <c r="P955" s="216"/>
      <c r="Q955" s="216"/>
      <c r="R955" s="216"/>
      <c r="S955" s="216"/>
      <c r="T955" s="216"/>
      <c r="U955" s="216"/>
      <c r="V955" s="216"/>
      <c r="W955" s="216"/>
      <c r="X955" s="216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16"/>
      <c r="AN955" s="216"/>
      <c r="AO955" s="216"/>
      <c r="AP955" s="216"/>
      <c r="AQ955" s="216"/>
      <c r="AR955" s="216"/>
      <c r="AS955" s="216"/>
      <c r="AT955" s="216"/>
      <c r="AU955" s="216"/>
      <c r="AV955" s="216"/>
      <c r="AW955" s="216"/>
      <c r="AX955" s="216"/>
      <c r="AY955" s="216"/>
      <c r="AZ955" s="216"/>
      <c r="BA955" s="216"/>
      <c r="BB955" s="216"/>
      <c r="BC955" s="216"/>
      <c r="BD955" s="216"/>
      <c r="BE955" s="216"/>
      <c r="BF955" s="216"/>
      <c r="BG955" s="216"/>
      <c r="BH955" s="216"/>
      <c r="BI955" s="216"/>
      <c r="BJ955" s="216"/>
      <c r="BK955" s="216"/>
      <c r="BL955" s="216"/>
      <c r="BM955" s="216"/>
      <c r="BN955" s="216"/>
      <c r="BO955" s="216"/>
      <c r="BP955" s="216"/>
      <c r="BQ955" s="216"/>
      <c r="BR955" s="216"/>
    </row>
    <row r="956" spans="1:70" ht="12.75" x14ac:dyDescent="0.2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214"/>
      <c r="L956" s="214"/>
      <c r="M956" s="215"/>
      <c r="N956" s="215"/>
      <c r="O956" s="216"/>
      <c r="P956" s="216"/>
      <c r="Q956" s="216"/>
      <c r="R956" s="216"/>
      <c r="S956" s="216"/>
      <c r="T956" s="216"/>
      <c r="U956" s="216"/>
      <c r="V956" s="216"/>
      <c r="W956" s="216"/>
      <c r="X956" s="216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16"/>
      <c r="AN956" s="216"/>
      <c r="AO956" s="216"/>
      <c r="AP956" s="216"/>
      <c r="AQ956" s="216"/>
      <c r="AR956" s="216"/>
      <c r="AS956" s="216"/>
      <c r="AT956" s="216"/>
      <c r="AU956" s="216"/>
      <c r="AV956" s="216"/>
      <c r="AW956" s="216"/>
      <c r="AX956" s="216"/>
      <c r="AY956" s="216"/>
      <c r="AZ956" s="216"/>
      <c r="BA956" s="216"/>
      <c r="BB956" s="216"/>
      <c r="BC956" s="216"/>
      <c r="BD956" s="216"/>
      <c r="BE956" s="216"/>
      <c r="BF956" s="216"/>
      <c r="BG956" s="216"/>
      <c r="BH956" s="216"/>
      <c r="BI956" s="216"/>
      <c r="BJ956" s="216"/>
      <c r="BK956" s="216"/>
      <c r="BL956" s="216"/>
      <c r="BM956" s="216"/>
      <c r="BN956" s="216"/>
      <c r="BO956" s="216"/>
      <c r="BP956" s="216"/>
      <c r="BQ956" s="216"/>
      <c r="BR956" s="216"/>
    </row>
    <row r="957" spans="1:70" ht="12.75" x14ac:dyDescent="0.2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214"/>
      <c r="L957" s="214"/>
      <c r="M957" s="215"/>
      <c r="N957" s="215"/>
      <c r="O957" s="216"/>
      <c r="P957" s="216"/>
      <c r="Q957" s="216"/>
      <c r="R957" s="216"/>
      <c r="S957" s="216"/>
      <c r="T957" s="216"/>
      <c r="U957" s="216"/>
      <c r="V957" s="216"/>
      <c r="W957" s="216"/>
      <c r="X957" s="216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16"/>
      <c r="AN957" s="216"/>
      <c r="AO957" s="216"/>
      <c r="AP957" s="216"/>
      <c r="AQ957" s="216"/>
      <c r="AR957" s="216"/>
      <c r="AS957" s="216"/>
      <c r="AT957" s="216"/>
      <c r="AU957" s="216"/>
      <c r="AV957" s="216"/>
      <c r="AW957" s="216"/>
      <c r="AX957" s="216"/>
      <c r="AY957" s="216"/>
      <c r="AZ957" s="216"/>
      <c r="BA957" s="216"/>
      <c r="BB957" s="216"/>
      <c r="BC957" s="216"/>
      <c r="BD957" s="216"/>
      <c r="BE957" s="216"/>
      <c r="BF957" s="216"/>
      <c r="BG957" s="216"/>
      <c r="BH957" s="216"/>
      <c r="BI957" s="216"/>
      <c r="BJ957" s="216"/>
      <c r="BK957" s="216"/>
      <c r="BL957" s="216"/>
      <c r="BM957" s="216"/>
      <c r="BN957" s="216"/>
      <c r="BO957" s="216"/>
      <c r="BP957" s="216"/>
      <c r="BQ957" s="216"/>
      <c r="BR957" s="216"/>
    </row>
    <row r="958" spans="1:70" ht="12.75" x14ac:dyDescent="0.2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214"/>
      <c r="L958" s="214"/>
      <c r="M958" s="215"/>
      <c r="N958" s="215"/>
      <c r="O958" s="216"/>
      <c r="P958" s="216"/>
      <c r="Q958" s="216"/>
      <c r="R958" s="216"/>
      <c r="S958" s="216"/>
      <c r="T958" s="216"/>
      <c r="U958" s="216"/>
      <c r="V958" s="216"/>
      <c r="W958" s="216"/>
      <c r="X958" s="216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16"/>
      <c r="AN958" s="216"/>
      <c r="AO958" s="216"/>
      <c r="AP958" s="216"/>
      <c r="AQ958" s="216"/>
      <c r="AR958" s="216"/>
      <c r="AS958" s="216"/>
      <c r="AT958" s="216"/>
      <c r="AU958" s="216"/>
      <c r="AV958" s="216"/>
      <c r="AW958" s="216"/>
      <c r="AX958" s="216"/>
      <c r="AY958" s="216"/>
      <c r="AZ958" s="216"/>
      <c r="BA958" s="216"/>
      <c r="BB958" s="216"/>
      <c r="BC958" s="216"/>
      <c r="BD958" s="216"/>
      <c r="BE958" s="216"/>
      <c r="BF958" s="216"/>
      <c r="BG958" s="216"/>
      <c r="BH958" s="216"/>
      <c r="BI958" s="216"/>
      <c r="BJ958" s="216"/>
      <c r="BK958" s="216"/>
      <c r="BL958" s="216"/>
      <c r="BM958" s="216"/>
      <c r="BN958" s="216"/>
      <c r="BO958" s="216"/>
      <c r="BP958" s="216"/>
      <c r="BQ958" s="216"/>
      <c r="BR958" s="216"/>
    </row>
    <row r="959" spans="1:70" ht="12.75" x14ac:dyDescent="0.2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214"/>
      <c r="L959" s="214"/>
      <c r="M959" s="215"/>
      <c r="N959" s="215"/>
      <c r="O959" s="216"/>
      <c r="P959" s="216"/>
      <c r="Q959" s="216"/>
      <c r="R959" s="216"/>
      <c r="S959" s="216"/>
      <c r="T959" s="216"/>
      <c r="U959" s="216"/>
      <c r="V959" s="216"/>
      <c r="W959" s="216"/>
      <c r="X959" s="216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16"/>
      <c r="AN959" s="216"/>
      <c r="AO959" s="216"/>
      <c r="AP959" s="216"/>
      <c r="AQ959" s="216"/>
      <c r="AR959" s="216"/>
      <c r="AS959" s="216"/>
      <c r="AT959" s="216"/>
      <c r="AU959" s="216"/>
      <c r="AV959" s="216"/>
      <c r="AW959" s="216"/>
      <c r="AX959" s="216"/>
      <c r="AY959" s="216"/>
      <c r="AZ959" s="216"/>
      <c r="BA959" s="216"/>
      <c r="BB959" s="216"/>
      <c r="BC959" s="216"/>
      <c r="BD959" s="216"/>
      <c r="BE959" s="216"/>
      <c r="BF959" s="216"/>
      <c r="BG959" s="216"/>
      <c r="BH959" s="216"/>
      <c r="BI959" s="216"/>
      <c r="BJ959" s="216"/>
      <c r="BK959" s="216"/>
      <c r="BL959" s="216"/>
      <c r="BM959" s="216"/>
      <c r="BN959" s="216"/>
      <c r="BO959" s="216"/>
      <c r="BP959" s="216"/>
      <c r="BQ959" s="216"/>
      <c r="BR959" s="216"/>
    </row>
    <row r="960" spans="1:70" ht="12.75" x14ac:dyDescent="0.2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214"/>
      <c r="L960" s="214"/>
      <c r="M960" s="215"/>
      <c r="N960" s="215"/>
      <c r="O960" s="216"/>
      <c r="P960" s="216"/>
      <c r="Q960" s="216"/>
      <c r="R960" s="216"/>
      <c r="S960" s="216"/>
      <c r="T960" s="216"/>
      <c r="U960" s="216"/>
      <c r="V960" s="216"/>
      <c r="W960" s="216"/>
      <c r="X960" s="216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16"/>
      <c r="AN960" s="216"/>
      <c r="AO960" s="216"/>
      <c r="AP960" s="216"/>
      <c r="AQ960" s="216"/>
      <c r="AR960" s="216"/>
      <c r="AS960" s="216"/>
      <c r="AT960" s="216"/>
      <c r="AU960" s="216"/>
      <c r="AV960" s="216"/>
      <c r="AW960" s="216"/>
      <c r="AX960" s="216"/>
      <c r="AY960" s="216"/>
      <c r="AZ960" s="216"/>
      <c r="BA960" s="216"/>
      <c r="BB960" s="216"/>
      <c r="BC960" s="216"/>
      <c r="BD960" s="216"/>
      <c r="BE960" s="216"/>
      <c r="BF960" s="216"/>
      <c r="BG960" s="216"/>
      <c r="BH960" s="216"/>
      <c r="BI960" s="216"/>
      <c r="BJ960" s="216"/>
      <c r="BK960" s="216"/>
      <c r="BL960" s="216"/>
      <c r="BM960" s="216"/>
      <c r="BN960" s="216"/>
      <c r="BO960" s="216"/>
      <c r="BP960" s="216"/>
      <c r="BQ960" s="216"/>
      <c r="BR960" s="216"/>
    </row>
    <row r="961" spans="1:70" ht="12.75" x14ac:dyDescent="0.2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214"/>
      <c r="L961" s="214"/>
      <c r="M961" s="215"/>
      <c r="N961" s="215"/>
      <c r="O961" s="216"/>
      <c r="P961" s="216"/>
      <c r="Q961" s="216"/>
      <c r="R961" s="216"/>
      <c r="S961" s="216"/>
      <c r="T961" s="216"/>
      <c r="U961" s="216"/>
      <c r="V961" s="216"/>
      <c r="W961" s="216"/>
      <c r="X961" s="216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16"/>
      <c r="AN961" s="216"/>
      <c r="AO961" s="216"/>
      <c r="AP961" s="216"/>
      <c r="AQ961" s="216"/>
      <c r="AR961" s="216"/>
      <c r="AS961" s="216"/>
      <c r="AT961" s="216"/>
      <c r="AU961" s="216"/>
      <c r="AV961" s="216"/>
      <c r="AW961" s="216"/>
      <c r="AX961" s="216"/>
      <c r="AY961" s="216"/>
      <c r="AZ961" s="216"/>
      <c r="BA961" s="216"/>
      <c r="BB961" s="216"/>
      <c r="BC961" s="216"/>
      <c r="BD961" s="216"/>
      <c r="BE961" s="216"/>
      <c r="BF961" s="216"/>
      <c r="BG961" s="216"/>
      <c r="BH961" s="216"/>
      <c r="BI961" s="216"/>
      <c r="BJ961" s="216"/>
      <c r="BK961" s="216"/>
      <c r="BL961" s="216"/>
      <c r="BM961" s="216"/>
      <c r="BN961" s="216"/>
      <c r="BO961" s="216"/>
      <c r="BP961" s="216"/>
      <c r="BQ961" s="216"/>
      <c r="BR961" s="216"/>
    </row>
    <row r="962" spans="1:70" ht="12.75" x14ac:dyDescent="0.2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214"/>
      <c r="L962" s="214"/>
      <c r="M962" s="215"/>
      <c r="N962" s="215"/>
      <c r="O962" s="216"/>
      <c r="P962" s="216"/>
      <c r="Q962" s="216"/>
      <c r="R962" s="216"/>
      <c r="S962" s="216"/>
      <c r="T962" s="216"/>
      <c r="U962" s="216"/>
      <c r="V962" s="216"/>
      <c r="W962" s="216"/>
      <c r="X962" s="216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16"/>
      <c r="AN962" s="216"/>
      <c r="AO962" s="216"/>
      <c r="AP962" s="216"/>
      <c r="AQ962" s="216"/>
      <c r="AR962" s="216"/>
      <c r="AS962" s="216"/>
      <c r="AT962" s="216"/>
      <c r="AU962" s="216"/>
      <c r="AV962" s="216"/>
      <c r="AW962" s="216"/>
      <c r="AX962" s="216"/>
      <c r="AY962" s="216"/>
      <c r="AZ962" s="216"/>
      <c r="BA962" s="216"/>
      <c r="BB962" s="216"/>
      <c r="BC962" s="216"/>
      <c r="BD962" s="216"/>
      <c r="BE962" s="216"/>
      <c r="BF962" s="216"/>
      <c r="BG962" s="216"/>
      <c r="BH962" s="216"/>
      <c r="BI962" s="216"/>
      <c r="BJ962" s="216"/>
      <c r="BK962" s="216"/>
      <c r="BL962" s="216"/>
      <c r="BM962" s="216"/>
      <c r="BN962" s="216"/>
      <c r="BO962" s="216"/>
      <c r="BP962" s="216"/>
      <c r="BQ962" s="216"/>
      <c r="BR962" s="216"/>
    </row>
    <row r="963" spans="1:70" ht="12.75" x14ac:dyDescent="0.2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214"/>
      <c r="L963" s="214"/>
      <c r="M963" s="215"/>
      <c r="N963" s="215"/>
      <c r="O963" s="216"/>
      <c r="P963" s="216"/>
      <c r="Q963" s="216"/>
      <c r="R963" s="216"/>
      <c r="S963" s="216"/>
      <c r="T963" s="216"/>
      <c r="U963" s="216"/>
      <c r="V963" s="216"/>
      <c r="W963" s="216"/>
      <c r="X963" s="216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  <c r="AJ963" s="216"/>
      <c r="AK963" s="216"/>
      <c r="AL963" s="216"/>
      <c r="AM963" s="216"/>
      <c r="AN963" s="216"/>
      <c r="AO963" s="216"/>
      <c r="AP963" s="216"/>
      <c r="AQ963" s="216"/>
      <c r="AR963" s="216"/>
      <c r="AS963" s="216"/>
      <c r="AT963" s="216"/>
      <c r="AU963" s="216"/>
      <c r="AV963" s="216"/>
      <c r="AW963" s="216"/>
      <c r="AX963" s="216"/>
      <c r="AY963" s="216"/>
      <c r="AZ963" s="216"/>
      <c r="BA963" s="216"/>
      <c r="BB963" s="216"/>
      <c r="BC963" s="216"/>
      <c r="BD963" s="216"/>
      <c r="BE963" s="216"/>
      <c r="BF963" s="216"/>
      <c r="BG963" s="216"/>
      <c r="BH963" s="216"/>
      <c r="BI963" s="216"/>
      <c r="BJ963" s="216"/>
      <c r="BK963" s="216"/>
      <c r="BL963" s="216"/>
      <c r="BM963" s="216"/>
      <c r="BN963" s="216"/>
      <c r="BO963" s="216"/>
      <c r="BP963" s="216"/>
      <c r="BQ963" s="216"/>
      <c r="BR963" s="216"/>
    </row>
    <row r="964" spans="1:70" ht="12.75" x14ac:dyDescent="0.2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214"/>
      <c r="L964" s="214"/>
      <c r="M964" s="215"/>
      <c r="N964" s="215"/>
      <c r="O964" s="216"/>
      <c r="P964" s="216"/>
      <c r="Q964" s="216"/>
      <c r="R964" s="216"/>
      <c r="S964" s="216"/>
      <c r="T964" s="216"/>
      <c r="U964" s="216"/>
      <c r="V964" s="216"/>
      <c r="W964" s="216"/>
      <c r="X964" s="216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  <c r="AJ964" s="216"/>
      <c r="AK964" s="216"/>
      <c r="AL964" s="216"/>
      <c r="AM964" s="216"/>
      <c r="AN964" s="216"/>
      <c r="AO964" s="216"/>
      <c r="AP964" s="216"/>
      <c r="AQ964" s="216"/>
      <c r="AR964" s="216"/>
      <c r="AS964" s="216"/>
      <c r="AT964" s="216"/>
      <c r="AU964" s="216"/>
      <c r="AV964" s="216"/>
      <c r="AW964" s="216"/>
      <c r="AX964" s="216"/>
      <c r="AY964" s="216"/>
      <c r="AZ964" s="216"/>
      <c r="BA964" s="216"/>
      <c r="BB964" s="216"/>
      <c r="BC964" s="216"/>
      <c r="BD964" s="216"/>
      <c r="BE964" s="216"/>
      <c r="BF964" s="216"/>
      <c r="BG964" s="216"/>
      <c r="BH964" s="216"/>
      <c r="BI964" s="216"/>
      <c r="BJ964" s="216"/>
      <c r="BK964" s="216"/>
      <c r="BL964" s="216"/>
      <c r="BM964" s="216"/>
      <c r="BN964" s="216"/>
      <c r="BO964" s="216"/>
      <c r="BP964" s="216"/>
      <c r="BQ964" s="216"/>
      <c r="BR964" s="216"/>
    </row>
    <row r="965" spans="1:70" ht="12.75" x14ac:dyDescent="0.2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214"/>
      <c r="L965" s="214"/>
      <c r="M965" s="215"/>
      <c r="N965" s="215"/>
      <c r="O965" s="216"/>
      <c r="P965" s="216"/>
      <c r="Q965" s="216"/>
      <c r="R965" s="216"/>
      <c r="S965" s="216"/>
      <c r="T965" s="216"/>
      <c r="U965" s="216"/>
      <c r="V965" s="216"/>
      <c r="W965" s="216"/>
      <c r="X965" s="216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  <c r="AJ965" s="216"/>
      <c r="AK965" s="216"/>
      <c r="AL965" s="216"/>
      <c r="AM965" s="216"/>
      <c r="AN965" s="216"/>
      <c r="AO965" s="216"/>
      <c r="AP965" s="216"/>
      <c r="AQ965" s="216"/>
      <c r="AR965" s="216"/>
      <c r="AS965" s="216"/>
      <c r="AT965" s="216"/>
      <c r="AU965" s="216"/>
      <c r="AV965" s="216"/>
      <c r="AW965" s="216"/>
      <c r="AX965" s="216"/>
      <c r="AY965" s="216"/>
      <c r="AZ965" s="216"/>
      <c r="BA965" s="216"/>
      <c r="BB965" s="216"/>
      <c r="BC965" s="216"/>
      <c r="BD965" s="216"/>
      <c r="BE965" s="216"/>
      <c r="BF965" s="216"/>
      <c r="BG965" s="216"/>
      <c r="BH965" s="216"/>
      <c r="BI965" s="216"/>
      <c r="BJ965" s="216"/>
      <c r="BK965" s="216"/>
      <c r="BL965" s="216"/>
      <c r="BM965" s="216"/>
      <c r="BN965" s="216"/>
      <c r="BO965" s="216"/>
      <c r="BP965" s="216"/>
      <c r="BQ965" s="216"/>
      <c r="BR965" s="216"/>
    </row>
    <row r="966" spans="1:70" ht="12.75" x14ac:dyDescent="0.2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214"/>
      <c r="L966" s="214"/>
      <c r="M966" s="215"/>
      <c r="N966" s="215"/>
      <c r="O966" s="216"/>
      <c r="P966" s="216"/>
      <c r="Q966" s="216"/>
      <c r="R966" s="216"/>
      <c r="S966" s="216"/>
      <c r="T966" s="216"/>
      <c r="U966" s="216"/>
      <c r="V966" s="216"/>
      <c r="W966" s="216"/>
      <c r="X966" s="216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  <c r="AJ966" s="216"/>
      <c r="AK966" s="216"/>
      <c r="AL966" s="216"/>
      <c r="AM966" s="216"/>
      <c r="AN966" s="216"/>
      <c r="AO966" s="216"/>
      <c r="AP966" s="216"/>
      <c r="AQ966" s="216"/>
      <c r="AR966" s="216"/>
      <c r="AS966" s="216"/>
      <c r="AT966" s="216"/>
      <c r="AU966" s="216"/>
      <c r="AV966" s="216"/>
      <c r="AW966" s="216"/>
      <c r="AX966" s="216"/>
      <c r="AY966" s="216"/>
      <c r="AZ966" s="216"/>
      <c r="BA966" s="216"/>
      <c r="BB966" s="216"/>
      <c r="BC966" s="216"/>
      <c r="BD966" s="216"/>
      <c r="BE966" s="216"/>
      <c r="BF966" s="216"/>
      <c r="BG966" s="216"/>
      <c r="BH966" s="216"/>
      <c r="BI966" s="216"/>
      <c r="BJ966" s="216"/>
      <c r="BK966" s="216"/>
      <c r="BL966" s="216"/>
      <c r="BM966" s="216"/>
      <c r="BN966" s="216"/>
      <c r="BO966" s="216"/>
      <c r="BP966" s="216"/>
      <c r="BQ966" s="216"/>
      <c r="BR966" s="216"/>
    </row>
    <row r="967" spans="1:70" ht="12.75" x14ac:dyDescent="0.2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214"/>
      <c r="L967" s="214"/>
      <c r="M967" s="215"/>
      <c r="N967" s="215"/>
      <c r="O967" s="216"/>
      <c r="P967" s="216"/>
      <c r="Q967" s="216"/>
      <c r="R967" s="216"/>
      <c r="S967" s="216"/>
      <c r="T967" s="216"/>
      <c r="U967" s="216"/>
      <c r="V967" s="216"/>
      <c r="W967" s="216"/>
      <c r="X967" s="216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  <c r="AJ967" s="216"/>
      <c r="AK967" s="216"/>
      <c r="AL967" s="216"/>
      <c r="AM967" s="216"/>
      <c r="AN967" s="216"/>
      <c r="AO967" s="216"/>
      <c r="AP967" s="216"/>
      <c r="AQ967" s="216"/>
      <c r="AR967" s="216"/>
      <c r="AS967" s="216"/>
      <c r="AT967" s="216"/>
      <c r="AU967" s="216"/>
      <c r="AV967" s="216"/>
      <c r="AW967" s="216"/>
      <c r="AX967" s="216"/>
      <c r="AY967" s="216"/>
      <c r="AZ967" s="216"/>
      <c r="BA967" s="216"/>
      <c r="BB967" s="216"/>
      <c r="BC967" s="216"/>
      <c r="BD967" s="216"/>
      <c r="BE967" s="216"/>
      <c r="BF967" s="216"/>
      <c r="BG967" s="216"/>
      <c r="BH967" s="216"/>
      <c r="BI967" s="216"/>
      <c r="BJ967" s="216"/>
      <c r="BK967" s="216"/>
      <c r="BL967" s="216"/>
      <c r="BM967" s="216"/>
      <c r="BN967" s="216"/>
      <c r="BO967" s="216"/>
      <c r="BP967" s="216"/>
      <c r="BQ967" s="216"/>
      <c r="BR967" s="216"/>
    </row>
    <row r="968" spans="1:70" ht="12.75" x14ac:dyDescent="0.2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214"/>
      <c r="L968" s="214"/>
      <c r="M968" s="215"/>
      <c r="N968" s="215"/>
      <c r="O968" s="216"/>
      <c r="P968" s="216"/>
      <c r="Q968" s="216"/>
      <c r="R968" s="216"/>
      <c r="S968" s="216"/>
      <c r="T968" s="216"/>
      <c r="U968" s="216"/>
      <c r="V968" s="216"/>
      <c r="W968" s="216"/>
      <c r="X968" s="216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  <c r="AJ968" s="216"/>
      <c r="AK968" s="216"/>
      <c r="AL968" s="216"/>
      <c r="AM968" s="216"/>
      <c r="AN968" s="216"/>
      <c r="AO968" s="216"/>
      <c r="AP968" s="216"/>
      <c r="AQ968" s="216"/>
      <c r="AR968" s="216"/>
      <c r="AS968" s="216"/>
      <c r="AT968" s="216"/>
      <c r="AU968" s="216"/>
      <c r="AV968" s="216"/>
      <c r="AW968" s="216"/>
      <c r="AX968" s="216"/>
      <c r="AY968" s="216"/>
      <c r="AZ968" s="216"/>
      <c r="BA968" s="216"/>
      <c r="BB968" s="216"/>
      <c r="BC968" s="216"/>
      <c r="BD968" s="216"/>
      <c r="BE968" s="216"/>
      <c r="BF968" s="216"/>
      <c r="BG968" s="216"/>
      <c r="BH968" s="216"/>
      <c r="BI968" s="216"/>
      <c r="BJ968" s="216"/>
      <c r="BK968" s="216"/>
      <c r="BL968" s="216"/>
      <c r="BM968" s="216"/>
      <c r="BN968" s="216"/>
      <c r="BO968" s="216"/>
      <c r="BP968" s="216"/>
      <c r="BQ968" s="216"/>
      <c r="BR968" s="216"/>
    </row>
    <row r="969" spans="1:70" ht="12.75" x14ac:dyDescent="0.2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214"/>
      <c r="L969" s="214"/>
      <c r="M969" s="215"/>
      <c r="N969" s="215"/>
      <c r="O969" s="216"/>
      <c r="P969" s="216"/>
      <c r="Q969" s="216"/>
      <c r="R969" s="216"/>
      <c r="S969" s="216"/>
      <c r="T969" s="216"/>
      <c r="U969" s="216"/>
      <c r="V969" s="216"/>
      <c r="W969" s="216"/>
      <c r="X969" s="216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  <c r="AJ969" s="216"/>
      <c r="AK969" s="216"/>
      <c r="AL969" s="216"/>
      <c r="AM969" s="216"/>
      <c r="AN969" s="216"/>
      <c r="AO969" s="216"/>
      <c r="AP969" s="216"/>
      <c r="AQ969" s="216"/>
      <c r="AR969" s="216"/>
      <c r="AS969" s="216"/>
      <c r="AT969" s="216"/>
      <c r="AU969" s="216"/>
      <c r="AV969" s="216"/>
      <c r="AW969" s="216"/>
      <c r="AX969" s="216"/>
      <c r="AY969" s="216"/>
      <c r="AZ969" s="216"/>
      <c r="BA969" s="216"/>
      <c r="BB969" s="216"/>
      <c r="BC969" s="216"/>
      <c r="BD969" s="216"/>
      <c r="BE969" s="216"/>
      <c r="BF969" s="216"/>
      <c r="BG969" s="216"/>
      <c r="BH969" s="216"/>
      <c r="BI969" s="216"/>
      <c r="BJ969" s="216"/>
      <c r="BK969" s="216"/>
      <c r="BL969" s="216"/>
      <c r="BM969" s="216"/>
      <c r="BN969" s="216"/>
      <c r="BO969" s="216"/>
      <c r="BP969" s="216"/>
      <c r="BQ969" s="216"/>
      <c r="BR969" s="216"/>
    </row>
    <row r="970" spans="1:70" ht="12.75" x14ac:dyDescent="0.2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214"/>
      <c r="L970" s="214"/>
      <c r="M970" s="215"/>
      <c r="N970" s="215"/>
      <c r="O970" s="216"/>
      <c r="P970" s="216"/>
      <c r="Q970" s="216"/>
      <c r="R970" s="216"/>
      <c r="S970" s="216"/>
      <c r="T970" s="216"/>
      <c r="U970" s="216"/>
      <c r="V970" s="216"/>
      <c r="W970" s="216"/>
      <c r="X970" s="216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  <c r="AJ970" s="216"/>
      <c r="AK970" s="216"/>
      <c r="AL970" s="216"/>
      <c r="AM970" s="216"/>
      <c r="AN970" s="216"/>
      <c r="AO970" s="216"/>
      <c r="AP970" s="216"/>
      <c r="AQ970" s="216"/>
      <c r="AR970" s="216"/>
      <c r="AS970" s="216"/>
      <c r="AT970" s="216"/>
      <c r="AU970" s="216"/>
      <c r="AV970" s="216"/>
      <c r="AW970" s="216"/>
      <c r="AX970" s="216"/>
      <c r="AY970" s="216"/>
      <c r="AZ970" s="216"/>
      <c r="BA970" s="216"/>
      <c r="BB970" s="216"/>
      <c r="BC970" s="216"/>
      <c r="BD970" s="216"/>
      <c r="BE970" s="216"/>
      <c r="BF970" s="216"/>
      <c r="BG970" s="216"/>
      <c r="BH970" s="216"/>
      <c r="BI970" s="216"/>
      <c r="BJ970" s="216"/>
      <c r="BK970" s="216"/>
      <c r="BL970" s="216"/>
      <c r="BM970" s="216"/>
      <c r="BN970" s="216"/>
      <c r="BO970" s="216"/>
      <c r="BP970" s="216"/>
      <c r="BQ970" s="216"/>
      <c r="BR970" s="216"/>
    </row>
    <row r="971" spans="1:70" ht="12.75" x14ac:dyDescent="0.2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214"/>
      <c r="L971" s="214"/>
      <c r="M971" s="215"/>
      <c r="N971" s="215"/>
      <c r="O971" s="216"/>
      <c r="P971" s="216"/>
      <c r="Q971" s="216"/>
      <c r="R971" s="216"/>
      <c r="S971" s="216"/>
      <c r="T971" s="216"/>
      <c r="U971" s="216"/>
      <c r="V971" s="216"/>
      <c r="W971" s="216"/>
      <c r="X971" s="216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  <c r="AJ971" s="216"/>
      <c r="AK971" s="216"/>
      <c r="AL971" s="216"/>
      <c r="AM971" s="216"/>
      <c r="AN971" s="216"/>
      <c r="AO971" s="216"/>
      <c r="AP971" s="216"/>
      <c r="AQ971" s="216"/>
      <c r="AR971" s="216"/>
      <c r="AS971" s="216"/>
      <c r="AT971" s="216"/>
      <c r="AU971" s="216"/>
      <c r="AV971" s="216"/>
      <c r="AW971" s="216"/>
      <c r="AX971" s="216"/>
      <c r="AY971" s="216"/>
      <c r="AZ971" s="216"/>
      <c r="BA971" s="216"/>
      <c r="BB971" s="216"/>
      <c r="BC971" s="216"/>
      <c r="BD971" s="216"/>
      <c r="BE971" s="216"/>
      <c r="BF971" s="216"/>
      <c r="BG971" s="216"/>
      <c r="BH971" s="216"/>
      <c r="BI971" s="216"/>
      <c r="BJ971" s="216"/>
      <c r="BK971" s="216"/>
      <c r="BL971" s="216"/>
      <c r="BM971" s="216"/>
      <c r="BN971" s="216"/>
      <c r="BO971" s="216"/>
      <c r="BP971" s="216"/>
      <c r="BQ971" s="216"/>
      <c r="BR971" s="216"/>
    </row>
    <row r="972" spans="1:70" ht="12.75" x14ac:dyDescent="0.2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214"/>
      <c r="L972" s="214"/>
      <c r="M972" s="215"/>
      <c r="N972" s="215"/>
      <c r="O972" s="216"/>
      <c r="P972" s="216"/>
      <c r="Q972" s="216"/>
      <c r="R972" s="216"/>
      <c r="S972" s="216"/>
      <c r="T972" s="216"/>
      <c r="U972" s="216"/>
      <c r="V972" s="216"/>
      <c r="W972" s="216"/>
      <c r="X972" s="216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  <c r="AJ972" s="216"/>
      <c r="AK972" s="216"/>
      <c r="AL972" s="216"/>
      <c r="AM972" s="216"/>
      <c r="AN972" s="216"/>
      <c r="AO972" s="216"/>
      <c r="AP972" s="216"/>
      <c r="AQ972" s="216"/>
      <c r="AR972" s="216"/>
      <c r="AS972" s="216"/>
      <c r="AT972" s="216"/>
      <c r="AU972" s="216"/>
      <c r="AV972" s="216"/>
      <c r="AW972" s="216"/>
      <c r="AX972" s="216"/>
      <c r="AY972" s="216"/>
      <c r="AZ972" s="216"/>
      <c r="BA972" s="216"/>
      <c r="BB972" s="216"/>
      <c r="BC972" s="216"/>
      <c r="BD972" s="216"/>
      <c r="BE972" s="216"/>
      <c r="BF972" s="216"/>
      <c r="BG972" s="216"/>
      <c r="BH972" s="216"/>
      <c r="BI972" s="216"/>
      <c r="BJ972" s="216"/>
      <c r="BK972" s="216"/>
      <c r="BL972" s="216"/>
      <c r="BM972" s="216"/>
      <c r="BN972" s="216"/>
      <c r="BO972" s="216"/>
      <c r="BP972" s="216"/>
      <c r="BQ972" s="216"/>
      <c r="BR972" s="216"/>
    </row>
    <row r="973" spans="1:70" ht="12.75" x14ac:dyDescent="0.2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214"/>
      <c r="L973" s="214"/>
      <c r="M973" s="215"/>
      <c r="N973" s="215"/>
      <c r="O973" s="216"/>
      <c r="P973" s="216"/>
      <c r="Q973" s="216"/>
      <c r="R973" s="216"/>
      <c r="S973" s="216"/>
      <c r="T973" s="216"/>
      <c r="U973" s="216"/>
      <c r="V973" s="216"/>
      <c r="W973" s="216"/>
      <c r="X973" s="216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  <c r="AJ973" s="216"/>
      <c r="AK973" s="216"/>
      <c r="AL973" s="216"/>
      <c r="AM973" s="216"/>
      <c r="AN973" s="216"/>
      <c r="AO973" s="216"/>
      <c r="AP973" s="216"/>
      <c r="AQ973" s="216"/>
      <c r="AR973" s="216"/>
      <c r="AS973" s="216"/>
      <c r="AT973" s="216"/>
      <c r="AU973" s="216"/>
      <c r="AV973" s="216"/>
      <c r="AW973" s="216"/>
      <c r="AX973" s="216"/>
      <c r="AY973" s="216"/>
      <c r="AZ973" s="216"/>
      <c r="BA973" s="216"/>
      <c r="BB973" s="216"/>
      <c r="BC973" s="216"/>
      <c r="BD973" s="216"/>
      <c r="BE973" s="216"/>
      <c r="BF973" s="216"/>
      <c r="BG973" s="216"/>
      <c r="BH973" s="216"/>
      <c r="BI973" s="216"/>
      <c r="BJ973" s="216"/>
      <c r="BK973" s="216"/>
      <c r="BL973" s="216"/>
      <c r="BM973" s="216"/>
      <c r="BN973" s="216"/>
      <c r="BO973" s="216"/>
      <c r="BP973" s="216"/>
      <c r="BQ973" s="216"/>
      <c r="BR973" s="216"/>
    </row>
    <row r="974" spans="1:70" ht="12.75" x14ac:dyDescent="0.2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214"/>
      <c r="L974" s="214"/>
      <c r="M974" s="215"/>
      <c r="N974" s="215"/>
      <c r="O974" s="216"/>
      <c r="P974" s="216"/>
      <c r="Q974" s="216"/>
      <c r="R974" s="216"/>
      <c r="S974" s="216"/>
      <c r="T974" s="216"/>
      <c r="U974" s="216"/>
      <c r="V974" s="216"/>
      <c r="W974" s="216"/>
      <c r="X974" s="216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  <c r="AJ974" s="216"/>
      <c r="AK974" s="216"/>
      <c r="AL974" s="216"/>
      <c r="AM974" s="216"/>
      <c r="AN974" s="216"/>
      <c r="AO974" s="216"/>
      <c r="AP974" s="216"/>
      <c r="AQ974" s="216"/>
      <c r="AR974" s="216"/>
      <c r="AS974" s="216"/>
      <c r="AT974" s="216"/>
      <c r="AU974" s="216"/>
      <c r="AV974" s="216"/>
      <c r="AW974" s="216"/>
      <c r="AX974" s="216"/>
      <c r="AY974" s="216"/>
      <c r="AZ974" s="216"/>
      <c r="BA974" s="216"/>
      <c r="BB974" s="216"/>
      <c r="BC974" s="216"/>
      <c r="BD974" s="216"/>
      <c r="BE974" s="216"/>
      <c r="BF974" s="216"/>
      <c r="BG974" s="216"/>
      <c r="BH974" s="216"/>
      <c r="BI974" s="216"/>
      <c r="BJ974" s="216"/>
      <c r="BK974" s="216"/>
      <c r="BL974" s="216"/>
      <c r="BM974" s="216"/>
      <c r="BN974" s="216"/>
      <c r="BO974" s="216"/>
      <c r="BP974" s="216"/>
      <c r="BQ974" s="216"/>
      <c r="BR974" s="216"/>
    </row>
    <row r="975" spans="1:70" ht="12.75" x14ac:dyDescent="0.2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214"/>
      <c r="L975" s="214"/>
      <c r="M975" s="215"/>
      <c r="N975" s="215"/>
      <c r="O975" s="216"/>
      <c r="P975" s="216"/>
      <c r="Q975" s="216"/>
      <c r="R975" s="216"/>
      <c r="S975" s="216"/>
      <c r="T975" s="216"/>
      <c r="U975" s="216"/>
      <c r="V975" s="216"/>
      <c r="W975" s="216"/>
      <c r="X975" s="216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  <c r="AJ975" s="216"/>
      <c r="AK975" s="216"/>
      <c r="AL975" s="216"/>
      <c r="AM975" s="216"/>
      <c r="AN975" s="216"/>
      <c r="AO975" s="216"/>
      <c r="AP975" s="216"/>
      <c r="AQ975" s="216"/>
      <c r="AR975" s="216"/>
      <c r="AS975" s="216"/>
      <c r="AT975" s="216"/>
      <c r="AU975" s="216"/>
      <c r="AV975" s="216"/>
      <c r="AW975" s="216"/>
      <c r="AX975" s="216"/>
      <c r="AY975" s="216"/>
      <c r="AZ975" s="216"/>
      <c r="BA975" s="216"/>
      <c r="BB975" s="216"/>
      <c r="BC975" s="216"/>
      <c r="BD975" s="216"/>
      <c r="BE975" s="216"/>
      <c r="BF975" s="216"/>
      <c r="BG975" s="216"/>
      <c r="BH975" s="216"/>
      <c r="BI975" s="216"/>
      <c r="BJ975" s="216"/>
      <c r="BK975" s="216"/>
      <c r="BL975" s="216"/>
      <c r="BM975" s="216"/>
      <c r="BN975" s="216"/>
      <c r="BO975" s="216"/>
      <c r="BP975" s="216"/>
      <c r="BQ975" s="216"/>
      <c r="BR975" s="216"/>
    </row>
    <row r="976" spans="1:70" ht="12.75" x14ac:dyDescent="0.2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214"/>
      <c r="L976" s="214"/>
      <c r="M976" s="215"/>
      <c r="N976" s="215"/>
      <c r="O976" s="216"/>
      <c r="P976" s="216"/>
      <c r="Q976" s="216"/>
      <c r="R976" s="216"/>
      <c r="S976" s="216"/>
      <c r="T976" s="216"/>
      <c r="U976" s="216"/>
      <c r="V976" s="216"/>
      <c r="W976" s="216"/>
      <c r="X976" s="216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  <c r="AJ976" s="216"/>
      <c r="AK976" s="216"/>
      <c r="AL976" s="216"/>
      <c r="AM976" s="216"/>
      <c r="AN976" s="216"/>
      <c r="AO976" s="216"/>
      <c r="AP976" s="216"/>
      <c r="AQ976" s="216"/>
      <c r="AR976" s="216"/>
      <c r="AS976" s="216"/>
      <c r="AT976" s="216"/>
      <c r="AU976" s="216"/>
      <c r="AV976" s="216"/>
      <c r="AW976" s="216"/>
      <c r="AX976" s="216"/>
      <c r="AY976" s="216"/>
      <c r="AZ976" s="216"/>
      <c r="BA976" s="216"/>
      <c r="BB976" s="216"/>
      <c r="BC976" s="216"/>
      <c r="BD976" s="216"/>
      <c r="BE976" s="216"/>
      <c r="BF976" s="216"/>
      <c r="BG976" s="216"/>
      <c r="BH976" s="216"/>
      <c r="BI976" s="216"/>
      <c r="BJ976" s="216"/>
      <c r="BK976" s="216"/>
      <c r="BL976" s="216"/>
      <c r="BM976" s="216"/>
      <c r="BN976" s="216"/>
      <c r="BO976" s="216"/>
      <c r="BP976" s="216"/>
      <c r="BQ976" s="216"/>
      <c r="BR976" s="216"/>
    </row>
    <row r="977" spans="1:70" ht="12.75" x14ac:dyDescent="0.2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214"/>
      <c r="L977" s="214"/>
      <c r="M977" s="215"/>
      <c r="N977" s="215"/>
      <c r="O977" s="216"/>
      <c r="P977" s="216"/>
      <c r="Q977" s="216"/>
      <c r="R977" s="216"/>
      <c r="S977" s="216"/>
      <c r="T977" s="216"/>
      <c r="U977" s="216"/>
      <c r="V977" s="216"/>
      <c r="W977" s="216"/>
      <c r="X977" s="216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  <c r="AJ977" s="216"/>
      <c r="AK977" s="216"/>
      <c r="AL977" s="216"/>
      <c r="AM977" s="216"/>
      <c r="AN977" s="216"/>
      <c r="AO977" s="216"/>
      <c r="AP977" s="216"/>
      <c r="AQ977" s="216"/>
      <c r="AR977" s="216"/>
      <c r="AS977" s="216"/>
      <c r="AT977" s="216"/>
      <c r="AU977" s="216"/>
      <c r="AV977" s="216"/>
      <c r="AW977" s="216"/>
      <c r="AX977" s="216"/>
      <c r="AY977" s="216"/>
      <c r="AZ977" s="216"/>
      <c r="BA977" s="216"/>
      <c r="BB977" s="216"/>
      <c r="BC977" s="216"/>
      <c r="BD977" s="216"/>
      <c r="BE977" s="216"/>
      <c r="BF977" s="216"/>
      <c r="BG977" s="216"/>
      <c r="BH977" s="216"/>
      <c r="BI977" s="216"/>
      <c r="BJ977" s="216"/>
      <c r="BK977" s="216"/>
      <c r="BL977" s="216"/>
      <c r="BM977" s="216"/>
      <c r="BN977" s="216"/>
      <c r="BO977" s="216"/>
      <c r="BP977" s="216"/>
      <c r="BQ977" s="216"/>
      <c r="BR977" s="216"/>
    </row>
    <row r="978" spans="1:70" ht="12.75" x14ac:dyDescent="0.2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214"/>
      <c r="L978" s="214"/>
      <c r="M978" s="215"/>
      <c r="N978" s="215"/>
      <c r="O978" s="216"/>
      <c r="P978" s="216"/>
      <c r="Q978" s="216"/>
      <c r="R978" s="216"/>
      <c r="S978" s="216"/>
      <c r="T978" s="216"/>
      <c r="U978" s="216"/>
      <c r="V978" s="216"/>
      <c r="W978" s="216"/>
      <c r="X978" s="216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  <c r="AJ978" s="216"/>
      <c r="AK978" s="216"/>
      <c r="AL978" s="216"/>
      <c r="AM978" s="216"/>
      <c r="AN978" s="216"/>
      <c r="AO978" s="216"/>
      <c r="AP978" s="216"/>
      <c r="AQ978" s="216"/>
      <c r="AR978" s="216"/>
      <c r="AS978" s="216"/>
      <c r="AT978" s="216"/>
      <c r="AU978" s="216"/>
      <c r="AV978" s="216"/>
      <c r="AW978" s="216"/>
      <c r="AX978" s="216"/>
      <c r="AY978" s="216"/>
      <c r="AZ978" s="216"/>
      <c r="BA978" s="216"/>
      <c r="BB978" s="216"/>
      <c r="BC978" s="216"/>
      <c r="BD978" s="216"/>
      <c r="BE978" s="216"/>
      <c r="BF978" s="216"/>
      <c r="BG978" s="216"/>
      <c r="BH978" s="216"/>
      <c r="BI978" s="216"/>
      <c r="BJ978" s="216"/>
      <c r="BK978" s="216"/>
      <c r="BL978" s="216"/>
      <c r="BM978" s="216"/>
      <c r="BN978" s="216"/>
      <c r="BO978" s="216"/>
      <c r="BP978" s="216"/>
      <c r="BQ978" s="216"/>
      <c r="BR978" s="216"/>
    </row>
    <row r="979" spans="1:70" ht="12.75" x14ac:dyDescent="0.2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214"/>
      <c r="L979" s="214"/>
      <c r="M979" s="215"/>
      <c r="N979" s="215"/>
      <c r="O979" s="216"/>
      <c r="P979" s="216"/>
      <c r="Q979" s="216"/>
      <c r="R979" s="216"/>
      <c r="S979" s="216"/>
      <c r="T979" s="216"/>
      <c r="U979" s="216"/>
      <c r="V979" s="216"/>
      <c r="W979" s="216"/>
      <c r="X979" s="216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  <c r="AJ979" s="216"/>
      <c r="AK979" s="216"/>
      <c r="AL979" s="216"/>
      <c r="AM979" s="216"/>
      <c r="AN979" s="216"/>
      <c r="AO979" s="216"/>
      <c r="AP979" s="216"/>
      <c r="AQ979" s="216"/>
      <c r="AR979" s="216"/>
      <c r="AS979" s="216"/>
      <c r="AT979" s="216"/>
      <c r="AU979" s="216"/>
      <c r="AV979" s="216"/>
      <c r="AW979" s="216"/>
      <c r="AX979" s="216"/>
      <c r="AY979" s="216"/>
      <c r="AZ979" s="216"/>
      <c r="BA979" s="216"/>
      <c r="BB979" s="216"/>
      <c r="BC979" s="216"/>
      <c r="BD979" s="216"/>
      <c r="BE979" s="216"/>
      <c r="BF979" s="216"/>
      <c r="BG979" s="216"/>
      <c r="BH979" s="216"/>
      <c r="BI979" s="216"/>
      <c r="BJ979" s="216"/>
      <c r="BK979" s="216"/>
      <c r="BL979" s="216"/>
      <c r="BM979" s="216"/>
      <c r="BN979" s="216"/>
      <c r="BO979" s="216"/>
      <c r="BP979" s="216"/>
      <c r="BQ979" s="216"/>
      <c r="BR979" s="216"/>
    </row>
    <row r="980" spans="1:70" ht="12.75" x14ac:dyDescent="0.2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214"/>
      <c r="L980" s="214"/>
      <c r="M980" s="215"/>
      <c r="N980" s="215"/>
      <c r="O980" s="216"/>
      <c r="P980" s="216"/>
      <c r="Q980" s="216"/>
      <c r="R980" s="216"/>
      <c r="S980" s="216"/>
      <c r="T980" s="216"/>
      <c r="U980" s="216"/>
      <c r="V980" s="216"/>
      <c r="W980" s="216"/>
      <c r="X980" s="216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  <c r="AJ980" s="216"/>
      <c r="AK980" s="216"/>
      <c r="AL980" s="216"/>
      <c r="AM980" s="216"/>
      <c r="AN980" s="216"/>
      <c r="AO980" s="216"/>
      <c r="AP980" s="216"/>
      <c r="AQ980" s="216"/>
      <c r="AR980" s="216"/>
      <c r="AS980" s="216"/>
      <c r="AT980" s="216"/>
      <c r="AU980" s="216"/>
      <c r="AV980" s="216"/>
      <c r="AW980" s="216"/>
      <c r="AX980" s="216"/>
      <c r="AY980" s="216"/>
      <c r="AZ980" s="216"/>
      <c r="BA980" s="216"/>
      <c r="BB980" s="216"/>
      <c r="BC980" s="216"/>
      <c r="BD980" s="216"/>
      <c r="BE980" s="216"/>
      <c r="BF980" s="216"/>
      <c r="BG980" s="216"/>
      <c r="BH980" s="216"/>
      <c r="BI980" s="216"/>
      <c r="BJ980" s="216"/>
      <c r="BK980" s="216"/>
      <c r="BL980" s="216"/>
      <c r="BM980" s="216"/>
      <c r="BN980" s="216"/>
      <c r="BO980" s="216"/>
      <c r="BP980" s="216"/>
      <c r="BQ980" s="216"/>
      <c r="BR980" s="216"/>
    </row>
    <row r="981" spans="1:70" ht="12.75" x14ac:dyDescent="0.2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214"/>
      <c r="L981" s="214"/>
      <c r="M981" s="215"/>
      <c r="N981" s="215"/>
      <c r="O981" s="216"/>
      <c r="P981" s="216"/>
      <c r="Q981" s="216"/>
      <c r="R981" s="216"/>
      <c r="S981" s="216"/>
      <c r="T981" s="216"/>
      <c r="U981" s="216"/>
      <c r="V981" s="216"/>
      <c r="W981" s="216"/>
      <c r="X981" s="216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  <c r="AJ981" s="216"/>
      <c r="AK981" s="216"/>
      <c r="AL981" s="216"/>
      <c r="AM981" s="216"/>
      <c r="AN981" s="216"/>
      <c r="AO981" s="216"/>
      <c r="AP981" s="216"/>
      <c r="AQ981" s="216"/>
      <c r="AR981" s="216"/>
      <c r="AS981" s="216"/>
      <c r="AT981" s="216"/>
      <c r="AU981" s="216"/>
      <c r="AV981" s="216"/>
      <c r="AW981" s="216"/>
      <c r="AX981" s="216"/>
      <c r="AY981" s="216"/>
      <c r="AZ981" s="216"/>
      <c r="BA981" s="216"/>
      <c r="BB981" s="216"/>
      <c r="BC981" s="216"/>
      <c r="BD981" s="216"/>
      <c r="BE981" s="216"/>
      <c r="BF981" s="216"/>
      <c r="BG981" s="216"/>
      <c r="BH981" s="216"/>
      <c r="BI981" s="216"/>
      <c r="BJ981" s="216"/>
      <c r="BK981" s="216"/>
      <c r="BL981" s="216"/>
      <c r="BM981" s="216"/>
      <c r="BN981" s="216"/>
      <c r="BO981" s="216"/>
      <c r="BP981" s="216"/>
      <c r="BQ981" s="216"/>
      <c r="BR981" s="216"/>
    </row>
    <row r="982" spans="1:70" ht="12.75" x14ac:dyDescent="0.2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214"/>
      <c r="L982" s="214"/>
      <c r="M982" s="215"/>
      <c r="N982" s="215"/>
      <c r="O982" s="216"/>
      <c r="P982" s="216"/>
      <c r="Q982" s="216"/>
      <c r="R982" s="216"/>
      <c r="S982" s="216"/>
      <c r="T982" s="216"/>
      <c r="U982" s="216"/>
      <c r="V982" s="216"/>
      <c r="W982" s="216"/>
      <c r="X982" s="216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  <c r="AJ982" s="216"/>
      <c r="AK982" s="216"/>
      <c r="AL982" s="216"/>
      <c r="AM982" s="216"/>
      <c r="AN982" s="216"/>
      <c r="AO982" s="216"/>
      <c r="AP982" s="216"/>
      <c r="AQ982" s="216"/>
      <c r="AR982" s="216"/>
      <c r="AS982" s="216"/>
      <c r="AT982" s="216"/>
      <c r="AU982" s="216"/>
      <c r="AV982" s="216"/>
      <c r="AW982" s="216"/>
      <c r="AX982" s="216"/>
      <c r="AY982" s="216"/>
      <c r="AZ982" s="216"/>
      <c r="BA982" s="216"/>
      <c r="BB982" s="216"/>
      <c r="BC982" s="216"/>
      <c r="BD982" s="216"/>
      <c r="BE982" s="216"/>
      <c r="BF982" s="216"/>
      <c r="BG982" s="216"/>
      <c r="BH982" s="216"/>
      <c r="BI982" s="216"/>
      <c r="BJ982" s="216"/>
      <c r="BK982" s="216"/>
      <c r="BL982" s="216"/>
      <c r="BM982" s="216"/>
      <c r="BN982" s="216"/>
      <c r="BO982" s="216"/>
      <c r="BP982" s="216"/>
      <c r="BQ982" s="216"/>
      <c r="BR982" s="216"/>
    </row>
    <row r="983" spans="1:70" ht="12.75" x14ac:dyDescent="0.2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214"/>
      <c r="L983" s="214"/>
      <c r="M983" s="215"/>
      <c r="N983" s="215"/>
      <c r="O983" s="216"/>
      <c r="P983" s="216"/>
      <c r="Q983" s="216"/>
      <c r="R983" s="216"/>
      <c r="S983" s="216"/>
      <c r="T983" s="216"/>
      <c r="U983" s="216"/>
      <c r="V983" s="216"/>
      <c r="W983" s="216"/>
      <c r="X983" s="216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  <c r="AJ983" s="216"/>
      <c r="AK983" s="216"/>
      <c r="AL983" s="216"/>
      <c r="AM983" s="216"/>
      <c r="AN983" s="216"/>
      <c r="AO983" s="216"/>
      <c r="AP983" s="216"/>
      <c r="AQ983" s="216"/>
      <c r="AR983" s="216"/>
      <c r="AS983" s="216"/>
      <c r="AT983" s="216"/>
      <c r="AU983" s="216"/>
      <c r="AV983" s="216"/>
      <c r="AW983" s="216"/>
      <c r="AX983" s="216"/>
      <c r="AY983" s="216"/>
      <c r="AZ983" s="216"/>
      <c r="BA983" s="216"/>
      <c r="BB983" s="216"/>
      <c r="BC983" s="216"/>
      <c r="BD983" s="216"/>
      <c r="BE983" s="216"/>
      <c r="BF983" s="216"/>
      <c r="BG983" s="216"/>
      <c r="BH983" s="216"/>
      <c r="BI983" s="216"/>
      <c r="BJ983" s="216"/>
      <c r="BK983" s="216"/>
      <c r="BL983" s="216"/>
      <c r="BM983" s="216"/>
      <c r="BN983" s="216"/>
      <c r="BO983" s="216"/>
      <c r="BP983" s="216"/>
      <c r="BQ983" s="216"/>
      <c r="BR983" s="216"/>
    </row>
    <row r="984" spans="1:70" ht="12.75" x14ac:dyDescent="0.2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214"/>
      <c r="L984" s="214"/>
      <c r="M984" s="215"/>
      <c r="N984" s="215"/>
      <c r="O984" s="216"/>
      <c r="P984" s="216"/>
      <c r="Q984" s="216"/>
      <c r="R984" s="216"/>
      <c r="S984" s="216"/>
      <c r="T984" s="216"/>
      <c r="U984" s="216"/>
      <c r="V984" s="216"/>
      <c r="W984" s="216"/>
      <c r="X984" s="216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  <c r="AJ984" s="216"/>
      <c r="AK984" s="216"/>
      <c r="AL984" s="216"/>
      <c r="AM984" s="216"/>
      <c r="AN984" s="216"/>
      <c r="AO984" s="216"/>
      <c r="AP984" s="216"/>
      <c r="AQ984" s="216"/>
      <c r="AR984" s="216"/>
      <c r="AS984" s="216"/>
      <c r="AT984" s="216"/>
      <c r="AU984" s="216"/>
      <c r="AV984" s="216"/>
      <c r="AW984" s="216"/>
      <c r="AX984" s="216"/>
      <c r="AY984" s="216"/>
      <c r="AZ984" s="216"/>
      <c r="BA984" s="216"/>
      <c r="BB984" s="216"/>
      <c r="BC984" s="216"/>
      <c r="BD984" s="216"/>
      <c r="BE984" s="216"/>
      <c r="BF984" s="216"/>
      <c r="BG984" s="216"/>
      <c r="BH984" s="216"/>
      <c r="BI984" s="216"/>
      <c r="BJ984" s="216"/>
      <c r="BK984" s="216"/>
      <c r="BL984" s="216"/>
      <c r="BM984" s="216"/>
      <c r="BN984" s="216"/>
      <c r="BO984" s="216"/>
      <c r="BP984" s="216"/>
      <c r="BQ984" s="216"/>
      <c r="BR984" s="216"/>
    </row>
    <row r="985" spans="1:70" ht="12.75" x14ac:dyDescent="0.2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214"/>
      <c r="L985" s="214"/>
      <c r="M985" s="215"/>
      <c r="N985" s="215"/>
      <c r="O985" s="216"/>
      <c r="P985" s="216"/>
      <c r="Q985" s="216"/>
      <c r="R985" s="216"/>
      <c r="S985" s="216"/>
      <c r="T985" s="216"/>
      <c r="U985" s="216"/>
      <c r="V985" s="216"/>
      <c r="W985" s="216"/>
      <c r="X985" s="216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  <c r="AJ985" s="216"/>
      <c r="AK985" s="216"/>
      <c r="AL985" s="216"/>
      <c r="AM985" s="216"/>
      <c r="AN985" s="216"/>
      <c r="AO985" s="216"/>
      <c r="AP985" s="216"/>
      <c r="AQ985" s="216"/>
      <c r="AR985" s="216"/>
      <c r="AS985" s="216"/>
      <c r="AT985" s="216"/>
      <c r="AU985" s="216"/>
      <c r="AV985" s="216"/>
      <c r="AW985" s="216"/>
      <c r="AX985" s="216"/>
      <c r="AY985" s="216"/>
      <c r="AZ985" s="216"/>
      <c r="BA985" s="216"/>
      <c r="BB985" s="216"/>
      <c r="BC985" s="216"/>
      <c r="BD985" s="216"/>
      <c r="BE985" s="216"/>
      <c r="BF985" s="216"/>
      <c r="BG985" s="216"/>
      <c r="BH985" s="216"/>
      <c r="BI985" s="216"/>
      <c r="BJ985" s="216"/>
      <c r="BK985" s="216"/>
      <c r="BL985" s="216"/>
      <c r="BM985" s="216"/>
      <c r="BN985" s="216"/>
      <c r="BO985" s="216"/>
      <c r="BP985" s="216"/>
      <c r="BQ985" s="216"/>
      <c r="BR985" s="216"/>
    </row>
    <row r="986" spans="1:70" ht="12.75" x14ac:dyDescent="0.2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214"/>
      <c r="L986" s="214"/>
      <c r="M986" s="215"/>
      <c r="N986" s="215"/>
      <c r="O986" s="216"/>
      <c r="P986" s="216"/>
      <c r="Q986" s="216"/>
      <c r="R986" s="216"/>
      <c r="S986" s="216"/>
      <c r="T986" s="216"/>
      <c r="U986" s="216"/>
      <c r="V986" s="216"/>
      <c r="W986" s="216"/>
      <c r="X986" s="216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  <c r="AJ986" s="216"/>
      <c r="AK986" s="216"/>
      <c r="AL986" s="216"/>
      <c r="AM986" s="216"/>
      <c r="AN986" s="216"/>
      <c r="AO986" s="216"/>
      <c r="AP986" s="216"/>
      <c r="AQ986" s="216"/>
      <c r="AR986" s="216"/>
      <c r="AS986" s="216"/>
      <c r="AT986" s="216"/>
      <c r="AU986" s="216"/>
      <c r="AV986" s="216"/>
      <c r="AW986" s="216"/>
      <c r="AX986" s="216"/>
      <c r="AY986" s="216"/>
      <c r="AZ986" s="216"/>
      <c r="BA986" s="216"/>
      <c r="BB986" s="216"/>
      <c r="BC986" s="216"/>
      <c r="BD986" s="216"/>
      <c r="BE986" s="216"/>
      <c r="BF986" s="216"/>
      <c r="BG986" s="216"/>
      <c r="BH986" s="216"/>
      <c r="BI986" s="216"/>
      <c r="BJ986" s="216"/>
      <c r="BK986" s="216"/>
      <c r="BL986" s="216"/>
      <c r="BM986" s="216"/>
      <c r="BN986" s="216"/>
      <c r="BO986" s="216"/>
      <c r="BP986" s="216"/>
      <c r="BQ986" s="216"/>
      <c r="BR986" s="216"/>
    </row>
    <row r="987" spans="1:70" ht="12.75" x14ac:dyDescent="0.2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214"/>
      <c r="L987" s="214"/>
      <c r="M987" s="215"/>
      <c r="N987" s="215"/>
      <c r="O987" s="216"/>
      <c r="P987" s="216"/>
      <c r="Q987" s="216"/>
      <c r="R987" s="216"/>
      <c r="S987" s="216"/>
      <c r="T987" s="216"/>
      <c r="U987" s="216"/>
      <c r="V987" s="216"/>
      <c r="W987" s="216"/>
      <c r="X987" s="216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  <c r="AJ987" s="216"/>
      <c r="AK987" s="216"/>
      <c r="AL987" s="216"/>
      <c r="AM987" s="216"/>
      <c r="AN987" s="216"/>
      <c r="AO987" s="216"/>
      <c r="AP987" s="216"/>
      <c r="AQ987" s="216"/>
      <c r="AR987" s="216"/>
      <c r="AS987" s="216"/>
      <c r="AT987" s="216"/>
      <c r="AU987" s="216"/>
      <c r="AV987" s="216"/>
      <c r="AW987" s="216"/>
      <c r="AX987" s="216"/>
      <c r="AY987" s="216"/>
      <c r="AZ987" s="216"/>
      <c r="BA987" s="216"/>
      <c r="BB987" s="216"/>
      <c r="BC987" s="216"/>
      <c r="BD987" s="216"/>
      <c r="BE987" s="216"/>
      <c r="BF987" s="216"/>
      <c r="BG987" s="216"/>
      <c r="BH987" s="216"/>
      <c r="BI987" s="216"/>
      <c r="BJ987" s="216"/>
      <c r="BK987" s="216"/>
      <c r="BL987" s="216"/>
      <c r="BM987" s="216"/>
      <c r="BN987" s="216"/>
      <c r="BO987" s="216"/>
      <c r="BP987" s="216"/>
      <c r="BQ987" s="216"/>
      <c r="BR987" s="216"/>
    </row>
    <row r="988" spans="1:70" ht="12.75" x14ac:dyDescent="0.2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214"/>
      <c r="L988" s="214"/>
      <c r="M988" s="215"/>
      <c r="N988" s="215"/>
      <c r="O988" s="216"/>
      <c r="P988" s="216"/>
      <c r="Q988" s="216"/>
      <c r="R988" s="216"/>
      <c r="S988" s="216"/>
      <c r="T988" s="216"/>
      <c r="U988" s="216"/>
      <c r="V988" s="216"/>
      <c r="W988" s="216"/>
      <c r="X988" s="216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  <c r="AJ988" s="216"/>
      <c r="AK988" s="216"/>
      <c r="AL988" s="216"/>
      <c r="AM988" s="216"/>
      <c r="AN988" s="216"/>
      <c r="AO988" s="216"/>
      <c r="AP988" s="216"/>
      <c r="AQ988" s="216"/>
      <c r="AR988" s="216"/>
      <c r="AS988" s="216"/>
      <c r="AT988" s="216"/>
      <c r="AU988" s="216"/>
      <c r="AV988" s="216"/>
      <c r="AW988" s="216"/>
      <c r="AX988" s="216"/>
      <c r="AY988" s="216"/>
      <c r="AZ988" s="216"/>
      <c r="BA988" s="216"/>
      <c r="BB988" s="216"/>
      <c r="BC988" s="216"/>
      <c r="BD988" s="216"/>
      <c r="BE988" s="216"/>
      <c r="BF988" s="216"/>
      <c r="BG988" s="216"/>
      <c r="BH988" s="216"/>
      <c r="BI988" s="216"/>
      <c r="BJ988" s="216"/>
      <c r="BK988" s="216"/>
      <c r="BL988" s="216"/>
      <c r="BM988" s="216"/>
      <c r="BN988" s="216"/>
      <c r="BO988" s="216"/>
      <c r="BP988" s="216"/>
      <c r="BQ988" s="216"/>
      <c r="BR988" s="216"/>
    </row>
    <row r="989" spans="1:70" ht="12.75" x14ac:dyDescent="0.2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214"/>
      <c r="L989" s="214"/>
      <c r="M989" s="215"/>
      <c r="N989" s="215"/>
      <c r="O989" s="216"/>
      <c r="P989" s="216"/>
      <c r="Q989" s="216"/>
      <c r="R989" s="216"/>
      <c r="S989" s="216"/>
      <c r="T989" s="216"/>
      <c r="U989" s="216"/>
      <c r="V989" s="216"/>
      <c r="W989" s="216"/>
      <c r="X989" s="216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  <c r="AJ989" s="216"/>
      <c r="AK989" s="216"/>
      <c r="AL989" s="216"/>
      <c r="AM989" s="216"/>
      <c r="AN989" s="216"/>
      <c r="AO989" s="216"/>
      <c r="AP989" s="216"/>
      <c r="AQ989" s="216"/>
      <c r="AR989" s="216"/>
      <c r="AS989" s="216"/>
      <c r="AT989" s="216"/>
      <c r="AU989" s="216"/>
      <c r="AV989" s="216"/>
      <c r="AW989" s="216"/>
      <c r="AX989" s="216"/>
      <c r="AY989" s="216"/>
      <c r="AZ989" s="216"/>
      <c r="BA989" s="216"/>
      <c r="BB989" s="216"/>
      <c r="BC989" s="216"/>
      <c r="BD989" s="216"/>
      <c r="BE989" s="216"/>
      <c r="BF989" s="216"/>
      <c r="BG989" s="216"/>
      <c r="BH989" s="216"/>
      <c r="BI989" s="216"/>
      <c r="BJ989" s="216"/>
      <c r="BK989" s="216"/>
      <c r="BL989" s="216"/>
      <c r="BM989" s="216"/>
      <c r="BN989" s="216"/>
      <c r="BO989" s="216"/>
      <c r="BP989" s="216"/>
      <c r="BQ989" s="216"/>
      <c r="BR989" s="216"/>
    </row>
    <row r="990" spans="1:70" ht="12.75" x14ac:dyDescent="0.2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214"/>
      <c r="L990" s="214"/>
      <c r="M990" s="215"/>
      <c r="N990" s="215"/>
      <c r="O990" s="216"/>
      <c r="P990" s="216"/>
      <c r="Q990" s="216"/>
      <c r="R990" s="216"/>
      <c r="S990" s="216"/>
      <c r="T990" s="216"/>
      <c r="U990" s="216"/>
      <c r="V990" s="216"/>
      <c r="W990" s="216"/>
      <c r="X990" s="216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  <c r="AJ990" s="216"/>
      <c r="AK990" s="216"/>
      <c r="AL990" s="216"/>
      <c r="AM990" s="216"/>
      <c r="AN990" s="216"/>
      <c r="AO990" s="216"/>
      <c r="AP990" s="216"/>
      <c r="AQ990" s="216"/>
      <c r="AR990" s="216"/>
      <c r="AS990" s="216"/>
      <c r="AT990" s="216"/>
      <c r="AU990" s="216"/>
      <c r="AV990" s="216"/>
      <c r="AW990" s="216"/>
      <c r="AX990" s="216"/>
      <c r="AY990" s="216"/>
      <c r="AZ990" s="216"/>
      <c r="BA990" s="216"/>
      <c r="BB990" s="216"/>
      <c r="BC990" s="216"/>
      <c r="BD990" s="216"/>
      <c r="BE990" s="216"/>
      <c r="BF990" s="216"/>
      <c r="BG990" s="216"/>
      <c r="BH990" s="216"/>
      <c r="BI990" s="216"/>
      <c r="BJ990" s="216"/>
      <c r="BK990" s="216"/>
      <c r="BL990" s="216"/>
      <c r="BM990" s="216"/>
      <c r="BN990" s="216"/>
      <c r="BO990" s="216"/>
      <c r="BP990" s="216"/>
      <c r="BQ990" s="216"/>
      <c r="BR990" s="216"/>
    </row>
    <row r="991" spans="1:70" ht="12.75" x14ac:dyDescent="0.2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214"/>
      <c r="L991" s="214"/>
      <c r="M991" s="215"/>
      <c r="N991" s="215"/>
      <c r="O991" s="216"/>
      <c r="P991" s="216"/>
      <c r="Q991" s="216"/>
      <c r="R991" s="216"/>
      <c r="S991" s="216"/>
      <c r="T991" s="216"/>
      <c r="U991" s="216"/>
      <c r="V991" s="216"/>
      <c r="W991" s="216"/>
      <c r="X991" s="216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  <c r="AJ991" s="216"/>
      <c r="AK991" s="216"/>
      <c r="AL991" s="216"/>
      <c r="AM991" s="216"/>
      <c r="AN991" s="216"/>
      <c r="AO991" s="216"/>
      <c r="AP991" s="216"/>
      <c r="AQ991" s="216"/>
      <c r="AR991" s="216"/>
      <c r="AS991" s="216"/>
      <c r="AT991" s="216"/>
      <c r="AU991" s="216"/>
      <c r="AV991" s="216"/>
      <c r="AW991" s="216"/>
      <c r="AX991" s="216"/>
      <c r="AY991" s="216"/>
      <c r="AZ991" s="216"/>
      <c r="BA991" s="216"/>
      <c r="BB991" s="216"/>
      <c r="BC991" s="216"/>
      <c r="BD991" s="216"/>
      <c r="BE991" s="216"/>
      <c r="BF991" s="216"/>
      <c r="BG991" s="216"/>
      <c r="BH991" s="216"/>
      <c r="BI991" s="216"/>
      <c r="BJ991" s="216"/>
      <c r="BK991" s="216"/>
      <c r="BL991" s="216"/>
      <c r="BM991" s="216"/>
      <c r="BN991" s="216"/>
      <c r="BO991" s="216"/>
      <c r="BP991" s="216"/>
      <c r="BQ991" s="216"/>
      <c r="BR991" s="216"/>
    </row>
    <row r="992" spans="1:70" ht="12.75" x14ac:dyDescent="0.2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214"/>
      <c r="L992" s="214"/>
      <c r="M992" s="215"/>
      <c r="N992" s="215"/>
      <c r="O992" s="216"/>
      <c r="P992" s="216"/>
      <c r="Q992" s="216"/>
      <c r="R992" s="216"/>
      <c r="S992" s="216"/>
      <c r="T992" s="216"/>
      <c r="U992" s="216"/>
      <c r="V992" s="216"/>
      <c r="W992" s="216"/>
      <c r="X992" s="216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  <c r="AJ992" s="216"/>
      <c r="AK992" s="216"/>
      <c r="AL992" s="216"/>
      <c r="AM992" s="216"/>
      <c r="AN992" s="216"/>
      <c r="AO992" s="216"/>
      <c r="AP992" s="216"/>
      <c r="AQ992" s="216"/>
      <c r="AR992" s="216"/>
      <c r="AS992" s="216"/>
      <c r="AT992" s="216"/>
      <c r="AU992" s="216"/>
      <c r="AV992" s="216"/>
      <c r="AW992" s="216"/>
      <c r="AX992" s="216"/>
      <c r="AY992" s="216"/>
      <c r="AZ992" s="216"/>
      <c r="BA992" s="216"/>
      <c r="BB992" s="216"/>
      <c r="BC992" s="216"/>
      <c r="BD992" s="216"/>
      <c r="BE992" s="216"/>
      <c r="BF992" s="216"/>
      <c r="BG992" s="216"/>
      <c r="BH992" s="216"/>
      <c r="BI992" s="216"/>
      <c r="BJ992" s="216"/>
      <c r="BK992" s="216"/>
      <c r="BL992" s="216"/>
      <c r="BM992" s="216"/>
      <c r="BN992" s="216"/>
      <c r="BO992" s="216"/>
      <c r="BP992" s="216"/>
      <c r="BQ992" s="216"/>
      <c r="BR992" s="216"/>
    </row>
    <row r="993" spans="1:70" ht="12.75" x14ac:dyDescent="0.2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214"/>
      <c r="L993" s="214"/>
      <c r="M993" s="215"/>
      <c r="N993" s="215"/>
      <c r="O993" s="216"/>
      <c r="P993" s="216"/>
      <c r="Q993" s="216"/>
      <c r="R993" s="216"/>
      <c r="S993" s="216"/>
      <c r="T993" s="216"/>
      <c r="U993" s="216"/>
      <c r="V993" s="216"/>
      <c r="W993" s="216"/>
      <c r="X993" s="216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  <c r="AJ993" s="216"/>
      <c r="AK993" s="216"/>
      <c r="AL993" s="216"/>
      <c r="AM993" s="216"/>
      <c r="AN993" s="216"/>
      <c r="AO993" s="216"/>
      <c r="AP993" s="216"/>
      <c r="AQ993" s="216"/>
      <c r="AR993" s="216"/>
      <c r="AS993" s="216"/>
      <c r="AT993" s="216"/>
      <c r="AU993" s="216"/>
      <c r="AV993" s="216"/>
      <c r="AW993" s="216"/>
      <c r="AX993" s="216"/>
      <c r="AY993" s="216"/>
      <c r="AZ993" s="216"/>
      <c r="BA993" s="216"/>
      <c r="BB993" s="216"/>
      <c r="BC993" s="216"/>
      <c r="BD993" s="216"/>
      <c r="BE993" s="216"/>
      <c r="BF993" s="216"/>
      <c r="BG993" s="216"/>
      <c r="BH993" s="216"/>
      <c r="BI993" s="216"/>
      <c r="BJ993" s="216"/>
      <c r="BK993" s="216"/>
      <c r="BL993" s="216"/>
      <c r="BM993" s="216"/>
      <c r="BN993" s="216"/>
      <c r="BO993" s="216"/>
      <c r="BP993" s="216"/>
      <c r="BQ993" s="216"/>
      <c r="BR993" s="216"/>
    </row>
    <row r="994" spans="1:70" ht="12.75" x14ac:dyDescent="0.2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214"/>
      <c r="L994" s="214"/>
      <c r="M994" s="215"/>
      <c r="N994" s="215"/>
      <c r="O994" s="216"/>
      <c r="P994" s="216"/>
      <c r="Q994" s="216"/>
      <c r="R994" s="216"/>
      <c r="S994" s="216"/>
      <c r="T994" s="216"/>
      <c r="U994" s="216"/>
      <c r="V994" s="216"/>
      <c r="W994" s="216"/>
      <c r="X994" s="216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  <c r="AJ994" s="216"/>
      <c r="AK994" s="216"/>
      <c r="AL994" s="216"/>
      <c r="AM994" s="216"/>
      <c r="AN994" s="216"/>
      <c r="AO994" s="216"/>
      <c r="AP994" s="216"/>
      <c r="AQ994" s="216"/>
      <c r="AR994" s="216"/>
      <c r="AS994" s="216"/>
      <c r="AT994" s="216"/>
      <c r="AU994" s="216"/>
      <c r="AV994" s="216"/>
      <c r="AW994" s="216"/>
      <c r="AX994" s="216"/>
      <c r="AY994" s="216"/>
      <c r="AZ994" s="216"/>
      <c r="BA994" s="216"/>
      <c r="BB994" s="216"/>
      <c r="BC994" s="216"/>
      <c r="BD994" s="216"/>
      <c r="BE994" s="216"/>
      <c r="BF994" s="216"/>
      <c r="BG994" s="216"/>
      <c r="BH994" s="216"/>
      <c r="BI994" s="216"/>
      <c r="BJ994" s="216"/>
      <c r="BK994" s="216"/>
      <c r="BL994" s="216"/>
      <c r="BM994" s="216"/>
      <c r="BN994" s="216"/>
      <c r="BO994" s="216"/>
      <c r="BP994" s="216"/>
      <c r="BQ994" s="216"/>
      <c r="BR994" s="216"/>
    </row>
    <row r="995" spans="1:70" ht="12.75" x14ac:dyDescent="0.2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214"/>
      <c r="L995" s="214"/>
      <c r="M995" s="215"/>
      <c r="N995" s="215"/>
      <c r="O995" s="216"/>
      <c r="P995" s="216"/>
      <c r="Q995" s="216"/>
      <c r="R995" s="216"/>
      <c r="S995" s="216"/>
      <c r="T995" s="216"/>
      <c r="U995" s="216"/>
      <c r="V995" s="216"/>
      <c r="W995" s="216"/>
      <c r="X995" s="216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  <c r="AJ995" s="216"/>
      <c r="AK995" s="216"/>
      <c r="AL995" s="216"/>
      <c r="AM995" s="216"/>
      <c r="AN995" s="216"/>
      <c r="AO995" s="216"/>
      <c r="AP995" s="216"/>
      <c r="AQ995" s="216"/>
      <c r="AR995" s="216"/>
      <c r="AS995" s="216"/>
      <c r="AT995" s="216"/>
      <c r="AU995" s="216"/>
      <c r="AV995" s="216"/>
      <c r="AW995" s="216"/>
      <c r="AX995" s="216"/>
      <c r="AY995" s="216"/>
      <c r="AZ995" s="216"/>
      <c r="BA995" s="216"/>
      <c r="BB995" s="216"/>
      <c r="BC995" s="216"/>
      <c r="BD995" s="216"/>
      <c r="BE995" s="216"/>
      <c r="BF995" s="216"/>
      <c r="BG995" s="216"/>
      <c r="BH995" s="216"/>
      <c r="BI995" s="216"/>
      <c r="BJ995" s="216"/>
      <c r="BK995" s="216"/>
      <c r="BL995" s="216"/>
      <c r="BM995" s="216"/>
      <c r="BN995" s="216"/>
      <c r="BO995" s="216"/>
      <c r="BP995" s="216"/>
      <c r="BQ995" s="216"/>
      <c r="BR995" s="216"/>
    </row>
    <row r="996" spans="1:70" ht="12.75" x14ac:dyDescent="0.2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214"/>
      <c r="L996" s="214"/>
      <c r="M996" s="215"/>
      <c r="N996" s="215"/>
      <c r="O996" s="216"/>
      <c r="P996" s="216"/>
      <c r="Q996" s="216"/>
      <c r="R996" s="216"/>
      <c r="S996" s="216"/>
      <c r="T996" s="216"/>
      <c r="U996" s="216"/>
      <c r="V996" s="216"/>
      <c r="W996" s="216"/>
      <c r="X996" s="216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  <c r="AJ996" s="216"/>
      <c r="AK996" s="216"/>
      <c r="AL996" s="216"/>
      <c r="AM996" s="216"/>
      <c r="AN996" s="216"/>
      <c r="AO996" s="216"/>
      <c r="AP996" s="216"/>
      <c r="AQ996" s="216"/>
      <c r="AR996" s="216"/>
      <c r="AS996" s="216"/>
      <c r="AT996" s="216"/>
      <c r="AU996" s="216"/>
      <c r="AV996" s="216"/>
      <c r="AW996" s="216"/>
      <c r="AX996" s="216"/>
      <c r="AY996" s="216"/>
      <c r="AZ996" s="216"/>
      <c r="BA996" s="216"/>
      <c r="BB996" s="216"/>
      <c r="BC996" s="216"/>
      <c r="BD996" s="216"/>
      <c r="BE996" s="216"/>
      <c r="BF996" s="216"/>
      <c r="BG996" s="216"/>
      <c r="BH996" s="216"/>
      <c r="BI996" s="216"/>
      <c r="BJ996" s="216"/>
      <c r="BK996" s="216"/>
      <c r="BL996" s="216"/>
      <c r="BM996" s="216"/>
      <c r="BN996" s="216"/>
      <c r="BO996" s="216"/>
      <c r="BP996" s="216"/>
      <c r="BQ996" s="216"/>
      <c r="BR996" s="216"/>
    </row>
    <row r="997" spans="1:70" ht="12.75" x14ac:dyDescent="0.2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214"/>
      <c r="L997" s="214"/>
      <c r="M997" s="215"/>
      <c r="N997" s="215"/>
      <c r="O997" s="216"/>
      <c r="P997" s="216"/>
      <c r="Q997" s="216"/>
      <c r="R997" s="216"/>
      <c r="S997" s="216"/>
      <c r="T997" s="216"/>
      <c r="U997" s="216"/>
      <c r="V997" s="216"/>
      <c r="W997" s="216"/>
      <c r="X997" s="216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  <c r="AJ997" s="216"/>
      <c r="AK997" s="216"/>
      <c r="AL997" s="216"/>
      <c r="AM997" s="216"/>
      <c r="AN997" s="216"/>
      <c r="AO997" s="216"/>
      <c r="AP997" s="216"/>
      <c r="AQ997" s="216"/>
      <c r="AR997" s="216"/>
      <c r="AS997" s="216"/>
      <c r="AT997" s="216"/>
      <c r="AU997" s="216"/>
      <c r="AV997" s="216"/>
      <c r="AW997" s="216"/>
      <c r="AX997" s="216"/>
      <c r="AY997" s="216"/>
      <c r="AZ997" s="216"/>
      <c r="BA997" s="216"/>
      <c r="BB997" s="216"/>
      <c r="BC997" s="216"/>
      <c r="BD997" s="216"/>
      <c r="BE997" s="216"/>
      <c r="BF997" s="216"/>
      <c r="BG997" s="216"/>
      <c r="BH997" s="216"/>
      <c r="BI997" s="216"/>
      <c r="BJ997" s="216"/>
      <c r="BK997" s="216"/>
      <c r="BL997" s="216"/>
      <c r="BM997" s="216"/>
      <c r="BN997" s="216"/>
      <c r="BO997" s="216"/>
      <c r="BP997" s="216"/>
      <c r="BQ997" s="216"/>
      <c r="BR997" s="216"/>
    </row>
    <row r="998" spans="1:70" ht="12.75" x14ac:dyDescent="0.2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214"/>
      <c r="L998" s="214"/>
      <c r="M998" s="215"/>
      <c r="N998" s="215"/>
      <c r="O998" s="216"/>
      <c r="P998" s="216"/>
      <c r="Q998" s="216"/>
      <c r="R998" s="216"/>
      <c r="S998" s="216"/>
      <c r="T998" s="216"/>
      <c r="U998" s="216"/>
      <c r="V998" s="216"/>
      <c r="W998" s="216"/>
      <c r="X998" s="216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  <c r="AJ998" s="216"/>
      <c r="AK998" s="216"/>
      <c r="AL998" s="216"/>
      <c r="AM998" s="216"/>
      <c r="AN998" s="216"/>
      <c r="AO998" s="216"/>
      <c r="AP998" s="216"/>
      <c r="AQ998" s="216"/>
      <c r="AR998" s="216"/>
      <c r="AS998" s="216"/>
      <c r="AT998" s="216"/>
      <c r="AU998" s="216"/>
      <c r="AV998" s="216"/>
      <c r="AW998" s="216"/>
      <c r="AX998" s="216"/>
      <c r="AY998" s="216"/>
      <c r="AZ998" s="216"/>
      <c r="BA998" s="216"/>
      <c r="BB998" s="216"/>
      <c r="BC998" s="216"/>
      <c r="BD998" s="216"/>
      <c r="BE998" s="216"/>
      <c r="BF998" s="216"/>
      <c r="BG998" s="216"/>
      <c r="BH998" s="216"/>
      <c r="BI998" s="216"/>
      <c r="BJ998" s="216"/>
      <c r="BK998" s="216"/>
      <c r="BL998" s="216"/>
      <c r="BM998" s="216"/>
      <c r="BN998" s="216"/>
      <c r="BO998" s="216"/>
      <c r="BP998" s="216"/>
      <c r="BQ998" s="216"/>
      <c r="BR998" s="216"/>
    </row>
    <row r="999" spans="1:70" ht="12.75" x14ac:dyDescent="0.2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214"/>
      <c r="L999" s="214"/>
      <c r="M999" s="215"/>
      <c r="N999" s="215"/>
      <c r="O999" s="216"/>
      <c r="P999" s="216"/>
      <c r="Q999" s="216"/>
      <c r="R999" s="216"/>
      <c r="S999" s="216"/>
      <c r="T999" s="216"/>
      <c r="U999" s="216"/>
      <c r="V999" s="216"/>
      <c r="W999" s="216"/>
      <c r="X999" s="216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  <c r="AJ999" s="216"/>
      <c r="AK999" s="216"/>
      <c r="AL999" s="216"/>
      <c r="AM999" s="216"/>
      <c r="AN999" s="216"/>
      <c r="AO999" s="216"/>
      <c r="AP999" s="216"/>
      <c r="AQ999" s="216"/>
      <c r="AR999" s="216"/>
      <c r="AS999" s="216"/>
      <c r="AT999" s="216"/>
      <c r="AU999" s="216"/>
      <c r="AV999" s="216"/>
      <c r="AW999" s="216"/>
      <c r="AX999" s="216"/>
      <c r="AY999" s="216"/>
      <c r="AZ999" s="216"/>
      <c r="BA999" s="216"/>
      <c r="BB999" s="216"/>
      <c r="BC999" s="216"/>
      <c r="BD999" s="216"/>
      <c r="BE999" s="216"/>
      <c r="BF999" s="216"/>
      <c r="BG999" s="216"/>
      <c r="BH999" s="216"/>
      <c r="BI999" s="216"/>
      <c r="BJ999" s="216"/>
      <c r="BK999" s="216"/>
      <c r="BL999" s="216"/>
      <c r="BM999" s="216"/>
      <c r="BN999" s="216"/>
      <c r="BO999" s="216"/>
      <c r="BP999" s="216"/>
      <c r="BQ999" s="216"/>
      <c r="BR999" s="216"/>
    </row>
    <row r="1000" spans="1:70" ht="12.75" x14ac:dyDescent="0.2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  <c r="V1000" s="216"/>
      <c r="W1000" s="216"/>
      <c r="X1000" s="216"/>
      <c r="Y1000" s="216"/>
      <c r="Z1000" s="216"/>
      <c r="AA1000" s="216"/>
      <c r="AB1000" s="216"/>
      <c r="AC1000" s="216"/>
      <c r="AD1000" s="216"/>
      <c r="AE1000" s="216"/>
      <c r="AF1000" s="216"/>
      <c r="AG1000" s="216"/>
      <c r="AH1000" s="216"/>
      <c r="AI1000" s="216"/>
      <c r="AJ1000" s="216"/>
      <c r="AK1000" s="216"/>
      <c r="AL1000" s="216"/>
      <c r="AM1000" s="216"/>
      <c r="AN1000" s="216"/>
      <c r="AO1000" s="216"/>
      <c r="AP1000" s="216"/>
      <c r="AQ1000" s="216"/>
      <c r="AR1000" s="216"/>
      <c r="AS1000" s="216"/>
      <c r="AT1000" s="216"/>
      <c r="AU1000" s="216"/>
      <c r="AV1000" s="216"/>
      <c r="AW1000" s="216"/>
      <c r="AX1000" s="216"/>
      <c r="AY1000" s="216"/>
      <c r="AZ1000" s="216"/>
      <c r="BA1000" s="216"/>
      <c r="BB1000" s="216"/>
      <c r="BC1000" s="216"/>
      <c r="BD1000" s="216"/>
      <c r="BE1000" s="216"/>
      <c r="BF1000" s="216"/>
      <c r="BG1000" s="216"/>
      <c r="BH1000" s="216"/>
      <c r="BI1000" s="216"/>
      <c r="BJ1000" s="216"/>
      <c r="BK1000" s="216"/>
      <c r="BL1000" s="216"/>
      <c r="BM1000" s="216"/>
      <c r="BN1000" s="216"/>
      <c r="BO1000" s="216"/>
      <c r="BP1000" s="216"/>
      <c r="BQ1000" s="216"/>
      <c r="BR1000" s="216"/>
    </row>
  </sheetData>
  <mergeCells count="56">
    <mergeCell ref="C4:E4"/>
    <mergeCell ref="F4:N4"/>
    <mergeCell ref="U4:W4"/>
    <mergeCell ref="X4:Z4"/>
    <mergeCell ref="AA4:AC4"/>
    <mergeCell ref="AV5:AY5"/>
    <mergeCell ref="AZ5:BA5"/>
    <mergeCell ref="AD3:AN3"/>
    <mergeCell ref="AT3:BI3"/>
    <mergeCell ref="BJ3:BR3"/>
    <mergeCell ref="AD4:AF4"/>
    <mergeCell ref="AG4:AH4"/>
    <mergeCell ref="AI4:AK4"/>
    <mergeCell ref="BB5:BD5"/>
    <mergeCell ref="BE5:BF5"/>
    <mergeCell ref="BG5:BI5"/>
    <mergeCell ref="BK5:BL5"/>
    <mergeCell ref="BM5:BO5"/>
    <mergeCell ref="BP5:BR5"/>
    <mergeCell ref="AZ4:BD4"/>
    <mergeCell ref="BE4:BI4"/>
    <mergeCell ref="BJ4:BL4"/>
    <mergeCell ref="BM4:BO4"/>
    <mergeCell ref="BP4:BR4"/>
    <mergeCell ref="A89:B89"/>
    <mergeCell ref="A104:B104"/>
    <mergeCell ref="E5:E6"/>
    <mergeCell ref="F5:G5"/>
    <mergeCell ref="A7:B7"/>
    <mergeCell ref="A13:B13"/>
    <mergeCell ref="A31:B31"/>
    <mergeCell ref="A52:B52"/>
    <mergeCell ref="A74:B74"/>
    <mergeCell ref="C5:C6"/>
    <mergeCell ref="D5:D6"/>
    <mergeCell ref="AG5:AH5"/>
    <mergeCell ref="AI5:AK5"/>
    <mergeCell ref="AL5:AN5"/>
    <mergeCell ref="AP5:AS5"/>
    <mergeCell ref="AT5:AU5"/>
    <mergeCell ref="AL4:AN4"/>
    <mergeCell ref="AT4:AY4"/>
    <mergeCell ref="A2:B6"/>
    <mergeCell ref="C2:BI2"/>
    <mergeCell ref="C3:N3"/>
    <mergeCell ref="O3:Q4"/>
    <mergeCell ref="R3:T4"/>
    <mergeCell ref="U3:AC3"/>
    <mergeCell ref="AO3:AS4"/>
    <mergeCell ref="M5:N5"/>
    <mergeCell ref="P5:Q5"/>
    <mergeCell ref="S5:T5"/>
    <mergeCell ref="V5:W5"/>
    <mergeCell ref="X5:Z5"/>
    <mergeCell ref="AA5:AC5"/>
    <mergeCell ref="AE5:AF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5" fitToWidth="0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  <colBreaks count="3" manualBreakCount="3">
    <brk id="20" max="1048575" man="1"/>
    <brk id="40" max="1048575" man="1"/>
    <brk id="6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U1000"/>
  <sheetViews>
    <sheetView view="pageBreakPreview" zoomScale="60" zoomScaleNormal="100" workbookViewId="0">
      <pane xSplit="2" ySplit="7" topLeftCell="C8" activePane="bottomRight" state="frozen"/>
      <selection activeCell="P71" sqref="P71"/>
      <selection pane="topRight" activeCell="P71" sqref="P71"/>
      <selection pane="bottomLeft" activeCell="P71" sqref="P71"/>
      <selection pane="bottomRight" activeCell="U80" sqref="U80"/>
    </sheetView>
  </sheetViews>
  <sheetFormatPr defaultColWidth="12.5703125" defaultRowHeight="15.75" customHeight="1" x14ac:dyDescent="0.2"/>
  <cols>
    <col min="1" max="1" width="6.42578125" customWidth="1"/>
    <col min="2" max="2" width="21.42578125" customWidth="1"/>
    <col min="3" max="5" width="17.5703125" customWidth="1"/>
    <col min="6" max="6" width="16.85546875" customWidth="1"/>
    <col min="7" max="7" width="12.5703125" customWidth="1"/>
    <col min="8" max="8" width="17.5703125" customWidth="1"/>
    <col min="9" max="9" width="16.42578125" customWidth="1"/>
    <col min="10" max="14" width="15.140625" customWidth="1"/>
    <col min="15" max="17" width="13.85546875" customWidth="1"/>
    <col min="18" max="21" width="15.140625" customWidth="1"/>
  </cols>
  <sheetData>
    <row r="1" spans="1:21" ht="24" customHeight="1" x14ac:dyDescent="0.3">
      <c r="A1" s="1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1"/>
      <c r="N1" s="131"/>
      <c r="O1" s="132"/>
      <c r="P1" s="132"/>
      <c r="Q1" s="132"/>
      <c r="R1" s="132"/>
      <c r="S1" s="132"/>
      <c r="T1" s="132"/>
      <c r="U1" s="132"/>
    </row>
    <row r="2" spans="1:21" ht="24" customHeight="1" x14ac:dyDescent="0.2">
      <c r="A2" s="342" t="s">
        <v>1</v>
      </c>
      <c r="B2" s="343"/>
      <c r="C2" s="334" t="s">
        <v>244</v>
      </c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5"/>
      <c r="T2" s="325"/>
      <c r="U2" s="313"/>
    </row>
    <row r="3" spans="1:21" ht="30" customHeight="1" x14ac:dyDescent="0.2">
      <c r="A3" s="344"/>
      <c r="B3" s="343"/>
      <c r="C3" s="335" t="s">
        <v>3</v>
      </c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13"/>
      <c r="O3" s="404" t="s">
        <v>245</v>
      </c>
      <c r="P3" s="325"/>
      <c r="Q3" s="325"/>
      <c r="R3" s="325"/>
      <c r="S3" s="325"/>
      <c r="T3" s="325"/>
      <c r="U3" s="313"/>
    </row>
    <row r="4" spans="1:21" ht="60" customHeight="1" x14ac:dyDescent="0.3">
      <c r="A4" s="344"/>
      <c r="B4" s="343"/>
      <c r="C4" s="327" t="s">
        <v>8</v>
      </c>
      <c r="D4" s="325"/>
      <c r="E4" s="313"/>
      <c r="F4" s="328" t="s">
        <v>9</v>
      </c>
      <c r="G4" s="325"/>
      <c r="H4" s="325"/>
      <c r="I4" s="325"/>
      <c r="J4" s="325"/>
      <c r="K4" s="325"/>
      <c r="L4" s="325"/>
      <c r="M4" s="325"/>
      <c r="N4" s="313"/>
      <c r="O4" s="361" t="s">
        <v>160</v>
      </c>
      <c r="P4" s="325"/>
      <c r="Q4" s="313"/>
      <c r="R4" s="362" t="s">
        <v>246</v>
      </c>
      <c r="S4" s="313"/>
      <c r="T4" s="362" t="s">
        <v>247</v>
      </c>
      <c r="U4" s="313"/>
    </row>
    <row r="5" spans="1:21" ht="56.25" customHeight="1" x14ac:dyDescent="0.3">
      <c r="A5" s="344"/>
      <c r="B5" s="343"/>
      <c r="C5" s="409" t="s">
        <v>10</v>
      </c>
      <c r="D5" s="410" t="s">
        <v>11</v>
      </c>
      <c r="E5" s="411" t="s">
        <v>12</v>
      </c>
      <c r="F5" s="418" t="s">
        <v>13</v>
      </c>
      <c r="G5" s="412"/>
      <c r="H5" s="419" t="s">
        <v>14</v>
      </c>
      <c r="I5" s="420" t="s">
        <v>15</v>
      </c>
      <c r="J5" s="420" t="s">
        <v>16</v>
      </c>
      <c r="K5" s="420" t="s">
        <v>17</v>
      </c>
      <c r="L5" s="420" t="s">
        <v>18</v>
      </c>
      <c r="M5" s="421" t="s">
        <v>19</v>
      </c>
      <c r="N5" s="412"/>
      <c r="O5" s="287" t="s">
        <v>20</v>
      </c>
      <c r="P5" s="331" t="s">
        <v>21</v>
      </c>
      <c r="Q5" s="313"/>
      <c r="R5" s="403" t="s">
        <v>21</v>
      </c>
      <c r="S5" s="313"/>
      <c r="T5" s="403" t="s">
        <v>21</v>
      </c>
      <c r="U5" s="313"/>
    </row>
    <row r="6" spans="1:21" ht="30" customHeight="1" x14ac:dyDescent="0.3">
      <c r="A6" s="345"/>
      <c r="B6" s="346"/>
      <c r="C6" s="412"/>
      <c r="D6" s="412"/>
      <c r="E6" s="412"/>
      <c r="F6" s="138" t="s">
        <v>22</v>
      </c>
      <c r="G6" s="139" t="s">
        <v>23</v>
      </c>
      <c r="H6" s="140" t="s">
        <v>22</v>
      </c>
      <c r="I6" s="141" t="s">
        <v>22</v>
      </c>
      <c r="J6" s="141" t="s">
        <v>22</v>
      </c>
      <c r="K6" s="141" t="s">
        <v>22</v>
      </c>
      <c r="L6" s="141" t="s">
        <v>22</v>
      </c>
      <c r="M6" s="142" t="s">
        <v>22</v>
      </c>
      <c r="N6" s="143" t="s">
        <v>23</v>
      </c>
      <c r="O6" s="238" t="s">
        <v>139</v>
      </c>
      <c r="P6" s="145" t="s">
        <v>139</v>
      </c>
      <c r="Q6" s="146" t="s">
        <v>23</v>
      </c>
      <c r="R6" s="296" t="s">
        <v>139</v>
      </c>
      <c r="S6" s="145" t="s">
        <v>201</v>
      </c>
      <c r="T6" s="296" t="s">
        <v>139</v>
      </c>
      <c r="U6" s="145" t="s">
        <v>201</v>
      </c>
    </row>
    <row r="7" spans="1:21" ht="24" customHeight="1" x14ac:dyDescent="0.3">
      <c r="A7" s="347" t="s">
        <v>248</v>
      </c>
      <c r="B7" s="348"/>
      <c r="C7" s="147">
        <f ca="1">C8+C9+C12</f>
        <v>4159680</v>
      </c>
      <c r="D7" s="148">
        <f t="shared" ref="D7:E7" ca="1" si="0">D8</f>
        <v>4159680</v>
      </c>
      <c r="E7" s="149">
        <f t="shared" ca="1" si="0"/>
        <v>0</v>
      </c>
      <c r="F7" s="150">
        <f t="shared" ref="F7:F116" ca="1" si="1">H7+M7</f>
        <v>1446026.65</v>
      </c>
      <c r="G7" s="151">
        <f t="shared" ref="G7:G116" ca="1" si="2">IF(D7&gt;0,F7*100/D7,0)</f>
        <v>34.762930081160093</v>
      </c>
      <c r="H7" s="150">
        <f t="shared" ref="H7:M7" ca="1" si="3">H8</f>
        <v>1446026.65</v>
      </c>
      <c r="I7" s="150">
        <f t="shared" ca="1" si="3"/>
        <v>0</v>
      </c>
      <c r="J7" s="150">
        <f t="shared" ca="1" si="3"/>
        <v>73840</v>
      </c>
      <c r="K7" s="150">
        <f t="shared" ca="1" si="3"/>
        <v>494114.94</v>
      </c>
      <c r="L7" s="150">
        <f t="shared" ca="1" si="3"/>
        <v>878071.71</v>
      </c>
      <c r="M7" s="152">
        <f t="shared" ca="1" si="3"/>
        <v>0</v>
      </c>
      <c r="N7" s="152">
        <f t="shared" ref="N7:N11" ca="1" si="4">IF(E7&gt;0,M7*100/E7,0)</f>
        <v>0</v>
      </c>
      <c r="O7" s="246">
        <f t="shared" ref="O7:P7" ca="1" si="5">O8</f>
        <v>200000</v>
      </c>
      <c r="P7" s="154">
        <f t="shared" ca="1" si="5"/>
        <v>40250</v>
      </c>
      <c r="Q7" s="155">
        <f t="shared" ref="Q7:Q8" ca="1" si="6">IF(O7&gt;0,P7*100/O7,0)</f>
        <v>20.125</v>
      </c>
      <c r="R7" s="297">
        <f t="shared" ref="R7:U7" ca="1" si="7">R8</f>
        <v>10152</v>
      </c>
      <c r="S7" s="154">
        <f t="shared" ca="1" si="7"/>
        <v>747</v>
      </c>
      <c r="T7" s="297">
        <f t="shared" ca="1" si="7"/>
        <v>30098</v>
      </c>
      <c r="U7" s="154">
        <f t="shared" ca="1" si="7"/>
        <v>2109</v>
      </c>
    </row>
    <row r="8" spans="1:21" ht="28.5" customHeight="1" x14ac:dyDescent="0.3">
      <c r="A8" s="156" t="s">
        <v>26</v>
      </c>
      <c r="B8" s="157"/>
      <c r="C8" s="159">
        <f t="shared" ref="C8:E8" ca="1" si="8">+C13+C31+C52+C74</f>
        <v>4159680</v>
      </c>
      <c r="D8" s="159">
        <f t="shared" ca="1" si="8"/>
        <v>4159680</v>
      </c>
      <c r="E8" s="159">
        <f t="shared" ca="1" si="8"/>
        <v>0</v>
      </c>
      <c r="F8" s="159">
        <f t="shared" ca="1" si="1"/>
        <v>1446026.65</v>
      </c>
      <c r="G8" s="253">
        <f t="shared" ca="1" si="2"/>
        <v>34.762930081160093</v>
      </c>
      <c r="H8" s="159">
        <f t="shared" ref="H8:M8" ca="1" si="9">+H13+H31+H52+H74</f>
        <v>1446026.65</v>
      </c>
      <c r="I8" s="159">
        <f t="shared" ca="1" si="9"/>
        <v>0</v>
      </c>
      <c r="J8" s="159">
        <f t="shared" ca="1" si="9"/>
        <v>73840</v>
      </c>
      <c r="K8" s="159">
        <f t="shared" ca="1" si="9"/>
        <v>494114.94</v>
      </c>
      <c r="L8" s="159">
        <f t="shared" ca="1" si="9"/>
        <v>878071.71</v>
      </c>
      <c r="M8" s="161">
        <f t="shared" ca="1" si="9"/>
        <v>0</v>
      </c>
      <c r="N8" s="161">
        <f t="shared" ca="1" si="4"/>
        <v>0</v>
      </c>
      <c r="O8" s="159">
        <f t="shared" ref="O8:P8" ca="1" si="10">+O13+O31+O52+O74</f>
        <v>200000</v>
      </c>
      <c r="P8" s="159">
        <f t="shared" ca="1" si="10"/>
        <v>40250</v>
      </c>
      <c r="Q8" s="162">
        <f t="shared" ca="1" si="6"/>
        <v>20.125</v>
      </c>
      <c r="R8" s="159">
        <f t="shared" ref="R8:U8" ca="1" si="11">+R13+R31+R52+R74</f>
        <v>10152</v>
      </c>
      <c r="S8" s="159">
        <f t="shared" ca="1" si="11"/>
        <v>747</v>
      </c>
      <c r="T8" s="159">
        <f t="shared" ca="1" si="11"/>
        <v>30098</v>
      </c>
      <c r="U8" s="159">
        <f t="shared" ca="1" si="11"/>
        <v>2109</v>
      </c>
    </row>
    <row r="9" spans="1:21" ht="28.5" customHeight="1" x14ac:dyDescent="0.3">
      <c r="A9" s="163" t="s">
        <v>249</v>
      </c>
      <c r="B9" s="164"/>
      <c r="C9" s="165">
        <f>+C10+C11</f>
        <v>0</v>
      </c>
      <c r="D9" s="166"/>
      <c r="E9" s="166"/>
      <c r="F9" s="165">
        <f t="shared" si="1"/>
        <v>0</v>
      </c>
      <c r="G9" s="167">
        <f t="shared" si="2"/>
        <v>0</v>
      </c>
      <c r="H9" s="166"/>
      <c r="I9" s="166"/>
      <c r="J9" s="166"/>
      <c r="K9" s="166"/>
      <c r="L9" s="166"/>
      <c r="M9" s="168"/>
      <c r="N9" s="168">
        <f t="shared" si="4"/>
        <v>0</v>
      </c>
      <c r="O9" s="166"/>
      <c r="P9" s="166"/>
      <c r="Q9" s="170"/>
      <c r="R9" s="166"/>
      <c r="S9" s="166"/>
      <c r="T9" s="166"/>
      <c r="U9" s="166"/>
    </row>
    <row r="10" spans="1:21" ht="28.5" hidden="1" customHeight="1" x14ac:dyDescent="0.3">
      <c r="A10" s="163" t="s">
        <v>27</v>
      </c>
      <c r="B10" s="164"/>
      <c r="C10" s="165">
        <f>+C89</f>
        <v>0</v>
      </c>
      <c r="D10" s="166"/>
      <c r="E10" s="166"/>
      <c r="F10" s="165">
        <f t="shared" si="1"/>
        <v>0</v>
      </c>
      <c r="G10" s="167">
        <f t="shared" si="2"/>
        <v>0</v>
      </c>
      <c r="H10" s="166"/>
      <c r="I10" s="166"/>
      <c r="J10" s="166"/>
      <c r="K10" s="166"/>
      <c r="L10" s="166"/>
      <c r="M10" s="168"/>
      <c r="N10" s="168">
        <f t="shared" si="4"/>
        <v>0</v>
      </c>
      <c r="O10" s="166"/>
      <c r="P10" s="166"/>
      <c r="Q10" s="170"/>
      <c r="R10" s="166"/>
      <c r="S10" s="166"/>
      <c r="T10" s="166"/>
      <c r="U10" s="166"/>
    </row>
    <row r="11" spans="1:21" ht="28.5" hidden="1" customHeight="1" x14ac:dyDescent="0.3">
      <c r="A11" s="171" t="s">
        <v>28</v>
      </c>
      <c r="B11" s="164"/>
      <c r="C11" s="165">
        <f>+C104</f>
        <v>0</v>
      </c>
      <c r="D11" s="166"/>
      <c r="E11" s="166"/>
      <c r="F11" s="165">
        <f t="shared" si="1"/>
        <v>0</v>
      </c>
      <c r="G11" s="167">
        <f t="shared" si="2"/>
        <v>0</v>
      </c>
      <c r="H11" s="166"/>
      <c r="I11" s="166"/>
      <c r="J11" s="166"/>
      <c r="K11" s="166"/>
      <c r="L11" s="166"/>
      <c r="M11" s="168"/>
      <c r="N11" s="168">
        <f t="shared" si="4"/>
        <v>0</v>
      </c>
      <c r="O11" s="166"/>
      <c r="P11" s="166"/>
      <c r="Q11" s="170"/>
      <c r="R11" s="166"/>
      <c r="S11" s="166"/>
      <c r="T11" s="166"/>
      <c r="U11" s="166"/>
    </row>
    <row r="12" spans="1:21" ht="28.5" hidden="1" customHeight="1" x14ac:dyDescent="0.3">
      <c r="A12" s="172" t="s">
        <v>29</v>
      </c>
      <c r="B12" s="173"/>
      <c r="C12" s="174">
        <v>0</v>
      </c>
      <c r="D12" s="174">
        <v>0</v>
      </c>
      <c r="E12" s="174">
        <v>0</v>
      </c>
      <c r="F12" s="174">
        <f t="shared" si="1"/>
        <v>0</v>
      </c>
      <c r="G12" s="175">
        <f t="shared" si="2"/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0</v>
      </c>
      <c r="M12" s="176">
        <v>0</v>
      </c>
      <c r="N12" s="176"/>
      <c r="O12" s="174">
        <v>0</v>
      </c>
      <c r="P12" s="174">
        <v>0</v>
      </c>
      <c r="Q12" s="177">
        <f t="shared" ref="Q12:Q88" si="12">IF(O12&gt;0,P12*100/O12,0)</f>
        <v>0</v>
      </c>
      <c r="R12" s="174">
        <v>0</v>
      </c>
      <c r="S12" s="174">
        <v>0</v>
      </c>
      <c r="T12" s="174">
        <v>0</v>
      </c>
      <c r="U12" s="174">
        <v>0</v>
      </c>
    </row>
    <row r="13" spans="1:21" ht="28.5" customHeight="1" x14ac:dyDescent="0.3">
      <c r="A13" s="338" t="s">
        <v>30</v>
      </c>
      <c r="B13" s="339"/>
      <c r="C13" s="159">
        <f t="shared" ref="C13:E13" ca="1" si="13">SUM(C14:C30)</f>
        <v>1668000</v>
      </c>
      <c r="D13" s="159">
        <f t="shared" ca="1" si="13"/>
        <v>1668000</v>
      </c>
      <c r="E13" s="159">
        <f t="shared" ca="1" si="13"/>
        <v>0</v>
      </c>
      <c r="F13" s="159">
        <f t="shared" ca="1" si="1"/>
        <v>532462.97</v>
      </c>
      <c r="G13" s="253">
        <f t="shared" ca="1" si="2"/>
        <v>31.922240407673861</v>
      </c>
      <c r="H13" s="159">
        <f t="shared" ref="H13:M13" ca="1" si="14">SUM(H14:H30)</f>
        <v>532462.97</v>
      </c>
      <c r="I13" s="159">
        <f t="shared" ca="1" si="14"/>
        <v>0</v>
      </c>
      <c r="J13" s="159">
        <f t="shared" ca="1" si="14"/>
        <v>31840</v>
      </c>
      <c r="K13" s="159">
        <f t="shared" ca="1" si="14"/>
        <v>202248.37</v>
      </c>
      <c r="L13" s="159">
        <f t="shared" ca="1" si="14"/>
        <v>298374.59999999998</v>
      </c>
      <c r="M13" s="161">
        <f t="shared" ca="1" si="14"/>
        <v>0</v>
      </c>
      <c r="N13" s="161">
        <f t="shared" ref="N13:N116" ca="1" si="15">IF(E13&gt;0,M13*100/E13,0)</f>
        <v>0</v>
      </c>
      <c r="O13" s="159">
        <f t="shared" ref="O13:P13" ca="1" si="16">SUM(O14:O30)</f>
        <v>148000</v>
      </c>
      <c r="P13" s="159">
        <f t="shared" ca="1" si="16"/>
        <v>26338</v>
      </c>
      <c r="Q13" s="162">
        <f t="shared" ca="1" si="12"/>
        <v>17.795945945945945</v>
      </c>
      <c r="R13" s="159">
        <f t="shared" ref="R13:U13" ca="1" si="17">SUM(R14:R30)</f>
        <v>3779</v>
      </c>
      <c r="S13" s="159">
        <f t="shared" ca="1" si="17"/>
        <v>270</v>
      </c>
      <c r="T13" s="159">
        <f t="shared" ca="1" si="17"/>
        <v>22559</v>
      </c>
      <c r="U13" s="159">
        <f t="shared" ca="1" si="17"/>
        <v>1501</v>
      </c>
    </row>
    <row r="14" spans="1:21" ht="24" customHeight="1" x14ac:dyDescent="0.3">
      <c r="A14" s="178">
        <v>1</v>
      </c>
      <c r="B14" s="179" t="s">
        <v>31</v>
      </c>
      <c r="C14" s="180">
        <f t="shared" ref="C14:C30" ca="1" si="18">D14+E14</f>
        <v>335200</v>
      </c>
      <c r="D14" s="181">
        <f ca="1">IFERROR(__xludf.DUMMYFUNCTION("IMPORTRANGE(""https://docs.google.com/spreadsheets/d/1KxicF4apzSqm0-jIpmueT4kyZtE-Cwn5zskl7GD4loQ/edit?usp=sharing"",""กำแพงเพชร!L791"")"),335200)</f>
        <v>335200</v>
      </c>
      <c r="E14" s="181">
        <f ca="1">IFERROR(__xludf.DUMMYFUNCTION("IMPORTRANGE(""https://docs.google.com/spreadsheets/d/1KxicF4apzSqm0-jIpmueT4kyZtE-Cwn5zskl7GD4loQ/edit?usp=sharing"",""กำแพงเพชร!L798"")"),0)</f>
        <v>0</v>
      </c>
      <c r="F14" s="182">
        <f t="shared" ca="1" si="1"/>
        <v>116056.88</v>
      </c>
      <c r="G14" s="183">
        <f t="shared" ca="1" si="2"/>
        <v>34.623174224343678</v>
      </c>
      <c r="H14" s="184">
        <f t="shared" ref="H14:H30" ca="1" si="19">I14+J14+K14+L14</f>
        <v>116056.88</v>
      </c>
      <c r="I14" s="181">
        <f ca="1">IFERROR(__xludf.DUMMYFUNCTION("IMPORTRANGE(""https://docs.google.com/spreadsheets/d/1KxicF4apzSqm0-jIpmueT4kyZtE-Cwn5zskl7GD4loQ/edit?usp=sharing"",""กำแพงเพชร!N792"")"),0)</f>
        <v>0</v>
      </c>
      <c r="J14" s="181">
        <f ca="1">IFERROR(__xludf.DUMMYFUNCTION("IMPORTRANGE(""https://docs.google.com/spreadsheets/d/1KxicF4apzSqm0-jIpmueT4kyZtE-Cwn5zskl7GD4loQ/edit?usp=sharing"",""กำแพงเพชร!N793"")"),0)</f>
        <v>0</v>
      </c>
      <c r="K14" s="181">
        <f ca="1">IFERROR(__xludf.DUMMYFUNCTION("IMPORTRANGE(""https://docs.google.com/spreadsheets/d/1KxicF4apzSqm0-jIpmueT4kyZtE-Cwn5zskl7GD4loQ/edit?usp=sharing"",""กำแพงเพชร!N794"")"),52500)</f>
        <v>52500</v>
      </c>
      <c r="L14" s="181">
        <f ca="1">IFERROR(__xludf.DUMMYFUNCTION("IMPORTRANGE(""https://docs.google.com/spreadsheets/d/1KxicF4apzSqm0-jIpmueT4kyZtE-Cwn5zskl7GD4loQ/edit?usp=sharing"",""กำแพงเพชร!N795"")"),63556.88)</f>
        <v>63556.88</v>
      </c>
      <c r="M14" s="185">
        <f ca="1">IFERROR(__xludf.DUMMYFUNCTION("IMPORTRANGE(""https://docs.google.com/spreadsheets/d/1KxicF4apzSqm0-jIpmueT4kyZtE-Cwn5zskl7GD4loQ/edit?usp=sharing"",""กำแพงเพชร!N798"")"),0)</f>
        <v>0</v>
      </c>
      <c r="N14" s="185">
        <f t="shared" ca="1" si="15"/>
        <v>0</v>
      </c>
      <c r="O14" s="181">
        <f ca="1">IFERROR(__xludf.DUMMYFUNCTION("IMPORTRANGE(""https://docs.google.com/spreadsheets/d/1KxicF4apzSqm0-jIpmueT4kyZtE-Cwn5zskl7GD4loQ/edit?usp=sharing"",""กำแพงเพชร!I785"")"),79000)</f>
        <v>79000</v>
      </c>
      <c r="P14" s="181">
        <f t="shared" ref="P14:P30" ca="1" si="20">R14+T14</f>
        <v>7526</v>
      </c>
      <c r="Q14" s="186">
        <f t="shared" ca="1" si="12"/>
        <v>9.5265822784810119</v>
      </c>
      <c r="R14" s="181">
        <f ca="1">IFERROR(__xludf.DUMMYFUNCTION("IMPORTRANGE(""https://docs.google.com/spreadsheets/d/1KxicF4apzSqm0-jIpmueT4kyZtE-Cwn5zskl7GD4loQ/edit?usp=sharing"",""กำแพงเพชร!J801"")"),0)</f>
        <v>0</v>
      </c>
      <c r="S14" s="181">
        <f ca="1">IFERROR(__xludf.DUMMYFUNCTION("IMPORTRANGE(""https://docs.google.com/spreadsheets/d/1KxicF4apzSqm0-jIpmueT4kyZtE-Cwn5zskl7GD4loQ/edit?usp=sharing"",""กำแพงเพชร!J800"")"),0)</f>
        <v>0</v>
      </c>
      <c r="T14" s="181">
        <f ca="1">IFERROR(__xludf.DUMMYFUNCTION("IMPORTRANGE(""https://docs.google.com/spreadsheets/d/1KxicF4apzSqm0-jIpmueT4kyZtE-Cwn5zskl7GD4loQ/edit?usp=sharing"",""กำแพงเพชร!J803"")"),7526)</f>
        <v>7526</v>
      </c>
      <c r="U14" s="181">
        <f ca="1">IFERROR(__xludf.DUMMYFUNCTION("IMPORTRANGE(""https://docs.google.com/spreadsheets/d/1KxicF4apzSqm0-jIpmueT4kyZtE-Cwn5zskl7GD4loQ/edit?usp=sharing"",""กำแพงเพชร!J802"")"),607)</f>
        <v>607</v>
      </c>
    </row>
    <row r="15" spans="1:21" ht="24" customHeight="1" x14ac:dyDescent="0.3">
      <c r="A15" s="178">
        <v>2</v>
      </c>
      <c r="B15" s="179" t="s">
        <v>32</v>
      </c>
      <c r="C15" s="180">
        <f t="shared" ca="1" si="18"/>
        <v>0</v>
      </c>
      <c r="D15" s="181">
        <f ca="1">IFERROR(__xludf.DUMMYFUNCTION("IMPORTRANGE(""https://docs.google.com/spreadsheets/d/1ZNYWeiFoFA1K1U4xKWqRX29MBvEyRHXORjo734Gnq_c/edit?usp=sharing"",""เชียงราย!L791"")"),0)</f>
        <v>0</v>
      </c>
      <c r="E15" s="187">
        <f ca="1">IFERROR(__xludf.DUMMYFUNCTION("IMPORTRANGE(""https://docs.google.com/spreadsheets/d/1ZNYWeiFoFA1K1U4xKWqRX29MBvEyRHXORjo734Gnq_c/edit?usp=sharing"",""เชียงราย!L798"")"),0)</f>
        <v>0</v>
      </c>
      <c r="F15" s="182">
        <f t="shared" ca="1" si="1"/>
        <v>0</v>
      </c>
      <c r="G15" s="183">
        <f t="shared" ca="1" si="2"/>
        <v>0</v>
      </c>
      <c r="H15" s="184">
        <f t="shared" ca="1" si="19"/>
        <v>0</v>
      </c>
      <c r="I15" s="187">
        <f ca="1">IFERROR(__xludf.DUMMYFUNCTION("IMPORTRANGE(""https://docs.google.com/spreadsheets/d/1ZNYWeiFoFA1K1U4xKWqRX29MBvEyRHXORjo734Gnq_c/edit?usp=sharing"",""เชียงราย!N792"")"),0)</f>
        <v>0</v>
      </c>
      <c r="J15" s="187">
        <f ca="1">IFERROR(__xludf.DUMMYFUNCTION("IMPORTRANGE(""https://docs.google.com/spreadsheets/d/1ZNYWeiFoFA1K1U4xKWqRX29MBvEyRHXORjo734Gnq_c/edit?usp=sharing"",""เชียงราย!N793"")"),0)</f>
        <v>0</v>
      </c>
      <c r="K15" s="187">
        <f ca="1">IFERROR(__xludf.DUMMYFUNCTION("IMPORTRANGE(""https://docs.google.com/spreadsheets/d/1ZNYWeiFoFA1K1U4xKWqRX29MBvEyRHXORjo734Gnq_c/edit?usp=sharing"",""เชียงราย!N794"")"),0)</f>
        <v>0</v>
      </c>
      <c r="L15" s="187">
        <f ca="1">IFERROR(__xludf.DUMMYFUNCTION("IMPORTRANGE(""https://docs.google.com/spreadsheets/d/1ZNYWeiFoFA1K1U4xKWqRX29MBvEyRHXORjo734Gnq_c/edit?usp=sharing"",""เชียงราย!N795"")"),0)</f>
        <v>0</v>
      </c>
      <c r="M15" s="185">
        <f ca="1">IFERROR(__xludf.DUMMYFUNCTION("IMPORTRANGE(""https://docs.google.com/spreadsheets/d/1ZNYWeiFoFA1K1U4xKWqRX29MBvEyRHXORjo734Gnq_c/edit?usp=sharing"",""เชียงราย!N798"")"),0)</f>
        <v>0</v>
      </c>
      <c r="N15" s="185">
        <f t="shared" ca="1" si="15"/>
        <v>0</v>
      </c>
      <c r="O15" s="181">
        <f ca="1">IFERROR(__xludf.DUMMYFUNCTION("IMPORTRANGE(""https://docs.google.com/spreadsheets/d/1ZNYWeiFoFA1K1U4xKWqRX29MBvEyRHXORjo734Gnq_c/edit?usp=sharing"",""เชียงราย!I785"")"),0)</f>
        <v>0</v>
      </c>
      <c r="P15" s="181">
        <f t="shared" ca="1" si="20"/>
        <v>0</v>
      </c>
      <c r="Q15" s="186">
        <f t="shared" ca="1" si="12"/>
        <v>0</v>
      </c>
      <c r="R15" s="181">
        <f ca="1">IFERROR(__xludf.DUMMYFUNCTION("IMPORTRANGE(""https://docs.google.com/spreadsheets/d/1ZNYWeiFoFA1K1U4xKWqRX29MBvEyRHXORjo734Gnq_c/edit?usp=sharing"",""เชียงราย!J801"")"),0)</f>
        <v>0</v>
      </c>
      <c r="S15" s="181">
        <f ca="1">IFERROR(__xludf.DUMMYFUNCTION("IMPORTRANGE(""https://docs.google.com/spreadsheets/d/1ZNYWeiFoFA1K1U4xKWqRX29MBvEyRHXORjo734Gnq_c/edit?usp=sharing"",""เชียงราย!J800"")"),0)</f>
        <v>0</v>
      </c>
      <c r="T15" s="428">
        <f ca="1">IFERROR(__xludf.DUMMYFUNCTION("IMPORTRANGE(""https://docs.google.com/spreadsheets/d/1ZNYWeiFoFA1K1U4xKWqRX29MBvEyRHXORjo734Gnq_c/edit?usp=sharing"",""เชียงราย!J803"")"),0)</f>
        <v>0</v>
      </c>
      <c r="U15" s="428">
        <f ca="1">IFERROR(__xludf.DUMMYFUNCTION("IMPORTRANGE(""https://docs.google.com/spreadsheets/d/1ZNYWeiFoFA1K1U4xKWqRX29MBvEyRHXORjo734Gnq_c/edit?usp=sharing"",""เชียงราย!J802"")"),0)</f>
        <v>0</v>
      </c>
    </row>
    <row r="16" spans="1:21" ht="24" customHeight="1" x14ac:dyDescent="0.3">
      <c r="A16" s="178">
        <v>3</v>
      </c>
      <c r="B16" s="179" t="s">
        <v>33</v>
      </c>
      <c r="C16" s="180">
        <f t="shared" ca="1" si="18"/>
        <v>137280</v>
      </c>
      <c r="D16" s="181">
        <f ca="1">IFERROR(__xludf.DUMMYFUNCTION("IMPORTRANGE(""https://docs.google.com/spreadsheets/d/1Jgv0Y7YlHDtsiDawwp-uvifEJ8HVaSn0k2aGHG8-hwM/edit?usp=sharing"",""เชียงใหม่!L791"")"),137280)</f>
        <v>137280</v>
      </c>
      <c r="E16" s="187">
        <f ca="1">IFERROR(__xludf.DUMMYFUNCTION("IMPORTRANGE(""https://docs.google.com/spreadsheets/d/1Jgv0Y7YlHDtsiDawwp-uvifEJ8HVaSn0k2aGHG8-hwM/edit?usp=sharing"",""เชียงใหม่!L798"")"),0)</f>
        <v>0</v>
      </c>
      <c r="F16" s="182">
        <f t="shared" ca="1" si="1"/>
        <v>12811.44</v>
      </c>
      <c r="G16" s="183">
        <f t="shared" ca="1" si="2"/>
        <v>9.3323426573426573</v>
      </c>
      <c r="H16" s="184">
        <f t="shared" ca="1" si="19"/>
        <v>12811.44</v>
      </c>
      <c r="I16" s="187">
        <f ca="1">IFERROR(__xludf.DUMMYFUNCTION("IMPORTRANGE(""https://docs.google.com/spreadsheets/d/1Jgv0Y7YlHDtsiDawwp-uvifEJ8HVaSn0k2aGHG8-hwM/edit?usp=sharing"",""เชียงใหม่!N792"")"),0)</f>
        <v>0</v>
      </c>
      <c r="J16" s="187">
        <f ca="1">IFERROR(__xludf.DUMMYFUNCTION("IMPORTRANGE(""https://docs.google.com/spreadsheets/d/1Jgv0Y7YlHDtsiDawwp-uvifEJ8HVaSn0k2aGHG8-hwM/edit?usp=sharing"",""เชียงใหม่!N793"")"),0)</f>
        <v>0</v>
      </c>
      <c r="K16" s="187">
        <f ca="1">IFERROR(__xludf.DUMMYFUNCTION("IMPORTRANGE(""https://docs.google.com/spreadsheets/d/1Jgv0Y7YlHDtsiDawwp-uvifEJ8HVaSn0k2aGHG8-hwM/edit?usp=sharing"",""เชียงใหม่!N794"")"),4080)</f>
        <v>4080</v>
      </c>
      <c r="L16" s="187">
        <f ca="1">IFERROR(__xludf.DUMMYFUNCTION("IMPORTRANGE(""https://docs.google.com/spreadsheets/d/1Jgv0Y7YlHDtsiDawwp-uvifEJ8HVaSn0k2aGHG8-hwM/edit?usp=sharing"",""เชียงใหม่!N795"")"),8731.44)</f>
        <v>8731.44</v>
      </c>
      <c r="M16" s="185">
        <f ca="1">IFERROR(__xludf.DUMMYFUNCTION("IMPORTRANGE(""https://docs.google.com/spreadsheets/d/1Jgv0Y7YlHDtsiDawwp-uvifEJ8HVaSn0k2aGHG8-hwM/edit?usp=sharing"",""เชียงใหม่!N798"")"),0)</f>
        <v>0</v>
      </c>
      <c r="N16" s="185">
        <f t="shared" ca="1" si="15"/>
        <v>0</v>
      </c>
      <c r="O16" s="181">
        <f ca="1">IFERROR(__xludf.DUMMYFUNCTION("IMPORTRANGE(""https://docs.google.com/spreadsheets/d/1Jgv0Y7YlHDtsiDawwp-uvifEJ8HVaSn0k2aGHG8-hwM/edit?usp=sharing"",""เชียงใหม่!I785"")"),2000)</f>
        <v>2000</v>
      </c>
      <c r="P16" s="181">
        <f t="shared" ca="1" si="20"/>
        <v>0</v>
      </c>
      <c r="Q16" s="186">
        <f t="shared" ca="1" si="12"/>
        <v>0</v>
      </c>
      <c r="R16" s="181">
        <f ca="1">IFERROR(__xludf.DUMMYFUNCTION("IMPORTRANGE(""https://docs.google.com/spreadsheets/d/1Jgv0Y7YlHDtsiDawwp-uvifEJ8HVaSn0k2aGHG8-hwM/edit?usp=sharing"",""เชียงใหม่!J801"")"),0)</f>
        <v>0</v>
      </c>
      <c r="S16" s="181">
        <f ca="1">IFERROR(__xludf.DUMMYFUNCTION("IMPORTRANGE(""https://docs.google.com/spreadsheets/d/1Jgv0Y7YlHDtsiDawwp-uvifEJ8HVaSn0k2aGHG8-hwM/edit?usp=sharing"",""เชียงใหม่!J800"")"),0)</f>
        <v>0</v>
      </c>
      <c r="T16" s="181">
        <f ca="1">IFERROR(__xludf.DUMMYFUNCTION("IMPORTRANGE(""https://docs.google.com/spreadsheets/d/1Jgv0Y7YlHDtsiDawwp-uvifEJ8HVaSn0k2aGHG8-hwM/edit?usp=sharing"",""เชียงใหม่!J803"")"),0)</f>
        <v>0</v>
      </c>
      <c r="U16" s="181">
        <f ca="1">IFERROR(__xludf.DUMMYFUNCTION("IMPORTRANGE(""https://docs.google.com/spreadsheets/d/1Jgv0Y7YlHDtsiDawwp-uvifEJ8HVaSn0k2aGHG8-hwM/edit?usp=sharing"",""เชียงใหม่!J802"")"),0)</f>
        <v>0</v>
      </c>
    </row>
    <row r="17" spans="1:21" ht="24" customHeight="1" x14ac:dyDescent="0.3">
      <c r="A17" s="178">
        <v>4</v>
      </c>
      <c r="B17" s="179" t="s">
        <v>34</v>
      </c>
      <c r="C17" s="180">
        <f t="shared" ca="1" si="18"/>
        <v>0</v>
      </c>
      <c r="D17" s="181">
        <f ca="1">IFERROR(__xludf.DUMMYFUNCTION("IMPORTRANGE(""https://docs.google.com/spreadsheets/d/1JWG2rZePOz9pe-f-ObA-yDr0VoOX2kSb0qIix2mTUo8/edit?usp=sharing"",""ตาก!L791"")"),0)</f>
        <v>0</v>
      </c>
      <c r="E17" s="187">
        <f ca="1">IFERROR(__xludf.DUMMYFUNCTION("IMPORTRANGE(""https://docs.google.com/spreadsheets/d/1JWG2rZePOz9pe-f-ObA-yDr0VoOX2kSb0qIix2mTUo8/edit?usp=sharing"",""ตาก!L798"")"),0)</f>
        <v>0</v>
      </c>
      <c r="F17" s="182">
        <f t="shared" ca="1" si="1"/>
        <v>0</v>
      </c>
      <c r="G17" s="183">
        <f t="shared" ca="1" si="2"/>
        <v>0</v>
      </c>
      <c r="H17" s="184">
        <f t="shared" ca="1" si="19"/>
        <v>0</v>
      </c>
      <c r="I17" s="187">
        <f ca="1">IFERROR(__xludf.DUMMYFUNCTION("IMPORTRANGE(""https://docs.google.com/spreadsheets/d/1JWG2rZePOz9pe-f-ObA-yDr0VoOX2kSb0qIix2mTUo8/edit?usp=sharing"",""ตาก!N792"")"),0)</f>
        <v>0</v>
      </c>
      <c r="J17" s="187">
        <f ca="1">IFERROR(__xludf.DUMMYFUNCTION("IMPORTRANGE(""https://docs.google.com/spreadsheets/d/1JWG2rZePOz9pe-f-ObA-yDr0VoOX2kSb0qIix2mTUo8/edit?usp=sharing"",""ตาก!N793"")"),0)</f>
        <v>0</v>
      </c>
      <c r="K17" s="187">
        <f ca="1">IFERROR(__xludf.DUMMYFUNCTION("IMPORTRANGE(""https://docs.google.com/spreadsheets/d/1JWG2rZePOz9pe-f-ObA-yDr0VoOX2kSb0qIix2mTUo8/edit?usp=sharing"",""ตาก!N794"")"),0)</f>
        <v>0</v>
      </c>
      <c r="L17" s="187">
        <f ca="1">IFERROR(__xludf.DUMMYFUNCTION("IMPORTRANGE(""https://docs.google.com/spreadsheets/d/1JWG2rZePOz9pe-f-ObA-yDr0VoOX2kSb0qIix2mTUo8/edit?usp=sharing"",""ตาก!N795"")"),0)</f>
        <v>0</v>
      </c>
      <c r="M17" s="185">
        <f ca="1">IFERROR(__xludf.DUMMYFUNCTION("IMPORTRANGE(""https://docs.google.com/spreadsheets/d/1JWG2rZePOz9pe-f-ObA-yDr0VoOX2kSb0qIix2mTUo8/edit?usp=sharing"",""ตาก!N798"")"),0)</f>
        <v>0</v>
      </c>
      <c r="N17" s="185">
        <f t="shared" ca="1" si="15"/>
        <v>0</v>
      </c>
      <c r="O17" s="181">
        <f ca="1">IFERROR(__xludf.DUMMYFUNCTION("IMPORTRANGE(""https://docs.google.com/spreadsheets/d/1JWG2rZePOz9pe-f-ObA-yDr0VoOX2kSb0qIix2mTUo8/edit?usp=sharing"",""ตาก!I785"")"),0)</f>
        <v>0</v>
      </c>
      <c r="P17" s="181">
        <f t="shared" ca="1" si="20"/>
        <v>0</v>
      </c>
      <c r="Q17" s="186">
        <f t="shared" ca="1" si="12"/>
        <v>0</v>
      </c>
      <c r="R17" s="181">
        <f ca="1">IFERROR(__xludf.DUMMYFUNCTION("IMPORTRANGE(""https://docs.google.com/spreadsheets/d/1JWG2rZePOz9pe-f-ObA-yDr0VoOX2kSb0qIix2mTUo8/edit?usp=sharing"",""ตาก!J801"")"),0)</f>
        <v>0</v>
      </c>
      <c r="S17" s="181">
        <f ca="1">IFERROR(__xludf.DUMMYFUNCTION("IMPORTRANGE(""https://docs.google.com/spreadsheets/d/1JWG2rZePOz9pe-f-ObA-yDr0VoOX2kSb0qIix2mTUo8/edit?usp=sharing"",""ตาก!J800"")"),0)</f>
        <v>0</v>
      </c>
      <c r="T17" s="428">
        <f ca="1">IFERROR(__xludf.DUMMYFUNCTION("IMPORTRANGE(""https://docs.google.com/spreadsheets/d/1JWG2rZePOz9pe-f-ObA-yDr0VoOX2kSb0qIix2mTUo8/edit?usp=sharing"",""ตาก!J803"")"),0)</f>
        <v>0</v>
      </c>
      <c r="U17" s="428">
        <f ca="1">IFERROR(__xludf.DUMMYFUNCTION("IMPORTRANGE(""https://docs.google.com/spreadsheets/d/1JWG2rZePOz9pe-f-ObA-yDr0VoOX2kSb0qIix2mTUo8/edit?usp=sharing"",""ตาก!J802"")"),0)</f>
        <v>0</v>
      </c>
    </row>
    <row r="18" spans="1:21" ht="24" customHeight="1" x14ac:dyDescent="0.3">
      <c r="A18" s="178">
        <v>5</v>
      </c>
      <c r="B18" s="179" t="s">
        <v>35</v>
      </c>
      <c r="C18" s="180">
        <f t="shared" ca="1" si="18"/>
        <v>0</v>
      </c>
      <c r="D18" s="181">
        <f ca="1">IFERROR(__xludf.DUMMYFUNCTION("IMPORTRANGE(""https://docs.google.com/spreadsheets/d/10nSRjK08hx8Y6HgSOQKNw81lyY46Zc7U_Cj72hBMp9U/edit?usp=sharing"",""นครสวรรค์!L791"")"),0)</f>
        <v>0</v>
      </c>
      <c r="E18" s="187">
        <f ca="1">IFERROR(__xludf.DUMMYFUNCTION("IMPORTRANGE(""https://docs.google.com/spreadsheets/d/10nSRjK08hx8Y6HgSOQKNw81lyY46Zc7U_Cj72hBMp9U/edit?usp=sharing"",""นครสวรรค์!L798"")"),0)</f>
        <v>0</v>
      </c>
      <c r="F18" s="182">
        <f t="shared" ca="1" si="1"/>
        <v>0</v>
      </c>
      <c r="G18" s="183">
        <f t="shared" ca="1" si="2"/>
        <v>0</v>
      </c>
      <c r="H18" s="184">
        <f t="shared" ca="1" si="19"/>
        <v>0</v>
      </c>
      <c r="I18" s="187">
        <f ca="1">IFERROR(__xludf.DUMMYFUNCTION("IMPORTRANGE(""https://docs.google.com/spreadsheets/d/10nSRjK08hx8Y6HgSOQKNw81lyY46Zc7U_Cj72hBMp9U/edit?usp=sharing"",""นครสวรรค์!N792"")"),0)</f>
        <v>0</v>
      </c>
      <c r="J18" s="187">
        <f ca="1">IFERROR(__xludf.DUMMYFUNCTION("IMPORTRANGE(""https://docs.google.com/spreadsheets/d/10nSRjK08hx8Y6HgSOQKNw81lyY46Zc7U_Cj72hBMp9U/edit?usp=sharing"",""นครสวรรค์!N793"")"),0)</f>
        <v>0</v>
      </c>
      <c r="K18" s="187">
        <f ca="1">IFERROR(__xludf.DUMMYFUNCTION("IMPORTRANGE(""https://docs.google.com/spreadsheets/d/10nSRjK08hx8Y6HgSOQKNw81lyY46Zc7U_Cj72hBMp9U/edit?usp=sharing"",""นครสวรรค์!N794"")"),0)</f>
        <v>0</v>
      </c>
      <c r="L18" s="187">
        <f ca="1">IFERROR(__xludf.DUMMYFUNCTION("IMPORTRANGE(""https://docs.google.com/spreadsheets/d/10nSRjK08hx8Y6HgSOQKNw81lyY46Zc7U_Cj72hBMp9U/edit?usp=sharing"",""นครสวรรค์!N795"")"),0)</f>
        <v>0</v>
      </c>
      <c r="M18" s="185">
        <f ca="1">IFERROR(__xludf.DUMMYFUNCTION("IMPORTRANGE(""https://docs.google.com/spreadsheets/d/10nSRjK08hx8Y6HgSOQKNw81lyY46Zc7U_Cj72hBMp9U/edit?usp=sharing"",""นครสวรรค์!N798"")"),0)</f>
        <v>0</v>
      </c>
      <c r="N18" s="185">
        <f t="shared" ca="1" si="15"/>
        <v>0</v>
      </c>
      <c r="O18" s="181">
        <f ca="1">IFERROR(__xludf.DUMMYFUNCTION("IMPORTRANGE(""https://docs.google.com/spreadsheets/d/10nSRjK08hx8Y6HgSOQKNw81lyY46Zc7U_Cj72hBMp9U/edit?usp=sharing"",""นครสวรรค์!I785"")"),15000)</f>
        <v>15000</v>
      </c>
      <c r="P18" s="181">
        <f t="shared" ca="1" si="20"/>
        <v>7519</v>
      </c>
      <c r="Q18" s="186">
        <f t="shared" ca="1" si="12"/>
        <v>50.126666666666665</v>
      </c>
      <c r="R18" s="181">
        <f ca="1">IFERROR(__xludf.DUMMYFUNCTION("IMPORTRANGE(""https://docs.google.com/spreadsheets/d/10nSRjK08hx8Y6HgSOQKNw81lyY46Zc7U_Cj72hBMp9U/edit?usp=sharing"",""นครสวรรค์!J801"")"),0)</f>
        <v>0</v>
      </c>
      <c r="S18" s="181">
        <f ca="1">IFERROR(__xludf.DUMMYFUNCTION("IMPORTRANGE(""https://docs.google.com/spreadsheets/d/10nSRjK08hx8Y6HgSOQKNw81lyY46Zc7U_Cj72hBMp9U/edit?usp=sharing"",""นครสวรรค์!J800"")"),0)</f>
        <v>0</v>
      </c>
      <c r="T18" s="181">
        <f ca="1">IFERROR(__xludf.DUMMYFUNCTION("IMPORTRANGE(""https://docs.google.com/spreadsheets/d/10nSRjK08hx8Y6HgSOQKNw81lyY46Zc7U_Cj72hBMp9U/edit?usp=sharing"",""นครสวรรค์!J803"")"),7519)</f>
        <v>7519</v>
      </c>
      <c r="U18" s="181">
        <f ca="1">IFERROR(__xludf.DUMMYFUNCTION("IMPORTRANGE(""https://docs.google.com/spreadsheets/d/10nSRjK08hx8Y6HgSOQKNw81lyY46Zc7U_Cj72hBMp9U/edit?usp=sharing"",""นครสวรรค์!J802"")"),492)</f>
        <v>492</v>
      </c>
    </row>
    <row r="19" spans="1:21" ht="24" customHeight="1" x14ac:dyDescent="0.3">
      <c r="A19" s="178">
        <v>6</v>
      </c>
      <c r="B19" s="179" t="s">
        <v>36</v>
      </c>
      <c r="C19" s="180">
        <f t="shared" ca="1" si="18"/>
        <v>0</v>
      </c>
      <c r="D19" s="181">
        <f ca="1">IFERROR(__xludf.DUMMYFUNCTION("IMPORTRANGE(""https://docs.google.com/spreadsheets/d/1gFVb7qd7amutrIxAAoM7lcy35hllxznovot8lyOfvDo/edit?usp=sharing"",""น่าน!L791"")"),0)</f>
        <v>0</v>
      </c>
      <c r="E19" s="187">
        <f ca="1">IFERROR(__xludf.DUMMYFUNCTION("IMPORTRANGE(""https://docs.google.com/spreadsheets/d/1gFVb7qd7amutrIxAAoM7lcy35hllxznovot8lyOfvDo/edit?usp=sharing"",""น่าน!L798"")"),0)</f>
        <v>0</v>
      </c>
      <c r="F19" s="182">
        <f t="shared" ca="1" si="1"/>
        <v>0</v>
      </c>
      <c r="G19" s="183">
        <f t="shared" ca="1" si="2"/>
        <v>0</v>
      </c>
      <c r="H19" s="184">
        <f t="shared" ca="1" si="19"/>
        <v>0</v>
      </c>
      <c r="I19" s="187">
        <f ca="1">IFERROR(__xludf.DUMMYFUNCTION("IMPORTRANGE(""https://docs.google.com/spreadsheets/d/1gFVb7qd7amutrIxAAoM7lcy35hllxznovot8lyOfvDo/edit?usp=sharing"",""น่าน!N792"")"),0)</f>
        <v>0</v>
      </c>
      <c r="J19" s="187">
        <f ca="1">IFERROR(__xludf.DUMMYFUNCTION("IMPORTRANGE(""https://docs.google.com/spreadsheets/d/1gFVb7qd7amutrIxAAoM7lcy35hllxznovot8lyOfvDo/edit?usp=sharing"",""น่าน!N793"")"),0)</f>
        <v>0</v>
      </c>
      <c r="K19" s="187">
        <f ca="1">IFERROR(__xludf.DUMMYFUNCTION("IMPORTRANGE(""https://docs.google.com/spreadsheets/d/1gFVb7qd7amutrIxAAoM7lcy35hllxznovot8lyOfvDo/edit?usp=sharing"",""น่าน!N794"")"),0)</f>
        <v>0</v>
      </c>
      <c r="L19" s="187">
        <f ca="1">IFERROR(__xludf.DUMMYFUNCTION("IMPORTRANGE(""https://docs.google.com/spreadsheets/d/1gFVb7qd7amutrIxAAoM7lcy35hllxznovot8lyOfvDo/edit?usp=sharing"",""น่าน!N795"")"),0)</f>
        <v>0</v>
      </c>
      <c r="M19" s="185">
        <f ca="1">IFERROR(__xludf.DUMMYFUNCTION("IMPORTRANGE(""https://docs.google.com/spreadsheets/d/1gFVb7qd7amutrIxAAoM7lcy35hllxznovot8lyOfvDo/edit?usp=sharing"",""น่าน!N798"")"),0)</f>
        <v>0</v>
      </c>
      <c r="N19" s="185">
        <f t="shared" ca="1" si="15"/>
        <v>0</v>
      </c>
      <c r="O19" s="181">
        <f ca="1">IFERROR(__xludf.DUMMYFUNCTION("IMPORTRANGE(""https://docs.google.com/spreadsheets/d/1gFVb7qd7amutrIxAAoM7lcy35hllxznovot8lyOfvDo/edit?usp=sharing"",""น่าน!I785"")"),0)</f>
        <v>0</v>
      </c>
      <c r="P19" s="181">
        <f t="shared" ca="1" si="20"/>
        <v>0</v>
      </c>
      <c r="Q19" s="186">
        <f t="shared" ca="1" si="12"/>
        <v>0</v>
      </c>
      <c r="R19" s="181">
        <f ca="1">IFERROR(__xludf.DUMMYFUNCTION("IMPORTRANGE(""https://docs.google.com/spreadsheets/d/1gFVb7qd7amutrIxAAoM7lcy35hllxznovot8lyOfvDo/edit?usp=sharing"",""น่าน!J801"")"),0)</f>
        <v>0</v>
      </c>
      <c r="S19" s="181">
        <f ca="1">IFERROR(__xludf.DUMMYFUNCTION("IMPORTRANGE(""https://docs.google.com/spreadsheets/d/1gFVb7qd7amutrIxAAoM7lcy35hllxznovot8lyOfvDo/edit?usp=sharing"",""น่าน!J800"")"),0)</f>
        <v>0</v>
      </c>
      <c r="T19" s="181">
        <f ca="1">IFERROR(__xludf.DUMMYFUNCTION("IMPORTRANGE(""https://docs.google.com/spreadsheets/d/1gFVb7qd7amutrIxAAoM7lcy35hllxznovot8lyOfvDo/edit?usp=sharing"",""น่าน!J803"")"),0)</f>
        <v>0</v>
      </c>
      <c r="U19" s="181">
        <f ca="1">IFERROR(__xludf.DUMMYFUNCTION("IMPORTRANGE(""https://docs.google.com/spreadsheets/d/1gFVb7qd7amutrIxAAoM7lcy35hllxznovot8lyOfvDo/edit?usp=sharing"",""น่าน!J802"")"),0)</f>
        <v>0</v>
      </c>
    </row>
    <row r="20" spans="1:21" ht="24" customHeight="1" x14ac:dyDescent="0.3">
      <c r="A20" s="178">
        <v>7</v>
      </c>
      <c r="B20" s="179" t="s">
        <v>37</v>
      </c>
      <c r="C20" s="180">
        <f t="shared" ca="1" si="18"/>
        <v>0</v>
      </c>
      <c r="D20" s="181">
        <f ca="1">IFERROR(__xludf.DUMMYFUNCTION("IMPORTRANGE(""https://docs.google.com/spreadsheets/d/1K0Aa9s-6EuHE5M0FG1F9aHLXRCOV917xvycTdLdct0w/edit?usp=sharing"",""พะเยา!L791"")"),0)</f>
        <v>0</v>
      </c>
      <c r="E20" s="187">
        <f ca="1">IFERROR(__xludf.DUMMYFUNCTION("IMPORTRANGE(""https://docs.google.com/spreadsheets/d/1K0Aa9s-6EuHE5M0FG1F9aHLXRCOV917xvycTdLdct0w/edit?usp=sharing"",""พะเยา!L798"")"),0)</f>
        <v>0</v>
      </c>
      <c r="F20" s="182">
        <f t="shared" ca="1" si="1"/>
        <v>0</v>
      </c>
      <c r="G20" s="183">
        <f t="shared" ca="1" si="2"/>
        <v>0</v>
      </c>
      <c r="H20" s="184">
        <f t="shared" ca="1" si="19"/>
        <v>0</v>
      </c>
      <c r="I20" s="187">
        <f ca="1">IFERROR(__xludf.DUMMYFUNCTION("IMPORTRANGE(""https://docs.google.com/spreadsheets/d/1K0Aa9s-6EuHE5M0FG1F9aHLXRCOV917xvycTdLdct0w/edit?usp=sharing"",""พะเยา!N792"")"),0)</f>
        <v>0</v>
      </c>
      <c r="J20" s="187">
        <f ca="1">IFERROR(__xludf.DUMMYFUNCTION("IMPORTRANGE(""https://docs.google.com/spreadsheets/d/1K0Aa9s-6EuHE5M0FG1F9aHLXRCOV917xvycTdLdct0w/edit?usp=sharing"",""พะเยา!N793"")"),0)</f>
        <v>0</v>
      </c>
      <c r="K20" s="187">
        <f ca="1">IFERROR(__xludf.DUMMYFUNCTION("IMPORTRANGE(""https://docs.google.com/spreadsheets/d/1K0Aa9s-6EuHE5M0FG1F9aHLXRCOV917xvycTdLdct0w/edit?usp=sharing"",""พะเยา!N794"")"),0)</f>
        <v>0</v>
      </c>
      <c r="L20" s="187">
        <f ca="1">IFERROR(__xludf.DUMMYFUNCTION("IMPORTRANGE(""https://docs.google.com/spreadsheets/d/1K0Aa9s-6EuHE5M0FG1F9aHLXRCOV917xvycTdLdct0w/edit?usp=sharing"",""พะเยา!N795"")"),0)</f>
        <v>0</v>
      </c>
      <c r="M20" s="185">
        <f ca="1">IFERROR(__xludf.DUMMYFUNCTION("IMPORTRANGE(""https://docs.google.com/spreadsheets/d/1K0Aa9s-6EuHE5M0FG1F9aHLXRCOV917xvycTdLdct0w/edit?usp=sharing"",""พะเยา!N798"")"),0)</f>
        <v>0</v>
      </c>
      <c r="N20" s="185">
        <f t="shared" ca="1" si="15"/>
        <v>0</v>
      </c>
      <c r="O20" s="181">
        <f ca="1">IFERROR(__xludf.DUMMYFUNCTION("IMPORTRANGE(""https://docs.google.com/spreadsheets/d/1K0Aa9s-6EuHE5M0FG1F9aHLXRCOV917xvycTdLdct0w/edit?usp=sharing"",""พะเยา!I785"")"),0)</f>
        <v>0</v>
      </c>
      <c r="P20" s="181">
        <f t="shared" ca="1" si="20"/>
        <v>0</v>
      </c>
      <c r="Q20" s="186">
        <f t="shared" ca="1" si="12"/>
        <v>0</v>
      </c>
      <c r="R20" s="181">
        <f ca="1">IFERROR(__xludf.DUMMYFUNCTION("IMPORTRANGE(""https://docs.google.com/spreadsheets/d/1K0Aa9s-6EuHE5M0FG1F9aHLXRCOV917xvycTdLdct0w/edit?usp=sharing"",""พะเยา!J801"")"),0)</f>
        <v>0</v>
      </c>
      <c r="S20" s="181">
        <f ca="1">IFERROR(__xludf.DUMMYFUNCTION("IMPORTRANGE(""https://docs.google.com/spreadsheets/d/1K0Aa9s-6EuHE5M0FG1F9aHLXRCOV917xvycTdLdct0w/edit?usp=sharing"",""พะเยา!J800"")"),0)</f>
        <v>0</v>
      </c>
      <c r="T20" s="428">
        <f ca="1">IFERROR(__xludf.DUMMYFUNCTION("IMPORTRANGE(""https://docs.google.com/spreadsheets/d/1K0Aa9s-6EuHE5M0FG1F9aHLXRCOV917xvycTdLdct0w/edit?usp=sharing"",""พะเยา!J803"")"),0)</f>
        <v>0</v>
      </c>
      <c r="U20" s="428">
        <f ca="1">IFERROR(__xludf.DUMMYFUNCTION("IMPORTRANGE(""https://docs.google.com/spreadsheets/d/1K0Aa9s-6EuHE5M0FG1F9aHLXRCOV917xvycTdLdct0w/edit?usp=sharing"",""พะเยา!J802"")"),0)</f>
        <v>0</v>
      </c>
    </row>
    <row r="21" spans="1:21" ht="24" customHeight="1" x14ac:dyDescent="0.3">
      <c r="A21" s="178">
        <v>8</v>
      </c>
      <c r="B21" s="179" t="s">
        <v>38</v>
      </c>
      <c r="C21" s="180">
        <f t="shared" ca="1" si="18"/>
        <v>137280</v>
      </c>
      <c r="D21" s="181">
        <f ca="1">IFERROR(__xludf.DUMMYFUNCTION("IMPORTRANGE(""https://docs.google.com/spreadsheets/d/1Y9LPKx95PyL5OKy09d-KbKJSuuEZCFdkhYjwC0XQjBA/edit?usp=sharing"",""พิจิตร!L791"")"),137280)</f>
        <v>137280</v>
      </c>
      <c r="E21" s="187">
        <f ca="1">IFERROR(__xludf.DUMMYFUNCTION("IMPORTRANGE(""https://docs.google.com/spreadsheets/d/1Y9LPKx95PyL5OKy09d-KbKJSuuEZCFdkhYjwC0XQjBA/edit?usp=sharing"",""พิจิตร!L798"")"),0)</f>
        <v>0</v>
      </c>
      <c r="F21" s="182">
        <f t="shared" ca="1" si="1"/>
        <v>37580</v>
      </c>
      <c r="G21" s="183">
        <f t="shared" ca="1" si="2"/>
        <v>27.374708624708624</v>
      </c>
      <c r="H21" s="184">
        <f t="shared" ca="1" si="19"/>
        <v>37580</v>
      </c>
      <c r="I21" s="187">
        <f ca="1">IFERROR(__xludf.DUMMYFUNCTION("IMPORTRANGE(""https://docs.google.com/spreadsheets/d/1Y9LPKx95PyL5OKy09d-KbKJSuuEZCFdkhYjwC0XQjBA/edit?usp=sharing"",""พิจิตร!N792"")"),0)</f>
        <v>0</v>
      </c>
      <c r="J21" s="187">
        <f ca="1">IFERROR(__xludf.DUMMYFUNCTION("IMPORTRANGE(""https://docs.google.com/spreadsheets/d/1Y9LPKx95PyL5OKy09d-KbKJSuuEZCFdkhYjwC0XQjBA/edit?usp=sharing"",""พิจิตร!N793"")"),0)</f>
        <v>0</v>
      </c>
      <c r="K21" s="187">
        <f ca="1">IFERROR(__xludf.DUMMYFUNCTION("IMPORTRANGE(""https://docs.google.com/spreadsheets/d/1Y9LPKx95PyL5OKy09d-KbKJSuuEZCFdkhYjwC0XQjBA/edit?usp=sharing"",""พิจิตร!N794"")"),0)</f>
        <v>0</v>
      </c>
      <c r="L21" s="187">
        <f ca="1">IFERROR(__xludf.DUMMYFUNCTION("IMPORTRANGE(""https://docs.google.com/spreadsheets/d/1Y9LPKx95PyL5OKy09d-KbKJSuuEZCFdkhYjwC0XQjBA/edit?usp=sharing"",""พิจิตร!N795"")"),37580)</f>
        <v>37580</v>
      </c>
      <c r="M21" s="185">
        <f ca="1">IFERROR(__xludf.DUMMYFUNCTION("IMPORTRANGE(""https://docs.google.com/spreadsheets/d/1Y9LPKx95PyL5OKy09d-KbKJSuuEZCFdkhYjwC0XQjBA/edit?usp=sharing"",""พิจิตร!N798"")"),0)</f>
        <v>0</v>
      </c>
      <c r="N21" s="185">
        <f t="shared" ca="1" si="15"/>
        <v>0</v>
      </c>
      <c r="O21" s="181">
        <f ca="1">IFERROR(__xludf.DUMMYFUNCTION("IMPORTRANGE(""https://docs.google.com/spreadsheets/d/1Y9LPKx95PyL5OKy09d-KbKJSuuEZCFdkhYjwC0XQjBA/edit?usp=sharing"",""พิจิตร!I785"")"),2000)</f>
        <v>2000</v>
      </c>
      <c r="P21" s="181">
        <f t="shared" ca="1" si="20"/>
        <v>1186</v>
      </c>
      <c r="Q21" s="186">
        <f t="shared" ca="1" si="12"/>
        <v>59.3</v>
      </c>
      <c r="R21" s="181">
        <f ca="1">IFERROR(__xludf.DUMMYFUNCTION("IMPORTRANGE(""https://docs.google.com/spreadsheets/d/1Y9LPKx95PyL5OKy09d-KbKJSuuEZCFdkhYjwC0XQjBA/edit?usp=sharing"",""พิจิตร!J801"")"),1186)</f>
        <v>1186</v>
      </c>
      <c r="S21" s="181">
        <f ca="1">IFERROR(__xludf.DUMMYFUNCTION("IMPORTRANGE(""https://docs.google.com/spreadsheets/d/1Y9LPKx95PyL5OKy09d-KbKJSuuEZCFdkhYjwC0XQjBA/edit?usp=sharing"",""พิจิตร!J800"")"),50)</f>
        <v>50</v>
      </c>
      <c r="T21" s="181">
        <f ca="1">IFERROR(__xludf.DUMMYFUNCTION("IMPORTRANGE(""https://docs.google.com/spreadsheets/d/1Y9LPKx95PyL5OKy09d-KbKJSuuEZCFdkhYjwC0XQjBA/edit?usp=sharing"",""พิจิตร!J803"")"),0)</f>
        <v>0</v>
      </c>
      <c r="U21" s="181">
        <f ca="1">IFERROR(__xludf.DUMMYFUNCTION("IMPORTRANGE(""https://docs.google.com/spreadsheets/d/1Y9LPKx95PyL5OKy09d-KbKJSuuEZCFdkhYjwC0XQjBA/edit?usp=sharing"",""พิจิตร!J802"")"),0)</f>
        <v>0</v>
      </c>
    </row>
    <row r="22" spans="1:21" ht="24" customHeight="1" x14ac:dyDescent="0.3">
      <c r="A22" s="178">
        <v>9</v>
      </c>
      <c r="B22" s="179" t="s">
        <v>39</v>
      </c>
      <c r="C22" s="180">
        <f t="shared" ca="1" si="18"/>
        <v>266560</v>
      </c>
      <c r="D22" s="181">
        <f ca="1">IFERROR(__xludf.DUMMYFUNCTION("IMPORTRANGE(""https://docs.google.com/spreadsheets/d/16OMuOwy2eVqZcYWOouQtTpa8X1L23h4660uVHc0C8os/edit?usp=sharing"",""พิษณุโลก!L791"")"),266560)</f>
        <v>266560</v>
      </c>
      <c r="E22" s="187">
        <f ca="1">IFERROR(__xludf.DUMMYFUNCTION("IMPORTRANGE(""https://docs.google.com/spreadsheets/d/16OMuOwy2eVqZcYWOouQtTpa8X1L23h4660uVHc0C8os/edit?usp=sharing"",""พิษณุโลก!L798"")"),0)</f>
        <v>0</v>
      </c>
      <c r="F22" s="182">
        <f t="shared" ca="1" si="1"/>
        <v>79896.69</v>
      </c>
      <c r="G22" s="183">
        <f t="shared" ca="1" si="2"/>
        <v>29.973248049219688</v>
      </c>
      <c r="H22" s="184">
        <f t="shared" ca="1" si="19"/>
        <v>79896.69</v>
      </c>
      <c r="I22" s="187">
        <f ca="1">IFERROR(__xludf.DUMMYFUNCTION("IMPORTRANGE(""https://docs.google.com/spreadsheets/d/16OMuOwy2eVqZcYWOouQtTpa8X1L23h4660uVHc0C8os/edit?usp=sharing"",""พิษณุโลก!N792"")"),0)</f>
        <v>0</v>
      </c>
      <c r="J22" s="187">
        <f ca="1">IFERROR(__xludf.DUMMYFUNCTION("IMPORTRANGE(""https://docs.google.com/spreadsheets/d/16OMuOwy2eVqZcYWOouQtTpa8X1L23h4660uVHc0C8os/edit?usp=sharing"",""พิษณุโลก!N793"")"),0)</f>
        <v>0</v>
      </c>
      <c r="K22" s="187">
        <f ca="1">IFERROR(__xludf.DUMMYFUNCTION("IMPORTRANGE(""https://docs.google.com/spreadsheets/d/16OMuOwy2eVqZcYWOouQtTpa8X1L23h4660uVHc0C8os/edit?usp=sharing"",""พิษณุโลก!N794"")"),44416.69)</f>
        <v>44416.69</v>
      </c>
      <c r="L22" s="187">
        <f ca="1">IFERROR(__xludf.DUMMYFUNCTION("IMPORTRANGE(""https://docs.google.com/spreadsheets/d/16OMuOwy2eVqZcYWOouQtTpa8X1L23h4660uVHc0C8os/edit?usp=sharing"",""พิษณุโลก!N795"")"),35480)</f>
        <v>35480</v>
      </c>
      <c r="M22" s="185">
        <f ca="1">IFERROR(__xludf.DUMMYFUNCTION("IMPORTRANGE(""https://docs.google.com/spreadsheets/d/16OMuOwy2eVqZcYWOouQtTpa8X1L23h4660uVHc0C8os/edit?usp=sharing"",""พิษณุโลก!N798"")"),0)</f>
        <v>0</v>
      </c>
      <c r="N22" s="185">
        <f t="shared" ca="1" si="15"/>
        <v>0</v>
      </c>
      <c r="O22" s="181">
        <f ca="1">IFERROR(__xludf.DUMMYFUNCTION("IMPORTRANGE(""https://docs.google.com/spreadsheets/d/16OMuOwy2eVqZcYWOouQtTpa8X1L23h4660uVHc0C8os/edit?usp=sharing"",""พิษณุโลก!I785"")"),4000)</f>
        <v>4000</v>
      </c>
      <c r="P22" s="181">
        <f t="shared" ca="1" si="20"/>
        <v>610</v>
      </c>
      <c r="Q22" s="186">
        <f t="shared" ca="1" si="12"/>
        <v>15.25</v>
      </c>
      <c r="R22" s="181">
        <f ca="1">IFERROR(__xludf.DUMMYFUNCTION("IMPORTRANGE(""https://docs.google.com/spreadsheets/d/16OMuOwy2eVqZcYWOouQtTpa8X1L23h4660uVHc0C8os/edit?usp=sharing"",""พิษณุโลก!J801"")"),610)</f>
        <v>610</v>
      </c>
      <c r="S22" s="181">
        <f ca="1">IFERROR(__xludf.DUMMYFUNCTION("IMPORTRANGE(""https://docs.google.com/spreadsheets/d/16OMuOwy2eVqZcYWOouQtTpa8X1L23h4660uVHc0C8os/edit?usp=sharing"",""พิษณุโลก!J800"")"),36)</f>
        <v>36</v>
      </c>
      <c r="T22" s="181">
        <f ca="1">IFERROR(__xludf.DUMMYFUNCTION("IMPORTRANGE(""https://docs.google.com/spreadsheets/d/16OMuOwy2eVqZcYWOouQtTpa8X1L23h4660uVHc0C8os/edit?usp=sharing"",""พิษณุโลก!J803"")"),0)</f>
        <v>0</v>
      </c>
      <c r="U22" s="181">
        <f ca="1">IFERROR(__xludf.DUMMYFUNCTION("IMPORTRANGE(""https://docs.google.com/spreadsheets/d/16OMuOwy2eVqZcYWOouQtTpa8X1L23h4660uVHc0C8os/edit?usp=sharing"",""พิษณุโลก!J802"")"),0)</f>
        <v>0</v>
      </c>
    </row>
    <row r="23" spans="1:21" ht="24" customHeight="1" x14ac:dyDescent="0.3">
      <c r="A23" s="178">
        <v>10</v>
      </c>
      <c r="B23" s="179" t="s">
        <v>40</v>
      </c>
      <c r="C23" s="180">
        <f t="shared" ca="1" si="18"/>
        <v>274560</v>
      </c>
      <c r="D23" s="181">
        <f ca="1">IFERROR(__xludf.DUMMYFUNCTION("IMPORTRANGE(""https://docs.google.com/spreadsheets/d/1GfgTldLG6k77HXaMQzaafODklYuucJZQNs_GAPEfZyY/edit?usp=sharing"",""เพชรบูรณ์!L791"")"),274560)</f>
        <v>274560</v>
      </c>
      <c r="E23" s="187">
        <f ca="1">IFERROR(__xludf.DUMMYFUNCTION("IMPORTRANGE(""https://docs.google.com/spreadsheets/d/1GfgTldLG6k77HXaMQzaafODklYuucJZQNs_GAPEfZyY/edit?usp=sharing"",""เพชรบูรณ์!L798"")"),0)</f>
        <v>0</v>
      </c>
      <c r="F23" s="182">
        <f t="shared" ca="1" si="1"/>
        <v>31840</v>
      </c>
      <c r="G23" s="183">
        <f t="shared" ca="1" si="2"/>
        <v>11.596736596736596</v>
      </c>
      <c r="H23" s="184">
        <f t="shared" ca="1" si="19"/>
        <v>31840</v>
      </c>
      <c r="I23" s="187">
        <f ca="1">IFERROR(__xludf.DUMMYFUNCTION("IMPORTRANGE(""https://docs.google.com/spreadsheets/d/1GfgTldLG6k77HXaMQzaafODklYuucJZQNs_GAPEfZyY/edit?usp=sharing"",""เพชรบูรณ์!N792"")"),0)</f>
        <v>0</v>
      </c>
      <c r="J23" s="187">
        <f ca="1">IFERROR(__xludf.DUMMYFUNCTION("IMPORTRANGE(""https://docs.google.com/spreadsheets/d/1GfgTldLG6k77HXaMQzaafODklYuucJZQNs_GAPEfZyY/edit?usp=sharing"",""เพชรบูรณ์!N793"")"),31840)</f>
        <v>31840</v>
      </c>
      <c r="K23" s="187">
        <f ca="1">IFERROR(__xludf.DUMMYFUNCTION("IMPORTRANGE(""https://docs.google.com/spreadsheets/d/1GfgTldLG6k77HXaMQzaafODklYuucJZQNs_GAPEfZyY/edit?usp=sharing"",""เพชรบูรณ์!N794"")"),0)</f>
        <v>0</v>
      </c>
      <c r="L23" s="187">
        <f ca="1">IFERROR(__xludf.DUMMYFUNCTION("IMPORTRANGE(""https://docs.google.com/spreadsheets/d/1GfgTldLG6k77HXaMQzaafODklYuucJZQNs_GAPEfZyY/edit?usp=sharing"",""เพชรบูรณ์!N795"")"),0)</f>
        <v>0</v>
      </c>
      <c r="M23" s="185">
        <f ca="1">IFERROR(__xludf.DUMMYFUNCTION("IMPORTRANGE(""https://docs.google.com/spreadsheets/d/1GfgTldLG6k77HXaMQzaafODklYuucJZQNs_GAPEfZyY/edit?usp=sharing"",""เพชรบูรณ์!N798"")"),0)</f>
        <v>0</v>
      </c>
      <c r="N23" s="185">
        <f t="shared" ca="1" si="15"/>
        <v>0</v>
      </c>
      <c r="O23" s="181">
        <f ca="1">IFERROR(__xludf.DUMMYFUNCTION("IMPORTRANGE(""https://docs.google.com/spreadsheets/d/1GfgTldLG6k77HXaMQzaafODklYuucJZQNs_GAPEfZyY/edit?usp=sharing"",""เพชรบูรณ์!I785"")"),38000)</f>
        <v>38000</v>
      </c>
      <c r="P23" s="181">
        <f t="shared" ca="1" si="20"/>
        <v>7525</v>
      </c>
      <c r="Q23" s="186">
        <f t="shared" ca="1" si="12"/>
        <v>19.80263157894737</v>
      </c>
      <c r="R23" s="181">
        <f ca="1">IFERROR(__xludf.DUMMYFUNCTION("IMPORTRANGE(""https://docs.google.com/spreadsheets/d/1GfgTldLG6k77HXaMQzaafODklYuucJZQNs_GAPEfZyY/edit?usp=sharing"",""เพชรบูรณ์!J801"")"),11)</f>
        <v>11</v>
      </c>
      <c r="S23" s="181">
        <f ca="1">IFERROR(__xludf.DUMMYFUNCTION("IMPORTRANGE(""https://docs.google.com/spreadsheets/d/1GfgTldLG6k77HXaMQzaafODklYuucJZQNs_GAPEfZyY/edit?usp=sharing"",""เพชรบูรณ์!J800"")"),1)</f>
        <v>1</v>
      </c>
      <c r="T23" s="181">
        <f ca="1">IFERROR(__xludf.DUMMYFUNCTION("IMPORTRANGE(""https://docs.google.com/spreadsheets/d/1GfgTldLG6k77HXaMQzaafODklYuucJZQNs_GAPEfZyY/edit?usp=sharing"",""เพชรบูรณ์!J803"")"),7514)</f>
        <v>7514</v>
      </c>
      <c r="U23" s="181">
        <f ca="1">IFERROR(__xludf.DUMMYFUNCTION("IMPORTRANGE(""https://docs.google.com/spreadsheets/d/1GfgTldLG6k77HXaMQzaafODklYuucJZQNs_GAPEfZyY/edit?usp=sharing"",""เพชรบูรณ์!J802"")"),402)</f>
        <v>402</v>
      </c>
    </row>
    <row r="24" spans="1:21" ht="24" customHeight="1" x14ac:dyDescent="0.3">
      <c r="A24" s="178">
        <v>11</v>
      </c>
      <c r="B24" s="179" t="s">
        <v>41</v>
      </c>
      <c r="C24" s="180">
        <f t="shared" ca="1" si="18"/>
        <v>0</v>
      </c>
      <c r="D24" s="181">
        <f ca="1">IFERROR(__xludf.DUMMYFUNCTION("IMPORTRANGE(""https://docs.google.com/spreadsheets/d/1gvTMYAnm7v1yG1BKWFtr0DnaTsq59oW9dwWvFgq6hs0/edit?usp=sharing"",""แพร่!L791"")"),0)</f>
        <v>0</v>
      </c>
      <c r="E24" s="187">
        <f ca="1">IFERROR(__xludf.DUMMYFUNCTION("IMPORTRANGE(""https://docs.google.com/spreadsheets/d/1gvTMYAnm7v1yG1BKWFtr0DnaTsq59oW9dwWvFgq6hs0/edit?usp=sharing"",""แพร่!L798"")"),0)</f>
        <v>0</v>
      </c>
      <c r="F24" s="182">
        <f t="shared" ca="1" si="1"/>
        <v>0</v>
      </c>
      <c r="G24" s="183">
        <f t="shared" ca="1" si="2"/>
        <v>0</v>
      </c>
      <c r="H24" s="184">
        <f t="shared" ca="1" si="19"/>
        <v>0</v>
      </c>
      <c r="I24" s="187">
        <f ca="1">IFERROR(__xludf.DUMMYFUNCTION("IMPORTRANGE(""https://docs.google.com/spreadsheets/d/1gvTMYAnm7v1yG1BKWFtr0DnaTsq59oW9dwWvFgq6hs0/edit?usp=sharing"",""แพร่!N792"")"),0)</f>
        <v>0</v>
      </c>
      <c r="J24" s="187">
        <f ca="1">IFERROR(__xludf.DUMMYFUNCTION("IMPORTRANGE(""https://docs.google.com/spreadsheets/d/1gvTMYAnm7v1yG1BKWFtr0DnaTsq59oW9dwWvFgq6hs0/edit?usp=sharing"",""แพร่!N793"")"),0)</f>
        <v>0</v>
      </c>
      <c r="K24" s="187">
        <f ca="1">IFERROR(__xludf.DUMMYFUNCTION("IMPORTRANGE(""https://docs.google.com/spreadsheets/d/1gvTMYAnm7v1yG1BKWFtr0DnaTsq59oW9dwWvFgq6hs0/edit?usp=sharing"",""แพร่!N794"")"),0)</f>
        <v>0</v>
      </c>
      <c r="L24" s="187">
        <f ca="1">IFERROR(__xludf.DUMMYFUNCTION("IMPORTRANGE(""https://docs.google.com/spreadsheets/d/1gvTMYAnm7v1yG1BKWFtr0DnaTsq59oW9dwWvFgq6hs0/edit?usp=sharing"",""แพร่!N795"")"),0)</f>
        <v>0</v>
      </c>
      <c r="M24" s="185">
        <f ca="1">IFERROR(__xludf.DUMMYFUNCTION("IMPORTRANGE(""https://docs.google.com/spreadsheets/d/1gvTMYAnm7v1yG1BKWFtr0DnaTsq59oW9dwWvFgq6hs0/edit?usp=sharing"",""แพร่!N798"")"),0)</f>
        <v>0</v>
      </c>
      <c r="N24" s="185">
        <f t="shared" ca="1" si="15"/>
        <v>0</v>
      </c>
      <c r="O24" s="181">
        <f ca="1">IFERROR(__xludf.DUMMYFUNCTION("IMPORTRANGE(""https://docs.google.com/spreadsheets/d/1gvTMYAnm7v1yG1BKWFtr0DnaTsq59oW9dwWvFgq6hs0/edit?usp=sharing"",""แพร่!I785"")"),0)</f>
        <v>0</v>
      </c>
      <c r="P24" s="181">
        <f t="shared" ca="1" si="20"/>
        <v>0</v>
      </c>
      <c r="Q24" s="186">
        <f t="shared" ca="1" si="12"/>
        <v>0</v>
      </c>
      <c r="R24" s="181">
        <f ca="1">IFERROR(__xludf.DUMMYFUNCTION("IMPORTRANGE(""https://docs.google.com/spreadsheets/d/1gvTMYAnm7v1yG1BKWFtr0DnaTsq59oW9dwWvFgq6hs0/edit?usp=sharing"",""แพร่!J801"")"),0)</f>
        <v>0</v>
      </c>
      <c r="S24" s="181">
        <f ca="1">IFERROR(__xludf.DUMMYFUNCTION("IMPORTRANGE(""https://docs.google.com/spreadsheets/d/1gvTMYAnm7v1yG1BKWFtr0DnaTsq59oW9dwWvFgq6hs0/edit?usp=sharing"",""แพร่!J800"")"),0)</f>
        <v>0</v>
      </c>
      <c r="T24" s="428">
        <f ca="1">IFERROR(__xludf.DUMMYFUNCTION("IMPORTRANGE(""https://docs.google.com/spreadsheets/d/1gvTMYAnm7v1yG1BKWFtr0DnaTsq59oW9dwWvFgq6hs0/edit?usp=sharing"",""แพร่!J803"")"),0)</f>
        <v>0</v>
      </c>
      <c r="U24" s="428">
        <f ca="1">IFERROR(__xludf.DUMMYFUNCTION("IMPORTRANGE(""https://docs.google.com/spreadsheets/d/1gvTMYAnm7v1yG1BKWFtr0DnaTsq59oW9dwWvFgq6hs0/edit?usp=sharing"",""แพร่!J802"")"),0)</f>
        <v>0</v>
      </c>
    </row>
    <row r="25" spans="1:21" ht="24" customHeight="1" x14ac:dyDescent="0.3">
      <c r="A25" s="178">
        <v>12</v>
      </c>
      <c r="B25" s="179" t="s">
        <v>42</v>
      </c>
      <c r="C25" s="180">
        <f t="shared" ca="1" si="18"/>
        <v>0</v>
      </c>
      <c r="D25" s="181">
        <f ca="1">IFERROR(__xludf.DUMMYFUNCTION("IMPORTRANGE(""https://docs.google.com/spreadsheets/d/1Wbcosgy-Xa1xXUArJSOenub6EfZHUSzc_bpJFWwQUf0/edit?usp=sharing"",""แม่ฮ่องสอน!L791"")"),0)</f>
        <v>0</v>
      </c>
      <c r="E25" s="187">
        <f ca="1">IFERROR(__xludf.DUMMYFUNCTION("IMPORTRANGE(""https://docs.google.com/spreadsheets/d/1Wbcosgy-Xa1xXUArJSOenub6EfZHUSzc_bpJFWwQUf0/edit?usp=sharing"",""แม่ฮ่องสอน!L798"")"),0)</f>
        <v>0</v>
      </c>
      <c r="F25" s="182">
        <f t="shared" ca="1" si="1"/>
        <v>0</v>
      </c>
      <c r="G25" s="183">
        <f t="shared" ca="1" si="2"/>
        <v>0</v>
      </c>
      <c r="H25" s="184">
        <f t="shared" ca="1" si="19"/>
        <v>0</v>
      </c>
      <c r="I25" s="187">
        <f ca="1">IFERROR(__xludf.DUMMYFUNCTION("IMPORTRANGE(""https://docs.google.com/spreadsheets/d/1Wbcosgy-Xa1xXUArJSOenub6EfZHUSzc_bpJFWwQUf0/edit?usp=sharing"",""แม่ฮ่องสอน!N792"")"),0)</f>
        <v>0</v>
      </c>
      <c r="J25" s="187">
        <f ca="1">IFERROR(__xludf.DUMMYFUNCTION("IMPORTRANGE(""https://docs.google.com/spreadsheets/d/1Wbcosgy-Xa1xXUArJSOenub6EfZHUSzc_bpJFWwQUf0/edit?usp=sharing"",""แม่ฮ่องสอน!N793"")"),0)</f>
        <v>0</v>
      </c>
      <c r="K25" s="187">
        <f ca="1">IFERROR(__xludf.DUMMYFUNCTION("IMPORTRANGE(""https://docs.google.com/spreadsheets/d/1Wbcosgy-Xa1xXUArJSOenub6EfZHUSzc_bpJFWwQUf0/edit?usp=sharing"",""แม่ฮ่องสอน!N794"")"),0)</f>
        <v>0</v>
      </c>
      <c r="L25" s="187">
        <f ca="1">IFERROR(__xludf.DUMMYFUNCTION("IMPORTRANGE(""https://docs.google.com/spreadsheets/d/1Wbcosgy-Xa1xXUArJSOenub6EfZHUSzc_bpJFWwQUf0/edit?usp=sharing"",""แม่ฮ่องสอน!N795"")"),0)</f>
        <v>0</v>
      </c>
      <c r="M25" s="185">
        <f ca="1">IFERROR(__xludf.DUMMYFUNCTION("IMPORTRANGE(""https://docs.google.com/spreadsheets/d/1Wbcosgy-Xa1xXUArJSOenub6EfZHUSzc_bpJFWwQUf0/edit?usp=sharing"",""แม่ฮ่องสอน!N798"")"),0)</f>
        <v>0</v>
      </c>
      <c r="N25" s="185">
        <f t="shared" ca="1" si="15"/>
        <v>0</v>
      </c>
      <c r="O25" s="181">
        <f ca="1">IFERROR(__xludf.DUMMYFUNCTION("IMPORTRANGE(""https://docs.google.com/spreadsheets/d/1Wbcosgy-Xa1xXUArJSOenub6EfZHUSzc_bpJFWwQUf0/edit?usp=sharing"",""แม่ฮ่องสอน!I785"")"),0)</f>
        <v>0</v>
      </c>
      <c r="P25" s="181">
        <f t="shared" ca="1" si="20"/>
        <v>0</v>
      </c>
      <c r="Q25" s="186">
        <f t="shared" ca="1" si="12"/>
        <v>0</v>
      </c>
      <c r="R25" s="181">
        <f ca="1">IFERROR(__xludf.DUMMYFUNCTION("IMPORTRANGE(""https://docs.google.com/spreadsheets/d/1Wbcosgy-Xa1xXUArJSOenub6EfZHUSzc_bpJFWwQUf0/edit?usp=sharing"",""แม่ฮ่องสอน!J801"")"),0)</f>
        <v>0</v>
      </c>
      <c r="S25" s="181">
        <f ca="1">IFERROR(__xludf.DUMMYFUNCTION("IMPORTRANGE(""https://docs.google.com/spreadsheets/d/1Wbcosgy-Xa1xXUArJSOenub6EfZHUSzc_bpJFWwQUf0/edit?usp=sharing"",""แม่ฮ่องสอน!J800"")"),0)</f>
        <v>0</v>
      </c>
      <c r="T25" s="428">
        <f ca="1">IFERROR(__xludf.DUMMYFUNCTION("IMPORTRANGE(""https://docs.google.com/spreadsheets/d/1Wbcosgy-Xa1xXUArJSOenub6EfZHUSzc_bpJFWwQUf0/edit?usp=sharing"",""แม่ฮ่องสอน!J803"")"),0)</f>
        <v>0</v>
      </c>
      <c r="U25" s="428">
        <f ca="1">IFERROR(__xludf.DUMMYFUNCTION("IMPORTRANGE(""https://docs.google.com/spreadsheets/d/1Wbcosgy-Xa1xXUArJSOenub6EfZHUSzc_bpJFWwQUf0/edit?usp=sharing"",""แม่ฮ่องสอน!J802"")"),0)</f>
        <v>0</v>
      </c>
    </row>
    <row r="26" spans="1:21" ht="24" customHeight="1" x14ac:dyDescent="0.3">
      <c r="A26" s="178">
        <v>13</v>
      </c>
      <c r="B26" s="179" t="s">
        <v>43</v>
      </c>
      <c r="C26" s="180">
        <f t="shared" ca="1" si="18"/>
        <v>197920</v>
      </c>
      <c r="D26" s="181">
        <f ca="1">IFERROR(__xludf.DUMMYFUNCTION("IMPORTRANGE(""https://docs.google.com/spreadsheets/d/1p7ERhsr0qZeSn-KSOdeHS9r0heI-lHtkcn2OH7hP0jQ/edit?usp=sharing"",""ลำปาง!L791"")"),197920)</f>
        <v>197920</v>
      </c>
      <c r="E26" s="187">
        <f ca="1">IFERROR(__xludf.DUMMYFUNCTION("IMPORTRANGE(""https://docs.google.com/spreadsheets/d/1p7ERhsr0qZeSn-KSOdeHS9r0heI-lHtkcn2OH7hP0jQ/edit?usp=sharing"",""ลำปาง!L798"")"),0)</f>
        <v>0</v>
      </c>
      <c r="F26" s="182">
        <f t="shared" ca="1" si="1"/>
        <v>75406.959999999992</v>
      </c>
      <c r="G26" s="183">
        <f t="shared" ca="1" si="2"/>
        <v>38.099717057396923</v>
      </c>
      <c r="H26" s="184">
        <f t="shared" ca="1" si="19"/>
        <v>75406.959999999992</v>
      </c>
      <c r="I26" s="187">
        <f ca="1">IFERROR(__xludf.DUMMYFUNCTION("IMPORTRANGE(""https://docs.google.com/spreadsheets/d/1p7ERhsr0qZeSn-KSOdeHS9r0heI-lHtkcn2OH7hP0jQ/edit?usp=sharing"",""ลำปาง!N792"")"),0)</f>
        <v>0</v>
      </c>
      <c r="J26" s="187">
        <f ca="1">IFERROR(__xludf.DUMMYFUNCTION("IMPORTRANGE(""https://docs.google.com/spreadsheets/d/1p7ERhsr0qZeSn-KSOdeHS9r0heI-lHtkcn2OH7hP0jQ/edit?usp=sharing"",""ลำปาง!N793"")"),0)</f>
        <v>0</v>
      </c>
      <c r="K26" s="187">
        <f ca="1">IFERROR(__xludf.DUMMYFUNCTION("IMPORTRANGE(""https://docs.google.com/spreadsheets/d/1p7ERhsr0qZeSn-KSOdeHS9r0heI-lHtkcn2OH7hP0jQ/edit?usp=sharing"",""ลำปาง!N794"")"),37266.68)</f>
        <v>37266.68</v>
      </c>
      <c r="L26" s="187">
        <f ca="1">IFERROR(__xludf.DUMMYFUNCTION("IMPORTRANGE(""https://docs.google.com/spreadsheets/d/1p7ERhsr0qZeSn-KSOdeHS9r0heI-lHtkcn2OH7hP0jQ/edit?usp=sharing"",""ลำปาง!N795"")"),38140.28)</f>
        <v>38140.28</v>
      </c>
      <c r="M26" s="185">
        <f ca="1">IFERROR(__xludf.DUMMYFUNCTION("IMPORTRANGE(""https://docs.google.com/spreadsheets/d/1p7ERhsr0qZeSn-KSOdeHS9r0heI-lHtkcn2OH7hP0jQ/edit?usp=sharing"",""ลำปาง!N798"")"),0)</f>
        <v>0</v>
      </c>
      <c r="N26" s="185">
        <f t="shared" ca="1" si="15"/>
        <v>0</v>
      </c>
      <c r="O26" s="181">
        <f ca="1">IFERROR(__xludf.DUMMYFUNCTION("IMPORTRANGE(""https://docs.google.com/spreadsheets/d/1p7ERhsr0qZeSn-KSOdeHS9r0heI-lHtkcn2OH7hP0jQ/edit?usp=sharing"",""ลำปาง!I785"")"),3000)</f>
        <v>3000</v>
      </c>
      <c r="P26" s="181">
        <f t="shared" ca="1" si="20"/>
        <v>348</v>
      </c>
      <c r="Q26" s="186">
        <f t="shared" ca="1" si="12"/>
        <v>11.6</v>
      </c>
      <c r="R26" s="181">
        <f ca="1">IFERROR(__xludf.DUMMYFUNCTION("IMPORTRANGE(""https://docs.google.com/spreadsheets/d/1p7ERhsr0qZeSn-KSOdeHS9r0heI-lHtkcn2OH7hP0jQ/edit?usp=sharing"",""ลำปาง!J801"")"),348)</f>
        <v>348</v>
      </c>
      <c r="S26" s="181">
        <f ca="1">IFERROR(__xludf.DUMMYFUNCTION("IMPORTRANGE(""https://docs.google.com/spreadsheets/d/1p7ERhsr0qZeSn-KSOdeHS9r0heI-lHtkcn2OH7hP0jQ/edit?usp=sharing"",""ลำปาง!J800"")"),32)</f>
        <v>32</v>
      </c>
      <c r="T26" s="181">
        <f ca="1">IFERROR(__xludf.DUMMYFUNCTION("IMPORTRANGE(""https://docs.google.com/spreadsheets/d/1p7ERhsr0qZeSn-KSOdeHS9r0heI-lHtkcn2OH7hP0jQ/edit?usp=sharing"",""ลำปาง!J803"")"),0)</f>
        <v>0</v>
      </c>
      <c r="U26" s="181">
        <f ca="1">IFERROR(__xludf.DUMMYFUNCTION("IMPORTRANGE(""https://docs.google.com/spreadsheets/d/1p7ERhsr0qZeSn-KSOdeHS9r0heI-lHtkcn2OH7hP0jQ/edit?usp=sharing"",""ลำปาง!J802"")"),0)</f>
        <v>0</v>
      </c>
    </row>
    <row r="27" spans="1:21" ht="24" customHeight="1" x14ac:dyDescent="0.3">
      <c r="A27" s="178">
        <v>14</v>
      </c>
      <c r="B27" s="179" t="s">
        <v>44</v>
      </c>
      <c r="C27" s="180">
        <f t="shared" ca="1" si="18"/>
        <v>0</v>
      </c>
      <c r="D27" s="181">
        <f ca="1">IFERROR(__xludf.DUMMYFUNCTION("IMPORTRANGE(""https://docs.google.com/spreadsheets/d/1-uUXvimVhiU2U0bMN-xi2te0tS4X7DI2GLPnMjzl8cA/edit?usp=sharing"",""ลำพูน!L791"")"),0)</f>
        <v>0</v>
      </c>
      <c r="E27" s="187">
        <f ca="1">IFERROR(__xludf.DUMMYFUNCTION("IMPORTRANGE(""https://docs.google.com/spreadsheets/d/1-uUXvimVhiU2U0bMN-xi2te0tS4X7DI2GLPnMjzl8cA/edit?usp=sharing"",""ลำพูน!L798"")"),0)</f>
        <v>0</v>
      </c>
      <c r="F27" s="182">
        <f t="shared" ca="1" si="1"/>
        <v>0</v>
      </c>
      <c r="G27" s="183">
        <f t="shared" ca="1" si="2"/>
        <v>0</v>
      </c>
      <c r="H27" s="184">
        <f t="shared" ca="1" si="19"/>
        <v>0</v>
      </c>
      <c r="I27" s="187">
        <f ca="1">IFERROR(__xludf.DUMMYFUNCTION("IMPORTRANGE(""https://docs.google.com/spreadsheets/d/1-uUXvimVhiU2U0bMN-xi2te0tS4X7DI2GLPnMjzl8cA/edit?usp=sharing"",""ลำพูน!N792"")"),0)</f>
        <v>0</v>
      </c>
      <c r="J27" s="187">
        <f ca="1">IFERROR(__xludf.DUMMYFUNCTION("IMPORTRANGE(""https://docs.google.com/spreadsheets/d/1-uUXvimVhiU2U0bMN-xi2te0tS4X7DI2GLPnMjzl8cA/edit?usp=sharing"",""ลำพูน!N793"")"),0)</f>
        <v>0</v>
      </c>
      <c r="K27" s="187">
        <f ca="1">IFERROR(__xludf.DUMMYFUNCTION("IMPORTRANGE(""https://docs.google.com/spreadsheets/d/1-uUXvimVhiU2U0bMN-xi2te0tS4X7DI2GLPnMjzl8cA/edit?usp=sharing"",""ลำพูน!N794"")"),0)</f>
        <v>0</v>
      </c>
      <c r="L27" s="187">
        <f ca="1">IFERROR(__xludf.DUMMYFUNCTION("IMPORTRANGE(""https://docs.google.com/spreadsheets/d/1-uUXvimVhiU2U0bMN-xi2te0tS4X7DI2GLPnMjzl8cA/edit?usp=sharing"",""ลำพูน!N795"")"),0)</f>
        <v>0</v>
      </c>
      <c r="M27" s="185">
        <f ca="1">IFERROR(__xludf.DUMMYFUNCTION("IMPORTRANGE(""https://docs.google.com/spreadsheets/d/1-uUXvimVhiU2U0bMN-xi2te0tS4X7DI2GLPnMjzl8cA/edit?usp=sharing"",""ลำพูน!N798"")"),0)</f>
        <v>0</v>
      </c>
      <c r="N27" s="185">
        <f t="shared" ca="1" si="15"/>
        <v>0</v>
      </c>
      <c r="O27" s="181">
        <f ca="1">IFERROR(__xludf.DUMMYFUNCTION("IMPORTRANGE(""https://docs.google.com/spreadsheets/d/1-uUXvimVhiU2U0bMN-xi2te0tS4X7DI2GLPnMjzl8cA/edit?usp=sharing"",""ลำพูน!I785"")"),0)</f>
        <v>0</v>
      </c>
      <c r="P27" s="181">
        <f t="shared" ca="1" si="20"/>
        <v>0</v>
      </c>
      <c r="Q27" s="186">
        <f t="shared" ca="1" si="12"/>
        <v>0</v>
      </c>
      <c r="R27" s="181">
        <f ca="1">IFERROR(__xludf.DUMMYFUNCTION("IMPORTRANGE(""https://docs.google.com/spreadsheets/d/1-uUXvimVhiU2U0bMN-xi2te0tS4X7DI2GLPnMjzl8cA/edit?usp=sharing"",""ลำพูน!J801"")"),0)</f>
        <v>0</v>
      </c>
      <c r="S27" s="181">
        <f ca="1">IFERROR(__xludf.DUMMYFUNCTION("IMPORTRANGE(""https://docs.google.com/spreadsheets/d/1-uUXvimVhiU2U0bMN-xi2te0tS4X7DI2GLPnMjzl8cA/edit?usp=sharing"",""ลำพูน!J800"")"),0)</f>
        <v>0</v>
      </c>
      <c r="T27" s="428">
        <f ca="1">IFERROR(__xludf.DUMMYFUNCTION("IMPORTRANGE(""https://docs.google.com/spreadsheets/d/1-uUXvimVhiU2U0bMN-xi2te0tS4X7DI2GLPnMjzl8cA/edit?usp=sharing"",""ลำพูน!J803"")"),0)</f>
        <v>0</v>
      </c>
      <c r="U27" s="428">
        <f ca="1">IFERROR(__xludf.DUMMYFUNCTION("IMPORTRANGE(""https://docs.google.com/spreadsheets/d/1-uUXvimVhiU2U0bMN-xi2te0tS4X7DI2GLPnMjzl8cA/edit?usp=sharing"",""ลำพูน!J802"")"),0)</f>
        <v>0</v>
      </c>
    </row>
    <row r="28" spans="1:21" ht="24" customHeight="1" x14ac:dyDescent="0.3">
      <c r="A28" s="178">
        <v>15</v>
      </c>
      <c r="B28" s="179" t="s">
        <v>45</v>
      </c>
      <c r="C28" s="180">
        <f t="shared" ca="1" si="18"/>
        <v>0</v>
      </c>
      <c r="D28" s="181">
        <f ca="1">IFERROR(__xludf.DUMMYFUNCTION("IMPORTRANGE(""https://docs.google.com/spreadsheets/d/17HrOaa5pBUI1onckFfumXB8xlg35qb2uBAFfF1D-Myo/edit?usp=sharing"",""สุโขทัย!L791"")"),0)</f>
        <v>0</v>
      </c>
      <c r="E28" s="187">
        <f ca="1">IFERROR(__xludf.DUMMYFUNCTION("IMPORTRANGE(""https://docs.google.com/spreadsheets/d/17HrOaa5pBUI1onckFfumXB8xlg35qb2uBAFfF1D-Myo/edit?usp=sharing"",""สุโขทัย!L798"")"),0)</f>
        <v>0</v>
      </c>
      <c r="F28" s="182">
        <f t="shared" ca="1" si="1"/>
        <v>0</v>
      </c>
      <c r="G28" s="183">
        <f t="shared" ca="1" si="2"/>
        <v>0</v>
      </c>
      <c r="H28" s="184">
        <f t="shared" ca="1" si="19"/>
        <v>0</v>
      </c>
      <c r="I28" s="187">
        <f ca="1">IFERROR(__xludf.DUMMYFUNCTION("IMPORTRANGE(""https://docs.google.com/spreadsheets/d/17HrOaa5pBUI1onckFfumXB8xlg35qb2uBAFfF1D-Myo/edit?usp=sharing"",""สุโขทัย!N792"")"),0)</f>
        <v>0</v>
      </c>
      <c r="J28" s="187">
        <f ca="1">IFERROR(__xludf.DUMMYFUNCTION("IMPORTRANGE(""https://docs.google.com/spreadsheets/d/17HrOaa5pBUI1onckFfumXB8xlg35qb2uBAFfF1D-Myo/edit?usp=sharing"",""สุโขทัย!N793"")"),0)</f>
        <v>0</v>
      </c>
      <c r="K28" s="187">
        <f ca="1">IFERROR(__xludf.DUMMYFUNCTION("IMPORTRANGE(""https://docs.google.com/spreadsheets/d/17HrOaa5pBUI1onckFfumXB8xlg35qb2uBAFfF1D-Myo/edit?usp=sharing"",""สุโขทัย!N794"")"),0)</f>
        <v>0</v>
      </c>
      <c r="L28" s="187">
        <f ca="1">IFERROR(__xludf.DUMMYFUNCTION("IMPORTRANGE(""https://docs.google.com/spreadsheets/d/17HrOaa5pBUI1onckFfumXB8xlg35qb2uBAFfF1D-Myo/edit?usp=sharing"",""สุโขทัย!N795"")"),0)</f>
        <v>0</v>
      </c>
      <c r="M28" s="185">
        <f ca="1">IFERROR(__xludf.DUMMYFUNCTION("IMPORTRANGE(""https://docs.google.com/spreadsheets/d/17HrOaa5pBUI1onckFfumXB8xlg35qb2uBAFfF1D-Myo/edit?usp=sharing"",""สุโขทัย!N798"")"),0)</f>
        <v>0</v>
      </c>
      <c r="N28" s="185">
        <f t="shared" ca="1" si="15"/>
        <v>0</v>
      </c>
      <c r="O28" s="181">
        <f ca="1">IFERROR(__xludf.DUMMYFUNCTION("IMPORTRANGE(""https://docs.google.com/spreadsheets/d/17HrOaa5pBUI1onckFfumXB8xlg35qb2uBAFfF1D-Myo/edit?usp=sharing"",""สุโขทัย!I785"")"),0)</f>
        <v>0</v>
      </c>
      <c r="P28" s="181">
        <f t="shared" ca="1" si="20"/>
        <v>0</v>
      </c>
      <c r="Q28" s="186">
        <f t="shared" ca="1" si="12"/>
        <v>0</v>
      </c>
      <c r="R28" s="181">
        <f ca="1">IFERROR(__xludf.DUMMYFUNCTION("IMPORTRANGE(""https://docs.google.com/spreadsheets/d/17HrOaa5pBUI1onckFfumXB8xlg35qb2uBAFfF1D-Myo/edit?usp=sharing"",""สุโขทัย!J801"")"),0)</f>
        <v>0</v>
      </c>
      <c r="S28" s="181">
        <f ca="1">IFERROR(__xludf.DUMMYFUNCTION("IMPORTRANGE(""https://docs.google.com/spreadsheets/d/17HrOaa5pBUI1onckFfumXB8xlg35qb2uBAFfF1D-Myo/edit?usp=sharing"",""สุโขทัย!J800"")"),0)</f>
        <v>0</v>
      </c>
      <c r="T28" s="428">
        <f ca="1">IFERROR(__xludf.DUMMYFUNCTION("IMPORTRANGE(""https://docs.google.com/spreadsheets/d/17HrOaa5pBUI1onckFfumXB8xlg35qb2uBAFfF1D-Myo/edit?usp=sharing"",""สุโขทัย!J803"")"),0)</f>
        <v>0</v>
      </c>
      <c r="U28" s="428">
        <f ca="1">IFERROR(__xludf.DUMMYFUNCTION("IMPORTRANGE(""https://docs.google.com/spreadsheets/d/17HrOaa5pBUI1onckFfumXB8xlg35qb2uBAFfF1D-Myo/edit?usp=sharing"",""สุโขทัย!J802"")"),0)</f>
        <v>0</v>
      </c>
    </row>
    <row r="29" spans="1:21" ht="24" customHeight="1" x14ac:dyDescent="0.3">
      <c r="A29" s="178">
        <v>16</v>
      </c>
      <c r="B29" s="179" t="s">
        <v>46</v>
      </c>
      <c r="C29" s="180">
        <f t="shared" ca="1" si="18"/>
        <v>319200</v>
      </c>
      <c r="D29" s="181">
        <f ca="1">IFERROR(__xludf.DUMMYFUNCTION("IMPORTRANGE(""https://docs.google.com/spreadsheets/d/1ubs5cl16eYL9gHbdHTJtmtYb9MGzHBs7CAphn8kNCgM/edit?usp=sharing"",""อุตรดิตถ์!L791"")"),319200)</f>
        <v>319200</v>
      </c>
      <c r="E29" s="187">
        <f ca="1">IFERROR(__xludf.DUMMYFUNCTION("IMPORTRANGE(""https://docs.google.com/spreadsheets/d/1ubs5cl16eYL9gHbdHTJtmtYb9MGzHBs7CAphn8kNCgM/edit?usp=sharing"",""อุตรดิตถ์!L798"")"),0)</f>
        <v>0</v>
      </c>
      <c r="F29" s="182">
        <f t="shared" ca="1" si="1"/>
        <v>178871</v>
      </c>
      <c r="G29" s="183">
        <f t="shared" ca="1" si="2"/>
        <v>56.037280701754383</v>
      </c>
      <c r="H29" s="184">
        <f t="shared" ca="1" si="19"/>
        <v>178871</v>
      </c>
      <c r="I29" s="187">
        <f ca="1">IFERROR(__xludf.DUMMYFUNCTION("IMPORTRANGE(""https://docs.google.com/spreadsheets/d/1ubs5cl16eYL9gHbdHTJtmtYb9MGzHBs7CAphn8kNCgM/edit?usp=sharing"",""อุตรดิตถ์!N792"")"),0)</f>
        <v>0</v>
      </c>
      <c r="J29" s="187">
        <f ca="1">IFERROR(__xludf.DUMMYFUNCTION("IMPORTRANGE(""https://docs.google.com/spreadsheets/d/1ubs5cl16eYL9gHbdHTJtmtYb9MGzHBs7CAphn8kNCgM/edit?usp=sharing"",""อุตรดิตถ์!N793"")"),0)</f>
        <v>0</v>
      </c>
      <c r="K29" s="187">
        <f ca="1">IFERROR(__xludf.DUMMYFUNCTION("IMPORTRANGE(""https://docs.google.com/spreadsheets/d/1ubs5cl16eYL9gHbdHTJtmtYb9MGzHBs7CAphn8kNCgM/edit?usp=sharing"",""อุตรดิตถ์!N794"")"),63985)</f>
        <v>63985</v>
      </c>
      <c r="L29" s="187">
        <f ca="1">IFERROR(__xludf.DUMMYFUNCTION("IMPORTRANGE(""https://docs.google.com/spreadsheets/d/1ubs5cl16eYL9gHbdHTJtmtYb9MGzHBs7CAphn8kNCgM/edit?usp=sharing"",""อุตรดิตถ์!N795"")"),114886)</f>
        <v>114886</v>
      </c>
      <c r="M29" s="185">
        <f ca="1">IFERROR(__xludf.DUMMYFUNCTION("IMPORTRANGE(""https://docs.google.com/spreadsheets/d/1ubs5cl16eYL9gHbdHTJtmtYb9MGzHBs7CAphn8kNCgM/edit?usp=sharing"",""อุตรดิตถ์!N798"")"),0)</f>
        <v>0</v>
      </c>
      <c r="N29" s="185">
        <f t="shared" ca="1" si="15"/>
        <v>0</v>
      </c>
      <c r="O29" s="181">
        <f ca="1">IFERROR(__xludf.DUMMYFUNCTION("IMPORTRANGE(""https://docs.google.com/spreadsheets/d/1ubs5cl16eYL9gHbdHTJtmtYb9MGzHBs7CAphn8kNCgM/edit?usp=sharing"",""อุตรดิตถ์!I785"")"),5000)</f>
        <v>5000</v>
      </c>
      <c r="P29" s="181">
        <f t="shared" ca="1" si="20"/>
        <v>1624</v>
      </c>
      <c r="Q29" s="186">
        <f t="shared" ca="1" si="12"/>
        <v>32.479999999999997</v>
      </c>
      <c r="R29" s="181">
        <f ca="1">IFERROR(__xludf.DUMMYFUNCTION("IMPORTRANGE(""https://docs.google.com/spreadsheets/d/1ubs5cl16eYL9gHbdHTJtmtYb9MGzHBs7CAphn8kNCgM/edit?usp=sharing"",""อุตรดิตถ์!J801"")"),1624)</f>
        <v>1624</v>
      </c>
      <c r="S29" s="181">
        <f ca="1">IFERROR(__xludf.DUMMYFUNCTION("IMPORTRANGE(""https://docs.google.com/spreadsheets/d/1ubs5cl16eYL9gHbdHTJtmtYb9MGzHBs7CAphn8kNCgM/edit?usp=sharing"",""อุตรดิตถ์!J800"")"),151)</f>
        <v>151</v>
      </c>
      <c r="T29" s="181">
        <f ca="1">IFERROR(__xludf.DUMMYFUNCTION("IMPORTRANGE(""https://docs.google.com/spreadsheets/d/1ubs5cl16eYL9gHbdHTJtmtYb9MGzHBs7CAphn8kNCgM/edit?usp=sharing"",""อุตรดิตถ์!J803"")"),0)</f>
        <v>0</v>
      </c>
      <c r="U29" s="181">
        <f ca="1">IFERROR(__xludf.DUMMYFUNCTION("IMPORTRANGE(""https://docs.google.com/spreadsheets/d/1ubs5cl16eYL9gHbdHTJtmtYb9MGzHBs7CAphn8kNCgM/edit?usp=sharing"",""อุตรดิตถ์!J802"")"),0)</f>
        <v>0</v>
      </c>
    </row>
    <row r="30" spans="1:21" ht="24" customHeight="1" x14ac:dyDescent="0.3">
      <c r="A30" s="192">
        <v>17</v>
      </c>
      <c r="B30" s="193" t="s">
        <v>47</v>
      </c>
      <c r="C30" s="204">
        <f t="shared" ca="1" si="18"/>
        <v>0</v>
      </c>
      <c r="D30" s="202">
        <f ca="1">IFERROR(__xludf.DUMMYFUNCTION("IMPORTRANGE(""https://docs.google.com/spreadsheets/d/1kII0BjS6CtVrBvI8IrytgPdxDrlyQDyigzMsohRtDMs/edit?usp=sharing"",""อุทัยธานี!L791"")"),0)</f>
        <v>0</v>
      </c>
      <c r="E30" s="200">
        <f ca="1">IFERROR(__xludf.DUMMYFUNCTION("IMPORTRANGE(""https://docs.google.com/spreadsheets/d/1kII0BjS6CtVrBvI8IrytgPdxDrlyQDyigzMsohRtDMs/edit?usp=sharing"",""อุทัยธานี!L798"")"),0)</f>
        <v>0</v>
      </c>
      <c r="F30" s="197">
        <f t="shared" ca="1" si="1"/>
        <v>0</v>
      </c>
      <c r="G30" s="205">
        <f t="shared" ca="1" si="2"/>
        <v>0</v>
      </c>
      <c r="H30" s="199">
        <f t="shared" ca="1" si="19"/>
        <v>0</v>
      </c>
      <c r="I30" s="200">
        <f ca="1">IFERROR(__xludf.DUMMYFUNCTION("IMPORTRANGE(""https://docs.google.com/spreadsheets/d/1kII0BjS6CtVrBvI8IrytgPdxDrlyQDyigzMsohRtDMs/edit?usp=sharing"",""อุทัยธานี!N792"")"),0)</f>
        <v>0</v>
      </c>
      <c r="J30" s="200">
        <f ca="1">IFERROR(__xludf.DUMMYFUNCTION("IMPORTRANGE(""https://docs.google.com/spreadsheets/d/1kII0BjS6CtVrBvI8IrytgPdxDrlyQDyigzMsohRtDMs/edit?usp=sharing"",""อุทัยธานี!N793"")"),0)</f>
        <v>0</v>
      </c>
      <c r="K30" s="200">
        <f ca="1">IFERROR(__xludf.DUMMYFUNCTION("IMPORTRANGE(""https://docs.google.com/spreadsheets/d/1kII0BjS6CtVrBvI8IrytgPdxDrlyQDyigzMsohRtDMs/edit?usp=sharing"",""อุทัยธานี!N794"")"),0)</f>
        <v>0</v>
      </c>
      <c r="L30" s="200">
        <f ca="1">IFERROR(__xludf.DUMMYFUNCTION("IMPORTRANGE(""https://docs.google.com/spreadsheets/d/1kII0BjS6CtVrBvI8IrytgPdxDrlyQDyigzMsohRtDMs/edit?usp=sharing"",""อุทัยธานี!N795"")"),0)</f>
        <v>0</v>
      </c>
      <c r="M30" s="201">
        <f ca="1">IFERROR(__xludf.DUMMYFUNCTION("IMPORTRANGE(""https://docs.google.com/spreadsheets/d/1kII0BjS6CtVrBvI8IrytgPdxDrlyQDyigzMsohRtDMs/edit?usp=sharing"",""อุทัยธานี!N798"")"),0)</f>
        <v>0</v>
      </c>
      <c r="N30" s="201">
        <f t="shared" ca="1" si="15"/>
        <v>0</v>
      </c>
      <c r="O30" s="202">
        <f ca="1">IFERROR(__xludf.DUMMYFUNCTION("IMPORTRANGE(""https://docs.google.com/spreadsheets/d/1kII0BjS6CtVrBvI8IrytgPdxDrlyQDyigzMsohRtDMs/edit?usp=sharing"",""อุทัยธานี!I785"")"),0)</f>
        <v>0</v>
      </c>
      <c r="P30" s="202">
        <f t="shared" ca="1" si="20"/>
        <v>0</v>
      </c>
      <c r="Q30" s="203">
        <f t="shared" ca="1" si="12"/>
        <v>0</v>
      </c>
      <c r="R30" s="202">
        <f ca="1">IFERROR(__xludf.DUMMYFUNCTION("IMPORTRANGE(""https://docs.google.com/spreadsheets/d/1kII0BjS6CtVrBvI8IrytgPdxDrlyQDyigzMsohRtDMs/edit?usp=sharing"",""อุทัยธานี!J801"")"),0)</f>
        <v>0</v>
      </c>
      <c r="S30" s="202">
        <f ca="1">IFERROR(__xludf.DUMMYFUNCTION("IMPORTRANGE(""https://docs.google.com/spreadsheets/d/1kII0BjS6CtVrBvI8IrytgPdxDrlyQDyigzMsohRtDMs/edit?usp=sharing"",""อุทัยธานี!J800"")"),0)</f>
        <v>0</v>
      </c>
      <c r="T30" s="430">
        <f ca="1">IFERROR(__xludf.DUMMYFUNCTION("IMPORTRANGE(""https://docs.google.com/spreadsheets/d/1kII0BjS6CtVrBvI8IrytgPdxDrlyQDyigzMsohRtDMs/edit?usp=sharing"",""อุทัยธานี!J803"")"),0)</f>
        <v>0</v>
      </c>
      <c r="U30" s="430">
        <f ca="1">IFERROR(__xludf.DUMMYFUNCTION("IMPORTRANGE(""https://docs.google.com/spreadsheets/d/1kII0BjS6CtVrBvI8IrytgPdxDrlyQDyigzMsohRtDMs/edit?usp=sharing"",""อุทัยธานี!J802"")"),0)</f>
        <v>0</v>
      </c>
    </row>
    <row r="31" spans="1:21" ht="21" customHeight="1" x14ac:dyDescent="0.3">
      <c r="A31" s="338" t="s">
        <v>48</v>
      </c>
      <c r="B31" s="339"/>
      <c r="C31" s="265">
        <f t="shared" ref="C31:E31" ca="1" si="21">SUM(C32:C51)</f>
        <v>2156480</v>
      </c>
      <c r="D31" s="159">
        <f t="shared" ca="1" si="21"/>
        <v>2156480</v>
      </c>
      <c r="E31" s="159">
        <f t="shared" ca="1" si="21"/>
        <v>0</v>
      </c>
      <c r="F31" s="159">
        <f t="shared" ca="1" si="1"/>
        <v>861563.67999999993</v>
      </c>
      <c r="G31" s="253">
        <f t="shared" ca="1" si="2"/>
        <v>39.952314883513871</v>
      </c>
      <c r="H31" s="159">
        <f t="shared" ref="H31:M31" ca="1" si="22">SUM(H32:H51)</f>
        <v>861563.67999999993</v>
      </c>
      <c r="I31" s="159">
        <f t="shared" ca="1" si="22"/>
        <v>0</v>
      </c>
      <c r="J31" s="159">
        <f t="shared" ca="1" si="22"/>
        <v>42000</v>
      </c>
      <c r="K31" s="159">
        <f t="shared" ca="1" si="22"/>
        <v>239866.57</v>
      </c>
      <c r="L31" s="159">
        <f t="shared" ca="1" si="22"/>
        <v>579697.11</v>
      </c>
      <c r="M31" s="161">
        <f t="shared" ca="1" si="22"/>
        <v>0</v>
      </c>
      <c r="N31" s="161">
        <f t="shared" ca="1" si="15"/>
        <v>0</v>
      </c>
      <c r="O31" s="159">
        <f t="shared" ref="O31:P31" ca="1" si="23">SUM(O32:O51)</f>
        <v>47000</v>
      </c>
      <c r="P31" s="159">
        <f t="shared" ca="1" si="23"/>
        <v>13901</v>
      </c>
      <c r="Q31" s="162">
        <f t="shared" ca="1" si="12"/>
        <v>29.576595744680851</v>
      </c>
      <c r="R31" s="159">
        <f t="shared" ref="R31:U31" ca="1" si="24">SUM(R32:R51)</f>
        <v>6362</v>
      </c>
      <c r="S31" s="159">
        <f t="shared" ca="1" si="24"/>
        <v>476</v>
      </c>
      <c r="T31" s="159">
        <f t="shared" ca="1" si="24"/>
        <v>7539</v>
      </c>
      <c r="U31" s="159">
        <f t="shared" ca="1" si="24"/>
        <v>608</v>
      </c>
    </row>
    <row r="32" spans="1:21" ht="21" customHeight="1" x14ac:dyDescent="0.3">
      <c r="A32" s="178">
        <v>1</v>
      </c>
      <c r="B32" s="179" t="s">
        <v>49</v>
      </c>
      <c r="C32" s="180">
        <f t="shared" ref="C32:C51" ca="1" si="25">D32+E32</f>
        <v>0</v>
      </c>
      <c r="D32" s="181">
        <f ca="1">IFERROR(__xludf.DUMMYFUNCTION("IMPORTRANGE(""https://docs.google.com/spreadsheets/d/1fb2B9NLcpJgjIieIJvenUTNPn0TimZDUi0OtYeiSQ_s/edit?usp=sharing"",""กาฬสินธุ์!L791"")"),0)</f>
        <v>0</v>
      </c>
      <c r="E32" s="181">
        <f ca="1">IFERROR(__xludf.DUMMYFUNCTION("IMPORTRANGE(""https://docs.google.com/spreadsheets/d/1fb2B9NLcpJgjIieIJvenUTNPn0TimZDUi0OtYeiSQ_s/edit?usp=sharing"",""กาฬสินธุ์!L798"")"),0)</f>
        <v>0</v>
      </c>
      <c r="F32" s="182">
        <f t="shared" ca="1" si="1"/>
        <v>0</v>
      </c>
      <c r="G32" s="183">
        <f t="shared" ca="1" si="2"/>
        <v>0</v>
      </c>
      <c r="H32" s="184">
        <f t="shared" ref="H32:H51" ca="1" si="26">I32+J32+K32+L32</f>
        <v>0</v>
      </c>
      <c r="I32" s="181">
        <f ca="1">IFERROR(__xludf.DUMMYFUNCTION("IMPORTRANGE(""https://docs.google.com/spreadsheets/d/1fb2B9NLcpJgjIieIJvenUTNPn0TimZDUi0OtYeiSQ_s/edit?usp=sharing"",""กาฬสินธุ์!N792"")"),0)</f>
        <v>0</v>
      </c>
      <c r="J32" s="181">
        <f ca="1">IFERROR(__xludf.DUMMYFUNCTION("IMPORTRANGE(""https://docs.google.com/spreadsheets/d/1fb2B9NLcpJgjIieIJvenUTNPn0TimZDUi0OtYeiSQ_s/edit?usp=sharing"",""กาฬสินธุ์!N793"")"),0)</f>
        <v>0</v>
      </c>
      <c r="K32" s="181">
        <f ca="1">IFERROR(__xludf.DUMMYFUNCTION("IMPORTRANGE(""https://docs.google.com/spreadsheets/d/1fb2B9NLcpJgjIieIJvenUTNPn0TimZDUi0OtYeiSQ_s/edit?usp=sharing"",""กาฬสินธุ์!N794"")"),0)</f>
        <v>0</v>
      </c>
      <c r="L32" s="181">
        <f ca="1">IFERROR(__xludf.DUMMYFUNCTION("IMPORTRANGE(""https://docs.google.com/spreadsheets/d/1fb2B9NLcpJgjIieIJvenUTNPn0TimZDUi0OtYeiSQ_s/edit?usp=sharing"",""กาฬสินธุ์!N795"")"),0)</f>
        <v>0</v>
      </c>
      <c r="M32" s="185">
        <f ca="1">IFERROR(__xludf.DUMMYFUNCTION("IMPORTRANGE(""https://docs.google.com/spreadsheets/d/1fb2B9NLcpJgjIieIJvenUTNPn0TimZDUi0OtYeiSQ_s/edit?usp=sharing"",""กาฬสินธุ์!N798"")"),0)</f>
        <v>0</v>
      </c>
      <c r="N32" s="185">
        <f t="shared" ca="1" si="15"/>
        <v>0</v>
      </c>
      <c r="O32" s="181">
        <f ca="1">IFERROR(__xludf.DUMMYFUNCTION("IMPORTRANGE(""https://docs.google.com/spreadsheets/d/1fb2B9NLcpJgjIieIJvenUTNPn0TimZDUi0OtYeiSQ_s/edit?usp=sharing"",""กาฬสินธุ์!I785"")"),0)</f>
        <v>0</v>
      </c>
      <c r="P32" s="181">
        <f t="shared" ref="P32:P51" ca="1" si="27">R32+T32</f>
        <v>0</v>
      </c>
      <c r="Q32" s="186">
        <f t="shared" ca="1" si="12"/>
        <v>0</v>
      </c>
      <c r="R32" s="181">
        <f ca="1">IFERROR(__xludf.DUMMYFUNCTION("IMPORTRANGE(""https://docs.google.com/spreadsheets/d/1fb2B9NLcpJgjIieIJvenUTNPn0TimZDUi0OtYeiSQ_s/edit?usp=sharing"",""กาฬสินธุ์!J801"")"),0)</f>
        <v>0</v>
      </c>
      <c r="S32" s="181">
        <f ca="1">IFERROR(__xludf.DUMMYFUNCTION("IMPORTRANGE(""https://docs.google.com/spreadsheets/d/1fb2B9NLcpJgjIieIJvenUTNPn0TimZDUi0OtYeiSQ_s/edit?usp=sharing"",""กาฬสินธุ์!J800"")"),0)</f>
        <v>0</v>
      </c>
      <c r="T32" s="428">
        <f ca="1">IFERROR(__xludf.DUMMYFUNCTION("IMPORTRANGE(""https://docs.google.com/spreadsheets/d/1fb2B9NLcpJgjIieIJvenUTNPn0TimZDUi0OtYeiSQ_s/edit?usp=sharing"",""กาฬสินธุ์!J803"")"),0)</f>
        <v>0</v>
      </c>
      <c r="U32" s="428">
        <f ca="1">IFERROR(__xludf.DUMMYFUNCTION("IMPORTRANGE(""https://docs.google.com/spreadsheets/d/1fb2B9NLcpJgjIieIJvenUTNPn0TimZDUi0OtYeiSQ_s/edit?usp=sharing"",""กาฬสินธุ์!J802"")"),0)</f>
        <v>0</v>
      </c>
    </row>
    <row r="33" spans="1:21" ht="21" customHeight="1" x14ac:dyDescent="0.3">
      <c r="A33" s="178">
        <v>2</v>
      </c>
      <c r="B33" s="179" t="s">
        <v>50</v>
      </c>
      <c r="C33" s="180">
        <f t="shared" ca="1" si="25"/>
        <v>0</v>
      </c>
      <c r="D33" s="181">
        <f ca="1">IFERROR(__xludf.DUMMYFUNCTION("IMPORTRANGE(""https://docs.google.com/spreadsheets/d/1SaMnqrwRGmFYNR0MhpWmHuL5niYUd5E7vDq8X7whAlI/edit?usp=sharing"",""ขอนแก่น!L791"")"),0)</f>
        <v>0</v>
      </c>
      <c r="E33" s="187">
        <f ca="1">IFERROR(__xludf.DUMMYFUNCTION("IMPORTRANGE(""https://docs.google.com/spreadsheets/d/1SaMnqrwRGmFYNR0MhpWmHuL5niYUd5E7vDq8X7whAlI/edit?usp=sharing"",""ขอนแก่น!L798"")"),0)</f>
        <v>0</v>
      </c>
      <c r="F33" s="182">
        <f t="shared" ca="1" si="1"/>
        <v>0</v>
      </c>
      <c r="G33" s="183">
        <f t="shared" ca="1" si="2"/>
        <v>0</v>
      </c>
      <c r="H33" s="184">
        <f t="shared" ca="1" si="26"/>
        <v>0</v>
      </c>
      <c r="I33" s="187">
        <f ca="1">IFERROR(__xludf.DUMMYFUNCTION("IMPORTRANGE(""https://docs.google.com/spreadsheets/d/1SaMnqrwRGmFYNR0MhpWmHuL5niYUd5E7vDq8X7whAlI/edit?usp=sharing"",""ขอนแก่น!N792"")"),0)</f>
        <v>0</v>
      </c>
      <c r="J33" s="187">
        <f ca="1">IFERROR(__xludf.DUMMYFUNCTION("IMPORTRANGE(""https://docs.google.com/spreadsheets/d/1SaMnqrwRGmFYNR0MhpWmHuL5niYUd5E7vDq8X7whAlI/edit?usp=sharing"",""ขอนแก่น!N793"")"),0)</f>
        <v>0</v>
      </c>
      <c r="K33" s="187">
        <f ca="1">IFERROR(__xludf.DUMMYFUNCTION("IMPORTRANGE(""https://docs.google.com/spreadsheets/d/1SaMnqrwRGmFYNR0MhpWmHuL5niYUd5E7vDq8X7whAlI/edit?usp=sharing"",""ขอนแก่น!N794"")"),0)</f>
        <v>0</v>
      </c>
      <c r="L33" s="187">
        <f ca="1">IFERROR(__xludf.DUMMYFUNCTION("IMPORTRANGE(""https://docs.google.com/spreadsheets/d/1SaMnqrwRGmFYNR0MhpWmHuL5niYUd5E7vDq8X7whAlI/edit?usp=sharing"",""ขอนแก่น!N795"")"),0)</f>
        <v>0</v>
      </c>
      <c r="M33" s="185">
        <f ca="1">IFERROR(__xludf.DUMMYFUNCTION("IMPORTRANGE(""https://docs.google.com/spreadsheets/d/1SaMnqrwRGmFYNR0MhpWmHuL5niYUd5E7vDq8X7whAlI/edit?usp=sharing"",""ขอนแก่น!N798"")"),0)</f>
        <v>0</v>
      </c>
      <c r="N33" s="185">
        <f t="shared" ca="1" si="15"/>
        <v>0</v>
      </c>
      <c r="O33" s="181">
        <f ca="1">IFERROR(__xludf.DUMMYFUNCTION("IMPORTRANGE(""https://docs.google.com/spreadsheets/d/1SaMnqrwRGmFYNR0MhpWmHuL5niYUd5E7vDq8X7whAlI/edit?usp=sharing"",""ขอนแก่น!I785"")"),0)</f>
        <v>0</v>
      </c>
      <c r="P33" s="181">
        <f t="shared" ca="1" si="27"/>
        <v>0</v>
      </c>
      <c r="Q33" s="186">
        <f t="shared" ca="1" si="12"/>
        <v>0</v>
      </c>
      <c r="R33" s="181">
        <f ca="1">IFERROR(__xludf.DUMMYFUNCTION("IMPORTRANGE(""https://docs.google.com/spreadsheets/d/1SaMnqrwRGmFYNR0MhpWmHuL5niYUd5E7vDq8X7whAlI/edit?usp=sharing"",""ขอนแก่น!J801"")"),0)</f>
        <v>0</v>
      </c>
      <c r="S33" s="181">
        <f ca="1">IFERROR(__xludf.DUMMYFUNCTION("IMPORTRANGE(""https://docs.google.com/spreadsheets/d/1SaMnqrwRGmFYNR0MhpWmHuL5niYUd5E7vDq8X7whAlI/edit?usp=sharing"",""ขอนแก่น!J800"")"),0)</f>
        <v>0</v>
      </c>
      <c r="T33" s="428">
        <f ca="1">IFERROR(__xludf.DUMMYFUNCTION("IMPORTRANGE(""https://docs.google.com/spreadsheets/d/1SaMnqrwRGmFYNR0MhpWmHuL5niYUd5E7vDq8X7whAlI/edit?usp=sharing"",""ขอนแก่น!J803"")"),0)</f>
        <v>0</v>
      </c>
      <c r="U33" s="428">
        <f ca="1">IFERROR(__xludf.DUMMYFUNCTION("IMPORTRANGE(""https://docs.google.com/spreadsheets/d/1SaMnqrwRGmFYNR0MhpWmHuL5niYUd5E7vDq8X7whAlI/edit?usp=sharing"",""ขอนแก่น!J802"")"),0)</f>
        <v>0</v>
      </c>
    </row>
    <row r="34" spans="1:21" ht="21" customHeight="1" x14ac:dyDescent="0.3">
      <c r="A34" s="178">
        <v>3</v>
      </c>
      <c r="B34" s="179" t="s">
        <v>51</v>
      </c>
      <c r="C34" s="180">
        <f t="shared" ca="1" si="25"/>
        <v>0</v>
      </c>
      <c r="D34" s="181">
        <f ca="1">IFERROR(__xludf.DUMMYFUNCTION("IMPORTRANGE(""https://docs.google.com/spreadsheets/d/1xQzEtGHhTTgxHh6YUkKY1P4dRyjVhS74dGswLfAASA4/edit?usp=sharing"",""ชัยภูมิ!L791"")"),0)</f>
        <v>0</v>
      </c>
      <c r="E34" s="187">
        <f ca="1">IFERROR(__xludf.DUMMYFUNCTION("IMPORTRANGE(""https://docs.google.com/spreadsheets/d/1xQzEtGHhTTgxHh6YUkKY1P4dRyjVhS74dGswLfAASA4/edit?usp=sharing"",""ชัยภูมิ!L798"")"),0)</f>
        <v>0</v>
      </c>
      <c r="F34" s="182">
        <f t="shared" ca="1" si="1"/>
        <v>0</v>
      </c>
      <c r="G34" s="183">
        <f t="shared" ca="1" si="2"/>
        <v>0</v>
      </c>
      <c r="H34" s="184">
        <f t="shared" ca="1" si="26"/>
        <v>0</v>
      </c>
      <c r="I34" s="187">
        <f ca="1">IFERROR(__xludf.DUMMYFUNCTION("IMPORTRANGE(""https://docs.google.com/spreadsheets/d/1xQzEtGHhTTgxHh6YUkKY1P4dRyjVhS74dGswLfAASA4/edit?usp=sharing"",""ชัยภูมิ!N792"")"),0)</f>
        <v>0</v>
      </c>
      <c r="J34" s="187">
        <f ca="1">IFERROR(__xludf.DUMMYFUNCTION("IMPORTRANGE(""https://docs.google.com/spreadsheets/d/1xQzEtGHhTTgxHh6YUkKY1P4dRyjVhS74dGswLfAASA4/edit?usp=sharing"",""ชัยภูมิ!N793"")"),0)</f>
        <v>0</v>
      </c>
      <c r="K34" s="187">
        <f ca="1">IFERROR(__xludf.DUMMYFUNCTION("IMPORTRANGE(""https://docs.google.com/spreadsheets/d/1xQzEtGHhTTgxHh6YUkKY1P4dRyjVhS74dGswLfAASA4/edit?usp=sharing"",""ชัยภูมิ!N794"")"),0)</f>
        <v>0</v>
      </c>
      <c r="L34" s="187">
        <f ca="1">IFERROR(__xludf.DUMMYFUNCTION("IMPORTRANGE(""https://docs.google.com/spreadsheets/d/1xQzEtGHhTTgxHh6YUkKY1P4dRyjVhS74dGswLfAASA4/edit?usp=sharing"",""ชัยภูมิ!N795"")"),0)</f>
        <v>0</v>
      </c>
      <c r="M34" s="185">
        <f ca="1">IFERROR(__xludf.DUMMYFUNCTION("IMPORTRANGE(""https://docs.google.com/spreadsheets/d/1xQzEtGHhTTgxHh6YUkKY1P4dRyjVhS74dGswLfAASA4/edit?usp=sharing"",""ชัยภูมิ!N798"")"),0)</f>
        <v>0</v>
      </c>
      <c r="N34" s="185">
        <f t="shared" ca="1" si="15"/>
        <v>0</v>
      </c>
      <c r="O34" s="181">
        <f ca="1">IFERROR(__xludf.DUMMYFUNCTION("IMPORTRANGE(""https://docs.google.com/spreadsheets/d/1xQzEtGHhTTgxHh6YUkKY1P4dRyjVhS74dGswLfAASA4/edit?usp=sharing"",""ชัยภูมิ!I785"")"),0)</f>
        <v>0</v>
      </c>
      <c r="P34" s="181">
        <f t="shared" ca="1" si="27"/>
        <v>0</v>
      </c>
      <c r="Q34" s="186">
        <f t="shared" ca="1" si="12"/>
        <v>0</v>
      </c>
      <c r="R34" s="181">
        <f ca="1">IFERROR(__xludf.DUMMYFUNCTION("IMPORTRANGE(""https://docs.google.com/spreadsheets/d/1xQzEtGHhTTgxHh6YUkKY1P4dRyjVhS74dGswLfAASA4/edit?usp=sharing"",""ชัยภูมิ!J801"")"),0)</f>
        <v>0</v>
      </c>
      <c r="S34" s="181">
        <f ca="1">IFERROR(__xludf.DUMMYFUNCTION("IMPORTRANGE(""https://docs.google.com/spreadsheets/d/1xQzEtGHhTTgxHh6YUkKY1P4dRyjVhS74dGswLfAASA4/edit?usp=sharing"",""ชัยภูมิ!J800"")"),0)</f>
        <v>0</v>
      </c>
      <c r="T34" s="428">
        <f ca="1">IFERROR(__xludf.DUMMYFUNCTION("IMPORTRANGE(""https://docs.google.com/spreadsheets/d/1xQzEtGHhTTgxHh6YUkKY1P4dRyjVhS74dGswLfAASA4/edit?usp=sharing"",""ชัยภูมิ!J803"")"),0)</f>
        <v>0</v>
      </c>
      <c r="U34" s="428">
        <f ca="1">IFERROR(__xludf.DUMMYFUNCTION("IMPORTRANGE(""https://docs.google.com/spreadsheets/d/1xQzEtGHhTTgxHh6YUkKY1P4dRyjVhS74dGswLfAASA4/edit?usp=sharing"",""ชัยภูมิ!J802"")"),0)</f>
        <v>0</v>
      </c>
    </row>
    <row r="35" spans="1:21" ht="21" customHeight="1" x14ac:dyDescent="0.3">
      <c r="A35" s="178">
        <v>4</v>
      </c>
      <c r="B35" s="179" t="s">
        <v>52</v>
      </c>
      <c r="C35" s="180">
        <f t="shared" ca="1" si="25"/>
        <v>0</v>
      </c>
      <c r="D35" s="181">
        <f ca="1">IFERROR(__xludf.DUMMYFUNCTION("IMPORTRANGE(""https://docs.google.com/spreadsheets/d/1EXMBoBxU3OFbjT2TRpneM33qFjqDzrKmn9ydcflfI0o/edit?usp=sharing"",""นครพนม!L791"")"),0)</f>
        <v>0</v>
      </c>
      <c r="E35" s="187">
        <f ca="1">IFERROR(__xludf.DUMMYFUNCTION("IMPORTRANGE(""https://docs.google.com/spreadsheets/d/1EXMBoBxU3OFbjT2TRpneM33qFjqDzrKmn9ydcflfI0o/edit?usp=sharing"",""นครพนม!L798"")"),0)</f>
        <v>0</v>
      </c>
      <c r="F35" s="182">
        <f t="shared" ca="1" si="1"/>
        <v>0</v>
      </c>
      <c r="G35" s="183">
        <f t="shared" ca="1" si="2"/>
        <v>0</v>
      </c>
      <c r="H35" s="184">
        <f t="shared" ca="1" si="26"/>
        <v>0</v>
      </c>
      <c r="I35" s="187">
        <f ca="1">IFERROR(__xludf.DUMMYFUNCTION("IMPORTRANGE(""https://docs.google.com/spreadsheets/d/1EXMBoBxU3OFbjT2TRpneM33qFjqDzrKmn9ydcflfI0o/edit?usp=sharing"",""นครพนม!N792"")"),0)</f>
        <v>0</v>
      </c>
      <c r="J35" s="187">
        <f ca="1">IFERROR(__xludf.DUMMYFUNCTION("IMPORTRANGE(""https://docs.google.com/spreadsheets/d/1EXMBoBxU3OFbjT2TRpneM33qFjqDzrKmn9ydcflfI0o/edit?usp=sharing"",""นครพนม!N793"")"),0)</f>
        <v>0</v>
      </c>
      <c r="K35" s="187">
        <f ca="1">IFERROR(__xludf.DUMMYFUNCTION("IMPORTRANGE(""https://docs.google.com/spreadsheets/d/1EXMBoBxU3OFbjT2TRpneM33qFjqDzrKmn9ydcflfI0o/edit?usp=sharing"",""นครพนม!N794"")"),0)</f>
        <v>0</v>
      </c>
      <c r="L35" s="187">
        <f ca="1">IFERROR(__xludf.DUMMYFUNCTION("IMPORTRANGE(""https://docs.google.com/spreadsheets/d/1EXMBoBxU3OFbjT2TRpneM33qFjqDzrKmn9ydcflfI0o/edit?usp=sharing"",""นครพนม!N795"")"),0)</f>
        <v>0</v>
      </c>
      <c r="M35" s="185">
        <f ca="1">IFERROR(__xludf.DUMMYFUNCTION("IMPORTRANGE(""https://docs.google.com/spreadsheets/d/1EXMBoBxU3OFbjT2TRpneM33qFjqDzrKmn9ydcflfI0o/edit?usp=sharing"",""นครพนม!N798"")"),0)</f>
        <v>0</v>
      </c>
      <c r="N35" s="185">
        <f t="shared" ca="1" si="15"/>
        <v>0</v>
      </c>
      <c r="O35" s="181">
        <f ca="1">IFERROR(__xludf.DUMMYFUNCTION("IMPORTRANGE(""https://docs.google.com/spreadsheets/d/1EXMBoBxU3OFbjT2TRpneM33qFjqDzrKmn9ydcflfI0o/edit?usp=sharing"",""นครพนม!I785"")"),0)</f>
        <v>0</v>
      </c>
      <c r="P35" s="181">
        <f t="shared" ca="1" si="27"/>
        <v>0</v>
      </c>
      <c r="Q35" s="186">
        <f t="shared" ca="1" si="12"/>
        <v>0</v>
      </c>
      <c r="R35" s="181">
        <f ca="1">IFERROR(__xludf.DUMMYFUNCTION("IMPORTRANGE(""https://docs.google.com/spreadsheets/d/1EXMBoBxU3OFbjT2TRpneM33qFjqDzrKmn9ydcflfI0o/edit?usp=sharing"",""นครพนม!J801"")"),0)</f>
        <v>0</v>
      </c>
      <c r="S35" s="181">
        <f ca="1">IFERROR(__xludf.DUMMYFUNCTION("IMPORTRANGE(""https://docs.google.com/spreadsheets/d/1EXMBoBxU3OFbjT2TRpneM33qFjqDzrKmn9ydcflfI0o/edit?usp=sharing"",""นครพนม!J800"")"),0)</f>
        <v>0</v>
      </c>
      <c r="T35" s="428">
        <f ca="1">IFERROR(__xludf.DUMMYFUNCTION("IMPORTRANGE(""https://docs.google.com/spreadsheets/d/1EXMBoBxU3OFbjT2TRpneM33qFjqDzrKmn9ydcflfI0o/edit?usp=sharing"",""นครพนม!J803"")"),0)</f>
        <v>0</v>
      </c>
      <c r="U35" s="428">
        <f ca="1">IFERROR(__xludf.DUMMYFUNCTION("IMPORTRANGE(""https://docs.google.com/spreadsheets/d/1EXMBoBxU3OFbjT2TRpneM33qFjqDzrKmn9ydcflfI0o/edit?usp=sharing"",""นครพนม!J802"")"),0)</f>
        <v>0</v>
      </c>
    </row>
    <row r="36" spans="1:21" ht="21" customHeight="1" x14ac:dyDescent="0.3">
      <c r="A36" s="178">
        <v>5</v>
      </c>
      <c r="B36" s="179" t="s">
        <v>53</v>
      </c>
      <c r="C36" s="180">
        <f t="shared" ca="1" si="25"/>
        <v>335200</v>
      </c>
      <c r="D36" s="181">
        <f ca="1">IFERROR(__xludf.DUMMYFUNCTION("IMPORTRANGE(""https://docs.google.com/spreadsheets/d/1bDQrolntRWtHumK8W-x-HXKntwxB9S3sF5aDeRS66Ko/edit?usp=sharing"",""นครราชสีมา!L791"")"),335200)</f>
        <v>335200</v>
      </c>
      <c r="E36" s="187">
        <f ca="1">IFERROR(__xludf.DUMMYFUNCTION("IMPORTRANGE(""https://docs.google.com/spreadsheets/d/1bDQrolntRWtHumK8W-x-HXKntwxB9S3sF5aDeRS66Ko/edit?usp=sharing"",""นครราชสีมา!L798"")"),0)</f>
        <v>0</v>
      </c>
      <c r="F36" s="182">
        <f t="shared" ca="1" si="1"/>
        <v>214466.57</v>
      </c>
      <c r="G36" s="183">
        <f t="shared" ca="1" si="2"/>
        <v>63.981673627684962</v>
      </c>
      <c r="H36" s="184">
        <f t="shared" ca="1" si="26"/>
        <v>214466.57</v>
      </c>
      <c r="I36" s="187">
        <f ca="1">IFERROR(__xludf.DUMMYFUNCTION("IMPORTRANGE(""https://docs.google.com/spreadsheets/d/1bDQrolntRWtHumK8W-x-HXKntwxB9S3sF5aDeRS66Ko/edit?usp=sharing"",""นครราชสีมา!N792"")"),0)</f>
        <v>0</v>
      </c>
      <c r="J36" s="187">
        <f ca="1">IFERROR(__xludf.DUMMYFUNCTION("IMPORTRANGE(""https://docs.google.com/spreadsheets/d/1bDQrolntRWtHumK8W-x-HXKntwxB9S3sF5aDeRS66Ko/edit?usp=sharing"",""นครราชสีมา!N793"")"),0)</f>
        <v>0</v>
      </c>
      <c r="K36" s="187">
        <f ca="1">IFERROR(__xludf.DUMMYFUNCTION("IMPORTRANGE(""https://docs.google.com/spreadsheets/d/1bDQrolntRWtHumK8W-x-HXKntwxB9S3sF5aDeRS66Ko/edit?usp=sharing"",""นครราชสีมา!N794"")"),51566.57)</f>
        <v>51566.57</v>
      </c>
      <c r="L36" s="187">
        <f ca="1">IFERROR(__xludf.DUMMYFUNCTION("IMPORTRANGE(""https://docs.google.com/spreadsheets/d/1bDQrolntRWtHumK8W-x-HXKntwxB9S3sF5aDeRS66Ko/edit?usp=sharing"",""นครราชสีมา!N795"")"),162900)</f>
        <v>162900</v>
      </c>
      <c r="M36" s="185">
        <f ca="1">IFERROR(__xludf.DUMMYFUNCTION("IMPORTRANGE(""https://docs.google.com/spreadsheets/d/1bDQrolntRWtHumK8W-x-HXKntwxB9S3sF5aDeRS66Ko/edit?usp=sharing"",""นครราชสีมา!N798"")"),0)</f>
        <v>0</v>
      </c>
      <c r="N36" s="185">
        <f t="shared" ca="1" si="15"/>
        <v>0</v>
      </c>
      <c r="O36" s="181">
        <f ca="1">IFERROR(__xludf.DUMMYFUNCTION("IMPORTRANGE(""https://docs.google.com/spreadsheets/d/1bDQrolntRWtHumK8W-x-HXKntwxB9S3sF5aDeRS66Ko/edit?usp=sharing"",""นครราชสีมา!I785"")"),5000)</f>
        <v>5000</v>
      </c>
      <c r="P36" s="181">
        <f t="shared" ca="1" si="27"/>
        <v>1760</v>
      </c>
      <c r="Q36" s="186">
        <f t="shared" ca="1" si="12"/>
        <v>35.200000000000003</v>
      </c>
      <c r="R36" s="181">
        <f ca="1">IFERROR(__xludf.DUMMYFUNCTION("IMPORTRANGE(""https://docs.google.com/spreadsheets/d/1bDQrolntRWtHumK8W-x-HXKntwxB9S3sF5aDeRS66Ko/edit?usp=sharing"",""นครราชสีมา!J801"")"),1760)</f>
        <v>1760</v>
      </c>
      <c r="S36" s="181">
        <f ca="1">IFERROR(__xludf.DUMMYFUNCTION("IMPORTRANGE(""https://docs.google.com/spreadsheets/d/1bDQrolntRWtHumK8W-x-HXKntwxB9S3sF5aDeRS66Ko/edit?usp=sharing"",""นครราชสีมา!J800"")"),76)</f>
        <v>76</v>
      </c>
      <c r="T36" s="429">
        <f ca="1">IFERROR(__xludf.DUMMYFUNCTION("IMPORTRANGE(""https://docs.google.com/spreadsheets/d/1bDQrolntRWtHumK8W-x-HXKntwxB9S3sF5aDeRS66Ko/edit?usp=sharing"",""นครราชสีมา!J803"")"),0)</f>
        <v>0</v>
      </c>
      <c r="U36" s="429">
        <f ca="1">IFERROR(__xludf.DUMMYFUNCTION("IMPORTRANGE(""https://docs.google.com/spreadsheets/d/1bDQrolntRWtHumK8W-x-HXKntwxB9S3sF5aDeRS66Ko/edit?usp=sharing"",""นครราชสีมา!J802"")"),0)</f>
        <v>0</v>
      </c>
    </row>
    <row r="37" spans="1:21" ht="21" customHeight="1" x14ac:dyDescent="0.3">
      <c r="A37" s="178">
        <v>6</v>
      </c>
      <c r="B37" s="179" t="s">
        <v>54</v>
      </c>
      <c r="C37" s="180">
        <f t="shared" ca="1" si="25"/>
        <v>213920</v>
      </c>
      <c r="D37" s="181">
        <f ca="1">IFERROR(__xludf.DUMMYFUNCTION("IMPORTRANGE(""https://docs.google.com/spreadsheets/d/1_MzZ-2gVPiCW-d2VcafoCmFJQTSrZ6SQyFcMqRRQQ2w/edit?usp=sharing"",""บึงกาฬ!L791"")"),213920)</f>
        <v>213920</v>
      </c>
      <c r="E37" s="187">
        <f ca="1">IFERROR(__xludf.DUMMYFUNCTION("IMPORTRANGE(""https://docs.google.com/spreadsheets/d/1_MzZ-2gVPiCW-d2VcafoCmFJQTSrZ6SQyFcMqRRQQ2w/edit?usp=sharing"",""บึงกาฬ!L798"")"),0)</f>
        <v>0</v>
      </c>
      <c r="F37" s="182">
        <f t="shared" ca="1" si="1"/>
        <v>0</v>
      </c>
      <c r="G37" s="183">
        <f t="shared" ca="1" si="2"/>
        <v>0</v>
      </c>
      <c r="H37" s="184">
        <f t="shared" ca="1" si="26"/>
        <v>0</v>
      </c>
      <c r="I37" s="187">
        <f ca="1">IFERROR(__xludf.DUMMYFUNCTION("IMPORTRANGE(""https://docs.google.com/spreadsheets/d/1_MzZ-2gVPiCW-d2VcafoCmFJQTSrZ6SQyFcMqRRQQ2w/edit?usp=sharing"",""บึงกาฬ!N792"")"),0)</f>
        <v>0</v>
      </c>
      <c r="J37" s="187">
        <f ca="1">IFERROR(__xludf.DUMMYFUNCTION("IMPORTRANGE(""https://docs.google.com/spreadsheets/d/1_MzZ-2gVPiCW-d2VcafoCmFJQTSrZ6SQyFcMqRRQQ2w/edit?usp=sharing"",""บึงกาฬ!N793"")"),0)</f>
        <v>0</v>
      </c>
      <c r="K37" s="187">
        <f ca="1">IFERROR(__xludf.DUMMYFUNCTION("IMPORTRANGE(""https://docs.google.com/spreadsheets/d/1_MzZ-2gVPiCW-d2VcafoCmFJQTSrZ6SQyFcMqRRQQ2w/edit?usp=sharing"",""บึงกาฬ!N794"")"),0)</f>
        <v>0</v>
      </c>
      <c r="L37" s="187">
        <f ca="1">IFERROR(__xludf.DUMMYFUNCTION("IMPORTRANGE(""https://docs.google.com/spreadsheets/d/1_MzZ-2gVPiCW-d2VcafoCmFJQTSrZ6SQyFcMqRRQQ2w/edit?usp=sharing"",""บึงกาฬ!N795"")"),0)</f>
        <v>0</v>
      </c>
      <c r="M37" s="185">
        <f ca="1">IFERROR(__xludf.DUMMYFUNCTION("IMPORTRANGE(""https://docs.google.com/spreadsheets/d/1_MzZ-2gVPiCW-d2VcafoCmFJQTSrZ6SQyFcMqRRQQ2w/edit?usp=sharing"",""บึงกาฬ!N798"")"),0)</f>
        <v>0</v>
      </c>
      <c r="N37" s="185">
        <f t="shared" ca="1" si="15"/>
        <v>0</v>
      </c>
      <c r="O37" s="181">
        <f ca="1">IFERROR(__xludf.DUMMYFUNCTION("IMPORTRANGE(""https://docs.google.com/spreadsheets/d/1_MzZ-2gVPiCW-d2VcafoCmFJQTSrZ6SQyFcMqRRQQ2w/edit?usp=sharing"",""บึงกาฬ!I785"")"),3000)</f>
        <v>3000</v>
      </c>
      <c r="P37" s="181">
        <f t="shared" ca="1" si="27"/>
        <v>0</v>
      </c>
      <c r="Q37" s="186">
        <f t="shared" ca="1" si="12"/>
        <v>0</v>
      </c>
      <c r="R37" s="181">
        <f ca="1">IFERROR(__xludf.DUMMYFUNCTION("IMPORTRANGE(""https://docs.google.com/spreadsheets/d/1_MzZ-2gVPiCW-d2VcafoCmFJQTSrZ6SQyFcMqRRQQ2w/edit?usp=sharing"",""บึงกาฬ!J801"")"),0)</f>
        <v>0</v>
      </c>
      <c r="S37" s="181">
        <f ca="1">IFERROR(__xludf.DUMMYFUNCTION("IMPORTRANGE(""https://docs.google.com/spreadsheets/d/1_MzZ-2gVPiCW-d2VcafoCmFJQTSrZ6SQyFcMqRRQQ2w/edit?usp=sharing"",""บึงกาฬ!J800"")"),0)</f>
        <v>0</v>
      </c>
      <c r="T37" s="429">
        <f ca="1">IFERROR(__xludf.DUMMYFUNCTION("IMPORTRANGE(""https://docs.google.com/spreadsheets/d/1_MzZ-2gVPiCW-d2VcafoCmFJQTSrZ6SQyFcMqRRQQ2w/edit?usp=sharing"",""บึงกาฬ!J803"")"),0)</f>
        <v>0</v>
      </c>
      <c r="U37" s="429">
        <f ca="1">IFERROR(__xludf.DUMMYFUNCTION("IMPORTRANGE(""https://docs.google.com/spreadsheets/d/1_MzZ-2gVPiCW-d2VcafoCmFJQTSrZ6SQyFcMqRRQQ2w/edit?usp=sharing"",""บึงกาฬ!J802"")"),0)</f>
        <v>0</v>
      </c>
    </row>
    <row r="38" spans="1:21" ht="21" customHeight="1" x14ac:dyDescent="0.3">
      <c r="A38" s="178">
        <v>7</v>
      </c>
      <c r="B38" s="179" t="s">
        <v>55</v>
      </c>
      <c r="C38" s="180">
        <f t="shared" ca="1" si="25"/>
        <v>0</v>
      </c>
      <c r="D38" s="181">
        <f ca="1">IFERROR(__xludf.DUMMYFUNCTION("IMPORTRANGE(""https://docs.google.com/spreadsheets/d/1B3lPpzOuaNwVItLwLEZYl_qEblfcx7dRnbRkAw0l-pE/edit?usp=sharing"",""บุรีรัมย์!L791"")"),0)</f>
        <v>0</v>
      </c>
      <c r="E38" s="187">
        <f ca="1">IFERROR(__xludf.DUMMYFUNCTION("IMPORTRANGE(""https://docs.google.com/spreadsheets/d/1B3lPpzOuaNwVItLwLEZYl_qEblfcx7dRnbRkAw0l-pE/edit?usp=sharing"",""บุรีรัมย์!L798"")"),0)</f>
        <v>0</v>
      </c>
      <c r="F38" s="182">
        <f t="shared" ca="1" si="1"/>
        <v>0</v>
      </c>
      <c r="G38" s="183">
        <f t="shared" ca="1" si="2"/>
        <v>0</v>
      </c>
      <c r="H38" s="184">
        <f t="shared" ca="1" si="26"/>
        <v>0</v>
      </c>
      <c r="I38" s="187">
        <f ca="1">IFERROR(__xludf.DUMMYFUNCTION("IMPORTRANGE(""https://docs.google.com/spreadsheets/d/1B3lPpzOuaNwVItLwLEZYl_qEblfcx7dRnbRkAw0l-pE/edit?usp=sharing"",""บุรีรัมย์!N792"")"),0)</f>
        <v>0</v>
      </c>
      <c r="J38" s="187">
        <f ca="1">IFERROR(__xludf.DUMMYFUNCTION("IMPORTRANGE(""https://docs.google.com/spreadsheets/d/1B3lPpzOuaNwVItLwLEZYl_qEblfcx7dRnbRkAw0l-pE/edit?usp=sharing"",""บุรีรัมย์!N793"")"),0)</f>
        <v>0</v>
      </c>
      <c r="K38" s="187">
        <f ca="1">IFERROR(__xludf.DUMMYFUNCTION("IMPORTRANGE(""https://docs.google.com/spreadsheets/d/1B3lPpzOuaNwVItLwLEZYl_qEblfcx7dRnbRkAw0l-pE/edit?usp=sharing"",""บุรีรัมย์!N794"")"),0)</f>
        <v>0</v>
      </c>
      <c r="L38" s="187">
        <f ca="1">IFERROR(__xludf.DUMMYFUNCTION("IMPORTRANGE(""https://docs.google.com/spreadsheets/d/1B3lPpzOuaNwVItLwLEZYl_qEblfcx7dRnbRkAw0l-pE/edit?usp=sharing"",""บุรีรัมย์!N795"")"),0)</f>
        <v>0</v>
      </c>
      <c r="M38" s="185">
        <f ca="1">IFERROR(__xludf.DUMMYFUNCTION("IMPORTRANGE(""https://docs.google.com/spreadsheets/d/1B3lPpzOuaNwVItLwLEZYl_qEblfcx7dRnbRkAw0l-pE/edit?usp=sharing"",""บุรีรัมย์!N798"")"),0)</f>
        <v>0</v>
      </c>
      <c r="N38" s="185">
        <f t="shared" ca="1" si="15"/>
        <v>0</v>
      </c>
      <c r="O38" s="181">
        <f ca="1">IFERROR(__xludf.DUMMYFUNCTION("IMPORTRANGE(""https://docs.google.com/spreadsheets/d/1B3lPpzOuaNwVItLwLEZYl_qEblfcx7dRnbRkAw0l-pE/edit?usp=sharing"",""บุรีรัมย์!I785"")"),0)</f>
        <v>0</v>
      </c>
      <c r="P38" s="181">
        <f t="shared" ca="1" si="27"/>
        <v>0</v>
      </c>
      <c r="Q38" s="186">
        <f t="shared" ca="1" si="12"/>
        <v>0</v>
      </c>
      <c r="R38" s="181">
        <f ca="1">IFERROR(__xludf.DUMMYFUNCTION("IMPORTRANGE(""https://docs.google.com/spreadsheets/d/1B3lPpzOuaNwVItLwLEZYl_qEblfcx7dRnbRkAw0l-pE/edit?usp=sharing"",""บุรีรัมย์!J801"")"),0)</f>
        <v>0</v>
      </c>
      <c r="S38" s="181">
        <f ca="1">IFERROR(__xludf.DUMMYFUNCTION("IMPORTRANGE(""https://docs.google.com/spreadsheets/d/1B3lPpzOuaNwVItLwLEZYl_qEblfcx7dRnbRkAw0l-pE/edit?usp=sharing"",""บุรีรัมย์!J800"")"),0)</f>
        <v>0</v>
      </c>
      <c r="T38" s="428">
        <f ca="1">IFERROR(__xludf.DUMMYFUNCTION("IMPORTRANGE(""https://docs.google.com/spreadsheets/d/1B3lPpzOuaNwVItLwLEZYl_qEblfcx7dRnbRkAw0l-pE/edit?usp=sharing"",""บุรีรัมย์!J803"")"),0)</f>
        <v>0</v>
      </c>
      <c r="U38" s="428">
        <f ca="1">IFERROR(__xludf.DUMMYFUNCTION("IMPORTRANGE(""https://docs.google.com/spreadsheets/d/1B3lPpzOuaNwVItLwLEZYl_qEblfcx7dRnbRkAw0l-pE/edit?usp=sharing"",""บุรีรัมย์!J802"")"),0)</f>
        <v>0</v>
      </c>
    </row>
    <row r="39" spans="1:21" ht="21" customHeight="1" x14ac:dyDescent="0.3">
      <c r="A39" s="178">
        <v>8</v>
      </c>
      <c r="B39" s="179" t="s">
        <v>56</v>
      </c>
      <c r="C39" s="180">
        <f t="shared" ca="1" si="25"/>
        <v>0</v>
      </c>
      <c r="D39" s="181">
        <f ca="1">IFERROR(__xludf.DUMMYFUNCTION("IMPORTRANGE(""https://docs.google.com/spreadsheets/d/19GOkiOqnzYbevLYWrMk4qFOXe3rX14BkSA8X-mq-a40/edit?usp=sharing"",""มหาสารคาม!L791"")"),0)</f>
        <v>0</v>
      </c>
      <c r="E39" s="187">
        <f ca="1">IFERROR(__xludf.DUMMYFUNCTION("IMPORTRANGE(""https://docs.google.com/spreadsheets/d/19GOkiOqnzYbevLYWrMk4qFOXe3rX14BkSA8X-mq-a40/edit?usp=sharing"",""มหาสารคาม!L798"")"),0)</f>
        <v>0</v>
      </c>
      <c r="F39" s="182">
        <f t="shared" ca="1" si="1"/>
        <v>0</v>
      </c>
      <c r="G39" s="183">
        <f t="shared" ca="1" si="2"/>
        <v>0</v>
      </c>
      <c r="H39" s="184">
        <f t="shared" ca="1" si="26"/>
        <v>0</v>
      </c>
      <c r="I39" s="187">
        <f ca="1">IFERROR(__xludf.DUMMYFUNCTION("IMPORTRANGE(""https://docs.google.com/spreadsheets/d/19GOkiOqnzYbevLYWrMk4qFOXe3rX14BkSA8X-mq-a40/edit?usp=sharing"",""มหาสารคาม!N792"")"),0)</f>
        <v>0</v>
      </c>
      <c r="J39" s="187">
        <f ca="1">IFERROR(__xludf.DUMMYFUNCTION("IMPORTRANGE(""https://docs.google.com/spreadsheets/d/19GOkiOqnzYbevLYWrMk4qFOXe3rX14BkSA8X-mq-a40/edit?usp=sharing"",""มหาสารคาม!N793"")"),0)</f>
        <v>0</v>
      </c>
      <c r="K39" s="187">
        <f ca="1">IFERROR(__xludf.DUMMYFUNCTION("IMPORTRANGE(""https://docs.google.com/spreadsheets/d/19GOkiOqnzYbevLYWrMk4qFOXe3rX14BkSA8X-mq-a40/edit?usp=sharing"",""มหาสารคาม!N794"")"),0)</f>
        <v>0</v>
      </c>
      <c r="L39" s="187">
        <f ca="1">IFERROR(__xludf.DUMMYFUNCTION("IMPORTRANGE(""https://docs.google.com/spreadsheets/d/19GOkiOqnzYbevLYWrMk4qFOXe3rX14BkSA8X-mq-a40/edit?usp=sharing"",""มหาสารคาม!N795"")"),0)</f>
        <v>0</v>
      </c>
      <c r="M39" s="185">
        <f ca="1">IFERROR(__xludf.DUMMYFUNCTION("IMPORTRANGE(""https://docs.google.com/spreadsheets/d/19GOkiOqnzYbevLYWrMk4qFOXe3rX14BkSA8X-mq-a40/edit?usp=sharing"",""มหาสารคาม!N798"")"),0)</f>
        <v>0</v>
      </c>
      <c r="N39" s="185">
        <f t="shared" ca="1" si="15"/>
        <v>0</v>
      </c>
      <c r="O39" s="181">
        <f ca="1">IFERROR(__xludf.DUMMYFUNCTION("IMPORTRANGE(""https://docs.google.com/spreadsheets/d/19GOkiOqnzYbevLYWrMk4qFOXe3rX14BkSA8X-mq-a40/edit?usp=sharing"",""มหาสารคาม!I785"")"),0)</f>
        <v>0</v>
      </c>
      <c r="P39" s="181">
        <f t="shared" ca="1" si="27"/>
        <v>0</v>
      </c>
      <c r="Q39" s="186">
        <f t="shared" ca="1" si="12"/>
        <v>0</v>
      </c>
      <c r="R39" s="181">
        <f ca="1">IFERROR(__xludf.DUMMYFUNCTION("IMPORTRANGE(""https://docs.google.com/spreadsheets/d/19GOkiOqnzYbevLYWrMk4qFOXe3rX14BkSA8X-mq-a40/edit?usp=sharing"",""มหาสารคาม!J801"")"),0)</f>
        <v>0</v>
      </c>
      <c r="S39" s="181">
        <f ca="1">IFERROR(__xludf.DUMMYFUNCTION("IMPORTRANGE(""https://docs.google.com/spreadsheets/d/19GOkiOqnzYbevLYWrMk4qFOXe3rX14BkSA8X-mq-a40/edit?usp=sharing"",""มหาสารคาม!J800"")"),0)</f>
        <v>0</v>
      </c>
      <c r="T39" s="428">
        <f ca="1">IFERROR(__xludf.DUMMYFUNCTION("IMPORTRANGE(""https://docs.google.com/spreadsheets/d/19GOkiOqnzYbevLYWrMk4qFOXe3rX14BkSA8X-mq-a40/edit?usp=sharing"",""มหาสารคาม!J803"")"),0)</f>
        <v>0</v>
      </c>
      <c r="U39" s="428">
        <f ca="1">IFERROR(__xludf.DUMMYFUNCTION("IMPORTRANGE(""https://docs.google.com/spreadsheets/d/19GOkiOqnzYbevLYWrMk4qFOXe3rX14BkSA8X-mq-a40/edit?usp=sharing"",""มหาสารคาม!J802"")"),0)</f>
        <v>0</v>
      </c>
    </row>
    <row r="40" spans="1:21" ht="21" customHeight="1" x14ac:dyDescent="0.3">
      <c r="A40" s="178">
        <v>9</v>
      </c>
      <c r="B40" s="179" t="s">
        <v>57</v>
      </c>
      <c r="C40" s="180">
        <f t="shared" ca="1" si="25"/>
        <v>0</v>
      </c>
      <c r="D40" s="181">
        <f ca="1">IFERROR(__xludf.DUMMYFUNCTION("IMPORTRANGE(""https://docs.google.com/spreadsheets/d/1uMKqWwuNQ-TCKboGA3Bb1qXb5uj2-faACNUINCz8PN4/edit?usp=sharing"",""มุกดาหาร!L791"")"),0)</f>
        <v>0</v>
      </c>
      <c r="E40" s="187">
        <f ca="1">IFERROR(__xludf.DUMMYFUNCTION("IMPORTRANGE(""https://docs.google.com/spreadsheets/d/1uMKqWwuNQ-TCKboGA3Bb1qXb5uj2-faACNUINCz8PN4/edit?usp=sharing"",""มุกดาหาร!L798"")"),0)</f>
        <v>0</v>
      </c>
      <c r="F40" s="182">
        <f t="shared" ca="1" si="1"/>
        <v>0</v>
      </c>
      <c r="G40" s="183">
        <f t="shared" ca="1" si="2"/>
        <v>0</v>
      </c>
      <c r="H40" s="184">
        <f t="shared" ca="1" si="26"/>
        <v>0</v>
      </c>
      <c r="I40" s="187">
        <f ca="1">IFERROR(__xludf.DUMMYFUNCTION("IMPORTRANGE(""https://docs.google.com/spreadsheets/d/1uMKqWwuNQ-TCKboGA3Bb1qXb5uj2-faACNUINCz8PN4/edit?usp=sharing"",""มุกดาหาร!N792"")"),0)</f>
        <v>0</v>
      </c>
      <c r="J40" s="187">
        <f ca="1">IFERROR(__xludf.DUMMYFUNCTION("IMPORTRANGE(""https://docs.google.com/spreadsheets/d/1uMKqWwuNQ-TCKboGA3Bb1qXb5uj2-faACNUINCz8PN4/edit?usp=sharing"",""มุกดาหาร!N793"")"),0)</f>
        <v>0</v>
      </c>
      <c r="K40" s="187">
        <f ca="1">IFERROR(__xludf.DUMMYFUNCTION("IMPORTRANGE(""https://docs.google.com/spreadsheets/d/1uMKqWwuNQ-TCKboGA3Bb1qXb5uj2-faACNUINCz8PN4/edit?usp=sharing"",""มุกดาหาร!N794"")"),0)</f>
        <v>0</v>
      </c>
      <c r="L40" s="187">
        <f ca="1">IFERROR(__xludf.DUMMYFUNCTION("IMPORTRANGE(""https://docs.google.com/spreadsheets/d/1uMKqWwuNQ-TCKboGA3Bb1qXb5uj2-faACNUINCz8PN4/edit?usp=sharing"",""มุกดาหาร!N795"")"),0)</f>
        <v>0</v>
      </c>
      <c r="M40" s="185">
        <f ca="1">IFERROR(__xludf.DUMMYFUNCTION("IMPORTRANGE(""https://docs.google.com/spreadsheets/d/1uMKqWwuNQ-TCKboGA3Bb1qXb5uj2-faACNUINCz8PN4/edit?usp=sharing"",""มุกดาหาร!N798"")"),0)</f>
        <v>0</v>
      </c>
      <c r="N40" s="185">
        <f t="shared" ca="1" si="15"/>
        <v>0</v>
      </c>
      <c r="O40" s="181">
        <f ca="1">IFERROR(__xludf.DUMMYFUNCTION("IMPORTRANGE(""https://docs.google.com/spreadsheets/d/1uMKqWwuNQ-TCKboGA3Bb1qXb5uj2-faACNUINCz8PN4/edit?usp=sharing"",""มุกดาหาร!I785"")"),0)</f>
        <v>0</v>
      </c>
      <c r="P40" s="181">
        <f t="shared" ca="1" si="27"/>
        <v>0</v>
      </c>
      <c r="Q40" s="186">
        <f t="shared" ca="1" si="12"/>
        <v>0</v>
      </c>
      <c r="R40" s="181">
        <f ca="1">IFERROR(__xludf.DUMMYFUNCTION("IMPORTRANGE(""https://docs.google.com/spreadsheets/d/1uMKqWwuNQ-TCKboGA3Bb1qXb5uj2-faACNUINCz8PN4/edit?usp=sharing"",""มุกดาหาร!J801"")"),0)</f>
        <v>0</v>
      </c>
      <c r="S40" s="181">
        <f ca="1">IFERROR(__xludf.DUMMYFUNCTION("IMPORTRANGE(""https://docs.google.com/spreadsheets/d/1uMKqWwuNQ-TCKboGA3Bb1qXb5uj2-faACNUINCz8PN4/edit?usp=sharing"",""มุกดาหาร!J800"")"),0)</f>
        <v>0</v>
      </c>
      <c r="T40" s="428">
        <f ca="1">IFERROR(__xludf.DUMMYFUNCTION("IMPORTRANGE(""https://docs.google.com/spreadsheets/d/1uMKqWwuNQ-TCKboGA3Bb1qXb5uj2-faACNUINCz8PN4/edit?usp=sharing"",""มุกดาหาร!J803"")"),0)</f>
        <v>0</v>
      </c>
      <c r="U40" s="428">
        <f ca="1">IFERROR(__xludf.DUMMYFUNCTION("IMPORTRANGE(""https://docs.google.com/spreadsheets/d/1uMKqWwuNQ-TCKboGA3Bb1qXb5uj2-faACNUINCz8PN4/edit?usp=sharing"",""มุกดาหาร!J802"")"),0)</f>
        <v>0</v>
      </c>
    </row>
    <row r="41" spans="1:21" ht="21" customHeight="1" x14ac:dyDescent="0.3">
      <c r="A41" s="178">
        <v>10</v>
      </c>
      <c r="B41" s="179" t="s">
        <v>58</v>
      </c>
      <c r="C41" s="180">
        <f t="shared" ca="1" si="25"/>
        <v>0</v>
      </c>
      <c r="D41" s="181">
        <f ca="1">IFERROR(__xludf.DUMMYFUNCTION("IMPORTRANGE(""https://docs.google.com/spreadsheets/d/1oKaccgDdQABndOzGr688Dbfxb_V3YcF67VqEPBtdzsc/edit?usp=sharing"",""ยโสธร!L791"")"),0)</f>
        <v>0</v>
      </c>
      <c r="E41" s="187">
        <f ca="1">IFERROR(__xludf.DUMMYFUNCTION("IMPORTRANGE(""https://docs.google.com/spreadsheets/d/1oKaccgDdQABndOzGr688Dbfxb_V3YcF67VqEPBtdzsc/edit?usp=sharing"",""ยโสธร!L798"")"),0)</f>
        <v>0</v>
      </c>
      <c r="F41" s="182">
        <f t="shared" ca="1" si="1"/>
        <v>0</v>
      </c>
      <c r="G41" s="183">
        <f t="shared" ca="1" si="2"/>
        <v>0</v>
      </c>
      <c r="H41" s="184">
        <f t="shared" ca="1" si="26"/>
        <v>0</v>
      </c>
      <c r="I41" s="187">
        <f ca="1">IFERROR(__xludf.DUMMYFUNCTION("IMPORTRANGE(""https://docs.google.com/spreadsheets/d/1oKaccgDdQABndOzGr688Dbfxb_V3YcF67VqEPBtdzsc/edit?usp=sharing"",""ยโสธร!N792"")"),0)</f>
        <v>0</v>
      </c>
      <c r="J41" s="187">
        <f ca="1">IFERROR(__xludf.DUMMYFUNCTION("IMPORTRANGE(""https://docs.google.com/spreadsheets/d/1oKaccgDdQABndOzGr688Dbfxb_V3YcF67VqEPBtdzsc/edit?usp=sharing"",""ยโสธร!N793"")"),0)</f>
        <v>0</v>
      </c>
      <c r="K41" s="187">
        <f ca="1">IFERROR(__xludf.DUMMYFUNCTION("IMPORTRANGE(""https://docs.google.com/spreadsheets/d/1oKaccgDdQABndOzGr688Dbfxb_V3YcF67VqEPBtdzsc/edit?usp=sharing"",""ยโสธร!N794"")"),0)</f>
        <v>0</v>
      </c>
      <c r="L41" s="187">
        <f ca="1">IFERROR(__xludf.DUMMYFUNCTION("IMPORTRANGE(""https://docs.google.com/spreadsheets/d/1oKaccgDdQABndOzGr688Dbfxb_V3YcF67VqEPBtdzsc/edit?usp=sharing"",""ยโสธร!N795"")"),0)</f>
        <v>0</v>
      </c>
      <c r="M41" s="185">
        <f ca="1">IFERROR(__xludf.DUMMYFUNCTION("IMPORTRANGE(""https://docs.google.com/spreadsheets/d/1oKaccgDdQABndOzGr688Dbfxb_V3YcF67VqEPBtdzsc/edit?usp=sharing"",""ยโสธร!N798"")"),0)</f>
        <v>0</v>
      </c>
      <c r="N41" s="185">
        <f t="shared" ca="1" si="15"/>
        <v>0</v>
      </c>
      <c r="O41" s="181">
        <f ca="1">IFERROR(__xludf.DUMMYFUNCTION("IMPORTRANGE(""https://docs.google.com/spreadsheets/d/1oKaccgDdQABndOzGr688Dbfxb_V3YcF67VqEPBtdzsc/edit?usp=sharing"",""ยโสธร!I785"")"),0)</f>
        <v>0</v>
      </c>
      <c r="P41" s="181">
        <f t="shared" ca="1" si="27"/>
        <v>0</v>
      </c>
      <c r="Q41" s="186">
        <f t="shared" ca="1" si="12"/>
        <v>0</v>
      </c>
      <c r="R41" s="181">
        <f ca="1">IFERROR(__xludf.DUMMYFUNCTION("IMPORTRANGE(""https://docs.google.com/spreadsheets/d/1oKaccgDdQABndOzGr688Dbfxb_V3YcF67VqEPBtdzsc/edit?usp=sharing"",""ยโสธร!J801"")"),0)</f>
        <v>0</v>
      </c>
      <c r="S41" s="181">
        <f ca="1">IFERROR(__xludf.DUMMYFUNCTION("IMPORTRANGE(""https://docs.google.com/spreadsheets/d/1oKaccgDdQABndOzGr688Dbfxb_V3YcF67VqEPBtdzsc/edit?usp=sharing"",""ยโสธร!J800"")"),0)</f>
        <v>0</v>
      </c>
      <c r="T41" s="428">
        <f ca="1">IFERROR(__xludf.DUMMYFUNCTION("IMPORTRANGE(""https://docs.google.com/spreadsheets/d/1oKaccgDdQABndOzGr688Dbfxb_V3YcF67VqEPBtdzsc/edit?usp=sharing"",""ยโสธร!J803"")"),0)</f>
        <v>0</v>
      </c>
      <c r="U41" s="428">
        <f ca="1">IFERROR(__xludf.DUMMYFUNCTION("IMPORTRANGE(""https://docs.google.com/spreadsheets/d/1oKaccgDdQABndOzGr688Dbfxb_V3YcF67VqEPBtdzsc/edit?usp=sharing"",""ยโสธร!J802"")"),0)</f>
        <v>0</v>
      </c>
    </row>
    <row r="42" spans="1:21" ht="21" customHeight="1" x14ac:dyDescent="0.3">
      <c r="A42" s="178">
        <v>11</v>
      </c>
      <c r="B42" s="179" t="s">
        <v>59</v>
      </c>
      <c r="C42" s="180">
        <f t="shared" ca="1" si="25"/>
        <v>266560</v>
      </c>
      <c r="D42" s="181">
        <f ca="1">IFERROR(__xludf.DUMMYFUNCTION("IMPORTRANGE(""https://docs.google.com/spreadsheets/d/1BRgc8xKpxZ0PX-gauieMVkV_IOxKSotf0yW8MabGprQ/edit?usp=sharing"",""ร้อยเอ็ด!L791"")"),266560)</f>
        <v>266560</v>
      </c>
      <c r="E42" s="187">
        <f ca="1">IFERROR(__xludf.DUMMYFUNCTION("IMPORTRANGE(""https://docs.google.com/spreadsheets/d/1BRgc8xKpxZ0PX-gauieMVkV_IOxKSotf0yW8MabGprQ/edit?usp=sharing"",""ร้อยเอ็ด!L798"")"),0)</f>
        <v>0</v>
      </c>
      <c r="F42" s="182">
        <f t="shared" ca="1" si="1"/>
        <v>115124.86</v>
      </c>
      <c r="G42" s="183">
        <f t="shared" ca="1" si="2"/>
        <v>43.189098139255705</v>
      </c>
      <c r="H42" s="184">
        <f t="shared" ca="1" si="26"/>
        <v>115124.86</v>
      </c>
      <c r="I42" s="187">
        <f ca="1">IFERROR(__xludf.DUMMYFUNCTION("IMPORTRANGE(""https://docs.google.com/spreadsheets/d/1BRgc8xKpxZ0PX-gauieMVkV_IOxKSotf0yW8MabGprQ/edit?usp=sharing"",""ร้อยเอ็ด!N792"")"),0)</f>
        <v>0</v>
      </c>
      <c r="J42" s="187">
        <f ca="1">IFERROR(__xludf.DUMMYFUNCTION("IMPORTRANGE(""https://docs.google.com/spreadsheets/d/1BRgc8xKpxZ0PX-gauieMVkV_IOxKSotf0yW8MabGprQ/edit?usp=sharing"",""ร้อยเอ็ด!N793"")"),0)</f>
        <v>0</v>
      </c>
      <c r="K42" s="187">
        <f ca="1">IFERROR(__xludf.DUMMYFUNCTION("IMPORTRANGE(""https://docs.google.com/spreadsheets/d/1BRgc8xKpxZ0PX-gauieMVkV_IOxKSotf0yW8MabGprQ/edit?usp=sharing"",""ร้อยเอ็ด!N794"")"),0)</f>
        <v>0</v>
      </c>
      <c r="L42" s="187">
        <f ca="1">IFERROR(__xludf.DUMMYFUNCTION("IMPORTRANGE(""https://docs.google.com/spreadsheets/d/1BRgc8xKpxZ0PX-gauieMVkV_IOxKSotf0yW8MabGprQ/edit?usp=sharing"",""ร้อยเอ็ด!N795"")"),115124.86)</f>
        <v>115124.86</v>
      </c>
      <c r="M42" s="185">
        <f ca="1">IFERROR(__xludf.DUMMYFUNCTION("IMPORTRANGE(""https://docs.google.com/spreadsheets/d/1BRgc8xKpxZ0PX-gauieMVkV_IOxKSotf0yW8MabGprQ/edit?usp=sharing"",""ร้อยเอ็ด!N798"")"),0)</f>
        <v>0</v>
      </c>
      <c r="N42" s="185">
        <f t="shared" ca="1" si="15"/>
        <v>0</v>
      </c>
      <c r="O42" s="181">
        <f ca="1">IFERROR(__xludf.DUMMYFUNCTION("IMPORTRANGE(""https://docs.google.com/spreadsheets/d/1BRgc8xKpxZ0PX-gauieMVkV_IOxKSotf0yW8MabGprQ/edit?usp=sharing"",""ร้อยเอ็ด!I785"")"),19000)</f>
        <v>19000</v>
      </c>
      <c r="P42" s="181">
        <f t="shared" ca="1" si="27"/>
        <v>7772</v>
      </c>
      <c r="Q42" s="186">
        <f t="shared" ca="1" si="12"/>
        <v>40.905263157894737</v>
      </c>
      <c r="R42" s="181">
        <f ca="1">IFERROR(__xludf.DUMMYFUNCTION("IMPORTRANGE(""https://docs.google.com/spreadsheets/d/1BRgc8xKpxZ0PX-gauieMVkV_IOxKSotf0yW8MabGprQ/edit?usp=sharing"",""ร้อยเอ็ด!J801"")"),233)</f>
        <v>233</v>
      </c>
      <c r="S42" s="181">
        <f ca="1">IFERROR(__xludf.DUMMYFUNCTION("IMPORTRANGE(""https://docs.google.com/spreadsheets/d/1BRgc8xKpxZ0PX-gauieMVkV_IOxKSotf0yW8MabGprQ/edit?usp=sharing"",""ร้อยเอ็ด!J800"")"),20)</f>
        <v>20</v>
      </c>
      <c r="T42" s="181">
        <f ca="1">IFERROR(__xludf.DUMMYFUNCTION("IMPORTRANGE(""https://docs.google.com/spreadsheets/d/1BRgc8xKpxZ0PX-gauieMVkV_IOxKSotf0yW8MabGprQ/edit?usp=sharing"",""ร้อยเอ็ด!J803"")"),7539)</f>
        <v>7539</v>
      </c>
      <c r="U42" s="181">
        <f ca="1">IFERROR(__xludf.DUMMYFUNCTION("IMPORTRANGE(""https://docs.google.com/spreadsheets/d/1BRgc8xKpxZ0PX-gauieMVkV_IOxKSotf0yW8MabGprQ/edit?usp=sharing"",""ร้อยเอ็ด!J802"")"),608)</f>
        <v>608</v>
      </c>
    </row>
    <row r="43" spans="1:21" ht="21" customHeight="1" x14ac:dyDescent="0.3">
      <c r="A43" s="178">
        <v>12</v>
      </c>
      <c r="B43" s="179" t="s">
        <v>60</v>
      </c>
      <c r="C43" s="180">
        <f t="shared" ca="1" si="25"/>
        <v>327200</v>
      </c>
      <c r="D43" s="181">
        <f ca="1">IFERROR(__xludf.DUMMYFUNCTION("IMPORTRANGE(""https://docs.google.com/spreadsheets/d/1IdolZc-dfdgMwAm_KZxYJl1sUOcIgnbGQzbWOlddedo/edit?usp=sharing"",""เลย!L791"")"),327200)</f>
        <v>327200</v>
      </c>
      <c r="E43" s="187">
        <f ca="1">IFERROR(__xludf.DUMMYFUNCTION("IMPORTRANGE(""https://docs.google.com/spreadsheets/d/1IdolZc-dfdgMwAm_KZxYJl1sUOcIgnbGQzbWOlddedo/edit?usp=sharing"",""เลย!L798"")"),0)</f>
        <v>0</v>
      </c>
      <c r="F43" s="182">
        <f t="shared" ca="1" si="1"/>
        <v>122040</v>
      </c>
      <c r="G43" s="183">
        <f t="shared" ca="1" si="2"/>
        <v>37.298288508557455</v>
      </c>
      <c r="H43" s="184">
        <f t="shared" ca="1" si="26"/>
        <v>122040</v>
      </c>
      <c r="I43" s="187">
        <f ca="1">IFERROR(__xludf.DUMMYFUNCTION("IMPORTRANGE(""https://docs.google.com/spreadsheets/d/1IdolZc-dfdgMwAm_KZxYJl1sUOcIgnbGQzbWOlddedo/edit?usp=sharing"",""เลย!N792"")"),0)</f>
        <v>0</v>
      </c>
      <c r="J43" s="187">
        <f ca="1">IFERROR(__xludf.DUMMYFUNCTION("IMPORTRANGE(""https://docs.google.com/spreadsheets/d/1IdolZc-dfdgMwAm_KZxYJl1sUOcIgnbGQzbWOlddedo/edit?usp=sharing"",""เลย!N793"")"),0)</f>
        <v>0</v>
      </c>
      <c r="K43" s="187">
        <f ca="1">IFERROR(__xludf.DUMMYFUNCTION("IMPORTRANGE(""https://docs.google.com/spreadsheets/d/1IdolZc-dfdgMwAm_KZxYJl1sUOcIgnbGQzbWOlddedo/edit?usp=sharing"",""เลย!N794"")"),65425)</f>
        <v>65425</v>
      </c>
      <c r="L43" s="187">
        <f ca="1">IFERROR(__xludf.DUMMYFUNCTION("IMPORTRANGE(""https://docs.google.com/spreadsheets/d/1IdolZc-dfdgMwAm_KZxYJl1sUOcIgnbGQzbWOlddedo/edit?usp=sharing"",""เลย!N795"")"),56615)</f>
        <v>56615</v>
      </c>
      <c r="M43" s="185">
        <f ca="1">IFERROR(__xludf.DUMMYFUNCTION("IMPORTRANGE(""https://docs.google.com/spreadsheets/d/1IdolZc-dfdgMwAm_KZxYJl1sUOcIgnbGQzbWOlddedo/edit?usp=sharing"",""เลย!N798"")"),0)</f>
        <v>0</v>
      </c>
      <c r="N43" s="185">
        <f t="shared" ca="1" si="15"/>
        <v>0</v>
      </c>
      <c r="O43" s="181">
        <f ca="1">IFERROR(__xludf.DUMMYFUNCTION("IMPORTRANGE(""https://docs.google.com/spreadsheets/d/1IdolZc-dfdgMwAm_KZxYJl1sUOcIgnbGQzbWOlddedo/edit?usp=sharing"",""เลย!I785"")"),5000)</f>
        <v>5000</v>
      </c>
      <c r="P43" s="181">
        <f t="shared" ca="1" si="27"/>
        <v>0</v>
      </c>
      <c r="Q43" s="186">
        <f t="shared" ca="1" si="12"/>
        <v>0</v>
      </c>
      <c r="R43" s="181">
        <f ca="1">IFERROR(__xludf.DUMMYFUNCTION("IMPORTRANGE(""https://docs.google.com/spreadsheets/d/1IdolZc-dfdgMwAm_KZxYJl1sUOcIgnbGQzbWOlddedo/edit?usp=sharing"",""เลย!J801"")"),0)</f>
        <v>0</v>
      </c>
      <c r="S43" s="181">
        <f ca="1">IFERROR(__xludf.DUMMYFUNCTION("IMPORTRANGE(""https://docs.google.com/spreadsheets/d/1IdolZc-dfdgMwAm_KZxYJl1sUOcIgnbGQzbWOlddedo/edit?usp=sharing"",""เลย!J800"")"),0)</f>
        <v>0</v>
      </c>
      <c r="T43" s="181">
        <f ca="1">IFERROR(__xludf.DUMMYFUNCTION("IMPORTRANGE(""https://docs.google.com/spreadsheets/d/1IdolZc-dfdgMwAm_KZxYJl1sUOcIgnbGQzbWOlddedo/edit?usp=sharing"",""เลย!J803"")"),0)</f>
        <v>0</v>
      </c>
      <c r="U43" s="181">
        <f ca="1">IFERROR(__xludf.DUMMYFUNCTION("IMPORTRANGE(""https://docs.google.com/spreadsheets/d/1IdolZc-dfdgMwAm_KZxYJl1sUOcIgnbGQzbWOlddedo/edit?usp=sharing"",""เลย!J802"")"),0)</f>
        <v>0</v>
      </c>
    </row>
    <row r="44" spans="1:21" ht="21" customHeight="1" x14ac:dyDescent="0.3">
      <c r="A44" s="178">
        <v>13</v>
      </c>
      <c r="B44" s="179" t="s">
        <v>61</v>
      </c>
      <c r="C44" s="180">
        <f t="shared" ca="1" si="25"/>
        <v>0</v>
      </c>
      <c r="D44" s="181">
        <f ca="1">IFERROR(__xludf.DUMMYFUNCTION("IMPORTRANGE(""https://docs.google.com/spreadsheets/d/1tZ0nmtGuIRCaGAMXHlQU8EpR9LOAJvyKfc4f7EFmE34/edit?usp=sharing"",""ศรีสะเกษ!L791"")"),0)</f>
        <v>0</v>
      </c>
      <c r="E44" s="187">
        <f ca="1">IFERROR(__xludf.DUMMYFUNCTION("IMPORTRANGE(""https://docs.google.com/spreadsheets/d/1tZ0nmtGuIRCaGAMXHlQU8EpR9LOAJvyKfc4f7EFmE34/edit?usp=sharing"",""ศรีสะเกษ!L798"")"),0)</f>
        <v>0</v>
      </c>
      <c r="F44" s="182">
        <f t="shared" ca="1" si="1"/>
        <v>0</v>
      </c>
      <c r="G44" s="183">
        <f t="shared" ca="1" si="2"/>
        <v>0</v>
      </c>
      <c r="H44" s="184">
        <f t="shared" ca="1" si="26"/>
        <v>0</v>
      </c>
      <c r="I44" s="187">
        <f ca="1">IFERROR(__xludf.DUMMYFUNCTION("IMPORTRANGE(""https://docs.google.com/spreadsheets/d/1tZ0nmtGuIRCaGAMXHlQU8EpR9LOAJvyKfc4f7EFmE34/edit?usp=sharing"",""ศรีสะเกษ!N792"")"),0)</f>
        <v>0</v>
      </c>
      <c r="J44" s="187">
        <f ca="1">IFERROR(__xludf.DUMMYFUNCTION("IMPORTRANGE(""https://docs.google.com/spreadsheets/d/1tZ0nmtGuIRCaGAMXHlQU8EpR9LOAJvyKfc4f7EFmE34/edit?usp=sharing"",""ศรีสะเกษ!N793"")"),0)</f>
        <v>0</v>
      </c>
      <c r="K44" s="187">
        <f ca="1">IFERROR(__xludf.DUMMYFUNCTION("IMPORTRANGE(""https://docs.google.com/spreadsheets/d/1tZ0nmtGuIRCaGAMXHlQU8EpR9LOAJvyKfc4f7EFmE34/edit?usp=sharing"",""ศรีสะเกษ!N794"")"),0)</f>
        <v>0</v>
      </c>
      <c r="L44" s="187">
        <f ca="1">IFERROR(__xludf.DUMMYFUNCTION("IMPORTRANGE(""https://docs.google.com/spreadsheets/d/1tZ0nmtGuIRCaGAMXHlQU8EpR9LOAJvyKfc4f7EFmE34/edit?usp=sharing"",""ศรีสะเกษ!N795"")"),0)</f>
        <v>0</v>
      </c>
      <c r="M44" s="185">
        <f ca="1">IFERROR(__xludf.DUMMYFUNCTION("IMPORTRANGE(""https://docs.google.com/spreadsheets/d/1tZ0nmtGuIRCaGAMXHlQU8EpR9LOAJvyKfc4f7EFmE34/edit?usp=sharing"",""ศรีสะเกษ!N798"")"),0)</f>
        <v>0</v>
      </c>
      <c r="N44" s="185">
        <f t="shared" ca="1" si="15"/>
        <v>0</v>
      </c>
      <c r="O44" s="181">
        <f ca="1">IFERROR(__xludf.DUMMYFUNCTION("IMPORTRANGE(""https://docs.google.com/spreadsheets/d/1tZ0nmtGuIRCaGAMXHlQU8EpR9LOAJvyKfc4f7EFmE34/edit?usp=sharing"",""ศรีสะเกษ!I785"")"),0)</f>
        <v>0</v>
      </c>
      <c r="P44" s="181">
        <f t="shared" ca="1" si="27"/>
        <v>0</v>
      </c>
      <c r="Q44" s="186">
        <f t="shared" ca="1" si="12"/>
        <v>0</v>
      </c>
      <c r="R44" s="181">
        <f ca="1">IFERROR(__xludf.DUMMYFUNCTION("IMPORTRANGE(""https://docs.google.com/spreadsheets/d/1tZ0nmtGuIRCaGAMXHlQU8EpR9LOAJvyKfc4f7EFmE34/edit?usp=sharing"",""ศรีสะเกษ!J801"")"),0)</f>
        <v>0</v>
      </c>
      <c r="S44" s="181">
        <f ca="1">IFERROR(__xludf.DUMMYFUNCTION("IMPORTRANGE(""https://docs.google.com/spreadsheets/d/1tZ0nmtGuIRCaGAMXHlQU8EpR9LOAJvyKfc4f7EFmE34/edit?usp=sharing"",""ศรีสะเกษ!J800"")"),0)</f>
        <v>0</v>
      </c>
      <c r="T44" s="428">
        <f ca="1">IFERROR(__xludf.DUMMYFUNCTION("IMPORTRANGE(""https://docs.google.com/spreadsheets/d/1tZ0nmtGuIRCaGAMXHlQU8EpR9LOAJvyKfc4f7EFmE34/edit?usp=sharing"",""ศรีสะเกษ!J803"")"),0)</f>
        <v>0</v>
      </c>
      <c r="U44" s="428">
        <f ca="1">IFERROR(__xludf.DUMMYFUNCTION("IMPORTRANGE(""https://docs.google.com/spreadsheets/d/1tZ0nmtGuIRCaGAMXHlQU8EpR9LOAJvyKfc4f7EFmE34/edit?usp=sharing"",""ศรีสะเกษ!J802"")"),0)</f>
        <v>0</v>
      </c>
    </row>
    <row r="45" spans="1:21" ht="21" customHeight="1" x14ac:dyDescent="0.3">
      <c r="A45" s="178">
        <v>14</v>
      </c>
      <c r="B45" s="179" t="s">
        <v>62</v>
      </c>
      <c r="C45" s="180">
        <f t="shared" ca="1" si="25"/>
        <v>197920</v>
      </c>
      <c r="D45" s="181">
        <f ca="1">IFERROR(__xludf.DUMMYFUNCTION("IMPORTRANGE(""https://docs.google.com/spreadsheets/d/1QC8psz9w0f9IVE9Xuc2FT_btkaOzZbbUSgYObpBuetM/edit?usp=sharing"",""สกลนคร!L791"")"),197920)</f>
        <v>197920</v>
      </c>
      <c r="E45" s="187">
        <f ca="1">IFERROR(__xludf.DUMMYFUNCTION("IMPORTRANGE(""https://docs.google.com/spreadsheets/d/1QC8psz9w0f9IVE9Xuc2FT_btkaOzZbbUSgYObpBuetM/edit?usp=sharing"",""สกลนคร!L798"")"),0)</f>
        <v>0</v>
      </c>
      <c r="F45" s="182">
        <f t="shared" ca="1" si="1"/>
        <v>115692.64</v>
      </c>
      <c r="G45" s="183">
        <f t="shared" ca="1" si="2"/>
        <v>58.454244139046082</v>
      </c>
      <c r="H45" s="184">
        <f t="shared" ca="1" si="26"/>
        <v>115692.64</v>
      </c>
      <c r="I45" s="187">
        <f ca="1">IFERROR(__xludf.DUMMYFUNCTION("IMPORTRANGE(""https://docs.google.com/spreadsheets/d/1QC8psz9w0f9IVE9Xuc2FT_btkaOzZbbUSgYObpBuetM/edit?usp=sharing"",""สกลนคร!N792"")"),0)</f>
        <v>0</v>
      </c>
      <c r="J45" s="187">
        <f ca="1">IFERROR(__xludf.DUMMYFUNCTION("IMPORTRANGE(""https://docs.google.com/spreadsheets/d/1QC8psz9w0f9IVE9Xuc2FT_btkaOzZbbUSgYObpBuetM/edit?usp=sharing"",""สกลนคร!N793"")"),42000)</f>
        <v>42000</v>
      </c>
      <c r="K45" s="187">
        <f ca="1">IFERROR(__xludf.DUMMYFUNCTION("IMPORTRANGE(""https://docs.google.com/spreadsheets/d/1QC8psz9w0f9IVE9Xuc2FT_btkaOzZbbUSgYObpBuetM/edit?usp=sharing"",""สกลนคร!N794"")"),26000)</f>
        <v>26000</v>
      </c>
      <c r="L45" s="187">
        <f ca="1">IFERROR(__xludf.DUMMYFUNCTION("IMPORTRANGE(""https://docs.google.com/spreadsheets/d/1QC8psz9w0f9IVE9Xuc2FT_btkaOzZbbUSgYObpBuetM/edit?usp=sharing"",""สกลนคร!N795"")"),47692.64)</f>
        <v>47692.639999999999</v>
      </c>
      <c r="M45" s="185">
        <f ca="1">IFERROR(__xludf.DUMMYFUNCTION("IMPORTRANGE(""https://docs.google.com/spreadsheets/d/1QC8psz9w0f9IVE9Xuc2FT_btkaOzZbbUSgYObpBuetM/edit?usp=sharing"",""สกลนคร!N798"")"),0)</f>
        <v>0</v>
      </c>
      <c r="N45" s="185">
        <f t="shared" ca="1" si="15"/>
        <v>0</v>
      </c>
      <c r="O45" s="181">
        <f ca="1">IFERROR(__xludf.DUMMYFUNCTION("IMPORTRANGE(""https://docs.google.com/spreadsheets/d/1QC8psz9w0f9IVE9Xuc2FT_btkaOzZbbUSgYObpBuetM/edit?usp=sharing"",""สกลนคร!I785"")"),3000)</f>
        <v>3000</v>
      </c>
      <c r="P45" s="181">
        <f t="shared" ca="1" si="27"/>
        <v>3768</v>
      </c>
      <c r="Q45" s="186">
        <f t="shared" ca="1" si="12"/>
        <v>125.6</v>
      </c>
      <c r="R45" s="181">
        <f ca="1">IFERROR(__xludf.DUMMYFUNCTION("IMPORTRANGE(""https://docs.google.com/spreadsheets/d/1QC8psz9w0f9IVE9Xuc2FT_btkaOzZbbUSgYObpBuetM/edit?usp=sharing"",""สกลนคร!J801"")"),3768)</f>
        <v>3768</v>
      </c>
      <c r="S45" s="181">
        <f ca="1">IFERROR(__xludf.DUMMYFUNCTION("IMPORTRANGE(""https://docs.google.com/spreadsheets/d/1QC8psz9w0f9IVE9Xuc2FT_btkaOzZbbUSgYObpBuetM/edit?usp=sharing"",""สกลนคร!J800"")"),343)</f>
        <v>343</v>
      </c>
      <c r="T45" s="181">
        <f ca="1">IFERROR(__xludf.DUMMYFUNCTION("IMPORTRANGE(""https://docs.google.com/spreadsheets/d/1QC8psz9w0f9IVE9Xuc2FT_btkaOzZbbUSgYObpBuetM/edit?usp=sharing"",""สกลนคร!J803"")"),0)</f>
        <v>0</v>
      </c>
      <c r="U45" s="181">
        <f ca="1">IFERROR(__xludf.DUMMYFUNCTION("IMPORTRANGE(""https://docs.google.com/spreadsheets/d/1QC8psz9w0f9IVE9Xuc2FT_btkaOzZbbUSgYObpBuetM/edit?usp=sharing"",""สกลนคร!J802"")"),0)</f>
        <v>0</v>
      </c>
    </row>
    <row r="46" spans="1:21" ht="21" customHeight="1" x14ac:dyDescent="0.3">
      <c r="A46" s="178">
        <v>15</v>
      </c>
      <c r="B46" s="179" t="s">
        <v>63</v>
      </c>
      <c r="C46" s="180">
        <f t="shared" ca="1" si="25"/>
        <v>213920</v>
      </c>
      <c r="D46" s="181">
        <f ca="1">IFERROR(__xludf.DUMMYFUNCTION("IMPORTRANGE(""https://docs.google.com/spreadsheets/d/1wPdvRbu02d33MYVlbsCnyTiZpefEBs9NNktAnT1HZvw/edit?usp=sharing"",""สุรินทร์!L791"")"),213920)</f>
        <v>213920</v>
      </c>
      <c r="E46" s="187">
        <f ca="1">IFERROR(__xludf.DUMMYFUNCTION("IMPORTRANGE(""https://docs.google.com/spreadsheets/d/1wPdvRbu02d33MYVlbsCnyTiZpefEBs9NNktAnT1HZvw/edit?usp=sharing"",""สุรินทร์!L798"")"),0)</f>
        <v>0</v>
      </c>
      <c r="F46" s="182">
        <f t="shared" ca="1" si="1"/>
        <v>60045</v>
      </c>
      <c r="G46" s="183">
        <f t="shared" ca="1" si="2"/>
        <v>28.068904263275989</v>
      </c>
      <c r="H46" s="184">
        <f t="shared" ca="1" si="26"/>
        <v>60045</v>
      </c>
      <c r="I46" s="187">
        <f ca="1">IFERROR(__xludf.DUMMYFUNCTION("IMPORTRANGE(""https://docs.google.com/spreadsheets/d/1wPdvRbu02d33MYVlbsCnyTiZpefEBs9NNktAnT1HZvw/edit?usp=sharing"",""สุรินทร์!N792"")"),0)</f>
        <v>0</v>
      </c>
      <c r="J46" s="187">
        <f ca="1">IFERROR(__xludf.DUMMYFUNCTION("IMPORTRANGE(""https://docs.google.com/spreadsheets/d/1wPdvRbu02d33MYVlbsCnyTiZpefEBs9NNktAnT1HZvw/edit?usp=sharing"",""สุรินทร์!N793"")"),0)</f>
        <v>0</v>
      </c>
      <c r="K46" s="187">
        <f ca="1">IFERROR(__xludf.DUMMYFUNCTION("IMPORTRANGE(""https://docs.google.com/spreadsheets/d/1wPdvRbu02d33MYVlbsCnyTiZpefEBs9NNktAnT1HZvw/edit?usp=sharing"",""สุรินทร์!N794"")"),2675)</f>
        <v>2675</v>
      </c>
      <c r="L46" s="187">
        <f ca="1">IFERROR(__xludf.DUMMYFUNCTION("IMPORTRANGE(""https://docs.google.com/spreadsheets/d/1wPdvRbu02d33MYVlbsCnyTiZpefEBs9NNktAnT1HZvw/edit?usp=sharing"",""สุรินทร์!N795"")"),57370)</f>
        <v>57370</v>
      </c>
      <c r="M46" s="185">
        <f ca="1">IFERROR(__xludf.DUMMYFUNCTION("IMPORTRANGE(""https://docs.google.com/spreadsheets/d/1wPdvRbu02d33MYVlbsCnyTiZpefEBs9NNktAnT1HZvw/edit?usp=sharing"",""สุรินทร์!N798"")"),0)</f>
        <v>0</v>
      </c>
      <c r="N46" s="185">
        <f t="shared" ca="1" si="15"/>
        <v>0</v>
      </c>
      <c r="O46" s="181">
        <f ca="1">IFERROR(__xludf.DUMMYFUNCTION("IMPORTRANGE(""https://docs.google.com/spreadsheets/d/1wPdvRbu02d33MYVlbsCnyTiZpefEBs9NNktAnT1HZvw/edit?usp=sharing"",""สุรินทร์!I785"")"),3000)</f>
        <v>3000</v>
      </c>
      <c r="P46" s="181">
        <f t="shared" ca="1" si="27"/>
        <v>31</v>
      </c>
      <c r="Q46" s="186">
        <f t="shared" ca="1" si="12"/>
        <v>1.0333333333333334</v>
      </c>
      <c r="R46" s="181">
        <f ca="1">IFERROR(__xludf.DUMMYFUNCTION("IMPORTRANGE(""https://docs.google.com/spreadsheets/d/1wPdvRbu02d33MYVlbsCnyTiZpefEBs9NNktAnT1HZvw/edit?usp=sharing"",""สุรินทร์!J801"")"),31)</f>
        <v>31</v>
      </c>
      <c r="S46" s="181">
        <f ca="1">IFERROR(__xludf.DUMMYFUNCTION("IMPORTRANGE(""https://docs.google.com/spreadsheets/d/1wPdvRbu02d33MYVlbsCnyTiZpefEBs9NNktAnT1HZvw/edit?usp=sharing"",""สุรินทร์!J800"")"),4)</f>
        <v>4</v>
      </c>
      <c r="T46" s="181">
        <f ca="1">IFERROR(__xludf.DUMMYFUNCTION("IMPORTRANGE(""https://docs.google.com/spreadsheets/d/1wPdvRbu02d33MYVlbsCnyTiZpefEBs9NNktAnT1HZvw/edit?usp=sharing"",""สุรินทร์!J803"")"),0)</f>
        <v>0</v>
      </c>
      <c r="U46" s="181">
        <f ca="1">IFERROR(__xludf.DUMMYFUNCTION("IMPORTRANGE(""https://docs.google.com/spreadsheets/d/1wPdvRbu02d33MYVlbsCnyTiZpefEBs9NNktAnT1HZvw/edit?usp=sharing"",""สุรินทร์!J802"")"),0)</f>
        <v>0</v>
      </c>
    </row>
    <row r="47" spans="1:21" ht="21" customHeight="1" x14ac:dyDescent="0.3">
      <c r="A47" s="178">
        <v>16</v>
      </c>
      <c r="B47" s="179" t="s">
        <v>64</v>
      </c>
      <c r="C47" s="180">
        <f t="shared" ca="1" si="25"/>
        <v>0</v>
      </c>
      <c r="D47" s="181">
        <f ca="1">IFERROR(__xludf.DUMMYFUNCTION("IMPORTRANGE(""https://docs.google.com/spreadsheets/d/1GVExpf-Exi_2gmuqTYH28fseTB9MoKPXWcXCbSt_YrM/edit?usp=sharing"",""หนองคาย!L791"")"),0)</f>
        <v>0</v>
      </c>
      <c r="E47" s="187">
        <f ca="1">IFERROR(__xludf.DUMMYFUNCTION("IMPORTRANGE(""https://docs.google.com/spreadsheets/d/1GVExpf-Exi_2gmuqTYH28fseTB9MoKPXWcXCbSt_YrM/edit?usp=sharing"",""หนองคาย!L798"")"),0)</f>
        <v>0</v>
      </c>
      <c r="F47" s="182">
        <f t="shared" ca="1" si="1"/>
        <v>0</v>
      </c>
      <c r="G47" s="183">
        <f t="shared" ca="1" si="2"/>
        <v>0</v>
      </c>
      <c r="H47" s="184">
        <f t="shared" ca="1" si="26"/>
        <v>0</v>
      </c>
      <c r="I47" s="187">
        <f ca="1">IFERROR(__xludf.DUMMYFUNCTION("IMPORTRANGE(""https://docs.google.com/spreadsheets/d/1GVExpf-Exi_2gmuqTYH28fseTB9MoKPXWcXCbSt_YrM/edit?usp=sharing"",""หนองคาย!N792"")"),0)</f>
        <v>0</v>
      </c>
      <c r="J47" s="187">
        <f ca="1">IFERROR(__xludf.DUMMYFUNCTION("IMPORTRANGE(""https://docs.google.com/spreadsheets/d/1GVExpf-Exi_2gmuqTYH28fseTB9MoKPXWcXCbSt_YrM/edit?usp=sharing"",""หนองคาย!N793"")"),0)</f>
        <v>0</v>
      </c>
      <c r="K47" s="187">
        <f ca="1">IFERROR(__xludf.DUMMYFUNCTION("IMPORTRANGE(""https://docs.google.com/spreadsheets/d/1GVExpf-Exi_2gmuqTYH28fseTB9MoKPXWcXCbSt_YrM/edit?usp=sharing"",""หนองคาย!N794"")"),0)</f>
        <v>0</v>
      </c>
      <c r="L47" s="187">
        <f ca="1">IFERROR(__xludf.DUMMYFUNCTION("IMPORTRANGE(""https://docs.google.com/spreadsheets/d/1GVExpf-Exi_2gmuqTYH28fseTB9MoKPXWcXCbSt_YrM/edit?usp=sharing"",""หนองคาย!N795"")"),0)</f>
        <v>0</v>
      </c>
      <c r="M47" s="185">
        <f ca="1">IFERROR(__xludf.DUMMYFUNCTION("IMPORTRANGE(""https://docs.google.com/spreadsheets/d/1GVExpf-Exi_2gmuqTYH28fseTB9MoKPXWcXCbSt_YrM/edit?usp=sharing"",""หนองคาย!N798"")"),0)</f>
        <v>0</v>
      </c>
      <c r="N47" s="185">
        <f t="shared" ca="1" si="15"/>
        <v>0</v>
      </c>
      <c r="O47" s="181">
        <f ca="1">IFERROR(__xludf.DUMMYFUNCTION("IMPORTRANGE(""https://docs.google.com/spreadsheets/d/1GVExpf-Exi_2gmuqTYH28fseTB9MoKPXWcXCbSt_YrM/edit?usp=sharing"",""หนองคาย!I785"")"),0)</f>
        <v>0</v>
      </c>
      <c r="P47" s="181">
        <f t="shared" ca="1" si="27"/>
        <v>0</v>
      </c>
      <c r="Q47" s="186">
        <f t="shared" ca="1" si="12"/>
        <v>0</v>
      </c>
      <c r="R47" s="181">
        <f ca="1">IFERROR(__xludf.DUMMYFUNCTION("IMPORTRANGE(""https://docs.google.com/spreadsheets/d/1GVExpf-Exi_2gmuqTYH28fseTB9MoKPXWcXCbSt_YrM/edit?usp=sharing"",""หนองคาย!J801"")"),0)</f>
        <v>0</v>
      </c>
      <c r="S47" s="181">
        <f ca="1">IFERROR(__xludf.DUMMYFUNCTION("IMPORTRANGE(""https://docs.google.com/spreadsheets/d/1GVExpf-Exi_2gmuqTYH28fseTB9MoKPXWcXCbSt_YrM/edit?usp=sharing"",""หนองคาย!J800"")"),0)</f>
        <v>0</v>
      </c>
      <c r="T47" s="428">
        <f ca="1">IFERROR(__xludf.DUMMYFUNCTION("IMPORTRANGE(""https://docs.google.com/spreadsheets/d/1GVExpf-Exi_2gmuqTYH28fseTB9MoKPXWcXCbSt_YrM/edit?usp=sharing"",""หนองคาย!J803"")"),0)</f>
        <v>0</v>
      </c>
      <c r="U47" s="428">
        <f ca="1">IFERROR(__xludf.DUMMYFUNCTION("IMPORTRANGE(""https://docs.google.com/spreadsheets/d/1GVExpf-Exi_2gmuqTYH28fseTB9MoKPXWcXCbSt_YrM/edit?usp=sharing"",""หนองคาย!J802"")"),0)</f>
        <v>0</v>
      </c>
    </row>
    <row r="48" spans="1:21" ht="21" customHeight="1" x14ac:dyDescent="0.3">
      <c r="A48" s="178">
        <v>17</v>
      </c>
      <c r="B48" s="179" t="s">
        <v>65</v>
      </c>
      <c r="C48" s="180">
        <f t="shared" ca="1" si="25"/>
        <v>266560</v>
      </c>
      <c r="D48" s="181">
        <f ca="1">IFERROR(__xludf.DUMMYFUNCTION("IMPORTRANGE(""https://docs.google.com/spreadsheets/d/16UeMz0UgOB5BZcoxP75eYGcLFtGYRn9GoesD4OX9m5U/edit?usp=sharing"",""หนองบัวลำภู!L791"")"),266560)</f>
        <v>266560</v>
      </c>
      <c r="E48" s="187">
        <f ca="1">IFERROR(__xludf.DUMMYFUNCTION("IMPORTRANGE(""https://docs.google.com/spreadsheets/d/16UeMz0UgOB5BZcoxP75eYGcLFtGYRn9GoesD4OX9m5U/edit?usp=sharing"",""หนองบัวลำภู!L798"")"),0)</f>
        <v>0</v>
      </c>
      <c r="F48" s="182">
        <f t="shared" ca="1" si="1"/>
        <v>96302.09</v>
      </c>
      <c r="G48" s="183">
        <f t="shared" ca="1" si="2"/>
        <v>36.127734843937574</v>
      </c>
      <c r="H48" s="184">
        <f t="shared" ca="1" si="26"/>
        <v>96302.09</v>
      </c>
      <c r="I48" s="187">
        <f ca="1">IFERROR(__xludf.DUMMYFUNCTION("IMPORTRANGE(""https://docs.google.com/spreadsheets/d/16UeMz0UgOB5BZcoxP75eYGcLFtGYRn9GoesD4OX9m5U/edit?usp=sharing"",""หนองบัวลำภู!N792"")"),0)</f>
        <v>0</v>
      </c>
      <c r="J48" s="187">
        <f ca="1">IFERROR(__xludf.DUMMYFUNCTION("IMPORTRANGE(""https://docs.google.com/spreadsheets/d/16UeMz0UgOB5BZcoxP75eYGcLFtGYRn9GoesD4OX9m5U/edit?usp=sharing"",""หนองบัวลำภู!N793"")"),0)</f>
        <v>0</v>
      </c>
      <c r="K48" s="187">
        <f ca="1">IFERROR(__xludf.DUMMYFUNCTION("IMPORTRANGE(""https://docs.google.com/spreadsheets/d/16UeMz0UgOB5BZcoxP75eYGcLFtGYRn9GoesD4OX9m5U/edit?usp=sharing"",""หนองบัวลำภู!N794"")"),44000)</f>
        <v>44000</v>
      </c>
      <c r="L48" s="187">
        <f ca="1">IFERROR(__xludf.DUMMYFUNCTION("IMPORTRANGE(""https://docs.google.com/spreadsheets/d/16UeMz0UgOB5BZcoxP75eYGcLFtGYRn9GoesD4OX9m5U/edit?usp=sharing"",""หนองบัวลำภู!N795"")"),52302.09)</f>
        <v>52302.09</v>
      </c>
      <c r="M48" s="185">
        <f ca="1">IFERROR(__xludf.DUMMYFUNCTION("IMPORTRANGE(""https://docs.google.com/spreadsheets/d/16UeMz0UgOB5BZcoxP75eYGcLFtGYRn9GoesD4OX9m5U/edit?usp=sharing"",""หนองบัวลำภู!N798"")"),0)</f>
        <v>0</v>
      </c>
      <c r="N48" s="185">
        <f t="shared" ca="1" si="15"/>
        <v>0</v>
      </c>
      <c r="O48" s="181">
        <f ca="1">IFERROR(__xludf.DUMMYFUNCTION("IMPORTRANGE(""https://docs.google.com/spreadsheets/d/16UeMz0UgOB5BZcoxP75eYGcLFtGYRn9GoesD4OX9m5U/edit?usp=sharing"",""หนองบัวลำภู!I785"")"),4000)</f>
        <v>4000</v>
      </c>
      <c r="P48" s="181">
        <f t="shared" ca="1" si="27"/>
        <v>0</v>
      </c>
      <c r="Q48" s="186">
        <f t="shared" ca="1" si="12"/>
        <v>0</v>
      </c>
      <c r="R48" s="181">
        <f ca="1">IFERROR(__xludf.DUMMYFUNCTION("IMPORTRANGE(""https://docs.google.com/spreadsheets/d/16UeMz0UgOB5BZcoxP75eYGcLFtGYRn9GoesD4OX9m5U/edit?usp=sharing"",""หนองบัวลำภู!J801"")"),0)</f>
        <v>0</v>
      </c>
      <c r="S48" s="181">
        <f ca="1">IFERROR(__xludf.DUMMYFUNCTION("IMPORTRANGE(""https://docs.google.com/spreadsheets/d/16UeMz0UgOB5BZcoxP75eYGcLFtGYRn9GoesD4OX9m5U/edit?usp=sharing"",""หนองบัวลำภู!J800"")"),0)</f>
        <v>0</v>
      </c>
      <c r="T48" s="181">
        <f ca="1">IFERROR(__xludf.DUMMYFUNCTION("IMPORTRANGE(""https://docs.google.com/spreadsheets/d/16UeMz0UgOB5BZcoxP75eYGcLFtGYRn9GoesD4OX9m5U/edit?usp=sharing"",""หนองบัวลำภู!J803"")"),0)</f>
        <v>0</v>
      </c>
      <c r="U48" s="181">
        <f ca="1">IFERROR(__xludf.DUMMYFUNCTION("IMPORTRANGE(""https://docs.google.com/spreadsheets/d/16UeMz0UgOB5BZcoxP75eYGcLFtGYRn9GoesD4OX9m5U/edit?usp=sharing"",""หนองบัวลำภู!J802"")"),0)</f>
        <v>0</v>
      </c>
    </row>
    <row r="49" spans="1:21" ht="21" customHeight="1" x14ac:dyDescent="0.3">
      <c r="A49" s="178">
        <v>18</v>
      </c>
      <c r="B49" s="179" t="s">
        <v>66</v>
      </c>
      <c r="C49" s="180">
        <f t="shared" ca="1" si="25"/>
        <v>0</v>
      </c>
      <c r="D49" s="181">
        <f ca="1">IFERROR(__xludf.DUMMYFUNCTION("IMPORTRANGE(""https://docs.google.com/spreadsheets/d/1uUP8Zo1-qaJLuIkRU0qlwLSE3DHkbdrrj2JGJiWBQZE/edit?usp=sharing"",""อำนาจเจริญ!L791"")"),0)</f>
        <v>0</v>
      </c>
      <c r="E49" s="187">
        <f ca="1">IFERROR(__xludf.DUMMYFUNCTION("IMPORTRANGE(""https://docs.google.com/spreadsheets/d/1uUP8Zo1-qaJLuIkRU0qlwLSE3DHkbdrrj2JGJiWBQZE/edit?usp=sharing"",""อำนาจเจริญ!L798"")"),0)</f>
        <v>0</v>
      </c>
      <c r="F49" s="182">
        <f t="shared" ca="1" si="1"/>
        <v>0</v>
      </c>
      <c r="G49" s="183">
        <f t="shared" ca="1" si="2"/>
        <v>0</v>
      </c>
      <c r="H49" s="184">
        <f t="shared" ca="1" si="26"/>
        <v>0</v>
      </c>
      <c r="I49" s="187">
        <f ca="1">IFERROR(__xludf.DUMMYFUNCTION("IMPORTRANGE(""https://docs.google.com/spreadsheets/d/1uUP8Zo1-qaJLuIkRU0qlwLSE3DHkbdrrj2JGJiWBQZE/edit?usp=sharing"",""อำนาจเจริญ!N792"")"),0)</f>
        <v>0</v>
      </c>
      <c r="J49" s="187">
        <f ca="1">IFERROR(__xludf.DUMMYFUNCTION("IMPORTRANGE(""https://docs.google.com/spreadsheets/d/1uUP8Zo1-qaJLuIkRU0qlwLSE3DHkbdrrj2JGJiWBQZE/edit?usp=sharing"",""อำนาจเจริญ!N793"")"),0)</f>
        <v>0</v>
      </c>
      <c r="K49" s="187">
        <f ca="1">IFERROR(__xludf.DUMMYFUNCTION("IMPORTRANGE(""https://docs.google.com/spreadsheets/d/1uUP8Zo1-qaJLuIkRU0qlwLSE3DHkbdrrj2JGJiWBQZE/edit?usp=sharing"",""อำนาจเจริญ!N794"")"),0)</f>
        <v>0</v>
      </c>
      <c r="L49" s="187">
        <f ca="1">IFERROR(__xludf.DUMMYFUNCTION("IMPORTRANGE(""https://docs.google.com/spreadsheets/d/1uUP8Zo1-qaJLuIkRU0qlwLSE3DHkbdrrj2JGJiWBQZE/edit?usp=sharing"",""อำนาจเจริญ!N795"")"),0)</f>
        <v>0</v>
      </c>
      <c r="M49" s="185">
        <f ca="1">IFERROR(__xludf.DUMMYFUNCTION("IMPORTRANGE(""https://docs.google.com/spreadsheets/d/1uUP8Zo1-qaJLuIkRU0qlwLSE3DHkbdrrj2JGJiWBQZE/edit?usp=sharing"",""อำนาจเจริญ!N798"")"),0)</f>
        <v>0</v>
      </c>
      <c r="N49" s="185">
        <f t="shared" ca="1" si="15"/>
        <v>0</v>
      </c>
      <c r="O49" s="181">
        <f ca="1">IFERROR(__xludf.DUMMYFUNCTION("IMPORTRANGE(""https://docs.google.com/spreadsheets/d/1uUP8Zo1-qaJLuIkRU0qlwLSE3DHkbdrrj2JGJiWBQZE/edit?usp=sharing"",""อำนาจเจริญ!I785"")"),0)</f>
        <v>0</v>
      </c>
      <c r="P49" s="181">
        <f t="shared" ca="1" si="27"/>
        <v>0</v>
      </c>
      <c r="Q49" s="186">
        <f t="shared" ca="1" si="12"/>
        <v>0</v>
      </c>
      <c r="R49" s="181">
        <f ca="1">IFERROR(__xludf.DUMMYFUNCTION("IMPORTRANGE(""https://docs.google.com/spreadsheets/d/1uUP8Zo1-qaJLuIkRU0qlwLSE3DHkbdrrj2JGJiWBQZE/edit?usp=sharing"",""อำนาจเจริญ!J801"")"),0)</f>
        <v>0</v>
      </c>
      <c r="S49" s="181">
        <f ca="1">IFERROR(__xludf.DUMMYFUNCTION("IMPORTRANGE(""https://docs.google.com/spreadsheets/d/1uUP8Zo1-qaJLuIkRU0qlwLSE3DHkbdrrj2JGJiWBQZE/edit?usp=sharing"",""อำนาจเจริญ!J800"")"),0)</f>
        <v>0</v>
      </c>
      <c r="T49" s="428">
        <f ca="1">IFERROR(__xludf.DUMMYFUNCTION("IMPORTRANGE(""https://docs.google.com/spreadsheets/d/1uUP8Zo1-qaJLuIkRU0qlwLSE3DHkbdrrj2JGJiWBQZE/edit?usp=sharing"",""อำนาจเจริญ!J803"")"),0)</f>
        <v>0</v>
      </c>
      <c r="U49" s="428">
        <f ca="1">IFERROR(__xludf.DUMMYFUNCTION("IMPORTRANGE(""https://docs.google.com/spreadsheets/d/1uUP8Zo1-qaJLuIkRU0qlwLSE3DHkbdrrj2JGJiWBQZE/edit?usp=sharing"",""อำนาจเจริญ!J802"")"),0)</f>
        <v>0</v>
      </c>
    </row>
    <row r="50" spans="1:21" ht="21" customHeight="1" x14ac:dyDescent="0.3">
      <c r="A50" s="178">
        <v>19</v>
      </c>
      <c r="B50" s="179" t="s">
        <v>67</v>
      </c>
      <c r="C50" s="180">
        <f t="shared" ca="1" si="25"/>
        <v>0</v>
      </c>
      <c r="D50" s="181">
        <f ca="1">IFERROR(__xludf.DUMMYFUNCTION("IMPORTRANGE(""https://docs.google.com/spreadsheets/d/1hb_taSOHanzRjqfzWPiFo8yiT83VV1L7vvUCLhOiHKc/edit?usp=sharing"",""อุดรธานี!L791"")"),0)</f>
        <v>0</v>
      </c>
      <c r="E50" s="187">
        <f ca="1">IFERROR(__xludf.DUMMYFUNCTION("IMPORTRANGE(""https://docs.google.com/spreadsheets/d/1hb_taSOHanzRjqfzWPiFo8yiT83VV1L7vvUCLhOiHKc/edit?usp=sharing"",""อุดรธานี!L798"")"),0)</f>
        <v>0</v>
      </c>
      <c r="F50" s="182">
        <f t="shared" ca="1" si="1"/>
        <v>0</v>
      </c>
      <c r="G50" s="183">
        <f t="shared" ca="1" si="2"/>
        <v>0</v>
      </c>
      <c r="H50" s="184">
        <f t="shared" ca="1" si="26"/>
        <v>0</v>
      </c>
      <c r="I50" s="187">
        <f ca="1">IFERROR(__xludf.DUMMYFUNCTION("IMPORTRANGE(""https://docs.google.com/spreadsheets/d/1hb_taSOHanzRjqfzWPiFo8yiT83VV1L7vvUCLhOiHKc/edit?usp=sharing"",""อุดรธานี!N792"")"),0)</f>
        <v>0</v>
      </c>
      <c r="J50" s="187">
        <f ca="1">IFERROR(__xludf.DUMMYFUNCTION("IMPORTRANGE(""https://docs.google.com/spreadsheets/d/1hb_taSOHanzRjqfzWPiFo8yiT83VV1L7vvUCLhOiHKc/edit?usp=sharing"",""อุดรธานี!N793"")"),0)</f>
        <v>0</v>
      </c>
      <c r="K50" s="187">
        <f ca="1">IFERROR(__xludf.DUMMYFUNCTION("IMPORTRANGE(""https://docs.google.com/spreadsheets/d/1hb_taSOHanzRjqfzWPiFo8yiT83VV1L7vvUCLhOiHKc/edit?usp=sharing"",""อุดรธานี!N794"")"),0)</f>
        <v>0</v>
      </c>
      <c r="L50" s="187">
        <f ca="1">IFERROR(__xludf.DUMMYFUNCTION("IMPORTRANGE(""https://docs.google.com/spreadsheets/d/1hb_taSOHanzRjqfzWPiFo8yiT83VV1L7vvUCLhOiHKc/edit?usp=sharing"",""อุดรธานี!N795"")"),0)</f>
        <v>0</v>
      </c>
      <c r="M50" s="185">
        <f ca="1">IFERROR(__xludf.DUMMYFUNCTION("IMPORTRANGE(""https://docs.google.com/spreadsheets/d/1hb_taSOHanzRjqfzWPiFo8yiT83VV1L7vvUCLhOiHKc/edit?usp=sharing"",""อุดรธานี!N798"")"),0)</f>
        <v>0</v>
      </c>
      <c r="N50" s="185">
        <f t="shared" ca="1" si="15"/>
        <v>0</v>
      </c>
      <c r="O50" s="181">
        <f ca="1">IFERROR(__xludf.DUMMYFUNCTION("IMPORTRANGE(""https://docs.google.com/spreadsheets/d/1hb_taSOHanzRjqfzWPiFo8yiT83VV1L7vvUCLhOiHKc/edit?usp=sharing"",""อุดรธานี!I785"")"),0)</f>
        <v>0</v>
      </c>
      <c r="P50" s="181">
        <f t="shared" ca="1" si="27"/>
        <v>0</v>
      </c>
      <c r="Q50" s="186">
        <f t="shared" ca="1" si="12"/>
        <v>0</v>
      </c>
      <c r="R50" s="181">
        <f ca="1">IFERROR(__xludf.DUMMYFUNCTION("IMPORTRANGE(""https://docs.google.com/spreadsheets/d/1hb_taSOHanzRjqfzWPiFo8yiT83VV1L7vvUCLhOiHKc/edit?usp=sharing"",""อุดรธานี!J801"")"),0)</f>
        <v>0</v>
      </c>
      <c r="S50" s="181">
        <f ca="1">IFERROR(__xludf.DUMMYFUNCTION("IMPORTRANGE(""https://docs.google.com/spreadsheets/d/1hb_taSOHanzRjqfzWPiFo8yiT83VV1L7vvUCLhOiHKc/edit?usp=sharing"",""อุดรธานี!J800"")"),0)</f>
        <v>0</v>
      </c>
      <c r="T50" s="428">
        <f ca="1">IFERROR(__xludf.DUMMYFUNCTION("IMPORTRANGE(""https://docs.google.com/spreadsheets/d/1hb_taSOHanzRjqfzWPiFo8yiT83VV1L7vvUCLhOiHKc/edit?usp=sharing"",""อุดรธานี!J803"")"),0)</f>
        <v>0</v>
      </c>
      <c r="U50" s="428">
        <f ca="1">IFERROR(__xludf.DUMMYFUNCTION("IMPORTRANGE(""https://docs.google.com/spreadsheets/d/1hb_taSOHanzRjqfzWPiFo8yiT83VV1L7vvUCLhOiHKc/edit?usp=sharing"",""อุดรธานี!J802"")"),0)</f>
        <v>0</v>
      </c>
    </row>
    <row r="51" spans="1:21" ht="21" customHeight="1" x14ac:dyDescent="0.3">
      <c r="A51" s="192">
        <v>20</v>
      </c>
      <c r="B51" s="193" t="s">
        <v>68</v>
      </c>
      <c r="C51" s="204">
        <f t="shared" ca="1" si="25"/>
        <v>335200</v>
      </c>
      <c r="D51" s="202">
        <f ca="1">IFERROR(__xludf.DUMMYFUNCTION("IMPORTRANGE(""https://docs.google.com/spreadsheets/d/17IOkEwkUd63EGNfyNDnM5de9YlZ7rwzTiW6-dokVjKI/edit?usp=sharing"",""อุบลราชธานี!L791"")"),335200)</f>
        <v>335200</v>
      </c>
      <c r="E51" s="200">
        <f ca="1">IFERROR(__xludf.DUMMYFUNCTION("IMPORTRANGE(""https://docs.google.com/spreadsheets/d/17IOkEwkUd63EGNfyNDnM5de9YlZ7rwzTiW6-dokVjKI/edit?usp=sharing"",""อุบลราชธานี!L798"")"),0)</f>
        <v>0</v>
      </c>
      <c r="F51" s="197">
        <f t="shared" ca="1" si="1"/>
        <v>137892.52000000002</v>
      </c>
      <c r="G51" s="205">
        <f t="shared" ca="1" si="2"/>
        <v>41.137386634844873</v>
      </c>
      <c r="H51" s="199">
        <f t="shared" ca="1" si="26"/>
        <v>137892.52000000002</v>
      </c>
      <c r="I51" s="200">
        <f ca="1">IFERROR(__xludf.DUMMYFUNCTION("IMPORTRANGE(""https://docs.google.com/spreadsheets/d/17IOkEwkUd63EGNfyNDnM5de9YlZ7rwzTiW6-dokVjKI/edit?usp=sharing"",""อุบลราชธานี!N792"")"),0)</f>
        <v>0</v>
      </c>
      <c r="J51" s="200">
        <f ca="1">IFERROR(__xludf.DUMMYFUNCTION("IMPORTRANGE(""https://docs.google.com/spreadsheets/d/17IOkEwkUd63EGNfyNDnM5de9YlZ7rwzTiW6-dokVjKI/edit?usp=sharing"",""อุบลราชธานี!N793"")"),0)</f>
        <v>0</v>
      </c>
      <c r="K51" s="200">
        <f ca="1">IFERROR(__xludf.DUMMYFUNCTION("IMPORTRANGE(""https://docs.google.com/spreadsheets/d/17IOkEwkUd63EGNfyNDnM5de9YlZ7rwzTiW6-dokVjKI/edit?usp=sharing"",""อุบลราชธานี!N794"")"),50200)</f>
        <v>50200</v>
      </c>
      <c r="L51" s="200">
        <f ca="1">IFERROR(__xludf.DUMMYFUNCTION("IMPORTRANGE(""https://docs.google.com/spreadsheets/d/17IOkEwkUd63EGNfyNDnM5de9YlZ7rwzTiW6-dokVjKI/edit?usp=sharing"",""อุบลราชธานี!N795"")"),87692.52)</f>
        <v>87692.52</v>
      </c>
      <c r="M51" s="201">
        <f ca="1">IFERROR(__xludf.DUMMYFUNCTION("IMPORTRANGE(""https://docs.google.com/spreadsheets/d/17IOkEwkUd63EGNfyNDnM5de9YlZ7rwzTiW6-dokVjKI/edit?usp=sharing"",""อุบลราชธานี!N798"")"),0)</f>
        <v>0</v>
      </c>
      <c r="N51" s="201">
        <f t="shared" ca="1" si="15"/>
        <v>0</v>
      </c>
      <c r="O51" s="202">
        <f ca="1">IFERROR(__xludf.DUMMYFUNCTION("IMPORTRANGE(""https://docs.google.com/spreadsheets/d/17IOkEwkUd63EGNfyNDnM5de9YlZ7rwzTiW6-dokVjKI/edit?usp=sharing"",""อุบลราชธานี!I785"")"),5000)</f>
        <v>5000</v>
      </c>
      <c r="P51" s="202">
        <f t="shared" ca="1" si="27"/>
        <v>570</v>
      </c>
      <c r="Q51" s="203">
        <f t="shared" ca="1" si="12"/>
        <v>11.4</v>
      </c>
      <c r="R51" s="202">
        <f ca="1">IFERROR(__xludf.DUMMYFUNCTION("IMPORTRANGE(""https://docs.google.com/spreadsheets/d/17IOkEwkUd63EGNfyNDnM5de9YlZ7rwzTiW6-dokVjKI/edit?usp=sharing"",""อุบลราชธานี!J801"")"),570)</f>
        <v>570</v>
      </c>
      <c r="S51" s="202">
        <f ca="1">IFERROR(__xludf.DUMMYFUNCTION("IMPORTRANGE(""https://docs.google.com/spreadsheets/d/17IOkEwkUd63EGNfyNDnM5de9YlZ7rwzTiW6-dokVjKI/edit?usp=sharing"",""อุบลราชธานี!J800"")"),33)</f>
        <v>33</v>
      </c>
      <c r="T51" s="202">
        <f ca="1">IFERROR(__xludf.DUMMYFUNCTION("IMPORTRANGE(""https://docs.google.com/spreadsheets/d/17IOkEwkUd63EGNfyNDnM5de9YlZ7rwzTiW6-dokVjKI/edit?usp=sharing"",""อุบลราชธานี!J803"")"),0)</f>
        <v>0</v>
      </c>
      <c r="U51" s="202">
        <f ca="1">IFERROR(__xludf.DUMMYFUNCTION("IMPORTRANGE(""https://docs.google.com/spreadsheets/d/17IOkEwkUd63EGNfyNDnM5de9YlZ7rwzTiW6-dokVjKI/edit?usp=sharing"",""อุบลราชธานี!J802"")"),0)</f>
        <v>0</v>
      </c>
    </row>
    <row r="52" spans="1:21" ht="21" customHeight="1" x14ac:dyDescent="0.3">
      <c r="A52" s="340" t="s">
        <v>69</v>
      </c>
      <c r="B52" s="339"/>
      <c r="C52" s="265">
        <f t="shared" ref="C52:E52" ca="1" si="28">SUM(C53:C73)</f>
        <v>335200</v>
      </c>
      <c r="D52" s="159">
        <f t="shared" ca="1" si="28"/>
        <v>335200</v>
      </c>
      <c r="E52" s="159">
        <f t="shared" ca="1" si="28"/>
        <v>0</v>
      </c>
      <c r="F52" s="159">
        <f t="shared" ca="1" si="1"/>
        <v>52000</v>
      </c>
      <c r="G52" s="253">
        <f t="shared" ca="1" si="2"/>
        <v>15.513126491646778</v>
      </c>
      <c r="H52" s="159">
        <f t="shared" ref="H52:M52" ca="1" si="29">SUM(H53:H73)</f>
        <v>52000</v>
      </c>
      <c r="I52" s="159">
        <f t="shared" ca="1" si="29"/>
        <v>0</v>
      </c>
      <c r="J52" s="159">
        <f t="shared" ca="1" si="29"/>
        <v>0</v>
      </c>
      <c r="K52" s="159">
        <f t="shared" ca="1" si="29"/>
        <v>52000</v>
      </c>
      <c r="L52" s="159">
        <f t="shared" ca="1" si="29"/>
        <v>0</v>
      </c>
      <c r="M52" s="161">
        <f t="shared" ca="1" si="29"/>
        <v>0</v>
      </c>
      <c r="N52" s="161">
        <f t="shared" ca="1" si="15"/>
        <v>0</v>
      </c>
      <c r="O52" s="159">
        <f t="shared" ref="O52:P52" ca="1" si="30">SUM(O53:O73)</f>
        <v>5000</v>
      </c>
      <c r="P52" s="159">
        <f t="shared" ca="1" si="30"/>
        <v>11</v>
      </c>
      <c r="Q52" s="162">
        <f t="shared" ca="1" si="12"/>
        <v>0.22</v>
      </c>
      <c r="R52" s="159">
        <f t="shared" ref="R52:U52" ca="1" si="31">SUM(R53:R73)</f>
        <v>11</v>
      </c>
      <c r="S52" s="159">
        <f t="shared" ca="1" si="31"/>
        <v>1</v>
      </c>
      <c r="T52" s="159">
        <f t="shared" ca="1" si="31"/>
        <v>0</v>
      </c>
      <c r="U52" s="159">
        <f t="shared" ca="1" si="31"/>
        <v>0</v>
      </c>
    </row>
    <row r="53" spans="1:21" ht="21" customHeight="1" x14ac:dyDescent="0.3">
      <c r="A53" s="178">
        <v>1</v>
      </c>
      <c r="B53" s="179" t="s">
        <v>70</v>
      </c>
      <c r="C53" s="180">
        <f t="shared" ref="C53:C73" ca="1" si="32">D53+E53</f>
        <v>0</v>
      </c>
      <c r="D53" s="181">
        <f ca="1">IFERROR(__xludf.DUMMYFUNCTION("IMPORTRANGE(""https://docs.google.com/spreadsheets/d/1hKO5uv94SSRZWOvrh72HRcpyoEQF9TsE_Cvxl77XNU4/edit?usp=sharing"",""กาญจนบุรี!L791"")"),0)</f>
        <v>0</v>
      </c>
      <c r="E53" s="181">
        <f ca="1">IFERROR(__xludf.DUMMYFUNCTION("IMPORTRANGE(""https://docs.google.com/spreadsheets/d/1hKO5uv94SSRZWOvrh72HRcpyoEQF9TsE_Cvxl77XNU4/edit?usp=sharing"",""กาญจนบุรี!L798"")"),0)</f>
        <v>0</v>
      </c>
      <c r="F53" s="182">
        <f t="shared" ca="1" si="1"/>
        <v>0</v>
      </c>
      <c r="G53" s="183">
        <f t="shared" ca="1" si="2"/>
        <v>0</v>
      </c>
      <c r="H53" s="184">
        <f t="shared" ref="H53:H73" ca="1" si="33">I53+J53+K53+L53</f>
        <v>0</v>
      </c>
      <c r="I53" s="181">
        <f ca="1">IFERROR(__xludf.DUMMYFUNCTION("IMPORTRANGE(""https://docs.google.com/spreadsheets/d/1hKO5uv94SSRZWOvrh72HRcpyoEQF9TsE_Cvxl77XNU4/edit?usp=sharing"",""กาญจนบุรี!N792"")"),0)</f>
        <v>0</v>
      </c>
      <c r="J53" s="181">
        <f ca="1">IFERROR(__xludf.DUMMYFUNCTION("IMPORTRANGE(""https://docs.google.com/spreadsheets/d/1hKO5uv94SSRZWOvrh72HRcpyoEQF9TsE_Cvxl77XNU4/edit?usp=sharing"",""กาญจนบุรี!N793"")"),0)</f>
        <v>0</v>
      </c>
      <c r="K53" s="181">
        <f ca="1">IFERROR(__xludf.DUMMYFUNCTION("IMPORTRANGE(""https://docs.google.com/spreadsheets/d/1hKO5uv94SSRZWOvrh72HRcpyoEQF9TsE_Cvxl77XNU4/edit?usp=sharing"",""กาญจนบุรี!N794"")"),0)</f>
        <v>0</v>
      </c>
      <c r="L53" s="181">
        <f ca="1">IFERROR(__xludf.DUMMYFUNCTION("IMPORTRANGE(""https://docs.google.com/spreadsheets/d/1hKO5uv94SSRZWOvrh72HRcpyoEQF9TsE_Cvxl77XNU4/edit?usp=sharing"",""กาญจนบุรี!N795"")"),0)</f>
        <v>0</v>
      </c>
      <c r="M53" s="185">
        <f ca="1">IFERROR(__xludf.DUMMYFUNCTION("IMPORTRANGE(""https://docs.google.com/spreadsheets/d/1hKO5uv94SSRZWOvrh72HRcpyoEQF9TsE_Cvxl77XNU4/edit?usp=sharing"",""กาญจนบุรี!N798"")"),0)</f>
        <v>0</v>
      </c>
      <c r="N53" s="185">
        <f t="shared" ca="1" si="15"/>
        <v>0</v>
      </c>
      <c r="O53" s="181">
        <f ca="1">IFERROR(__xludf.DUMMYFUNCTION("IMPORTRANGE(""https://docs.google.com/spreadsheets/d/1hKO5uv94SSRZWOvrh72HRcpyoEQF9TsE_Cvxl77XNU4/edit?usp=sharing"",""กาญจนบุรี!I785"")"),0)</f>
        <v>0</v>
      </c>
      <c r="P53" s="181">
        <f t="shared" ref="P53:P73" ca="1" si="34">R53+T53</f>
        <v>0</v>
      </c>
      <c r="Q53" s="186">
        <f t="shared" ca="1" si="12"/>
        <v>0</v>
      </c>
      <c r="R53" s="181">
        <f ca="1">IFERROR(__xludf.DUMMYFUNCTION("IMPORTRANGE(""https://docs.google.com/spreadsheets/d/1hKO5uv94SSRZWOvrh72HRcpyoEQF9TsE_Cvxl77XNU4/edit?usp=sharing"",""กาญจนบุรี!J801"")"),0)</f>
        <v>0</v>
      </c>
      <c r="S53" s="181">
        <f ca="1">IFERROR(__xludf.DUMMYFUNCTION("IMPORTRANGE(""https://docs.google.com/spreadsheets/d/1hKO5uv94SSRZWOvrh72HRcpyoEQF9TsE_Cvxl77XNU4/edit?usp=sharing"",""กาญจนบุรี!J800"")"),0)</f>
        <v>0</v>
      </c>
      <c r="T53" s="428">
        <f ca="1">IFERROR(__xludf.DUMMYFUNCTION("IMPORTRANGE(""https://docs.google.com/spreadsheets/d/1hKO5uv94SSRZWOvrh72HRcpyoEQF9TsE_Cvxl77XNU4/edit?usp=sharing"",""กาญจนบุรี!J803"")"),0)</f>
        <v>0</v>
      </c>
      <c r="U53" s="428">
        <f ca="1">IFERROR(__xludf.DUMMYFUNCTION("IMPORTRANGE(""https://docs.google.com/spreadsheets/d/1hKO5uv94SSRZWOvrh72HRcpyoEQF9TsE_Cvxl77XNU4/edit?usp=sharing"",""กาญจนบุรี!J802"")"),0)</f>
        <v>0</v>
      </c>
    </row>
    <row r="54" spans="1:21" ht="21" customHeight="1" x14ac:dyDescent="0.3">
      <c r="A54" s="178">
        <v>2</v>
      </c>
      <c r="B54" s="179" t="s">
        <v>71</v>
      </c>
      <c r="C54" s="180">
        <f t="shared" ca="1" si="32"/>
        <v>0</v>
      </c>
      <c r="D54" s="181">
        <f ca="1">IFERROR(__xludf.DUMMYFUNCTION("IMPORTRANGE(""https://docs.google.com/spreadsheets/d/1njBaP_xXd-Uotvo2D9zb01TTCFkLJLDK97Tk1l9Qux0/edit?usp=sharing"",""จันทบุรี!L791"")"),0)</f>
        <v>0</v>
      </c>
      <c r="E54" s="187">
        <f ca="1">IFERROR(__xludf.DUMMYFUNCTION("IMPORTRANGE(""https://docs.google.com/spreadsheets/d/1njBaP_xXd-Uotvo2D9zb01TTCFkLJLDK97Tk1l9Qux0/edit?usp=sharing"",""จันทบุรี!L798"")"),0)</f>
        <v>0</v>
      </c>
      <c r="F54" s="182">
        <f t="shared" ca="1" si="1"/>
        <v>0</v>
      </c>
      <c r="G54" s="183">
        <f t="shared" ca="1" si="2"/>
        <v>0</v>
      </c>
      <c r="H54" s="184">
        <f t="shared" ca="1" si="33"/>
        <v>0</v>
      </c>
      <c r="I54" s="187">
        <f ca="1">IFERROR(__xludf.DUMMYFUNCTION("IMPORTRANGE(""https://docs.google.com/spreadsheets/d/1njBaP_xXd-Uotvo2D9zb01TTCFkLJLDK97Tk1l9Qux0/edit?usp=sharing"",""จันทบุรี!N792"")"),0)</f>
        <v>0</v>
      </c>
      <c r="J54" s="187">
        <f ca="1">IFERROR(__xludf.DUMMYFUNCTION("IMPORTRANGE(""https://docs.google.com/spreadsheets/d/1njBaP_xXd-Uotvo2D9zb01TTCFkLJLDK97Tk1l9Qux0/edit?usp=sharing"",""จันทบุรี!N793"")"),0)</f>
        <v>0</v>
      </c>
      <c r="K54" s="187">
        <f ca="1">IFERROR(__xludf.DUMMYFUNCTION("IMPORTRANGE(""https://docs.google.com/spreadsheets/d/1njBaP_xXd-Uotvo2D9zb01TTCFkLJLDK97Tk1l9Qux0/edit?usp=sharing"",""จันทบุรี!N794"")"),0)</f>
        <v>0</v>
      </c>
      <c r="L54" s="187">
        <f ca="1">IFERROR(__xludf.DUMMYFUNCTION("IMPORTRANGE(""https://docs.google.com/spreadsheets/d/1njBaP_xXd-Uotvo2D9zb01TTCFkLJLDK97Tk1l9Qux0/edit?usp=sharing"",""จันทบุรี!N795"")"),0)</f>
        <v>0</v>
      </c>
      <c r="M54" s="185">
        <f ca="1">IFERROR(__xludf.DUMMYFUNCTION("IMPORTRANGE(""https://docs.google.com/spreadsheets/d/1njBaP_xXd-Uotvo2D9zb01TTCFkLJLDK97Tk1l9Qux0/edit?usp=sharing"",""จันทบุรี!N798"")"),0)</f>
        <v>0</v>
      </c>
      <c r="N54" s="185">
        <f t="shared" ca="1" si="15"/>
        <v>0</v>
      </c>
      <c r="O54" s="181">
        <f ca="1">IFERROR(__xludf.DUMMYFUNCTION("IMPORTRANGE(""https://docs.google.com/spreadsheets/d/1njBaP_xXd-Uotvo2D9zb01TTCFkLJLDK97Tk1l9Qux0/edit?usp=sharing"",""จันทบุรี!I785"")"),0)</f>
        <v>0</v>
      </c>
      <c r="P54" s="181">
        <f t="shared" ca="1" si="34"/>
        <v>0</v>
      </c>
      <c r="Q54" s="186">
        <f t="shared" ca="1" si="12"/>
        <v>0</v>
      </c>
      <c r="R54" s="181">
        <f ca="1">IFERROR(__xludf.DUMMYFUNCTION("IMPORTRANGE(""https://docs.google.com/spreadsheets/d/1njBaP_xXd-Uotvo2D9zb01TTCFkLJLDK97Tk1l9Qux0/edit?usp=sharing"",""จันทบุรี!J801"")"),0)</f>
        <v>0</v>
      </c>
      <c r="S54" s="181">
        <f ca="1">IFERROR(__xludf.DUMMYFUNCTION("IMPORTRANGE(""https://docs.google.com/spreadsheets/d/1njBaP_xXd-Uotvo2D9zb01TTCFkLJLDK97Tk1l9Qux0/edit?usp=sharing"",""จันทบุรี!J800"")"),0)</f>
        <v>0</v>
      </c>
      <c r="T54" s="428">
        <f ca="1">IFERROR(__xludf.DUMMYFUNCTION("IMPORTRANGE(""https://docs.google.com/spreadsheets/d/1njBaP_xXd-Uotvo2D9zb01TTCFkLJLDK97Tk1l9Qux0/edit?usp=sharing"",""จันทบุรี!J803"")"),0)</f>
        <v>0</v>
      </c>
      <c r="U54" s="428">
        <f ca="1">IFERROR(__xludf.DUMMYFUNCTION("IMPORTRANGE(""https://docs.google.com/spreadsheets/d/1njBaP_xXd-Uotvo2D9zb01TTCFkLJLDK97Tk1l9Qux0/edit?usp=sharing"",""จันทบุรี!J802"")"),0)</f>
        <v>0</v>
      </c>
    </row>
    <row r="55" spans="1:21" ht="21" customHeight="1" x14ac:dyDescent="0.3">
      <c r="A55" s="178">
        <v>3</v>
      </c>
      <c r="B55" s="179" t="s">
        <v>72</v>
      </c>
      <c r="C55" s="180">
        <f t="shared" ca="1" si="32"/>
        <v>0</v>
      </c>
      <c r="D55" s="181">
        <f ca="1">IFERROR(__xludf.DUMMYFUNCTION("IMPORTRANGE(""https://docs.google.com/spreadsheets/d/14xp6qUzrGFnUk_qnc1eEmfiaNRd4_grkhpfQH_46fa8/edit?usp=sharing"",""ฉะเชิงเทรา!L791"")"),0)</f>
        <v>0</v>
      </c>
      <c r="E55" s="187">
        <f ca="1">IFERROR(__xludf.DUMMYFUNCTION("IMPORTRANGE(""https://docs.google.com/spreadsheets/d/14xp6qUzrGFnUk_qnc1eEmfiaNRd4_grkhpfQH_46fa8/edit?usp=sharing"",""ฉะเชิงเทรา!L798"")"),0)</f>
        <v>0</v>
      </c>
      <c r="F55" s="182">
        <f t="shared" ca="1" si="1"/>
        <v>0</v>
      </c>
      <c r="G55" s="183">
        <f t="shared" ca="1" si="2"/>
        <v>0</v>
      </c>
      <c r="H55" s="184">
        <f t="shared" ca="1" si="33"/>
        <v>0</v>
      </c>
      <c r="I55" s="187">
        <f ca="1">IFERROR(__xludf.DUMMYFUNCTION("IMPORTRANGE(""https://docs.google.com/spreadsheets/d/14xp6qUzrGFnUk_qnc1eEmfiaNRd4_grkhpfQH_46fa8/edit?usp=sharing"",""ฉะเชิงเทรา!N792"")"),0)</f>
        <v>0</v>
      </c>
      <c r="J55" s="187">
        <f ca="1">IFERROR(__xludf.DUMMYFUNCTION("IMPORTRANGE(""https://docs.google.com/spreadsheets/d/14xp6qUzrGFnUk_qnc1eEmfiaNRd4_grkhpfQH_46fa8/edit?usp=sharing"",""ฉะเชิงเทรา!N793"")"),0)</f>
        <v>0</v>
      </c>
      <c r="K55" s="187">
        <f ca="1">IFERROR(__xludf.DUMMYFUNCTION("IMPORTRANGE(""https://docs.google.com/spreadsheets/d/14xp6qUzrGFnUk_qnc1eEmfiaNRd4_grkhpfQH_46fa8/edit?usp=sharing"",""ฉะเชิงเทรา!N794"")"),0)</f>
        <v>0</v>
      </c>
      <c r="L55" s="187">
        <f ca="1">IFERROR(__xludf.DUMMYFUNCTION("IMPORTRANGE(""https://docs.google.com/spreadsheets/d/14xp6qUzrGFnUk_qnc1eEmfiaNRd4_grkhpfQH_46fa8/edit?usp=sharing"",""ฉะเชิงเทรา!N795"")"),0)</f>
        <v>0</v>
      </c>
      <c r="M55" s="185">
        <f ca="1">IFERROR(__xludf.DUMMYFUNCTION("IMPORTRANGE(""https://docs.google.com/spreadsheets/d/14xp6qUzrGFnUk_qnc1eEmfiaNRd4_grkhpfQH_46fa8/edit?usp=sharing"",""ฉะเชิงเทรา!N798"")"),0)</f>
        <v>0</v>
      </c>
      <c r="N55" s="185">
        <f t="shared" ca="1" si="15"/>
        <v>0</v>
      </c>
      <c r="O55" s="181">
        <f ca="1">IFERROR(__xludf.DUMMYFUNCTION("IMPORTRANGE(""https://docs.google.com/spreadsheets/d/14xp6qUzrGFnUk_qnc1eEmfiaNRd4_grkhpfQH_46fa8/edit?usp=sharing"",""ฉะเชิงเทรา!I785"")"),0)</f>
        <v>0</v>
      </c>
      <c r="P55" s="181">
        <f t="shared" ca="1" si="34"/>
        <v>0</v>
      </c>
      <c r="Q55" s="186">
        <f t="shared" ca="1" si="12"/>
        <v>0</v>
      </c>
      <c r="R55" s="181">
        <f ca="1">IFERROR(__xludf.DUMMYFUNCTION("IMPORTRANGE(""https://docs.google.com/spreadsheets/d/14xp6qUzrGFnUk_qnc1eEmfiaNRd4_grkhpfQH_46fa8/edit?usp=sharing"",""ฉะเชิงเทรา!J801"")"),0)</f>
        <v>0</v>
      </c>
      <c r="S55" s="181">
        <f ca="1">IFERROR(__xludf.DUMMYFUNCTION("IMPORTRANGE(""https://docs.google.com/spreadsheets/d/14xp6qUzrGFnUk_qnc1eEmfiaNRd4_grkhpfQH_46fa8/edit?usp=sharing"",""ฉะเชิงเทรา!J800"")"),0)</f>
        <v>0</v>
      </c>
      <c r="T55" s="428">
        <f ca="1">IFERROR(__xludf.DUMMYFUNCTION("IMPORTRANGE(""https://docs.google.com/spreadsheets/d/14xp6qUzrGFnUk_qnc1eEmfiaNRd4_grkhpfQH_46fa8/edit?usp=sharing"",""ฉะเชิงเทรา!J803"")"),0)</f>
        <v>0</v>
      </c>
      <c r="U55" s="428">
        <f ca="1">IFERROR(__xludf.DUMMYFUNCTION("IMPORTRANGE(""https://docs.google.com/spreadsheets/d/14xp6qUzrGFnUk_qnc1eEmfiaNRd4_grkhpfQH_46fa8/edit?usp=sharing"",""ฉะเชิงเทรา!J802"")"),0)</f>
        <v>0</v>
      </c>
    </row>
    <row r="56" spans="1:21" ht="21" customHeight="1" x14ac:dyDescent="0.3">
      <c r="A56" s="178">
        <v>4</v>
      </c>
      <c r="B56" s="179" t="s">
        <v>73</v>
      </c>
      <c r="C56" s="180">
        <f t="shared" ca="1" si="32"/>
        <v>0</v>
      </c>
      <c r="D56" s="181">
        <f ca="1">IFERROR(__xludf.DUMMYFUNCTION("IMPORTRANGE(""https://docs.google.com/spreadsheets/d/1_Zwps30dlVa-pZFsorjVf1Pil6WXwzCsJU0U2whO3NI/edit?usp=sharing"",""ชลบุรี!L791"")"),0)</f>
        <v>0</v>
      </c>
      <c r="E56" s="187">
        <f ca="1">IFERROR(__xludf.DUMMYFUNCTION("IMPORTRANGE(""https://docs.google.com/spreadsheets/d/1_Zwps30dlVa-pZFsorjVf1Pil6WXwzCsJU0U2whO3NI/edit?usp=sharing"",""ชลบุรี!L798"")"),0)</f>
        <v>0</v>
      </c>
      <c r="F56" s="182">
        <f t="shared" ca="1" si="1"/>
        <v>0</v>
      </c>
      <c r="G56" s="183">
        <f t="shared" ca="1" si="2"/>
        <v>0</v>
      </c>
      <c r="H56" s="184">
        <f t="shared" ca="1" si="33"/>
        <v>0</v>
      </c>
      <c r="I56" s="187">
        <f ca="1">IFERROR(__xludf.DUMMYFUNCTION("IMPORTRANGE(""https://docs.google.com/spreadsheets/d/1_Zwps30dlVa-pZFsorjVf1Pil6WXwzCsJU0U2whO3NI/edit?usp=sharing"",""ชลบุรี!N792"")"),0)</f>
        <v>0</v>
      </c>
      <c r="J56" s="187">
        <f ca="1">IFERROR(__xludf.DUMMYFUNCTION("IMPORTRANGE(""https://docs.google.com/spreadsheets/d/1_Zwps30dlVa-pZFsorjVf1Pil6WXwzCsJU0U2whO3NI/edit?usp=sharing"",""ชลบุรี!N793"")"),0)</f>
        <v>0</v>
      </c>
      <c r="K56" s="187">
        <f ca="1">IFERROR(__xludf.DUMMYFUNCTION("IMPORTRANGE(""https://docs.google.com/spreadsheets/d/1_Zwps30dlVa-pZFsorjVf1Pil6WXwzCsJU0U2whO3NI/edit?usp=sharing"",""ชลบุรี!N794"")"),0)</f>
        <v>0</v>
      </c>
      <c r="L56" s="187">
        <f ca="1">IFERROR(__xludf.DUMMYFUNCTION("IMPORTRANGE(""https://docs.google.com/spreadsheets/d/1_Zwps30dlVa-pZFsorjVf1Pil6WXwzCsJU0U2whO3NI/edit?usp=sharing"",""ชลบุรี!N795"")"),0)</f>
        <v>0</v>
      </c>
      <c r="M56" s="185">
        <f ca="1">IFERROR(__xludf.DUMMYFUNCTION("IMPORTRANGE(""https://docs.google.com/spreadsheets/d/1_Zwps30dlVa-pZFsorjVf1Pil6WXwzCsJU0U2whO3NI/edit?usp=sharing"",""ชลบุรี!N798"")"),0)</f>
        <v>0</v>
      </c>
      <c r="N56" s="185">
        <f t="shared" ca="1" si="15"/>
        <v>0</v>
      </c>
      <c r="O56" s="181">
        <f ca="1">IFERROR(__xludf.DUMMYFUNCTION("IMPORTRANGE(""https://docs.google.com/spreadsheets/d/1_Zwps30dlVa-pZFsorjVf1Pil6WXwzCsJU0U2whO3NI/edit?usp=sharing"",""ชลบุรี!I785"")"),0)</f>
        <v>0</v>
      </c>
      <c r="P56" s="181">
        <f t="shared" ca="1" si="34"/>
        <v>0</v>
      </c>
      <c r="Q56" s="186">
        <f t="shared" ca="1" si="12"/>
        <v>0</v>
      </c>
      <c r="R56" s="181">
        <f ca="1">IFERROR(__xludf.DUMMYFUNCTION("IMPORTRANGE(""https://docs.google.com/spreadsheets/d/1_Zwps30dlVa-pZFsorjVf1Pil6WXwzCsJU0U2whO3NI/edit?usp=sharing"",""ชลบุรี!J801"")"),0)</f>
        <v>0</v>
      </c>
      <c r="S56" s="181">
        <f ca="1">IFERROR(__xludf.DUMMYFUNCTION("IMPORTRANGE(""https://docs.google.com/spreadsheets/d/1_Zwps30dlVa-pZFsorjVf1Pil6WXwzCsJU0U2whO3NI/edit?usp=sharing"",""ชลบุรี!J800"")"),0)</f>
        <v>0</v>
      </c>
      <c r="T56" s="428">
        <f ca="1">IFERROR(__xludf.DUMMYFUNCTION("IMPORTRANGE(""https://docs.google.com/spreadsheets/d/1_Zwps30dlVa-pZFsorjVf1Pil6WXwzCsJU0U2whO3NI/edit?usp=sharing"",""ชลบุรี!J803"")"),0)</f>
        <v>0</v>
      </c>
      <c r="U56" s="428">
        <f ca="1">IFERROR(__xludf.DUMMYFUNCTION("IMPORTRANGE(""https://docs.google.com/spreadsheets/d/1_Zwps30dlVa-pZFsorjVf1Pil6WXwzCsJU0U2whO3NI/edit?usp=sharing"",""ชลบุรี!J802"")"),0)</f>
        <v>0</v>
      </c>
    </row>
    <row r="57" spans="1:21" ht="21" customHeight="1" x14ac:dyDescent="0.3">
      <c r="A57" s="178">
        <v>5</v>
      </c>
      <c r="B57" s="179" t="s">
        <v>74</v>
      </c>
      <c r="C57" s="180">
        <f t="shared" ca="1" si="32"/>
        <v>0</v>
      </c>
      <c r="D57" s="181">
        <f ca="1">IFERROR(__xludf.DUMMYFUNCTION("IMPORTRANGE(""https://docs.google.com/spreadsheets/d/1xAsT4sUbBlom7l0acStESh_15nvjZcXjZM7fK5uZSq8/edit?usp=sharing"",""ชัยนาท!L791"")"),0)</f>
        <v>0</v>
      </c>
      <c r="E57" s="187">
        <f ca="1">IFERROR(__xludf.DUMMYFUNCTION("IMPORTRANGE(""https://docs.google.com/spreadsheets/d/1xAsT4sUbBlom7l0acStESh_15nvjZcXjZM7fK5uZSq8/edit?usp=sharing"",""ชัยนาท!L798"")"),0)</f>
        <v>0</v>
      </c>
      <c r="F57" s="182">
        <f t="shared" ca="1" si="1"/>
        <v>0</v>
      </c>
      <c r="G57" s="183">
        <f t="shared" ca="1" si="2"/>
        <v>0</v>
      </c>
      <c r="H57" s="184">
        <f t="shared" ca="1" si="33"/>
        <v>0</v>
      </c>
      <c r="I57" s="187">
        <f ca="1">IFERROR(__xludf.DUMMYFUNCTION("IMPORTRANGE(""https://docs.google.com/spreadsheets/d/1xAsT4sUbBlom7l0acStESh_15nvjZcXjZM7fK5uZSq8/edit?usp=sharing"",""ชัยนาท!N792"")"),0)</f>
        <v>0</v>
      </c>
      <c r="J57" s="187">
        <f ca="1">IFERROR(__xludf.DUMMYFUNCTION("IMPORTRANGE(""https://docs.google.com/spreadsheets/d/1xAsT4sUbBlom7l0acStESh_15nvjZcXjZM7fK5uZSq8/edit?usp=sharing"",""ชัยนาท!N793"")"),0)</f>
        <v>0</v>
      </c>
      <c r="K57" s="187">
        <f ca="1">IFERROR(__xludf.DUMMYFUNCTION("IMPORTRANGE(""https://docs.google.com/spreadsheets/d/1xAsT4sUbBlom7l0acStESh_15nvjZcXjZM7fK5uZSq8/edit?usp=sharing"",""ชัยนาท!N794"")"),0)</f>
        <v>0</v>
      </c>
      <c r="L57" s="187">
        <f ca="1">IFERROR(__xludf.DUMMYFUNCTION("IMPORTRANGE(""https://docs.google.com/spreadsheets/d/1xAsT4sUbBlom7l0acStESh_15nvjZcXjZM7fK5uZSq8/edit?usp=sharing"",""ชัยนาท!N795"")"),0)</f>
        <v>0</v>
      </c>
      <c r="M57" s="185">
        <f ca="1">IFERROR(__xludf.DUMMYFUNCTION("IMPORTRANGE(""https://docs.google.com/spreadsheets/d/1xAsT4sUbBlom7l0acStESh_15nvjZcXjZM7fK5uZSq8/edit?usp=sharing"",""ชัยนาท!N798"")"),0)</f>
        <v>0</v>
      </c>
      <c r="N57" s="185">
        <f t="shared" ca="1" si="15"/>
        <v>0</v>
      </c>
      <c r="O57" s="181">
        <f ca="1">IFERROR(__xludf.DUMMYFUNCTION("IMPORTRANGE(""https://docs.google.com/spreadsheets/d/1xAsT4sUbBlom7l0acStESh_15nvjZcXjZM7fK5uZSq8/edit?usp=sharing"",""ชัยนาท!I785"")"),0)</f>
        <v>0</v>
      </c>
      <c r="P57" s="181">
        <f t="shared" ca="1" si="34"/>
        <v>0</v>
      </c>
      <c r="Q57" s="186">
        <f t="shared" ca="1" si="12"/>
        <v>0</v>
      </c>
      <c r="R57" s="181">
        <f ca="1">IFERROR(__xludf.DUMMYFUNCTION("IMPORTRANGE(""https://docs.google.com/spreadsheets/d/1xAsT4sUbBlom7l0acStESh_15nvjZcXjZM7fK5uZSq8/edit?usp=sharing"",""ชัยนาท!J801"")"),0)</f>
        <v>0</v>
      </c>
      <c r="S57" s="181">
        <f ca="1">IFERROR(__xludf.DUMMYFUNCTION("IMPORTRANGE(""https://docs.google.com/spreadsheets/d/1xAsT4sUbBlom7l0acStESh_15nvjZcXjZM7fK5uZSq8/edit?usp=sharing"",""ชัยนาท!J800"")"),0)</f>
        <v>0</v>
      </c>
      <c r="T57" s="428">
        <f ca="1">IFERROR(__xludf.DUMMYFUNCTION("IMPORTRANGE(""https://docs.google.com/spreadsheets/d/1xAsT4sUbBlom7l0acStESh_15nvjZcXjZM7fK5uZSq8/edit?usp=sharing"",""ชัยนาท!J803"")"),0)</f>
        <v>0</v>
      </c>
      <c r="U57" s="428">
        <f ca="1">IFERROR(__xludf.DUMMYFUNCTION("IMPORTRANGE(""https://docs.google.com/spreadsheets/d/1xAsT4sUbBlom7l0acStESh_15nvjZcXjZM7fK5uZSq8/edit?usp=sharing"",""ชัยนาท!J802"")"),0)</f>
        <v>0</v>
      </c>
    </row>
    <row r="58" spans="1:21" ht="21" customHeight="1" x14ac:dyDescent="0.3">
      <c r="A58" s="178">
        <v>6</v>
      </c>
      <c r="B58" s="179" t="s">
        <v>75</v>
      </c>
      <c r="C58" s="180">
        <f t="shared" ca="1" si="32"/>
        <v>0</v>
      </c>
      <c r="D58" s="181">
        <f ca="1">IFERROR(__xludf.DUMMYFUNCTION("IMPORTRANGE(""https://docs.google.com/spreadsheets/d/1vWPVBOAaZ6mHSI8yf95DNqHwTJ1cpeFsvqt6cxV34QA/edit?usp=sharing"",""ตราด!L791"")"),0)</f>
        <v>0</v>
      </c>
      <c r="E58" s="187">
        <f ca="1">IFERROR(__xludf.DUMMYFUNCTION("IMPORTRANGE(""https://docs.google.com/spreadsheets/d/1vWPVBOAaZ6mHSI8yf95DNqHwTJ1cpeFsvqt6cxV34QA/edit?usp=sharing"",""ตราด!L798"")"),0)</f>
        <v>0</v>
      </c>
      <c r="F58" s="182">
        <f t="shared" ca="1" si="1"/>
        <v>0</v>
      </c>
      <c r="G58" s="183">
        <f t="shared" ca="1" si="2"/>
        <v>0</v>
      </c>
      <c r="H58" s="184">
        <f t="shared" ca="1" si="33"/>
        <v>0</v>
      </c>
      <c r="I58" s="187">
        <f ca="1">IFERROR(__xludf.DUMMYFUNCTION("IMPORTRANGE(""https://docs.google.com/spreadsheets/d/1vWPVBOAaZ6mHSI8yf95DNqHwTJ1cpeFsvqt6cxV34QA/edit?usp=sharing"",""ตราด!N792"")"),0)</f>
        <v>0</v>
      </c>
      <c r="J58" s="187">
        <f ca="1">IFERROR(__xludf.DUMMYFUNCTION("IMPORTRANGE(""https://docs.google.com/spreadsheets/d/1vWPVBOAaZ6mHSI8yf95DNqHwTJ1cpeFsvqt6cxV34QA/edit?usp=sharing"",""ตราด!N793"")"),0)</f>
        <v>0</v>
      </c>
      <c r="K58" s="187">
        <f ca="1">IFERROR(__xludf.DUMMYFUNCTION("IMPORTRANGE(""https://docs.google.com/spreadsheets/d/1vWPVBOAaZ6mHSI8yf95DNqHwTJ1cpeFsvqt6cxV34QA/edit?usp=sharing"",""ตราด!N794"")"),0)</f>
        <v>0</v>
      </c>
      <c r="L58" s="187">
        <f ca="1">IFERROR(__xludf.DUMMYFUNCTION("IMPORTRANGE(""https://docs.google.com/spreadsheets/d/1vWPVBOAaZ6mHSI8yf95DNqHwTJ1cpeFsvqt6cxV34QA/edit?usp=sharing"",""ตราด!N795"")"),0)</f>
        <v>0</v>
      </c>
      <c r="M58" s="185">
        <f ca="1">IFERROR(__xludf.DUMMYFUNCTION("IMPORTRANGE(""https://docs.google.com/spreadsheets/d/1vWPVBOAaZ6mHSI8yf95DNqHwTJ1cpeFsvqt6cxV34QA/edit?usp=sharing"",""ตราด!N798"")"),0)</f>
        <v>0</v>
      </c>
      <c r="N58" s="185">
        <f t="shared" ca="1" si="15"/>
        <v>0</v>
      </c>
      <c r="O58" s="181">
        <f ca="1">IFERROR(__xludf.DUMMYFUNCTION("IMPORTRANGE(""https://docs.google.com/spreadsheets/d/1vWPVBOAaZ6mHSI8yf95DNqHwTJ1cpeFsvqt6cxV34QA/edit?usp=sharing"",""ตราด!I785"")"),0)</f>
        <v>0</v>
      </c>
      <c r="P58" s="181">
        <f t="shared" ca="1" si="34"/>
        <v>0</v>
      </c>
      <c r="Q58" s="186">
        <f t="shared" ca="1" si="12"/>
        <v>0</v>
      </c>
      <c r="R58" s="181">
        <f ca="1">IFERROR(__xludf.DUMMYFUNCTION("IMPORTRANGE(""https://docs.google.com/spreadsheets/d/1vWPVBOAaZ6mHSI8yf95DNqHwTJ1cpeFsvqt6cxV34QA/edit?usp=sharing"",""ตราด!J801"")"),0)</f>
        <v>0</v>
      </c>
      <c r="S58" s="181">
        <f ca="1">IFERROR(__xludf.DUMMYFUNCTION("IMPORTRANGE(""https://docs.google.com/spreadsheets/d/1vWPVBOAaZ6mHSI8yf95DNqHwTJ1cpeFsvqt6cxV34QA/edit?usp=sharing"",""ตราด!J800"")"),0)</f>
        <v>0</v>
      </c>
      <c r="T58" s="428">
        <f ca="1">IFERROR(__xludf.DUMMYFUNCTION("IMPORTRANGE(""https://docs.google.com/spreadsheets/d/1vWPVBOAaZ6mHSI8yf95DNqHwTJ1cpeFsvqt6cxV34QA/edit?usp=sharing"",""ตราด!J803"")"),0)</f>
        <v>0</v>
      </c>
      <c r="U58" s="428">
        <f ca="1">IFERROR(__xludf.DUMMYFUNCTION("IMPORTRANGE(""https://docs.google.com/spreadsheets/d/1vWPVBOAaZ6mHSI8yf95DNqHwTJ1cpeFsvqt6cxV34QA/edit?usp=sharing"",""ตราด!J802"")"),0)</f>
        <v>0</v>
      </c>
    </row>
    <row r="59" spans="1:21" ht="21" customHeight="1" x14ac:dyDescent="0.3">
      <c r="A59" s="178">
        <v>7</v>
      </c>
      <c r="B59" s="179" t="s">
        <v>76</v>
      </c>
      <c r="C59" s="180">
        <f t="shared" ca="1" si="32"/>
        <v>0</v>
      </c>
      <c r="D59" s="181">
        <f ca="1">IFERROR(__xludf.DUMMYFUNCTION("IMPORTRANGE(""https://docs.google.com/spreadsheets/d/1phaeSb9lTGgzDpbvVqI9hfmOQQzUom07-HEvpbARzEg/edit?usp=sharing"",""นครนายก!L791"")"),0)</f>
        <v>0</v>
      </c>
      <c r="E59" s="187">
        <f ca="1">IFERROR(__xludf.DUMMYFUNCTION("IMPORTRANGE(""https://docs.google.com/spreadsheets/d/1phaeSb9lTGgzDpbvVqI9hfmOQQzUom07-HEvpbARzEg/edit?usp=sharing"",""นครนายก!L798"")"),0)</f>
        <v>0</v>
      </c>
      <c r="F59" s="182">
        <f t="shared" ca="1" si="1"/>
        <v>0</v>
      </c>
      <c r="G59" s="183">
        <f t="shared" ca="1" si="2"/>
        <v>0</v>
      </c>
      <c r="H59" s="184">
        <f t="shared" ca="1" si="33"/>
        <v>0</v>
      </c>
      <c r="I59" s="187">
        <f ca="1">IFERROR(__xludf.DUMMYFUNCTION("IMPORTRANGE(""https://docs.google.com/spreadsheets/d/1phaeSb9lTGgzDpbvVqI9hfmOQQzUom07-HEvpbARzEg/edit?usp=sharing"",""นครนายก!N792"")"),0)</f>
        <v>0</v>
      </c>
      <c r="J59" s="187">
        <f ca="1">IFERROR(__xludf.DUMMYFUNCTION("IMPORTRANGE(""https://docs.google.com/spreadsheets/d/1phaeSb9lTGgzDpbvVqI9hfmOQQzUom07-HEvpbARzEg/edit?usp=sharing"",""นครนายก!N793"")"),0)</f>
        <v>0</v>
      </c>
      <c r="K59" s="187">
        <f ca="1">IFERROR(__xludf.DUMMYFUNCTION("IMPORTRANGE(""https://docs.google.com/spreadsheets/d/1phaeSb9lTGgzDpbvVqI9hfmOQQzUom07-HEvpbARzEg/edit?usp=sharing"",""นครนายก!N794"")"),0)</f>
        <v>0</v>
      </c>
      <c r="L59" s="187">
        <f ca="1">IFERROR(__xludf.DUMMYFUNCTION("IMPORTRANGE(""https://docs.google.com/spreadsheets/d/1phaeSb9lTGgzDpbvVqI9hfmOQQzUom07-HEvpbARzEg/edit?usp=sharing"",""นครนายก!N795"")"),0)</f>
        <v>0</v>
      </c>
      <c r="M59" s="185">
        <f ca="1">IFERROR(__xludf.DUMMYFUNCTION("IMPORTRANGE(""https://docs.google.com/spreadsheets/d/1phaeSb9lTGgzDpbvVqI9hfmOQQzUom07-HEvpbARzEg/edit?usp=sharing"",""นครนายก!N798"")"),0)</f>
        <v>0</v>
      </c>
      <c r="N59" s="185">
        <f t="shared" ca="1" si="15"/>
        <v>0</v>
      </c>
      <c r="O59" s="181">
        <f ca="1">IFERROR(__xludf.DUMMYFUNCTION("IMPORTRANGE(""https://docs.google.com/spreadsheets/d/1phaeSb9lTGgzDpbvVqI9hfmOQQzUom07-HEvpbARzEg/edit?usp=sharing"",""นครนายก!I785"")"),0)</f>
        <v>0</v>
      </c>
      <c r="P59" s="181">
        <f t="shared" ca="1" si="34"/>
        <v>0</v>
      </c>
      <c r="Q59" s="186">
        <f t="shared" ca="1" si="12"/>
        <v>0</v>
      </c>
      <c r="R59" s="181">
        <f ca="1">IFERROR(__xludf.DUMMYFUNCTION("IMPORTRANGE(""https://docs.google.com/spreadsheets/d/1phaeSb9lTGgzDpbvVqI9hfmOQQzUom07-HEvpbARzEg/edit?usp=sharing"",""นครนายก!J801"")"),0)</f>
        <v>0</v>
      </c>
      <c r="S59" s="181">
        <f ca="1">IFERROR(__xludf.DUMMYFUNCTION("IMPORTRANGE(""https://docs.google.com/spreadsheets/d/1phaeSb9lTGgzDpbvVqI9hfmOQQzUom07-HEvpbARzEg/edit?usp=sharing"",""นครนายก!J800"")"),0)</f>
        <v>0</v>
      </c>
      <c r="T59" s="428">
        <f ca="1">IFERROR(__xludf.DUMMYFUNCTION("IMPORTRANGE(""https://docs.google.com/spreadsheets/d/1phaeSb9lTGgzDpbvVqI9hfmOQQzUom07-HEvpbARzEg/edit?usp=sharing"",""นครนายก!J803"")"),0)</f>
        <v>0</v>
      </c>
      <c r="U59" s="428">
        <f ca="1">IFERROR(__xludf.DUMMYFUNCTION("IMPORTRANGE(""https://docs.google.com/spreadsheets/d/1phaeSb9lTGgzDpbvVqI9hfmOQQzUom07-HEvpbARzEg/edit?usp=sharing"",""นครนายก!J802"")"),0)</f>
        <v>0</v>
      </c>
    </row>
    <row r="60" spans="1:21" ht="21" customHeight="1" x14ac:dyDescent="0.3">
      <c r="A60" s="178">
        <v>8</v>
      </c>
      <c r="B60" s="179" t="s">
        <v>77</v>
      </c>
      <c r="C60" s="180">
        <f t="shared" ca="1" si="32"/>
        <v>0</v>
      </c>
      <c r="D60" s="181">
        <f ca="1">IFERROR(__xludf.DUMMYFUNCTION("IMPORTRANGE(""https://docs.google.com/spreadsheets/d/1tpwhWwkqkBeiSWCcfB5f2fbwPRbM9hHOEDSDHpl2MIc/edit?usp=sharing"",""นครปฐม!L791"")"),0)</f>
        <v>0</v>
      </c>
      <c r="E60" s="187">
        <f ca="1">IFERROR(__xludf.DUMMYFUNCTION("IMPORTRANGE(""https://docs.google.com/spreadsheets/d/1tpwhWwkqkBeiSWCcfB5f2fbwPRbM9hHOEDSDHpl2MIc/edit?usp=sharing"",""นครปฐม!L798"")"),0)</f>
        <v>0</v>
      </c>
      <c r="F60" s="182">
        <f t="shared" ca="1" si="1"/>
        <v>0</v>
      </c>
      <c r="G60" s="183">
        <f t="shared" ca="1" si="2"/>
        <v>0</v>
      </c>
      <c r="H60" s="184">
        <f t="shared" ca="1" si="33"/>
        <v>0</v>
      </c>
      <c r="I60" s="187">
        <f ca="1">IFERROR(__xludf.DUMMYFUNCTION("IMPORTRANGE(""https://docs.google.com/spreadsheets/d/1tpwhWwkqkBeiSWCcfB5f2fbwPRbM9hHOEDSDHpl2MIc/edit?usp=sharing"",""นครปฐม!N792"")"),0)</f>
        <v>0</v>
      </c>
      <c r="J60" s="187">
        <f ca="1">IFERROR(__xludf.DUMMYFUNCTION("IMPORTRANGE(""https://docs.google.com/spreadsheets/d/1tpwhWwkqkBeiSWCcfB5f2fbwPRbM9hHOEDSDHpl2MIc/edit?usp=sharing"",""นครปฐม!N793"")"),0)</f>
        <v>0</v>
      </c>
      <c r="K60" s="187">
        <f ca="1">IFERROR(__xludf.DUMMYFUNCTION("IMPORTRANGE(""https://docs.google.com/spreadsheets/d/1tpwhWwkqkBeiSWCcfB5f2fbwPRbM9hHOEDSDHpl2MIc/edit?usp=sharing"",""นครปฐม!N794"")"),0)</f>
        <v>0</v>
      </c>
      <c r="L60" s="187">
        <f ca="1">IFERROR(__xludf.DUMMYFUNCTION("IMPORTRANGE(""https://docs.google.com/spreadsheets/d/1tpwhWwkqkBeiSWCcfB5f2fbwPRbM9hHOEDSDHpl2MIc/edit?usp=sharing"",""นครปฐม!N795"")"),0)</f>
        <v>0</v>
      </c>
      <c r="M60" s="185">
        <f ca="1">IFERROR(__xludf.DUMMYFUNCTION("IMPORTRANGE(""https://docs.google.com/spreadsheets/d/1tpwhWwkqkBeiSWCcfB5f2fbwPRbM9hHOEDSDHpl2MIc/edit?usp=sharing"",""นครปฐม!N798"")"),0)</f>
        <v>0</v>
      </c>
      <c r="N60" s="185">
        <f t="shared" ca="1" si="15"/>
        <v>0</v>
      </c>
      <c r="O60" s="181">
        <f ca="1">IFERROR(__xludf.DUMMYFUNCTION("IMPORTRANGE(""https://docs.google.com/spreadsheets/d/1tpwhWwkqkBeiSWCcfB5f2fbwPRbM9hHOEDSDHpl2MIc/edit?usp=sharing"",""นครปฐม!I785"")"),0)</f>
        <v>0</v>
      </c>
      <c r="P60" s="181">
        <f t="shared" ca="1" si="34"/>
        <v>0</v>
      </c>
      <c r="Q60" s="186">
        <f t="shared" ca="1" si="12"/>
        <v>0</v>
      </c>
      <c r="R60" s="181">
        <f ca="1">IFERROR(__xludf.DUMMYFUNCTION("IMPORTRANGE(""https://docs.google.com/spreadsheets/d/1tpwhWwkqkBeiSWCcfB5f2fbwPRbM9hHOEDSDHpl2MIc/edit?usp=sharing"",""นครปฐม!J801"")"),0)</f>
        <v>0</v>
      </c>
      <c r="S60" s="181">
        <f ca="1">IFERROR(__xludf.DUMMYFUNCTION("IMPORTRANGE(""https://docs.google.com/spreadsheets/d/1tpwhWwkqkBeiSWCcfB5f2fbwPRbM9hHOEDSDHpl2MIc/edit?usp=sharing"",""นครปฐม!J800"")"),0)</f>
        <v>0</v>
      </c>
      <c r="T60" s="428">
        <f ca="1">IFERROR(__xludf.DUMMYFUNCTION("IMPORTRANGE(""https://docs.google.com/spreadsheets/d/1tpwhWwkqkBeiSWCcfB5f2fbwPRbM9hHOEDSDHpl2MIc/edit?usp=sharing"",""นครปฐม!J803"")"),0)</f>
        <v>0</v>
      </c>
      <c r="U60" s="428">
        <f ca="1">IFERROR(__xludf.DUMMYFUNCTION("IMPORTRANGE(""https://docs.google.com/spreadsheets/d/1tpwhWwkqkBeiSWCcfB5f2fbwPRbM9hHOEDSDHpl2MIc/edit?usp=sharing"",""นครปฐม!J802"")"),0)</f>
        <v>0</v>
      </c>
    </row>
    <row r="61" spans="1:21" ht="21" customHeight="1" x14ac:dyDescent="0.3">
      <c r="A61" s="178">
        <v>9</v>
      </c>
      <c r="B61" s="179" t="s">
        <v>78</v>
      </c>
      <c r="C61" s="180">
        <f t="shared" ca="1" si="32"/>
        <v>0</v>
      </c>
      <c r="D61" s="181">
        <f ca="1">IFERROR(__xludf.DUMMYFUNCTION("IMPORTRANGE(""https://docs.google.com/spreadsheets/d/1fJJCVBkBnhriyv0Cp5ZFMr0I_yrfdEITNpb4zILJgUQ/edit?usp=sharing"",""ปทุมธานี!L791"")"),0)</f>
        <v>0</v>
      </c>
      <c r="E61" s="187">
        <f ca="1">IFERROR(__xludf.DUMMYFUNCTION("IMPORTRANGE(""https://docs.google.com/spreadsheets/d/1fJJCVBkBnhriyv0Cp5ZFMr0I_yrfdEITNpb4zILJgUQ/edit?usp=sharing"",""ปทุมธานี!L798"")"),0)</f>
        <v>0</v>
      </c>
      <c r="F61" s="182">
        <f t="shared" ca="1" si="1"/>
        <v>0</v>
      </c>
      <c r="G61" s="183">
        <f t="shared" ca="1" si="2"/>
        <v>0</v>
      </c>
      <c r="H61" s="184">
        <f t="shared" ca="1" si="33"/>
        <v>0</v>
      </c>
      <c r="I61" s="187">
        <f ca="1">IFERROR(__xludf.DUMMYFUNCTION("IMPORTRANGE(""https://docs.google.com/spreadsheets/d/1fJJCVBkBnhriyv0Cp5ZFMr0I_yrfdEITNpb4zILJgUQ/edit?usp=sharing"",""ปทุมธานี!N792"")"),0)</f>
        <v>0</v>
      </c>
      <c r="J61" s="187">
        <f ca="1">IFERROR(__xludf.DUMMYFUNCTION("IMPORTRANGE(""https://docs.google.com/spreadsheets/d/1fJJCVBkBnhriyv0Cp5ZFMr0I_yrfdEITNpb4zILJgUQ/edit?usp=sharing"",""ปทุมธานี!N793"")"),0)</f>
        <v>0</v>
      </c>
      <c r="K61" s="187">
        <f ca="1">IFERROR(__xludf.DUMMYFUNCTION("IMPORTRANGE(""https://docs.google.com/spreadsheets/d/1fJJCVBkBnhriyv0Cp5ZFMr0I_yrfdEITNpb4zILJgUQ/edit?usp=sharing"",""ปทุมธานี!N794"")"),0)</f>
        <v>0</v>
      </c>
      <c r="L61" s="187">
        <f ca="1">IFERROR(__xludf.DUMMYFUNCTION("IMPORTRANGE(""https://docs.google.com/spreadsheets/d/1fJJCVBkBnhriyv0Cp5ZFMr0I_yrfdEITNpb4zILJgUQ/edit?usp=sharing"",""ปทุมธานี!N795"")"),0)</f>
        <v>0</v>
      </c>
      <c r="M61" s="185">
        <f ca="1">IFERROR(__xludf.DUMMYFUNCTION("IMPORTRANGE(""https://docs.google.com/spreadsheets/d/1fJJCVBkBnhriyv0Cp5ZFMr0I_yrfdEITNpb4zILJgUQ/edit?usp=sharing"",""ปทุมธานี!N798"")"),0)</f>
        <v>0</v>
      </c>
      <c r="N61" s="185">
        <f t="shared" ca="1" si="15"/>
        <v>0</v>
      </c>
      <c r="O61" s="181">
        <f ca="1">IFERROR(__xludf.DUMMYFUNCTION("IMPORTRANGE(""https://docs.google.com/spreadsheets/d/1fJJCVBkBnhriyv0Cp5ZFMr0I_yrfdEITNpb4zILJgUQ/edit?usp=sharing"",""ปทุมธานี!I785"")"),0)</f>
        <v>0</v>
      </c>
      <c r="P61" s="181">
        <f t="shared" ca="1" si="34"/>
        <v>0</v>
      </c>
      <c r="Q61" s="186">
        <f t="shared" ca="1" si="12"/>
        <v>0</v>
      </c>
      <c r="R61" s="181">
        <f ca="1">IFERROR(__xludf.DUMMYFUNCTION("IMPORTRANGE(""https://docs.google.com/spreadsheets/d/1fJJCVBkBnhriyv0Cp5ZFMr0I_yrfdEITNpb4zILJgUQ/edit?usp=sharing"",""ปทุมธานี!J801"")"),0)</f>
        <v>0</v>
      </c>
      <c r="S61" s="181">
        <f ca="1">IFERROR(__xludf.DUMMYFUNCTION("IMPORTRANGE(""https://docs.google.com/spreadsheets/d/1fJJCVBkBnhriyv0Cp5ZFMr0I_yrfdEITNpb4zILJgUQ/edit?usp=sharing"",""ปทุมธานี!J800"")"),0)</f>
        <v>0</v>
      </c>
      <c r="T61" s="428">
        <f ca="1">IFERROR(__xludf.DUMMYFUNCTION("IMPORTRANGE(""https://docs.google.com/spreadsheets/d/1fJJCVBkBnhriyv0Cp5ZFMr0I_yrfdEITNpb4zILJgUQ/edit?usp=sharing"",""ปทุมธานี!J803"")"),0)</f>
        <v>0</v>
      </c>
      <c r="U61" s="428">
        <f ca="1">IFERROR(__xludf.DUMMYFUNCTION("IMPORTRANGE(""https://docs.google.com/spreadsheets/d/1fJJCVBkBnhriyv0Cp5ZFMr0I_yrfdEITNpb4zILJgUQ/edit?usp=sharing"",""ปทุมธานี!J802"")"),0)</f>
        <v>0</v>
      </c>
    </row>
    <row r="62" spans="1:21" ht="21" customHeight="1" x14ac:dyDescent="0.3">
      <c r="A62" s="178">
        <v>10</v>
      </c>
      <c r="B62" s="179" t="s">
        <v>79</v>
      </c>
      <c r="C62" s="180">
        <f t="shared" ca="1" si="32"/>
        <v>0</v>
      </c>
      <c r="D62" s="181">
        <f ca="1">IFERROR(__xludf.DUMMYFUNCTION("IMPORTRANGE(""https://docs.google.com/spreadsheets/d/1W5Jj_S0gYw6wSO7QcMI02YgyOBDKYgmm0NSUk-AQEac/edit?usp=sharing"",""ประจวบคีรีขันธ์!L791"")"),0)</f>
        <v>0</v>
      </c>
      <c r="E62" s="187">
        <f ca="1">IFERROR(__xludf.DUMMYFUNCTION("IMPORTRANGE(""https://docs.google.com/spreadsheets/d/1W5Jj_S0gYw6wSO7QcMI02YgyOBDKYgmm0NSUk-AQEac/edit?usp=sharing"",""ประจวบคีรีขันธ์!L798"")"),0)</f>
        <v>0</v>
      </c>
      <c r="F62" s="182">
        <f t="shared" ca="1" si="1"/>
        <v>0</v>
      </c>
      <c r="G62" s="183">
        <f t="shared" ca="1" si="2"/>
        <v>0</v>
      </c>
      <c r="H62" s="184">
        <f t="shared" ca="1" si="33"/>
        <v>0</v>
      </c>
      <c r="I62" s="187">
        <f ca="1">IFERROR(__xludf.DUMMYFUNCTION("IMPORTRANGE(""https://docs.google.com/spreadsheets/d/1W5Jj_S0gYw6wSO7QcMI02YgyOBDKYgmm0NSUk-AQEac/edit?usp=sharing"",""ประจวบคีรีขันธ์!N792"")"),0)</f>
        <v>0</v>
      </c>
      <c r="J62" s="187">
        <f ca="1">IFERROR(__xludf.DUMMYFUNCTION("IMPORTRANGE(""https://docs.google.com/spreadsheets/d/1W5Jj_S0gYw6wSO7QcMI02YgyOBDKYgmm0NSUk-AQEac/edit?usp=sharing"",""ประจวบคีรีขันธ์!N793"")"),0)</f>
        <v>0</v>
      </c>
      <c r="K62" s="187">
        <f ca="1">IFERROR(__xludf.DUMMYFUNCTION("IMPORTRANGE(""https://docs.google.com/spreadsheets/d/1W5Jj_S0gYw6wSO7QcMI02YgyOBDKYgmm0NSUk-AQEac/edit?usp=sharing"",""ประจวบคีรีขันธ์!N794"")"),0)</f>
        <v>0</v>
      </c>
      <c r="L62" s="187">
        <f ca="1">IFERROR(__xludf.DUMMYFUNCTION("IMPORTRANGE(""https://docs.google.com/spreadsheets/d/1W5Jj_S0gYw6wSO7QcMI02YgyOBDKYgmm0NSUk-AQEac/edit?usp=sharing"",""ประจวบคีรีขันธ์!N795"")"),0)</f>
        <v>0</v>
      </c>
      <c r="M62" s="185">
        <f ca="1">IFERROR(__xludf.DUMMYFUNCTION("IMPORTRANGE(""https://docs.google.com/spreadsheets/d/1W5Jj_S0gYw6wSO7QcMI02YgyOBDKYgmm0NSUk-AQEac/edit?usp=sharing"",""ประจวบคีรีขันธ์!N798"")"),0)</f>
        <v>0</v>
      </c>
      <c r="N62" s="185">
        <f t="shared" ca="1" si="15"/>
        <v>0</v>
      </c>
      <c r="O62" s="181">
        <f ca="1">IFERROR(__xludf.DUMMYFUNCTION("IMPORTRANGE(""https://docs.google.com/spreadsheets/d/1W5Jj_S0gYw6wSO7QcMI02YgyOBDKYgmm0NSUk-AQEac/edit?usp=sharing"",""ประจวบคีรีขันธ์!I785"")"),0)</f>
        <v>0</v>
      </c>
      <c r="P62" s="181">
        <f t="shared" ca="1" si="34"/>
        <v>0</v>
      </c>
      <c r="Q62" s="186">
        <f t="shared" ca="1" si="12"/>
        <v>0</v>
      </c>
      <c r="R62" s="181">
        <f ca="1">IFERROR(__xludf.DUMMYFUNCTION("IMPORTRANGE(""https://docs.google.com/spreadsheets/d/1W5Jj_S0gYw6wSO7QcMI02YgyOBDKYgmm0NSUk-AQEac/edit?usp=sharing"",""ประจวบคีรีขันธ์!J801"")"),0)</f>
        <v>0</v>
      </c>
      <c r="S62" s="181">
        <f ca="1">IFERROR(__xludf.DUMMYFUNCTION("IMPORTRANGE(""https://docs.google.com/spreadsheets/d/1W5Jj_S0gYw6wSO7QcMI02YgyOBDKYgmm0NSUk-AQEac/edit?usp=sharing"",""ประจวบคีรีขันธ์!J800"")"),0)</f>
        <v>0</v>
      </c>
      <c r="T62" s="428">
        <f ca="1">IFERROR(__xludf.DUMMYFUNCTION("IMPORTRANGE(""https://docs.google.com/spreadsheets/d/1W5Jj_S0gYw6wSO7QcMI02YgyOBDKYgmm0NSUk-AQEac/edit?usp=sharing"",""ประจวบคีรีขันธ์!J803"")"),0)</f>
        <v>0</v>
      </c>
      <c r="U62" s="428">
        <f ca="1">IFERROR(__xludf.DUMMYFUNCTION("IMPORTRANGE(""https://docs.google.com/spreadsheets/d/1W5Jj_S0gYw6wSO7QcMI02YgyOBDKYgmm0NSUk-AQEac/edit?usp=sharing"",""ประจวบคีรีขันธ์!J802"")"),0)</f>
        <v>0</v>
      </c>
    </row>
    <row r="63" spans="1:21" ht="21" customHeight="1" x14ac:dyDescent="0.3">
      <c r="A63" s="178">
        <v>11</v>
      </c>
      <c r="B63" s="179" t="s">
        <v>80</v>
      </c>
      <c r="C63" s="180">
        <f t="shared" ca="1" si="32"/>
        <v>0</v>
      </c>
      <c r="D63" s="181">
        <f ca="1">IFERROR(__xludf.DUMMYFUNCTION("IMPORTRANGE(""https://docs.google.com/spreadsheets/d/1nYxRXgnCfTXtqUY1otYuTlnrzE0Tn-Y0YRsW5pkRVqo/edit?usp=sharing"",""ปราจีนบุรี!L791"")"),0)</f>
        <v>0</v>
      </c>
      <c r="E63" s="187">
        <f ca="1">IFERROR(__xludf.DUMMYFUNCTION("IMPORTRANGE(""https://docs.google.com/spreadsheets/d/1nYxRXgnCfTXtqUY1otYuTlnrzE0Tn-Y0YRsW5pkRVqo/edit?usp=sharing"",""ปราจีนบุรี!L798"")"),0)</f>
        <v>0</v>
      </c>
      <c r="F63" s="182">
        <f t="shared" ca="1" si="1"/>
        <v>0</v>
      </c>
      <c r="G63" s="183">
        <f t="shared" ca="1" si="2"/>
        <v>0</v>
      </c>
      <c r="H63" s="184">
        <f t="shared" ca="1" si="33"/>
        <v>0</v>
      </c>
      <c r="I63" s="187">
        <f ca="1">IFERROR(__xludf.DUMMYFUNCTION("IMPORTRANGE(""https://docs.google.com/spreadsheets/d/1nYxRXgnCfTXtqUY1otYuTlnrzE0Tn-Y0YRsW5pkRVqo/edit?usp=sharing"",""ปราจีนบุรี!N792"")"),0)</f>
        <v>0</v>
      </c>
      <c r="J63" s="187">
        <f ca="1">IFERROR(__xludf.DUMMYFUNCTION("IMPORTRANGE(""https://docs.google.com/spreadsheets/d/1nYxRXgnCfTXtqUY1otYuTlnrzE0Tn-Y0YRsW5pkRVqo/edit?usp=sharing"",""ปราจีนบุรี!N793"")"),0)</f>
        <v>0</v>
      </c>
      <c r="K63" s="187">
        <f ca="1">IFERROR(__xludf.DUMMYFUNCTION("IMPORTRANGE(""https://docs.google.com/spreadsheets/d/1nYxRXgnCfTXtqUY1otYuTlnrzE0Tn-Y0YRsW5pkRVqo/edit?usp=sharing"",""ปราจีนบุรี!N794"")"),0)</f>
        <v>0</v>
      </c>
      <c r="L63" s="187">
        <f ca="1">IFERROR(__xludf.DUMMYFUNCTION("IMPORTRANGE(""https://docs.google.com/spreadsheets/d/1nYxRXgnCfTXtqUY1otYuTlnrzE0Tn-Y0YRsW5pkRVqo/edit?usp=sharing"",""ปราจีนบุรี!N795"")"),0)</f>
        <v>0</v>
      </c>
      <c r="M63" s="185">
        <f ca="1">IFERROR(__xludf.DUMMYFUNCTION("IMPORTRANGE(""https://docs.google.com/spreadsheets/d/1nYxRXgnCfTXtqUY1otYuTlnrzE0Tn-Y0YRsW5pkRVqo/edit?usp=sharing"",""ปราจีนบุรี!N798"")"),0)</f>
        <v>0</v>
      </c>
      <c r="N63" s="185">
        <f t="shared" ca="1" si="15"/>
        <v>0</v>
      </c>
      <c r="O63" s="181">
        <f ca="1">IFERROR(__xludf.DUMMYFUNCTION("IMPORTRANGE(""https://docs.google.com/spreadsheets/d/1nYxRXgnCfTXtqUY1otYuTlnrzE0Tn-Y0YRsW5pkRVqo/edit?usp=sharing"",""ปราจีนบุรี!I785"")"),0)</f>
        <v>0</v>
      </c>
      <c r="P63" s="181">
        <f t="shared" ca="1" si="34"/>
        <v>0</v>
      </c>
      <c r="Q63" s="186">
        <f t="shared" ca="1" si="12"/>
        <v>0</v>
      </c>
      <c r="R63" s="181">
        <f ca="1">IFERROR(__xludf.DUMMYFUNCTION("IMPORTRANGE(""https://docs.google.com/spreadsheets/d/1nYxRXgnCfTXtqUY1otYuTlnrzE0Tn-Y0YRsW5pkRVqo/edit?usp=sharing"",""ปราจีนบุรี!J801"")"),0)</f>
        <v>0</v>
      </c>
      <c r="S63" s="181">
        <f ca="1">IFERROR(__xludf.DUMMYFUNCTION("IMPORTRANGE(""https://docs.google.com/spreadsheets/d/1nYxRXgnCfTXtqUY1otYuTlnrzE0Tn-Y0YRsW5pkRVqo/edit?usp=sharing"",""ปราจีนบุรี!J800"")"),0)</f>
        <v>0</v>
      </c>
      <c r="T63" s="428">
        <f ca="1">IFERROR(__xludf.DUMMYFUNCTION("IMPORTRANGE(""https://docs.google.com/spreadsheets/d/1nYxRXgnCfTXtqUY1otYuTlnrzE0Tn-Y0YRsW5pkRVqo/edit?usp=sharing"",""ปราจีนบุรี!J803"")"),0)</f>
        <v>0</v>
      </c>
      <c r="U63" s="428">
        <f ca="1">IFERROR(__xludf.DUMMYFUNCTION("IMPORTRANGE(""https://docs.google.com/spreadsheets/d/1nYxRXgnCfTXtqUY1otYuTlnrzE0Tn-Y0YRsW5pkRVqo/edit?usp=sharing"",""ปราจีนบุรี!J802"")"),0)</f>
        <v>0</v>
      </c>
    </row>
    <row r="64" spans="1:21" ht="21" customHeight="1" x14ac:dyDescent="0.3">
      <c r="A64" s="178">
        <v>12</v>
      </c>
      <c r="B64" s="179" t="s">
        <v>81</v>
      </c>
      <c r="C64" s="180">
        <f t="shared" ca="1" si="32"/>
        <v>0</v>
      </c>
      <c r="D64" s="181">
        <f ca="1">IFERROR(__xludf.DUMMYFUNCTION("IMPORTRANGE(""https://docs.google.com/spreadsheets/d/1nNHCLO8ZAXOMfQvxux7cf_hrzPAh8FAvaHq_ClKbZNo/edit?usp=sharing"",""พระนครศรีอยุธยา!L791"")"),0)</f>
        <v>0</v>
      </c>
      <c r="E64" s="187">
        <f ca="1">IFERROR(__xludf.DUMMYFUNCTION("IMPORTRANGE(""https://docs.google.com/spreadsheets/d/1nNHCLO8ZAXOMfQvxux7cf_hrzPAh8FAvaHq_ClKbZNo/edit?usp=sharing"",""พระนครศรีอยุธยา!L798"")"),0)</f>
        <v>0</v>
      </c>
      <c r="F64" s="182">
        <f t="shared" ca="1" si="1"/>
        <v>0</v>
      </c>
      <c r="G64" s="183">
        <f t="shared" ca="1" si="2"/>
        <v>0</v>
      </c>
      <c r="H64" s="184">
        <f t="shared" ca="1" si="33"/>
        <v>0</v>
      </c>
      <c r="I64" s="187">
        <f ca="1">IFERROR(__xludf.DUMMYFUNCTION("IMPORTRANGE(""https://docs.google.com/spreadsheets/d/1nNHCLO8ZAXOMfQvxux7cf_hrzPAh8FAvaHq_ClKbZNo/edit?usp=sharing"",""พระนครศรีอยุธยา!N792"")"),0)</f>
        <v>0</v>
      </c>
      <c r="J64" s="187">
        <f ca="1">IFERROR(__xludf.DUMMYFUNCTION("IMPORTRANGE(""https://docs.google.com/spreadsheets/d/1nNHCLO8ZAXOMfQvxux7cf_hrzPAh8FAvaHq_ClKbZNo/edit?usp=sharing"",""พระนครศรีอยุธยา!N793"")"),0)</f>
        <v>0</v>
      </c>
      <c r="K64" s="187">
        <f ca="1">IFERROR(__xludf.DUMMYFUNCTION("IMPORTRANGE(""https://docs.google.com/spreadsheets/d/1nNHCLO8ZAXOMfQvxux7cf_hrzPAh8FAvaHq_ClKbZNo/edit?usp=sharing"",""พระนครศรีอยุธยา!N794"")"),0)</f>
        <v>0</v>
      </c>
      <c r="L64" s="187">
        <f ca="1">IFERROR(__xludf.DUMMYFUNCTION("IMPORTRANGE(""https://docs.google.com/spreadsheets/d/1nNHCLO8ZAXOMfQvxux7cf_hrzPAh8FAvaHq_ClKbZNo/edit?usp=sharing"",""พระนครศรีอยุธยา!N795"")"),0)</f>
        <v>0</v>
      </c>
      <c r="M64" s="185">
        <f ca="1">IFERROR(__xludf.DUMMYFUNCTION("IMPORTRANGE(""https://docs.google.com/spreadsheets/d/1nNHCLO8ZAXOMfQvxux7cf_hrzPAh8FAvaHq_ClKbZNo/edit?usp=sharing"",""พระนครศรีอยุธยา!N798"")"),0)</f>
        <v>0</v>
      </c>
      <c r="N64" s="185">
        <f t="shared" ca="1" si="15"/>
        <v>0</v>
      </c>
      <c r="O64" s="181">
        <f ca="1">IFERROR(__xludf.DUMMYFUNCTION("IMPORTRANGE(""https://docs.google.com/spreadsheets/d/1nNHCLO8ZAXOMfQvxux7cf_hrzPAh8FAvaHq_ClKbZNo/edit?usp=sharing"",""พระนครศรีอยุธยา!I785"")"),0)</f>
        <v>0</v>
      </c>
      <c r="P64" s="181">
        <f t="shared" ca="1" si="34"/>
        <v>0</v>
      </c>
      <c r="Q64" s="186">
        <f t="shared" ca="1" si="12"/>
        <v>0</v>
      </c>
      <c r="R64" s="181">
        <f ca="1">IFERROR(__xludf.DUMMYFUNCTION("IMPORTRANGE(""https://docs.google.com/spreadsheets/d/1nNHCLO8ZAXOMfQvxux7cf_hrzPAh8FAvaHq_ClKbZNo/edit?usp=sharing"",""พระนครศรีอยุธยา!J801"")"),0)</f>
        <v>0</v>
      </c>
      <c r="S64" s="181">
        <f ca="1">IFERROR(__xludf.DUMMYFUNCTION("IMPORTRANGE(""https://docs.google.com/spreadsheets/d/1nNHCLO8ZAXOMfQvxux7cf_hrzPAh8FAvaHq_ClKbZNo/edit?usp=sharing"",""พระนครศรีอยุธยา!J800"")"),0)</f>
        <v>0</v>
      </c>
      <c r="T64" s="428">
        <f ca="1">IFERROR(__xludf.DUMMYFUNCTION("IMPORTRANGE(""https://docs.google.com/spreadsheets/d/1nNHCLO8ZAXOMfQvxux7cf_hrzPAh8FAvaHq_ClKbZNo/edit?usp=sharing"",""พระนครศรีอยุธยา!J803"")"),0)</f>
        <v>0</v>
      </c>
      <c r="U64" s="428">
        <f ca="1">IFERROR(__xludf.DUMMYFUNCTION("IMPORTRANGE(""https://docs.google.com/spreadsheets/d/1nNHCLO8ZAXOMfQvxux7cf_hrzPAh8FAvaHq_ClKbZNo/edit?usp=sharing"",""พระนครศรีอยุธยา!J802"")"),0)</f>
        <v>0</v>
      </c>
    </row>
    <row r="65" spans="1:21" ht="21" customHeight="1" x14ac:dyDescent="0.3">
      <c r="A65" s="178">
        <v>13</v>
      </c>
      <c r="B65" s="179" t="s">
        <v>82</v>
      </c>
      <c r="C65" s="180">
        <f t="shared" ca="1" si="32"/>
        <v>0</v>
      </c>
      <c r="D65" s="181">
        <f ca="1">IFERROR(__xludf.DUMMYFUNCTION("IMPORTRANGE(""https://docs.google.com/spreadsheets/d/1CdNicvf3i6yt4tJlCePe3V1Va76wYqW0QzMzTsaGRrA/edit?usp=sharing"",""เพชรบุรี!L791"")"),0)</f>
        <v>0</v>
      </c>
      <c r="E65" s="187">
        <f ca="1">IFERROR(__xludf.DUMMYFUNCTION("IMPORTRANGE(""https://docs.google.com/spreadsheets/d/1CdNicvf3i6yt4tJlCePe3V1Va76wYqW0QzMzTsaGRrA/edit?usp=sharing"",""เพชรบุรี!L798"")"),0)</f>
        <v>0</v>
      </c>
      <c r="F65" s="182">
        <f t="shared" ca="1" si="1"/>
        <v>0</v>
      </c>
      <c r="G65" s="183">
        <f t="shared" ca="1" si="2"/>
        <v>0</v>
      </c>
      <c r="H65" s="184">
        <f t="shared" ca="1" si="33"/>
        <v>0</v>
      </c>
      <c r="I65" s="187">
        <f ca="1">IFERROR(__xludf.DUMMYFUNCTION("IMPORTRANGE(""https://docs.google.com/spreadsheets/d/1CdNicvf3i6yt4tJlCePe3V1Va76wYqW0QzMzTsaGRrA/edit?usp=sharing"",""เพชรบุรี!N792"")"),0)</f>
        <v>0</v>
      </c>
      <c r="J65" s="187">
        <f ca="1">IFERROR(__xludf.DUMMYFUNCTION("IMPORTRANGE(""https://docs.google.com/spreadsheets/d/1CdNicvf3i6yt4tJlCePe3V1Va76wYqW0QzMzTsaGRrA/edit?usp=sharing"",""เพชรบุรี!N793"")"),0)</f>
        <v>0</v>
      </c>
      <c r="K65" s="187">
        <f ca="1">IFERROR(__xludf.DUMMYFUNCTION("IMPORTRANGE(""https://docs.google.com/spreadsheets/d/1CdNicvf3i6yt4tJlCePe3V1Va76wYqW0QzMzTsaGRrA/edit?usp=sharing"",""เพชรบุรี!N794"")"),0)</f>
        <v>0</v>
      </c>
      <c r="L65" s="187">
        <f ca="1">IFERROR(__xludf.DUMMYFUNCTION("IMPORTRANGE(""https://docs.google.com/spreadsheets/d/1CdNicvf3i6yt4tJlCePe3V1Va76wYqW0QzMzTsaGRrA/edit?usp=sharing"",""เพชรบุรี!N795"")"),0)</f>
        <v>0</v>
      </c>
      <c r="M65" s="185">
        <f ca="1">IFERROR(__xludf.DUMMYFUNCTION("IMPORTRANGE(""https://docs.google.com/spreadsheets/d/1CdNicvf3i6yt4tJlCePe3V1Va76wYqW0QzMzTsaGRrA/edit?usp=sharing"",""เพชรบุรี!N798"")"),0)</f>
        <v>0</v>
      </c>
      <c r="N65" s="185">
        <f t="shared" ca="1" si="15"/>
        <v>0</v>
      </c>
      <c r="O65" s="181">
        <f ca="1">IFERROR(__xludf.DUMMYFUNCTION("IMPORTRANGE(""https://docs.google.com/spreadsheets/d/1CdNicvf3i6yt4tJlCePe3V1Va76wYqW0QzMzTsaGRrA/edit?usp=sharing"",""เพชรบุรี!I785"")"),0)</f>
        <v>0</v>
      </c>
      <c r="P65" s="181">
        <f t="shared" ca="1" si="34"/>
        <v>0</v>
      </c>
      <c r="Q65" s="186">
        <f t="shared" ca="1" si="12"/>
        <v>0</v>
      </c>
      <c r="R65" s="181">
        <f ca="1">IFERROR(__xludf.DUMMYFUNCTION("IMPORTRANGE(""https://docs.google.com/spreadsheets/d/1CdNicvf3i6yt4tJlCePe3V1Va76wYqW0QzMzTsaGRrA/edit?usp=sharing"",""เพชรบุรี!J801"")"),0)</f>
        <v>0</v>
      </c>
      <c r="S65" s="181">
        <f ca="1">IFERROR(__xludf.DUMMYFUNCTION("IMPORTRANGE(""https://docs.google.com/spreadsheets/d/1CdNicvf3i6yt4tJlCePe3V1Va76wYqW0QzMzTsaGRrA/edit?usp=sharing"",""เพชรบุรี!J800"")"),0)</f>
        <v>0</v>
      </c>
      <c r="T65" s="428">
        <f ca="1">IFERROR(__xludf.DUMMYFUNCTION("IMPORTRANGE(""https://docs.google.com/spreadsheets/d/1CdNicvf3i6yt4tJlCePe3V1Va76wYqW0QzMzTsaGRrA/edit?usp=sharing"",""เพชรบุรี!J803"")"),0)</f>
        <v>0</v>
      </c>
      <c r="U65" s="428">
        <f ca="1">IFERROR(__xludf.DUMMYFUNCTION("IMPORTRANGE(""https://docs.google.com/spreadsheets/d/1CdNicvf3i6yt4tJlCePe3V1Va76wYqW0QzMzTsaGRrA/edit?usp=sharing"",""เพชรบุรี!J802"")"),0)</f>
        <v>0</v>
      </c>
    </row>
    <row r="66" spans="1:21" ht="21" customHeight="1" x14ac:dyDescent="0.3">
      <c r="A66" s="178">
        <v>14</v>
      </c>
      <c r="B66" s="179" t="s">
        <v>83</v>
      </c>
      <c r="C66" s="180">
        <f t="shared" ca="1" si="32"/>
        <v>0</v>
      </c>
      <c r="D66" s="181">
        <f ca="1">IFERROR(__xludf.DUMMYFUNCTION("IMPORTRANGE(""https://docs.google.com/spreadsheets/d/1XiF77UIVHV0Kjc6xbXuOuJ10WgJYxd4p_22ngKVV5oM/edit?usp=sharing"",""ระยอง!L791"")"),0)</f>
        <v>0</v>
      </c>
      <c r="E66" s="187">
        <f ca="1">IFERROR(__xludf.DUMMYFUNCTION("IMPORTRANGE(""https://docs.google.com/spreadsheets/d/1XiF77UIVHV0Kjc6xbXuOuJ10WgJYxd4p_22ngKVV5oM/edit?usp=sharing"",""ระยอง!L798"")"),0)</f>
        <v>0</v>
      </c>
      <c r="F66" s="182">
        <f t="shared" ca="1" si="1"/>
        <v>0</v>
      </c>
      <c r="G66" s="183">
        <f t="shared" ca="1" si="2"/>
        <v>0</v>
      </c>
      <c r="H66" s="184">
        <f t="shared" ca="1" si="33"/>
        <v>0</v>
      </c>
      <c r="I66" s="187">
        <f ca="1">IFERROR(__xludf.DUMMYFUNCTION("IMPORTRANGE(""https://docs.google.com/spreadsheets/d/1XiF77UIVHV0Kjc6xbXuOuJ10WgJYxd4p_22ngKVV5oM/edit?usp=sharing"",""ระยอง!N792"")"),0)</f>
        <v>0</v>
      </c>
      <c r="J66" s="187">
        <f ca="1">IFERROR(__xludf.DUMMYFUNCTION("IMPORTRANGE(""https://docs.google.com/spreadsheets/d/1XiF77UIVHV0Kjc6xbXuOuJ10WgJYxd4p_22ngKVV5oM/edit?usp=sharing"",""ระยอง!N793"")"),0)</f>
        <v>0</v>
      </c>
      <c r="K66" s="187">
        <f ca="1">IFERROR(__xludf.DUMMYFUNCTION("IMPORTRANGE(""https://docs.google.com/spreadsheets/d/1XiF77UIVHV0Kjc6xbXuOuJ10WgJYxd4p_22ngKVV5oM/edit?usp=sharing"",""ระยอง!N794"")"),0)</f>
        <v>0</v>
      </c>
      <c r="L66" s="187">
        <f ca="1">IFERROR(__xludf.DUMMYFUNCTION("IMPORTRANGE(""https://docs.google.com/spreadsheets/d/1XiF77UIVHV0Kjc6xbXuOuJ10WgJYxd4p_22ngKVV5oM/edit?usp=sharing"",""ระยอง!N795"")"),0)</f>
        <v>0</v>
      </c>
      <c r="M66" s="185">
        <f ca="1">IFERROR(__xludf.DUMMYFUNCTION("IMPORTRANGE(""https://docs.google.com/spreadsheets/d/1XiF77UIVHV0Kjc6xbXuOuJ10WgJYxd4p_22ngKVV5oM/edit?usp=sharing"",""ระยอง!N798"")"),0)</f>
        <v>0</v>
      </c>
      <c r="N66" s="185">
        <f t="shared" ca="1" si="15"/>
        <v>0</v>
      </c>
      <c r="O66" s="181">
        <f ca="1">IFERROR(__xludf.DUMMYFUNCTION("IMPORTRANGE(""https://docs.google.com/spreadsheets/d/1XiF77UIVHV0Kjc6xbXuOuJ10WgJYxd4p_22ngKVV5oM/edit?usp=sharing"",""ระยอง!I785"")"),0)</f>
        <v>0</v>
      </c>
      <c r="P66" s="181">
        <f t="shared" ca="1" si="34"/>
        <v>0</v>
      </c>
      <c r="Q66" s="186">
        <f t="shared" ca="1" si="12"/>
        <v>0</v>
      </c>
      <c r="R66" s="181">
        <f ca="1">IFERROR(__xludf.DUMMYFUNCTION("IMPORTRANGE(""https://docs.google.com/spreadsheets/d/1XiF77UIVHV0Kjc6xbXuOuJ10WgJYxd4p_22ngKVV5oM/edit?usp=sharing"",""ระยอง!J801"")"),0)</f>
        <v>0</v>
      </c>
      <c r="S66" s="181">
        <f ca="1">IFERROR(__xludf.DUMMYFUNCTION("IMPORTRANGE(""https://docs.google.com/spreadsheets/d/1XiF77UIVHV0Kjc6xbXuOuJ10WgJYxd4p_22ngKVV5oM/edit?usp=sharing"",""ระยอง!J800"")"),0)</f>
        <v>0</v>
      </c>
      <c r="T66" s="428">
        <f ca="1">IFERROR(__xludf.DUMMYFUNCTION("IMPORTRANGE(""https://docs.google.com/spreadsheets/d/1XiF77UIVHV0Kjc6xbXuOuJ10WgJYxd4p_22ngKVV5oM/edit?usp=sharing"",""ระยอง!J803"")"),0)</f>
        <v>0</v>
      </c>
      <c r="U66" s="428">
        <f ca="1">IFERROR(__xludf.DUMMYFUNCTION("IMPORTRANGE(""https://docs.google.com/spreadsheets/d/1XiF77UIVHV0Kjc6xbXuOuJ10WgJYxd4p_22ngKVV5oM/edit?usp=sharing"",""ระยอง!J802"")"),0)</f>
        <v>0</v>
      </c>
    </row>
    <row r="67" spans="1:21" ht="21" customHeight="1" x14ac:dyDescent="0.3">
      <c r="A67" s="178">
        <v>15</v>
      </c>
      <c r="B67" s="179" t="s">
        <v>84</v>
      </c>
      <c r="C67" s="180">
        <f t="shared" ca="1" si="32"/>
        <v>0</v>
      </c>
      <c r="D67" s="181">
        <f ca="1">IFERROR(__xludf.DUMMYFUNCTION("IMPORTRANGE(""https://docs.google.com/spreadsheets/d/1qU-W_9MCQD1pgIVXGEOjCFo9QqlmJywuebyGgaN92r8/edit?usp=sharing"",""ราชบุรี!L791"")"),0)</f>
        <v>0</v>
      </c>
      <c r="E67" s="187">
        <f ca="1">IFERROR(__xludf.DUMMYFUNCTION("IMPORTRANGE(""https://docs.google.com/spreadsheets/d/1qU-W_9MCQD1pgIVXGEOjCFo9QqlmJywuebyGgaN92r8/edit?usp=sharing"",""ราชบุรี!L798"")"),0)</f>
        <v>0</v>
      </c>
      <c r="F67" s="182">
        <f t="shared" ca="1" si="1"/>
        <v>0</v>
      </c>
      <c r="G67" s="183">
        <f t="shared" ca="1" si="2"/>
        <v>0</v>
      </c>
      <c r="H67" s="184">
        <f t="shared" ca="1" si="33"/>
        <v>0</v>
      </c>
      <c r="I67" s="187">
        <f ca="1">IFERROR(__xludf.DUMMYFUNCTION("IMPORTRANGE(""https://docs.google.com/spreadsheets/d/1qU-W_9MCQD1pgIVXGEOjCFo9QqlmJywuebyGgaN92r8/edit?usp=sharing"",""ราชบุรี!N792"")"),0)</f>
        <v>0</v>
      </c>
      <c r="J67" s="187">
        <f ca="1">IFERROR(__xludf.DUMMYFUNCTION("IMPORTRANGE(""https://docs.google.com/spreadsheets/d/1qU-W_9MCQD1pgIVXGEOjCFo9QqlmJywuebyGgaN92r8/edit?usp=sharing"",""ราชบุรี!N793"")"),0)</f>
        <v>0</v>
      </c>
      <c r="K67" s="187">
        <f ca="1">IFERROR(__xludf.DUMMYFUNCTION("IMPORTRANGE(""https://docs.google.com/spreadsheets/d/1qU-W_9MCQD1pgIVXGEOjCFo9QqlmJywuebyGgaN92r8/edit?usp=sharing"",""ราชบุรี!N794"")"),0)</f>
        <v>0</v>
      </c>
      <c r="L67" s="187">
        <f ca="1">IFERROR(__xludf.DUMMYFUNCTION("IMPORTRANGE(""https://docs.google.com/spreadsheets/d/1qU-W_9MCQD1pgIVXGEOjCFo9QqlmJywuebyGgaN92r8/edit?usp=sharing"",""ราชบุรี!N795"")"),0)</f>
        <v>0</v>
      </c>
      <c r="M67" s="185">
        <f ca="1">IFERROR(__xludf.DUMMYFUNCTION("IMPORTRANGE(""https://docs.google.com/spreadsheets/d/1qU-W_9MCQD1pgIVXGEOjCFo9QqlmJywuebyGgaN92r8/edit?usp=sharing"",""ราชบุรี!N798"")"),0)</f>
        <v>0</v>
      </c>
      <c r="N67" s="185">
        <f t="shared" ca="1" si="15"/>
        <v>0</v>
      </c>
      <c r="O67" s="181">
        <f ca="1">IFERROR(__xludf.DUMMYFUNCTION("IMPORTRANGE(""https://docs.google.com/spreadsheets/d/1qU-W_9MCQD1pgIVXGEOjCFo9QqlmJywuebyGgaN92r8/edit?usp=sharing"",""ราชบุรี!I785"")"),0)</f>
        <v>0</v>
      </c>
      <c r="P67" s="181">
        <f t="shared" ca="1" si="34"/>
        <v>0</v>
      </c>
      <c r="Q67" s="186">
        <f t="shared" ca="1" si="12"/>
        <v>0</v>
      </c>
      <c r="R67" s="181">
        <f ca="1">IFERROR(__xludf.DUMMYFUNCTION("IMPORTRANGE(""https://docs.google.com/spreadsheets/d/1qU-W_9MCQD1pgIVXGEOjCFo9QqlmJywuebyGgaN92r8/edit?usp=sharing"",""ราชบุรี!J801"")"),0)</f>
        <v>0</v>
      </c>
      <c r="S67" s="181">
        <f ca="1">IFERROR(__xludf.DUMMYFUNCTION("IMPORTRANGE(""https://docs.google.com/spreadsheets/d/1qU-W_9MCQD1pgIVXGEOjCFo9QqlmJywuebyGgaN92r8/edit?usp=sharing"",""ราชบุรี!J800"")"),0)</f>
        <v>0</v>
      </c>
      <c r="T67" s="428">
        <f ca="1">IFERROR(__xludf.DUMMYFUNCTION("IMPORTRANGE(""https://docs.google.com/spreadsheets/d/1qU-W_9MCQD1pgIVXGEOjCFo9QqlmJywuebyGgaN92r8/edit?usp=sharing"",""ราชบุรี!J803"")"),0)</f>
        <v>0</v>
      </c>
      <c r="U67" s="428">
        <f ca="1">IFERROR(__xludf.DUMMYFUNCTION("IMPORTRANGE(""https://docs.google.com/spreadsheets/d/1qU-W_9MCQD1pgIVXGEOjCFo9QqlmJywuebyGgaN92r8/edit?usp=sharing"",""ราชบุรี!J802"")"),0)</f>
        <v>0</v>
      </c>
    </row>
    <row r="68" spans="1:21" ht="24" customHeight="1" x14ac:dyDescent="0.3">
      <c r="A68" s="178">
        <v>16</v>
      </c>
      <c r="B68" s="179" t="s">
        <v>85</v>
      </c>
      <c r="C68" s="180">
        <f t="shared" ca="1" si="32"/>
        <v>0</v>
      </c>
      <c r="D68" s="181">
        <f ca="1">IFERROR(__xludf.DUMMYFUNCTION("IMPORTRANGE(""https://docs.google.com/spreadsheets/d/1xYFIxIM_CspAP5Q-5Zx_V0T_Ut3cjryrjd2hss28vGk/edit?usp=sharing"",""ลพบุรี!L791"")"),0)</f>
        <v>0</v>
      </c>
      <c r="E68" s="187">
        <f ca="1">IFERROR(__xludf.DUMMYFUNCTION("IMPORTRANGE(""https://docs.google.com/spreadsheets/d/1xYFIxIM_CspAP5Q-5Zx_V0T_Ut3cjryrjd2hss28vGk/edit?usp=sharing"",""ลพบุรี!L798"")"),0)</f>
        <v>0</v>
      </c>
      <c r="F68" s="182">
        <f t="shared" ca="1" si="1"/>
        <v>0</v>
      </c>
      <c r="G68" s="183">
        <f t="shared" ca="1" si="2"/>
        <v>0</v>
      </c>
      <c r="H68" s="184">
        <f t="shared" ca="1" si="33"/>
        <v>0</v>
      </c>
      <c r="I68" s="187">
        <f ca="1">IFERROR(__xludf.DUMMYFUNCTION("IMPORTRANGE(""https://docs.google.com/spreadsheets/d/1xYFIxIM_CspAP5Q-5Zx_V0T_Ut3cjryrjd2hss28vGk/edit?usp=sharing"",""ลพบุรี!N792"")"),0)</f>
        <v>0</v>
      </c>
      <c r="J68" s="187">
        <f ca="1">IFERROR(__xludf.DUMMYFUNCTION("IMPORTRANGE(""https://docs.google.com/spreadsheets/d/1xYFIxIM_CspAP5Q-5Zx_V0T_Ut3cjryrjd2hss28vGk/edit?usp=sharing"",""ลพบุรี!N793"")"),0)</f>
        <v>0</v>
      </c>
      <c r="K68" s="187">
        <f ca="1">IFERROR(__xludf.DUMMYFUNCTION("IMPORTRANGE(""https://docs.google.com/spreadsheets/d/1xYFIxIM_CspAP5Q-5Zx_V0T_Ut3cjryrjd2hss28vGk/edit?usp=sharing"",""ลพบุรี!N794"")"),0)</f>
        <v>0</v>
      </c>
      <c r="L68" s="187">
        <f ca="1">IFERROR(__xludf.DUMMYFUNCTION("IMPORTRANGE(""https://docs.google.com/spreadsheets/d/1xYFIxIM_CspAP5Q-5Zx_V0T_Ut3cjryrjd2hss28vGk/edit?usp=sharing"",""ลพบุรี!N795"")"),0)</f>
        <v>0</v>
      </c>
      <c r="M68" s="185">
        <f ca="1">IFERROR(__xludf.DUMMYFUNCTION("IMPORTRANGE(""https://docs.google.com/spreadsheets/d/1xYFIxIM_CspAP5Q-5Zx_V0T_Ut3cjryrjd2hss28vGk/edit?usp=sharing"",""ลพบุรี!N798"")"),0)</f>
        <v>0</v>
      </c>
      <c r="N68" s="185">
        <f t="shared" ca="1" si="15"/>
        <v>0</v>
      </c>
      <c r="O68" s="181">
        <f ca="1">IFERROR(__xludf.DUMMYFUNCTION("IMPORTRANGE(""https://docs.google.com/spreadsheets/d/1xYFIxIM_CspAP5Q-5Zx_V0T_Ut3cjryrjd2hss28vGk/edit?usp=sharing"",""ลพบุรี!I785"")"),0)</f>
        <v>0</v>
      </c>
      <c r="P68" s="181">
        <f t="shared" ca="1" si="34"/>
        <v>0</v>
      </c>
      <c r="Q68" s="186">
        <f t="shared" ca="1" si="12"/>
        <v>0</v>
      </c>
      <c r="R68" s="181">
        <f ca="1">IFERROR(__xludf.DUMMYFUNCTION("IMPORTRANGE(""https://docs.google.com/spreadsheets/d/1xYFIxIM_CspAP5Q-5Zx_V0T_Ut3cjryrjd2hss28vGk/edit?usp=sharing"",""ลพบุรี!J801"")"),0)</f>
        <v>0</v>
      </c>
      <c r="S68" s="181">
        <f ca="1">IFERROR(__xludf.DUMMYFUNCTION("IMPORTRANGE(""https://docs.google.com/spreadsheets/d/1xYFIxIM_CspAP5Q-5Zx_V0T_Ut3cjryrjd2hss28vGk/edit?usp=sharing"",""ลพบุรี!J800"")"),0)</f>
        <v>0</v>
      </c>
      <c r="T68" s="428">
        <f ca="1">IFERROR(__xludf.DUMMYFUNCTION("IMPORTRANGE(""https://docs.google.com/spreadsheets/d/1xYFIxIM_CspAP5Q-5Zx_V0T_Ut3cjryrjd2hss28vGk/edit?usp=sharing"",""ลพบุรี!J803"")"),0)</f>
        <v>0</v>
      </c>
      <c r="U68" s="428">
        <f ca="1">IFERROR(__xludf.DUMMYFUNCTION("IMPORTRANGE(""https://docs.google.com/spreadsheets/d/1xYFIxIM_CspAP5Q-5Zx_V0T_Ut3cjryrjd2hss28vGk/edit?usp=sharing"",""ลพบุรี!J802"")"),0)</f>
        <v>0</v>
      </c>
    </row>
    <row r="69" spans="1:21" ht="21" customHeight="1" x14ac:dyDescent="0.3">
      <c r="A69" s="178">
        <v>17</v>
      </c>
      <c r="B69" s="179" t="s">
        <v>86</v>
      </c>
      <c r="C69" s="180">
        <f t="shared" ca="1" si="32"/>
        <v>335200</v>
      </c>
      <c r="D69" s="181">
        <f ca="1">IFERROR(__xludf.DUMMYFUNCTION("IMPORTRANGE(""https://docs.google.com/spreadsheets/d/11s9m3tKsCBdPWq6syhZm27eBGbKneDLZc75co106bio/edit?usp=sharing"",""สระแก้ว!L791"")"),335200)</f>
        <v>335200</v>
      </c>
      <c r="E69" s="187">
        <f ca="1">IFERROR(__xludf.DUMMYFUNCTION("IMPORTRANGE(""https://docs.google.com/spreadsheets/d/11s9m3tKsCBdPWq6syhZm27eBGbKneDLZc75co106bio/edit?usp=sharing"",""สระแก้ว!L798"")"),0)</f>
        <v>0</v>
      </c>
      <c r="F69" s="182">
        <f t="shared" ca="1" si="1"/>
        <v>52000</v>
      </c>
      <c r="G69" s="183">
        <f t="shared" ca="1" si="2"/>
        <v>15.513126491646778</v>
      </c>
      <c r="H69" s="184">
        <f t="shared" ca="1" si="33"/>
        <v>52000</v>
      </c>
      <c r="I69" s="187">
        <f ca="1">IFERROR(__xludf.DUMMYFUNCTION("IMPORTRANGE(""https://docs.google.com/spreadsheets/d/11s9m3tKsCBdPWq6syhZm27eBGbKneDLZc75co106bio/edit?usp=sharing"",""สระแก้ว!N792"")"),0)</f>
        <v>0</v>
      </c>
      <c r="J69" s="187">
        <f ca="1">IFERROR(__xludf.DUMMYFUNCTION("IMPORTRANGE(""https://docs.google.com/spreadsheets/d/11s9m3tKsCBdPWq6syhZm27eBGbKneDLZc75co106bio/edit?usp=sharing"",""สระแก้ว!N793"")"),0)</f>
        <v>0</v>
      </c>
      <c r="K69" s="187">
        <f ca="1">IFERROR(__xludf.DUMMYFUNCTION("IMPORTRANGE(""https://docs.google.com/spreadsheets/d/11s9m3tKsCBdPWq6syhZm27eBGbKneDLZc75co106bio/edit?usp=sharing"",""สระแก้ว!N794"")"),52000)</f>
        <v>52000</v>
      </c>
      <c r="L69" s="187">
        <f ca="1">IFERROR(__xludf.DUMMYFUNCTION("IMPORTRANGE(""https://docs.google.com/spreadsheets/d/11s9m3tKsCBdPWq6syhZm27eBGbKneDLZc75co106bio/edit?usp=sharing"",""สระแก้ว!N795"")"),0)</f>
        <v>0</v>
      </c>
      <c r="M69" s="185">
        <f ca="1">IFERROR(__xludf.DUMMYFUNCTION("IMPORTRANGE(""https://docs.google.com/spreadsheets/d/11s9m3tKsCBdPWq6syhZm27eBGbKneDLZc75co106bio/edit?usp=sharing"",""สระแก้ว!N798"")"),0)</f>
        <v>0</v>
      </c>
      <c r="N69" s="185">
        <f t="shared" ca="1" si="15"/>
        <v>0</v>
      </c>
      <c r="O69" s="181">
        <f ca="1">IFERROR(__xludf.DUMMYFUNCTION("IMPORTRANGE(""https://docs.google.com/spreadsheets/d/11s9m3tKsCBdPWq6syhZm27eBGbKneDLZc75co106bio/edit?usp=sharing"",""สระแก้ว!I785"")"),5000)</f>
        <v>5000</v>
      </c>
      <c r="P69" s="181">
        <f t="shared" ca="1" si="34"/>
        <v>11</v>
      </c>
      <c r="Q69" s="186">
        <f t="shared" ca="1" si="12"/>
        <v>0.22</v>
      </c>
      <c r="R69" s="181">
        <f ca="1">IFERROR(__xludf.DUMMYFUNCTION("IMPORTRANGE(""https://docs.google.com/spreadsheets/d/11s9m3tKsCBdPWq6syhZm27eBGbKneDLZc75co106bio/edit?usp=sharing"",""สระแก้ว!J801"")"),11)</f>
        <v>11</v>
      </c>
      <c r="S69" s="181">
        <f ca="1">IFERROR(__xludf.DUMMYFUNCTION("IMPORTRANGE(""https://docs.google.com/spreadsheets/d/11s9m3tKsCBdPWq6syhZm27eBGbKneDLZc75co106bio/edit?usp=sharing"",""สระแก้ว!J800"")"),1)</f>
        <v>1</v>
      </c>
      <c r="T69" s="429">
        <f ca="1">IFERROR(__xludf.DUMMYFUNCTION("IMPORTRANGE(""https://docs.google.com/spreadsheets/d/11s9m3tKsCBdPWq6syhZm27eBGbKneDLZc75co106bio/edit?usp=sharing"",""สระแก้ว!J803"")"),0)</f>
        <v>0</v>
      </c>
      <c r="U69" s="429">
        <f ca="1">IFERROR(__xludf.DUMMYFUNCTION("IMPORTRANGE(""https://docs.google.com/spreadsheets/d/11s9m3tKsCBdPWq6syhZm27eBGbKneDLZc75co106bio/edit?usp=sharing"",""สระแก้ว!J802"")"),0)</f>
        <v>0</v>
      </c>
    </row>
    <row r="70" spans="1:21" ht="21" customHeight="1" x14ac:dyDescent="0.3">
      <c r="A70" s="178">
        <v>18</v>
      </c>
      <c r="B70" s="179" t="s">
        <v>87</v>
      </c>
      <c r="C70" s="180">
        <f t="shared" ca="1" si="32"/>
        <v>0</v>
      </c>
      <c r="D70" s="181">
        <f ca="1">IFERROR(__xludf.DUMMYFUNCTION("IMPORTRANGE(""https://docs.google.com/spreadsheets/d/1Nn1EvsFPtXldgpgVb3Rcng2K2cls68LFQsBh2FyW0Bg/edit?usp=sharing"",""สระบุรี!L791"")"),0)</f>
        <v>0</v>
      </c>
      <c r="E70" s="187">
        <f ca="1">IFERROR(__xludf.DUMMYFUNCTION("IMPORTRANGE(""https://docs.google.com/spreadsheets/d/1Nn1EvsFPtXldgpgVb3Rcng2K2cls68LFQsBh2FyW0Bg/edit?usp=sharing"",""สระบุรี!L798"")"),0)</f>
        <v>0</v>
      </c>
      <c r="F70" s="182">
        <f t="shared" ca="1" si="1"/>
        <v>0</v>
      </c>
      <c r="G70" s="183">
        <f t="shared" ca="1" si="2"/>
        <v>0</v>
      </c>
      <c r="H70" s="184">
        <f t="shared" ca="1" si="33"/>
        <v>0</v>
      </c>
      <c r="I70" s="187">
        <f ca="1">IFERROR(__xludf.DUMMYFUNCTION("IMPORTRANGE(""https://docs.google.com/spreadsheets/d/1Nn1EvsFPtXldgpgVb3Rcng2K2cls68LFQsBh2FyW0Bg/edit?usp=sharing"",""สระบุรี!N792"")"),0)</f>
        <v>0</v>
      </c>
      <c r="J70" s="187">
        <f ca="1">IFERROR(__xludf.DUMMYFUNCTION("IMPORTRANGE(""https://docs.google.com/spreadsheets/d/1Nn1EvsFPtXldgpgVb3Rcng2K2cls68LFQsBh2FyW0Bg/edit?usp=sharing"",""สระบุรี!N793"")"),0)</f>
        <v>0</v>
      </c>
      <c r="K70" s="187">
        <f ca="1">IFERROR(__xludf.DUMMYFUNCTION("IMPORTRANGE(""https://docs.google.com/spreadsheets/d/1Nn1EvsFPtXldgpgVb3Rcng2K2cls68LFQsBh2FyW0Bg/edit?usp=sharing"",""สระบุรี!N794"")"),0)</f>
        <v>0</v>
      </c>
      <c r="L70" s="187">
        <f ca="1">IFERROR(__xludf.DUMMYFUNCTION("IMPORTRANGE(""https://docs.google.com/spreadsheets/d/1Nn1EvsFPtXldgpgVb3Rcng2K2cls68LFQsBh2FyW0Bg/edit?usp=sharing"",""สระบุรี!N795"")"),0)</f>
        <v>0</v>
      </c>
      <c r="M70" s="185">
        <f ca="1">IFERROR(__xludf.DUMMYFUNCTION("IMPORTRANGE(""https://docs.google.com/spreadsheets/d/1Nn1EvsFPtXldgpgVb3Rcng2K2cls68LFQsBh2FyW0Bg/edit?usp=sharing"",""สระบุรี!N798"")"),0)</f>
        <v>0</v>
      </c>
      <c r="N70" s="185">
        <f t="shared" ca="1" si="15"/>
        <v>0</v>
      </c>
      <c r="O70" s="181">
        <f ca="1">IFERROR(__xludf.DUMMYFUNCTION("IMPORTRANGE(""https://docs.google.com/spreadsheets/d/1Nn1EvsFPtXldgpgVb3Rcng2K2cls68LFQsBh2FyW0Bg/edit?usp=sharing"",""สระบุรี!I785"")"),0)</f>
        <v>0</v>
      </c>
      <c r="P70" s="181">
        <f t="shared" ca="1" si="34"/>
        <v>0</v>
      </c>
      <c r="Q70" s="186">
        <f t="shared" ca="1" si="12"/>
        <v>0</v>
      </c>
      <c r="R70" s="181">
        <f ca="1">IFERROR(__xludf.DUMMYFUNCTION("IMPORTRANGE(""https://docs.google.com/spreadsheets/d/1Nn1EvsFPtXldgpgVb3Rcng2K2cls68LFQsBh2FyW0Bg/edit?usp=sharing"",""สระบุรี!J801"")"),0)</f>
        <v>0</v>
      </c>
      <c r="S70" s="181">
        <f ca="1">IFERROR(__xludf.DUMMYFUNCTION("IMPORTRANGE(""https://docs.google.com/spreadsheets/d/1Nn1EvsFPtXldgpgVb3Rcng2K2cls68LFQsBh2FyW0Bg/edit?usp=sharing"",""สระบุรี!J800"")"),0)</f>
        <v>0</v>
      </c>
      <c r="T70" s="428">
        <f ca="1">IFERROR(__xludf.DUMMYFUNCTION("IMPORTRANGE(""https://docs.google.com/spreadsheets/d/1Nn1EvsFPtXldgpgVb3Rcng2K2cls68LFQsBh2FyW0Bg/edit?usp=sharing"",""สระบุรี!J803"")"),0)</f>
        <v>0</v>
      </c>
      <c r="U70" s="428">
        <f ca="1">IFERROR(__xludf.DUMMYFUNCTION("IMPORTRANGE(""https://docs.google.com/spreadsheets/d/1Nn1EvsFPtXldgpgVb3Rcng2K2cls68LFQsBh2FyW0Bg/edit?usp=sharing"",""สระบุรี!J802"")"),0)</f>
        <v>0</v>
      </c>
    </row>
    <row r="71" spans="1:21" ht="21" customHeight="1" x14ac:dyDescent="0.3">
      <c r="A71" s="178">
        <v>19</v>
      </c>
      <c r="B71" s="179" t="s">
        <v>88</v>
      </c>
      <c r="C71" s="180">
        <f t="shared" ca="1" si="32"/>
        <v>0</v>
      </c>
      <c r="D71" s="181">
        <f ca="1">IFERROR(__xludf.DUMMYFUNCTION("IMPORTRANGE(""https://docs.google.com/spreadsheets/d/149xufxukrnEciK3WPbNpHwUK8BKEJxp3UcBG3Al6dA4/edit?usp=sharing"",""สิงห์บุรี!L791"")"),0)</f>
        <v>0</v>
      </c>
      <c r="E71" s="187">
        <f ca="1">IFERROR(__xludf.DUMMYFUNCTION("IMPORTRANGE(""https://docs.google.com/spreadsheets/d/149xufxukrnEciK3WPbNpHwUK8BKEJxp3UcBG3Al6dA4/edit?usp=sharing"",""สิงห์บุรี!L798"")"),0)</f>
        <v>0</v>
      </c>
      <c r="F71" s="182">
        <f t="shared" ca="1" si="1"/>
        <v>0</v>
      </c>
      <c r="G71" s="183">
        <f t="shared" ca="1" si="2"/>
        <v>0</v>
      </c>
      <c r="H71" s="184">
        <f t="shared" ca="1" si="33"/>
        <v>0</v>
      </c>
      <c r="I71" s="187">
        <f ca="1">IFERROR(__xludf.DUMMYFUNCTION("IMPORTRANGE(""https://docs.google.com/spreadsheets/d/149xufxukrnEciK3WPbNpHwUK8BKEJxp3UcBG3Al6dA4/edit?usp=sharing"",""สิงห์บุรี!N792"")"),0)</f>
        <v>0</v>
      </c>
      <c r="J71" s="187">
        <f ca="1">IFERROR(__xludf.DUMMYFUNCTION("IMPORTRANGE(""https://docs.google.com/spreadsheets/d/149xufxukrnEciK3WPbNpHwUK8BKEJxp3UcBG3Al6dA4/edit?usp=sharing"",""สิงห์บุรี!N793"")"),0)</f>
        <v>0</v>
      </c>
      <c r="K71" s="187">
        <f ca="1">IFERROR(__xludf.DUMMYFUNCTION("IMPORTRANGE(""https://docs.google.com/spreadsheets/d/149xufxukrnEciK3WPbNpHwUK8BKEJxp3UcBG3Al6dA4/edit?usp=sharing"",""สิงห์บุรี!N794"")"),0)</f>
        <v>0</v>
      </c>
      <c r="L71" s="187">
        <f ca="1">IFERROR(__xludf.DUMMYFUNCTION("IMPORTRANGE(""https://docs.google.com/spreadsheets/d/149xufxukrnEciK3WPbNpHwUK8BKEJxp3UcBG3Al6dA4/edit?usp=sharing"",""สิงห์บุรี!N795"")"),0)</f>
        <v>0</v>
      </c>
      <c r="M71" s="185">
        <f ca="1">IFERROR(__xludf.DUMMYFUNCTION("IMPORTRANGE(""https://docs.google.com/spreadsheets/d/149xufxukrnEciK3WPbNpHwUK8BKEJxp3UcBG3Al6dA4/edit?usp=sharing"",""สิงห์บุรี!N798"")"),0)</f>
        <v>0</v>
      </c>
      <c r="N71" s="185">
        <f t="shared" ca="1" si="15"/>
        <v>0</v>
      </c>
      <c r="O71" s="181">
        <f ca="1">IFERROR(__xludf.DUMMYFUNCTION("IMPORTRANGE(""https://docs.google.com/spreadsheets/d/149xufxukrnEciK3WPbNpHwUK8BKEJxp3UcBG3Al6dA4/edit?usp=sharing"",""สิงห์บุรี!I785"")"),0)</f>
        <v>0</v>
      </c>
      <c r="P71" s="181">
        <f t="shared" ca="1" si="34"/>
        <v>0</v>
      </c>
      <c r="Q71" s="186">
        <f t="shared" ca="1" si="12"/>
        <v>0</v>
      </c>
      <c r="R71" s="181">
        <f ca="1">IFERROR(__xludf.DUMMYFUNCTION("IMPORTRANGE(""https://docs.google.com/spreadsheets/d/149xufxukrnEciK3WPbNpHwUK8BKEJxp3UcBG3Al6dA4/edit?usp=sharing"",""สิงห์บุรี!J801"")"),0)</f>
        <v>0</v>
      </c>
      <c r="S71" s="181">
        <f ca="1">IFERROR(__xludf.DUMMYFUNCTION("IMPORTRANGE(""https://docs.google.com/spreadsheets/d/149xufxukrnEciK3WPbNpHwUK8BKEJxp3UcBG3Al6dA4/edit?usp=sharing"",""สิงห์บุรี!J800"")"),0)</f>
        <v>0</v>
      </c>
      <c r="T71" s="428">
        <f ca="1">IFERROR(__xludf.DUMMYFUNCTION("IMPORTRANGE(""https://docs.google.com/spreadsheets/d/149xufxukrnEciK3WPbNpHwUK8BKEJxp3UcBG3Al6dA4/edit?usp=sharing"",""สิงห์บุรี!J803"")"),0)</f>
        <v>0</v>
      </c>
      <c r="U71" s="428">
        <f ca="1">IFERROR(__xludf.DUMMYFUNCTION("IMPORTRANGE(""https://docs.google.com/spreadsheets/d/149xufxukrnEciK3WPbNpHwUK8BKEJxp3UcBG3Al6dA4/edit?usp=sharing"",""สิงห์บุรี!J802"")"),0)</f>
        <v>0</v>
      </c>
    </row>
    <row r="72" spans="1:21" ht="21" customHeight="1" x14ac:dyDescent="0.3">
      <c r="A72" s="178">
        <v>20</v>
      </c>
      <c r="B72" s="179" t="s">
        <v>89</v>
      </c>
      <c r="C72" s="180">
        <f t="shared" ca="1" si="32"/>
        <v>0</v>
      </c>
      <c r="D72" s="181">
        <f ca="1">IFERROR(__xludf.DUMMYFUNCTION("IMPORTRANGE(""https://docs.google.com/spreadsheets/d/132g-zJpz2uMKimp17uOIx8A7o3w1Z25zwJyXnwsB56c/edit?usp=sharing"",""สุพรรณบุรี!L791"")"),0)</f>
        <v>0</v>
      </c>
      <c r="E72" s="187">
        <f ca="1">IFERROR(__xludf.DUMMYFUNCTION("IMPORTRANGE(""https://docs.google.com/spreadsheets/d/132g-zJpz2uMKimp17uOIx8A7o3w1Z25zwJyXnwsB56c/edit?usp=sharing"",""สุพรรณบุรี!L798"")"),0)</f>
        <v>0</v>
      </c>
      <c r="F72" s="182">
        <f t="shared" ca="1" si="1"/>
        <v>0</v>
      </c>
      <c r="G72" s="183">
        <f t="shared" ca="1" si="2"/>
        <v>0</v>
      </c>
      <c r="H72" s="184">
        <f t="shared" ca="1" si="33"/>
        <v>0</v>
      </c>
      <c r="I72" s="187">
        <f ca="1">IFERROR(__xludf.DUMMYFUNCTION("IMPORTRANGE(""https://docs.google.com/spreadsheets/d/132g-zJpz2uMKimp17uOIx8A7o3w1Z25zwJyXnwsB56c/edit?usp=sharing"",""สุพรรณบุรี!N792"")"),0)</f>
        <v>0</v>
      </c>
      <c r="J72" s="187">
        <f ca="1">IFERROR(__xludf.DUMMYFUNCTION("IMPORTRANGE(""https://docs.google.com/spreadsheets/d/132g-zJpz2uMKimp17uOIx8A7o3w1Z25zwJyXnwsB56c/edit?usp=sharing"",""สุพรรณบุรี!N793"")"),0)</f>
        <v>0</v>
      </c>
      <c r="K72" s="187">
        <f ca="1">IFERROR(__xludf.DUMMYFUNCTION("IMPORTRANGE(""https://docs.google.com/spreadsheets/d/132g-zJpz2uMKimp17uOIx8A7o3w1Z25zwJyXnwsB56c/edit?usp=sharing"",""สุพรรณบุรี!N794"")"),0)</f>
        <v>0</v>
      </c>
      <c r="L72" s="187">
        <f ca="1">IFERROR(__xludf.DUMMYFUNCTION("IMPORTRANGE(""https://docs.google.com/spreadsheets/d/132g-zJpz2uMKimp17uOIx8A7o3w1Z25zwJyXnwsB56c/edit?usp=sharing"",""สุพรรณบุรี!N795"")"),0)</f>
        <v>0</v>
      </c>
      <c r="M72" s="185">
        <f ca="1">IFERROR(__xludf.DUMMYFUNCTION("IMPORTRANGE(""https://docs.google.com/spreadsheets/d/132g-zJpz2uMKimp17uOIx8A7o3w1Z25zwJyXnwsB56c/edit?usp=sharing"",""สุพรรณบุรี!N798"")"),0)</f>
        <v>0</v>
      </c>
      <c r="N72" s="185">
        <f t="shared" ca="1" si="15"/>
        <v>0</v>
      </c>
      <c r="O72" s="181">
        <f ca="1">IFERROR(__xludf.DUMMYFUNCTION("IMPORTRANGE(""https://docs.google.com/spreadsheets/d/132g-zJpz2uMKimp17uOIx8A7o3w1Z25zwJyXnwsB56c/edit?usp=sharing"",""สุพรรณบุรี!I785"")"),0)</f>
        <v>0</v>
      </c>
      <c r="P72" s="181">
        <f t="shared" ca="1" si="34"/>
        <v>0</v>
      </c>
      <c r="Q72" s="186">
        <f t="shared" ca="1" si="12"/>
        <v>0</v>
      </c>
      <c r="R72" s="181">
        <f ca="1">IFERROR(__xludf.DUMMYFUNCTION("IMPORTRANGE(""https://docs.google.com/spreadsheets/d/132g-zJpz2uMKimp17uOIx8A7o3w1Z25zwJyXnwsB56c/edit?usp=sharing"",""สุพรรณบุรี!J801"")"),0)</f>
        <v>0</v>
      </c>
      <c r="S72" s="181">
        <f ca="1">IFERROR(__xludf.DUMMYFUNCTION("IMPORTRANGE(""https://docs.google.com/spreadsheets/d/132g-zJpz2uMKimp17uOIx8A7o3w1Z25zwJyXnwsB56c/edit?usp=sharing"",""สุพรรณบุรี!J800"")"),0)</f>
        <v>0</v>
      </c>
      <c r="T72" s="428">
        <f ca="1">IFERROR(__xludf.DUMMYFUNCTION("IMPORTRANGE(""https://docs.google.com/spreadsheets/d/132g-zJpz2uMKimp17uOIx8A7o3w1Z25zwJyXnwsB56c/edit?usp=sharing"",""สุพรรณบุรี!J803"")"),0)</f>
        <v>0</v>
      </c>
      <c r="U72" s="428">
        <f ca="1">IFERROR(__xludf.DUMMYFUNCTION("IMPORTRANGE(""https://docs.google.com/spreadsheets/d/132g-zJpz2uMKimp17uOIx8A7o3w1Z25zwJyXnwsB56c/edit?usp=sharing"",""สุพรรณบุรี!J802"")"),0)</f>
        <v>0</v>
      </c>
    </row>
    <row r="73" spans="1:21" ht="21" customHeight="1" x14ac:dyDescent="0.3">
      <c r="A73" s="192">
        <v>21</v>
      </c>
      <c r="B73" s="193" t="s">
        <v>90</v>
      </c>
      <c r="C73" s="204">
        <f t="shared" ca="1" si="32"/>
        <v>0</v>
      </c>
      <c r="D73" s="202">
        <f ca="1">IFERROR(__xludf.DUMMYFUNCTION("IMPORTRANGE(""https://docs.google.com/spreadsheets/d/12Q_U0nVnFdxDFwa0pej9xvx8ZvLC9Dpi_vRro_aiG5g/edit?usp=sharing"",""อ่างทอง!L791"")"),0)</f>
        <v>0</v>
      </c>
      <c r="E73" s="200">
        <f ca="1">IFERROR(__xludf.DUMMYFUNCTION("IMPORTRANGE(""https://docs.google.com/spreadsheets/d/12Q_U0nVnFdxDFwa0pej9xvx8ZvLC9Dpi_vRro_aiG5g/edit?usp=sharing"",""อ่างทอง!L798"")"),0)</f>
        <v>0</v>
      </c>
      <c r="F73" s="197">
        <f t="shared" ca="1" si="1"/>
        <v>0</v>
      </c>
      <c r="G73" s="205">
        <f t="shared" ca="1" si="2"/>
        <v>0</v>
      </c>
      <c r="H73" s="199">
        <f t="shared" ca="1" si="33"/>
        <v>0</v>
      </c>
      <c r="I73" s="200">
        <f ca="1">IFERROR(__xludf.DUMMYFUNCTION("IMPORTRANGE(""https://docs.google.com/spreadsheets/d/12Q_U0nVnFdxDFwa0pej9xvx8ZvLC9Dpi_vRro_aiG5g/edit?usp=sharing"",""อ่างทอง!N792"")"),0)</f>
        <v>0</v>
      </c>
      <c r="J73" s="200">
        <f ca="1">IFERROR(__xludf.DUMMYFUNCTION("IMPORTRANGE(""https://docs.google.com/spreadsheets/d/12Q_U0nVnFdxDFwa0pej9xvx8ZvLC9Dpi_vRro_aiG5g/edit?usp=sharing"",""อ่างทอง!N793"")"),0)</f>
        <v>0</v>
      </c>
      <c r="K73" s="200">
        <f ca="1">IFERROR(__xludf.DUMMYFUNCTION("IMPORTRANGE(""https://docs.google.com/spreadsheets/d/12Q_U0nVnFdxDFwa0pej9xvx8ZvLC9Dpi_vRro_aiG5g/edit?usp=sharing"",""อ่างทอง!N794"")"),0)</f>
        <v>0</v>
      </c>
      <c r="L73" s="200">
        <f ca="1">IFERROR(__xludf.DUMMYFUNCTION("IMPORTRANGE(""https://docs.google.com/spreadsheets/d/12Q_U0nVnFdxDFwa0pej9xvx8ZvLC9Dpi_vRro_aiG5g/edit?usp=sharing"",""อ่างทอง!N795"")"),0)</f>
        <v>0</v>
      </c>
      <c r="M73" s="201">
        <f ca="1">IFERROR(__xludf.DUMMYFUNCTION("IMPORTRANGE(""https://docs.google.com/spreadsheets/d/12Q_U0nVnFdxDFwa0pej9xvx8ZvLC9Dpi_vRro_aiG5g/edit?usp=sharing"",""อ่างทอง!N798"")"),0)</f>
        <v>0</v>
      </c>
      <c r="N73" s="201">
        <f t="shared" ca="1" si="15"/>
        <v>0</v>
      </c>
      <c r="O73" s="202">
        <f ca="1">IFERROR(__xludf.DUMMYFUNCTION("IMPORTRANGE(""https://docs.google.com/spreadsheets/d/12Q_U0nVnFdxDFwa0pej9xvx8ZvLC9Dpi_vRro_aiG5g/edit?usp=sharing"",""อ่างทอง!I785"")"),0)</f>
        <v>0</v>
      </c>
      <c r="P73" s="202">
        <f t="shared" ca="1" si="34"/>
        <v>0</v>
      </c>
      <c r="Q73" s="203">
        <f t="shared" ca="1" si="12"/>
        <v>0</v>
      </c>
      <c r="R73" s="202">
        <f ca="1">IFERROR(__xludf.DUMMYFUNCTION("IMPORTRANGE(""https://docs.google.com/spreadsheets/d/12Q_U0nVnFdxDFwa0pej9xvx8ZvLC9Dpi_vRro_aiG5g/edit?usp=sharing"",""อ่างทอง!J801"")"),0)</f>
        <v>0</v>
      </c>
      <c r="S73" s="202">
        <f ca="1">IFERROR(__xludf.DUMMYFUNCTION("IMPORTRANGE(""https://docs.google.com/spreadsheets/d/12Q_U0nVnFdxDFwa0pej9xvx8ZvLC9Dpi_vRro_aiG5g/edit?usp=sharing"",""อ่างทอง!J800"")"),0)</f>
        <v>0</v>
      </c>
      <c r="T73" s="430">
        <f ca="1">IFERROR(__xludf.DUMMYFUNCTION("IMPORTRANGE(""https://docs.google.com/spreadsheets/d/12Q_U0nVnFdxDFwa0pej9xvx8ZvLC9Dpi_vRro_aiG5g/edit?usp=sharing"",""อ่างทอง!J803"")"),0)</f>
        <v>0</v>
      </c>
      <c r="U73" s="430">
        <f ca="1">IFERROR(__xludf.DUMMYFUNCTION("IMPORTRANGE(""https://docs.google.com/spreadsheets/d/12Q_U0nVnFdxDFwa0pej9xvx8ZvLC9Dpi_vRro_aiG5g/edit?usp=sharing"",""อ่างทอง!J802"")"),0)</f>
        <v>0</v>
      </c>
    </row>
    <row r="74" spans="1:21" ht="21" customHeight="1" x14ac:dyDescent="0.3">
      <c r="A74" s="338" t="s">
        <v>91</v>
      </c>
      <c r="B74" s="339"/>
      <c r="C74" s="265">
        <f t="shared" ref="C74:E74" ca="1" si="35">SUM(C75:C88)</f>
        <v>0</v>
      </c>
      <c r="D74" s="159">
        <f t="shared" ca="1" si="35"/>
        <v>0</v>
      </c>
      <c r="E74" s="159">
        <f t="shared" ca="1" si="35"/>
        <v>0</v>
      </c>
      <c r="F74" s="159">
        <f t="shared" ca="1" si="1"/>
        <v>0</v>
      </c>
      <c r="G74" s="253">
        <f t="shared" ca="1" si="2"/>
        <v>0</v>
      </c>
      <c r="H74" s="159">
        <f t="shared" ref="H74:M74" ca="1" si="36">SUM(H75:H88)</f>
        <v>0</v>
      </c>
      <c r="I74" s="159">
        <f t="shared" ca="1" si="36"/>
        <v>0</v>
      </c>
      <c r="J74" s="159">
        <f t="shared" ca="1" si="36"/>
        <v>0</v>
      </c>
      <c r="K74" s="159">
        <f t="shared" ca="1" si="36"/>
        <v>0</v>
      </c>
      <c r="L74" s="159">
        <f t="shared" ca="1" si="36"/>
        <v>0</v>
      </c>
      <c r="M74" s="161">
        <f t="shared" ca="1" si="36"/>
        <v>0</v>
      </c>
      <c r="N74" s="161">
        <f t="shared" ca="1" si="15"/>
        <v>0</v>
      </c>
      <c r="O74" s="159">
        <f t="shared" ref="O74:P74" ca="1" si="37">SUM(O75:O88)</f>
        <v>0</v>
      </c>
      <c r="P74" s="159">
        <f t="shared" ca="1" si="37"/>
        <v>0</v>
      </c>
      <c r="Q74" s="162">
        <f t="shared" ca="1" si="12"/>
        <v>0</v>
      </c>
      <c r="R74" s="159">
        <f t="shared" ref="R74:U74" ca="1" si="38">SUM(R75:R88)</f>
        <v>0</v>
      </c>
      <c r="S74" s="159">
        <f t="shared" ca="1" si="38"/>
        <v>0</v>
      </c>
      <c r="T74" s="159">
        <f t="shared" ca="1" si="38"/>
        <v>0</v>
      </c>
      <c r="U74" s="159">
        <f t="shared" ca="1" si="38"/>
        <v>0</v>
      </c>
    </row>
    <row r="75" spans="1:21" ht="21" customHeight="1" x14ac:dyDescent="0.3">
      <c r="A75" s="178">
        <v>1</v>
      </c>
      <c r="B75" s="179" t="s">
        <v>92</v>
      </c>
      <c r="C75" s="180">
        <f t="shared" ref="C75:C88" ca="1" si="39">D75+E75</f>
        <v>0</v>
      </c>
      <c r="D75" s="181">
        <f ca="1">IFERROR(__xludf.DUMMYFUNCTION("IMPORTRANGE(""https://docs.google.com/spreadsheets/d/1kC41EOXpGBFOW658Fs3oD8beYlym0-zO54WY-2Qnp9I/edit?usp=sharing"",""กระบี่!L791"")"),0)</f>
        <v>0</v>
      </c>
      <c r="E75" s="187">
        <f ca="1">IFERROR(__xludf.DUMMYFUNCTION("IMPORTRANGE(""https://docs.google.com/spreadsheets/d/1kC41EOXpGBFOW658Fs3oD8beYlym0-zO54WY-2Qnp9I/edit?usp=sharing"",""กระบี่!L798"")"),0)</f>
        <v>0</v>
      </c>
      <c r="F75" s="182">
        <f t="shared" ca="1" si="1"/>
        <v>0</v>
      </c>
      <c r="G75" s="183">
        <f t="shared" ca="1" si="2"/>
        <v>0</v>
      </c>
      <c r="H75" s="184">
        <f t="shared" ref="H75:H88" ca="1" si="40">I75+J75+K75+L75</f>
        <v>0</v>
      </c>
      <c r="I75" s="187">
        <f ca="1">IFERROR(__xludf.DUMMYFUNCTION("IMPORTRANGE(""https://docs.google.com/spreadsheets/d/1kC41EOXpGBFOW658Fs3oD8beYlym0-zO54WY-2Qnp9I/edit?usp=sharing"",""กระบี่!N792"")"),0)</f>
        <v>0</v>
      </c>
      <c r="J75" s="187">
        <f ca="1">IFERROR(__xludf.DUMMYFUNCTION("IMPORTRANGE(""https://docs.google.com/spreadsheets/d/1kC41EOXpGBFOW658Fs3oD8beYlym0-zO54WY-2Qnp9I/edit?usp=sharing"",""กระบี่!N793"")"),0)</f>
        <v>0</v>
      </c>
      <c r="K75" s="187">
        <f ca="1">IFERROR(__xludf.DUMMYFUNCTION("IMPORTRANGE(""https://docs.google.com/spreadsheets/d/1kC41EOXpGBFOW658Fs3oD8beYlym0-zO54WY-2Qnp9I/edit?usp=sharing"",""กระบี่!N794"")"),0)</f>
        <v>0</v>
      </c>
      <c r="L75" s="187">
        <f ca="1">IFERROR(__xludf.DUMMYFUNCTION("IMPORTRANGE(""https://docs.google.com/spreadsheets/d/1kC41EOXpGBFOW658Fs3oD8beYlym0-zO54WY-2Qnp9I/edit?usp=sharing"",""กระบี่!N795"")"),0)</f>
        <v>0</v>
      </c>
      <c r="M75" s="185">
        <f ca="1">IFERROR(__xludf.DUMMYFUNCTION("IMPORTRANGE(""https://docs.google.com/spreadsheets/d/1kC41EOXpGBFOW658Fs3oD8beYlym0-zO54WY-2Qnp9I/edit?usp=sharing"",""กระบี่!N798"")"),0)</f>
        <v>0</v>
      </c>
      <c r="N75" s="185">
        <f t="shared" ca="1" si="15"/>
        <v>0</v>
      </c>
      <c r="O75" s="181">
        <f ca="1">IFERROR(__xludf.DUMMYFUNCTION("IMPORTRANGE(""https://docs.google.com/spreadsheets/d/1kC41EOXpGBFOW658Fs3oD8beYlym0-zO54WY-2Qnp9I/edit?usp=sharing"",""กระบี่!I785"")"),0)</f>
        <v>0</v>
      </c>
      <c r="P75" s="181">
        <f t="shared" ref="P75:P88" ca="1" si="41">R75+T75</f>
        <v>0</v>
      </c>
      <c r="Q75" s="186">
        <f t="shared" ca="1" si="12"/>
        <v>0</v>
      </c>
      <c r="R75" s="181">
        <f ca="1">IFERROR(__xludf.DUMMYFUNCTION("IMPORTRANGE(""https://docs.google.com/spreadsheets/d/1kC41EOXpGBFOW658Fs3oD8beYlym0-zO54WY-2Qnp9I/edit?usp=sharing"",""กระบี่!J801"")"),0)</f>
        <v>0</v>
      </c>
      <c r="S75" s="181">
        <f ca="1">IFERROR(__xludf.DUMMYFUNCTION("IMPORTRANGE(""https://docs.google.com/spreadsheets/d/1kC41EOXpGBFOW658Fs3oD8beYlym0-zO54WY-2Qnp9I/edit?usp=sharing"",""กระบี่!J800"")"),0)</f>
        <v>0</v>
      </c>
      <c r="T75" s="428">
        <f ca="1">IFERROR(__xludf.DUMMYFUNCTION("IMPORTRANGE(""https://docs.google.com/spreadsheets/d/1kC41EOXpGBFOW658Fs3oD8beYlym0-zO54WY-2Qnp9I/edit?usp=sharing"",""กระบี่!J803"")"),0)</f>
        <v>0</v>
      </c>
      <c r="U75" s="428">
        <f ca="1">IFERROR(__xludf.DUMMYFUNCTION("IMPORTRANGE(""https://docs.google.com/spreadsheets/d/1kC41EOXpGBFOW658Fs3oD8beYlym0-zO54WY-2Qnp9I/edit?usp=sharing"",""กระบี่!J802"")"),0)</f>
        <v>0</v>
      </c>
    </row>
    <row r="76" spans="1:21" ht="21" customHeight="1" x14ac:dyDescent="0.3">
      <c r="A76" s="178">
        <v>2</v>
      </c>
      <c r="B76" s="179" t="s">
        <v>93</v>
      </c>
      <c r="C76" s="180">
        <f t="shared" ca="1" si="39"/>
        <v>0</v>
      </c>
      <c r="D76" s="181">
        <f ca="1">IFERROR(__xludf.DUMMYFUNCTION("IMPORTRANGE(""https://docs.google.com/spreadsheets/d/1FbzMZY_f3MDiEuK7RpCQKrilJ_kpX0Wm7QBZ1L7EjIU/edit?usp=sharing"",""ชุมพร!L791"")"),0)</f>
        <v>0</v>
      </c>
      <c r="E76" s="187">
        <f ca="1">IFERROR(__xludf.DUMMYFUNCTION("IMPORTRANGE(""https://docs.google.com/spreadsheets/d/1FbzMZY_f3MDiEuK7RpCQKrilJ_kpX0Wm7QBZ1L7EjIU/edit?usp=sharing"",""ชุมพร!L798"")"),0)</f>
        <v>0</v>
      </c>
      <c r="F76" s="182">
        <f t="shared" ca="1" si="1"/>
        <v>0</v>
      </c>
      <c r="G76" s="183">
        <f t="shared" ca="1" si="2"/>
        <v>0</v>
      </c>
      <c r="H76" s="184">
        <f t="shared" ca="1" si="40"/>
        <v>0</v>
      </c>
      <c r="I76" s="187">
        <f ca="1">IFERROR(__xludf.DUMMYFUNCTION("IMPORTRANGE(""https://docs.google.com/spreadsheets/d/1FbzMZY_f3MDiEuK7RpCQKrilJ_kpX0Wm7QBZ1L7EjIU/edit?usp=sharing"",""ชุมพร!N792"")"),0)</f>
        <v>0</v>
      </c>
      <c r="J76" s="187">
        <f ca="1">IFERROR(__xludf.DUMMYFUNCTION("IMPORTRANGE(""https://docs.google.com/spreadsheets/d/1FbzMZY_f3MDiEuK7RpCQKrilJ_kpX0Wm7QBZ1L7EjIU/edit?usp=sharing"",""ชุมพร!N793"")"),0)</f>
        <v>0</v>
      </c>
      <c r="K76" s="187">
        <f ca="1">IFERROR(__xludf.DUMMYFUNCTION("IMPORTRANGE(""https://docs.google.com/spreadsheets/d/1FbzMZY_f3MDiEuK7RpCQKrilJ_kpX0Wm7QBZ1L7EjIU/edit?usp=sharing"",""ชุมพร!N794"")"),0)</f>
        <v>0</v>
      </c>
      <c r="L76" s="187">
        <f ca="1">IFERROR(__xludf.DUMMYFUNCTION("IMPORTRANGE(""https://docs.google.com/spreadsheets/d/1FbzMZY_f3MDiEuK7RpCQKrilJ_kpX0Wm7QBZ1L7EjIU/edit?usp=sharing"",""ชุมพร!N795"")"),0)</f>
        <v>0</v>
      </c>
      <c r="M76" s="185">
        <f ca="1">IFERROR(__xludf.DUMMYFUNCTION("IMPORTRANGE(""https://docs.google.com/spreadsheets/d/1FbzMZY_f3MDiEuK7RpCQKrilJ_kpX0Wm7QBZ1L7EjIU/edit?usp=sharing"",""ชุมพร!N798"")"),0)</f>
        <v>0</v>
      </c>
      <c r="N76" s="185">
        <f t="shared" ca="1" si="15"/>
        <v>0</v>
      </c>
      <c r="O76" s="181">
        <f ca="1">IFERROR(__xludf.DUMMYFUNCTION("IMPORTRANGE(""https://docs.google.com/spreadsheets/d/1FbzMZY_f3MDiEuK7RpCQKrilJ_kpX0Wm7QBZ1L7EjIU/edit?usp=sharing"",""ชุมพร!I785"")"),0)</f>
        <v>0</v>
      </c>
      <c r="P76" s="181">
        <f t="shared" ca="1" si="41"/>
        <v>0</v>
      </c>
      <c r="Q76" s="186">
        <f t="shared" ca="1" si="12"/>
        <v>0</v>
      </c>
      <c r="R76" s="181">
        <f ca="1">IFERROR(__xludf.DUMMYFUNCTION("IMPORTRANGE(""https://docs.google.com/spreadsheets/d/1FbzMZY_f3MDiEuK7RpCQKrilJ_kpX0Wm7QBZ1L7EjIU/edit?usp=sharing"",""ชุมพร!J801"")"),0)</f>
        <v>0</v>
      </c>
      <c r="S76" s="181">
        <f ca="1">IFERROR(__xludf.DUMMYFUNCTION("IMPORTRANGE(""https://docs.google.com/spreadsheets/d/1FbzMZY_f3MDiEuK7RpCQKrilJ_kpX0Wm7QBZ1L7EjIU/edit?usp=sharing"",""ชุมพร!J800"")"),0)</f>
        <v>0</v>
      </c>
      <c r="T76" s="428">
        <f ca="1">IFERROR(__xludf.DUMMYFUNCTION("IMPORTRANGE(""https://docs.google.com/spreadsheets/d/1FbzMZY_f3MDiEuK7RpCQKrilJ_kpX0Wm7QBZ1L7EjIU/edit?usp=sharing"",""ชุมพร!J803"")"),0)</f>
        <v>0</v>
      </c>
      <c r="U76" s="428">
        <f ca="1">IFERROR(__xludf.DUMMYFUNCTION("IMPORTRANGE(""https://docs.google.com/spreadsheets/d/1FbzMZY_f3MDiEuK7RpCQKrilJ_kpX0Wm7QBZ1L7EjIU/edit?usp=sharing"",""ชุมพร!J802"")"),0)</f>
        <v>0</v>
      </c>
    </row>
    <row r="77" spans="1:21" ht="21" customHeight="1" x14ac:dyDescent="0.3">
      <c r="A77" s="178">
        <v>3</v>
      </c>
      <c r="B77" s="179" t="s">
        <v>94</v>
      </c>
      <c r="C77" s="180">
        <f t="shared" ca="1" si="39"/>
        <v>0</v>
      </c>
      <c r="D77" s="181">
        <f ca="1">IFERROR(__xludf.DUMMYFUNCTION("IMPORTRANGE(""https://docs.google.com/spreadsheets/d/1v5sN-00LrXuhBxw4dkh2GrG_z4l5oAqOdJRBCsUyMaM/edit?usp=sharing"",""ตรัง!L791"")"),0)</f>
        <v>0</v>
      </c>
      <c r="E77" s="187">
        <f ca="1">IFERROR(__xludf.DUMMYFUNCTION("IMPORTRANGE(""https://docs.google.com/spreadsheets/d/1v5sN-00LrXuhBxw4dkh2GrG_z4l5oAqOdJRBCsUyMaM/edit?usp=sharing"",""ตรัง!L798"")"),0)</f>
        <v>0</v>
      </c>
      <c r="F77" s="182">
        <f t="shared" ca="1" si="1"/>
        <v>0</v>
      </c>
      <c r="G77" s="183">
        <f t="shared" ca="1" si="2"/>
        <v>0</v>
      </c>
      <c r="H77" s="184">
        <f t="shared" ca="1" si="40"/>
        <v>0</v>
      </c>
      <c r="I77" s="187">
        <f ca="1">IFERROR(__xludf.DUMMYFUNCTION("IMPORTRANGE(""https://docs.google.com/spreadsheets/d/1v5sN-00LrXuhBxw4dkh2GrG_z4l5oAqOdJRBCsUyMaM/edit?usp=sharing"",""ตรัง!N792"")"),0)</f>
        <v>0</v>
      </c>
      <c r="J77" s="187">
        <f ca="1">IFERROR(__xludf.DUMMYFUNCTION("IMPORTRANGE(""https://docs.google.com/spreadsheets/d/1v5sN-00LrXuhBxw4dkh2GrG_z4l5oAqOdJRBCsUyMaM/edit?usp=sharing"",""ตรัง!N793"")"),0)</f>
        <v>0</v>
      </c>
      <c r="K77" s="187">
        <f ca="1">IFERROR(__xludf.DUMMYFUNCTION("IMPORTRANGE(""https://docs.google.com/spreadsheets/d/1v5sN-00LrXuhBxw4dkh2GrG_z4l5oAqOdJRBCsUyMaM/edit?usp=sharing"",""ตรัง!N794"")"),0)</f>
        <v>0</v>
      </c>
      <c r="L77" s="187">
        <f ca="1">IFERROR(__xludf.DUMMYFUNCTION("IMPORTRANGE(""https://docs.google.com/spreadsheets/d/1v5sN-00LrXuhBxw4dkh2GrG_z4l5oAqOdJRBCsUyMaM/edit?usp=sharing"",""ตรัง!N795"")"),0)</f>
        <v>0</v>
      </c>
      <c r="M77" s="185">
        <f ca="1">IFERROR(__xludf.DUMMYFUNCTION("IMPORTRANGE(""https://docs.google.com/spreadsheets/d/1v5sN-00LrXuhBxw4dkh2GrG_z4l5oAqOdJRBCsUyMaM/edit?usp=sharing"",""ตรัง!N798"")"),0)</f>
        <v>0</v>
      </c>
      <c r="N77" s="185">
        <f t="shared" ca="1" si="15"/>
        <v>0</v>
      </c>
      <c r="O77" s="181">
        <f ca="1">IFERROR(__xludf.DUMMYFUNCTION("IMPORTRANGE(""https://docs.google.com/spreadsheets/d/1v5sN-00LrXuhBxw4dkh2GrG_z4l5oAqOdJRBCsUyMaM/edit?usp=sharing"",""ตรัง!I785"")"),0)</f>
        <v>0</v>
      </c>
      <c r="P77" s="181">
        <f t="shared" ca="1" si="41"/>
        <v>0</v>
      </c>
      <c r="Q77" s="186">
        <f t="shared" ca="1" si="12"/>
        <v>0</v>
      </c>
      <c r="R77" s="181">
        <f ca="1">IFERROR(__xludf.DUMMYFUNCTION("IMPORTRANGE(""https://docs.google.com/spreadsheets/d/1v5sN-00LrXuhBxw4dkh2GrG_z4l5oAqOdJRBCsUyMaM/edit?usp=sharing"",""ตรัง!J801"")"),0)</f>
        <v>0</v>
      </c>
      <c r="S77" s="181">
        <f ca="1">IFERROR(__xludf.DUMMYFUNCTION("IMPORTRANGE(""https://docs.google.com/spreadsheets/d/1v5sN-00LrXuhBxw4dkh2GrG_z4l5oAqOdJRBCsUyMaM/edit?usp=sharing"",""ตรัง!J800"")"),0)</f>
        <v>0</v>
      </c>
      <c r="T77" s="428">
        <f ca="1">IFERROR(__xludf.DUMMYFUNCTION("IMPORTRANGE(""https://docs.google.com/spreadsheets/d/1v5sN-00LrXuhBxw4dkh2GrG_z4l5oAqOdJRBCsUyMaM/edit?usp=sharing"",""ตรัง!J803"")"),0)</f>
        <v>0</v>
      </c>
      <c r="U77" s="428">
        <f ca="1">IFERROR(__xludf.DUMMYFUNCTION("IMPORTRANGE(""https://docs.google.com/spreadsheets/d/1v5sN-00LrXuhBxw4dkh2GrG_z4l5oAqOdJRBCsUyMaM/edit?usp=sharing"",""ตรัง!J802"")"),0)</f>
        <v>0</v>
      </c>
    </row>
    <row r="78" spans="1:21" ht="21" customHeight="1" x14ac:dyDescent="0.3">
      <c r="A78" s="178">
        <v>4</v>
      </c>
      <c r="B78" s="179" t="s">
        <v>95</v>
      </c>
      <c r="C78" s="180">
        <f t="shared" ca="1" si="39"/>
        <v>0</v>
      </c>
      <c r="D78" s="181">
        <f ca="1">IFERROR(__xludf.DUMMYFUNCTION("IMPORTRANGE(""https://docs.google.com/spreadsheets/d/1T5rRTzFc79aSIvqnzkZNvwPstq829QYz_xALlO1Z0s8/edit?usp=sharing"",""นครศรีธรรมราช!L791"")"),0)</f>
        <v>0</v>
      </c>
      <c r="E78" s="187">
        <f ca="1">IFERROR(__xludf.DUMMYFUNCTION("IMPORTRANGE(""https://docs.google.com/spreadsheets/d/1T5rRTzFc79aSIvqnzkZNvwPstq829QYz_xALlO1Z0s8/edit?usp=sharing"",""นครศรีธรรมราช!L798"")"),0)</f>
        <v>0</v>
      </c>
      <c r="F78" s="182">
        <f t="shared" ca="1" si="1"/>
        <v>0</v>
      </c>
      <c r="G78" s="183">
        <f t="shared" ca="1" si="2"/>
        <v>0</v>
      </c>
      <c r="H78" s="184">
        <f t="shared" ca="1" si="40"/>
        <v>0</v>
      </c>
      <c r="I78" s="187">
        <f ca="1">IFERROR(__xludf.DUMMYFUNCTION("IMPORTRANGE(""https://docs.google.com/spreadsheets/d/1T5rRTzFc79aSIvqnzkZNvwPstq829QYz_xALlO1Z0s8/edit?usp=sharing"",""นครศรีธรรมราช!N792"")"),0)</f>
        <v>0</v>
      </c>
      <c r="J78" s="187">
        <f ca="1">IFERROR(__xludf.DUMMYFUNCTION("IMPORTRANGE(""https://docs.google.com/spreadsheets/d/1T5rRTzFc79aSIvqnzkZNvwPstq829QYz_xALlO1Z0s8/edit?usp=sharing"",""นครศรีธรรมราช!N793"")"),0)</f>
        <v>0</v>
      </c>
      <c r="K78" s="187">
        <f ca="1">IFERROR(__xludf.DUMMYFUNCTION("IMPORTRANGE(""https://docs.google.com/spreadsheets/d/1T5rRTzFc79aSIvqnzkZNvwPstq829QYz_xALlO1Z0s8/edit?usp=sharing"",""นครศรีธรรมราช!N794"")"),0)</f>
        <v>0</v>
      </c>
      <c r="L78" s="187">
        <f ca="1">IFERROR(__xludf.DUMMYFUNCTION("IMPORTRANGE(""https://docs.google.com/spreadsheets/d/1T5rRTzFc79aSIvqnzkZNvwPstq829QYz_xALlO1Z0s8/edit?usp=sharing"",""นครศรีธรรมราช!N795"")"),0)</f>
        <v>0</v>
      </c>
      <c r="M78" s="185">
        <f ca="1">IFERROR(__xludf.DUMMYFUNCTION("IMPORTRANGE(""https://docs.google.com/spreadsheets/d/1T5rRTzFc79aSIvqnzkZNvwPstq829QYz_xALlO1Z0s8/edit?usp=sharing"",""นครศรีธรรมราช!N798"")"),0)</f>
        <v>0</v>
      </c>
      <c r="N78" s="185">
        <f t="shared" ca="1" si="15"/>
        <v>0</v>
      </c>
      <c r="O78" s="181">
        <f ca="1">IFERROR(__xludf.DUMMYFUNCTION("IMPORTRANGE(""https://docs.google.com/spreadsheets/d/1T5rRTzFc79aSIvqnzkZNvwPstq829QYz_xALlO1Z0s8/edit?usp=sharing"",""นครศรีธรรมราช!I785"")"),0)</f>
        <v>0</v>
      </c>
      <c r="P78" s="181">
        <f t="shared" ca="1" si="41"/>
        <v>0</v>
      </c>
      <c r="Q78" s="186">
        <f t="shared" ca="1" si="12"/>
        <v>0</v>
      </c>
      <c r="R78" s="181">
        <f ca="1">IFERROR(__xludf.DUMMYFUNCTION("IMPORTRANGE(""https://docs.google.com/spreadsheets/d/1T5rRTzFc79aSIvqnzkZNvwPstq829QYz_xALlO1Z0s8/edit?usp=sharing"",""นครศรีธรรมราช!J801"")"),0)</f>
        <v>0</v>
      </c>
      <c r="S78" s="181">
        <f ca="1">IFERROR(__xludf.DUMMYFUNCTION("IMPORTRANGE(""https://docs.google.com/spreadsheets/d/1T5rRTzFc79aSIvqnzkZNvwPstq829QYz_xALlO1Z0s8/edit?usp=sharing"",""นครศรีธรรมราช!J800"")"),0)</f>
        <v>0</v>
      </c>
      <c r="T78" s="428">
        <f ca="1">IFERROR(__xludf.DUMMYFUNCTION("IMPORTRANGE(""https://docs.google.com/spreadsheets/d/1T5rRTzFc79aSIvqnzkZNvwPstq829QYz_xALlO1Z0s8/edit?usp=sharing"",""นครศรีธรรมราช!J803"")"),0)</f>
        <v>0</v>
      </c>
      <c r="U78" s="428">
        <f ca="1">IFERROR(__xludf.DUMMYFUNCTION("IMPORTRANGE(""https://docs.google.com/spreadsheets/d/1T5rRTzFc79aSIvqnzkZNvwPstq829QYz_xALlO1Z0s8/edit?usp=sharing"",""นครศรีธรรมราช!J802"")"),0)</f>
        <v>0</v>
      </c>
    </row>
    <row r="79" spans="1:21" ht="21" customHeight="1" x14ac:dyDescent="0.3">
      <c r="A79" s="178">
        <v>5</v>
      </c>
      <c r="B79" s="179" t="s">
        <v>96</v>
      </c>
      <c r="C79" s="180">
        <f t="shared" ca="1" si="39"/>
        <v>0</v>
      </c>
      <c r="D79" s="181">
        <f ca="1">IFERROR(__xludf.DUMMYFUNCTION("IMPORTRANGE(""https://docs.google.com/spreadsheets/d/1BeghqumK0IvCmRd2QOy6_afsZq7ZtAGrSnVJy2u7WmY/edit?usp=sharing"",""นราธิวาส!L791"")"),0)</f>
        <v>0</v>
      </c>
      <c r="E79" s="187">
        <f ca="1">IFERROR(__xludf.DUMMYFUNCTION("IMPORTRANGE(""https://docs.google.com/spreadsheets/d/1BeghqumK0IvCmRd2QOy6_afsZq7ZtAGrSnVJy2u7WmY/edit?usp=sharing"",""นราธิวาส!L798"")"),0)</f>
        <v>0</v>
      </c>
      <c r="F79" s="182">
        <f t="shared" ca="1" si="1"/>
        <v>0</v>
      </c>
      <c r="G79" s="183">
        <f t="shared" ca="1" si="2"/>
        <v>0</v>
      </c>
      <c r="H79" s="184">
        <f t="shared" ca="1" si="40"/>
        <v>0</v>
      </c>
      <c r="I79" s="187">
        <f ca="1">IFERROR(__xludf.DUMMYFUNCTION("IMPORTRANGE(""https://docs.google.com/spreadsheets/d/1BeghqumK0IvCmRd2QOy6_afsZq7ZtAGrSnVJy2u7WmY/edit?usp=sharing"",""นราธิวาส!N792"")"),0)</f>
        <v>0</v>
      </c>
      <c r="J79" s="187">
        <f ca="1">IFERROR(__xludf.DUMMYFUNCTION("IMPORTRANGE(""https://docs.google.com/spreadsheets/d/1BeghqumK0IvCmRd2QOy6_afsZq7ZtAGrSnVJy2u7WmY/edit?usp=sharing"",""นราธิวาส!N793"")"),0)</f>
        <v>0</v>
      </c>
      <c r="K79" s="187">
        <f ca="1">IFERROR(__xludf.DUMMYFUNCTION("IMPORTRANGE(""https://docs.google.com/spreadsheets/d/1BeghqumK0IvCmRd2QOy6_afsZq7ZtAGrSnVJy2u7WmY/edit?usp=sharing"",""นราธิวาส!N794"")"),0)</f>
        <v>0</v>
      </c>
      <c r="L79" s="187">
        <f ca="1">IFERROR(__xludf.DUMMYFUNCTION("IMPORTRANGE(""https://docs.google.com/spreadsheets/d/1BeghqumK0IvCmRd2QOy6_afsZq7ZtAGrSnVJy2u7WmY/edit?usp=sharing"",""นราธิวาส!N795"")"),0)</f>
        <v>0</v>
      </c>
      <c r="M79" s="185">
        <f ca="1">IFERROR(__xludf.DUMMYFUNCTION("IMPORTRANGE(""https://docs.google.com/spreadsheets/d/1BeghqumK0IvCmRd2QOy6_afsZq7ZtAGrSnVJy2u7WmY/edit?usp=sharing"",""นราธิวาส!N798"")"),0)</f>
        <v>0</v>
      </c>
      <c r="N79" s="185">
        <f t="shared" ca="1" si="15"/>
        <v>0</v>
      </c>
      <c r="O79" s="181">
        <f ca="1">IFERROR(__xludf.DUMMYFUNCTION("IMPORTRANGE(""https://docs.google.com/spreadsheets/d/1BeghqumK0IvCmRd2QOy6_afsZq7ZtAGrSnVJy2u7WmY/edit?usp=sharing"",""นราธิวาส!I785"")"),0)</f>
        <v>0</v>
      </c>
      <c r="P79" s="181">
        <f t="shared" ca="1" si="41"/>
        <v>0</v>
      </c>
      <c r="Q79" s="186">
        <f t="shared" ca="1" si="12"/>
        <v>0</v>
      </c>
      <c r="R79" s="181">
        <f ca="1">IFERROR(__xludf.DUMMYFUNCTION("IMPORTRANGE(""https://docs.google.com/spreadsheets/d/1BeghqumK0IvCmRd2QOy6_afsZq7ZtAGrSnVJy2u7WmY/edit?usp=sharing"",""นราธิวาส!J801"")"),0)</f>
        <v>0</v>
      </c>
      <c r="S79" s="181">
        <f ca="1">IFERROR(__xludf.DUMMYFUNCTION("IMPORTRANGE(""https://docs.google.com/spreadsheets/d/1BeghqumK0IvCmRd2QOy6_afsZq7ZtAGrSnVJy2u7WmY/edit?usp=sharing"",""นราธิวาส!J800"")"),0)</f>
        <v>0</v>
      </c>
      <c r="T79" s="428">
        <f ca="1">IFERROR(__xludf.DUMMYFUNCTION("IMPORTRANGE(""https://docs.google.com/spreadsheets/d/1BeghqumK0IvCmRd2QOy6_afsZq7ZtAGrSnVJy2u7WmY/edit?usp=sharing"",""นราธิวาส!J803"")"),0)</f>
        <v>0</v>
      </c>
      <c r="U79" s="428">
        <f ca="1">IFERROR(__xludf.DUMMYFUNCTION("IMPORTRANGE(""https://docs.google.com/spreadsheets/d/1BeghqumK0IvCmRd2QOy6_afsZq7ZtAGrSnVJy2u7WmY/edit?usp=sharing"",""นราธิวาส!J802"")"),0)</f>
        <v>0</v>
      </c>
    </row>
    <row r="80" spans="1:21" ht="21" customHeight="1" x14ac:dyDescent="0.3">
      <c r="A80" s="178">
        <v>6</v>
      </c>
      <c r="B80" s="179" t="s">
        <v>97</v>
      </c>
      <c r="C80" s="180">
        <f t="shared" ca="1" si="39"/>
        <v>0</v>
      </c>
      <c r="D80" s="181">
        <f ca="1">IFERROR(__xludf.DUMMYFUNCTION("IMPORTRANGE(""https://docs.google.com/spreadsheets/d/1IwnW3-jjRf74MCLW-6PiFwMUffRQXZwZA7YM609NmRc/edit?usp=sharing"",""ปัตตานี!L791"")"),0)</f>
        <v>0</v>
      </c>
      <c r="E80" s="187">
        <f ca="1">IFERROR(__xludf.DUMMYFUNCTION("IMPORTRANGE(""https://docs.google.com/spreadsheets/d/1IwnW3-jjRf74MCLW-6PiFwMUffRQXZwZA7YM609NmRc/edit?usp=sharing"",""ปัตตานี!L798"")"),0)</f>
        <v>0</v>
      </c>
      <c r="F80" s="182">
        <f t="shared" ca="1" si="1"/>
        <v>0</v>
      </c>
      <c r="G80" s="183">
        <f t="shared" ca="1" si="2"/>
        <v>0</v>
      </c>
      <c r="H80" s="184">
        <f t="shared" ca="1" si="40"/>
        <v>0</v>
      </c>
      <c r="I80" s="187">
        <f ca="1">IFERROR(__xludf.DUMMYFUNCTION("IMPORTRANGE(""https://docs.google.com/spreadsheets/d/1IwnW3-jjRf74MCLW-6PiFwMUffRQXZwZA7YM609NmRc/edit?usp=sharing"",""ปัตตานี!N792"")"),0)</f>
        <v>0</v>
      </c>
      <c r="J80" s="187">
        <f ca="1">IFERROR(__xludf.DUMMYFUNCTION("IMPORTRANGE(""https://docs.google.com/spreadsheets/d/1IwnW3-jjRf74MCLW-6PiFwMUffRQXZwZA7YM609NmRc/edit?usp=sharing"",""ปัตตานี!N793"")"),0)</f>
        <v>0</v>
      </c>
      <c r="K80" s="187">
        <f ca="1">IFERROR(__xludf.DUMMYFUNCTION("IMPORTRANGE(""https://docs.google.com/spreadsheets/d/1IwnW3-jjRf74MCLW-6PiFwMUffRQXZwZA7YM609NmRc/edit?usp=sharing"",""ปัตตานี!N794"")"),0)</f>
        <v>0</v>
      </c>
      <c r="L80" s="187">
        <f ca="1">IFERROR(__xludf.DUMMYFUNCTION("IMPORTRANGE(""https://docs.google.com/spreadsheets/d/1IwnW3-jjRf74MCLW-6PiFwMUffRQXZwZA7YM609NmRc/edit?usp=sharing"",""ปัตตานี!N795"")"),0)</f>
        <v>0</v>
      </c>
      <c r="M80" s="185">
        <f ca="1">IFERROR(__xludf.DUMMYFUNCTION("IMPORTRANGE(""https://docs.google.com/spreadsheets/d/1IwnW3-jjRf74MCLW-6PiFwMUffRQXZwZA7YM609NmRc/edit?usp=sharing"",""ปัตตานี!N798"")"),0)</f>
        <v>0</v>
      </c>
      <c r="N80" s="185">
        <f t="shared" ca="1" si="15"/>
        <v>0</v>
      </c>
      <c r="O80" s="181">
        <f ca="1">IFERROR(__xludf.DUMMYFUNCTION("IMPORTRANGE(""https://docs.google.com/spreadsheets/d/1IwnW3-jjRf74MCLW-6PiFwMUffRQXZwZA7YM609NmRc/edit?usp=sharing"",""ปัตตานี!I785"")"),0)</f>
        <v>0</v>
      </c>
      <c r="P80" s="181">
        <f t="shared" ca="1" si="41"/>
        <v>0</v>
      </c>
      <c r="Q80" s="186">
        <f t="shared" ca="1" si="12"/>
        <v>0</v>
      </c>
      <c r="R80" s="181">
        <f ca="1">IFERROR(__xludf.DUMMYFUNCTION("IMPORTRANGE(""https://docs.google.com/spreadsheets/d/1IwnW3-jjRf74MCLW-6PiFwMUffRQXZwZA7YM609NmRc/edit?usp=sharing"",""ปัตตานี!J801"")"),0)</f>
        <v>0</v>
      </c>
      <c r="S80" s="181">
        <f ca="1">IFERROR(__xludf.DUMMYFUNCTION("IMPORTRANGE(""https://docs.google.com/spreadsheets/d/1IwnW3-jjRf74MCLW-6PiFwMUffRQXZwZA7YM609NmRc/edit?usp=sharing"",""ปัตตานี!J800"")"),0)</f>
        <v>0</v>
      </c>
      <c r="T80" s="428">
        <f ca="1">IFERROR(__xludf.DUMMYFUNCTION("IMPORTRANGE(""https://docs.google.com/spreadsheets/d/1IwnW3-jjRf74MCLW-6PiFwMUffRQXZwZA7YM609NmRc/edit?usp=sharing"",""ปัตตานี!J803"")"),0)</f>
        <v>0</v>
      </c>
      <c r="U80" s="428">
        <f ca="1">IFERROR(__xludf.DUMMYFUNCTION("IMPORTRANGE(""https://docs.google.com/spreadsheets/d/1IwnW3-jjRf74MCLW-6PiFwMUffRQXZwZA7YM609NmRc/edit?usp=sharing"",""ปัตตานี!J802"")"),0)</f>
        <v>0</v>
      </c>
    </row>
    <row r="81" spans="1:21" ht="21" customHeight="1" x14ac:dyDescent="0.3">
      <c r="A81" s="178">
        <v>7</v>
      </c>
      <c r="B81" s="179" t="s">
        <v>98</v>
      </c>
      <c r="C81" s="180">
        <f t="shared" ca="1" si="39"/>
        <v>0</v>
      </c>
      <c r="D81" s="181">
        <f ca="1">IFERROR(__xludf.DUMMYFUNCTION("IMPORTRANGE(""https://docs.google.com/spreadsheets/d/1vl4QWbWdFruual5o_wdo6ZSqXZ_it806oja4CctTLKs/edit?usp=sharing"",""พังงา!L791"")"),0)</f>
        <v>0</v>
      </c>
      <c r="E81" s="187">
        <f ca="1">IFERROR(__xludf.DUMMYFUNCTION("IMPORTRANGE(""https://docs.google.com/spreadsheets/d/1vl4QWbWdFruual5o_wdo6ZSqXZ_it806oja4CctTLKs/edit?usp=sharing"",""พังงา!L798"")"),0)</f>
        <v>0</v>
      </c>
      <c r="F81" s="182">
        <f t="shared" ca="1" si="1"/>
        <v>0</v>
      </c>
      <c r="G81" s="183">
        <f t="shared" ca="1" si="2"/>
        <v>0</v>
      </c>
      <c r="H81" s="184">
        <f t="shared" ca="1" si="40"/>
        <v>0</v>
      </c>
      <c r="I81" s="187">
        <f ca="1">IFERROR(__xludf.DUMMYFUNCTION("IMPORTRANGE(""https://docs.google.com/spreadsheets/d/1vl4QWbWdFruual5o_wdo6ZSqXZ_it806oja4CctTLKs/edit?usp=sharing"",""พังงา!N792"")"),0)</f>
        <v>0</v>
      </c>
      <c r="J81" s="187">
        <f ca="1">IFERROR(__xludf.DUMMYFUNCTION("IMPORTRANGE(""https://docs.google.com/spreadsheets/d/1vl4QWbWdFruual5o_wdo6ZSqXZ_it806oja4CctTLKs/edit?usp=sharing"",""พังงา!N793"")"),0)</f>
        <v>0</v>
      </c>
      <c r="K81" s="187">
        <f ca="1">IFERROR(__xludf.DUMMYFUNCTION("IMPORTRANGE(""https://docs.google.com/spreadsheets/d/1vl4QWbWdFruual5o_wdo6ZSqXZ_it806oja4CctTLKs/edit?usp=sharing"",""พังงา!N794"")"),0)</f>
        <v>0</v>
      </c>
      <c r="L81" s="187">
        <f ca="1">IFERROR(__xludf.DUMMYFUNCTION("IMPORTRANGE(""https://docs.google.com/spreadsheets/d/1vl4QWbWdFruual5o_wdo6ZSqXZ_it806oja4CctTLKs/edit?usp=sharing"",""พังงา!N795"")"),0)</f>
        <v>0</v>
      </c>
      <c r="M81" s="185">
        <f ca="1">IFERROR(__xludf.DUMMYFUNCTION("IMPORTRANGE(""https://docs.google.com/spreadsheets/d/1vl4QWbWdFruual5o_wdo6ZSqXZ_it806oja4CctTLKs/edit?usp=sharing"",""พังงา!N798"")"),0)</f>
        <v>0</v>
      </c>
      <c r="N81" s="185">
        <f t="shared" ca="1" si="15"/>
        <v>0</v>
      </c>
      <c r="O81" s="181">
        <f ca="1">IFERROR(__xludf.DUMMYFUNCTION("IMPORTRANGE(""https://docs.google.com/spreadsheets/d/1vl4QWbWdFruual5o_wdo6ZSqXZ_it806oja4CctTLKs/edit?usp=sharing"",""พังงา!I785"")"),0)</f>
        <v>0</v>
      </c>
      <c r="P81" s="181">
        <f t="shared" ca="1" si="41"/>
        <v>0</v>
      </c>
      <c r="Q81" s="186">
        <f t="shared" ca="1" si="12"/>
        <v>0</v>
      </c>
      <c r="R81" s="181">
        <f ca="1">IFERROR(__xludf.DUMMYFUNCTION("IMPORTRANGE(""https://docs.google.com/spreadsheets/d/1vl4QWbWdFruual5o_wdo6ZSqXZ_it806oja4CctTLKs/edit?usp=sharing"",""พังงา!J801"")"),0)</f>
        <v>0</v>
      </c>
      <c r="S81" s="181">
        <f ca="1">IFERROR(__xludf.DUMMYFUNCTION("IMPORTRANGE(""https://docs.google.com/spreadsheets/d/1vl4QWbWdFruual5o_wdo6ZSqXZ_it806oja4CctTLKs/edit?usp=sharing"",""พังงา!J800"")"),0)</f>
        <v>0</v>
      </c>
      <c r="T81" s="428">
        <f ca="1">IFERROR(__xludf.DUMMYFUNCTION("IMPORTRANGE(""https://docs.google.com/spreadsheets/d/1vl4QWbWdFruual5o_wdo6ZSqXZ_it806oja4CctTLKs/edit?usp=sharing"",""พังงา!J803"")"),0)</f>
        <v>0</v>
      </c>
      <c r="U81" s="428">
        <f ca="1">IFERROR(__xludf.DUMMYFUNCTION("IMPORTRANGE(""https://docs.google.com/spreadsheets/d/1vl4QWbWdFruual5o_wdo6ZSqXZ_it806oja4CctTLKs/edit?usp=sharing"",""พังงา!J802"")"),0)</f>
        <v>0</v>
      </c>
    </row>
    <row r="82" spans="1:21" ht="21" customHeight="1" x14ac:dyDescent="0.3">
      <c r="A82" s="178">
        <v>8</v>
      </c>
      <c r="B82" s="179" t="s">
        <v>99</v>
      </c>
      <c r="C82" s="180">
        <f t="shared" ca="1" si="39"/>
        <v>0</v>
      </c>
      <c r="D82" s="181">
        <f ca="1">IFERROR(__xludf.DUMMYFUNCTION("IMPORTRANGE(""https://docs.google.com/spreadsheets/d/1b6QssHQp2FoAPSMKHOy273KNzAomaIKhtdlvuZ_zDNE/edit?usp=sharing"",""พัทลุง!L791"")"),0)</f>
        <v>0</v>
      </c>
      <c r="E82" s="187">
        <f ca="1">IFERROR(__xludf.DUMMYFUNCTION("IMPORTRANGE(""https://docs.google.com/spreadsheets/d/1b6QssHQp2FoAPSMKHOy273KNzAomaIKhtdlvuZ_zDNE/edit?usp=sharing"",""พัทลุง!L798"")"),0)</f>
        <v>0</v>
      </c>
      <c r="F82" s="182">
        <f t="shared" ca="1" si="1"/>
        <v>0</v>
      </c>
      <c r="G82" s="183">
        <f t="shared" ca="1" si="2"/>
        <v>0</v>
      </c>
      <c r="H82" s="184">
        <f t="shared" ca="1" si="40"/>
        <v>0</v>
      </c>
      <c r="I82" s="187">
        <f ca="1">IFERROR(__xludf.DUMMYFUNCTION("IMPORTRANGE(""https://docs.google.com/spreadsheets/d/1b6QssHQp2FoAPSMKHOy273KNzAomaIKhtdlvuZ_zDNE/edit?usp=sharing"",""พัทลุง!N792"")"),0)</f>
        <v>0</v>
      </c>
      <c r="J82" s="187">
        <f ca="1">IFERROR(__xludf.DUMMYFUNCTION("IMPORTRANGE(""https://docs.google.com/spreadsheets/d/1b6QssHQp2FoAPSMKHOy273KNzAomaIKhtdlvuZ_zDNE/edit?usp=sharing"",""พัทลุง!N793"")"),0)</f>
        <v>0</v>
      </c>
      <c r="K82" s="187">
        <f ca="1">IFERROR(__xludf.DUMMYFUNCTION("IMPORTRANGE(""https://docs.google.com/spreadsheets/d/1b6QssHQp2FoAPSMKHOy273KNzAomaIKhtdlvuZ_zDNE/edit?usp=sharing"",""พัทลุง!N794"")"),0)</f>
        <v>0</v>
      </c>
      <c r="L82" s="187">
        <f ca="1">IFERROR(__xludf.DUMMYFUNCTION("IMPORTRANGE(""https://docs.google.com/spreadsheets/d/1b6QssHQp2FoAPSMKHOy273KNzAomaIKhtdlvuZ_zDNE/edit?usp=sharing"",""พัทลุง!N795"")"),0)</f>
        <v>0</v>
      </c>
      <c r="M82" s="185">
        <f ca="1">IFERROR(__xludf.DUMMYFUNCTION("IMPORTRANGE(""https://docs.google.com/spreadsheets/d/1b6QssHQp2FoAPSMKHOy273KNzAomaIKhtdlvuZ_zDNE/edit?usp=sharing"",""พัทลุง!N798"")"),0)</f>
        <v>0</v>
      </c>
      <c r="N82" s="185">
        <f t="shared" ca="1" si="15"/>
        <v>0</v>
      </c>
      <c r="O82" s="181">
        <f ca="1">IFERROR(__xludf.DUMMYFUNCTION("IMPORTRANGE(""https://docs.google.com/spreadsheets/d/1b6QssHQp2FoAPSMKHOy273KNzAomaIKhtdlvuZ_zDNE/edit?usp=sharing"",""พัทลุง!I785"")"),0)</f>
        <v>0</v>
      </c>
      <c r="P82" s="181">
        <f t="shared" ca="1" si="41"/>
        <v>0</v>
      </c>
      <c r="Q82" s="186">
        <f t="shared" ca="1" si="12"/>
        <v>0</v>
      </c>
      <c r="R82" s="181">
        <f ca="1">IFERROR(__xludf.DUMMYFUNCTION("IMPORTRANGE(""https://docs.google.com/spreadsheets/d/1b6QssHQp2FoAPSMKHOy273KNzAomaIKhtdlvuZ_zDNE/edit?usp=sharing"",""พัทลุง!J801"")"),0)</f>
        <v>0</v>
      </c>
      <c r="S82" s="181">
        <f ca="1">IFERROR(__xludf.DUMMYFUNCTION("IMPORTRANGE(""https://docs.google.com/spreadsheets/d/1b6QssHQp2FoAPSMKHOy273KNzAomaIKhtdlvuZ_zDNE/edit?usp=sharing"",""พัทลุง!J800"")"),0)</f>
        <v>0</v>
      </c>
      <c r="T82" s="428">
        <f ca="1">IFERROR(__xludf.DUMMYFUNCTION("IMPORTRANGE(""https://docs.google.com/spreadsheets/d/1b6QssHQp2FoAPSMKHOy273KNzAomaIKhtdlvuZ_zDNE/edit?usp=sharing"",""พัทลุง!J803"")"),0)</f>
        <v>0</v>
      </c>
      <c r="U82" s="428">
        <f ca="1">IFERROR(__xludf.DUMMYFUNCTION("IMPORTRANGE(""https://docs.google.com/spreadsheets/d/1b6QssHQp2FoAPSMKHOy273KNzAomaIKhtdlvuZ_zDNE/edit?usp=sharing"",""พัทลุง!J802"")"),0)</f>
        <v>0</v>
      </c>
    </row>
    <row r="83" spans="1:21" ht="21" customHeight="1" x14ac:dyDescent="0.3">
      <c r="A83" s="178">
        <v>9</v>
      </c>
      <c r="B83" s="179" t="s">
        <v>100</v>
      </c>
      <c r="C83" s="180">
        <f t="shared" ca="1" si="39"/>
        <v>0</v>
      </c>
      <c r="D83" s="181">
        <f ca="1">IFERROR(__xludf.DUMMYFUNCTION("IMPORTRANGE(""https://docs.google.com/spreadsheets/d/1o7UZe4_OqlqtLDHrj01Z2YFRSZDf1DMy1n3XViHaxRc/edit?usp=sharing"",""ภูเก็ต!L791"")"),0)</f>
        <v>0</v>
      </c>
      <c r="E83" s="187">
        <f ca="1">IFERROR(__xludf.DUMMYFUNCTION("IMPORTRANGE(""https://docs.google.com/spreadsheets/d/1o7UZe4_OqlqtLDHrj01Z2YFRSZDf1DMy1n3XViHaxRc/edit?usp=sharing"",""ภูเก็ต!L798"")"),0)</f>
        <v>0</v>
      </c>
      <c r="F83" s="182">
        <f t="shared" ca="1" si="1"/>
        <v>0</v>
      </c>
      <c r="G83" s="183">
        <f t="shared" ca="1" si="2"/>
        <v>0</v>
      </c>
      <c r="H83" s="184">
        <f t="shared" ca="1" si="40"/>
        <v>0</v>
      </c>
      <c r="I83" s="187">
        <f ca="1">IFERROR(__xludf.DUMMYFUNCTION("IMPORTRANGE(""https://docs.google.com/spreadsheets/d/1o7UZe4_OqlqtLDHrj01Z2YFRSZDf1DMy1n3XViHaxRc/edit?usp=sharing"",""ภูเก็ต!N792"")"),0)</f>
        <v>0</v>
      </c>
      <c r="J83" s="187">
        <f ca="1">IFERROR(__xludf.DUMMYFUNCTION("IMPORTRANGE(""https://docs.google.com/spreadsheets/d/1o7UZe4_OqlqtLDHrj01Z2YFRSZDf1DMy1n3XViHaxRc/edit?usp=sharing"",""ภูเก็ต!N793"")"),0)</f>
        <v>0</v>
      </c>
      <c r="K83" s="187">
        <f ca="1">IFERROR(__xludf.DUMMYFUNCTION("IMPORTRANGE(""https://docs.google.com/spreadsheets/d/1o7UZe4_OqlqtLDHrj01Z2YFRSZDf1DMy1n3XViHaxRc/edit?usp=sharing"",""ภูเก็ต!N794"")"),0)</f>
        <v>0</v>
      </c>
      <c r="L83" s="187">
        <f ca="1">IFERROR(__xludf.DUMMYFUNCTION("IMPORTRANGE(""https://docs.google.com/spreadsheets/d/1o7UZe4_OqlqtLDHrj01Z2YFRSZDf1DMy1n3XViHaxRc/edit?usp=sharing"",""ภูเก็ต!N795"")"),0)</f>
        <v>0</v>
      </c>
      <c r="M83" s="185">
        <f ca="1">IFERROR(__xludf.DUMMYFUNCTION("IMPORTRANGE(""https://docs.google.com/spreadsheets/d/1o7UZe4_OqlqtLDHrj01Z2YFRSZDf1DMy1n3XViHaxRc/edit?usp=sharing"",""ภูเก็ต!N798"")"),0)</f>
        <v>0</v>
      </c>
      <c r="N83" s="185">
        <f t="shared" ca="1" si="15"/>
        <v>0</v>
      </c>
      <c r="O83" s="181">
        <f ca="1">IFERROR(__xludf.DUMMYFUNCTION("IMPORTRANGE(""https://docs.google.com/spreadsheets/d/1o7UZe4_OqlqtLDHrj01Z2YFRSZDf1DMy1n3XViHaxRc/edit?usp=sharing"",""ภูเก็ต!I785"")"),0)</f>
        <v>0</v>
      </c>
      <c r="P83" s="181">
        <f t="shared" ca="1" si="41"/>
        <v>0</v>
      </c>
      <c r="Q83" s="186">
        <f t="shared" ca="1" si="12"/>
        <v>0</v>
      </c>
      <c r="R83" s="181">
        <f ca="1">IFERROR(__xludf.DUMMYFUNCTION("IMPORTRANGE(""https://docs.google.com/spreadsheets/d/1o7UZe4_OqlqtLDHrj01Z2YFRSZDf1DMy1n3XViHaxRc/edit?usp=sharing"",""ภูเก็ต!J801"")"),0)</f>
        <v>0</v>
      </c>
      <c r="S83" s="181">
        <f ca="1">IFERROR(__xludf.DUMMYFUNCTION("IMPORTRANGE(""https://docs.google.com/spreadsheets/d/1o7UZe4_OqlqtLDHrj01Z2YFRSZDf1DMy1n3XViHaxRc/edit?usp=sharing"",""ภูเก็ต!J800"")"),0)</f>
        <v>0</v>
      </c>
      <c r="T83" s="428">
        <f ca="1">IFERROR(__xludf.DUMMYFUNCTION("IMPORTRANGE(""https://docs.google.com/spreadsheets/d/1o7UZe4_OqlqtLDHrj01Z2YFRSZDf1DMy1n3XViHaxRc/edit?usp=sharing"",""ภูเก็ต!J803"")"),0)</f>
        <v>0</v>
      </c>
      <c r="U83" s="428">
        <f ca="1">IFERROR(__xludf.DUMMYFUNCTION("IMPORTRANGE(""https://docs.google.com/spreadsheets/d/1o7UZe4_OqlqtLDHrj01Z2YFRSZDf1DMy1n3XViHaxRc/edit?usp=sharing"",""ภูเก็ต!J802"")"),0)</f>
        <v>0</v>
      </c>
    </row>
    <row r="84" spans="1:21" ht="21" customHeight="1" x14ac:dyDescent="0.3">
      <c r="A84" s="178">
        <v>10</v>
      </c>
      <c r="B84" s="179" t="s">
        <v>101</v>
      </c>
      <c r="C84" s="180">
        <f t="shared" ca="1" si="39"/>
        <v>0</v>
      </c>
      <c r="D84" s="181">
        <f ca="1">IFERROR(__xludf.DUMMYFUNCTION("IMPORTRANGE(""https://docs.google.com/spreadsheets/d/1ctPm1vUzcUCPuOj9-eoHUD85PqINFqUB0TjdSWmR5-c/edit?usp=sharing"",""ยะลา!L791"")"),0)</f>
        <v>0</v>
      </c>
      <c r="E84" s="187">
        <f ca="1">IFERROR(__xludf.DUMMYFUNCTION("IMPORTRANGE(""https://docs.google.com/spreadsheets/d/1ctPm1vUzcUCPuOj9-eoHUD85PqINFqUB0TjdSWmR5-c/edit?usp=sharing"",""ยะลา!L798"")"),0)</f>
        <v>0</v>
      </c>
      <c r="F84" s="182">
        <f t="shared" ca="1" si="1"/>
        <v>0</v>
      </c>
      <c r="G84" s="183">
        <f t="shared" ca="1" si="2"/>
        <v>0</v>
      </c>
      <c r="H84" s="184">
        <f t="shared" ca="1" si="40"/>
        <v>0</v>
      </c>
      <c r="I84" s="187">
        <f ca="1">IFERROR(__xludf.DUMMYFUNCTION("IMPORTRANGE(""https://docs.google.com/spreadsheets/d/1ctPm1vUzcUCPuOj9-eoHUD85PqINFqUB0TjdSWmR5-c/edit?usp=sharing"",""ยะลา!N792"")"),0)</f>
        <v>0</v>
      </c>
      <c r="J84" s="187">
        <f ca="1">IFERROR(__xludf.DUMMYFUNCTION("IMPORTRANGE(""https://docs.google.com/spreadsheets/d/1ctPm1vUzcUCPuOj9-eoHUD85PqINFqUB0TjdSWmR5-c/edit?usp=sharing"",""ยะลา!N793"")"),0)</f>
        <v>0</v>
      </c>
      <c r="K84" s="187">
        <f ca="1">IFERROR(__xludf.DUMMYFUNCTION("IMPORTRANGE(""https://docs.google.com/spreadsheets/d/1ctPm1vUzcUCPuOj9-eoHUD85PqINFqUB0TjdSWmR5-c/edit?usp=sharing"",""ยะลา!N794"")"),0)</f>
        <v>0</v>
      </c>
      <c r="L84" s="187">
        <f ca="1">IFERROR(__xludf.DUMMYFUNCTION("IMPORTRANGE(""https://docs.google.com/spreadsheets/d/1ctPm1vUzcUCPuOj9-eoHUD85PqINFqUB0TjdSWmR5-c/edit?usp=sharing"",""ยะลา!N795"")"),0)</f>
        <v>0</v>
      </c>
      <c r="M84" s="185">
        <f ca="1">IFERROR(__xludf.DUMMYFUNCTION("IMPORTRANGE(""https://docs.google.com/spreadsheets/d/1ctPm1vUzcUCPuOj9-eoHUD85PqINFqUB0TjdSWmR5-c/edit?usp=sharing"",""ยะลา!N798"")"),0)</f>
        <v>0</v>
      </c>
      <c r="N84" s="185">
        <f t="shared" ca="1" si="15"/>
        <v>0</v>
      </c>
      <c r="O84" s="181">
        <f ca="1">IFERROR(__xludf.DUMMYFUNCTION("IMPORTRANGE(""https://docs.google.com/spreadsheets/d/1ctPm1vUzcUCPuOj9-eoHUD85PqINFqUB0TjdSWmR5-c/edit?usp=sharing"",""ยะลา!I785"")"),0)</f>
        <v>0</v>
      </c>
      <c r="P84" s="181">
        <f t="shared" ca="1" si="41"/>
        <v>0</v>
      </c>
      <c r="Q84" s="186">
        <f t="shared" ca="1" si="12"/>
        <v>0</v>
      </c>
      <c r="R84" s="181">
        <f ca="1">IFERROR(__xludf.DUMMYFUNCTION("IMPORTRANGE(""https://docs.google.com/spreadsheets/d/1ctPm1vUzcUCPuOj9-eoHUD85PqINFqUB0TjdSWmR5-c/edit?usp=sharing"",""ยะลา!J801"")"),0)</f>
        <v>0</v>
      </c>
      <c r="S84" s="181">
        <f ca="1">IFERROR(__xludf.DUMMYFUNCTION("IMPORTRANGE(""https://docs.google.com/spreadsheets/d/1ctPm1vUzcUCPuOj9-eoHUD85PqINFqUB0TjdSWmR5-c/edit?usp=sharing"",""ยะลา!J800"")"),0)</f>
        <v>0</v>
      </c>
      <c r="T84" s="428">
        <f ca="1">IFERROR(__xludf.DUMMYFUNCTION("IMPORTRANGE(""https://docs.google.com/spreadsheets/d/1ctPm1vUzcUCPuOj9-eoHUD85PqINFqUB0TjdSWmR5-c/edit?usp=sharing"",""ยะลา!J803"")"),0)</f>
        <v>0</v>
      </c>
      <c r="U84" s="428">
        <f ca="1">IFERROR(__xludf.DUMMYFUNCTION("IMPORTRANGE(""https://docs.google.com/spreadsheets/d/1ctPm1vUzcUCPuOj9-eoHUD85PqINFqUB0TjdSWmR5-c/edit?usp=sharing"",""ยะลา!J802"")"),0)</f>
        <v>0</v>
      </c>
    </row>
    <row r="85" spans="1:21" ht="21" customHeight="1" x14ac:dyDescent="0.3">
      <c r="A85" s="178">
        <v>11</v>
      </c>
      <c r="B85" s="179" t="s">
        <v>102</v>
      </c>
      <c r="C85" s="180">
        <f t="shared" ca="1" si="39"/>
        <v>0</v>
      </c>
      <c r="D85" s="181">
        <f ca="1">IFERROR(__xludf.DUMMYFUNCTION("IMPORTRANGE(""https://docs.google.com/spreadsheets/d/1YiDIE7Klmt8osgdapRqYWNr7iPGFSsiJqq46S7PYRE0/edit?usp=sharing"",""ระนอง!L791"")"),0)</f>
        <v>0</v>
      </c>
      <c r="E85" s="187">
        <f ca="1">IFERROR(__xludf.DUMMYFUNCTION("IMPORTRANGE(""https://docs.google.com/spreadsheets/d/1YiDIE7Klmt8osgdapRqYWNr7iPGFSsiJqq46S7PYRE0/edit?usp=sharing"",""ระนอง!L798"")"),0)</f>
        <v>0</v>
      </c>
      <c r="F85" s="182">
        <f t="shared" ca="1" si="1"/>
        <v>0</v>
      </c>
      <c r="G85" s="183">
        <f t="shared" ca="1" si="2"/>
        <v>0</v>
      </c>
      <c r="H85" s="184">
        <f t="shared" ca="1" si="40"/>
        <v>0</v>
      </c>
      <c r="I85" s="187">
        <f ca="1">IFERROR(__xludf.DUMMYFUNCTION("IMPORTRANGE(""https://docs.google.com/spreadsheets/d/1YiDIE7Klmt8osgdapRqYWNr7iPGFSsiJqq46S7PYRE0/edit?usp=sharing"",""ระนอง!N792"")"),0)</f>
        <v>0</v>
      </c>
      <c r="J85" s="187">
        <f ca="1">IFERROR(__xludf.DUMMYFUNCTION("IMPORTRANGE(""https://docs.google.com/spreadsheets/d/1YiDIE7Klmt8osgdapRqYWNr7iPGFSsiJqq46S7PYRE0/edit?usp=sharing"",""ระนอง!N793"")"),0)</f>
        <v>0</v>
      </c>
      <c r="K85" s="187">
        <f ca="1">IFERROR(__xludf.DUMMYFUNCTION("IMPORTRANGE(""https://docs.google.com/spreadsheets/d/1YiDIE7Klmt8osgdapRqYWNr7iPGFSsiJqq46S7PYRE0/edit?usp=sharing"",""ระนอง!N794"")"),0)</f>
        <v>0</v>
      </c>
      <c r="L85" s="187">
        <f ca="1">IFERROR(__xludf.DUMMYFUNCTION("IMPORTRANGE(""https://docs.google.com/spreadsheets/d/1YiDIE7Klmt8osgdapRqYWNr7iPGFSsiJqq46S7PYRE0/edit?usp=sharing"",""ระนอง!N795"")"),0)</f>
        <v>0</v>
      </c>
      <c r="M85" s="185">
        <f ca="1">IFERROR(__xludf.DUMMYFUNCTION("IMPORTRANGE(""https://docs.google.com/spreadsheets/d/1YiDIE7Klmt8osgdapRqYWNr7iPGFSsiJqq46S7PYRE0/edit?usp=sharing"",""ระนอง!N798"")"),0)</f>
        <v>0</v>
      </c>
      <c r="N85" s="185">
        <f t="shared" ca="1" si="15"/>
        <v>0</v>
      </c>
      <c r="O85" s="181">
        <f ca="1">IFERROR(__xludf.DUMMYFUNCTION("IMPORTRANGE(""https://docs.google.com/spreadsheets/d/1YiDIE7Klmt8osgdapRqYWNr7iPGFSsiJqq46S7PYRE0/edit?usp=sharing"",""ระนอง!I785"")"),0)</f>
        <v>0</v>
      </c>
      <c r="P85" s="181">
        <f t="shared" ca="1" si="41"/>
        <v>0</v>
      </c>
      <c r="Q85" s="186">
        <f t="shared" ca="1" si="12"/>
        <v>0</v>
      </c>
      <c r="R85" s="181">
        <f ca="1">IFERROR(__xludf.DUMMYFUNCTION("IMPORTRANGE(""https://docs.google.com/spreadsheets/d/1YiDIE7Klmt8osgdapRqYWNr7iPGFSsiJqq46S7PYRE0/edit?usp=sharing"",""ระนอง!J801"")"),0)</f>
        <v>0</v>
      </c>
      <c r="S85" s="181">
        <f ca="1">IFERROR(__xludf.DUMMYFUNCTION("IMPORTRANGE(""https://docs.google.com/spreadsheets/d/1YiDIE7Klmt8osgdapRqYWNr7iPGFSsiJqq46S7PYRE0/edit?usp=sharing"",""ระนอง!J800"")"),0)</f>
        <v>0</v>
      </c>
      <c r="T85" s="428">
        <f ca="1">IFERROR(__xludf.DUMMYFUNCTION("IMPORTRANGE(""https://docs.google.com/spreadsheets/d/1YiDIE7Klmt8osgdapRqYWNr7iPGFSsiJqq46S7PYRE0/edit?usp=sharing"",""ระนอง!J803"")"),0)</f>
        <v>0</v>
      </c>
      <c r="U85" s="428">
        <f ca="1">IFERROR(__xludf.DUMMYFUNCTION("IMPORTRANGE(""https://docs.google.com/spreadsheets/d/1YiDIE7Klmt8osgdapRqYWNr7iPGFSsiJqq46S7PYRE0/edit?usp=sharing"",""ระนอง!J802"")"),0)</f>
        <v>0</v>
      </c>
    </row>
    <row r="86" spans="1:21" ht="24" customHeight="1" x14ac:dyDescent="0.3">
      <c r="A86" s="178">
        <v>12</v>
      </c>
      <c r="B86" s="179" t="s">
        <v>103</v>
      </c>
      <c r="C86" s="180">
        <f t="shared" ca="1" si="39"/>
        <v>0</v>
      </c>
      <c r="D86" s="181">
        <f ca="1">IFERROR(__xludf.DUMMYFUNCTION("IMPORTRANGE(""https://docs.google.com/spreadsheets/d/16o_4B-V7AWw_6E93bSpXj_XxVv1oVQctk-B6z1dNEWU/edit?usp=sharing"",""สงขลา!L791"")"),0)</f>
        <v>0</v>
      </c>
      <c r="E86" s="187">
        <f ca="1">IFERROR(__xludf.DUMMYFUNCTION("IMPORTRANGE(""https://docs.google.com/spreadsheets/d/16o_4B-V7AWw_6E93bSpXj_XxVv1oVQctk-B6z1dNEWU/edit?usp=sharing"",""สงขลา!L798"")"),0)</f>
        <v>0</v>
      </c>
      <c r="F86" s="182">
        <f t="shared" ca="1" si="1"/>
        <v>0</v>
      </c>
      <c r="G86" s="183">
        <f t="shared" ca="1" si="2"/>
        <v>0</v>
      </c>
      <c r="H86" s="184">
        <f t="shared" ca="1" si="40"/>
        <v>0</v>
      </c>
      <c r="I86" s="187">
        <f ca="1">IFERROR(__xludf.DUMMYFUNCTION("IMPORTRANGE(""https://docs.google.com/spreadsheets/d/16o_4B-V7AWw_6E93bSpXj_XxVv1oVQctk-B6z1dNEWU/edit?usp=sharing"",""สงขลา!N792"")"),0)</f>
        <v>0</v>
      </c>
      <c r="J86" s="187">
        <f ca="1">IFERROR(__xludf.DUMMYFUNCTION("IMPORTRANGE(""https://docs.google.com/spreadsheets/d/16o_4B-V7AWw_6E93bSpXj_XxVv1oVQctk-B6z1dNEWU/edit?usp=sharing"",""สงขลา!N793"")"),0)</f>
        <v>0</v>
      </c>
      <c r="K86" s="187">
        <f ca="1">IFERROR(__xludf.DUMMYFUNCTION("IMPORTRANGE(""https://docs.google.com/spreadsheets/d/16o_4B-V7AWw_6E93bSpXj_XxVv1oVQctk-B6z1dNEWU/edit?usp=sharing"",""สงขลา!N794"")"),0)</f>
        <v>0</v>
      </c>
      <c r="L86" s="187">
        <f ca="1">IFERROR(__xludf.DUMMYFUNCTION("IMPORTRANGE(""https://docs.google.com/spreadsheets/d/16o_4B-V7AWw_6E93bSpXj_XxVv1oVQctk-B6z1dNEWU/edit?usp=sharing"",""สงขลา!N795"")"),0)</f>
        <v>0</v>
      </c>
      <c r="M86" s="185">
        <f ca="1">IFERROR(__xludf.DUMMYFUNCTION("IMPORTRANGE(""https://docs.google.com/spreadsheets/d/16o_4B-V7AWw_6E93bSpXj_XxVv1oVQctk-B6z1dNEWU/edit?usp=sharing"",""สงขลา!N798"")"),0)</f>
        <v>0</v>
      </c>
      <c r="N86" s="185">
        <f t="shared" ca="1" si="15"/>
        <v>0</v>
      </c>
      <c r="O86" s="181">
        <f ca="1">IFERROR(__xludf.DUMMYFUNCTION("IMPORTRANGE(""https://docs.google.com/spreadsheets/d/16o_4B-V7AWw_6E93bSpXj_XxVv1oVQctk-B6z1dNEWU/edit?usp=sharing"",""สงขลา!I785"")"),0)</f>
        <v>0</v>
      </c>
      <c r="P86" s="181">
        <f t="shared" ca="1" si="41"/>
        <v>0</v>
      </c>
      <c r="Q86" s="186">
        <f t="shared" ca="1" si="12"/>
        <v>0</v>
      </c>
      <c r="R86" s="181">
        <f ca="1">IFERROR(__xludf.DUMMYFUNCTION("IMPORTRANGE(""https://docs.google.com/spreadsheets/d/16o_4B-V7AWw_6E93bSpXj_XxVv1oVQctk-B6z1dNEWU/edit?usp=sharing"",""สงขลา!J801"")"),0)</f>
        <v>0</v>
      </c>
      <c r="S86" s="181">
        <f ca="1">IFERROR(__xludf.DUMMYFUNCTION("IMPORTRANGE(""https://docs.google.com/spreadsheets/d/16o_4B-V7AWw_6E93bSpXj_XxVv1oVQctk-B6z1dNEWU/edit?usp=sharing"",""สงขลา!J800"")"),0)</f>
        <v>0</v>
      </c>
      <c r="T86" s="428">
        <f ca="1">IFERROR(__xludf.DUMMYFUNCTION("IMPORTRANGE(""https://docs.google.com/spreadsheets/d/16o_4B-V7AWw_6E93bSpXj_XxVv1oVQctk-B6z1dNEWU/edit?usp=sharing"",""สงขลา!J803"")"),0)</f>
        <v>0</v>
      </c>
      <c r="U86" s="428">
        <f ca="1">IFERROR(__xludf.DUMMYFUNCTION("IMPORTRANGE(""https://docs.google.com/spreadsheets/d/16o_4B-V7AWw_6E93bSpXj_XxVv1oVQctk-B6z1dNEWU/edit?usp=sharing"",""สงขลา!J802"")"),0)</f>
        <v>0</v>
      </c>
    </row>
    <row r="87" spans="1:21" ht="24" customHeight="1" x14ac:dyDescent="0.3">
      <c r="A87" s="178">
        <v>13</v>
      </c>
      <c r="B87" s="179" t="s">
        <v>104</v>
      </c>
      <c r="C87" s="180">
        <f t="shared" ca="1" si="39"/>
        <v>0</v>
      </c>
      <c r="D87" s="181">
        <f ca="1">IFERROR(__xludf.DUMMYFUNCTION("IMPORTRANGE(""https://docs.google.com/spreadsheets/d/16cywr71Fj4fA5OGRHsZh30ZG2gwJhMAQv69oVBzYHv0/edit?usp=sharing"",""สตูล!L791"")"),0)</f>
        <v>0</v>
      </c>
      <c r="E87" s="187">
        <f ca="1">IFERROR(__xludf.DUMMYFUNCTION("IMPORTRANGE(""https://docs.google.com/spreadsheets/d/16cywr71Fj4fA5OGRHsZh30ZG2gwJhMAQv69oVBzYHv0/edit?usp=sharing"",""สตูล!L798"")"),0)</f>
        <v>0</v>
      </c>
      <c r="F87" s="182">
        <f t="shared" ca="1" si="1"/>
        <v>0</v>
      </c>
      <c r="G87" s="183">
        <f t="shared" ca="1" si="2"/>
        <v>0</v>
      </c>
      <c r="H87" s="184">
        <f t="shared" ca="1" si="40"/>
        <v>0</v>
      </c>
      <c r="I87" s="187">
        <f ca="1">IFERROR(__xludf.DUMMYFUNCTION("IMPORTRANGE(""https://docs.google.com/spreadsheets/d/16cywr71Fj4fA5OGRHsZh30ZG2gwJhMAQv69oVBzYHv0/edit?usp=sharing"",""สตูล!N792"")"),0)</f>
        <v>0</v>
      </c>
      <c r="J87" s="187">
        <f ca="1">IFERROR(__xludf.DUMMYFUNCTION("IMPORTRANGE(""https://docs.google.com/spreadsheets/d/16cywr71Fj4fA5OGRHsZh30ZG2gwJhMAQv69oVBzYHv0/edit?usp=sharing"",""สตูล!N793"")"),0)</f>
        <v>0</v>
      </c>
      <c r="K87" s="187">
        <f ca="1">IFERROR(__xludf.DUMMYFUNCTION("IMPORTRANGE(""https://docs.google.com/spreadsheets/d/16cywr71Fj4fA5OGRHsZh30ZG2gwJhMAQv69oVBzYHv0/edit?usp=sharing"",""สตูล!N794"")"),0)</f>
        <v>0</v>
      </c>
      <c r="L87" s="187">
        <f ca="1">IFERROR(__xludf.DUMMYFUNCTION("IMPORTRANGE(""https://docs.google.com/spreadsheets/d/16cywr71Fj4fA5OGRHsZh30ZG2gwJhMAQv69oVBzYHv0/edit?usp=sharing"",""สตูล!N795"")"),0)</f>
        <v>0</v>
      </c>
      <c r="M87" s="185">
        <f ca="1">IFERROR(__xludf.DUMMYFUNCTION("IMPORTRANGE(""https://docs.google.com/spreadsheets/d/16cywr71Fj4fA5OGRHsZh30ZG2gwJhMAQv69oVBzYHv0/edit?usp=sharing"",""สตูล!N798"")"),0)</f>
        <v>0</v>
      </c>
      <c r="N87" s="185">
        <f t="shared" ca="1" si="15"/>
        <v>0</v>
      </c>
      <c r="O87" s="181">
        <f ca="1">IFERROR(__xludf.DUMMYFUNCTION("IMPORTRANGE(""https://docs.google.com/spreadsheets/d/16cywr71Fj4fA5OGRHsZh30ZG2gwJhMAQv69oVBzYHv0/edit?usp=sharing"",""สตูล!I785"")"),0)</f>
        <v>0</v>
      </c>
      <c r="P87" s="181">
        <f t="shared" ca="1" si="41"/>
        <v>0</v>
      </c>
      <c r="Q87" s="186">
        <f t="shared" ca="1" si="12"/>
        <v>0</v>
      </c>
      <c r="R87" s="181">
        <f ca="1">IFERROR(__xludf.DUMMYFUNCTION("IMPORTRANGE(""https://docs.google.com/spreadsheets/d/16cywr71Fj4fA5OGRHsZh30ZG2gwJhMAQv69oVBzYHv0/edit?usp=sharing"",""สตูล!J801"")"),0)</f>
        <v>0</v>
      </c>
      <c r="S87" s="181">
        <f ca="1">IFERROR(__xludf.DUMMYFUNCTION("IMPORTRANGE(""https://docs.google.com/spreadsheets/d/16cywr71Fj4fA5OGRHsZh30ZG2gwJhMAQv69oVBzYHv0/edit?usp=sharing"",""สตูล!J800"")"),0)</f>
        <v>0</v>
      </c>
      <c r="T87" s="428">
        <f ca="1">IFERROR(__xludf.DUMMYFUNCTION("IMPORTRANGE(""https://docs.google.com/spreadsheets/d/16cywr71Fj4fA5OGRHsZh30ZG2gwJhMAQv69oVBzYHv0/edit?usp=sharing"",""สตูล!J803"")"),0)</f>
        <v>0</v>
      </c>
      <c r="U87" s="428">
        <f ca="1">IFERROR(__xludf.DUMMYFUNCTION("IMPORTRANGE(""https://docs.google.com/spreadsheets/d/16cywr71Fj4fA5OGRHsZh30ZG2gwJhMAQv69oVBzYHv0/edit?usp=sharing"",""สตูล!J802"")"),0)</f>
        <v>0</v>
      </c>
    </row>
    <row r="88" spans="1:21" ht="24" customHeight="1" x14ac:dyDescent="0.3">
      <c r="A88" s="192">
        <v>14</v>
      </c>
      <c r="B88" s="193" t="s">
        <v>105</v>
      </c>
      <c r="C88" s="204">
        <f t="shared" ca="1" si="39"/>
        <v>0</v>
      </c>
      <c r="D88" s="202">
        <f ca="1">IFERROR(__xludf.DUMMYFUNCTION("IMPORTRANGE(""https://docs.google.com/spreadsheets/d/1vO9Sws6kMtrVtyvrAJptINXjK8TFBoX9xLYOVK_C8bQ/edit?usp=sharing"",""สุราษฎร์ธานี!L791"")"),0)</f>
        <v>0</v>
      </c>
      <c r="E88" s="200">
        <f ca="1">IFERROR(__xludf.DUMMYFUNCTION("IMPORTRANGE(""https://docs.google.com/spreadsheets/d/1vO9Sws6kMtrVtyvrAJptINXjK8TFBoX9xLYOVK_C8bQ/edit?usp=sharing"",""สุราษฎร์ธานี!L798"")"),0)</f>
        <v>0</v>
      </c>
      <c r="F88" s="197">
        <f t="shared" ca="1" si="1"/>
        <v>0</v>
      </c>
      <c r="G88" s="205">
        <f t="shared" ca="1" si="2"/>
        <v>0</v>
      </c>
      <c r="H88" s="199">
        <f t="shared" ca="1" si="40"/>
        <v>0</v>
      </c>
      <c r="I88" s="200">
        <f ca="1">IFERROR(__xludf.DUMMYFUNCTION("IMPORTRANGE(""https://docs.google.com/spreadsheets/d/1vO9Sws6kMtrVtyvrAJptINXjK8TFBoX9xLYOVK_C8bQ/edit?usp=sharing"",""สุราษฎร์ธานี!N792"")"),0)</f>
        <v>0</v>
      </c>
      <c r="J88" s="200">
        <f ca="1">IFERROR(__xludf.DUMMYFUNCTION("IMPORTRANGE(""https://docs.google.com/spreadsheets/d/1vO9Sws6kMtrVtyvrAJptINXjK8TFBoX9xLYOVK_C8bQ/edit?usp=sharing"",""สุราษฎร์ธานี!N793"")"),0)</f>
        <v>0</v>
      </c>
      <c r="K88" s="200">
        <f ca="1">IFERROR(__xludf.DUMMYFUNCTION("IMPORTRANGE(""https://docs.google.com/spreadsheets/d/1vO9Sws6kMtrVtyvrAJptINXjK8TFBoX9xLYOVK_C8bQ/edit?usp=sharing"",""สุราษฎร์ธานี!N794"")"),0)</f>
        <v>0</v>
      </c>
      <c r="L88" s="200">
        <f ca="1">IFERROR(__xludf.DUMMYFUNCTION("IMPORTRANGE(""https://docs.google.com/spreadsheets/d/1vO9Sws6kMtrVtyvrAJptINXjK8TFBoX9xLYOVK_C8bQ/edit?usp=sharing"",""สุราษฎร์ธานี!N795"")"),0)</f>
        <v>0</v>
      </c>
      <c r="M88" s="201">
        <f ca="1">IFERROR(__xludf.DUMMYFUNCTION("IMPORTRANGE(""https://docs.google.com/spreadsheets/d/1vO9Sws6kMtrVtyvrAJptINXjK8TFBoX9xLYOVK_C8bQ/edit?usp=sharing"",""สุราษฎร์ธานี!N798"")"),0)</f>
        <v>0</v>
      </c>
      <c r="N88" s="201">
        <f t="shared" ca="1" si="15"/>
        <v>0</v>
      </c>
      <c r="O88" s="202">
        <f ca="1">IFERROR(__xludf.DUMMYFUNCTION("IMPORTRANGE(""https://docs.google.com/spreadsheets/d/1vO9Sws6kMtrVtyvrAJptINXjK8TFBoX9xLYOVK_C8bQ/edit?usp=sharing"",""สุราษฎร์ธานี!I785"")"),0)</f>
        <v>0</v>
      </c>
      <c r="P88" s="202">
        <f t="shared" ca="1" si="41"/>
        <v>0</v>
      </c>
      <c r="Q88" s="203">
        <f t="shared" ca="1" si="12"/>
        <v>0</v>
      </c>
      <c r="R88" s="202">
        <f ca="1">IFERROR(__xludf.DUMMYFUNCTION("IMPORTRANGE(""https://docs.google.com/spreadsheets/d/1vO9Sws6kMtrVtyvrAJptINXjK8TFBoX9xLYOVK_C8bQ/edit?usp=sharing"",""สุราษฎร์ธานี!J801"")"),0)</f>
        <v>0</v>
      </c>
      <c r="S88" s="202">
        <f ca="1">IFERROR(__xludf.DUMMYFUNCTION("IMPORTRANGE(""https://docs.google.com/spreadsheets/d/1vO9Sws6kMtrVtyvrAJptINXjK8TFBoX9xLYOVK_C8bQ/edit?usp=sharing"",""สุราษฎร์ธานี!J800"")"),0)</f>
        <v>0</v>
      </c>
      <c r="T88" s="430">
        <f ca="1">IFERROR(__xludf.DUMMYFUNCTION("IMPORTRANGE(""https://docs.google.com/spreadsheets/d/1vO9Sws6kMtrVtyvrAJptINXjK8TFBoX9xLYOVK_C8bQ/edit?usp=sharing"",""สุราษฎร์ธานี!J803"")"),0)</f>
        <v>0</v>
      </c>
      <c r="U88" s="430">
        <f ca="1">IFERROR(__xludf.DUMMYFUNCTION("IMPORTRANGE(""https://docs.google.com/spreadsheets/d/1vO9Sws6kMtrVtyvrAJptINXjK8TFBoX9xLYOVK_C8bQ/edit?usp=sharing"",""สุราษฎร์ธานี!J802"")"),0)</f>
        <v>0</v>
      </c>
    </row>
    <row r="89" spans="1:21" ht="21" hidden="1" customHeight="1" x14ac:dyDescent="0.3">
      <c r="A89" s="341" t="s">
        <v>106</v>
      </c>
      <c r="B89" s="339"/>
      <c r="C89" s="207">
        <f>+C90+C91+C92+C93+C94+C95+C96+C97+C98+C99+C100+C101+C102+C103</f>
        <v>0</v>
      </c>
      <c r="D89" s="166"/>
      <c r="E89" s="166"/>
      <c r="F89" s="165">
        <f t="shared" si="1"/>
        <v>0</v>
      </c>
      <c r="G89" s="167">
        <f t="shared" si="2"/>
        <v>0</v>
      </c>
      <c r="H89" s="165">
        <f>+H90+H91+H92+H93+H94+H95+H96+H97+H98+H99+H100+H101+H102+H103</f>
        <v>0</v>
      </c>
      <c r="I89" s="166"/>
      <c r="J89" s="166"/>
      <c r="K89" s="166"/>
      <c r="L89" s="166"/>
      <c r="M89" s="168"/>
      <c r="N89" s="168">
        <f t="shared" si="15"/>
        <v>0</v>
      </c>
      <c r="O89" s="166"/>
      <c r="P89" s="166"/>
      <c r="Q89" s="170"/>
      <c r="R89" s="166"/>
      <c r="S89" s="166"/>
      <c r="T89" s="166"/>
      <c r="U89" s="166"/>
    </row>
    <row r="90" spans="1:21" ht="24" hidden="1" customHeight="1" x14ac:dyDescent="0.3">
      <c r="A90" s="178">
        <v>1</v>
      </c>
      <c r="B90" s="179" t="s">
        <v>107</v>
      </c>
      <c r="C90" s="180">
        <f t="shared" ref="C90:C103" si="42">D90+E90</f>
        <v>0</v>
      </c>
      <c r="D90" s="181">
        <v>0</v>
      </c>
      <c r="E90" s="187">
        <v>0</v>
      </c>
      <c r="F90" s="182">
        <f t="shared" si="1"/>
        <v>0</v>
      </c>
      <c r="G90" s="183">
        <f t="shared" si="2"/>
        <v>0</v>
      </c>
      <c r="H90" s="184">
        <f t="shared" ref="H90:H103" si="43">I90+J90+K90+L90</f>
        <v>0</v>
      </c>
      <c r="I90" s="187">
        <v>0</v>
      </c>
      <c r="J90" s="187">
        <v>0</v>
      </c>
      <c r="K90" s="187">
        <v>0</v>
      </c>
      <c r="L90" s="187">
        <v>0</v>
      </c>
      <c r="M90" s="185">
        <v>0</v>
      </c>
      <c r="N90" s="185">
        <f t="shared" si="15"/>
        <v>0</v>
      </c>
      <c r="O90" s="208"/>
      <c r="P90" s="208"/>
      <c r="Q90" s="209"/>
      <c r="R90" s="208"/>
      <c r="S90" s="208"/>
      <c r="T90" s="208"/>
      <c r="U90" s="208"/>
    </row>
    <row r="91" spans="1:21" ht="24" hidden="1" customHeight="1" x14ac:dyDescent="0.3">
      <c r="A91" s="178">
        <v>2</v>
      </c>
      <c r="B91" s="179" t="s">
        <v>108</v>
      </c>
      <c r="C91" s="180">
        <f t="shared" si="42"/>
        <v>0</v>
      </c>
      <c r="D91" s="181">
        <v>0</v>
      </c>
      <c r="E91" s="187">
        <v>0</v>
      </c>
      <c r="F91" s="182">
        <f t="shared" si="1"/>
        <v>0</v>
      </c>
      <c r="G91" s="183">
        <f t="shared" si="2"/>
        <v>0</v>
      </c>
      <c r="H91" s="184">
        <f t="shared" si="43"/>
        <v>0</v>
      </c>
      <c r="I91" s="187">
        <v>0</v>
      </c>
      <c r="J91" s="187">
        <v>0</v>
      </c>
      <c r="K91" s="187">
        <v>0</v>
      </c>
      <c r="L91" s="187">
        <v>0</v>
      </c>
      <c r="M91" s="185">
        <v>0</v>
      </c>
      <c r="N91" s="185">
        <f t="shared" si="15"/>
        <v>0</v>
      </c>
      <c r="O91" s="208"/>
      <c r="P91" s="208"/>
      <c r="Q91" s="209"/>
      <c r="R91" s="208"/>
      <c r="S91" s="208"/>
      <c r="T91" s="208"/>
      <c r="U91" s="208"/>
    </row>
    <row r="92" spans="1:21" ht="24" hidden="1" customHeight="1" x14ac:dyDescent="0.3">
      <c r="A92" s="178">
        <v>3</v>
      </c>
      <c r="B92" s="179" t="s">
        <v>109</v>
      </c>
      <c r="C92" s="180">
        <f t="shared" si="42"/>
        <v>0</v>
      </c>
      <c r="D92" s="181">
        <v>0</v>
      </c>
      <c r="E92" s="187">
        <v>0</v>
      </c>
      <c r="F92" s="182">
        <f t="shared" si="1"/>
        <v>0</v>
      </c>
      <c r="G92" s="183">
        <f t="shared" si="2"/>
        <v>0</v>
      </c>
      <c r="H92" s="184">
        <f t="shared" si="43"/>
        <v>0</v>
      </c>
      <c r="I92" s="187">
        <v>0</v>
      </c>
      <c r="J92" s="187">
        <v>0</v>
      </c>
      <c r="K92" s="187">
        <v>0</v>
      </c>
      <c r="L92" s="187">
        <v>0</v>
      </c>
      <c r="M92" s="185">
        <v>0</v>
      </c>
      <c r="N92" s="185">
        <f t="shared" si="15"/>
        <v>0</v>
      </c>
      <c r="O92" s="208"/>
      <c r="P92" s="208"/>
      <c r="Q92" s="209"/>
      <c r="R92" s="208"/>
      <c r="S92" s="208"/>
      <c r="T92" s="208"/>
      <c r="U92" s="208"/>
    </row>
    <row r="93" spans="1:21" ht="24" hidden="1" customHeight="1" x14ac:dyDescent="0.3">
      <c r="A93" s="178">
        <f t="shared" ref="A93:A103" si="44">+A92+1</f>
        <v>4</v>
      </c>
      <c r="B93" s="179" t="s">
        <v>110</v>
      </c>
      <c r="C93" s="180">
        <f t="shared" si="42"/>
        <v>0</v>
      </c>
      <c r="D93" s="181">
        <v>0</v>
      </c>
      <c r="E93" s="187">
        <v>0</v>
      </c>
      <c r="F93" s="182">
        <f t="shared" si="1"/>
        <v>0</v>
      </c>
      <c r="G93" s="183">
        <f t="shared" si="2"/>
        <v>0</v>
      </c>
      <c r="H93" s="184">
        <f t="shared" si="43"/>
        <v>0</v>
      </c>
      <c r="I93" s="187">
        <v>0</v>
      </c>
      <c r="J93" s="187">
        <v>0</v>
      </c>
      <c r="K93" s="187">
        <v>0</v>
      </c>
      <c r="L93" s="187">
        <v>0</v>
      </c>
      <c r="M93" s="185">
        <v>0</v>
      </c>
      <c r="N93" s="185">
        <f t="shared" si="15"/>
        <v>0</v>
      </c>
      <c r="O93" s="208"/>
      <c r="P93" s="208"/>
      <c r="Q93" s="209"/>
      <c r="R93" s="208"/>
      <c r="S93" s="208"/>
      <c r="T93" s="208"/>
      <c r="U93" s="208"/>
    </row>
    <row r="94" spans="1:21" ht="24" hidden="1" customHeight="1" x14ac:dyDescent="0.3">
      <c r="A94" s="178">
        <f t="shared" si="44"/>
        <v>5</v>
      </c>
      <c r="B94" s="179" t="s">
        <v>111</v>
      </c>
      <c r="C94" s="180">
        <f t="shared" si="42"/>
        <v>0</v>
      </c>
      <c r="D94" s="181">
        <v>0</v>
      </c>
      <c r="E94" s="187">
        <v>0</v>
      </c>
      <c r="F94" s="182">
        <f t="shared" si="1"/>
        <v>0</v>
      </c>
      <c r="G94" s="183">
        <f t="shared" si="2"/>
        <v>0</v>
      </c>
      <c r="H94" s="184">
        <f t="shared" si="43"/>
        <v>0</v>
      </c>
      <c r="I94" s="187">
        <v>0</v>
      </c>
      <c r="J94" s="187">
        <v>0</v>
      </c>
      <c r="K94" s="187">
        <v>0</v>
      </c>
      <c r="L94" s="187">
        <v>0</v>
      </c>
      <c r="M94" s="185">
        <v>0</v>
      </c>
      <c r="N94" s="185">
        <f t="shared" si="15"/>
        <v>0</v>
      </c>
      <c r="O94" s="208"/>
      <c r="P94" s="208"/>
      <c r="Q94" s="209"/>
      <c r="R94" s="208"/>
      <c r="S94" s="208"/>
      <c r="T94" s="208"/>
      <c r="U94" s="208"/>
    </row>
    <row r="95" spans="1:21" ht="24" hidden="1" customHeight="1" x14ac:dyDescent="0.3">
      <c r="A95" s="178">
        <f t="shared" si="44"/>
        <v>6</v>
      </c>
      <c r="B95" s="179" t="s">
        <v>112</v>
      </c>
      <c r="C95" s="180">
        <f t="shared" si="42"/>
        <v>0</v>
      </c>
      <c r="D95" s="181">
        <v>0</v>
      </c>
      <c r="E95" s="187">
        <v>0</v>
      </c>
      <c r="F95" s="182">
        <f t="shared" si="1"/>
        <v>0</v>
      </c>
      <c r="G95" s="183">
        <f t="shared" si="2"/>
        <v>0</v>
      </c>
      <c r="H95" s="184">
        <f t="shared" si="43"/>
        <v>0</v>
      </c>
      <c r="I95" s="187">
        <v>0</v>
      </c>
      <c r="J95" s="187">
        <v>0</v>
      </c>
      <c r="K95" s="187">
        <v>0</v>
      </c>
      <c r="L95" s="187">
        <v>0</v>
      </c>
      <c r="M95" s="185">
        <v>0</v>
      </c>
      <c r="N95" s="185">
        <f t="shared" si="15"/>
        <v>0</v>
      </c>
      <c r="O95" s="208"/>
      <c r="P95" s="208"/>
      <c r="Q95" s="209"/>
      <c r="R95" s="208"/>
      <c r="S95" s="208"/>
      <c r="T95" s="208"/>
      <c r="U95" s="208"/>
    </row>
    <row r="96" spans="1:21" ht="24" hidden="1" customHeight="1" x14ac:dyDescent="0.3">
      <c r="A96" s="178">
        <f t="shared" si="44"/>
        <v>7</v>
      </c>
      <c r="B96" s="179" t="s">
        <v>113</v>
      </c>
      <c r="C96" s="180">
        <f t="shared" si="42"/>
        <v>0</v>
      </c>
      <c r="D96" s="181">
        <v>0</v>
      </c>
      <c r="E96" s="187">
        <v>0</v>
      </c>
      <c r="F96" s="182">
        <f t="shared" si="1"/>
        <v>0</v>
      </c>
      <c r="G96" s="183">
        <f t="shared" si="2"/>
        <v>0</v>
      </c>
      <c r="H96" s="184">
        <f t="shared" si="43"/>
        <v>0</v>
      </c>
      <c r="I96" s="187">
        <v>0</v>
      </c>
      <c r="J96" s="187">
        <v>0</v>
      </c>
      <c r="K96" s="187">
        <v>0</v>
      </c>
      <c r="L96" s="187">
        <v>0</v>
      </c>
      <c r="M96" s="185">
        <v>0</v>
      </c>
      <c r="N96" s="185">
        <f t="shared" si="15"/>
        <v>0</v>
      </c>
      <c r="O96" s="208"/>
      <c r="P96" s="208"/>
      <c r="Q96" s="209"/>
      <c r="R96" s="208"/>
      <c r="S96" s="208"/>
      <c r="T96" s="208"/>
      <c r="U96" s="208"/>
    </row>
    <row r="97" spans="1:21" ht="24" hidden="1" customHeight="1" x14ac:dyDescent="0.3">
      <c r="A97" s="178">
        <f t="shared" si="44"/>
        <v>8</v>
      </c>
      <c r="B97" s="179" t="s">
        <v>114</v>
      </c>
      <c r="C97" s="180">
        <f t="shared" si="42"/>
        <v>0</v>
      </c>
      <c r="D97" s="181">
        <v>0</v>
      </c>
      <c r="E97" s="187">
        <v>0</v>
      </c>
      <c r="F97" s="182">
        <f t="shared" si="1"/>
        <v>0</v>
      </c>
      <c r="G97" s="183">
        <f t="shared" si="2"/>
        <v>0</v>
      </c>
      <c r="H97" s="184">
        <f t="shared" si="43"/>
        <v>0</v>
      </c>
      <c r="I97" s="187">
        <v>0</v>
      </c>
      <c r="J97" s="187">
        <v>0</v>
      </c>
      <c r="K97" s="187">
        <v>0</v>
      </c>
      <c r="L97" s="187">
        <v>0</v>
      </c>
      <c r="M97" s="185">
        <v>0</v>
      </c>
      <c r="N97" s="185">
        <f t="shared" si="15"/>
        <v>0</v>
      </c>
      <c r="O97" s="208"/>
      <c r="P97" s="208"/>
      <c r="Q97" s="209"/>
      <c r="R97" s="208"/>
      <c r="S97" s="208"/>
      <c r="T97" s="208"/>
      <c r="U97" s="208"/>
    </row>
    <row r="98" spans="1:21" ht="24" hidden="1" customHeight="1" x14ac:dyDescent="0.3">
      <c r="A98" s="178">
        <f t="shared" si="44"/>
        <v>9</v>
      </c>
      <c r="B98" s="179" t="s">
        <v>115</v>
      </c>
      <c r="C98" s="180">
        <f t="shared" si="42"/>
        <v>0</v>
      </c>
      <c r="D98" s="181">
        <v>0</v>
      </c>
      <c r="E98" s="187">
        <v>0</v>
      </c>
      <c r="F98" s="182">
        <f t="shared" si="1"/>
        <v>0</v>
      </c>
      <c r="G98" s="183">
        <f t="shared" si="2"/>
        <v>0</v>
      </c>
      <c r="H98" s="184">
        <f t="shared" si="43"/>
        <v>0</v>
      </c>
      <c r="I98" s="187">
        <v>0</v>
      </c>
      <c r="J98" s="187">
        <v>0</v>
      </c>
      <c r="K98" s="187">
        <v>0</v>
      </c>
      <c r="L98" s="187">
        <v>0</v>
      </c>
      <c r="M98" s="185">
        <v>0</v>
      </c>
      <c r="N98" s="185">
        <f t="shared" si="15"/>
        <v>0</v>
      </c>
      <c r="O98" s="208"/>
      <c r="P98" s="208"/>
      <c r="Q98" s="209"/>
      <c r="R98" s="208"/>
      <c r="S98" s="208"/>
      <c r="T98" s="208"/>
      <c r="U98" s="208"/>
    </row>
    <row r="99" spans="1:21" ht="24" hidden="1" customHeight="1" x14ac:dyDescent="0.3">
      <c r="A99" s="178">
        <f t="shared" si="44"/>
        <v>10</v>
      </c>
      <c r="B99" s="179" t="s">
        <v>116</v>
      </c>
      <c r="C99" s="180">
        <f t="shared" si="42"/>
        <v>0</v>
      </c>
      <c r="D99" s="181">
        <v>0</v>
      </c>
      <c r="E99" s="187">
        <v>0</v>
      </c>
      <c r="F99" s="182">
        <f t="shared" si="1"/>
        <v>0</v>
      </c>
      <c r="G99" s="183">
        <f t="shared" si="2"/>
        <v>0</v>
      </c>
      <c r="H99" s="184">
        <f t="shared" si="43"/>
        <v>0</v>
      </c>
      <c r="I99" s="187">
        <v>0</v>
      </c>
      <c r="J99" s="187">
        <v>0</v>
      </c>
      <c r="K99" s="187">
        <v>0</v>
      </c>
      <c r="L99" s="187">
        <v>0</v>
      </c>
      <c r="M99" s="185">
        <v>0</v>
      </c>
      <c r="N99" s="185">
        <f t="shared" si="15"/>
        <v>0</v>
      </c>
      <c r="O99" s="208"/>
      <c r="P99" s="208"/>
      <c r="Q99" s="209"/>
      <c r="R99" s="208"/>
      <c r="S99" s="208"/>
      <c r="T99" s="208"/>
      <c r="U99" s="208"/>
    </row>
    <row r="100" spans="1:21" ht="24" hidden="1" customHeight="1" x14ac:dyDescent="0.3">
      <c r="A100" s="178">
        <f t="shared" si="44"/>
        <v>11</v>
      </c>
      <c r="B100" s="179" t="s">
        <v>117</v>
      </c>
      <c r="C100" s="180">
        <f t="shared" si="42"/>
        <v>0</v>
      </c>
      <c r="D100" s="181">
        <v>0</v>
      </c>
      <c r="E100" s="187">
        <v>0</v>
      </c>
      <c r="F100" s="182">
        <f t="shared" si="1"/>
        <v>0</v>
      </c>
      <c r="G100" s="183">
        <f t="shared" si="2"/>
        <v>0</v>
      </c>
      <c r="H100" s="184">
        <f t="shared" si="43"/>
        <v>0</v>
      </c>
      <c r="I100" s="187">
        <v>0</v>
      </c>
      <c r="J100" s="187">
        <v>0</v>
      </c>
      <c r="K100" s="187">
        <v>0</v>
      </c>
      <c r="L100" s="187">
        <v>0</v>
      </c>
      <c r="M100" s="185">
        <v>0</v>
      </c>
      <c r="N100" s="185">
        <f t="shared" si="15"/>
        <v>0</v>
      </c>
      <c r="O100" s="208"/>
      <c r="P100" s="208"/>
      <c r="Q100" s="209"/>
      <c r="R100" s="208"/>
      <c r="S100" s="208"/>
      <c r="T100" s="208"/>
      <c r="U100" s="208"/>
    </row>
    <row r="101" spans="1:21" ht="24" hidden="1" customHeight="1" x14ac:dyDescent="0.3">
      <c r="A101" s="178">
        <f t="shared" si="44"/>
        <v>12</v>
      </c>
      <c r="B101" s="179" t="s">
        <v>118</v>
      </c>
      <c r="C101" s="180">
        <f t="shared" si="42"/>
        <v>0</v>
      </c>
      <c r="D101" s="181">
        <v>0</v>
      </c>
      <c r="E101" s="187">
        <v>0</v>
      </c>
      <c r="F101" s="182">
        <f t="shared" si="1"/>
        <v>0</v>
      </c>
      <c r="G101" s="183">
        <f t="shared" si="2"/>
        <v>0</v>
      </c>
      <c r="H101" s="184">
        <f t="shared" si="43"/>
        <v>0</v>
      </c>
      <c r="I101" s="187">
        <v>0</v>
      </c>
      <c r="J101" s="187">
        <v>0</v>
      </c>
      <c r="K101" s="187">
        <v>0</v>
      </c>
      <c r="L101" s="187">
        <v>0</v>
      </c>
      <c r="M101" s="185">
        <v>0</v>
      </c>
      <c r="N101" s="185">
        <f t="shared" si="15"/>
        <v>0</v>
      </c>
      <c r="O101" s="208"/>
      <c r="P101" s="208"/>
      <c r="Q101" s="209"/>
      <c r="R101" s="208"/>
      <c r="S101" s="208"/>
      <c r="T101" s="208"/>
      <c r="U101" s="208"/>
    </row>
    <row r="102" spans="1:21" ht="24" hidden="1" customHeight="1" x14ac:dyDescent="0.3">
      <c r="A102" s="178">
        <f t="shared" si="44"/>
        <v>13</v>
      </c>
      <c r="B102" s="179" t="s">
        <v>119</v>
      </c>
      <c r="C102" s="180">
        <f t="shared" si="42"/>
        <v>0</v>
      </c>
      <c r="D102" s="181">
        <v>0</v>
      </c>
      <c r="E102" s="187">
        <v>0</v>
      </c>
      <c r="F102" s="182">
        <f t="shared" si="1"/>
        <v>0</v>
      </c>
      <c r="G102" s="183">
        <f t="shared" si="2"/>
        <v>0</v>
      </c>
      <c r="H102" s="184">
        <f t="shared" si="43"/>
        <v>0</v>
      </c>
      <c r="I102" s="187">
        <v>0</v>
      </c>
      <c r="J102" s="187">
        <v>0</v>
      </c>
      <c r="K102" s="187">
        <v>0</v>
      </c>
      <c r="L102" s="187">
        <v>0</v>
      </c>
      <c r="M102" s="185">
        <v>0</v>
      </c>
      <c r="N102" s="185">
        <f t="shared" si="15"/>
        <v>0</v>
      </c>
      <c r="O102" s="208"/>
      <c r="P102" s="208"/>
      <c r="Q102" s="209"/>
      <c r="R102" s="208"/>
      <c r="S102" s="208"/>
      <c r="T102" s="208"/>
      <c r="U102" s="208"/>
    </row>
    <row r="103" spans="1:21" ht="24" hidden="1" customHeight="1" x14ac:dyDescent="0.3">
      <c r="A103" s="192">
        <f t="shared" si="44"/>
        <v>14</v>
      </c>
      <c r="B103" s="193" t="s">
        <v>120</v>
      </c>
      <c r="C103" s="204">
        <f t="shared" si="42"/>
        <v>0</v>
      </c>
      <c r="D103" s="202">
        <v>0</v>
      </c>
      <c r="E103" s="200">
        <v>0</v>
      </c>
      <c r="F103" s="197">
        <f t="shared" si="1"/>
        <v>0</v>
      </c>
      <c r="G103" s="205">
        <f t="shared" si="2"/>
        <v>0</v>
      </c>
      <c r="H103" s="199">
        <f t="shared" si="43"/>
        <v>0</v>
      </c>
      <c r="I103" s="200">
        <v>0</v>
      </c>
      <c r="J103" s="200">
        <v>0</v>
      </c>
      <c r="K103" s="200">
        <v>0</v>
      </c>
      <c r="L103" s="200">
        <v>0</v>
      </c>
      <c r="M103" s="201">
        <v>0</v>
      </c>
      <c r="N103" s="201">
        <f t="shared" si="15"/>
        <v>0</v>
      </c>
      <c r="O103" s="210"/>
      <c r="P103" s="210"/>
      <c r="Q103" s="211"/>
      <c r="R103" s="210"/>
      <c r="S103" s="210"/>
      <c r="T103" s="210"/>
      <c r="U103" s="210"/>
    </row>
    <row r="104" spans="1:21" ht="21" hidden="1" customHeight="1" x14ac:dyDescent="0.3">
      <c r="A104" s="341" t="s">
        <v>121</v>
      </c>
      <c r="B104" s="339"/>
      <c r="C104" s="207">
        <f>SUM(C105:C116)</f>
        <v>0</v>
      </c>
      <c r="D104" s="166"/>
      <c r="E104" s="166"/>
      <c r="F104" s="165">
        <f t="shared" si="1"/>
        <v>0</v>
      </c>
      <c r="G104" s="167">
        <f t="shared" si="2"/>
        <v>0</v>
      </c>
      <c r="H104" s="165">
        <f>SUM(H105:H116)</f>
        <v>0</v>
      </c>
      <c r="I104" s="166"/>
      <c r="J104" s="166"/>
      <c r="K104" s="166"/>
      <c r="L104" s="166"/>
      <c r="M104" s="166"/>
      <c r="N104" s="165">
        <f t="shared" si="15"/>
        <v>0</v>
      </c>
      <c r="O104" s="166"/>
      <c r="P104" s="166"/>
      <c r="Q104" s="166"/>
      <c r="R104" s="166"/>
      <c r="S104" s="166"/>
      <c r="T104" s="166"/>
      <c r="U104" s="166"/>
    </row>
    <row r="105" spans="1:21" ht="24" hidden="1" customHeight="1" x14ac:dyDescent="0.3">
      <c r="A105" s="178">
        <v>1</v>
      </c>
      <c r="B105" s="212" t="s">
        <v>122</v>
      </c>
      <c r="C105" s="180">
        <f t="shared" ref="C105:C116" si="45">D105+E105</f>
        <v>0</v>
      </c>
      <c r="D105" s="181">
        <v>0</v>
      </c>
      <c r="E105" s="187">
        <v>0</v>
      </c>
      <c r="F105" s="182">
        <f t="shared" si="1"/>
        <v>0</v>
      </c>
      <c r="G105" s="183">
        <f t="shared" si="2"/>
        <v>0</v>
      </c>
      <c r="H105" s="184">
        <f t="shared" ref="H105:H116" si="46">I105+J105+K105+L105</f>
        <v>0</v>
      </c>
      <c r="I105" s="187">
        <v>0</v>
      </c>
      <c r="J105" s="187">
        <v>0</v>
      </c>
      <c r="K105" s="187">
        <v>0</v>
      </c>
      <c r="L105" s="187">
        <v>0</v>
      </c>
      <c r="M105" s="185">
        <v>0</v>
      </c>
      <c r="N105" s="185">
        <f t="shared" si="15"/>
        <v>0</v>
      </c>
      <c r="O105" s="208"/>
      <c r="P105" s="208"/>
      <c r="Q105" s="208"/>
      <c r="R105" s="208"/>
      <c r="S105" s="208"/>
      <c r="T105" s="208"/>
      <c r="U105" s="208"/>
    </row>
    <row r="106" spans="1:21" ht="24" hidden="1" customHeight="1" x14ac:dyDescent="0.3">
      <c r="A106" s="178">
        <v>2</v>
      </c>
      <c r="B106" s="212" t="s">
        <v>123</v>
      </c>
      <c r="C106" s="180">
        <f t="shared" si="45"/>
        <v>0</v>
      </c>
      <c r="D106" s="181">
        <v>0</v>
      </c>
      <c r="E106" s="187">
        <v>0</v>
      </c>
      <c r="F106" s="182">
        <f t="shared" si="1"/>
        <v>0</v>
      </c>
      <c r="G106" s="183">
        <f t="shared" si="2"/>
        <v>0</v>
      </c>
      <c r="H106" s="184">
        <f t="shared" si="46"/>
        <v>0</v>
      </c>
      <c r="I106" s="187">
        <v>0</v>
      </c>
      <c r="J106" s="187">
        <v>0</v>
      </c>
      <c r="K106" s="187">
        <v>0</v>
      </c>
      <c r="L106" s="187">
        <v>0</v>
      </c>
      <c r="M106" s="185">
        <v>0</v>
      </c>
      <c r="N106" s="185">
        <f t="shared" si="15"/>
        <v>0</v>
      </c>
      <c r="O106" s="208"/>
      <c r="P106" s="208"/>
      <c r="Q106" s="208"/>
      <c r="R106" s="208"/>
      <c r="S106" s="208"/>
      <c r="T106" s="208"/>
      <c r="U106" s="208"/>
    </row>
    <row r="107" spans="1:21" ht="24" hidden="1" customHeight="1" x14ac:dyDescent="0.3">
      <c r="A107" s="178">
        <v>3</v>
      </c>
      <c r="B107" s="212" t="s">
        <v>124</v>
      </c>
      <c r="C107" s="180">
        <f t="shared" si="45"/>
        <v>0</v>
      </c>
      <c r="D107" s="181">
        <v>0</v>
      </c>
      <c r="E107" s="187">
        <v>0</v>
      </c>
      <c r="F107" s="182">
        <f t="shared" si="1"/>
        <v>0</v>
      </c>
      <c r="G107" s="183">
        <f t="shared" si="2"/>
        <v>0</v>
      </c>
      <c r="H107" s="184">
        <f t="shared" si="46"/>
        <v>0</v>
      </c>
      <c r="I107" s="187">
        <v>0</v>
      </c>
      <c r="J107" s="187">
        <v>0</v>
      </c>
      <c r="K107" s="187">
        <v>0</v>
      </c>
      <c r="L107" s="187">
        <v>0</v>
      </c>
      <c r="M107" s="185">
        <v>0</v>
      </c>
      <c r="N107" s="185">
        <f t="shared" si="15"/>
        <v>0</v>
      </c>
      <c r="O107" s="208"/>
      <c r="P107" s="208"/>
      <c r="Q107" s="208"/>
      <c r="R107" s="208"/>
      <c r="S107" s="208"/>
      <c r="T107" s="208"/>
      <c r="U107" s="208"/>
    </row>
    <row r="108" spans="1:21" ht="24" hidden="1" customHeight="1" x14ac:dyDescent="0.3">
      <c r="A108" s="213">
        <v>4</v>
      </c>
      <c r="B108" s="212" t="s">
        <v>125</v>
      </c>
      <c r="C108" s="180">
        <f t="shared" si="45"/>
        <v>0</v>
      </c>
      <c r="D108" s="181">
        <v>0</v>
      </c>
      <c r="E108" s="187">
        <v>0</v>
      </c>
      <c r="F108" s="182">
        <f t="shared" si="1"/>
        <v>0</v>
      </c>
      <c r="G108" s="183">
        <f t="shared" si="2"/>
        <v>0</v>
      </c>
      <c r="H108" s="184">
        <f t="shared" si="46"/>
        <v>0</v>
      </c>
      <c r="I108" s="187">
        <v>0</v>
      </c>
      <c r="J108" s="187">
        <v>0</v>
      </c>
      <c r="K108" s="187">
        <v>0</v>
      </c>
      <c r="L108" s="187">
        <v>0</v>
      </c>
      <c r="M108" s="185">
        <v>0</v>
      </c>
      <c r="N108" s="185">
        <f t="shared" si="15"/>
        <v>0</v>
      </c>
      <c r="O108" s="208"/>
      <c r="P108" s="208"/>
      <c r="Q108" s="208"/>
      <c r="R108" s="208"/>
      <c r="S108" s="208"/>
      <c r="T108" s="208"/>
      <c r="U108" s="208"/>
    </row>
    <row r="109" spans="1:21" ht="24" hidden="1" customHeight="1" x14ac:dyDescent="0.3">
      <c r="A109" s="213">
        <v>5</v>
      </c>
      <c r="B109" s="212" t="s">
        <v>126</v>
      </c>
      <c r="C109" s="180">
        <f t="shared" si="45"/>
        <v>0</v>
      </c>
      <c r="D109" s="181">
        <v>0</v>
      </c>
      <c r="E109" s="187">
        <v>0</v>
      </c>
      <c r="F109" s="182">
        <f t="shared" si="1"/>
        <v>0</v>
      </c>
      <c r="G109" s="183">
        <f t="shared" si="2"/>
        <v>0</v>
      </c>
      <c r="H109" s="184">
        <f t="shared" si="46"/>
        <v>0</v>
      </c>
      <c r="I109" s="187">
        <v>0</v>
      </c>
      <c r="J109" s="187">
        <v>0</v>
      </c>
      <c r="K109" s="187">
        <v>0</v>
      </c>
      <c r="L109" s="187">
        <v>0</v>
      </c>
      <c r="M109" s="185">
        <v>0</v>
      </c>
      <c r="N109" s="185">
        <f t="shared" si="15"/>
        <v>0</v>
      </c>
      <c r="O109" s="208"/>
      <c r="P109" s="208"/>
      <c r="Q109" s="208"/>
      <c r="R109" s="208"/>
      <c r="S109" s="208"/>
      <c r="T109" s="208"/>
      <c r="U109" s="208"/>
    </row>
    <row r="110" spans="1:21" ht="24" hidden="1" customHeight="1" x14ac:dyDescent="0.3">
      <c r="A110" s="213">
        <v>6</v>
      </c>
      <c r="B110" s="212" t="s">
        <v>127</v>
      </c>
      <c r="C110" s="180">
        <f t="shared" si="45"/>
        <v>0</v>
      </c>
      <c r="D110" s="181">
        <v>0</v>
      </c>
      <c r="E110" s="187">
        <v>0</v>
      </c>
      <c r="F110" s="182">
        <f t="shared" si="1"/>
        <v>0</v>
      </c>
      <c r="G110" s="183">
        <f t="shared" si="2"/>
        <v>0</v>
      </c>
      <c r="H110" s="184">
        <f t="shared" si="46"/>
        <v>0</v>
      </c>
      <c r="I110" s="187">
        <v>0</v>
      </c>
      <c r="J110" s="187">
        <v>0</v>
      </c>
      <c r="K110" s="187">
        <v>0</v>
      </c>
      <c r="L110" s="187">
        <v>0</v>
      </c>
      <c r="M110" s="185">
        <v>0</v>
      </c>
      <c r="N110" s="185">
        <f t="shared" si="15"/>
        <v>0</v>
      </c>
      <c r="O110" s="208"/>
      <c r="P110" s="208"/>
      <c r="Q110" s="208"/>
      <c r="R110" s="208"/>
      <c r="S110" s="208"/>
      <c r="T110" s="208"/>
      <c r="U110" s="208"/>
    </row>
    <row r="111" spans="1:21" ht="24" hidden="1" customHeight="1" x14ac:dyDescent="0.3">
      <c r="A111" s="213">
        <v>7</v>
      </c>
      <c r="B111" s="212" t="s">
        <v>128</v>
      </c>
      <c r="C111" s="180">
        <f t="shared" si="45"/>
        <v>0</v>
      </c>
      <c r="D111" s="181">
        <v>0</v>
      </c>
      <c r="E111" s="187">
        <v>0</v>
      </c>
      <c r="F111" s="182">
        <f t="shared" si="1"/>
        <v>0</v>
      </c>
      <c r="G111" s="183">
        <f t="shared" si="2"/>
        <v>0</v>
      </c>
      <c r="H111" s="184">
        <f t="shared" si="46"/>
        <v>0</v>
      </c>
      <c r="I111" s="187">
        <v>0</v>
      </c>
      <c r="J111" s="187">
        <v>0</v>
      </c>
      <c r="K111" s="187">
        <v>0</v>
      </c>
      <c r="L111" s="187">
        <v>0</v>
      </c>
      <c r="M111" s="185">
        <v>0</v>
      </c>
      <c r="N111" s="185">
        <f t="shared" si="15"/>
        <v>0</v>
      </c>
      <c r="O111" s="208"/>
      <c r="P111" s="208"/>
      <c r="Q111" s="208"/>
      <c r="R111" s="208"/>
      <c r="S111" s="208"/>
      <c r="T111" s="208"/>
      <c r="U111" s="208"/>
    </row>
    <row r="112" spans="1:21" ht="24" hidden="1" customHeight="1" x14ac:dyDescent="0.3">
      <c r="A112" s="213">
        <v>8</v>
      </c>
      <c r="B112" s="212" t="s">
        <v>129</v>
      </c>
      <c r="C112" s="180">
        <f t="shared" si="45"/>
        <v>0</v>
      </c>
      <c r="D112" s="181">
        <v>0</v>
      </c>
      <c r="E112" s="187">
        <v>0</v>
      </c>
      <c r="F112" s="182">
        <f t="shared" si="1"/>
        <v>0</v>
      </c>
      <c r="G112" s="183">
        <f t="shared" si="2"/>
        <v>0</v>
      </c>
      <c r="H112" s="184">
        <f t="shared" si="46"/>
        <v>0</v>
      </c>
      <c r="I112" s="187">
        <v>0</v>
      </c>
      <c r="J112" s="187">
        <v>0</v>
      </c>
      <c r="K112" s="187">
        <v>0</v>
      </c>
      <c r="L112" s="187">
        <v>0</v>
      </c>
      <c r="M112" s="185">
        <v>0</v>
      </c>
      <c r="N112" s="185">
        <f t="shared" si="15"/>
        <v>0</v>
      </c>
      <c r="O112" s="208"/>
      <c r="P112" s="208"/>
      <c r="Q112" s="208"/>
      <c r="R112" s="208"/>
      <c r="S112" s="208"/>
      <c r="T112" s="208"/>
      <c r="U112" s="208"/>
    </row>
    <row r="113" spans="1:21" ht="24" hidden="1" customHeight="1" x14ac:dyDescent="0.3">
      <c r="A113" s="213">
        <v>9</v>
      </c>
      <c r="B113" s="212" t="s">
        <v>130</v>
      </c>
      <c r="C113" s="180">
        <f t="shared" si="45"/>
        <v>0</v>
      </c>
      <c r="D113" s="181">
        <v>0</v>
      </c>
      <c r="E113" s="187">
        <v>0</v>
      </c>
      <c r="F113" s="182">
        <f t="shared" si="1"/>
        <v>0</v>
      </c>
      <c r="G113" s="183">
        <f t="shared" si="2"/>
        <v>0</v>
      </c>
      <c r="H113" s="184">
        <f t="shared" si="46"/>
        <v>0</v>
      </c>
      <c r="I113" s="187">
        <v>0</v>
      </c>
      <c r="J113" s="187">
        <v>0</v>
      </c>
      <c r="K113" s="187">
        <v>0</v>
      </c>
      <c r="L113" s="187">
        <v>0</v>
      </c>
      <c r="M113" s="185">
        <v>0</v>
      </c>
      <c r="N113" s="185">
        <f t="shared" si="15"/>
        <v>0</v>
      </c>
      <c r="O113" s="208"/>
      <c r="P113" s="208"/>
      <c r="Q113" s="208"/>
      <c r="R113" s="208"/>
      <c r="S113" s="208"/>
      <c r="T113" s="208"/>
      <c r="U113" s="208"/>
    </row>
    <row r="114" spans="1:21" ht="24" hidden="1" customHeight="1" x14ac:dyDescent="0.3">
      <c r="A114" s="213">
        <v>10</v>
      </c>
      <c r="B114" s="212" t="s">
        <v>131</v>
      </c>
      <c r="C114" s="180">
        <f t="shared" si="45"/>
        <v>0</v>
      </c>
      <c r="D114" s="181">
        <v>0</v>
      </c>
      <c r="E114" s="187">
        <v>0</v>
      </c>
      <c r="F114" s="182">
        <f t="shared" si="1"/>
        <v>0</v>
      </c>
      <c r="G114" s="183">
        <f t="shared" si="2"/>
        <v>0</v>
      </c>
      <c r="H114" s="184">
        <f t="shared" si="46"/>
        <v>0</v>
      </c>
      <c r="I114" s="187">
        <v>0</v>
      </c>
      <c r="J114" s="187">
        <v>0</v>
      </c>
      <c r="K114" s="187">
        <v>0</v>
      </c>
      <c r="L114" s="187">
        <v>0</v>
      </c>
      <c r="M114" s="185">
        <v>0</v>
      </c>
      <c r="N114" s="185">
        <f t="shared" si="15"/>
        <v>0</v>
      </c>
      <c r="O114" s="208"/>
      <c r="P114" s="208"/>
      <c r="Q114" s="208"/>
      <c r="R114" s="208"/>
      <c r="S114" s="208"/>
      <c r="T114" s="208"/>
      <c r="U114" s="208"/>
    </row>
    <row r="115" spans="1:21" ht="24" hidden="1" customHeight="1" x14ac:dyDescent="0.3">
      <c r="A115" s="213">
        <v>11</v>
      </c>
      <c r="B115" s="212" t="s">
        <v>132</v>
      </c>
      <c r="C115" s="180">
        <f t="shared" si="45"/>
        <v>0</v>
      </c>
      <c r="D115" s="181">
        <v>0</v>
      </c>
      <c r="E115" s="187">
        <v>0</v>
      </c>
      <c r="F115" s="182">
        <f t="shared" si="1"/>
        <v>0</v>
      </c>
      <c r="G115" s="183">
        <f t="shared" si="2"/>
        <v>0</v>
      </c>
      <c r="H115" s="184">
        <f t="shared" si="46"/>
        <v>0</v>
      </c>
      <c r="I115" s="187">
        <v>0</v>
      </c>
      <c r="J115" s="187">
        <v>0</v>
      </c>
      <c r="K115" s="187">
        <v>0</v>
      </c>
      <c r="L115" s="187">
        <v>0</v>
      </c>
      <c r="M115" s="185">
        <v>0</v>
      </c>
      <c r="N115" s="185">
        <f t="shared" si="15"/>
        <v>0</v>
      </c>
      <c r="O115" s="208"/>
      <c r="P115" s="208"/>
      <c r="Q115" s="208"/>
      <c r="R115" s="208"/>
      <c r="S115" s="208"/>
      <c r="T115" s="208"/>
      <c r="U115" s="208"/>
    </row>
    <row r="116" spans="1:21" ht="24" hidden="1" customHeight="1" x14ac:dyDescent="0.3">
      <c r="A116" s="213">
        <v>12</v>
      </c>
      <c r="B116" s="212" t="s">
        <v>133</v>
      </c>
      <c r="C116" s="180">
        <f t="shared" si="45"/>
        <v>0</v>
      </c>
      <c r="D116" s="181">
        <v>0</v>
      </c>
      <c r="E116" s="187">
        <v>0</v>
      </c>
      <c r="F116" s="182">
        <f t="shared" si="1"/>
        <v>0</v>
      </c>
      <c r="G116" s="183">
        <f t="shared" si="2"/>
        <v>0</v>
      </c>
      <c r="H116" s="184">
        <f t="shared" si="46"/>
        <v>0</v>
      </c>
      <c r="I116" s="187">
        <v>0</v>
      </c>
      <c r="J116" s="187">
        <v>0</v>
      </c>
      <c r="K116" s="187">
        <v>0</v>
      </c>
      <c r="L116" s="187">
        <v>0</v>
      </c>
      <c r="M116" s="185">
        <v>0</v>
      </c>
      <c r="N116" s="185">
        <f t="shared" si="15"/>
        <v>0</v>
      </c>
      <c r="O116" s="208"/>
      <c r="P116" s="208"/>
      <c r="Q116" s="208"/>
      <c r="R116" s="208"/>
      <c r="S116" s="208"/>
      <c r="T116" s="208"/>
      <c r="U116" s="208"/>
    </row>
    <row r="117" spans="1:21" ht="24" customHeight="1" x14ac:dyDescent="0.2">
      <c r="A117" s="214"/>
      <c r="B117" s="214"/>
      <c r="C117" s="214"/>
      <c r="D117" s="214"/>
      <c r="E117" s="214"/>
      <c r="F117" s="214"/>
      <c r="G117" s="214"/>
      <c r="H117" s="214"/>
      <c r="I117" s="214"/>
      <c r="J117" s="214"/>
      <c r="K117" s="214"/>
      <c r="L117" s="214"/>
      <c r="M117" s="215"/>
      <c r="N117" s="215"/>
      <c r="O117" s="216"/>
      <c r="P117" s="216"/>
      <c r="Q117" s="216"/>
      <c r="R117" s="216"/>
      <c r="S117" s="216"/>
      <c r="T117" s="216"/>
      <c r="U117" s="216"/>
    </row>
    <row r="118" spans="1:21" ht="24" customHeight="1" x14ac:dyDescent="0.2">
      <c r="A118" s="214"/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  <c r="L118" s="214"/>
      <c r="M118" s="215"/>
      <c r="N118" s="215"/>
      <c r="O118" s="216"/>
      <c r="P118" s="216"/>
      <c r="Q118" s="216"/>
      <c r="R118" s="216"/>
      <c r="S118" s="216"/>
      <c r="T118" s="216"/>
      <c r="U118" s="216"/>
    </row>
    <row r="119" spans="1:21" ht="24" customHeight="1" x14ac:dyDescent="0.2">
      <c r="A119" s="214"/>
      <c r="B119" s="214"/>
      <c r="C119" s="214"/>
      <c r="D119" s="214"/>
      <c r="E119" s="214"/>
      <c r="F119" s="214"/>
      <c r="G119" s="214"/>
      <c r="H119" s="214"/>
      <c r="I119" s="214"/>
      <c r="J119" s="214"/>
      <c r="K119" s="214"/>
      <c r="L119" s="214"/>
      <c r="M119" s="215"/>
      <c r="N119" s="215"/>
      <c r="O119" s="216"/>
      <c r="P119" s="216"/>
      <c r="Q119" s="216"/>
      <c r="R119" s="216"/>
      <c r="S119" s="216"/>
      <c r="T119" s="216"/>
      <c r="U119" s="216"/>
    </row>
    <row r="120" spans="1:21" ht="24" customHeight="1" x14ac:dyDescent="0.2">
      <c r="A120" s="214"/>
      <c r="B120" s="214"/>
      <c r="C120" s="214"/>
      <c r="D120" s="214"/>
      <c r="E120" s="214"/>
      <c r="F120" s="214"/>
      <c r="G120" s="214"/>
      <c r="H120" s="214"/>
      <c r="I120" s="214"/>
      <c r="J120" s="214"/>
      <c r="K120" s="214"/>
      <c r="L120" s="214"/>
      <c r="M120" s="215"/>
      <c r="N120" s="215"/>
      <c r="O120" s="216"/>
      <c r="P120" s="216"/>
      <c r="Q120" s="216"/>
      <c r="R120" s="216"/>
      <c r="S120" s="216"/>
      <c r="T120" s="216"/>
      <c r="U120" s="216"/>
    </row>
    <row r="121" spans="1:21" ht="24" customHeight="1" x14ac:dyDescent="0.2">
      <c r="A121" s="214"/>
      <c r="B121" s="214"/>
      <c r="C121" s="214"/>
      <c r="D121" s="214"/>
      <c r="E121" s="214"/>
      <c r="F121" s="214"/>
      <c r="G121" s="214"/>
      <c r="H121" s="214"/>
      <c r="I121" s="214"/>
      <c r="J121" s="214"/>
      <c r="K121" s="214"/>
      <c r="L121" s="214"/>
      <c r="M121" s="215"/>
      <c r="N121" s="215"/>
      <c r="O121" s="216"/>
      <c r="P121" s="216"/>
      <c r="Q121" s="216"/>
      <c r="R121" s="216"/>
      <c r="S121" s="216"/>
      <c r="T121" s="216"/>
      <c r="U121" s="216"/>
    </row>
    <row r="122" spans="1:21" ht="24" customHeight="1" x14ac:dyDescent="0.2">
      <c r="A122" s="214"/>
      <c r="B122" s="214"/>
      <c r="C122" s="214"/>
      <c r="D122" s="214"/>
      <c r="E122" s="214"/>
      <c r="F122" s="214"/>
      <c r="G122" s="214"/>
      <c r="H122" s="214"/>
      <c r="I122" s="214"/>
      <c r="J122" s="214"/>
      <c r="K122" s="214"/>
      <c r="L122" s="214"/>
      <c r="M122" s="215"/>
      <c r="N122" s="215"/>
      <c r="O122" s="216"/>
      <c r="P122" s="216"/>
      <c r="Q122" s="216"/>
      <c r="R122" s="216"/>
      <c r="S122" s="216"/>
      <c r="T122" s="216"/>
      <c r="U122" s="216"/>
    </row>
    <row r="123" spans="1:21" ht="24" customHeight="1" x14ac:dyDescent="0.2">
      <c r="A123" s="214"/>
      <c r="B123" s="214"/>
      <c r="C123" s="214"/>
      <c r="D123" s="214"/>
      <c r="E123" s="214"/>
      <c r="F123" s="214"/>
      <c r="G123" s="214"/>
      <c r="H123" s="214"/>
      <c r="I123" s="214"/>
      <c r="J123" s="214"/>
      <c r="K123" s="214"/>
      <c r="L123" s="214"/>
      <c r="M123" s="215"/>
      <c r="N123" s="215"/>
      <c r="O123" s="216"/>
      <c r="P123" s="216"/>
      <c r="Q123" s="216"/>
      <c r="R123" s="216"/>
      <c r="S123" s="216"/>
      <c r="T123" s="216"/>
      <c r="U123" s="216"/>
    </row>
    <row r="124" spans="1:21" ht="24" customHeight="1" x14ac:dyDescent="0.2">
      <c r="A124" s="214"/>
      <c r="B124" s="214"/>
      <c r="C124" s="214"/>
      <c r="D124" s="214"/>
      <c r="E124" s="214"/>
      <c r="F124" s="214"/>
      <c r="G124" s="214"/>
      <c r="H124" s="214"/>
      <c r="I124" s="214"/>
      <c r="J124" s="214"/>
      <c r="K124" s="214"/>
      <c r="L124" s="214"/>
      <c r="M124" s="215"/>
      <c r="N124" s="215"/>
      <c r="O124" s="216"/>
      <c r="P124" s="216"/>
      <c r="Q124" s="216"/>
      <c r="R124" s="216"/>
      <c r="S124" s="216"/>
      <c r="T124" s="216"/>
      <c r="U124" s="216"/>
    </row>
    <row r="125" spans="1:21" ht="24" customHeight="1" x14ac:dyDescent="0.2">
      <c r="A125" s="214"/>
      <c r="B125" s="214"/>
      <c r="C125" s="214"/>
      <c r="D125" s="214"/>
      <c r="E125" s="214"/>
      <c r="F125" s="214"/>
      <c r="G125" s="214"/>
      <c r="H125" s="214"/>
      <c r="I125" s="214"/>
      <c r="J125" s="214"/>
      <c r="K125" s="214"/>
      <c r="L125" s="214"/>
      <c r="M125" s="215"/>
      <c r="N125" s="215"/>
      <c r="O125" s="216"/>
      <c r="P125" s="216"/>
      <c r="Q125" s="216"/>
      <c r="R125" s="216"/>
      <c r="S125" s="216"/>
      <c r="T125" s="216"/>
      <c r="U125" s="216"/>
    </row>
    <row r="126" spans="1:21" ht="24" customHeight="1" x14ac:dyDescent="0.2">
      <c r="A126" s="214"/>
      <c r="B126" s="214"/>
      <c r="C126" s="214"/>
      <c r="D126" s="214"/>
      <c r="E126" s="214"/>
      <c r="F126" s="214"/>
      <c r="G126" s="214"/>
      <c r="H126" s="214"/>
      <c r="I126" s="214"/>
      <c r="J126" s="214"/>
      <c r="K126" s="214"/>
      <c r="L126" s="214"/>
      <c r="M126" s="215"/>
      <c r="N126" s="215"/>
      <c r="O126" s="216"/>
      <c r="P126" s="216"/>
      <c r="Q126" s="216"/>
      <c r="R126" s="216"/>
      <c r="S126" s="216"/>
      <c r="T126" s="216"/>
      <c r="U126" s="216"/>
    </row>
    <row r="127" spans="1:21" ht="24" customHeight="1" x14ac:dyDescent="0.2">
      <c r="A127" s="214"/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5"/>
      <c r="N127" s="215"/>
      <c r="O127" s="216"/>
      <c r="P127" s="216"/>
      <c r="Q127" s="216"/>
      <c r="R127" s="216"/>
      <c r="S127" s="216"/>
      <c r="T127" s="216"/>
      <c r="U127" s="216"/>
    </row>
    <row r="128" spans="1:21" ht="24" customHeight="1" x14ac:dyDescent="0.2">
      <c r="A128" s="214"/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5"/>
      <c r="N128" s="215"/>
      <c r="O128" s="216"/>
      <c r="P128" s="216"/>
      <c r="Q128" s="216"/>
      <c r="R128" s="216"/>
      <c r="S128" s="216"/>
      <c r="T128" s="216"/>
      <c r="U128" s="216"/>
    </row>
    <row r="129" spans="1:21" ht="24" customHeight="1" x14ac:dyDescent="0.2">
      <c r="A129" s="214"/>
      <c r="B129" s="214"/>
      <c r="C129" s="214"/>
      <c r="D129" s="214"/>
      <c r="E129" s="214"/>
      <c r="F129" s="214"/>
      <c r="G129" s="214"/>
      <c r="H129" s="214"/>
      <c r="I129" s="214"/>
      <c r="J129" s="214"/>
      <c r="K129" s="214"/>
      <c r="L129" s="214"/>
      <c r="M129" s="215"/>
      <c r="N129" s="215"/>
      <c r="O129" s="216"/>
      <c r="P129" s="216"/>
      <c r="Q129" s="216"/>
      <c r="R129" s="216"/>
      <c r="S129" s="216"/>
      <c r="T129" s="216"/>
      <c r="U129" s="216"/>
    </row>
    <row r="130" spans="1:21" ht="24" customHeight="1" x14ac:dyDescent="0.2">
      <c r="A130" s="214"/>
      <c r="B130" s="214"/>
      <c r="C130" s="214"/>
      <c r="D130" s="214"/>
      <c r="E130" s="214"/>
      <c r="F130" s="214"/>
      <c r="G130" s="214"/>
      <c r="H130" s="214"/>
      <c r="I130" s="214"/>
      <c r="J130" s="214"/>
      <c r="K130" s="214"/>
      <c r="L130" s="214"/>
      <c r="M130" s="215"/>
      <c r="N130" s="215"/>
      <c r="O130" s="216"/>
      <c r="P130" s="216"/>
      <c r="Q130" s="216"/>
      <c r="R130" s="216"/>
      <c r="S130" s="216"/>
      <c r="T130" s="216"/>
      <c r="U130" s="216"/>
    </row>
    <row r="131" spans="1:21" ht="24" customHeight="1" x14ac:dyDescent="0.2">
      <c r="A131" s="214"/>
      <c r="B131" s="214"/>
      <c r="C131" s="214"/>
      <c r="D131" s="214"/>
      <c r="E131" s="214"/>
      <c r="F131" s="214"/>
      <c r="G131" s="214"/>
      <c r="H131" s="214"/>
      <c r="I131" s="214"/>
      <c r="J131" s="214"/>
      <c r="K131" s="214"/>
      <c r="L131" s="214"/>
      <c r="M131" s="215"/>
      <c r="N131" s="215"/>
      <c r="O131" s="216"/>
      <c r="P131" s="216"/>
      <c r="Q131" s="216"/>
      <c r="R131" s="216"/>
      <c r="S131" s="216"/>
      <c r="T131" s="216"/>
      <c r="U131" s="216"/>
    </row>
    <row r="132" spans="1:21" ht="24" customHeight="1" x14ac:dyDescent="0.2">
      <c r="A132" s="214"/>
      <c r="B132" s="214"/>
      <c r="C132" s="214"/>
      <c r="D132" s="214"/>
      <c r="E132" s="214"/>
      <c r="F132" s="214"/>
      <c r="G132" s="214"/>
      <c r="H132" s="214"/>
      <c r="I132" s="214"/>
      <c r="J132" s="214"/>
      <c r="K132" s="214"/>
      <c r="L132" s="214"/>
      <c r="M132" s="215"/>
      <c r="N132" s="215"/>
      <c r="O132" s="216"/>
      <c r="P132" s="216"/>
      <c r="Q132" s="216"/>
      <c r="R132" s="216"/>
      <c r="S132" s="216"/>
      <c r="T132" s="216"/>
      <c r="U132" s="216"/>
    </row>
    <row r="133" spans="1:21" ht="24" customHeight="1" x14ac:dyDescent="0.2">
      <c r="A133" s="214"/>
      <c r="B133" s="214"/>
      <c r="C133" s="214"/>
      <c r="D133" s="214"/>
      <c r="E133" s="214"/>
      <c r="F133" s="214"/>
      <c r="G133" s="214"/>
      <c r="H133" s="214"/>
      <c r="I133" s="214"/>
      <c r="J133" s="214"/>
      <c r="K133" s="214"/>
      <c r="L133" s="214"/>
      <c r="M133" s="215"/>
      <c r="N133" s="215"/>
      <c r="O133" s="216"/>
      <c r="P133" s="216"/>
      <c r="Q133" s="216"/>
      <c r="R133" s="216"/>
      <c r="S133" s="216"/>
      <c r="T133" s="216"/>
      <c r="U133" s="216"/>
    </row>
    <row r="134" spans="1:21" ht="24" customHeight="1" x14ac:dyDescent="0.2">
      <c r="A134" s="214"/>
      <c r="B134" s="214"/>
      <c r="C134" s="214"/>
      <c r="D134" s="214"/>
      <c r="E134" s="214"/>
      <c r="F134" s="214"/>
      <c r="G134" s="214"/>
      <c r="H134" s="214"/>
      <c r="I134" s="214"/>
      <c r="J134" s="214"/>
      <c r="K134" s="214"/>
      <c r="L134" s="214"/>
      <c r="M134" s="215"/>
      <c r="N134" s="215"/>
      <c r="O134" s="216"/>
      <c r="P134" s="216"/>
      <c r="Q134" s="216"/>
      <c r="R134" s="216"/>
      <c r="S134" s="216"/>
      <c r="T134" s="216"/>
      <c r="U134" s="216"/>
    </row>
    <row r="135" spans="1:21" ht="24" customHeight="1" x14ac:dyDescent="0.2">
      <c r="A135" s="214"/>
      <c r="B135" s="214"/>
      <c r="C135" s="214"/>
      <c r="D135" s="214"/>
      <c r="E135" s="214"/>
      <c r="F135" s="214"/>
      <c r="G135" s="214"/>
      <c r="H135" s="214"/>
      <c r="I135" s="214"/>
      <c r="J135" s="214"/>
      <c r="K135" s="214"/>
      <c r="L135" s="214"/>
      <c r="M135" s="215"/>
      <c r="N135" s="215"/>
      <c r="O135" s="216"/>
      <c r="P135" s="216"/>
      <c r="Q135" s="216"/>
      <c r="R135" s="216"/>
      <c r="S135" s="216"/>
      <c r="T135" s="216"/>
      <c r="U135" s="216"/>
    </row>
    <row r="136" spans="1:21" ht="24" customHeight="1" x14ac:dyDescent="0.2">
      <c r="A136" s="214"/>
      <c r="B136" s="214"/>
      <c r="C136" s="214"/>
      <c r="D136" s="214"/>
      <c r="E136" s="214"/>
      <c r="F136" s="214"/>
      <c r="G136" s="214"/>
      <c r="H136" s="214"/>
      <c r="I136" s="214"/>
      <c r="J136" s="214"/>
      <c r="K136" s="214"/>
      <c r="L136" s="214"/>
      <c r="M136" s="215"/>
      <c r="N136" s="215"/>
      <c r="O136" s="216"/>
      <c r="P136" s="216"/>
      <c r="Q136" s="216"/>
      <c r="R136" s="216"/>
      <c r="S136" s="216"/>
      <c r="T136" s="216"/>
      <c r="U136" s="216"/>
    </row>
    <row r="137" spans="1:21" ht="24" customHeight="1" x14ac:dyDescent="0.2">
      <c r="A137" s="214"/>
      <c r="B137" s="214"/>
      <c r="C137" s="214"/>
      <c r="D137" s="214"/>
      <c r="E137" s="214"/>
      <c r="F137" s="214"/>
      <c r="G137" s="214"/>
      <c r="H137" s="214"/>
      <c r="I137" s="214"/>
      <c r="J137" s="214"/>
      <c r="K137" s="214"/>
      <c r="L137" s="214"/>
      <c r="M137" s="215"/>
      <c r="N137" s="215"/>
      <c r="O137" s="216"/>
      <c r="P137" s="216"/>
      <c r="Q137" s="216"/>
      <c r="R137" s="216"/>
      <c r="S137" s="216"/>
      <c r="T137" s="216"/>
      <c r="U137" s="216"/>
    </row>
    <row r="138" spans="1:21" ht="24" customHeight="1" x14ac:dyDescent="0.2">
      <c r="A138" s="214"/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4"/>
      <c r="M138" s="215"/>
      <c r="N138" s="215"/>
      <c r="O138" s="216"/>
      <c r="P138" s="216"/>
      <c r="Q138" s="216"/>
      <c r="R138" s="216"/>
      <c r="S138" s="216"/>
      <c r="T138" s="216"/>
      <c r="U138" s="216"/>
    </row>
    <row r="139" spans="1:21" ht="24" customHeight="1" x14ac:dyDescent="0.2">
      <c r="A139" s="214"/>
      <c r="B139" s="214"/>
      <c r="C139" s="214"/>
      <c r="D139" s="214"/>
      <c r="E139" s="214"/>
      <c r="F139" s="214"/>
      <c r="G139" s="214"/>
      <c r="H139" s="214"/>
      <c r="I139" s="214"/>
      <c r="J139" s="214"/>
      <c r="K139" s="214"/>
      <c r="L139" s="214"/>
      <c r="M139" s="215"/>
      <c r="N139" s="215"/>
      <c r="O139" s="216"/>
      <c r="P139" s="216"/>
      <c r="Q139" s="216"/>
      <c r="R139" s="216"/>
      <c r="S139" s="216"/>
      <c r="T139" s="216"/>
      <c r="U139" s="216"/>
    </row>
    <row r="140" spans="1:21" ht="24" customHeight="1" x14ac:dyDescent="0.2">
      <c r="A140" s="214"/>
      <c r="B140" s="214"/>
      <c r="C140" s="214"/>
      <c r="D140" s="214"/>
      <c r="E140" s="214"/>
      <c r="F140" s="214"/>
      <c r="G140" s="214"/>
      <c r="H140" s="214"/>
      <c r="I140" s="214"/>
      <c r="J140" s="214"/>
      <c r="K140" s="214"/>
      <c r="L140" s="214"/>
      <c r="M140" s="215"/>
      <c r="N140" s="215"/>
      <c r="O140" s="216"/>
      <c r="P140" s="216"/>
      <c r="Q140" s="216"/>
      <c r="R140" s="216"/>
      <c r="S140" s="216"/>
      <c r="T140" s="216"/>
      <c r="U140" s="216"/>
    </row>
    <row r="141" spans="1:21" ht="24" customHeight="1" x14ac:dyDescent="0.2">
      <c r="A141" s="214"/>
      <c r="B141" s="214"/>
      <c r="C141" s="214"/>
      <c r="D141" s="214"/>
      <c r="E141" s="214"/>
      <c r="F141" s="214"/>
      <c r="G141" s="214"/>
      <c r="H141" s="214"/>
      <c r="I141" s="214"/>
      <c r="J141" s="214"/>
      <c r="K141" s="214"/>
      <c r="L141" s="214"/>
      <c r="M141" s="215"/>
      <c r="N141" s="215"/>
      <c r="O141" s="216"/>
      <c r="P141" s="216"/>
      <c r="Q141" s="216"/>
      <c r="R141" s="216"/>
      <c r="S141" s="216"/>
      <c r="T141" s="216"/>
      <c r="U141" s="216"/>
    </row>
    <row r="142" spans="1:21" ht="24" customHeight="1" x14ac:dyDescent="0.2">
      <c r="A142" s="214"/>
      <c r="B142" s="214"/>
      <c r="C142" s="214"/>
      <c r="D142" s="214"/>
      <c r="E142" s="214"/>
      <c r="F142" s="214"/>
      <c r="G142" s="214"/>
      <c r="H142" s="214"/>
      <c r="I142" s="214"/>
      <c r="J142" s="214"/>
      <c r="K142" s="214"/>
      <c r="L142" s="214"/>
      <c r="M142" s="215"/>
      <c r="N142" s="215"/>
      <c r="O142" s="216"/>
      <c r="P142" s="216"/>
      <c r="Q142" s="216"/>
      <c r="R142" s="216"/>
      <c r="S142" s="216"/>
      <c r="T142" s="216"/>
      <c r="U142" s="216"/>
    </row>
    <row r="143" spans="1:21" ht="24" customHeight="1" x14ac:dyDescent="0.2">
      <c r="A143" s="214"/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  <c r="L143" s="214"/>
      <c r="M143" s="215"/>
      <c r="N143" s="215"/>
      <c r="O143" s="216"/>
      <c r="P143" s="216"/>
      <c r="Q143" s="216"/>
      <c r="R143" s="216"/>
      <c r="S143" s="216"/>
      <c r="T143" s="216"/>
      <c r="U143" s="216"/>
    </row>
    <row r="144" spans="1:21" ht="24" customHeight="1" x14ac:dyDescent="0.2">
      <c r="A144" s="214"/>
      <c r="B144" s="214"/>
      <c r="C144" s="214"/>
      <c r="D144" s="214"/>
      <c r="E144" s="214"/>
      <c r="F144" s="214"/>
      <c r="G144" s="214"/>
      <c r="H144" s="214"/>
      <c r="I144" s="214"/>
      <c r="J144" s="214"/>
      <c r="K144" s="214"/>
      <c r="L144" s="214"/>
      <c r="M144" s="215"/>
      <c r="N144" s="215"/>
      <c r="O144" s="216"/>
      <c r="P144" s="216"/>
      <c r="Q144" s="216"/>
      <c r="R144" s="216"/>
      <c r="S144" s="216"/>
      <c r="T144" s="216"/>
      <c r="U144" s="216"/>
    </row>
    <row r="145" spans="1:21" ht="24" customHeight="1" x14ac:dyDescent="0.2">
      <c r="A145" s="214"/>
      <c r="B145" s="214"/>
      <c r="C145" s="214"/>
      <c r="D145" s="214"/>
      <c r="E145" s="214"/>
      <c r="F145" s="214"/>
      <c r="G145" s="214"/>
      <c r="H145" s="214"/>
      <c r="I145" s="214"/>
      <c r="J145" s="214"/>
      <c r="K145" s="214"/>
      <c r="L145" s="214"/>
      <c r="M145" s="215"/>
      <c r="N145" s="215"/>
      <c r="O145" s="216"/>
      <c r="P145" s="216"/>
      <c r="Q145" s="216"/>
      <c r="R145" s="216"/>
      <c r="S145" s="216"/>
      <c r="T145" s="216"/>
      <c r="U145" s="216"/>
    </row>
    <row r="146" spans="1:21" ht="24" customHeight="1" x14ac:dyDescent="0.2">
      <c r="A146" s="214"/>
      <c r="B146" s="214"/>
      <c r="C146" s="214"/>
      <c r="D146" s="214"/>
      <c r="E146" s="214"/>
      <c r="F146" s="214"/>
      <c r="G146" s="214"/>
      <c r="H146" s="214"/>
      <c r="I146" s="214"/>
      <c r="J146" s="214"/>
      <c r="K146" s="214"/>
      <c r="L146" s="214"/>
      <c r="M146" s="215"/>
      <c r="N146" s="215"/>
      <c r="O146" s="216"/>
      <c r="P146" s="216"/>
      <c r="Q146" s="216"/>
      <c r="R146" s="216"/>
      <c r="S146" s="216"/>
      <c r="T146" s="216"/>
      <c r="U146" s="216"/>
    </row>
    <row r="147" spans="1:21" ht="24" customHeight="1" x14ac:dyDescent="0.2">
      <c r="A147" s="214"/>
      <c r="B147" s="214"/>
      <c r="C147" s="214"/>
      <c r="D147" s="214"/>
      <c r="E147" s="214"/>
      <c r="F147" s="214"/>
      <c r="G147" s="214"/>
      <c r="H147" s="214"/>
      <c r="I147" s="214"/>
      <c r="J147" s="214"/>
      <c r="K147" s="214"/>
      <c r="L147" s="214"/>
      <c r="M147" s="215"/>
      <c r="N147" s="215"/>
      <c r="O147" s="216"/>
      <c r="P147" s="216"/>
      <c r="Q147" s="216"/>
      <c r="R147" s="216"/>
      <c r="S147" s="216"/>
      <c r="T147" s="216"/>
      <c r="U147" s="216"/>
    </row>
    <row r="148" spans="1:21" ht="24" customHeight="1" x14ac:dyDescent="0.2">
      <c r="A148" s="214"/>
      <c r="B148" s="214"/>
      <c r="C148" s="214"/>
      <c r="D148" s="214"/>
      <c r="E148" s="214"/>
      <c r="F148" s="214"/>
      <c r="G148" s="214"/>
      <c r="H148" s="214"/>
      <c r="I148" s="214"/>
      <c r="J148" s="214"/>
      <c r="K148" s="214"/>
      <c r="L148" s="214"/>
      <c r="M148" s="215"/>
      <c r="N148" s="215"/>
      <c r="O148" s="216"/>
      <c r="P148" s="216"/>
      <c r="Q148" s="216"/>
      <c r="R148" s="216"/>
      <c r="S148" s="216"/>
      <c r="T148" s="216"/>
      <c r="U148" s="216"/>
    </row>
    <row r="149" spans="1:21" ht="24" customHeight="1" x14ac:dyDescent="0.2">
      <c r="A149" s="214"/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4"/>
      <c r="M149" s="215"/>
      <c r="N149" s="215"/>
      <c r="O149" s="216"/>
      <c r="P149" s="216"/>
      <c r="Q149" s="216"/>
      <c r="R149" s="216"/>
      <c r="S149" s="216"/>
      <c r="T149" s="216"/>
      <c r="U149" s="216"/>
    </row>
    <row r="150" spans="1:21" ht="24" customHeight="1" x14ac:dyDescent="0.2">
      <c r="A150" s="214"/>
      <c r="B150" s="214"/>
      <c r="C150" s="214"/>
      <c r="D150" s="214"/>
      <c r="E150" s="214"/>
      <c r="F150" s="214"/>
      <c r="G150" s="214"/>
      <c r="H150" s="214"/>
      <c r="I150" s="214"/>
      <c r="J150" s="214"/>
      <c r="K150" s="214"/>
      <c r="L150" s="214"/>
      <c r="M150" s="215"/>
      <c r="N150" s="215"/>
      <c r="O150" s="216"/>
      <c r="P150" s="216"/>
      <c r="Q150" s="216"/>
      <c r="R150" s="216"/>
      <c r="S150" s="216"/>
      <c r="T150" s="216"/>
      <c r="U150" s="216"/>
    </row>
    <row r="151" spans="1:21" ht="24" customHeight="1" x14ac:dyDescent="0.2">
      <c r="A151" s="214"/>
      <c r="B151" s="214"/>
      <c r="C151" s="214"/>
      <c r="D151" s="214"/>
      <c r="E151" s="214"/>
      <c r="F151" s="214"/>
      <c r="G151" s="214"/>
      <c r="H151" s="214"/>
      <c r="I151" s="214"/>
      <c r="J151" s="214"/>
      <c r="K151" s="214"/>
      <c r="L151" s="214"/>
      <c r="M151" s="215"/>
      <c r="N151" s="215"/>
      <c r="O151" s="216"/>
      <c r="P151" s="216"/>
      <c r="Q151" s="216"/>
      <c r="R151" s="216"/>
      <c r="S151" s="216"/>
      <c r="T151" s="216"/>
      <c r="U151" s="216"/>
    </row>
    <row r="152" spans="1:21" ht="24" customHeight="1" x14ac:dyDescent="0.2">
      <c r="A152" s="214"/>
      <c r="B152" s="214"/>
      <c r="C152" s="214"/>
      <c r="D152" s="214"/>
      <c r="E152" s="214"/>
      <c r="F152" s="214"/>
      <c r="G152" s="214"/>
      <c r="H152" s="214"/>
      <c r="I152" s="214"/>
      <c r="J152" s="214"/>
      <c r="K152" s="214"/>
      <c r="L152" s="214"/>
      <c r="M152" s="215"/>
      <c r="N152" s="215"/>
      <c r="O152" s="216"/>
      <c r="P152" s="216"/>
      <c r="Q152" s="216"/>
      <c r="R152" s="216"/>
      <c r="S152" s="216"/>
      <c r="T152" s="216"/>
      <c r="U152" s="216"/>
    </row>
    <row r="153" spans="1:21" ht="24" customHeight="1" x14ac:dyDescent="0.2">
      <c r="A153" s="214"/>
      <c r="B153" s="214"/>
      <c r="C153" s="214"/>
      <c r="D153" s="214"/>
      <c r="E153" s="214"/>
      <c r="F153" s="214"/>
      <c r="G153" s="214"/>
      <c r="H153" s="214"/>
      <c r="I153" s="214"/>
      <c r="J153" s="214"/>
      <c r="K153" s="214"/>
      <c r="L153" s="214"/>
      <c r="M153" s="215"/>
      <c r="N153" s="215"/>
      <c r="O153" s="216"/>
      <c r="P153" s="216"/>
      <c r="Q153" s="216"/>
      <c r="R153" s="216"/>
      <c r="S153" s="216"/>
      <c r="T153" s="216"/>
      <c r="U153" s="216"/>
    </row>
    <row r="154" spans="1:21" ht="24" customHeight="1" x14ac:dyDescent="0.2">
      <c r="A154" s="214"/>
      <c r="B154" s="214"/>
      <c r="C154" s="214"/>
      <c r="D154" s="214"/>
      <c r="E154" s="214"/>
      <c r="F154" s="214"/>
      <c r="G154" s="214"/>
      <c r="H154" s="214"/>
      <c r="I154" s="214"/>
      <c r="J154" s="214"/>
      <c r="K154" s="214"/>
      <c r="L154" s="214"/>
      <c r="M154" s="215"/>
      <c r="N154" s="215"/>
      <c r="O154" s="216"/>
      <c r="P154" s="216"/>
      <c r="Q154" s="216"/>
      <c r="R154" s="216"/>
      <c r="S154" s="216"/>
      <c r="T154" s="216"/>
      <c r="U154" s="216"/>
    </row>
    <row r="155" spans="1:21" ht="24" customHeight="1" x14ac:dyDescent="0.2">
      <c r="A155" s="214"/>
      <c r="B155" s="214"/>
      <c r="C155" s="214"/>
      <c r="D155" s="214"/>
      <c r="E155" s="214"/>
      <c r="F155" s="214"/>
      <c r="G155" s="214"/>
      <c r="H155" s="214"/>
      <c r="I155" s="214"/>
      <c r="J155" s="214"/>
      <c r="K155" s="214"/>
      <c r="L155" s="214"/>
      <c r="M155" s="215"/>
      <c r="N155" s="215"/>
      <c r="O155" s="216"/>
      <c r="P155" s="216"/>
      <c r="Q155" s="216"/>
      <c r="R155" s="216"/>
      <c r="S155" s="216"/>
      <c r="T155" s="216"/>
      <c r="U155" s="216"/>
    </row>
    <row r="156" spans="1:21" ht="24" customHeight="1" x14ac:dyDescent="0.2">
      <c r="A156" s="214"/>
      <c r="B156" s="214"/>
      <c r="C156" s="214"/>
      <c r="D156" s="214"/>
      <c r="E156" s="214"/>
      <c r="F156" s="214"/>
      <c r="G156" s="214"/>
      <c r="H156" s="214"/>
      <c r="I156" s="214"/>
      <c r="J156" s="214"/>
      <c r="K156" s="214"/>
      <c r="L156" s="214"/>
      <c r="M156" s="215"/>
      <c r="N156" s="215"/>
      <c r="O156" s="216"/>
      <c r="P156" s="216"/>
      <c r="Q156" s="216"/>
      <c r="R156" s="216"/>
      <c r="S156" s="216"/>
      <c r="T156" s="216"/>
      <c r="U156" s="216"/>
    </row>
    <row r="157" spans="1:21" ht="24" customHeight="1" x14ac:dyDescent="0.2">
      <c r="A157" s="214"/>
      <c r="B157" s="214"/>
      <c r="C157" s="214"/>
      <c r="D157" s="214"/>
      <c r="E157" s="214"/>
      <c r="F157" s="214"/>
      <c r="G157" s="214"/>
      <c r="H157" s="214"/>
      <c r="I157" s="214"/>
      <c r="J157" s="214"/>
      <c r="K157" s="214"/>
      <c r="L157" s="214"/>
      <c r="M157" s="215"/>
      <c r="N157" s="215"/>
      <c r="O157" s="216"/>
      <c r="P157" s="216"/>
      <c r="Q157" s="216"/>
      <c r="R157" s="216"/>
      <c r="S157" s="216"/>
      <c r="T157" s="216"/>
      <c r="U157" s="216"/>
    </row>
    <row r="158" spans="1:21" ht="24" customHeight="1" x14ac:dyDescent="0.2">
      <c r="A158" s="214"/>
      <c r="B158" s="214"/>
      <c r="C158" s="214"/>
      <c r="D158" s="214"/>
      <c r="E158" s="214"/>
      <c r="F158" s="214"/>
      <c r="G158" s="214"/>
      <c r="H158" s="214"/>
      <c r="I158" s="214"/>
      <c r="J158" s="214"/>
      <c r="K158" s="214"/>
      <c r="L158" s="214"/>
      <c r="M158" s="215"/>
      <c r="N158" s="215"/>
      <c r="O158" s="216"/>
      <c r="P158" s="216"/>
      <c r="Q158" s="216"/>
      <c r="R158" s="216"/>
      <c r="S158" s="216"/>
      <c r="T158" s="216"/>
      <c r="U158" s="216"/>
    </row>
    <row r="159" spans="1:21" ht="24" customHeight="1" x14ac:dyDescent="0.2">
      <c r="A159" s="214"/>
      <c r="B159" s="214"/>
      <c r="C159" s="214"/>
      <c r="D159" s="214"/>
      <c r="E159" s="214"/>
      <c r="F159" s="214"/>
      <c r="G159" s="214"/>
      <c r="H159" s="214"/>
      <c r="I159" s="214"/>
      <c r="J159" s="214"/>
      <c r="K159" s="214"/>
      <c r="L159" s="214"/>
      <c r="M159" s="215"/>
      <c r="N159" s="215"/>
      <c r="O159" s="216"/>
      <c r="P159" s="216"/>
      <c r="Q159" s="216"/>
      <c r="R159" s="216"/>
      <c r="S159" s="216"/>
      <c r="T159" s="216"/>
      <c r="U159" s="216"/>
    </row>
    <row r="160" spans="1:21" ht="24" customHeight="1" x14ac:dyDescent="0.2">
      <c r="A160" s="214"/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4"/>
      <c r="M160" s="215"/>
      <c r="N160" s="215"/>
      <c r="O160" s="216"/>
      <c r="P160" s="216"/>
      <c r="Q160" s="216"/>
      <c r="R160" s="216"/>
      <c r="S160" s="216"/>
      <c r="T160" s="216"/>
      <c r="U160" s="216"/>
    </row>
    <row r="161" spans="1:21" ht="24" customHeight="1" x14ac:dyDescent="0.2">
      <c r="A161" s="214"/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  <c r="L161" s="214"/>
      <c r="M161" s="215"/>
      <c r="N161" s="215"/>
      <c r="O161" s="216"/>
      <c r="P161" s="216"/>
      <c r="Q161" s="216"/>
      <c r="R161" s="216"/>
      <c r="S161" s="216"/>
      <c r="T161" s="216"/>
      <c r="U161" s="216"/>
    </row>
    <row r="162" spans="1:21" ht="24" customHeight="1" x14ac:dyDescent="0.2">
      <c r="A162" s="214"/>
      <c r="B162" s="214"/>
      <c r="C162" s="214"/>
      <c r="D162" s="214"/>
      <c r="E162" s="214"/>
      <c r="F162" s="214"/>
      <c r="G162" s="214"/>
      <c r="H162" s="214"/>
      <c r="I162" s="214"/>
      <c r="J162" s="214"/>
      <c r="K162" s="214"/>
      <c r="L162" s="214"/>
      <c r="M162" s="215"/>
      <c r="N162" s="215"/>
      <c r="O162" s="216"/>
      <c r="P162" s="216"/>
      <c r="Q162" s="216"/>
      <c r="R162" s="216"/>
      <c r="S162" s="216"/>
      <c r="T162" s="216"/>
      <c r="U162" s="216"/>
    </row>
    <row r="163" spans="1:21" ht="24" customHeight="1" x14ac:dyDescent="0.2">
      <c r="A163" s="214"/>
      <c r="B163" s="214"/>
      <c r="C163" s="214"/>
      <c r="D163" s="214"/>
      <c r="E163" s="214"/>
      <c r="F163" s="214"/>
      <c r="G163" s="214"/>
      <c r="H163" s="214"/>
      <c r="I163" s="214"/>
      <c r="J163" s="214"/>
      <c r="K163" s="214"/>
      <c r="L163" s="214"/>
      <c r="M163" s="215"/>
      <c r="N163" s="215"/>
      <c r="O163" s="216"/>
      <c r="P163" s="216"/>
      <c r="Q163" s="216"/>
      <c r="R163" s="216"/>
      <c r="S163" s="216"/>
      <c r="T163" s="216"/>
      <c r="U163" s="216"/>
    </row>
    <row r="164" spans="1:21" ht="24" customHeight="1" x14ac:dyDescent="0.2">
      <c r="A164" s="214"/>
      <c r="B164" s="214"/>
      <c r="C164" s="214"/>
      <c r="D164" s="214"/>
      <c r="E164" s="214"/>
      <c r="F164" s="214"/>
      <c r="G164" s="214"/>
      <c r="H164" s="214"/>
      <c r="I164" s="214"/>
      <c r="J164" s="214"/>
      <c r="K164" s="214"/>
      <c r="L164" s="214"/>
      <c r="M164" s="215"/>
      <c r="N164" s="215"/>
      <c r="O164" s="216"/>
      <c r="P164" s="216"/>
      <c r="Q164" s="216"/>
      <c r="R164" s="216"/>
      <c r="S164" s="216"/>
      <c r="T164" s="216"/>
      <c r="U164" s="216"/>
    </row>
    <row r="165" spans="1:21" ht="24" customHeight="1" x14ac:dyDescent="0.2">
      <c r="A165" s="214"/>
      <c r="B165" s="214"/>
      <c r="C165" s="214"/>
      <c r="D165" s="214"/>
      <c r="E165" s="214"/>
      <c r="F165" s="214"/>
      <c r="G165" s="214"/>
      <c r="H165" s="214"/>
      <c r="I165" s="214"/>
      <c r="J165" s="214"/>
      <c r="K165" s="214"/>
      <c r="L165" s="214"/>
      <c r="M165" s="215"/>
      <c r="N165" s="215"/>
      <c r="O165" s="216"/>
      <c r="P165" s="216"/>
      <c r="Q165" s="216"/>
      <c r="R165" s="216"/>
      <c r="S165" s="216"/>
      <c r="T165" s="216"/>
      <c r="U165" s="216"/>
    </row>
    <row r="166" spans="1:21" ht="24" customHeight="1" x14ac:dyDescent="0.2">
      <c r="A166" s="214"/>
      <c r="B166" s="214"/>
      <c r="C166" s="214"/>
      <c r="D166" s="214"/>
      <c r="E166" s="214"/>
      <c r="F166" s="214"/>
      <c r="G166" s="214"/>
      <c r="H166" s="214"/>
      <c r="I166" s="214"/>
      <c r="J166" s="214"/>
      <c r="K166" s="214"/>
      <c r="L166" s="214"/>
      <c r="M166" s="215"/>
      <c r="N166" s="215"/>
      <c r="O166" s="216"/>
      <c r="P166" s="216"/>
      <c r="Q166" s="216"/>
      <c r="R166" s="216"/>
      <c r="S166" s="216"/>
      <c r="T166" s="216"/>
      <c r="U166" s="216"/>
    </row>
    <row r="167" spans="1:21" ht="24" customHeight="1" x14ac:dyDescent="0.2">
      <c r="A167" s="214"/>
      <c r="B167" s="214"/>
      <c r="C167" s="214"/>
      <c r="D167" s="214"/>
      <c r="E167" s="214"/>
      <c r="F167" s="214"/>
      <c r="G167" s="214"/>
      <c r="H167" s="214"/>
      <c r="I167" s="214"/>
      <c r="J167" s="214"/>
      <c r="K167" s="214"/>
      <c r="L167" s="214"/>
      <c r="M167" s="215"/>
      <c r="N167" s="215"/>
      <c r="O167" s="216"/>
      <c r="P167" s="216"/>
      <c r="Q167" s="216"/>
      <c r="R167" s="216"/>
      <c r="S167" s="216"/>
      <c r="T167" s="216"/>
      <c r="U167" s="216"/>
    </row>
    <row r="168" spans="1:21" ht="24" customHeight="1" x14ac:dyDescent="0.2">
      <c r="A168" s="214"/>
      <c r="B168" s="214"/>
      <c r="C168" s="214"/>
      <c r="D168" s="214"/>
      <c r="E168" s="214"/>
      <c r="F168" s="214"/>
      <c r="G168" s="214"/>
      <c r="H168" s="214"/>
      <c r="I168" s="214"/>
      <c r="J168" s="214"/>
      <c r="K168" s="214"/>
      <c r="L168" s="214"/>
      <c r="M168" s="215"/>
      <c r="N168" s="215"/>
      <c r="O168" s="216"/>
      <c r="P168" s="216"/>
      <c r="Q168" s="216"/>
      <c r="R168" s="216"/>
      <c r="S168" s="216"/>
      <c r="T168" s="216"/>
      <c r="U168" s="216"/>
    </row>
    <row r="169" spans="1:21" ht="24" customHeight="1" x14ac:dyDescent="0.2">
      <c r="A169" s="214"/>
      <c r="B169" s="214"/>
      <c r="C169" s="214"/>
      <c r="D169" s="214"/>
      <c r="E169" s="214"/>
      <c r="F169" s="214"/>
      <c r="G169" s="214"/>
      <c r="H169" s="214"/>
      <c r="I169" s="214"/>
      <c r="J169" s="214"/>
      <c r="K169" s="214"/>
      <c r="L169" s="214"/>
      <c r="M169" s="215"/>
      <c r="N169" s="215"/>
      <c r="O169" s="216"/>
      <c r="P169" s="216"/>
      <c r="Q169" s="216"/>
      <c r="R169" s="216"/>
      <c r="S169" s="216"/>
      <c r="T169" s="216"/>
      <c r="U169" s="216"/>
    </row>
    <row r="170" spans="1:21" ht="24" customHeight="1" x14ac:dyDescent="0.2">
      <c r="A170" s="214"/>
      <c r="B170" s="214"/>
      <c r="C170" s="214"/>
      <c r="D170" s="214"/>
      <c r="E170" s="214"/>
      <c r="F170" s="214"/>
      <c r="G170" s="214"/>
      <c r="H170" s="214"/>
      <c r="I170" s="214"/>
      <c r="J170" s="214"/>
      <c r="K170" s="214"/>
      <c r="L170" s="214"/>
      <c r="M170" s="215"/>
      <c r="N170" s="215"/>
      <c r="O170" s="216"/>
      <c r="P170" s="216"/>
      <c r="Q170" s="216"/>
      <c r="R170" s="216"/>
      <c r="S170" s="216"/>
      <c r="T170" s="216"/>
      <c r="U170" s="216"/>
    </row>
    <row r="171" spans="1:21" ht="24" customHeight="1" x14ac:dyDescent="0.2">
      <c r="A171" s="214"/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4"/>
      <c r="M171" s="215"/>
      <c r="N171" s="215"/>
      <c r="O171" s="216"/>
      <c r="P171" s="216"/>
      <c r="Q171" s="216"/>
      <c r="R171" s="216"/>
      <c r="S171" s="216"/>
      <c r="T171" s="216"/>
      <c r="U171" s="216"/>
    </row>
    <row r="172" spans="1:21" ht="24" customHeight="1" x14ac:dyDescent="0.2">
      <c r="A172" s="214"/>
      <c r="B172" s="214"/>
      <c r="C172" s="214"/>
      <c r="D172" s="214"/>
      <c r="E172" s="214"/>
      <c r="F172" s="214"/>
      <c r="G172" s="214"/>
      <c r="H172" s="214"/>
      <c r="I172" s="214"/>
      <c r="J172" s="214"/>
      <c r="K172" s="214"/>
      <c r="L172" s="214"/>
      <c r="M172" s="215"/>
      <c r="N172" s="215"/>
      <c r="O172" s="216"/>
      <c r="P172" s="216"/>
      <c r="Q172" s="216"/>
      <c r="R172" s="216"/>
      <c r="S172" s="216"/>
      <c r="T172" s="216"/>
      <c r="U172" s="216"/>
    </row>
    <row r="173" spans="1:21" ht="24" customHeight="1" x14ac:dyDescent="0.2">
      <c r="A173" s="214"/>
      <c r="B173" s="214"/>
      <c r="C173" s="214"/>
      <c r="D173" s="214"/>
      <c r="E173" s="214"/>
      <c r="F173" s="214"/>
      <c r="G173" s="214"/>
      <c r="H173" s="214"/>
      <c r="I173" s="214"/>
      <c r="J173" s="214"/>
      <c r="K173" s="214"/>
      <c r="L173" s="214"/>
      <c r="M173" s="215"/>
      <c r="N173" s="215"/>
      <c r="O173" s="216"/>
      <c r="P173" s="216"/>
      <c r="Q173" s="216"/>
      <c r="R173" s="216"/>
      <c r="S173" s="216"/>
      <c r="T173" s="216"/>
      <c r="U173" s="216"/>
    </row>
    <row r="174" spans="1:21" ht="24" customHeight="1" x14ac:dyDescent="0.2">
      <c r="A174" s="214"/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5"/>
      <c r="N174" s="215"/>
      <c r="O174" s="216"/>
      <c r="P174" s="216"/>
      <c r="Q174" s="216"/>
      <c r="R174" s="216"/>
      <c r="S174" s="216"/>
      <c r="T174" s="216"/>
      <c r="U174" s="216"/>
    </row>
    <row r="175" spans="1:21" ht="24" customHeight="1" x14ac:dyDescent="0.2">
      <c r="A175" s="214"/>
      <c r="B175" s="214"/>
      <c r="C175" s="214"/>
      <c r="D175" s="214"/>
      <c r="E175" s="214"/>
      <c r="F175" s="214"/>
      <c r="G175" s="214"/>
      <c r="H175" s="214"/>
      <c r="I175" s="214"/>
      <c r="J175" s="214"/>
      <c r="K175" s="214"/>
      <c r="L175" s="214"/>
      <c r="M175" s="215"/>
      <c r="N175" s="215"/>
      <c r="O175" s="216"/>
      <c r="P175" s="216"/>
      <c r="Q175" s="216"/>
      <c r="R175" s="216"/>
      <c r="S175" s="216"/>
      <c r="T175" s="216"/>
      <c r="U175" s="216"/>
    </row>
    <row r="176" spans="1:21" ht="24" customHeight="1" x14ac:dyDescent="0.2">
      <c r="A176" s="214"/>
      <c r="B176" s="214"/>
      <c r="C176" s="214"/>
      <c r="D176" s="214"/>
      <c r="E176" s="214"/>
      <c r="F176" s="214"/>
      <c r="G176" s="214"/>
      <c r="H176" s="214"/>
      <c r="I176" s="214"/>
      <c r="J176" s="214"/>
      <c r="K176" s="214"/>
      <c r="L176" s="214"/>
      <c r="M176" s="215"/>
      <c r="N176" s="215"/>
      <c r="O176" s="216"/>
      <c r="P176" s="216"/>
      <c r="Q176" s="216"/>
      <c r="R176" s="216"/>
      <c r="S176" s="216"/>
      <c r="T176" s="216"/>
      <c r="U176" s="216"/>
    </row>
    <row r="177" spans="1:21" ht="24" customHeight="1" x14ac:dyDescent="0.2">
      <c r="A177" s="214"/>
      <c r="B177" s="214"/>
      <c r="C177" s="214"/>
      <c r="D177" s="214"/>
      <c r="E177" s="214"/>
      <c r="F177" s="214"/>
      <c r="G177" s="214"/>
      <c r="H177" s="214"/>
      <c r="I177" s="214"/>
      <c r="J177" s="214"/>
      <c r="K177" s="214"/>
      <c r="L177" s="214"/>
      <c r="M177" s="215"/>
      <c r="N177" s="215"/>
      <c r="O177" s="216"/>
      <c r="P177" s="216"/>
      <c r="Q177" s="216"/>
      <c r="R177" s="216"/>
      <c r="S177" s="216"/>
      <c r="T177" s="216"/>
      <c r="U177" s="216"/>
    </row>
    <row r="178" spans="1:21" ht="24" customHeight="1" x14ac:dyDescent="0.2">
      <c r="A178" s="214"/>
      <c r="B178" s="214"/>
      <c r="C178" s="214"/>
      <c r="D178" s="214"/>
      <c r="E178" s="214"/>
      <c r="F178" s="214"/>
      <c r="G178" s="214"/>
      <c r="H178" s="214"/>
      <c r="I178" s="214"/>
      <c r="J178" s="214"/>
      <c r="K178" s="214"/>
      <c r="L178" s="214"/>
      <c r="M178" s="215"/>
      <c r="N178" s="215"/>
      <c r="O178" s="216"/>
      <c r="P178" s="216"/>
      <c r="Q178" s="216"/>
      <c r="R178" s="216"/>
      <c r="S178" s="216"/>
      <c r="T178" s="216"/>
      <c r="U178" s="216"/>
    </row>
    <row r="179" spans="1:21" ht="24" customHeight="1" x14ac:dyDescent="0.2">
      <c r="A179" s="214"/>
      <c r="B179" s="214"/>
      <c r="C179" s="214"/>
      <c r="D179" s="214"/>
      <c r="E179" s="214"/>
      <c r="F179" s="214"/>
      <c r="G179" s="214"/>
      <c r="H179" s="214"/>
      <c r="I179" s="214"/>
      <c r="J179" s="214"/>
      <c r="K179" s="214"/>
      <c r="L179" s="214"/>
      <c r="M179" s="215"/>
      <c r="N179" s="215"/>
      <c r="O179" s="216"/>
      <c r="P179" s="216"/>
      <c r="Q179" s="216"/>
      <c r="R179" s="216"/>
      <c r="S179" s="216"/>
      <c r="T179" s="216"/>
      <c r="U179" s="216"/>
    </row>
    <row r="180" spans="1:21" ht="24" customHeight="1" x14ac:dyDescent="0.2">
      <c r="A180" s="214"/>
      <c r="B180" s="214"/>
      <c r="C180" s="214"/>
      <c r="D180" s="214"/>
      <c r="E180" s="214"/>
      <c r="F180" s="214"/>
      <c r="G180" s="214"/>
      <c r="H180" s="214"/>
      <c r="I180" s="214"/>
      <c r="J180" s="214"/>
      <c r="K180" s="214"/>
      <c r="L180" s="214"/>
      <c r="M180" s="215"/>
      <c r="N180" s="215"/>
      <c r="O180" s="216"/>
      <c r="P180" s="216"/>
      <c r="Q180" s="216"/>
      <c r="R180" s="216"/>
      <c r="S180" s="216"/>
      <c r="T180" s="216"/>
      <c r="U180" s="216"/>
    </row>
    <row r="181" spans="1:21" ht="24" customHeight="1" x14ac:dyDescent="0.2">
      <c r="A181" s="214"/>
      <c r="B181" s="214"/>
      <c r="C181" s="214"/>
      <c r="D181" s="214"/>
      <c r="E181" s="214"/>
      <c r="F181" s="214"/>
      <c r="G181" s="214"/>
      <c r="H181" s="214"/>
      <c r="I181" s="214"/>
      <c r="J181" s="214"/>
      <c r="K181" s="214"/>
      <c r="L181" s="214"/>
      <c r="M181" s="215"/>
      <c r="N181" s="215"/>
      <c r="O181" s="216"/>
      <c r="P181" s="216"/>
      <c r="Q181" s="216"/>
      <c r="R181" s="216"/>
      <c r="S181" s="216"/>
      <c r="T181" s="216"/>
      <c r="U181" s="216"/>
    </row>
    <row r="182" spans="1:21" ht="24" customHeight="1" x14ac:dyDescent="0.2">
      <c r="A182" s="214"/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4"/>
      <c r="M182" s="215"/>
      <c r="N182" s="215"/>
      <c r="O182" s="216"/>
      <c r="P182" s="216"/>
      <c r="Q182" s="216"/>
      <c r="R182" s="216"/>
      <c r="S182" s="216"/>
      <c r="T182" s="216"/>
      <c r="U182" s="216"/>
    </row>
    <row r="183" spans="1:21" ht="24" customHeight="1" x14ac:dyDescent="0.2">
      <c r="A183" s="214"/>
      <c r="B183" s="214"/>
      <c r="C183" s="214"/>
      <c r="D183" s="214"/>
      <c r="E183" s="214"/>
      <c r="F183" s="214"/>
      <c r="G183" s="214"/>
      <c r="H183" s="214"/>
      <c r="I183" s="214"/>
      <c r="J183" s="214"/>
      <c r="K183" s="214"/>
      <c r="L183" s="214"/>
      <c r="M183" s="215"/>
      <c r="N183" s="215"/>
      <c r="O183" s="216"/>
      <c r="P183" s="216"/>
      <c r="Q183" s="216"/>
      <c r="R183" s="216"/>
      <c r="S183" s="216"/>
      <c r="T183" s="216"/>
      <c r="U183" s="216"/>
    </row>
    <row r="184" spans="1:21" ht="24" customHeight="1" x14ac:dyDescent="0.2">
      <c r="A184" s="214"/>
      <c r="B184" s="214"/>
      <c r="C184" s="214"/>
      <c r="D184" s="214"/>
      <c r="E184" s="214"/>
      <c r="F184" s="214"/>
      <c r="G184" s="214"/>
      <c r="H184" s="214"/>
      <c r="I184" s="214"/>
      <c r="J184" s="214"/>
      <c r="K184" s="214"/>
      <c r="L184" s="214"/>
      <c r="M184" s="215"/>
      <c r="N184" s="215"/>
      <c r="O184" s="216"/>
      <c r="P184" s="216"/>
      <c r="Q184" s="216"/>
      <c r="R184" s="216"/>
      <c r="S184" s="216"/>
      <c r="T184" s="216"/>
      <c r="U184" s="216"/>
    </row>
    <row r="185" spans="1:21" ht="24" customHeight="1" x14ac:dyDescent="0.2">
      <c r="A185" s="214"/>
      <c r="B185" s="214"/>
      <c r="C185" s="214"/>
      <c r="D185" s="214"/>
      <c r="E185" s="214"/>
      <c r="F185" s="214"/>
      <c r="G185" s="214"/>
      <c r="H185" s="214"/>
      <c r="I185" s="214"/>
      <c r="J185" s="214"/>
      <c r="K185" s="214"/>
      <c r="L185" s="214"/>
      <c r="M185" s="215"/>
      <c r="N185" s="215"/>
      <c r="O185" s="216"/>
      <c r="P185" s="216"/>
      <c r="Q185" s="216"/>
      <c r="R185" s="216"/>
      <c r="S185" s="216"/>
      <c r="T185" s="216"/>
      <c r="U185" s="216"/>
    </row>
    <row r="186" spans="1:21" ht="24" customHeight="1" x14ac:dyDescent="0.2">
      <c r="A186" s="214"/>
      <c r="B186" s="214"/>
      <c r="C186" s="214"/>
      <c r="D186" s="214"/>
      <c r="E186" s="214"/>
      <c r="F186" s="214"/>
      <c r="G186" s="214"/>
      <c r="H186" s="214"/>
      <c r="I186" s="214"/>
      <c r="J186" s="214"/>
      <c r="K186" s="214"/>
      <c r="L186" s="214"/>
      <c r="M186" s="215"/>
      <c r="N186" s="215"/>
      <c r="O186" s="216"/>
      <c r="P186" s="216"/>
      <c r="Q186" s="216"/>
      <c r="R186" s="216"/>
      <c r="S186" s="216"/>
      <c r="T186" s="216"/>
      <c r="U186" s="216"/>
    </row>
    <row r="187" spans="1:21" ht="24" customHeight="1" x14ac:dyDescent="0.2">
      <c r="A187" s="214"/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5"/>
      <c r="N187" s="215"/>
      <c r="O187" s="216"/>
      <c r="P187" s="216"/>
      <c r="Q187" s="216"/>
      <c r="R187" s="216"/>
      <c r="S187" s="216"/>
      <c r="T187" s="216"/>
      <c r="U187" s="216"/>
    </row>
    <row r="188" spans="1:21" ht="24" customHeight="1" x14ac:dyDescent="0.2">
      <c r="A188" s="214"/>
      <c r="B188" s="214"/>
      <c r="C188" s="214"/>
      <c r="D188" s="214"/>
      <c r="E188" s="214"/>
      <c r="F188" s="214"/>
      <c r="G188" s="214"/>
      <c r="H188" s="214"/>
      <c r="I188" s="214"/>
      <c r="J188" s="214"/>
      <c r="K188" s="214"/>
      <c r="L188" s="214"/>
      <c r="M188" s="215"/>
      <c r="N188" s="215"/>
      <c r="O188" s="216"/>
      <c r="P188" s="216"/>
      <c r="Q188" s="216"/>
      <c r="R188" s="216"/>
      <c r="S188" s="216"/>
      <c r="T188" s="216"/>
      <c r="U188" s="216"/>
    </row>
    <row r="189" spans="1:21" ht="24" customHeight="1" x14ac:dyDescent="0.2">
      <c r="A189" s="214"/>
      <c r="B189" s="214"/>
      <c r="C189" s="214"/>
      <c r="D189" s="214"/>
      <c r="E189" s="214"/>
      <c r="F189" s="214"/>
      <c r="G189" s="214"/>
      <c r="H189" s="214"/>
      <c r="I189" s="214"/>
      <c r="J189" s="214"/>
      <c r="K189" s="214"/>
      <c r="L189" s="214"/>
      <c r="M189" s="215"/>
      <c r="N189" s="215"/>
      <c r="O189" s="216"/>
      <c r="P189" s="216"/>
      <c r="Q189" s="216"/>
      <c r="R189" s="216"/>
      <c r="S189" s="216"/>
      <c r="T189" s="216"/>
      <c r="U189" s="216"/>
    </row>
    <row r="190" spans="1:21" ht="24" customHeight="1" x14ac:dyDescent="0.2">
      <c r="A190" s="214"/>
      <c r="B190" s="214"/>
      <c r="C190" s="214"/>
      <c r="D190" s="214"/>
      <c r="E190" s="214"/>
      <c r="F190" s="214"/>
      <c r="G190" s="214"/>
      <c r="H190" s="214"/>
      <c r="I190" s="214"/>
      <c r="J190" s="214"/>
      <c r="K190" s="214"/>
      <c r="L190" s="214"/>
      <c r="M190" s="215"/>
      <c r="N190" s="215"/>
      <c r="O190" s="216"/>
      <c r="P190" s="216"/>
      <c r="Q190" s="216"/>
      <c r="R190" s="216"/>
      <c r="S190" s="216"/>
      <c r="T190" s="216"/>
      <c r="U190" s="216"/>
    </row>
    <row r="191" spans="1:21" ht="24" customHeight="1" x14ac:dyDescent="0.2">
      <c r="A191" s="214"/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  <c r="L191" s="214"/>
      <c r="M191" s="215"/>
      <c r="N191" s="215"/>
      <c r="O191" s="216"/>
      <c r="P191" s="216"/>
      <c r="Q191" s="216"/>
      <c r="R191" s="216"/>
      <c r="S191" s="216"/>
      <c r="T191" s="216"/>
      <c r="U191" s="216"/>
    </row>
    <row r="192" spans="1:21" ht="24" customHeight="1" x14ac:dyDescent="0.2">
      <c r="A192" s="214"/>
      <c r="B192" s="214"/>
      <c r="C192" s="214"/>
      <c r="D192" s="214"/>
      <c r="E192" s="214"/>
      <c r="F192" s="214"/>
      <c r="G192" s="214"/>
      <c r="H192" s="214"/>
      <c r="I192" s="214"/>
      <c r="J192" s="214"/>
      <c r="K192" s="214"/>
      <c r="L192" s="214"/>
      <c r="M192" s="215"/>
      <c r="N192" s="215"/>
      <c r="O192" s="216"/>
      <c r="P192" s="216"/>
      <c r="Q192" s="216"/>
      <c r="R192" s="216"/>
      <c r="S192" s="216"/>
      <c r="T192" s="216"/>
      <c r="U192" s="216"/>
    </row>
    <row r="193" spans="1:21" ht="24" customHeight="1" x14ac:dyDescent="0.2">
      <c r="A193" s="214"/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4"/>
      <c r="M193" s="215"/>
      <c r="N193" s="215"/>
      <c r="O193" s="216"/>
      <c r="P193" s="216"/>
      <c r="Q193" s="216"/>
      <c r="R193" s="216"/>
      <c r="S193" s="216"/>
      <c r="T193" s="216"/>
      <c r="U193" s="216"/>
    </row>
    <row r="194" spans="1:21" ht="24" customHeight="1" x14ac:dyDescent="0.2">
      <c r="A194" s="214"/>
      <c r="B194" s="214"/>
      <c r="C194" s="214"/>
      <c r="D194" s="214"/>
      <c r="E194" s="214"/>
      <c r="F194" s="214"/>
      <c r="G194" s="214"/>
      <c r="H194" s="214"/>
      <c r="I194" s="214"/>
      <c r="J194" s="214"/>
      <c r="K194" s="214"/>
      <c r="L194" s="214"/>
      <c r="M194" s="215"/>
      <c r="N194" s="215"/>
      <c r="O194" s="216"/>
      <c r="P194" s="216"/>
      <c r="Q194" s="216"/>
      <c r="R194" s="216"/>
      <c r="S194" s="216"/>
      <c r="T194" s="216"/>
      <c r="U194" s="216"/>
    </row>
    <row r="195" spans="1:21" ht="24" customHeight="1" x14ac:dyDescent="0.2">
      <c r="A195" s="214"/>
      <c r="B195" s="214"/>
      <c r="C195" s="214"/>
      <c r="D195" s="214"/>
      <c r="E195" s="214"/>
      <c r="F195" s="214"/>
      <c r="G195" s="214"/>
      <c r="H195" s="214"/>
      <c r="I195" s="214"/>
      <c r="J195" s="214"/>
      <c r="K195" s="214"/>
      <c r="L195" s="214"/>
      <c r="M195" s="215"/>
      <c r="N195" s="215"/>
      <c r="O195" s="216"/>
      <c r="P195" s="216"/>
      <c r="Q195" s="216"/>
      <c r="R195" s="216"/>
      <c r="S195" s="216"/>
      <c r="T195" s="216"/>
      <c r="U195" s="216"/>
    </row>
    <row r="196" spans="1:21" ht="24" customHeight="1" x14ac:dyDescent="0.2">
      <c r="A196" s="214"/>
      <c r="B196" s="214"/>
      <c r="C196" s="214"/>
      <c r="D196" s="214"/>
      <c r="E196" s="214"/>
      <c r="F196" s="214"/>
      <c r="G196" s="214"/>
      <c r="H196" s="214"/>
      <c r="I196" s="214"/>
      <c r="J196" s="214"/>
      <c r="K196" s="214"/>
      <c r="L196" s="214"/>
      <c r="M196" s="215"/>
      <c r="N196" s="215"/>
      <c r="O196" s="216"/>
      <c r="P196" s="216"/>
      <c r="Q196" s="216"/>
      <c r="R196" s="216"/>
      <c r="S196" s="216"/>
      <c r="T196" s="216"/>
      <c r="U196" s="216"/>
    </row>
    <row r="197" spans="1:21" ht="24" customHeight="1" x14ac:dyDescent="0.2">
      <c r="A197" s="214"/>
      <c r="B197" s="214"/>
      <c r="C197" s="214"/>
      <c r="D197" s="214"/>
      <c r="E197" s="214"/>
      <c r="F197" s="214"/>
      <c r="G197" s="214"/>
      <c r="H197" s="214"/>
      <c r="I197" s="214"/>
      <c r="J197" s="214"/>
      <c r="K197" s="214"/>
      <c r="L197" s="214"/>
      <c r="M197" s="215"/>
      <c r="N197" s="215"/>
      <c r="O197" s="216"/>
      <c r="P197" s="216"/>
      <c r="Q197" s="216"/>
      <c r="R197" s="216"/>
      <c r="S197" s="216"/>
      <c r="T197" s="216"/>
      <c r="U197" s="216"/>
    </row>
    <row r="198" spans="1:21" ht="24" customHeight="1" x14ac:dyDescent="0.2">
      <c r="A198" s="214"/>
      <c r="B198" s="214"/>
      <c r="C198" s="214"/>
      <c r="D198" s="214"/>
      <c r="E198" s="214"/>
      <c r="F198" s="214"/>
      <c r="G198" s="214"/>
      <c r="H198" s="214"/>
      <c r="I198" s="214"/>
      <c r="J198" s="214"/>
      <c r="K198" s="214"/>
      <c r="L198" s="214"/>
      <c r="M198" s="215"/>
      <c r="N198" s="215"/>
      <c r="O198" s="216"/>
      <c r="P198" s="216"/>
      <c r="Q198" s="216"/>
      <c r="R198" s="216"/>
      <c r="S198" s="216"/>
      <c r="T198" s="216"/>
      <c r="U198" s="216"/>
    </row>
    <row r="199" spans="1:21" ht="24" customHeight="1" x14ac:dyDescent="0.2">
      <c r="A199" s="214"/>
      <c r="B199" s="214"/>
      <c r="C199" s="214"/>
      <c r="D199" s="214"/>
      <c r="E199" s="214"/>
      <c r="F199" s="214"/>
      <c r="G199" s="214"/>
      <c r="H199" s="214"/>
      <c r="I199" s="214"/>
      <c r="J199" s="214"/>
      <c r="K199" s="214"/>
      <c r="L199" s="214"/>
      <c r="M199" s="215"/>
      <c r="N199" s="215"/>
      <c r="O199" s="216"/>
      <c r="P199" s="216"/>
      <c r="Q199" s="216"/>
      <c r="R199" s="216"/>
      <c r="S199" s="216"/>
      <c r="T199" s="216"/>
      <c r="U199" s="216"/>
    </row>
    <row r="200" spans="1:21" ht="24" customHeight="1" x14ac:dyDescent="0.2">
      <c r="A200" s="214"/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5"/>
      <c r="N200" s="215"/>
      <c r="O200" s="216"/>
      <c r="P200" s="216"/>
      <c r="Q200" s="216"/>
      <c r="R200" s="216"/>
      <c r="S200" s="216"/>
      <c r="T200" s="216"/>
      <c r="U200" s="216"/>
    </row>
    <row r="201" spans="1:21" ht="24" customHeight="1" x14ac:dyDescent="0.2">
      <c r="A201" s="214"/>
      <c r="B201" s="214"/>
      <c r="C201" s="214"/>
      <c r="D201" s="214"/>
      <c r="E201" s="214"/>
      <c r="F201" s="214"/>
      <c r="G201" s="214"/>
      <c r="H201" s="214"/>
      <c r="I201" s="214"/>
      <c r="J201" s="214"/>
      <c r="K201" s="214"/>
      <c r="L201" s="214"/>
      <c r="M201" s="215"/>
      <c r="N201" s="215"/>
      <c r="O201" s="216"/>
      <c r="P201" s="216"/>
      <c r="Q201" s="216"/>
      <c r="R201" s="216"/>
      <c r="S201" s="216"/>
      <c r="T201" s="216"/>
      <c r="U201" s="216"/>
    </row>
    <row r="202" spans="1:21" ht="24" customHeight="1" x14ac:dyDescent="0.2">
      <c r="A202" s="214"/>
      <c r="B202" s="214"/>
      <c r="C202" s="214"/>
      <c r="D202" s="214"/>
      <c r="E202" s="214"/>
      <c r="F202" s="214"/>
      <c r="G202" s="214"/>
      <c r="H202" s="214"/>
      <c r="I202" s="214"/>
      <c r="J202" s="214"/>
      <c r="K202" s="214"/>
      <c r="L202" s="214"/>
      <c r="M202" s="215"/>
      <c r="N202" s="215"/>
      <c r="O202" s="216"/>
      <c r="P202" s="216"/>
      <c r="Q202" s="216"/>
      <c r="R202" s="216"/>
      <c r="S202" s="216"/>
      <c r="T202" s="216"/>
      <c r="U202" s="216"/>
    </row>
    <row r="203" spans="1:21" ht="24" customHeight="1" x14ac:dyDescent="0.2">
      <c r="A203" s="214"/>
      <c r="B203" s="214"/>
      <c r="C203" s="214"/>
      <c r="D203" s="214"/>
      <c r="E203" s="214"/>
      <c r="F203" s="214"/>
      <c r="G203" s="214"/>
      <c r="H203" s="214"/>
      <c r="I203" s="214"/>
      <c r="J203" s="214"/>
      <c r="K203" s="214"/>
      <c r="L203" s="214"/>
      <c r="M203" s="215"/>
      <c r="N203" s="215"/>
      <c r="O203" s="216"/>
      <c r="P203" s="216"/>
      <c r="Q203" s="216"/>
      <c r="R203" s="216"/>
      <c r="S203" s="216"/>
      <c r="T203" s="216"/>
      <c r="U203" s="216"/>
    </row>
    <row r="204" spans="1:21" ht="24" customHeight="1" x14ac:dyDescent="0.2">
      <c r="A204" s="214"/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4"/>
      <c r="M204" s="215"/>
      <c r="N204" s="215"/>
      <c r="O204" s="216"/>
      <c r="P204" s="216"/>
      <c r="Q204" s="216"/>
      <c r="R204" s="216"/>
      <c r="S204" s="216"/>
      <c r="T204" s="216"/>
      <c r="U204" s="216"/>
    </row>
    <row r="205" spans="1:21" ht="24" customHeight="1" x14ac:dyDescent="0.2">
      <c r="A205" s="214"/>
      <c r="B205" s="214"/>
      <c r="C205" s="214"/>
      <c r="D205" s="214"/>
      <c r="E205" s="214"/>
      <c r="F205" s="214"/>
      <c r="G205" s="214"/>
      <c r="H205" s="214"/>
      <c r="I205" s="214"/>
      <c r="J205" s="214"/>
      <c r="K205" s="214"/>
      <c r="L205" s="214"/>
      <c r="M205" s="215"/>
      <c r="N205" s="215"/>
      <c r="O205" s="216"/>
      <c r="P205" s="216"/>
      <c r="Q205" s="216"/>
      <c r="R205" s="216"/>
      <c r="S205" s="216"/>
      <c r="T205" s="216"/>
      <c r="U205" s="216"/>
    </row>
    <row r="206" spans="1:21" ht="24" customHeight="1" x14ac:dyDescent="0.2">
      <c r="A206" s="214"/>
      <c r="B206" s="214"/>
      <c r="C206" s="214"/>
      <c r="D206" s="214"/>
      <c r="E206" s="214"/>
      <c r="F206" s="214"/>
      <c r="G206" s="214"/>
      <c r="H206" s="214"/>
      <c r="I206" s="214"/>
      <c r="J206" s="214"/>
      <c r="K206" s="214"/>
      <c r="L206" s="214"/>
      <c r="M206" s="215"/>
      <c r="N206" s="215"/>
      <c r="O206" s="216"/>
      <c r="P206" s="216"/>
      <c r="Q206" s="216"/>
      <c r="R206" s="216"/>
      <c r="S206" s="216"/>
      <c r="T206" s="216"/>
      <c r="U206" s="216"/>
    </row>
    <row r="207" spans="1:21" ht="24" customHeight="1" x14ac:dyDescent="0.2">
      <c r="A207" s="214"/>
      <c r="B207" s="214"/>
      <c r="C207" s="214"/>
      <c r="D207" s="214"/>
      <c r="E207" s="214"/>
      <c r="F207" s="214"/>
      <c r="G207" s="214"/>
      <c r="H207" s="214"/>
      <c r="I207" s="214"/>
      <c r="J207" s="214"/>
      <c r="K207" s="214"/>
      <c r="L207" s="214"/>
      <c r="M207" s="215"/>
      <c r="N207" s="215"/>
      <c r="O207" s="216"/>
      <c r="P207" s="216"/>
      <c r="Q207" s="216"/>
      <c r="R207" s="216"/>
      <c r="S207" s="216"/>
      <c r="T207" s="216"/>
      <c r="U207" s="216"/>
    </row>
    <row r="208" spans="1:21" ht="24" customHeight="1" x14ac:dyDescent="0.2">
      <c r="A208" s="214"/>
      <c r="B208" s="214"/>
      <c r="C208" s="214"/>
      <c r="D208" s="214"/>
      <c r="E208" s="214"/>
      <c r="F208" s="214"/>
      <c r="G208" s="214"/>
      <c r="H208" s="214"/>
      <c r="I208" s="214"/>
      <c r="J208" s="214"/>
      <c r="K208" s="214"/>
      <c r="L208" s="214"/>
      <c r="M208" s="215"/>
      <c r="N208" s="215"/>
      <c r="O208" s="216"/>
      <c r="P208" s="216"/>
      <c r="Q208" s="216"/>
      <c r="R208" s="216"/>
      <c r="S208" s="216"/>
      <c r="T208" s="216"/>
      <c r="U208" s="216"/>
    </row>
    <row r="209" spans="1:21" ht="24" customHeight="1" x14ac:dyDescent="0.2">
      <c r="A209" s="214"/>
      <c r="B209" s="214"/>
      <c r="C209" s="214"/>
      <c r="D209" s="214"/>
      <c r="E209" s="214"/>
      <c r="F209" s="214"/>
      <c r="G209" s="214"/>
      <c r="H209" s="214"/>
      <c r="I209" s="214"/>
      <c r="J209" s="214"/>
      <c r="K209" s="214"/>
      <c r="L209" s="214"/>
      <c r="M209" s="215"/>
      <c r="N209" s="215"/>
      <c r="O209" s="216"/>
      <c r="P209" s="216"/>
      <c r="Q209" s="216"/>
      <c r="R209" s="216"/>
      <c r="S209" s="216"/>
      <c r="T209" s="216"/>
      <c r="U209" s="216"/>
    </row>
    <row r="210" spans="1:21" ht="24" customHeight="1" x14ac:dyDescent="0.2">
      <c r="A210" s="214"/>
      <c r="B210" s="214"/>
      <c r="C210" s="214"/>
      <c r="D210" s="214"/>
      <c r="E210" s="214"/>
      <c r="F210" s="214"/>
      <c r="G210" s="214"/>
      <c r="H210" s="214"/>
      <c r="I210" s="214"/>
      <c r="J210" s="214"/>
      <c r="K210" s="214"/>
      <c r="L210" s="214"/>
      <c r="M210" s="215"/>
      <c r="N210" s="215"/>
      <c r="O210" s="216"/>
      <c r="P210" s="216"/>
      <c r="Q210" s="216"/>
      <c r="R210" s="216"/>
      <c r="S210" s="216"/>
      <c r="T210" s="216"/>
      <c r="U210" s="216"/>
    </row>
    <row r="211" spans="1:21" ht="24" customHeight="1" x14ac:dyDescent="0.2">
      <c r="A211" s="214"/>
      <c r="B211" s="214"/>
      <c r="C211" s="214"/>
      <c r="D211" s="214"/>
      <c r="E211" s="214"/>
      <c r="F211" s="214"/>
      <c r="G211" s="214"/>
      <c r="H211" s="214"/>
      <c r="I211" s="214"/>
      <c r="J211" s="214"/>
      <c r="K211" s="214"/>
      <c r="L211" s="214"/>
      <c r="M211" s="215"/>
      <c r="N211" s="215"/>
      <c r="O211" s="216"/>
      <c r="P211" s="216"/>
      <c r="Q211" s="216"/>
      <c r="R211" s="216"/>
      <c r="S211" s="216"/>
      <c r="T211" s="216"/>
      <c r="U211" s="216"/>
    </row>
    <row r="212" spans="1:21" ht="24" customHeight="1" x14ac:dyDescent="0.2">
      <c r="A212" s="214"/>
      <c r="B212" s="214"/>
      <c r="C212" s="214"/>
      <c r="D212" s="214"/>
      <c r="E212" s="214"/>
      <c r="F212" s="214"/>
      <c r="G212" s="214"/>
      <c r="H212" s="214"/>
      <c r="I212" s="214"/>
      <c r="J212" s="214"/>
      <c r="K212" s="214"/>
      <c r="L212" s="214"/>
      <c r="M212" s="215"/>
      <c r="N212" s="215"/>
      <c r="O212" s="216"/>
      <c r="P212" s="216"/>
      <c r="Q212" s="216"/>
      <c r="R212" s="216"/>
      <c r="S212" s="216"/>
      <c r="T212" s="216"/>
      <c r="U212" s="216"/>
    </row>
    <row r="213" spans="1:21" ht="24" customHeight="1" x14ac:dyDescent="0.2">
      <c r="A213" s="214"/>
      <c r="B213" s="214"/>
      <c r="C213" s="214"/>
      <c r="D213" s="214"/>
      <c r="E213" s="214"/>
      <c r="F213" s="214"/>
      <c r="G213" s="214"/>
      <c r="H213" s="214"/>
      <c r="I213" s="214"/>
      <c r="J213" s="214"/>
      <c r="K213" s="214"/>
      <c r="L213" s="214"/>
      <c r="M213" s="215"/>
      <c r="N213" s="215"/>
      <c r="O213" s="216"/>
      <c r="P213" s="216"/>
      <c r="Q213" s="216"/>
      <c r="R213" s="216"/>
      <c r="S213" s="216"/>
      <c r="T213" s="216"/>
      <c r="U213" s="216"/>
    </row>
    <row r="214" spans="1:21" ht="24" customHeight="1" x14ac:dyDescent="0.2">
      <c r="A214" s="214"/>
      <c r="B214" s="214"/>
      <c r="C214" s="214"/>
      <c r="D214" s="214"/>
      <c r="E214" s="214"/>
      <c r="F214" s="214"/>
      <c r="G214" s="214"/>
      <c r="H214" s="214"/>
      <c r="I214" s="214"/>
      <c r="J214" s="214"/>
      <c r="K214" s="214"/>
      <c r="L214" s="214"/>
      <c r="M214" s="215"/>
      <c r="N214" s="215"/>
      <c r="O214" s="216"/>
      <c r="P214" s="216"/>
      <c r="Q214" s="216"/>
      <c r="R214" s="216"/>
      <c r="S214" s="216"/>
      <c r="T214" s="216"/>
      <c r="U214" s="216"/>
    </row>
    <row r="215" spans="1:21" ht="24" customHeight="1" x14ac:dyDescent="0.2">
      <c r="A215" s="214"/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4"/>
      <c r="M215" s="215"/>
      <c r="N215" s="215"/>
      <c r="O215" s="216"/>
      <c r="P215" s="216"/>
      <c r="Q215" s="216"/>
      <c r="R215" s="216"/>
      <c r="S215" s="216"/>
      <c r="T215" s="216"/>
      <c r="U215" s="216"/>
    </row>
    <row r="216" spans="1:21" ht="24" customHeight="1" x14ac:dyDescent="0.2">
      <c r="A216" s="214"/>
      <c r="B216" s="214"/>
      <c r="C216" s="214"/>
      <c r="D216" s="214"/>
      <c r="E216" s="214"/>
      <c r="F216" s="214"/>
      <c r="G216" s="214"/>
      <c r="H216" s="214"/>
      <c r="I216" s="214"/>
      <c r="J216" s="214"/>
      <c r="K216" s="214"/>
      <c r="L216" s="214"/>
      <c r="M216" s="215"/>
      <c r="N216" s="215"/>
      <c r="O216" s="216"/>
      <c r="P216" s="216"/>
      <c r="Q216" s="216"/>
      <c r="R216" s="216"/>
      <c r="S216" s="216"/>
      <c r="T216" s="216"/>
      <c r="U216" s="216"/>
    </row>
    <row r="217" spans="1:21" ht="24" customHeight="1" x14ac:dyDescent="0.2">
      <c r="A217" s="214"/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5"/>
      <c r="N217" s="215"/>
      <c r="O217" s="216"/>
      <c r="P217" s="216"/>
      <c r="Q217" s="216"/>
      <c r="R217" s="216"/>
      <c r="S217" s="216"/>
      <c r="T217" s="216"/>
      <c r="U217" s="216"/>
    </row>
    <row r="218" spans="1:21" ht="24" customHeight="1" x14ac:dyDescent="0.2">
      <c r="A218" s="214"/>
      <c r="B218" s="214"/>
      <c r="C218" s="214"/>
      <c r="D218" s="214"/>
      <c r="E218" s="214"/>
      <c r="F218" s="214"/>
      <c r="G218" s="214"/>
      <c r="H218" s="214"/>
      <c r="I218" s="214"/>
      <c r="J218" s="214"/>
      <c r="K218" s="214"/>
      <c r="L218" s="214"/>
      <c r="M218" s="215"/>
      <c r="N218" s="215"/>
      <c r="O218" s="216"/>
      <c r="P218" s="216"/>
      <c r="Q218" s="216"/>
      <c r="R218" s="216"/>
      <c r="S218" s="216"/>
      <c r="T218" s="216"/>
      <c r="U218" s="216"/>
    </row>
    <row r="219" spans="1:21" ht="24" customHeight="1" x14ac:dyDescent="0.2">
      <c r="A219" s="214"/>
      <c r="B219" s="214"/>
      <c r="C219" s="214"/>
      <c r="D219" s="214"/>
      <c r="E219" s="214"/>
      <c r="F219" s="214"/>
      <c r="G219" s="214"/>
      <c r="H219" s="214"/>
      <c r="I219" s="214"/>
      <c r="J219" s="214"/>
      <c r="K219" s="214"/>
      <c r="L219" s="214"/>
      <c r="M219" s="215"/>
      <c r="N219" s="215"/>
      <c r="O219" s="216"/>
      <c r="P219" s="216"/>
      <c r="Q219" s="216"/>
      <c r="R219" s="216"/>
      <c r="S219" s="216"/>
      <c r="T219" s="216"/>
      <c r="U219" s="216"/>
    </row>
    <row r="220" spans="1:21" ht="24" customHeight="1" x14ac:dyDescent="0.2">
      <c r="A220" s="214"/>
      <c r="B220" s="214"/>
      <c r="C220" s="214"/>
      <c r="D220" s="214"/>
      <c r="E220" s="214"/>
      <c r="F220" s="214"/>
      <c r="G220" s="214"/>
      <c r="H220" s="214"/>
      <c r="I220" s="214"/>
      <c r="J220" s="214"/>
      <c r="K220" s="214"/>
      <c r="L220" s="214"/>
      <c r="M220" s="215"/>
      <c r="N220" s="215"/>
      <c r="O220" s="216"/>
      <c r="P220" s="216"/>
      <c r="Q220" s="216"/>
      <c r="R220" s="216"/>
      <c r="S220" s="216"/>
      <c r="T220" s="216"/>
      <c r="U220" s="216"/>
    </row>
    <row r="221" spans="1:21" ht="24" customHeight="1" x14ac:dyDescent="0.2">
      <c r="A221" s="214"/>
      <c r="B221" s="214"/>
      <c r="C221" s="214"/>
      <c r="D221" s="214"/>
      <c r="E221" s="214"/>
      <c r="F221" s="214"/>
      <c r="G221" s="214"/>
      <c r="H221" s="214"/>
      <c r="I221" s="214"/>
      <c r="J221" s="214"/>
      <c r="K221" s="214"/>
      <c r="L221" s="214"/>
      <c r="M221" s="215"/>
      <c r="N221" s="215"/>
      <c r="O221" s="216"/>
      <c r="P221" s="216"/>
      <c r="Q221" s="216"/>
      <c r="R221" s="216"/>
      <c r="S221" s="216"/>
      <c r="T221" s="216"/>
      <c r="U221" s="216"/>
    </row>
    <row r="222" spans="1:21" ht="24" customHeight="1" x14ac:dyDescent="0.2">
      <c r="A222" s="214"/>
      <c r="B222" s="214"/>
      <c r="C222" s="214"/>
      <c r="D222" s="214"/>
      <c r="E222" s="214"/>
      <c r="F222" s="214"/>
      <c r="G222" s="214"/>
      <c r="H222" s="214"/>
      <c r="I222" s="214"/>
      <c r="J222" s="214"/>
      <c r="K222" s="214"/>
      <c r="L222" s="214"/>
      <c r="M222" s="215"/>
      <c r="N222" s="215"/>
      <c r="O222" s="216"/>
      <c r="P222" s="216"/>
      <c r="Q222" s="216"/>
      <c r="R222" s="216"/>
      <c r="S222" s="216"/>
      <c r="T222" s="216"/>
      <c r="U222" s="216"/>
    </row>
    <row r="223" spans="1:21" ht="24" customHeight="1" x14ac:dyDescent="0.2">
      <c r="A223" s="214"/>
      <c r="B223" s="214"/>
      <c r="C223" s="214"/>
      <c r="D223" s="214"/>
      <c r="E223" s="214"/>
      <c r="F223" s="214"/>
      <c r="G223" s="214"/>
      <c r="H223" s="214"/>
      <c r="I223" s="214"/>
      <c r="J223" s="214"/>
      <c r="K223" s="214"/>
      <c r="L223" s="214"/>
      <c r="M223" s="215"/>
      <c r="N223" s="215"/>
      <c r="O223" s="216"/>
      <c r="P223" s="216"/>
      <c r="Q223" s="216"/>
      <c r="R223" s="216"/>
      <c r="S223" s="216"/>
      <c r="T223" s="216"/>
      <c r="U223" s="216"/>
    </row>
    <row r="224" spans="1:21" ht="24" customHeight="1" x14ac:dyDescent="0.2">
      <c r="A224" s="214"/>
      <c r="B224" s="214"/>
      <c r="C224" s="214"/>
      <c r="D224" s="214"/>
      <c r="E224" s="214"/>
      <c r="F224" s="214"/>
      <c r="G224" s="214"/>
      <c r="H224" s="214"/>
      <c r="I224" s="214"/>
      <c r="J224" s="214"/>
      <c r="K224" s="214"/>
      <c r="L224" s="214"/>
      <c r="M224" s="215"/>
      <c r="N224" s="215"/>
      <c r="O224" s="216"/>
      <c r="P224" s="216"/>
      <c r="Q224" s="216"/>
      <c r="R224" s="216"/>
      <c r="S224" s="216"/>
      <c r="T224" s="216"/>
      <c r="U224" s="216"/>
    </row>
    <row r="225" spans="1:21" ht="24" customHeight="1" x14ac:dyDescent="0.2">
      <c r="A225" s="214"/>
      <c r="B225" s="214"/>
      <c r="C225" s="214"/>
      <c r="D225" s="214"/>
      <c r="E225" s="214"/>
      <c r="F225" s="214"/>
      <c r="G225" s="214"/>
      <c r="H225" s="214"/>
      <c r="I225" s="214"/>
      <c r="J225" s="214"/>
      <c r="K225" s="214"/>
      <c r="L225" s="214"/>
      <c r="M225" s="215"/>
      <c r="N225" s="215"/>
      <c r="O225" s="216"/>
      <c r="P225" s="216"/>
      <c r="Q225" s="216"/>
      <c r="R225" s="216"/>
      <c r="S225" s="216"/>
      <c r="T225" s="216"/>
      <c r="U225" s="216"/>
    </row>
    <row r="226" spans="1:21" ht="24" customHeight="1" x14ac:dyDescent="0.2">
      <c r="A226" s="214"/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4"/>
      <c r="M226" s="215"/>
      <c r="N226" s="215"/>
      <c r="O226" s="216"/>
      <c r="P226" s="216"/>
      <c r="Q226" s="216"/>
      <c r="R226" s="216"/>
      <c r="S226" s="216"/>
      <c r="T226" s="216"/>
      <c r="U226" s="216"/>
    </row>
    <row r="227" spans="1:21" ht="24" customHeight="1" x14ac:dyDescent="0.2">
      <c r="A227" s="214"/>
      <c r="B227" s="214"/>
      <c r="C227" s="214"/>
      <c r="D227" s="214"/>
      <c r="E227" s="214"/>
      <c r="F227" s="214"/>
      <c r="G227" s="214"/>
      <c r="H227" s="214"/>
      <c r="I227" s="214"/>
      <c r="J227" s="214"/>
      <c r="K227" s="214"/>
      <c r="L227" s="214"/>
      <c r="M227" s="215"/>
      <c r="N227" s="215"/>
      <c r="O227" s="216"/>
      <c r="P227" s="216"/>
      <c r="Q227" s="216"/>
      <c r="R227" s="216"/>
      <c r="S227" s="216"/>
      <c r="T227" s="216"/>
      <c r="U227" s="216"/>
    </row>
    <row r="228" spans="1:21" ht="24" customHeight="1" x14ac:dyDescent="0.2">
      <c r="A228" s="214"/>
      <c r="B228" s="214"/>
      <c r="C228" s="214"/>
      <c r="D228" s="214"/>
      <c r="E228" s="214"/>
      <c r="F228" s="214"/>
      <c r="G228" s="214"/>
      <c r="H228" s="214"/>
      <c r="I228" s="214"/>
      <c r="J228" s="214"/>
      <c r="K228" s="214"/>
      <c r="L228" s="214"/>
      <c r="M228" s="215"/>
      <c r="N228" s="215"/>
      <c r="O228" s="216"/>
      <c r="P228" s="216"/>
      <c r="Q228" s="216"/>
      <c r="R228" s="216"/>
      <c r="S228" s="216"/>
      <c r="T228" s="216"/>
      <c r="U228" s="216"/>
    </row>
    <row r="229" spans="1:21" ht="24" customHeight="1" x14ac:dyDescent="0.2">
      <c r="A229" s="214"/>
      <c r="B229" s="214"/>
      <c r="C229" s="214"/>
      <c r="D229" s="214"/>
      <c r="E229" s="214"/>
      <c r="F229" s="214"/>
      <c r="G229" s="214"/>
      <c r="H229" s="214"/>
      <c r="I229" s="214"/>
      <c r="J229" s="214"/>
      <c r="K229" s="214"/>
      <c r="L229" s="214"/>
      <c r="M229" s="215"/>
      <c r="N229" s="215"/>
      <c r="O229" s="216"/>
      <c r="P229" s="216"/>
      <c r="Q229" s="216"/>
      <c r="R229" s="216"/>
      <c r="S229" s="216"/>
      <c r="T229" s="216"/>
      <c r="U229" s="216"/>
    </row>
    <row r="230" spans="1:21" ht="24" customHeight="1" x14ac:dyDescent="0.2">
      <c r="A230" s="214"/>
      <c r="B230" s="214"/>
      <c r="C230" s="214"/>
      <c r="D230" s="214"/>
      <c r="E230" s="214"/>
      <c r="F230" s="214"/>
      <c r="G230" s="214"/>
      <c r="H230" s="214"/>
      <c r="I230" s="214"/>
      <c r="J230" s="214"/>
      <c r="K230" s="214"/>
      <c r="L230" s="214"/>
      <c r="M230" s="215"/>
      <c r="N230" s="215"/>
      <c r="O230" s="216"/>
      <c r="P230" s="216"/>
      <c r="Q230" s="216"/>
      <c r="R230" s="216"/>
      <c r="S230" s="216"/>
      <c r="T230" s="216"/>
      <c r="U230" s="216"/>
    </row>
    <row r="231" spans="1:21" ht="24" customHeight="1" x14ac:dyDescent="0.2">
      <c r="A231" s="214"/>
      <c r="B231" s="214"/>
      <c r="C231" s="214"/>
      <c r="D231" s="214"/>
      <c r="E231" s="214"/>
      <c r="F231" s="214"/>
      <c r="G231" s="214"/>
      <c r="H231" s="214"/>
      <c r="I231" s="214"/>
      <c r="J231" s="214"/>
      <c r="K231" s="214"/>
      <c r="L231" s="214"/>
      <c r="M231" s="215"/>
      <c r="N231" s="215"/>
      <c r="O231" s="216"/>
      <c r="P231" s="216"/>
      <c r="Q231" s="216"/>
      <c r="R231" s="216"/>
      <c r="S231" s="216"/>
      <c r="T231" s="216"/>
      <c r="U231" s="216"/>
    </row>
    <row r="232" spans="1:21" ht="24" customHeight="1" x14ac:dyDescent="0.2">
      <c r="A232" s="214"/>
      <c r="B232" s="214"/>
      <c r="C232" s="214"/>
      <c r="D232" s="214"/>
      <c r="E232" s="214"/>
      <c r="F232" s="214"/>
      <c r="G232" s="214"/>
      <c r="H232" s="214"/>
      <c r="I232" s="214"/>
      <c r="J232" s="214"/>
      <c r="K232" s="214"/>
      <c r="L232" s="214"/>
      <c r="M232" s="215"/>
      <c r="N232" s="215"/>
      <c r="O232" s="216"/>
      <c r="P232" s="216"/>
      <c r="Q232" s="216"/>
      <c r="R232" s="216"/>
      <c r="S232" s="216"/>
      <c r="T232" s="216"/>
      <c r="U232" s="216"/>
    </row>
    <row r="233" spans="1:21" ht="24" customHeight="1" x14ac:dyDescent="0.2">
      <c r="A233" s="214"/>
      <c r="B233" s="214"/>
      <c r="C233" s="214"/>
      <c r="D233" s="214"/>
      <c r="E233" s="214"/>
      <c r="F233" s="214"/>
      <c r="G233" s="214"/>
      <c r="H233" s="214"/>
      <c r="I233" s="214"/>
      <c r="J233" s="214"/>
      <c r="K233" s="214"/>
      <c r="L233" s="214"/>
      <c r="M233" s="215"/>
      <c r="N233" s="215"/>
      <c r="O233" s="216"/>
      <c r="P233" s="216"/>
      <c r="Q233" s="216"/>
      <c r="R233" s="216"/>
      <c r="S233" s="216"/>
      <c r="T233" s="216"/>
      <c r="U233" s="216"/>
    </row>
    <row r="234" spans="1:21" ht="24" customHeight="1" x14ac:dyDescent="0.2">
      <c r="A234" s="214"/>
      <c r="B234" s="214"/>
      <c r="C234" s="214"/>
      <c r="D234" s="214"/>
      <c r="E234" s="214"/>
      <c r="F234" s="214"/>
      <c r="G234" s="214"/>
      <c r="H234" s="214"/>
      <c r="I234" s="214"/>
      <c r="J234" s="214"/>
      <c r="K234" s="214"/>
      <c r="L234" s="214"/>
      <c r="M234" s="215"/>
      <c r="N234" s="215"/>
      <c r="O234" s="216"/>
      <c r="P234" s="216"/>
      <c r="Q234" s="216"/>
      <c r="R234" s="216"/>
      <c r="S234" s="216"/>
      <c r="T234" s="216"/>
      <c r="U234" s="216"/>
    </row>
    <row r="235" spans="1:21" ht="24" customHeight="1" x14ac:dyDescent="0.2">
      <c r="A235" s="214"/>
      <c r="B235" s="214"/>
      <c r="C235" s="214"/>
      <c r="D235" s="214"/>
      <c r="E235" s="214"/>
      <c r="F235" s="214"/>
      <c r="G235" s="214"/>
      <c r="H235" s="214"/>
      <c r="I235" s="214"/>
      <c r="J235" s="214"/>
      <c r="K235" s="214"/>
      <c r="L235" s="214"/>
      <c r="M235" s="215"/>
      <c r="N235" s="215"/>
      <c r="O235" s="216"/>
      <c r="P235" s="216"/>
      <c r="Q235" s="216"/>
      <c r="R235" s="216"/>
      <c r="S235" s="216"/>
      <c r="T235" s="216"/>
      <c r="U235" s="216"/>
    </row>
    <row r="236" spans="1:21" ht="24" customHeight="1" x14ac:dyDescent="0.2">
      <c r="A236" s="214"/>
      <c r="B236" s="214"/>
      <c r="C236" s="214"/>
      <c r="D236" s="214"/>
      <c r="E236" s="214"/>
      <c r="F236" s="214"/>
      <c r="G236" s="214"/>
      <c r="H236" s="214"/>
      <c r="I236" s="214"/>
      <c r="J236" s="214"/>
      <c r="K236" s="214"/>
      <c r="L236" s="214"/>
      <c r="M236" s="215"/>
      <c r="N236" s="215"/>
      <c r="O236" s="216"/>
      <c r="P236" s="216"/>
      <c r="Q236" s="216"/>
      <c r="R236" s="216"/>
      <c r="S236" s="216"/>
      <c r="T236" s="216"/>
      <c r="U236" s="216"/>
    </row>
    <row r="237" spans="1:21" ht="24" customHeight="1" x14ac:dyDescent="0.2">
      <c r="A237" s="214"/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4"/>
      <c r="M237" s="215"/>
      <c r="N237" s="215"/>
      <c r="O237" s="216"/>
      <c r="P237" s="216"/>
      <c r="Q237" s="216"/>
      <c r="R237" s="216"/>
      <c r="S237" s="216"/>
      <c r="T237" s="216"/>
      <c r="U237" s="216"/>
    </row>
    <row r="238" spans="1:21" ht="24" customHeight="1" x14ac:dyDescent="0.2">
      <c r="A238" s="214"/>
      <c r="B238" s="214"/>
      <c r="C238" s="214"/>
      <c r="D238" s="214"/>
      <c r="E238" s="214"/>
      <c r="F238" s="214"/>
      <c r="G238" s="214"/>
      <c r="H238" s="214"/>
      <c r="I238" s="214"/>
      <c r="J238" s="214"/>
      <c r="K238" s="214"/>
      <c r="L238" s="214"/>
      <c r="M238" s="215"/>
      <c r="N238" s="215"/>
      <c r="O238" s="216"/>
      <c r="P238" s="216"/>
      <c r="Q238" s="216"/>
      <c r="R238" s="216"/>
      <c r="S238" s="216"/>
      <c r="T238" s="216"/>
      <c r="U238" s="216"/>
    </row>
    <row r="239" spans="1:21" ht="24" customHeight="1" x14ac:dyDescent="0.2">
      <c r="A239" s="214"/>
      <c r="B239" s="214"/>
      <c r="C239" s="214"/>
      <c r="D239" s="214"/>
      <c r="E239" s="214"/>
      <c r="F239" s="214"/>
      <c r="G239" s="214"/>
      <c r="H239" s="214"/>
      <c r="I239" s="214"/>
      <c r="J239" s="214"/>
      <c r="K239" s="214"/>
      <c r="L239" s="214"/>
      <c r="M239" s="215"/>
      <c r="N239" s="215"/>
      <c r="O239" s="216"/>
      <c r="P239" s="216"/>
      <c r="Q239" s="216"/>
      <c r="R239" s="216"/>
      <c r="S239" s="216"/>
      <c r="T239" s="216"/>
      <c r="U239" s="216"/>
    </row>
    <row r="240" spans="1:21" ht="24" customHeight="1" x14ac:dyDescent="0.2">
      <c r="A240" s="214"/>
      <c r="B240" s="214"/>
      <c r="C240" s="214"/>
      <c r="D240" s="214"/>
      <c r="E240" s="214"/>
      <c r="F240" s="214"/>
      <c r="G240" s="214"/>
      <c r="H240" s="214"/>
      <c r="I240" s="214"/>
      <c r="J240" s="214"/>
      <c r="K240" s="214"/>
      <c r="L240" s="214"/>
      <c r="M240" s="215"/>
      <c r="N240" s="215"/>
      <c r="O240" s="216"/>
      <c r="P240" s="216"/>
      <c r="Q240" s="216"/>
      <c r="R240" s="216"/>
      <c r="S240" s="216"/>
      <c r="T240" s="216"/>
      <c r="U240" s="216"/>
    </row>
    <row r="241" spans="1:21" ht="24" customHeight="1" x14ac:dyDescent="0.2">
      <c r="A241" s="214"/>
      <c r="B241" s="214"/>
      <c r="C241" s="214"/>
      <c r="D241" s="214"/>
      <c r="E241" s="214"/>
      <c r="F241" s="214"/>
      <c r="G241" s="214"/>
      <c r="H241" s="214"/>
      <c r="I241" s="214"/>
      <c r="J241" s="214"/>
      <c r="K241" s="214"/>
      <c r="L241" s="214"/>
      <c r="M241" s="215"/>
      <c r="N241" s="215"/>
      <c r="O241" s="216"/>
      <c r="P241" s="216"/>
      <c r="Q241" s="216"/>
      <c r="R241" s="216"/>
      <c r="S241" s="216"/>
      <c r="T241" s="216"/>
      <c r="U241" s="216"/>
    </row>
    <row r="242" spans="1:21" ht="24" customHeight="1" x14ac:dyDescent="0.2">
      <c r="A242" s="214"/>
      <c r="B242" s="214"/>
      <c r="C242" s="214"/>
      <c r="D242" s="214"/>
      <c r="E242" s="214"/>
      <c r="F242" s="214"/>
      <c r="G242" s="214"/>
      <c r="H242" s="214"/>
      <c r="I242" s="214"/>
      <c r="J242" s="214"/>
      <c r="K242" s="214"/>
      <c r="L242" s="214"/>
      <c r="M242" s="215"/>
      <c r="N242" s="215"/>
      <c r="O242" s="216"/>
      <c r="P242" s="216"/>
      <c r="Q242" s="216"/>
      <c r="R242" s="216"/>
      <c r="S242" s="216"/>
      <c r="T242" s="216"/>
      <c r="U242" s="216"/>
    </row>
    <row r="243" spans="1:21" ht="24" customHeight="1" x14ac:dyDescent="0.2">
      <c r="A243" s="214"/>
      <c r="B243" s="214"/>
      <c r="C243" s="214"/>
      <c r="D243" s="214"/>
      <c r="E243" s="214"/>
      <c r="F243" s="214"/>
      <c r="G243" s="214"/>
      <c r="H243" s="214"/>
      <c r="I243" s="214"/>
      <c r="J243" s="214"/>
      <c r="K243" s="214"/>
      <c r="L243" s="214"/>
      <c r="M243" s="215"/>
      <c r="N243" s="215"/>
      <c r="O243" s="216"/>
      <c r="P243" s="216"/>
      <c r="Q243" s="216"/>
      <c r="R243" s="216"/>
      <c r="S243" s="216"/>
      <c r="T243" s="216"/>
      <c r="U243" s="216"/>
    </row>
    <row r="244" spans="1:21" ht="24" customHeight="1" x14ac:dyDescent="0.2">
      <c r="A244" s="214"/>
      <c r="B244" s="214"/>
      <c r="C244" s="214"/>
      <c r="D244" s="214"/>
      <c r="E244" s="214"/>
      <c r="F244" s="214"/>
      <c r="G244" s="214"/>
      <c r="H244" s="214"/>
      <c r="I244" s="214"/>
      <c r="J244" s="214"/>
      <c r="K244" s="214"/>
      <c r="L244" s="214"/>
      <c r="M244" s="215"/>
      <c r="N244" s="215"/>
      <c r="O244" s="216"/>
      <c r="P244" s="216"/>
      <c r="Q244" s="216"/>
      <c r="R244" s="216"/>
      <c r="S244" s="216"/>
      <c r="T244" s="216"/>
      <c r="U244" s="216"/>
    </row>
    <row r="245" spans="1:21" ht="24" customHeight="1" x14ac:dyDescent="0.2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5"/>
      <c r="N245" s="215"/>
      <c r="O245" s="216"/>
      <c r="P245" s="216"/>
      <c r="Q245" s="216"/>
      <c r="R245" s="216"/>
      <c r="S245" s="216"/>
      <c r="T245" s="216"/>
      <c r="U245" s="216"/>
    </row>
    <row r="246" spans="1:21" ht="24" customHeight="1" x14ac:dyDescent="0.2">
      <c r="A246" s="214"/>
      <c r="B246" s="214"/>
      <c r="C246" s="214"/>
      <c r="D246" s="214"/>
      <c r="E246" s="214"/>
      <c r="F246" s="214"/>
      <c r="G246" s="214"/>
      <c r="H246" s="214"/>
      <c r="I246" s="214"/>
      <c r="J246" s="214"/>
      <c r="K246" s="214"/>
      <c r="L246" s="214"/>
      <c r="M246" s="215"/>
      <c r="N246" s="215"/>
      <c r="O246" s="216"/>
      <c r="P246" s="216"/>
      <c r="Q246" s="216"/>
      <c r="R246" s="216"/>
      <c r="S246" s="216"/>
      <c r="T246" s="216"/>
      <c r="U246" s="216"/>
    </row>
    <row r="247" spans="1:21" ht="24" customHeight="1" x14ac:dyDescent="0.2">
      <c r="A247" s="214"/>
      <c r="B247" s="214"/>
      <c r="C247" s="214"/>
      <c r="D247" s="214"/>
      <c r="E247" s="214"/>
      <c r="F247" s="214"/>
      <c r="G247" s="214"/>
      <c r="H247" s="214"/>
      <c r="I247" s="214"/>
      <c r="J247" s="214"/>
      <c r="K247" s="214"/>
      <c r="L247" s="214"/>
      <c r="M247" s="215"/>
      <c r="N247" s="215"/>
      <c r="O247" s="216"/>
      <c r="P247" s="216"/>
      <c r="Q247" s="216"/>
      <c r="R247" s="216"/>
      <c r="S247" s="216"/>
      <c r="T247" s="216"/>
      <c r="U247" s="216"/>
    </row>
    <row r="248" spans="1:21" ht="24" customHeight="1" x14ac:dyDescent="0.2">
      <c r="A248" s="214"/>
      <c r="B248" s="214"/>
      <c r="C248" s="214"/>
      <c r="D248" s="214"/>
      <c r="E248" s="214"/>
      <c r="F248" s="214"/>
      <c r="G248" s="214"/>
      <c r="H248" s="214"/>
      <c r="I248" s="214"/>
      <c r="J248" s="214"/>
      <c r="K248" s="214"/>
      <c r="L248" s="214"/>
      <c r="M248" s="215"/>
      <c r="N248" s="215"/>
      <c r="O248" s="216"/>
      <c r="P248" s="216"/>
      <c r="Q248" s="216"/>
      <c r="R248" s="216"/>
      <c r="S248" s="216"/>
      <c r="T248" s="216"/>
      <c r="U248" s="216"/>
    </row>
    <row r="249" spans="1:21" ht="24" customHeight="1" x14ac:dyDescent="0.2">
      <c r="A249" s="214"/>
      <c r="B249" s="214"/>
      <c r="C249" s="214"/>
      <c r="D249" s="214"/>
      <c r="E249" s="214"/>
      <c r="F249" s="214"/>
      <c r="G249" s="214"/>
      <c r="H249" s="214"/>
      <c r="I249" s="214"/>
      <c r="J249" s="214"/>
      <c r="K249" s="214"/>
      <c r="L249" s="214"/>
      <c r="M249" s="215"/>
      <c r="N249" s="215"/>
      <c r="O249" s="216"/>
      <c r="P249" s="216"/>
      <c r="Q249" s="216"/>
      <c r="R249" s="216"/>
      <c r="S249" s="216"/>
      <c r="T249" s="216"/>
      <c r="U249" s="216"/>
    </row>
    <row r="250" spans="1:21" ht="24" customHeight="1" x14ac:dyDescent="0.2">
      <c r="A250" s="214"/>
      <c r="B250" s="214"/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5"/>
      <c r="N250" s="215"/>
      <c r="O250" s="216"/>
      <c r="P250" s="216"/>
      <c r="Q250" s="216"/>
      <c r="R250" s="216"/>
      <c r="S250" s="216"/>
      <c r="T250" s="216"/>
      <c r="U250" s="216"/>
    </row>
    <row r="251" spans="1:21" ht="24" customHeight="1" x14ac:dyDescent="0.2">
      <c r="A251" s="214"/>
      <c r="B251" s="214"/>
      <c r="C251" s="214"/>
      <c r="D251" s="214"/>
      <c r="E251" s="214"/>
      <c r="F251" s="214"/>
      <c r="G251" s="214"/>
      <c r="H251" s="214"/>
      <c r="I251" s="214"/>
      <c r="J251" s="214"/>
      <c r="K251" s="214"/>
      <c r="L251" s="214"/>
      <c r="M251" s="215"/>
      <c r="N251" s="215"/>
      <c r="O251" s="216"/>
      <c r="P251" s="216"/>
      <c r="Q251" s="216"/>
      <c r="R251" s="216"/>
      <c r="S251" s="216"/>
      <c r="T251" s="216"/>
      <c r="U251" s="216"/>
    </row>
    <row r="252" spans="1:21" ht="24" customHeight="1" x14ac:dyDescent="0.2">
      <c r="A252" s="214"/>
      <c r="B252" s="214"/>
      <c r="C252" s="214"/>
      <c r="D252" s="214"/>
      <c r="E252" s="214"/>
      <c r="F252" s="214"/>
      <c r="G252" s="214"/>
      <c r="H252" s="214"/>
      <c r="I252" s="214"/>
      <c r="J252" s="214"/>
      <c r="K252" s="214"/>
      <c r="L252" s="214"/>
      <c r="M252" s="215"/>
      <c r="N252" s="215"/>
      <c r="O252" s="216"/>
      <c r="P252" s="216"/>
      <c r="Q252" s="216"/>
      <c r="R252" s="216"/>
      <c r="S252" s="216"/>
      <c r="T252" s="216"/>
      <c r="U252" s="216"/>
    </row>
    <row r="253" spans="1:21" ht="24" customHeight="1" x14ac:dyDescent="0.2">
      <c r="A253" s="214"/>
      <c r="B253" s="214"/>
      <c r="C253" s="214"/>
      <c r="D253" s="214"/>
      <c r="E253" s="214"/>
      <c r="F253" s="214"/>
      <c r="G253" s="214"/>
      <c r="H253" s="214"/>
      <c r="I253" s="214"/>
      <c r="J253" s="214"/>
      <c r="K253" s="214"/>
      <c r="L253" s="214"/>
      <c r="M253" s="215"/>
      <c r="N253" s="215"/>
      <c r="O253" s="216"/>
      <c r="P253" s="216"/>
      <c r="Q253" s="216"/>
      <c r="R253" s="216"/>
      <c r="S253" s="216"/>
      <c r="T253" s="216"/>
      <c r="U253" s="216"/>
    </row>
    <row r="254" spans="1:21" ht="24" customHeight="1" x14ac:dyDescent="0.2">
      <c r="A254" s="214"/>
      <c r="B254" s="214"/>
      <c r="C254" s="214"/>
      <c r="D254" s="214"/>
      <c r="E254" s="214"/>
      <c r="F254" s="214"/>
      <c r="G254" s="214"/>
      <c r="H254" s="214"/>
      <c r="I254" s="214"/>
      <c r="J254" s="214"/>
      <c r="K254" s="214"/>
      <c r="L254" s="214"/>
      <c r="M254" s="215"/>
      <c r="N254" s="215"/>
      <c r="O254" s="216"/>
      <c r="P254" s="216"/>
      <c r="Q254" s="216"/>
      <c r="R254" s="216"/>
      <c r="S254" s="216"/>
      <c r="T254" s="216"/>
      <c r="U254" s="216"/>
    </row>
    <row r="255" spans="1:21" ht="24" customHeight="1" x14ac:dyDescent="0.2">
      <c r="A255" s="214"/>
      <c r="B255" s="214"/>
      <c r="C255" s="214"/>
      <c r="D255" s="214"/>
      <c r="E255" s="214"/>
      <c r="F255" s="214"/>
      <c r="G255" s="214"/>
      <c r="H255" s="214"/>
      <c r="I255" s="214"/>
      <c r="J255" s="214"/>
      <c r="K255" s="214"/>
      <c r="L255" s="214"/>
      <c r="M255" s="215"/>
      <c r="N255" s="215"/>
      <c r="O255" s="216"/>
      <c r="P255" s="216"/>
      <c r="Q255" s="216"/>
      <c r="R255" s="216"/>
      <c r="S255" s="216"/>
      <c r="T255" s="216"/>
      <c r="U255" s="216"/>
    </row>
    <row r="256" spans="1:21" ht="24" customHeight="1" x14ac:dyDescent="0.2">
      <c r="A256" s="214"/>
      <c r="B256" s="214"/>
      <c r="C256" s="214"/>
      <c r="D256" s="214"/>
      <c r="E256" s="214"/>
      <c r="F256" s="214"/>
      <c r="G256" s="214"/>
      <c r="H256" s="214"/>
      <c r="I256" s="214"/>
      <c r="J256" s="214"/>
      <c r="K256" s="214"/>
      <c r="L256" s="214"/>
      <c r="M256" s="215"/>
      <c r="N256" s="215"/>
      <c r="O256" s="216"/>
      <c r="P256" s="216"/>
      <c r="Q256" s="216"/>
      <c r="R256" s="216"/>
      <c r="S256" s="216"/>
      <c r="T256" s="216"/>
      <c r="U256" s="216"/>
    </row>
    <row r="257" spans="1:21" ht="24" customHeight="1" x14ac:dyDescent="0.2">
      <c r="A257" s="214"/>
      <c r="B257" s="214"/>
      <c r="C257" s="214"/>
      <c r="D257" s="214"/>
      <c r="E257" s="214"/>
      <c r="F257" s="214"/>
      <c r="G257" s="214"/>
      <c r="H257" s="214"/>
      <c r="I257" s="214"/>
      <c r="J257" s="214"/>
      <c r="K257" s="214"/>
      <c r="L257" s="214"/>
      <c r="M257" s="215"/>
      <c r="N257" s="215"/>
      <c r="O257" s="216"/>
      <c r="P257" s="216"/>
      <c r="Q257" s="216"/>
      <c r="R257" s="216"/>
      <c r="S257" s="216"/>
      <c r="T257" s="216"/>
      <c r="U257" s="216"/>
    </row>
    <row r="258" spans="1:21" ht="24" customHeight="1" x14ac:dyDescent="0.2">
      <c r="A258" s="214"/>
      <c r="B258" s="214"/>
      <c r="C258" s="214"/>
      <c r="D258" s="214"/>
      <c r="E258" s="214"/>
      <c r="F258" s="214"/>
      <c r="G258" s="214"/>
      <c r="H258" s="214"/>
      <c r="I258" s="214"/>
      <c r="J258" s="214"/>
      <c r="K258" s="214"/>
      <c r="L258" s="214"/>
      <c r="M258" s="215"/>
      <c r="N258" s="215"/>
      <c r="O258" s="216"/>
      <c r="P258" s="216"/>
      <c r="Q258" s="216"/>
      <c r="R258" s="216"/>
      <c r="S258" s="216"/>
      <c r="T258" s="216"/>
      <c r="U258" s="216"/>
    </row>
    <row r="259" spans="1:21" ht="24" customHeight="1" x14ac:dyDescent="0.2">
      <c r="A259" s="214"/>
      <c r="B259" s="214"/>
      <c r="C259" s="214"/>
      <c r="D259" s="214"/>
      <c r="E259" s="214"/>
      <c r="F259" s="214"/>
      <c r="G259" s="214"/>
      <c r="H259" s="214"/>
      <c r="I259" s="214"/>
      <c r="J259" s="214"/>
      <c r="K259" s="214"/>
      <c r="L259" s="214"/>
      <c r="M259" s="215"/>
      <c r="N259" s="215"/>
      <c r="O259" s="216"/>
      <c r="P259" s="216"/>
      <c r="Q259" s="216"/>
      <c r="R259" s="216"/>
      <c r="S259" s="216"/>
      <c r="T259" s="216"/>
      <c r="U259" s="216"/>
    </row>
    <row r="260" spans="1:21" ht="24" customHeight="1" x14ac:dyDescent="0.2">
      <c r="A260" s="214"/>
      <c r="B260" s="214"/>
      <c r="C260" s="214"/>
      <c r="D260" s="214"/>
      <c r="E260" s="214"/>
      <c r="F260" s="214"/>
      <c r="G260" s="214"/>
      <c r="H260" s="214"/>
      <c r="I260" s="214"/>
      <c r="J260" s="214"/>
      <c r="K260" s="214"/>
      <c r="L260" s="214"/>
      <c r="M260" s="215"/>
      <c r="N260" s="215"/>
      <c r="O260" s="216"/>
      <c r="P260" s="216"/>
      <c r="Q260" s="216"/>
      <c r="R260" s="216"/>
      <c r="S260" s="216"/>
      <c r="T260" s="216"/>
      <c r="U260" s="216"/>
    </row>
    <row r="261" spans="1:21" ht="24" customHeight="1" x14ac:dyDescent="0.2">
      <c r="A261" s="214"/>
      <c r="B261" s="214"/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5"/>
      <c r="N261" s="215"/>
      <c r="O261" s="216"/>
      <c r="P261" s="216"/>
      <c r="Q261" s="216"/>
      <c r="R261" s="216"/>
      <c r="S261" s="216"/>
      <c r="T261" s="216"/>
      <c r="U261" s="216"/>
    </row>
    <row r="262" spans="1:21" ht="24" customHeight="1" x14ac:dyDescent="0.2">
      <c r="A262" s="214"/>
      <c r="B262" s="214"/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5"/>
      <c r="N262" s="215"/>
      <c r="O262" s="216"/>
      <c r="P262" s="216"/>
      <c r="Q262" s="216"/>
      <c r="R262" s="216"/>
      <c r="S262" s="216"/>
      <c r="T262" s="216"/>
      <c r="U262" s="216"/>
    </row>
    <row r="263" spans="1:21" ht="24" customHeight="1" x14ac:dyDescent="0.2">
      <c r="A263" s="214"/>
      <c r="B263" s="214"/>
      <c r="C263" s="214"/>
      <c r="D263" s="214"/>
      <c r="E263" s="214"/>
      <c r="F263" s="214"/>
      <c r="G263" s="214"/>
      <c r="H263" s="214"/>
      <c r="I263" s="214"/>
      <c r="J263" s="214"/>
      <c r="K263" s="214"/>
      <c r="L263" s="214"/>
      <c r="M263" s="215"/>
      <c r="N263" s="215"/>
      <c r="O263" s="216"/>
      <c r="P263" s="216"/>
      <c r="Q263" s="216"/>
      <c r="R263" s="216"/>
      <c r="S263" s="216"/>
      <c r="T263" s="216"/>
      <c r="U263" s="216"/>
    </row>
    <row r="264" spans="1:21" ht="24" customHeight="1" x14ac:dyDescent="0.2">
      <c r="A264" s="214"/>
      <c r="B264" s="214"/>
      <c r="C264" s="214"/>
      <c r="D264" s="214"/>
      <c r="E264" s="214"/>
      <c r="F264" s="214"/>
      <c r="G264" s="214"/>
      <c r="H264" s="214"/>
      <c r="I264" s="214"/>
      <c r="J264" s="214"/>
      <c r="K264" s="214"/>
      <c r="L264" s="214"/>
      <c r="M264" s="215"/>
      <c r="N264" s="215"/>
      <c r="O264" s="216"/>
      <c r="P264" s="216"/>
      <c r="Q264" s="216"/>
      <c r="R264" s="216"/>
      <c r="S264" s="216"/>
      <c r="T264" s="216"/>
      <c r="U264" s="216"/>
    </row>
    <row r="265" spans="1:21" ht="24" customHeight="1" x14ac:dyDescent="0.2">
      <c r="A265" s="214"/>
      <c r="B265" s="214"/>
      <c r="C265" s="214"/>
      <c r="D265" s="214"/>
      <c r="E265" s="214"/>
      <c r="F265" s="214"/>
      <c r="G265" s="214"/>
      <c r="H265" s="214"/>
      <c r="I265" s="214"/>
      <c r="J265" s="214"/>
      <c r="K265" s="214"/>
      <c r="L265" s="214"/>
      <c r="M265" s="215"/>
      <c r="N265" s="215"/>
      <c r="O265" s="216"/>
      <c r="P265" s="216"/>
      <c r="Q265" s="216"/>
      <c r="R265" s="216"/>
      <c r="S265" s="216"/>
      <c r="T265" s="216"/>
      <c r="U265" s="216"/>
    </row>
    <row r="266" spans="1:21" ht="24" customHeight="1" x14ac:dyDescent="0.2">
      <c r="A266" s="214"/>
      <c r="B266" s="214"/>
      <c r="C266" s="214"/>
      <c r="D266" s="214"/>
      <c r="E266" s="214"/>
      <c r="F266" s="214"/>
      <c r="G266" s="214"/>
      <c r="H266" s="214"/>
      <c r="I266" s="214"/>
      <c r="J266" s="214"/>
      <c r="K266" s="214"/>
      <c r="L266" s="214"/>
      <c r="M266" s="215"/>
      <c r="N266" s="215"/>
      <c r="O266" s="216"/>
      <c r="P266" s="216"/>
      <c r="Q266" s="216"/>
      <c r="R266" s="216"/>
      <c r="S266" s="216"/>
      <c r="T266" s="216"/>
      <c r="U266" s="216"/>
    </row>
    <row r="267" spans="1:21" ht="24" customHeight="1" x14ac:dyDescent="0.2">
      <c r="A267" s="214"/>
      <c r="B267" s="214"/>
      <c r="C267" s="214"/>
      <c r="D267" s="214"/>
      <c r="E267" s="214"/>
      <c r="F267" s="214"/>
      <c r="G267" s="214"/>
      <c r="H267" s="214"/>
      <c r="I267" s="214"/>
      <c r="J267" s="214"/>
      <c r="K267" s="214"/>
      <c r="L267" s="214"/>
      <c r="M267" s="215"/>
      <c r="N267" s="215"/>
      <c r="O267" s="216"/>
      <c r="P267" s="216"/>
      <c r="Q267" s="216"/>
      <c r="R267" s="216"/>
      <c r="S267" s="216"/>
      <c r="T267" s="216"/>
      <c r="U267" s="216"/>
    </row>
    <row r="268" spans="1:21" ht="24" customHeight="1" x14ac:dyDescent="0.2">
      <c r="A268" s="214"/>
      <c r="B268" s="214"/>
      <c r="C268" s="214"/>
      <c r="D268" s="214"/>
      <c r="E268" s="214"/>
      <c r="F268" s="214"/>
      <c r="G268" s="214"/>
      <c r="H268" s="214"/>
      <c r="I268" s="214"/>
      <c r="J268" s="214"/>
      <c r="K268" s="214"/>
      <c r="L268" s="214"/>
      <c r="M268" s="215"/>
      <c r="N268" s="215"/>
      <c r="O268" s="216"/>
      <c r="P268" s="216"/>
      <c r="Q268" s="216"/>
      <c r="R268" s="216"/>
      <c r="S268" s="216"/>
      <c r="T268" s="216"/>
      <c r="U268" s="216"/>
    </row>
    <row r="269" spans="1:21" ht="24" customHeight="1" x14ac:dyDescent="0.2">
      <c r="A269" s="214"/>
      <c r="B269" s="214"/>
      <c r="C269" s="214"/>
      <c r="D269" s="214"/>
      <c r="E269" s="214"/>
      <c r="F269" s="214"/>
      <c r="G269" s="214"/>
      <c r="H269" s="214"/>
      <c r="I269" s="214"/>
      <c r="J269" s="214"/>
      <c r="K269" s="214"/>
      <c r="L269" s="214"/>
      <c r="M269" s="215"/>
      <c r="N269" s="215"/>
      <c r="O269" s="216"/>
      <c r="P269" s="216"/>
      <c r="Q269" s="216"/>
      <c r="R269" s="216"/>
      <c r="S269" s="216"/>
      <c r="T269" s="216"/>
      <c r="U269" s="216"/>
    </row>
    <row r="270" spans="1:21" ht="24" customHeight="1" x14ac:dyDescent="0.2">
      <c r="A270" s="214"/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4"/>
      <c r="M270" s="215"/>
      <c r="N270" s="215"/>
      <c r="O270" s="216"/>
      <c r="P270" s="216"/>
      <c r="Q270" s="216"/>
      <c r="R270" s="216"/>
      <c r="S270" s="216"/>
      <c r="T270" s="216"/>
      <c r="U270" s="216"/>
    </row>
    <row r="271" spans="1:21" ht="24" customHeight="1" x14ac:dyDescent="0.2">
      <c r="A271" s="214"/>
      <c r="B271" s="214"/>
      <c r="C271" s="214"/>
      <c r="D271" s="214"/>
      <c r="E271" s="214"/>
      <c r="F271" s="214"/>
      <c r="G271" s="214"/>
      <c r="H271" s="214"/>
      <c r="I271" s="214"/>
      <c r="J271" s="214"/>
      <c r="K271" s="214"/>
      <c r="L271" s="214"/>
      <c r="M271" s="215"/>
      <c r="N271" s="215"/>
      <c r="O271" s="216"/>
      <c r="P271" s="216"/>
      <c r="Q271" s="216"/>
      <c r="R271" s="216"/>
      <c r="S271" s="216"/>
      <c r="T271" s="216"/>
      <c r="U271" s="216"/>
    </row>
    <row r="272" spans="1:21" ht="24" customHeight="1" x14ac:dyDescent="0.2">
      <c r="A272" s="214"/>
      <c r="B272" s="214"/>
      <c r="C272" s="214"/>
      <c r="D272" s="214"/>
      <c r="E272" s="214"/>
      <c r="F272" s="214"/>
      <c r="G272" s="214"/>
      <c r="H272" s="214"/>
      <c r="I272" s="214"/>
      <c r="J272" s="214"/>
      <c r="K272" s="214"/>
      <c r="L272" s="214"/>
      <c r="M272" s="215"/>
      <c r="N272" s="215"/>
      <c r="O272" s="216"/>
      <c r="P272" s="216"/>
      <c r="Q272" s="216"/>
      <c r="R272" s="216"/>
      <c r="S272" s="216"/>
      <c r="T272" s="216"/>
      <c r="U272" s="216"/>
    </row>
    <row r="273" spans="1:21" ht="24" customHeight="1" x14ac:dyDescent="0.2">
      <c r="A273" s="214"/>
      <c r="B273" s="214"/>
      <c r="C273" s="214"/>
      <c r="D273" s="214"/>
      <c r="E273" s="214"/>
      <c r="F273" s="214"/>
      <c r="G273" s="214"/>
      <c r="H273" s="214"/>
      <c r="I273" s="214"/>
      <c r="J273" s="214"/>
      <c r="K273" s="214"/>
      <c r="L273" s="214"/>
      <c r="M273" s="215"/>
      <c r="N273" s="215"/>
      <c r="O273" s="216"/>
      <c r="P273" s="216"/>
      <c r="Q273" s="216"/>
      <c r="R273" s="216"/>
      <c r="S273" s="216"/>
      <c r="T273" s="216"/>
      <c r="U273" s="216"/>
    </row>
    <row r="274" spans="1:21" ht="24" customHeight="1" x14ac:dyDescent="0.2">
      <c r="A274" s="214"/>
      <c r="B274" s="214"/>
      <c r="C274" s="214"/>
      <c r="D274" s="214"/>
      <c r="E274" s="214"/>
      <c r="F274" s="214"/>
      <c r="G274" s="214"/>
      <c r="H274" s="214"/>
      <c r="I274" s="214"/>
      <c r="J274" s="214"/>
      <c r="K274" s="214"/>
      <c r="L274" s="214"/>
      <c r="M274" s="215"/>
      <c r="N274" s="215"/>
      <c r="O274" s="216"/>
      <c r="P274" s="216"/>
      <c r="Q274" s="216"/>
      <c r="R274" s="216"/>
      <c r="S274" s="216"/>
      <c r="T274" s="216"/>
      <c r="U274" s="216"/>
    </row>
    <row r="275" spans="1:21" ht="24" customHeight="1" x14ac:dyDescent="0.2">
      <c r="A275" s="214"/>
      <c r="B275" s="214"/>
      <c r="C275" s="214"/>
      <c r="D275" s="214"/>
      <c r="E275" s="214"/>
      <c r="F275" s="214"/>
      <c r="G275" s="214"/>
      <c r="H275" s="214"/>
      <c r="I275" s="214"/>
      <c r="J275" s="214"/>
      <c r="K275" s="214"/>
      <c r="L275" s="214"/>
      <c r="M275" s="215"/>
      <c r="N275" s="215"/>
      <c r="O275" s="216"/>
      <c r="P275" s="216"/>
      <c r="Q275" s="216"/>
      <c r="R275" s="216"/>
      <c r="S275" s="216"/>
      <c r="T275" s="216"/>
      <c r="U275" s="216"/>
    </row>
    <row r="276" spans="1:21" ht="24" customHeight="1" x14ac:dyDescent="0.2">
      <c r="A276" s="214"/>
      <c r="B276" s="214"/>
      <c r="C276" s="214"/>
      <c r="D276" s="214"/>
      <c r="E276" s="214"/>
      <c r="F276" s="214"/>
      <c r="G276" s="214"/>
      <c r="H276" s="214"/>
      <c r="I276" s="214"/>
      <c r="J276" s="214"/>
      <c r="K276" s="214"/>
      <c r="L276" s="214"/>
      <c r="M276" s="215"/>
      <c r="N276" s="215"/>
      <c r="O276" s="216"/>
      <c r="P276" s="216"/>
      <c r="Q276" s="216"/>
      <c r="R276" s="216"/>
      <c r="S276" s="216"/>
      <c r="T276" s="216"/>
      <c r="U276" s="216"/>
    </row>
    <row r="277" spans="1:21" ht="24" customHeight="1" x14ac:dyDescent="0.2">
      <c r="A277" s="214"/>
      <c r="B277" s="214"/>
      <c r="C277" s="214"/>
      <c r="D277" s="214"/>
      <c r="E277" s="214"/>
      <c r="F277" s="214"/>
      <c r="G277" s="214"/>
      <c r="H277" s="214"/>
      <c r="I277" s="214"/>
      <c r="J277" s="214"/>
      <c r="K277" s="214"/>
      <c r="L277" s="214"/>
      <c r="M277" s="215"/>
      <c r="N277" s="215"/>
      <c r="O277" s="216"/>
      <c r="P277" s="216"/>
      <c r="Q277" s="216"/>
      <c r="R277" s="216"/>
      <c r="S277" s="216"/>
      <c r="T277" s="216"/>
      <c r="U277" s="216"/>
    </row>
    <row r="278" spans="1:21" ht="24" customHeight="1" x14ac:dyDescent="0.2">
      <c r="A278" s="214"/>
      <c r="B278" s="214"/>
      <c r="C278" s="214"/>
      <c r="D278" s="214"/>
      <c r="E278" s="214"/>
      <c r="F278" s="214"/>
      <c r="G278" s="214"/>
      <c r="H278" s="214"/>
      <c r="I278" s="214"/>
      <c r="J278" s="214"/>
      <c r="K278" s="214"/>
      <c r="L278" s="214"/>
      <c r="M278" s="215"/>
      <c r="N278" s="215"/>
      <c r="O278" s="216"/>
      <c r="P278" s="216"/>
      <c r="Q278" s="216"/>
      <c r="R278" s="216"/>
      <c r="S278" s="216"/>
      <c r="T278" s="216"/>
      <c r="U278" s="216"/>
    </row>
    <row r="279" spans="1:21" ht="24" customHeight="1" x14ac:dyDescent="0.2">
      <c r="A279" s="214"/>
      <c r="B279" s="214"/>
      <c r="C279" s="214"/>
      <c r="D279" s="214"/>
      <c r="E279" s="214"/>
      <c r="F279" s="214"/>
      <c r="G279" s="214"/>
      <c r="H279" s="214"/>
      <c r="I279" s="214"/>
      <c r="J279" s="214"/>
      <c r="K279" s="214"/>
      <c r="L279" s="214"/>
      <c r="M279" s="215"/>
      <c r="N279" s="215"/>
      <c r="O279" s="216"/>
      <c r="P279" s="216"/>
      <c r="Q279" s="216"/>
      <c r="R279" s="216"/>
      <c r="S279" s="216"/>
      <c r="T279" s="216"/>
      <c r="U279" s="216"/>
    </row>
    <row r="280" spans="1:21" ht="24" customHeight="1" x14ac:dyDescent="0.2">
      <c r="A280" s="214"/>
      <c r="B280" s="214"/>
      <c r="C280" s="214"/>
      <c r="D280" s="214"/>
      <c r="E280" s="214"/>
      <c r="F280" s="214"/>
      <c r="G280" s="214"/>
      <c r="H280" s="214"/>
      <c r="I280" s="214"/>
      <c r="J280" s="214"/>
      <c r="K280" s="214"/>
      <c r="L280" s="214"/>
      <c r="M280" s="215"/>
      <c r="N280" s="215"/>
      <c r="O280" s="216"/>
      <c r="P280" s="216"/>
      <c r="Q280" s="216"/>
      <c r="R280" s="216"/>
      <c r="S280" s="216"/>
      <c r="T280" s="216"/>
      <c r="U280" s="216"/>
    </row>
    <row r="281" spans="1:21" ht="24" customHeight="1" x14ac:dyDescent="0.2">
      <c r="A281" s="214"/>
      <c r="B281" s="214"/>
      <c r="C281" s="214"/>
      <c r="D281" s="214"/>
      <c r="E281" s="214"/>
      <c r="F281" s="214"/>
      <c r="G281" s="214"/>
      <c r="H281" s="214"/>
      <c r="I281" s="214"/>
      <c r="J281" s="214"/>
      <c r="K281" s="214"/>
      <c r="L281" s="214"/>
      <c r="M281" s="215"/>
      <c r="N281" s="215"/>
      <c r="O281" s="216"/>
      <c r="P281" s="216"/>
      <c r="Q281" s="216"/>
      <c r="R281" s="216"/>
      <c r="S281" s="216"/>
      <c r="T281" s="216"/>
      <c r="U281" s="216"/>
    </row>
    <row r="282" spans="1:21" ht="24" customHeight="1" x14ac:dyDescent="0.2">
      <c r="A282" s="214"/>
      <c r="B282" s="214"/>
      <c r="C282" s="214"/>
      <c r="D282" s="214"/>
      <c r="E282" s="214"/>
      <c r="F282" s="214"/>
      <c r="G282" s="214"/>
      <c r="H282" s="214"/>
      <c r="I282" s="214"/>
      <c r="J282" s="214"/>
      <c r="K282" s="214"/>
      <c r="L282" s="214"/>
      <c r="M282" s="215"/>
      <c r="N282" s="215"/>
      <c r="O282" s="216"/>
      <c r="P282" s="216"/>
      <c r="Q282" s="216"/>
      <c r="R282" s="216"/>
      <c r="S282" s="216"/>
      <c r="T282" s="216"/>
      <c r="U282" s="216"/>
    </row>
    <row r="283" spans="1:21" ht="24" customHeight="1" x14ac:dyDescent="0.2">
      <c r="A283" s="214"/>
      <c r="B283" s="214"/>
      <c r="C283" s="214"/>
      <c r="D283" s="214"/>
      <c r="E283" s="214"/>
      <c r="F283" s="214"/>
      <c r="G283" s="214"/>
      <c r="H283" s="214"/>
      <c r="I283" s="214"/>
      <c r="J283" s="214"/>
      <c r="K283" s="214"/>
      <c r="L283" s="214"/>
      <c r="M283" s="215"/>
      <c r="N283" s="215"/>
      <c r="O283" s="216"/>
      <c r="P283" s="216"/>
      <c r="Q283" s="216"/>
      <c r="R283" s="216"/>
      <c r="S283" s="216"/>
      <c r="T283" s="216"/>
      <c r="U283" s="216"/>
    </row>
    <row r="284" spans="1:21" ht="24" customHeight="1" x14ac:dyDescent="0.2">
      <c r="A284" s="214"/>
      <c r="B284" s="214"/>
      <c r="C284" s="214"/>
      <c r="D284" s="214"/>
      <c r="E284" s="214"/>
      <c r="F284" s="214"/>
      <c r="G284" s="214"/>
      <c r="H284" s="214"/>
      <c r="I284" s="214"/>
      <c r="J284" s="214"/>
      <c r="K284" s="214"/>
      <c r="L284" s="214"/>
      <c r="M284" s="215"/>
      <c r="N284" s="215"/>
      <c r="O284" s="216"/>
      <c r="P284" s="216"/>
      <c r="Q284" s="216"/>
      <c r="R284" s="216"/>
      <c r="S284" s="216"/>
      <c r="T284" s="216"/>
      <c r="U284" s="216"/>
    </row>
    <row r="285" spans="1:21" ht="24" customHeight="1" x14ac:dyDescent="0.2">
      <c r="A285" s="214"/>
      <c r="B285" s="214"/>
      <c r="C285" s="214"/>
      <c r="D285" s="214"/>
      <c r="E285" s="214"/>
      <c r="F285" s="214"/>
      <c r="G285" s="214"/>
      <c r="H285" s="214"/>
      <c r="I285" s="214"/>
      <c r="J285" s="214"/>
      <c r="K285" s="214"/>
      <c r="L285" s="214"/>
      <c r="M285" s="215"/>
      <c r="N285" s="215"/>
      <c r="O285" s="216"/>
      <c r="P285" s="216"/>
      <c r="Q285" s="216"/>
      <c r="R285" s="216"/>
      <c r="S285" s="216"/>
      <c r="T285" s="216"/>
      <c r="U285" s="216"/>
    </row>
    <row r="286" spans="1:21" ht="24" customHeight="1" x14ac:dyDescent="0.2">
      <c r="A286" s="214"/>
      <c r="B286" s="214"/>
      <c r="C286" s="214"/>
      <c r="D286" s="214"/>
      <c r="E286" s="214"/>
      <c r="F286" s="214"/>
      <c r="G286" s="214"/>
      <c r="H286" s="214"/>
      <c r="I286" s="214"/>
      <c r="J286" s="214"/>
      <c r="K286" s="214"/>
      <c r="L286" s="214"/>
      <c r="M286" s="215"/>
      <c r="N286" s="215"/>
      <c r="O286" s="216"/>
      <c r="P286" s="216"/>
      <c r="Q286" s="216"/>
      <c r="R286" s="216"/>
      <c r="S286" s="216"/>
      <c r="T286" s="216"/>
      <c r="U286" s="216"/>
    </row>
    <row r="287" spans="1:21" ht="24" customHeight="1" x14ac:dyDescent="0.2">
      <c r="A287" s="214"/>
      <c r="B287" s="214"/>
      <c r="C287" s="214"/>
      <c r="D287" s="214"/>
      <c r="E287" s="214"/>
      <c r="F287" s="214"/>
      <c r="G287" s="214"/>
      <c r="H287" s="214"/>
      <c r="I287" s="214"/>
      <c r="J287" s="214"/>
      <c r="K287" s="214"/>
      <c r="L287" s="214"/>
      <c r="M287" s="215"/>
      <c r="N287" s="215"/>
      <c r="O287" s="216"/>
      <c r="P287" s="216"/>
      <c r="Q287" s="216"/>
      <c r="R287" s="216"/>
      <c r="S287" s="216"/>
      <c r="T287" s="216"/>
      <c r="U287" s="216"/>
    </row>
    <row r="288" spans="1:21" ht="24" customHeight="1" x14ac:dyDescent="0.2">
      <c r="A288" s="214"/>
      <c r="B288" s="214"/>
      <c r="C288" s="214"/>
      <c r="D288" s="214"/>
      <c r="E288" s="214"/>
      <c r="F288" s="214"/>
      <c r="G288" s="214"/>
      <c r="H288" s="214"/>
      <c r="I288" s="214"/>
      <c r="J288" s="214"/>
      <c r="K288" s="214"/>
      <c r="L288" s="214"/>
      <c r="M288" s="215"/>
      <c r="N288" s="215"/>
      <c r="O288" s="216"/>
      <c r="P288" s="216"/>
      <c r="Q288" s="216"/>
      <c r="R288" s="216"/>
      <c r="S288" s="216"/>
      <c r="T288" s="216"/>
      <c r="U288" s="216"/>
    </row>
    <row r="289" spans="1:21" ht="24" customHeight="1" x14ac:dyDescent="0.2">
      <c r="A289" s="214"/>
      <c r="B289" s="214"/>
      <c r="C289" s="214"/>
      <c r="D289" s="214"/>
      <c r="E289" s="214"/>
      <c r="F289" s="214"/>
      <c r="G289" s="214"/>
      <c r="H289" s="214"/>
      <c r="I289" s="214"/>
      <c r="J289" s="214"/>
      <c r="K289" s="214"/>
      <c r="L289" s="214"/>
      <c r="M289" s="215"/>
      <c r="N289" s="215"/>
      <c r="O289" s="216"/>
      <c r="P289" s="216"/>
      <c r="Q289" s="216"/>
      <c r="R289" s="216"/>
      <c r="S289" s="216"/>
      <c r="T289" s="216"/>
      <c r="U289" s="216"/>
    </row>
    <row r="290" spans="1:21" ht="24" customHeight="1" x14ac:dyDescent="0.2">
      <c r="A290" s="214"/>
      <c r="B290" s="214"/>
      <c r="C290" s="214"/>
      <c r="D290" s="214"/>
      <c r="E290" s="214"/>
      <c r="F290" s="214"/>
      <c r="G290" s="214"/>
      <c r="H290" s="214"/>
      <c r="I290" s="214"/>
      <c r="J290" s="214"/>
      <c r="K290" s="214"/>
      <c r="L290" s="214"/>
      <c r="M290" s="215"/>
      <c r="N290" s="215"/>
      <c r="O290" s="216"/>
      <c r="P290" s="216"/>
      <c r="Q290" s="216"/>
      <c r="R290" s="216"/>
      <c r="S290" s="216"/>
      <c r="T290" s="216"/>
      <c r="U290" s="216"/>
    </row>
    <row r="291" spans="1:21" ht="24" customHeight="1" x14ac:dyDescent="0.2">
      <c r="A291" s="214"/>
      <c r="B291" s="214"/>
      <c r="C291" s="214"/>
      <c r="D291" s="214"/>
      <c r="E291" s="214"/>
      <c r="F291" s="214"/>
      <c r="G291" s="214"/>
      <c r="H291" s="214"/>
      <c r="I291" s="214"/>
      <c r="J291" s="214"/>
      <c r="K291" s="214"/>
      <c r="L291" s="214"/>
      <c r="M291" s="215"/>
      <c r="N291" s="215"/>
      <c r="O291" s="216"/>
      <c r="P291" s="216"/>
      <c r="Q291" s="216"/>
      <c r="R291" s="216"/>
      <c r="S291" s="216"/>
      <c r="T291" s="216"/>
      <c r="U291" s="216"/>
    </row>
    <row r="292" spans="1:21" ht="24" customHeight="1" x14ac:dyDescent="0.2">
      <c r="A292" s="214"/>
      <c r="B292" s="214"/>
      <c r="C292" s="214"/>
      <c r="D292" s="214"/>
      <c r="E292" s="214"/>
      <c r="F292" s="214"/>
      <c r="G292" s="214"/>
      <c r="H292" s="214"/>
      <c r="I292" s="214"/>
      <c r="J292" s="214"/>
      <c r="K292" s="214"/>
      <c r="L292" s="214"/>
      <c r="M292" s="215"/>
      <c r="N292" s="215"/>
      <c r="O292" s="216"/>
      <c r="P292" s="216"/>
      <c r="Q292" s="216"/>
      <c r="R292" s="216"/>
      <c r="S292" s="216"/>
      <c r="T292" s="216"/>
      <c r="U292" s="216"/>
    </row>
    <row r="293" spans="1:21" ht="24" customHeight="1" x14ac:dyDescent="0.2">
      <c r="A293" s="214"/>
      <c r="B293" s="214"/>
      <c r="C293" s="214"/>
      <c r="D293" s="214"/>
      <c r="E293" s="214"/>
      <c r="F293" s="214"/>
      <c r="G293" s="214"/>
      <c r="H293" s="214"/>
      <c r="I293" s="214"/>
      <c r="J293" s="214"/>
      <c r="K293" s="214"/>
      <c r="L293" s="214"/>
      <c r="M293" s="215"/>
      <c r="N293" s="215"/>
      <c r="O293" s="216"/>
      <c r="P293" s="216"/>
      <c r="Q293" s="216"/>
      <c r="R293" s="216"/>
      <c r="S293" s="216"/>
      <c r="T293" s="216"/>
      <c r="U293" s="216"/>
    </row>
    <row r="294" spans="1:21" ht="24" customHeight="1" x14ac:dyDescent="0.2">
      <c r="A294" s="214"/>
      <c r="B294" s="214"/>
      <c r="C294" s="214"/>
      <c r="D294" s="214"/>
      <c r="E294" s="214"/>
      <c r="F294" s="214"/>
      <c r="G294" s="214"/>
      <c r="H294" s="214"/>
      <c r="I294" s="214"/>
      <c r="J294" s="214"/>
      <c r="K294" s="214"/>
      <c r="L294" s="214"/>
      <c r="M294" s="215"/>
      <c r="N294" s="215"/>
      <c r="O294" s="216"/>
      <c r="P294" s="216"/>
      <c r="Q294" s="216"/>
      <c r="R294" s="216"/>
      <c r="S294" s="216"/>
      <c r="T294" s="216"/>
      <c r="U294" s="216"/>
    </row>
    <row r="295" spans="1:21" ht="24" customHeight="1" x14ac:dyDescent="0.2">
      <c r="A295" s="214"/>
      <c r="B295" s="214"/>
      <c r="C295" s="214"/>
      <c r="D295" s="214"/>
      <c r="E295" s="214"/>
      <c r="F295" s="214"/>
      <c r="G295" s="214"/>
      <c r="H295" s="214"/>
      <c r="I295" s="214"/>
      <c r="J295" s="214"/>
      <c r="K295" s="214"/>
      <c r="L295" s="214"/>
      <c r="M295" s="215"/>
      <c r="N295" s="215"/>
      <c r="O295" s="216"/>
      <c r="P295" s="216"/>
      <c r="Q295" s="216"/>
      <c r="R295" s="216"/>
      <c r="S295" s="216"/>
      <c r="T295" s="216"/>
      <c r="U295" s="216"/>
    </row>
    <row r="296" spans="1:21" ht="24" customHeight="1" x14ac:dyDescent="0.2">
      <c r="A296" s="214"/>
      <c r="B296" s="214"/>
      <c r="C296" s="214"/>
      <c r="D296" s="214"/>
      <c r="E296" s="214"/>
      <c r="F296" s="214"/>
      <c r="G296" s="214"/>
      <c r="H296" s="214"/>
      <c r="I296" s="214"/>
      <c r="J296" s="214"/>
      <c r="K296" s="214"/>
      <c r="L296" s="214"/>
      <c r="M296" s="215"/>
      <c r="N296" s="215"/>
      <c r="O296" s="216"/>
      <c r="P296" s="216"/>
      <c r="Q296" s="216"/>
      <c r="R296" s="216"/>
      <c r="S296" s="216"/>
      <c r="T296" s="216"/>
      <c r="U296" s="216"/>
    </row>
    <row r="297" spans="1:21" ht="24" customHeight="1" x14ac:dyDescent="0.2">
      <c r="A297" s="214"/>
      <c r="B297" s="214"/>
      <c r="C297" s="214"/>
      <c r="D297" s="214"/>
      <c r="E297" s="214"/>
      <c r="F297" s="214"/>
      <c r="G297" s="214"/>
      <c r="H297" s="214"/>
      <c r="I297" s="214"/>
      <c r="J297" s="214"/>
      <c r="K297" s="214"/>
      <c r="L297" s="214"/>
      <c r="M297" s="215"/>
      <c r="N297" s="215"/>
      <c r="O297" s="216"/>
      <c r="P297" s="216"/>
      <c r="Q297" s="216"/>
      <c r="R297" s="216"/>
      <c r="S297" s="216"/>
      <c r="T297" s="216"/>
      <c r="U297" s="216"/>
    </row>
    <row r="298" spans="1:21" ht="24" customHeight="1" x14ac:dyDescent="0.2">
      <c r="A298" s="214"/>
      <c r="B298" s="214"/>
      <c r="C298" s="214"/>
      <c r="D298" s="214"/>
      <c r="E298" s="214"/>
      <c r="F298" s="214"/>
      <c r="G298" s="214"/>
      <c r="H298" s="214"/>
      <c r="I298" s="214"/>
      <c r="J298" s="214"/>
      <c r="K298" s="214"/>
      <c r="L298" s="214"/>
      <c r="M298" s="215"/>
      <c r="N298" s="215"/>
      <c r="O298" s="216"/>
      <c r="P298" s="216"/>
      <c r="Q298" s="216"/>
      <c r="R298" s="216"/>
      <c r="S298" s="216"/>
      <c r="T298" s="216"/>
      <c r="U298" s="216"/>
    </row>
    <row r="299" spans="1:21" ht="24" customHeight="1" x14ac:dyDescent="0.2">
      <c r="A299" s="214"/>
      <c r="B299" s="214"/>
      <c r="C299" s="214"/>
      <c r="D299" s="214"/>
      <c r="E299" s="214"/>
      <c r="F299" s="214"/>
      <c r="G299" s="214"/>
      <c r="H299" s="214"/>
      <c r="I299" s="214"/>
      <c r="J299" s="214"/>
      <c r="K299" s="214"/>
      <c r="L299" s="214"/>
      <c r="M299" s="215"/>
      <c r="N299" s="215"/>
      <c r="O299" s="216"/>
      <c r="P299" s="216"/>
      <c r="Q299" s="216"/>
      <c r="R299" s="216"/>
      <c r="S299" s="216"/>
      <c r="T299" s="216"/>
      <c r="U299" s="216"/>
    </row>
    <row r="300" spans="1:21" ht="24" customHeight="1" x14ac:dyDescent="0.2">
      <c r="A300" s="214"/>
      <c r="B300" s="214"/>
      <c r="C300" s="214"/>
      <c r="D300" s="214"/>
      <c r="E300" s="214"/>
      <c r="F300" s="214"/>
      <c r="G300" s="214"/>
      <c r="H300" s="214"/>
      <c r="I300" s="214"/>
      <c r="J300" s="214"/>
      <c r="K300" s="214"/>
      <c r="L300" s="214"/>
      <c r="M300" s="215"/>
      <c r="N300" s="215"/>
      <c r="O300" s="216"/>
      <c r="P300" s="216"/>
      <c r="Q300" s="216"/>
      <c r="R300" s="216"/>
      <c r="S300" s="216"/>
      <c r="T300" s="216"/>
      <c r="U300" s="216"/>
    </row>
    <row r="301" spans="1:21" ht="24" customHeight="1" x14ac:dyDescent="0.2">
      <c r="A301" s="214"/>
      <c r="B301" s="214"/>
      <c r="C301" s="214"/>
      <c r="D301" s="214"/>
      <c r="E301" s="214"/>
      <c r="F301" s="214"/>
      <c r="G301" s="214"/>
      <c r="H301" s="214"/>
      <c r="I301" s="214"/>
      <c r="J301" s="214"/>
      <c r="K301" s="214"/>
      <c r="L301" s="214"/>
      <c r="M301" s="215"/>
      <c r="N301" s="215"/>
      <c r="O301" s="216"/>
      <c r="P301" s="216"/>
      <c r="Q301" s="216"/>
      <c r="R301" s="216"/>
      <c r="S301" s="216"/>
      <c r="T301" s="216"/>
      <c r="U301" s="216"/>
    </row>
    <row r="302" spans="1:21" ht="24" customHeight="1" x14ac:dyDescent="0.2">
      <c r="A302" s="214"/>
      <c r="B302" s="214"/>
      <c r="C302" s="214"/>
      <c r="D302" s="214"/>
      <c r="E302" s="214"/>
      <c r="F302" s="214"/>
      <c r="G302" s="214"/>
      <c r="H302" s="214"/>
      <c r="I302" s="214"/>
      <c r="J302" s="214"/>
      <c r="K302" s="214"/>
      <c r="L302" s="214"/>
      <c r="M302" s="215"/>
      <c r="N302" s="215"/>
      <c r="O302" s="216"/>
      <c r="P302" s="216"/>
      <c r="Q302" s="216"/>
      <c r="R302" s="216"/>
      <c r="S302" s="216"/>
      <c r="T302" s="216"/>
      <c r="U302" s="216"/>
    </row>
    <row r="303" spans="1:21" ht="24" customHeight="1" x14ac:dyDescent="0.2">
      <c r="A303" s="214"/>
      <c r="B303" s="214"/>
      <c r="C303" s="214"/>
      <c r="D303" s="214"/>
      <c r="E303" s="214"/>
      <c r="F303" s="214"/>
      <c r="G303" s="214"/>
      <c r="H303" s="214"/>
      <c r="I303" s="214"/>
      <c r="J303" s="214"/>
      <c r="K303" s="214"/>
      <c r="L303" s="214"/>
      <c r="M303" s="215"/>
      <c r="N303" s="215"/>
      <c r="O303" s="216"/>
      <c r="P303" s="216"/>
      <c r="Q303" s="216"/>
      <c r="R303" s="216"/>
      <c r="S303" s="216"/>
      <c r="T303" s="216"/>
      <c r="U303" s="216"/>
    </row>
    <row r="304" spans="1:21" ht="24" customHeight="1" x14ac:dyDescent="0.2">
      <c r="A304" s="214"/>
      <c r="B304" s="214"/>
      <c r="C304" s="214"/>
      <c r="D304" s="214"/>
      <c r="E304" s="214"/>
      <c r="F304" s="214"/>
      <c r="G304" s="214"/>
      <c r="H304" s="214"/>
      <c r="I304" s="214"/>
      <c r="J304" s="214"/>
      <c r="K304" s="214"/>
      <c r="L304" s="214"/>
      <c r="M304" s="215"/>
      <c r="N304" s="215"/>
      <c r="O304" s="216"/>
      <c r="P304" s="216"/>
      <c r="Q304" s="216"/>
      <c r="R304" s="216"/>
      <c r="S304" s="216"/>
      <c r="T304" s="216"/>
      <c r="U304" s="216"/>
    </row>
    <row r="305" spans="1:21" ht="24" customHeight="1" x14ac:dyDescent="0.2">
      <c r="A305" s="214"/>
      <c r="B305" s="214"/>
      <c r="C305" s="214"/>
      <c r="D305" s="214"/>
      <c r="E305" s="214"/>
      <c r="F305" s="214"/>
      <c r="G305" s="214"/>
      <c r="H305" s="214"/>
      <c r="I305" s="214"/>
      <c r="J305" s="214"/>
      <c r="K305" s="214"/>
      <c r="L305" s="214"/>
      <c r="M305" s="215"/>
      <c r="N305" s="215"/>
      <c r="O305" s="216"/>
      <c r="P305" s="216"/>
      <c r="Q305" s="216"/>
      <c r="R305" s="216"/>
      <c r="S305" s="216"/>
      <c r="T305" s="216"/>
      <c r="U305" s="216"/>
    </row>
    <row r="306" spans="1:21" ht="24" customHeight="1" x14ac:dyDescent="0.2">
      <c r="A306" s="214"/>
      <c r="B306" s="214"/>
      <c r="C306" s="214"/>
      <c r="D306" s="214"/>
      <c r="E306" s="214"/>
      <c r="F306" s="214"/>
      <c r="G306" s="214"/>
      <c r="H306" s="214"/>
      <c r="I306" s="214"/>
      <c r="J306" s="214"/>
      <c r="K306" s="214"/>
      <c r="L306" s="214"/>
      <c r="M306" s="215"/>
      <c r="N306" s="215"/>
      <c r="O306" s="216"/>
      <c r="P306" s="216"/>
      <c r="Q306" s="216"/>
      <c r="R306" s="216"/>
      <c r="S306" s="216"/>
      <c r="T306" s="216"/>
      <c r="U306" s="216"/>
    </row>
    <row r="307" spans="1:21" ht="24" customHeight="1" x14ac:dyDescent="0.2">
      <c r="A307" s="214"/>
      <c r="B307" s="214"/>
      <c r="C307" s="214"/>
      <c r="D307" s="214"/>
      <c r="E307" s="214"/>
      <c r="F307" s="214"/>
      <c r="G307" s="214"/>
      <c r="H307" s="214"/>
      <c r="I307" s="214"/>
      <c r="J307" s="214"/>
      <c r="K307" s="214"/>
      <c r="L307" s="214"/>
      <c r="M307" s="215"/>
      <c r="N307" s="215"/>
      <c r="O307" s="216"/>
      <c r="P307" s="216"/>
      <c r="Q307" s="216"/>
      <c r="R307" s="216"/>
      <c r="S307" s="216"/>
      <c r="T307" s="216"/>
      <c r="U307" s="216"/>
    </row>
    <row r="308" spans="1:21" ht="24" customHeight="1" x14ac:dyDescent="0.2">
      <c r="A308" s="214"/>
      <c r="B308" s="214"/>
      <c r="C308" s="214"/>
      <c r="D308" s="214"/>
      <c r="E308" s="214"/>
      <c r="F308" s="214"/>
      <c r="G308" s="214"/>
      <c r="H308" s="214"/>
      <c r="I308" s="214"/>
      <c r="J308" s="214"/>
      <c r="K308" s="214"/>
      <c r="L308" s="214"/>
      <c r="M308" s="215"/>
      <c r="N308" s="215"/>
      <c r="O308" s="216"/>
      <c r="P308" s="216"/>
      <c r="Q308" s="216"/>
      <c r="R308" s="216"/>
      <c r="S308" s="216"/>
      <c r="T308" s="216"/>
      <c r="U308" s="216"/>
    </row>
    <row r="309" spans="1:21" ht="24" customHeight="1" x14ac:dyDescent="0.2">
      <c r="A309" s="214"/>
      <c r="B309" s="214"/>
      <c r="C309" s="214"/>
      <c r="D309" s="214"/>
      <c r="E309" s="214"/>
      <c r="F309" s="214"/>
      <c r="G309" s="214"/>
      <c r="H309" s="214"/>
      <c r="I309" s="214"/>
      <c r="J309" s="214"/>
      <c r="K309" s="214"/>
      <c r="L309" s="214"/>
      <c r="M309" s="215"/>
      <c r="N309" s="215"/>
      <c r="O309" s="216"/>
      <c r="P309" s="216"/>
      <c r="Q309" s="216"/>
      <c r="R309" s="216"/>
      <c r="S309" s="216"/>
      <c r="T309" s="216"/>
      <c r="U309" s="216"/>
    </row>
    <row r="310" spans="1:21" ht="24" customHeight="1" x14ac:dyDescent="0.2">
      <c r="A310" s="214"/>
      <c r="B310" s="214"/>
      <c r="C310" s="214"/>
      <c r="D310" s="214"/>
      <c r="E310" s="214"/>
      <c r="F310" s="214"/>
      <c r="G310" s="214"/>
      <c r="H310" s="214"/>
      <c r="I310" s="214"/>
      <c r="J310" s="214"/>
      <c r="K310" s="214"/>
      <c r="L310" s="214"/>
      <c r="M310" s="215"/>
      <c r="N310" s="215"/>
      <c r="O310" s="216"/>
      <c r="P310" s="216"/>
      <c r="Q310" s="216"/>
      <c r="R310" s="216"/>
      <c r="S310" s="216"/>
      <c r="T310" s="216"/>
      <c r="U310" s="216"/>
    </row>
    <row r="311" spans="1:21" ht="24" customHeight="1" x14ac:dyDescent="0.2">
      <c r="A311" s="214"/>
      <c r="B311" s="214"/>
      <c r="C311" s="214"/>
      <c r="D311" s="214"/>
      <c r="E311" s="214"/>
      <c r="F311" s="214"/>
      <c r="G311" s="214"/>
      <c r="H311" s="214"/>
      <c r="I311" s="214"/>
      <c r="J311" s="214"/>
      <c r="K311" s="214"/>
      <c r="L311" s="214"/>
      <c r="M311" s="215"/>
      <c r="N311" s="215"/>
      <c r="O311" s="216"/>
      <c r="P311" s="216"/>
      <c r="Q311" s="216"/>
      <c r="R311" s="216"/>
      <c r="S311" s="216"/>
      <c r="T311" s="216"/>
      <c r="U311" s="216"/>
    </row>
    <row r="312" spans="1:21" ht="24" customHeight="1" x14ac:dyDescent="0.2">
      <c r="A312" s="214"/>
      <c r="B312" s="214"/>
      <c r="C312" s="214"/>
      <c r="D312" s="214"/>
      <c r="E312" s="214"/>
      <c r="F312" s="214"/>
      <c r="G312" s="214"/>
      <c r="H312" s="214"/>
      <c r="I312" s="214"/>
      <c r="J312" s="214"/>
      <c r="K312" s="214"/>
      <c r="L312" s="214"/>
      <c r="M312" s="215"/>
      <c r="N312" s="215"/>
      <c r="O312" s="216"/>
      <c r="P312" s="216"/>
      <c r="Q312" s="216"/>
      <c r="R312" s="216"/>
      <c r="S312" s="216"/>
      <c r="T312" s="216"/>
      <c r="U312" s="216"/>
    </row>
    <row r="313" spans="1:21" ht="24" customHeight="1" x14ac:dyDescent="0.2">
      <c r="A313" s="214"/>
      <c r="B313" s="214"/>
      <c r="C313" s="214"/>
      <c r="D313" s="214"/>
      <c r="E313" s="214"/>
      <c r="F313" s="214"/>
      <c r="G313" s="214"/>
      <c r="H313" s="214"/>
      <c r="I313" s="214"/>
      <c r="J313" s="214"/>
      <c r="K313" s="214"/>
      <c r="L313" s="214"/>
      <c r="M313" s="215"/>
      <c r="N313" s="215"/>
      <c r="O313" s="216"/>
      <c r="P313" s="216"/>
      <c r="Q313" s="216"/>
      <c r="R313" s="216"/>
      <c r="S313" s="216"/>
      <c r="T313" s="216"/>
      <c r="U313" s="216"/>
    </row>
    <row r="314" spans="1:21" ht="12.75" x14ac:dyDescent="0.2">
      <c r="A314" s="214"/>
      <c r="B314" s="214"/>
      <c r="C314" s="214"/>
      <c r="D314" s="214"/>
      <c r="E314" s="214"/>
      <c r="F314" s="214"/>
      <c r="G314" s="214"/>
      <c r="H314" s="214"/>
      <c r="I314" s="214"/>
      <c r="J314" s="214"/>
      <c r="K314" s="214"/>
      <c r="L314" s="214"/>
      <c r="M314" s="215"/>
      <c r="N314" s="215"/>
      <c r="O314" s="216"/>
      <c r="P314" s="216"/>
      <c r="Q314" s="216"/>
      <c r="R314" s="216"/>
      <c r="S314" s="216"/>
      <c r="T314" s="216"/>
      <c r="U314" s="216"/>
    </row>
    <row r="315" spans="1:21" ht="12.75" x14ac:dyDescent="0.2">
      <c r="A315" s="214"/>
      <c r="B315" s="214"/>
      <c r="C315" s="214"/>
      <c r="D315" s="214"/>
      <c r="E315" s="214"/>
      <c r="F315" s="214"/>
      <c r="G315" s="214"/>
      <c r="H315" s="214"/>
      <c r="I315" s="214"/>
      <c r="J315" s="214"/>
      <c r="K315" s="214"/>
      <c r="L315" s="214"/>
      <c r="M315" s="215"/>
      <c r="N315" s="215"/>
      <c r="O315" s="216"/>
      <c r="P315" s="216"/>
      <c r="Q315" s="216"/>
      <c r="R315" s="216"/>
      <c r="S315" s="216"/>
      <c r="T315" s="216"/>
      <c r="U315" s="216"/>
    </row>
    <row r="316" spans="1:21" ht="12.75" x14ac:dyDescent="0.2">
      <c r="A316" s="214"/>
      <c r="B316" s="214"/>
      <c r="C316" s="214"/>
      <c r="D316" s="214"/>
      <c r="E316" s="214"/>
      <c r="F316" s="214"/>
      <c r="G316" s="214"/>
      <c r="H316" s="214"/>
      <c r="I316" s="214"/>
      <c r="J316" s="214"/>
      <c r="K316" s="214"/>
      <c r="L316" s="214"/>
      <c r="M316" s="215"/>
      <c r="N316" s="215"/>
      <c r="O316" s="216"/>
      <c r="P316" s="216"/>
      <c r="Q316" s="216"/>
      <c r="R316" s="216"/>
      <c r="S316" s="216"/>
      <c r="T316" s="216"/>
      <c r="U316" s="216"/>
    </row>
    <row r="317" spans="1:21" ht="12.75" x14ac:dyDescent="0.2">
      <c r="A317" s="214"/>
      <c r="B317" s="214"/>
      <c r="C317" s="214"/>
      <c r="D317" s="214"/>
      <c r="E317" s="214"/>
      <c r="F317" s="214"/>
      <c r="G317" s="214"/>
      <c r="H317" s="214"/>
      <c r="I317" s="214"/>
      <c r="J317" s="214"/>
      <c r="K317" s="214"/>
      <c r="L317" s="214"/>
      <c r="M317" s="215"/>
      <c r="N317" s="215"/>
      <c r="O317" s="216"/>
      <c r="P317" s="216"/>
      <c r="Q317" s="216"/>
      <c r="R317" s="216"/>
      <c r="S317" s="216"/>
      <c r="T317" s="216"/>
      <c r="U317" s="216"/>
    </row>
    <row r="318" spans="1:21" ht="12.75" x14ac:dyDescent="0.2">
      <c r="A318" s="214"/>
      <c r="B318" s="214"/>
      <c r="C318" s="214"/>
      <c r="D318" s="214"/>
      <c r="E318" s="214"/>
      <c r="F318" s="214"/>
      <c r="G318" s="214"/>
      <c r="H318" s="214"/>
      <c r="I318" s="214"/>
      <c r="J318" s="214"/>
      <c r="K318" s="214"/>
      <c r="L318" s="214"/>
      <c r="M318" s="215"/>
      <c r="N318" s="215"/>
      <c r="O318" s="216"/>
      <c r="P318" s="216"/>
      <c r="Q318" s="216"/>
      <c r="R318" s="216"/>
      <c r="S318" s="216"/>
      <c r="T318" s="216"/>
      <c r="U318" s="216"/>
    </row>
    <row r="319" spans="1:21" ht="12.75" x14ac:dyDescent="0.2">
      <c r="A319" s="214"/>
      <c r="B319" s="214"/>
      <c r="C319" s="214"/>
      <c r="D319" s="214"/>
      <c r="E319" s="214"/>
      <c r="F319" s="214"/>
      <c r="G319" s="214"/>
      <c r="H319" s="214"/>
      <c r="I319" s="214"/>
      <c r="J319" s="214"/>
      <c r="K319" s="214"/>
      <c r="L319" s="214"/>
      <c r="M319" s="215"/>
      <c r="N319" s="215"/>
      <c r="O319" s="216"/>
      <c r="P319" s="216"/>
      <c r="Q319" s="216"/>
      <c r="R319" s="216"/>
      <c r="S319" s="216"/>
      <c r="T319" s="216"/>
      <c r="U319" s="216"/>
    </row>
    <row r="320" spans="1:21" ht="12.75" x14ac:dyDescent="0.2">
      <c r="A320" s="214"/>
      <c r="B320" s="214"/>
      <c r="C320" s="214"/>
      <c r="D320" s="214"/>
      <c r="E320" s="214"/>
      <c r="F320" s="214"/>
      <c r="G320" s="214"/>
      <c r="H320" s="214"/>
      <c r="I320" s="214"/>
      <c r="J320" s="214"/>
      <c r="K320" s="214"/>
      <c r="L320" s="214"/>
      <c r="M320" s="215"/>
      <c r="N320" s="215"/>
      <c r="O320" s="216"/>
      <c r="P320" s="216"/>
      <c r="Q320" s="216"/>
      <c r="R320" s="216"/>
      <c r="S320" s="216"/>
      <c r="T320" s="216"/>
      <c r="U320" s="216"/>
    </row>
    <row r="321" spans="1:21" ht="12.75" x14ac:dyDescent="0.2">
      <c r="A321" s="214"/>
      <c r="B321" s="214"/>
      <c r="C321" s="214"/>
      <c r="D321" s="214"/>
      <c r="E321" s="214"/>
      <c r="F321" s="214"/>
      <c r="G321" s="214"/>
      <c r="H321" s="214"/>
      <c r="I321" s="214"/>
      <c r="J321" s="214"/>
      <c r="K321" s="214"/>
      <c r="L321" s="214"/>
      <c r="M321" s="215"/>
      <c r="N321" s="215"/>
      <c r="O321" s="216"/>
      <c r="P321" s="216"/>
      <c r="Q321" s="216"/>
      <c r="R321" s="216"/>
      <c r="S321" s="216"/>
      <c r="T321" s="216"/>
      <c r="U321" s="216"/>
    </row>
    <row r="322" spans="1:21" ht="12.75" x14ac:dyDescent="0.2">
      <c r="A322" s="214"/>
      <c r="B322" s="214"/>
      <c r="C322" s="214"/>
      <c r="D322" s="214"/>
      <c r="E322" s="214"/>
      <c r="F322" s="214"/>
      <c r="G322" s="214"/>
      <c r="H322" s="214"/>
      <c r="I322" s="214"/>
      <c r="J322" s="214"/>
      <c r="K322" s="214"/>
      <c r="L322" s="214"/>
      <c r="M322" s="215"/>
      <c r="N322" s="215"/>
      <c r="O322" s="216"/>
      <c r="P322" s="216"/>
      <c r="Q322" s="216"/>
      <c r="R322" s="216"/>
      <c r="S322" s="216"/>
      <c r="T322" s="216"/>
      <c r="U322" s="216"/>
    </row>
    <row r="323" spans="1:21" ht="12.75" x14ac:dyDescent="0.2">
      <c r="A323" s="214"/>
      <c r="B323" s="214"/>
      <c r="C323" s="214"/>
      <c r="D323" s="214"/>
      <c r="E323" s="214"/>
      <c r="F323" s="214"/>
      <c r="G323" s="214"/>
      <c r="H323" s="214"/>
      <c r="I323" s="214"/>
      <c r="J323" s="214"/>
      <c r="K323" s="214"/>
      <c r="L323" s="214"/>
      <c r="M323" s="215"/>
      <c r="N323" s="215"/>
      <c r="O323" s="216"/>
      <c r="P323" s="216"/>
      <c r="Q323" s="216"/>
      <c r="R323" s="216"/>
      <c r="S323" s="216"/>
      <c r="T323" s="216"/>
      <c r="U323" s="216"/>
    </row>
    <row r="324" spans="1:21" ht="12.75" x14ac:dyDescent="0.2">
      <c r="A324" s="214"/>
      <c r="B324" s="214"/>
      <c r="C324" s="214"/>
      <c r="D324" s="214"/>
      <c r="E324" s="214"/>
      <c r="F324" s="214"/>
      <c r="G324" s="214"/>
      <c r="H324" s="214"/>
      <c r="I324" s="214"/>
      <c r="J324" s="214"/>
      <c r="K324" s="214"/>
      <c r="L324" s="214"/>
      <c r="M324" s="215"/>
      <c r="N324" s="215"/>
      <c r="O324" s="216"/>
      <c r="P324" s="216"/>
      <c r="Q324" s="216"/>
      <c r="R324" s="216"/>
      <c r="S324" s="216"/>
      <c r="T324" s="216"/>
      <c r="U324" s="216"/>
    </row>
    <row r="325" spans="1:21" ht="12.75" x14ac:dyDescent="0.2">
      <c r="A325" s="214"/>
      <c r="B325" s="214"/>
      <c r="C325" s="214"/>
      <c r="D325" s="214"/>
      <c r="E325" s="214"/>
      <c r="F325" s="214"/>
      <c r="G325" s="214"/>
      <c r="H325" s="214"/>
      <c r="I325" s="214"/>
      <c r="J325" s="214"/>
      <c r="K325" s="214"/>
      <c r="L325" s="214"/>
      <c r="M325" s="215"/>
      <c r="N325" s="215"/>
      <c r="O325" s="216"/>
      <c r="P325" s="216"/>
      <c r="Q325" s="216"/>
      <c r="R325" s="216"/>
      <c r="S325" s="216"/>
      <c r="T325" s="216"/>
      <c r="U325" s="216"/>
    </row>
    <row r="326" spans="1:21" ht="12.75" x14ac:dyDescent="0.2">
      <c r="A326" s="214"/>
      <c r="B326" s="214"/>
      <c r="C326" s="214"/>
      <c r="D326" s="214"/>
      <c r="E326" s="214"/>
      <c r="F326" s="214"/>
      <c r="G326" s="214"/>
      <c r="H326" s="214"/>
      <c r="I326" s="214"/>
      <c r="J326" s="214"/>
      <c r="K326" s="214"/>
      <c r="L326" s="214"/>
      <c r="M326" s="215"/>
      <c r="N326" s="215"/>
      <c r="O326" s="216"/>
      <c r="P326" s="216"/>
      <c r="Q326" s="216"/>
      <c r="R326" s="216"/>
      <c r="S326" s="216"/>
      <c r="T326" s="216"/>
      <c r="U326" s="216"/>
    </row>
    <row r="327" spans="1:21" ht="12.75" x14ac:dyDescent="0.2">
      <c r="A327" s="214"/>
      <c r="B327" s="214"/>
      <c r="C327" s="214"/>
      <c r="D327" s="214"/>
      <c r="E327" s="214"/>
      <c r="F327" s="214"/>
      <c r="G327" s="214"/>
      <c r="H327" s="214"/>
      <c r="I327" s="214"/>
      <c r="J327" s="214"/>
      <c r="K327" s="214"/>
      <c r="L327" s="214"/>
      <c r="M327" s="215"/>
      <c r="N327" s="215"/>
      <c r="O327" s="216"/>
      <c r="P327" s="216"/>
      <c r="Q327" s="216"/>
      <c r="R327" s="216"/>
      <c r="S327" s="216"/>
      <c r="T327" s="216"/>
      <c r="U327" s="216"/>
    </row>
    <row r="328" spans="1:21" ht="12.75" x14ac:dyDescent="0.2">
      <c r="A328" s="214"/>
      <c r="B328" s="214"/>
      <c r="C328" s="214"/>
      <c r="D328" s="214"/>
      <c r="E328" s="214"/>
      <c r="F328" s="214"/>
      <c r="G328" s="214"/>
      <c r="H328" s="214"/>
      <c r="I328" s="214"/>
      <c r="J328" s="214"/>
      <c r="K328" s="214"/>
      <c r="L328" s="214"/>
      <c r="M328" s="215"/>
      <c r="N328" s="215"/>
      <c r="O328" s="216"/>
      <c r="P328" s="216"/>
      <c r="Q328" s="216"/>
      <c r="R328" s="216"/>
      <c r="S328" s="216"/>
      <c r="T328" s="216"/>
      <c r="U328" s="216"/>
    </row>
    <row r="329" spans="1:21" ht="12.75" x14ac:dyDescent="0.2">
      <c r="A329" s="214"/>
      <c r="B329" s="214"/>
      <c r="C329" s="214"/>
      <c r="D329" s="214"/>
      <c r="E329" s="214"/>
      <c r="F329" s="214"/>
      <c r="G329" s="214"/>
      <c r="H329" s="214"/>
      <c r="I329" s="214"/>
      <c r="J329" s="214"/>
      <c r="K329" s="214"/>
      <c r="L329" s="214"/>
      <c r="M329" s="215"/>
      <c r="N329" s="215"/>
      <c r="O329" s="216"/>
      <c r="P329" s="216"/>
      <c r="Q329" s="216"/>
      <c r="R329" s="216"/>
      <c r="S329" s="216"/>
      <c r="T329" s="216"/>
      <c r="U329" s="216"/>
    </row>
    <row r="330" spans="1:21" ht="12.75" x14ac:dyDescent="0.2">
      <c r="A330" s="214"/>
      <c r="B330" s="214"/>
      <c r="C330" s="214"/>
      <c r="D330" s="214"/>
      <c r="E330" s="214"/>
      <c r="F330" s="214"/>
      <c r="G330" s="214"/>
      <c r="H330" s="214"/>
      <c r="I330" s="214"/>
      <c r="J330" s="214"/>
      <c r="K330" s="214"/>
      <c r="L330" s="214"/>
      <c r="M330" s="215"/>
      <c r="N330" s="215"/>
      <c r="O330" s="216"/>
      <c r="P330" s="216"/>
      <c r="Q330" s="216"/>
      <c r="R330" s="216"/>
      <c r="S330" s="216"/>
      <c r="T330" s="216"/>
      <c r="U330" s="216"/>
    </row>
    <row r="331" spans="1:21" ht="12.75" x14ac:dyDescent="0.2">
      <c r="A331" s="214"/>
      <c r="B331" s="214"/>
      <c r="C331" s="214"/>
      <c r="D331" s="214"/>
      <c r="E331" s="214"/>
      <c r="F331" s="214"/>
      <c r="G331" s="214"/>
      <c r="H331" s="214"/>
      <c r="I331" s="214"/>
      <c r="J331" s="214"/>
      <c r="K331" s="214"/>
      <c r="L331" s="214"/>
      <c r="M331" s="215"/>
      <c r="N331" s="215"/>
      <c r="O331" s="216"/>
      <c r="P331" s="216"/>
      <c r="Q331" s="216"/>
      <c r="R331" s="216"/>
      <c r="S331" s="216"/>
      <c r="T331" s="216"/>
      <c r="U331" s="216"/>
    </row>
    <row r="332" spans="1:21" ht="12.75" x14ac:dyDescent="0.2">
      <c r="A332" s="214"/>
      <c r="B332" s="214"/>
      <c r="C332" s="214"/>
      <c r="D332" s="214"/>
      <c r="E332" s="214"/>
      <c r="F332" s="214"/>
      <c r="G332" s="214"/>
      <c r="H332" s="214"/>
      <c r="I332" s="214"/>
      <c r="J332" s="214"/>
      <c r="K332" s="214"/>
      <c r="L332" s="214"/>
      <c r="M332" s="215"/>
      <c r="N332" s="215"/>
      <c r="O332" s="216"/>
      <c r="P332" s="216"/>
      <c r="Q332" s="216"/>
      <c r="R332" s="216"/>
      <c r="S332" s="216"/>
      <c r="T332" s="216"/>
      <c r="U332" s="216"/>
    </row>
    <row r="333" spans="1:21" ht="12.75" x14ac:dyDescent="0.2">
      <c r="A333" s="214"/>
      <c r="B333" s="214"/>
      <c r="C333" s="214"/>
      <c r="D333" s="214"/>
      <c r="E333" s="214"/>
      <c r="F333" s="214"/>
      <c r="G333" s="214"/>
      <c r="H333" s="214"/>
      <c r="I333" s="214"/>
      <c r="J333" s="214"/>
      <c r="K333" s="214"/>
      <c r="L333" s="214"/>
      <c r="M333" s="215"/>
      <c r="N333" s="215"/>
      <c r="O333" s="216"/>
      <c r="P333" s="216"/>
      <c r="Q333" s="216"/>
      <c r="R333" s="216"/>
      <c r="S333" s="216"/>
      <c r="T333" s="216"/>
      <c r="U333" s="216"/>
    </row>
    <row r="334" spans="1:21" ht="12.75" x14ac:dyDescent="0.2">
      <c r="A334" s="214"/>
      <c r="B334" s="214"/>
      <c r="C334" s="214"/>
      <c r="D334" s="214"/>
      <c r="E334" s="214"/>
      <c r="F334" s="214"/>
      <c r="G334" s="214"/>
      <c r="H334" s="214"/>
      <c r="I334" s="214"/>
      <c r="J334" s="214"/>
      <c r="K334" s="214"/>
      <c r="L334" s="214"/>
      <c r="M334" s="215"/>
      <c r="N334" s="215"/>
      <c r="O334" s="216"/>
      <c r="P334" s="216"/>
      <c r="Q334" s="216"/>
      <c r="R334" s="216"/>
      <c r="S334" s="216"/>
      <c r="T334" s="216"/>
      <c r="U334" s="216"/>
    </row>
    <row r="335" spans="1:21" ht="12.75" x14ac:dyDescent="0.2">
      <c r="A335" s="214"/>
      <c r="B335" s="214"/>
      <c r="C335" s="214"/>
      <c r="D335" s="214"/>
      <c r="E335" s="214"/>
      <c r="F335" s="214"/>
      <c r="G335" s="214"/>
      <c r="H335" s="214"/>
      <c r="I335" s="214"/>
      <c r="J335" s="214"/>
      <c r="K335" s="214"/>
      <c r="L335" s="214"/>
      <c r="M335" s="215"/>
      <c r="N335" s="215"/>
      <c r="O335" s="216"/>
      <c r="P335" s="216"/>
      <c r="Q335" s="216"/>
      <c r="R335" s="216"/>
      <c r="S335" s="216"/>
      <c r="T335" s="216"/>
      <c r="U335" s="216"/>
    </row>
    <row r="336" spans="1:21" ht="12.75" x14ac:dyDescent="0.2">
      <c r="A336" s="214"/>
      <c r="B336" s="214"/>
      <c r="C336" s="214"/>
      <c r="D336" s="214"/>
      <c r="E336" s="214"/>
      <c r="F336" s="214"/>
      <c r="G336" s="214"/>
      <c r="H336" s="214"/>
      <c r="I336" s="214"/>
      <c r="J336" s="214"/>
      <c r="K336" s="214"/>
      <c r="L336" s="214"/>
      <c r="M336" s="215"/>
      <c r="N336" s="215"/>
      <c r="O336" s="216"/>
      <c r="P336" s="216"/>
      <c r="Q336" s="216"/>
      <c r="R336" s="216"/>
      <c r="S336" s="216"/>
      <c r="T336" s="216"/>
      <c r="U336" s="216"/>
    </row>
    <row r="337" spans="1:21" ht="12.75" x14ac:dyDescent="0.2">
      <c r="A337" s="214"/>
      <c r="B337" s="214"/>
      <c r="C337" s="214"/>
      <c r="D337" s="214"/>
      <c r="E337" s="214"/>
      <c r="F337" s="214"/>
      <c r="G337" s="214"/>
      <c r="H337" s="214"/>
      <c r="I337" s="214"/>
      <c r="J337" s="214"/>
      <c r="K337" s="214"/>
      <c r="L337" s="214"/>
      <c r="M337" s="215"/>
      <c r="N337" s="215"/>
      <c r="O337" s="216"/>
      <c r="P337" s="216"/>
      <c r="Q337" s="216"/>
      <c r="R337" s="216"/>
      <c r="S337" s="216"/>
      <c r="T337" s="216"/>
      <c r="U337" s="216"/>
    </row>
    <row r="338" spans="1:21" ht="12.75" x14ac:dyDescent="0.2">
      <c r="A338" s="214"/>
      <c r="B338" s="214"/>
      <c r="C338" s="214"/>
      <c r="D338" s="214"/>
      <c r="E338" s="214"/>
      <c r="F338" s="214"/>
      <c r="G338" s="214"/>
      <c r="H338" s="214"/>
      <c r="I338" s="214"/>
      <c r="J338" s="214"/>
      <c r="K338" s="214"/>
      <c r="L338" s="214"/>
      <c r="M338" s="215"/>
      <c r="N338" s="215"/>
      <c r="O338" s="216"/>
      <c r="P338" s="216"/>
      <c r="Q338" s="216"/>
      <c r="R338" s="216"/>
      <c r="S338" s="216"/>
      <c r="T338" s="216"/>
      <c r="U338" s="216"/>
    </row>
    <row r="339" spans="1:21" ht="12.75" x14ac:dyDescent="0.2">
      <c r="A339" s="214"/>
      <c r="B339" s="214"/>
      <c r="C339" s="214"/>
      <c r="D339" s="214"/>
      <c r="E339" s="214"/>
      <c r="F339" s="214"/>
      <c r="G339" s="214"/>
      <c r="H339" s="214"/>
      <c r="I339" s="214"/>
      <c r="J339" s="214"/>
      <c r="K339" s="214"/>
      <c r="L339" s="214"/>
      <c r="M339" s="215"/>
      <c r="N339" s="215"/>
      <c r="O339" s="216"/>
      <c r="P339" s="216"/>
      <c r="Q339" s="216"/>
      <c r="R339" s="216"/>
      <c r="S339" s="216"/>
      <c r="T339" s="216"/>
      <c r="U339" s="216"/>
    </row>
    <row r="340" spans="1:21" ht="12.75" x14ac:dyDescent="0.2">
      <c r="A340" s="214"/>
      <c r="B340" s="214"/>
      <c r="C340" s="214"/>
      <c r="D340" s="214"/>
      <c r="E340" s="214"/>
      <c r="F340" s="214"/>
      <c r="G340" s="214"/>
      <c r="H340" s="214"/>
      <c r="I340" s="214"/>
      <c r="J340" s="214"/>
      <c r="K340" s="214"/>
      <c r="L340" s="214"/>
      <c r="M340" s="215"/>
      <c r="N340" s="215"/>
      <c r="O340" s="216"/>
      <c r="P340" s="216"/>
      <c r="Q340" s="216"/>
      <c r="R340" s="216"/>
      <c r="S340" s="216"/>
      <c r="T340" s="216"/>
      <c r="U340" s="216"/>
    </row>
    <row r="341" spans="1:21" ht="12.75" x14ac:dyDescent="0.2">
      <c r="A341" s="214"/>
      <c r="B341" s="214"/>
      <c r="C341" s="214"/>
      <c r="D341" s="214"/>
      <c r="E341" s="214"/>
      <c r="F341" s="214"/>
      <c r="G341" s="214"/>
      <c r="H341" s="214"/>
      <c r="I341" s="214"/>
      <c r="J341" s="214"/>
      <c r="K341" s="214"/>
      <c r="L341" s="214"/>
      <c r="M341" s="215"/>
      <c r="N341" s="215"/>
      <c r="O341" s="216"/>
      <c r="P341" s="216"/>
      <c r="Q341" s="216"/>
      <c r="R341" s="216"/>
      <c r="S341" s="216"/>
      <c r="T341" s="216"/>
      <c r="U341" s="216"/>
    </row>
    <row r="342" spans="1:21" ht="12.75" x14ac:dyDescent="0.2">
      <c r="A342" s="214"/>
      <c r="B342" s="214"/>
      <c r="C342" s="214"/>
      <c r="D342" s="214"/>
      <c r="E342" s="214"/>
      <c r="F342" s="214"/>
      <c r="G342" s="214"/>
      <c r="H342" s="214"/>
      <c r="I342" s="214"/>
      <c r="J342" s="214"/>
      <c r="K342" s="214"/>
      <c r="L342" s="214"/>
      <c r="M342" s="215"/>
      <c r="N342" s="215"/>
      <c r="O342" s="216"/>
      <c r="P342" s="216"/>
      <c r="Q342" s="216"/>
      <c r="R342" s="216"/>
      <c r="S342" s="216"/>
      <c r="T342" s="216"/>
      <c r="U342" s="216"/>
    </row>
    <row r="343" spans="1:21" ht="12.75" x14ac:dyDescent="0.2">
      <c r="A343" s="214"/>
      <c r="B343" s="214"/>
      <c r="C343" s="214"/>
      <c r="D343" s="214"/>
      <c r="E343" s="214"/>
      <c r="F343" s="214"/>
      <c r="G343" s="214"/>
      <c r="H343" s="214"/>
      <c r="I343" s="214"/>
      <c r="J343" s="214"/>
      <c r="K343" s="214"/>
      <c r="L343" s="214"/>
      <c r="M343" s="215"/>
      <c r="N343" s="215"/>
      <c r="O343" s="216"/>
      <c r="P343" s="216"/>
      <c r="Q343" s="216"/>
      <c r="R343" s="216"/>
      <c r="S343" s="216"/>
      <c r="T343" s="216"/>
      <c r="U343" s="216"/>
    </row>
    <row r="344" spans="1:21" ht="12.75" x14ac:dyDescent="0.2">
      <c r="A344" s="214"/>
      <c r="B344" s="214"/>
      <c r="C344" s="214"/>
      <c r="D344" s="214"/>
      <c r="E344" s="214"/>
      <c r="F344" s="214"/>
      <c r="G344" s="214"/>
      <c r="H344" s="214"/>
      <c r="I344" s="214"/>
      <c r="J344" s="214"/>
      <c r="K344" s="214"/>
      <c r="L344" s="214"/>
      <c r="M344" s="215"/>
      <c r="N344" s="215"/>
      <c r="O344" s="216"/>
      <c r="P344" s="216"/>
      <c r="Q344" s="216"/>
      <c r="R344" s="216"/>
      <c r="S344" s="216"/>
      <c r="T344" s="216"/>
      <c r="U344" s="216"/>
    </row>
    <row r="345" spans="1:21" ht="12.75" x14ac:dyDescent="0.2">
      <c r="A345" s="214"/>
      <c r="B345" s="214"/>
      <c r="C345" s="214"/>
      <c r="D345" s="214"/>
      <c r="E345" s="214"/>
      <c r="F345" s="214"/>
      <c r="G345" s="214"/>
      <c r="H345" s="214"/>
      <c r="I345" s="214"/>
      <c r="J345" s="214"/>
      <c r="K345" s="214"/>
      <c r="L345" s="214"/>
      <c r="M345" s="215"/>
      <c r="N345" s="215"/>
      <c r="O345" s="216"/>
      <c r="P345" s="216"/>
      <c r="Q345" s="216"/>
      <c r="R345" s="216"/>
      <c r="S345" s="216"/>
      <c r="T345" s="216"/>
      <c r="U345" s="216"/>
    </row>
    <row r="346" spans="1:21" ht="12.75" x14ac:dyDescent="0.2">
      <c r="A346" s="214"/>
      <c r="B346" s="214"/>
      <c r="C346" s="214"/>
      <c r="D346" s="214"/>
      <c r="E346" s="214"/>
      <c r="F346" s="214"/>
      <c r="G346" s="214"/>
      <c r="H346" s="214"/>
      <c r="I346" s="214"/>
      <c r="J346" s="214"/>
      <c r="K346" s="214"/>
      <c r="L346" s="214"/>
      <c r="M346" s="215"/>
      <c r="N346" s="215"/>
      <c r="O346" s="216"/>
      <c r="P346" s="216"/>
      <c r="Q346" s="216"/>
      <c r="R346" s="216"/>
      <c r="S346" s="216"/>
      <c r="T346" s="216"/>
      <c r="U346" s="216"/>
    </row>
    <row r="347" spans="1:21" ht="12.75" x14ac:dyDescent="0.2">
      <c r="A347" s="214"/>
      <c r="B347" s="214"/>
      <c r="C347" s="214"/>
      <c r="D347" s="214"/>
      <c r="E347" s="214"/>
      <c r="F347" s="214"/>
      <c r="G347" s="214"/>
      <c r="H347" s="214"/>
      <c r="I347" s="214"/>
      <c r="J347" s="214"/>
      <c r="K347" s="214"/>
      <c r="L347" s="214"/>
      <c r="M347" s="215"/>
      <c r="N347" s="215"/>
      <c r="O347" s="216"/>
      <c r="P347" s="216"/>
      <c r="Q347" s="216"/>
      <c r="R347" s="216"/>
      <c r="S347" s="216"/>
      <c r="T347" s="216"/>
      <c r="U347" s="216"/>
    </row>
    <row r="348" spans="1:21" ht="12.75" x14ac:dyDescent="0.2">
      <c r="A348" s="214"/>
      <c r="B348" s="214"/>
      <c r="C348" s="214"/>
      <c r="D348" s="214"/>
      <c r="E348" s="214"/>
      <c r="F348" s="214"/>
      <c r="G348" s="214"/>
      <c r="H348" s="214"/>
      <c r="I348" s="214"/>
      <c r="J348" s="214"/>
      <c r="K348" s="214"/>
      <c r="L348" s="214"/>
      <c r="M348" s="215"/>
      <c r="N348" s="215"/>
      <c r="O348" s="216"/>
      <c r="P348" s="216"/>
      <c r="Q348" s="216"/>
      <c r="R348" s="216"/>
      <c r="S348" s="216"/>
      <c r="T348" s="216"/>
      <c r="U348" s="216"/>
    </row>
    <row r="349" spans="1:21" ht="12.75" x14ac:dyDescent="0.2">
      <c r="A349" s="214"/>
      <c r="B349" s="214"/>
      <c r="C349" s="214"/>
      <c r="D349" s="214"/>
      <c r="E349" s="214"/>
      <c r="F349" s="214"/>
      <c r="G349" s="214"/>
      <c r="H349" s="214"/>
      <c r="I349" s="214"/>
      <c r="J349" s="214"/>
      <c r="K349" s="214"/>
      <c r="L349" s="214"/>
      <c r="M349" s="215"/>
      <c r="N349" s="215"/>
      <c r="O349" s="216"/>
      <c r="P349" s="216"/>
      <c r="Q349" s="216"/>
      <c r="R349" s="216"/>
      <c r="S349" s="216"/>
      <c r="T349" s="216"/>
      <c r="U349" s="216"/>
    </row>
    <row r="350" spans="1:21" ht="12.75" x14ac:dyDescent="0.2">
      <c r="A350" s="214"/>
      <c r="B350" s="214"/>
      <c r="C350" s="214"/>
      <c r="D350" s="214"/>
      <c r="E350" s="214"/>
      <c r="F350" s="214"/>
      <c r="G350" s="214"/>
      <c r="H350" s="214"/>
      <c r="I350" s="214"/>
      <c r="J350" s="214"/>
      <c r="K350" s="214"/>
      <c r="L350" s="214"/>
      <c r="M350" s="215"/>
      <c r="N350" s="215"/>
      <c r="O350" s="216"/>
      <c r="P350" s="216"/>
      <c r="Q350" s="216"/>
      <c r="R350" s="216"/>
      <c r="S350" s="216"/>
      <c r="T350" s="216"/>
      <c r="U350" s="216"/>
    </row>
    <row r="351" spans="1:21" ht="12.75" x14ac:dyDescent="0.2">
      <c r="A351" s="214"/>
      <c r="B351" s="214"/>
      <c r="C351" s="214"/>
      <c r="D351" s="214"/>
      <c r="E351" s="214"/>
      <c r="F351" s="214"/>
      <c r="G351" s="214"/>
      <c r="H351" s="214"/>
      <c r="I351" s="214"/>
      <c r="J351" s="214"/>
      <c r="K351" s="214"/>
      <c r="L351" s="214"/>
      <c r="M351" s="215"/>
      <c r="N351" s="215"/>
      <c r="O351" s="216"/>
      <c r="P351" s="216"/>
      <c r="Q351" s="216"/>
      <c r="R351" s="216"/>
      <c r="S351" s="216"/>
      <c r="T351" s="216"/>
      <c r="U351" s="216"/>
    </row>
    <row r="352" spans="1:21" ht="12.75" x14ac:dyDescent="0.2">
      <c r="A352" s="214"/>
      <c r="B352" s="214"/>
      <c r="C352" s="214"/>
      <c r="D352" s="214"/>
      <c r="E352" s="214"/>
      <c r="F352" s="214"/>
      <c r="G352" s="214"/>
      <c r="H352" s="214"/>
      <c r="I352" s="214"/>
      <c r="J352" s="214"/>
      <c r="K352" s="214"/>
      <c r="L352" s="214"/>
      <c r="M352" s="215"/>
      <c r="N352" s="215"/>
      <c r="O352" s="216"/>
      <c r="P352" s="216"/>
      <c r="Q352" s="216"/>
      <c r="R352" s="216"/>
      <c r="S352" s="216"/>
      <c r="T352" s="216"/>
      <c r="U352" s="216"/>
    </row>
    <row r="353" spans="1:21" ht="12.75" x14ac:dyDescent="0.2">
      <c r="A353" s="214"/>
      <c r="B353" s="214"/>
      <c r="C353" s="214"/>
      <c r="D353" s="214"/>
      <c r="E353" s="214"/>
      <c r="F353" s="214"/>
      <c r="G353" s="214"/>
      <c r="H353" s="214"/>
      <c r="I353" s="214"/>
      <c r="J353" s="214"/>
      <c r="K353" s="214"/>
      <c r="L353" s="214"/>
      <c r="M353" s="215"/>
      <c r="N353" s="215"/>
      <c r="O353" s="216"/>
      <c r="P353" s="216"/>
      <c r="Q353" s="216"/>
      <c r="R353" s="216"/>
      <c r="S353" s="216"/>
      <c r="T353" s="216"/>
      <c r="U353" s="216"/>
    </row>
    <row r="354" spans="1:21" ht="12.75" x14ac:dyDescent="0.2">
      <c r="A354" s="214"/>
      <c r="B354" s="214"/>
      <c r="C354" s="214"/>
      <c r="D354" s="214"/>
      <c r="E354" s="214"/>
      <c r="F354" s="214"/>
      <c r="G354" s="214"/>
      <c r="H354" s="214"/>
      <c r="I354" s="214"/>
      <c r="J354" s="214"/>
      <c r="K354" s="214"/>
      <c r="L354" s="214"/>
      <c r="M354" s="215"/>
      <c r="N354" s="215"/>
      <c r="O354" s="216"/>
      <c r="P354" s="216"/>
      <c r="Q354" s="216"/>
      <c r="R354" s="216"/>
      <c r="S354" s="216"/>
      <c r="T354" s="216"/>
      <c r="U354" s="216"/>
    </row>
    <row r="355" spans="1:21" ht="12.75" x14ac:dyDescent="0.2">
      <c r="A355" s="214"/>
      <c r="B355" s="214"/>
      <c r="C355" s="214"/>
      <c r="D355" s="214"/>
      <c r="E355" s="214"/>
      <c r="F355" s="214"/>
      <c r="G355" s="214"/>
      <c r="H355" s="214"/>
      <c r="I355" s="214"/>
      <c r="J355" s="214"/>
      <c r="K355" s="214"/>
      <c r="L355" s="214"/>
      <c r="M355" s="215"/>
      <c r="N355" s="215"/>
      <c r="O355" s="216"/>
      <c r="P355" s="216"/>
      <c r="Q355" s="216"/>
      <c r="R355" s="216"/>
      <c r="S355" s="216"/>
      <c r="T355" s="216"/>
      <c r="U355" s="216"/>
    </row>
    <row r="356" spans="1:21" ht="12.75" x14ac:dyDescent="0.2">
      <c r="A356" s="214"/>
      <c r="B356" s="214"/>
      <c r="C356" s="214"/>
      <c r="D356" s="214"/>
      <c r="E356" s="214"/>
      <c r="F356" s="214"/>
      <c r="G356" s="214"/>
      <c r="H356" s="214"/>
      <c r="I356" s="214"/>
      <c r="J356" s="214"/>
      <c r="K356" s="214"/>
      <c r="L356" s="214"/>
      <c r="M356" s="215"/>
      <c r="N356" s="215"/>
      <c r="O356" s="216"/>
      <c r="P356" s="216"/>
      <c r="Q356" s="216"/>
      <c r="R356" s="216"/>
      <c r="S356" s="216"/>
      <c r="T356" s="216"/>
      <c r="U356" s="216"/>
    </row>
    <row r="357" spans="1:21" ht="12.75" x14ac:dyDescent="0.2">
      <c r="A357" s="214"/>
      <c r="B357" s="214"/>
      <c r="C357" s="214"/>
      <c r="D357" s="214"/>
      <c r="E357" s="214"/>
      <c r="F357" s="214"/>
      <c r="G357" s="214"/>
      <c r="H357" s="214"/>
      <c r="I357" s="214"/>
      <c r="J357" s="214"/>
      <c r="K357" s="214"/>
      <c r="L357" s="214"/>
      <c r="M357" s="215"/>
      <c r="N357" s="215"/>
      <c r="O357" s="216"/>
      <c r="P357" s="216"/>
      <c r="Q357" s="216"/>
      <c r="R357" s="216"/>
      <c r="S357" s="216"/>
      <c r="T357" s="216"/>
      <c r="U357" s="216"/>
    </row>
    <row r="358" spans="1:21" ht="12.75" x14ac:dyDescent="0.2">
      <c r="A358" s="214"/>
      <c r="B358" s="214"/>
      <c r="C358" s="214"/>
      <c r="D358" s="214"/>
      <c r="E358" s="214"/>
      <c r="F358" s="214"/>
      <c r="G358" s="214"/>
      <c r="H358" s="214"/>
      <c r="I358" s="214"/>
      <c r="J358" s="214"/>
      <c r="K358" s="214"/>
      <c r="L358" s="214"/>
      <c r="M358" s="215"/>
      <c r="N358" s="215"/>
      <c r="O358" s="216"/>
      <c r="P358" s="216"/>
      <c r="Q358" s="216"/>
      <c r="R358" s="216"/>
      <c r="S358" s="216"/>
      <c r="T358" s="216"/>
      <c r="U358" s="216"/>
    </row>
    <row r="359" spans="1:21" ht="12.75" x14ac:dyDescent="0.2">
      <c r="A359" s="214"/>
      <c r="B359" s="214"/>
      <c r="C359" s="214"/>
      <c r="D359" s="214"/>
      <c r="E359" s="214"/>
      <c r="F359" s="214"/>
      <c r="G359" s="214"/>
      <c r="H359" s="214"/>
      <c r="I359" s="214"/>
      <c r="J359" s="214"/>
      <c r="K359" s="214"/>
      <c r="L359" s="214"/>
      <c r="M359" s="215"/>
      <c r="N359" s="215"/>
      <c r="O359" s="216"/>
      <c r="P359" s="216"/>
      <c r="Q359" s="216"/>
      <c r="R359" s="216"/>
      <c r="S359" s="216"/>
      <c r="T359" s="216"/>
      <c r="U359" s="216"/>
    </row>
    <row r="360" spans="1:21" ht="12.75" x14ac:dyDescent="0.2">
      <c r="A360" s="214"/>
      <c r="B360" s="214"/>
      <c r="C360" s="214"/>
      <c r="D360" s="214"/>
      <c r="E360" s="214"/>
      <c r="F360" s="214"/>
      <c r="G360" s="214"/>
      <c r="H360" s="214"/>
      <c r="I360" s="214"/>
      <c r="J360" s="214"/>
      <c r="K360" s="214"/>
      <c r="L360" s="214"/>
      <c r="M360" s="215"/>
      <c r="N360" s="215"/>
      <c r="O360" s="216"/>
      <c r="P360" s="216"/>
      <c r="Q360" s="216"/>
      <c r="R360" s="216"/>
      <c r="S360" s="216"/>
      <c r="T360" s="216"/>
      <c r="U360" s="216"/>
    </row>
    <row r="361" spans="1:21" ht="12.75" x14ac:dyDescent="0.2">
      <c r="A361" s="214"/>
      <c r="B361" s="214"/>
      <c r="C361" s="214"/>
      <c r="D361" s="214"/>
      <c r="E361" s="214"/>
      <c r="F361" s="214"/>
      <c r="G361" s="214"/>
      <c r="H361" s="214"/>
      <c r="I361" s="214"/>
      <c r="J361" s="214"/>
      <c r="K361" s="214"/>
      <c r="L361" s="214"/>
      <c r="M361" s="215"/>
      <c r="N361" s="215"/>
      <c r="O361" s="216"/>
      <c r="P361" s="216"/>
      <c r="Q361" s="216"/>
      <c r="R361" s="216"/>
      <c r="S361" s="216"/>
      <c r="T361" s="216"/>
      <c r="U361" s="216"/>
    </row>
    <row r="362" spans="1:21" ht="12.75" x14ac:dyDescent="0.2">
      <c r="A362" s="214"/>
      <c r="B362" s="214"/>
      <c r="C362" s="214"/>
      <c r="D362" s="214"/>
      <c r="E362" s="214"/>
      <c r="F362" s="214"/>
      <c r="G362" s="214"/>
      <c r="H362" s="214"/>
      <c r="I362" s="214"/>
      <c r="J362" s="214"/>
      <c r="K362" s="214"/>
      <c r="L362" s="214"/>
      <c r="M362" s="215"/>
      <c r="N362" s="215"/>
      <c r="O362" s="216"/>
      <c r="P362" s="216"/>
      <c r="Q362" s="216"/>
      <c r="R362" s="216"/>
      <c r="S362" s="216"/>
      <c r="T362" s="216"/>
      <c r="U362" s="216"/>
    </row>
    <row r="363" spans="1:21" ht="12.75" x14ac:dyDescent="0.2">
      <c r="A363" s="214"/>
      <c r="B363" s="214"/>
      <c r="C363" s="214"/>
      <c r="D363" s="214"/>
      <c r="E363" s="214"/>
      <c r="F363" s="214"/>
      <c r="G363" s="214"/>
      <c r="H363" s="214"/>
      <c r="I363" s="214"/>
      <c r="J363" s="214"/>
      <c r="K363" s="214"/>
      <c r="L363" s="214"/>
      <c r="M363" s="215"/>
      <c r="N363" s="215"/>
      <c r="O363" s="216"/>
      <c r="P363" s="216"/>
      <c r="Q363" s="216"/>
      <c r="R363" s="216"/>
      <c r="S363" s="216"/>
      <c r="T363" s="216"/>
      <c r="U363" s="216"/>
    </row>
    <row r="364" spans="1:21" ht="12.75" x14ac:dyDescent="0.2">
      <c r="A364" s="214"/>
      <c r="B364" s="214"/>
      <c r="C364" s="214"/>
      <c r="D364" s="214"/>
      <c r="E364" s="214"/>
      <c r="F364" s="214"/>
      <c r="G364" s="214"/>
      <c r="H364" s="214"/>
      <c r="I364" s="214"/>
      <c r="J364" s="214"/>
      <c r="K364" s="214"/>
      <c r="L364" s="214"/>
      <c r="M364" s="215"/>
      <c r="N364" s="215"/>
      <c r="O364" s="216"/>
      <c r="P364" s="216"/>
      <c r="Q364" s="216"/>
      <c r="R364" s="216"/>
      <c r="S364" s="216"/>
      <c r="T364" s="216"/>
      <c r="U364" s="216"/>
    </row>
    <row r="365" spans="1:21" ht="12.75" x14ac:dyDescent="0.2">
      <c r="A365" s="214"/>
      <c r="B365" s="214"/>
      <c r="C365" s="214"/>
      <c r="D365" s="214"/>
      <c r="E365" s="214"/>
      <c r="F365" s="214"/>
      <c r="G365" s="214"/>
      <c r="H365" s="214"/>
      <c r="I365" s="214"/>
      <c r="J365" s="214"/>
      <c r="K365" s="214"/>
      <c r="L365" s="214"/>
      <c r="M365" s="215"/>
      <c r="N365" s="215"/>
      <c r="O365" s="216"/>
      <c r="P365" s="216"/>
      <c r="Q365" s="216"/>
      <c r="R365" s="216"/>
      <c r="S365" s="216"/>
      <c r="T365" s="216"/>
      <c r="U365" s="216"/>
    </row>
    <row r="366" spans="1:21" ht="12.75" x14ac:dyDescent="0.2">
      <c r="A366" s="214"/>
      <c r="B366" s="214"/>
      <c r="C366" s="214"/>
      <c r="D366" s="214"/>
      <c r="E366" s="214"/>
      <c r="F366" s="214"/>
      <c r="G366" s="214"/>
      <c r="H366" s="214"/>
      <c r="I366" s="214"/>
      <c r="J366" s="214"/>
      <c r="K366" s="214"/>
      <c r="L366" s="214"/>
      <c r="M366" s="215"/>
      <c r="N366" s="215"/>
      <c r="O366" s="216"/>
      <c r="P366" s="216"/>
      <c r="Q366" s="216"/>
      <c r="R366" s="216"/>
      <c r="S366" s="216"/>
      <c r="T366" s="216"/>
      <c r="U366" s="216"/>
    </row>
    <row r="367" spans="1:21" ht="12.75" x14ac:dyDescent="0.2">
      <c r="A367" s="214"/>
      <c r="B367" s="214"/>
      <c r="C367" s="214"/>
      <c r="D367" s="214"/>
      <c r="E367" s="214"/>
      <c r="F367" s="214"/>
      <c r="G367" s="214"/>
      <c r="H367" s="214"/>
      <c r="I367" s="214"/>
      <c r="J367" s="214"/>
      <c r="K367" s="214"/>
      <c r="L367" s="214"/>
      <c r="M367" s="215"/>
      <c r="N367" s="215"/>
      <c r="O367" s="216"/>
      <c r="P367" s="216"/>
      <c r="Q367" s="216"/>
      <c r="R367" s="216"/>
      <c r="S367" s="216"/>
      <c r="T367" s="216"/>
      <c r="U367" s="216"/>
    </row>
    <row r="368" spans="1:21" ht="12.75" x14ac:dyDescent="0.2">
      <c r="A368" s="214"/>
      <c r="B368" s="214"/>
      <c r="C368" s="214"/>
      <c r="D368" s="214"/>
      <c r="E368" s="214"/>
      <c r="F368" s="214"/>
      <c r="G368" s="214"/>
      <c r="H368" s="214"/>
      <c r="I368" s="214"/>
      <c r="J368" s="214"/>
      <c r="K368" s="214"/>
      <c r="L368" s="214"/>
      <c r="M368" s="215"/>
      <c r="N368" s="215"/>
      <c r="O368" s="216"/>
      <c r="P368" s="216"/>
      <c r="Q368" s="216"/>
      <c r="R368" s="216"/>
      <c r="S368" s="216"/>
      <c r="T368" s="216"/>
      <c r="U368" s="216"/>
    </row>
    <row r="369" spans="1:21" ht="12.75" x14ac:dyDescent="0.2">
      <c r="A369" s="214"/>
      <c r="B369" s="214"/>
      <c r="C369" s="214"/>
      <c r="D369" s="214"/>
      <c r="E369" s="214"/>
      <c r="F369" s="214"/>
      <c r="G369" s="214"/>
      <c r="H369" s="214"/>
      <c r="I369" s="214"/>
      <c r="J369" s="214"/>
      <c r="K369" s="214"/>
      <c r="L369" s="214"/>
      <c r="M369" s="215"/>
      <c r="N369" s="215"/>
      <c r="O369" s="216"/>
      <c r="P369" s="216"/>
      <c r="Q369" s="216"/>
      <c r="R369" s="216"/>
      <c r="S369" s="216"/>
      <c r="T369" s="216"/>
      <c r="U369" s="216"/>
    </row>
    <row r="370" spans="1:21" ht="12.75" x14ac:dyDescent="0.2">
      <c r="A370" s="214"/>
      <c r="B370" s="214"/>
      <c r="C370" s="214"/>
      <c r="D370" s="214"/>
      <c r="E370" s="214"/>
      <c r="F370" s="214"/>
      <c r="G370" s="214"/>
      <c r="H370" s="214"/>
      <c r="I370" s="214"/>
      <c r="J370" s="214"/>
      <c r="K370" s="214"/>
      <c r="L370" s="214"/>
      <c r="M370" s="215"/>
      <c r="N370" s="215"/>
      <c r="O370" s="216"/>
      <c r="P370" s="216"/>
      <c r="Q370" s="216"/>
      <c r="R370" s="216"/>
      <c r="S370" s="216"/>
      <c r="T370" s="216"/>
      <c r="U370" s="216"/>
    </row>
    <row r="371" spans="1:21" ht="12.75" x14ac:dyDescent="0.2">
      <c r="A371" s="214"/>
      <c r="B371" s="214"/>
      <c r="C371" s="214"/>
      <c r="D371" s="214"/>
      <c r="E371" s="214"/>
      <c r="F371" s="214"/>
      <c r="G371" s="214"/>
      <c r="H371" s="214"/>
      <c r="I371" s="214"/>
      <c r="J371" s="214"/>
      <c r="K371" s="214"/>
      <c r="L371" s="214"/>
      <c r="M371" s="215"/>
      <c r="N371" s="215"/>
      <c r="O371" s="216"/>
      <c r="P371" s="216"/>
      <c r="Q371" s="216"/>
      <c r="R371" s="216"/>
      <c r="S371" s="216"/>
      <c r="T371" s="216"/>
      <c r="U371" s="216"/>
    </row>
    <row r="372" spans="1:21" ht="12.75" x14ac:dyDescent="0.2">
      <c r="A372" s="214"/>
      <c r="B372" s="214"/>
      <c r="C372" s="214"/>
      <c r="D372" s="214"/>
      <c r="E372" s="214"/>
      <c r="F372" s="214"/>
      <c r="G372" s="214"/>
      <c r="H372" s="214"/>
      <c r="I372" s="214"/>
      <c r="J372" s="214"/>
      <c r="K372" s="214"/>
      <c r="L372" s="214"/>
      <c r="M372" s="215"/>
      <c r="N372" s="215"/>
      <c r="O372" s="216"/>
      <c r="P372" s="216"/>
      <c r="Q372" s="216"/>
      <c r="R372" s="216"/>
      <c r="S372" s="216"/>
      <c r="T372" s="216"/>
      <c r="U372" s="216"/>
    </row>
    <row r="373" spans="1:21" ht="12.75" x14ac:dyDescent="0.2">
      <c r="A373" s="214"/>
      <c r="B373" s="214"/>
      <c r="C373" s="214"/>
      <c r="D373" s="214"/>
      <c r="E373" s="214"/>
      <c r="F373" s="214"/>
      <c r="G373" s="214"/>
      <c r="H373" s="214"/>
      <c r="I373" s="214"/>
      <c r="J373" s="214"/>
      <c r="K373" s="214"/>
      <c r="L373" s="214"/>
      <c r="M373" s="215"/>
      <c r="N373" s="215"/>
      <c r="O373" s="216"/>
      <c r="P373" s="216"/>
      <c r="Q373" s="216"/>
      <c r="R373" s="216"/>
      <c r="S373" s="216"/>
      <c r="T373" s="216"/>
      <c r="U373" s="216"/>
    </row>
    <row r="374" spans="1:21" ht="12.75" x14ac:dyDescent="0.2">
      <c r="A374" s="214"/>
      <c r="B374" s="214"/>
      <c r="C374" s="214"/>
      <c r="D374" s="214"/>
      <c r="E374" s="214"/>
      <c r="F374" s="214"/>
      <c r="G374" s="214"/>
      <c r="H374" s="214"/>
      <c r="I374" s="214"/>
      <c r="J374" s="214"/>
      <c r="K374" s="214"/>
      <c r="L374" s="214"/>
      <c r="M374" s="215"/>
      <c r="N374" s="215"/>
      <c r="O374" s="216"/>
      <c r="P374" s="216"/>
      <c r="Q374" s="216"/>
      <c r="R374" s="216"/>
      <c r="S374" s="216"/>
      <c r="T374" s="216"/>
      <c r="U374" s="216"/>
    </row>
    <row r="375" spans="1:21" ht="12.75" x14ac:dyDescent="0.2">
      <c r="A375" s="214"/>
      <c r="B375" s="214"/>
      <c r="C375" s="214"/>
      <c r="D375" s="214"/>
      <c r="E375" s="214"/>
      <c r="F375" s="214"/>
      <c r="G375" s="214"/>
      <c r="H375" s="214"/>
      <c r="I375" s="214"/>
      <c r="J375" s="214"/>
      <c r="K375" s="214"/>
      <c r="L375" s="214"/>
      <c r="M375" s="215"/>
      <c r="N375" s="215"/>
      <c r="O375" s="216"/>
      <c r="P375" s="216"/>
      <c r="Q375" s="216"/>
      <c r="R375" s="216"/>
      <c r="S375" s="216"/>
      <c r="T375" s="216"/>
      <c r="U375" s="216"/>
    </row>
    <row r="376" spans="1:21" ht="12.75" x14ac:dyDescent="0.2">
      <c r="A376" s="214"/>
      <c r="B376" s="214"/>
      <c r="C376" s="214"/>
      <c r="D376" s="214"/>
      <c r="E376" s="214"/>
      <c r="F376" s="214"/>
      <c r="G376" s="214"/>
      <c r="H376" s="214"/>
      <c r="I376" s="214"/>
      <c r="J376" s="214"/>
      <c r="K376" s="214"/>
      <c r="L376" s="214"/>
      <c r="M376" s="215"/>
      <c r="N376" s="215"/>
      <c r="O376" s="216"/>
      <c r="P376" s="216"/>
      <c r="Q376" s="216"/>
      <c r="R376" s="216"/>
      <c r="S376" s="216"/>
      <c r="T376" s="216"/>
      <c r="U376" s="216"/>
    </row>
    <row r="377" spans="1:21" ht="12.75" x14ac:dyDescent="0.2">
      <c r="A377" s="214"/>
      <c r="B377" s="214"/>
      <c r="C377" s="214"/>
      <c r="D377" s="214"/>
      <c r="E377" s="214"/>
      <c r="F377" s="214"/>
      <c r="G377" s="214"/>
      <c r="H377" s="214"/>
      <c r="I377" s="214"/>
      <c r="J377" s="214"/>
      <c r="K377" s="214"/>
      <c r="L377" s="214"/>
      <c r="M377" s="215"/>
      <c r="N377" s="215"/>
      <c r="O377" s="216"/>
      <c r="P377" s="216"/>
      <c r="Q377" s="216"/>
      <c r="R377" s="216"/>
      <c r="S377" s="216"/>
      <c r="T377" s="216"/>
      <c r="U377" s="216"/>
    </row>
    <row r="378" spans="1:21" ht="12.75" x14ac:dyDescent="0.2">
      <c r="A378" s="214"/>
      <c r="B378" s="214"/>
      <c r="C378" s="214"/>
      <c r="D378" s="214"/>
      <c r="E378" s="214"/>
      <c r="F378" s="214"/>
      <c r="G378" s="214"/>
      <c r="H378" s="214"/>
      <c r="I378" s="214"/>
      <c r="J378" s="214"/>
      <c r="K378" s="214"/>
      <c r="L378" s="214"/>
      <c r="M378" s="215"/>
      <c r="N378" s="215"/>
      <c r="O378" s="216"/>
      <c r="P378" s="216"/>
      <c r="Q378" s="216"/>
      <c r="R378" s="216"/>
      <c r="S378" s="216"/>
      <c r="T378" s="216"/>
      <c r="U378" s="216"/>
    </row>
    <row r="379" spans="1:21" ht="12.75" x14ac:dyDescent="0.2">
      <c r="A379" s="214"/>
      <c r="B379" s="214"/>
      <c r="C379" s="214"/>
      <c r="D379" s="214"/>
      <c r="E379" s="214"/>
      <c r="F379" s="214"/>
      <c r="G379" s="214"/>
      <c r="H379" s="214"/>
      <c r="I379" s="214"/>
      <c r="J379" s="214"/>
      <c r="K379" s="214"/>
      <c r="L379" s="214"/>
      <c r="M379" s="215"/>
      <c r="N379" s="215"/>
      <c r="O379" s="216"/>
      <c r="P379" s="216"/>
      <c r="Q379" s="216"/>
      <c r="R379" s="216"/>
      <c r="S379" s="216"/>
      <c r="T379" s="216"/>
      <c r="U379" s="216"/>
    </row>
    <row r="380" spans="1:21" ht="12.75" x14ac:dyDescent="0.2">
      <c r="A380" s="214"/>
      <c r="B380" s="214"/>
      <c r="C380" s="214"/>
      <c r="D380" s="214"/>
      <c r="E380" s="214"/>
      <c r="F380" s="214"/>
      <c r="G380" s="214"/>
      <c r="H380" s="214"/>
      <c r="I380" s="214"/>
      <c r="J380" s="214"/>
      <c r="K380" s="214"/>
      <c r="L380" s="214"/>
      <c r="M380" s="215"/>
      <c r="N380" s="215"/>
      <c r="O380" s="216"/>
      <c r="P380" s="216"/>
      <c r="Q380" s="216"/>
      <c r="R380" s="216"/>
      <c r="S380" s="216"/>
      <c r="T380" s="216"/>
      <c r="U380" s="216"/>
    </row>
    <row r="381" spans="1:21" ht="12.75" x14ac:dyDescent="0.2">
      <c r="A381" s="214"/>
      <c r="B381" s="214"/>
      <c r="C381" s="214"/>
      <c r="D381" s="214"/>
      <c r="E381" s="214"/>
      <c r="F381" s="214"/>
      <c r="G381" s="214"/>
      <c r="H381" s="214"/>
      <c r="I381" s="214"/>
      <c r="J381" s="214"/>
      <c r="K381" s="214"/>
      <c r="L381" s="214"/>
      <c r="M381" s="215"/>
      <c r="N381" s="215"/>
      <c r="O381" s="216"/>
      <c r="P381" s="216"/>
      <c r="Q381" s="216"/>
      <c r="R381" s="216"/>
      <c r="S381" s="216"/>
      <c r="T381" s="216"/>
      <c r="U381" s="216"/>
    </row>
    <row r="382" spans="1:21" ht="12.75" x14ac:dyDescent="0.2">
      <c r="A382" s="214"/>
      <c r="B382" s="214"/>
      <c r="C382" s="214"/>
      <c r="D382" s="214"/>
      <c r="E382" s="214"/>
      <c r="F382" s="214"/>
      <c r="G382" s="214"/>
      <c r="H382" s="214"/>
      <c r="I382" s="214"/>
      <c r="J382" s="214"/>
      <c r="K382" s="214"/>
      <c r="L382" s="214"/>
      <c r="M382" s="215"/>
      <c r="N382" s="215"/>
      <c r="O382" s="216"/>
      <c r="P382" s="216"/>
      <c r="Q382" s="216"/>
      <c r="R382" s="216"/>
      <c r="S382" s="216"/>
      <c r="T382" s="216"/>
      <c r="U382" s="216"/>
    </row>
    <row r="383" spans="1:21" ht="12.75" x14ac:dyDescent="0.2">
      <c r="A383" s="214"/>
      <c r="B383" s="214"/>
      <c r="C383" s="214"/>
      <c r="D383" s="214"/>
      <c r="E383" s="214"/>
      <c r="F383" s="214"/>
      <c r="G383" s="214"/>
      <c r="H383" s="214"/>
      <c r="I383" s="214"/>
      <c r="J383" s="214"/>
      <c r="K383" s="214"/>
      <c r="L383" s="214"/>
      <c r="M383" s="215"/>
      <c r="N383" s="215"/>
      <c r="O383" s="216"/>
      <c r="P383" s="216"/>
      <c r="Q383" s="216"/>
      <c r="R383" s="216"/>
      <c r="S383" s="216"/>
      <c r="T383" s="216"/>
      <c r="U383" s="216"/>
    </row>
    <row r="384" spans="1:21" ht="12.75" x14ac:dyDescent="0.2">
      <c r="A384" s="214"/>
      <c r="B384" s="214"/>
      <c r="C384" s="214"/>
      <c r="D384" s="214"/>
      <c r="E384" s="214"/>
      <c r="F384" s="214"/>
      <c r="G384" s="214"/>
      <c r="H384" s="214"/>
      <c r="I384" s="214"/>
      <c r="J384" s="214"/>
      <c r="K384" s="214"/>
      <c r="L384" s="214"/>
      <c r="M384" s="215"/>
      <c r="N384" s="215"/>
      <c r="O384" s="216"/>
      <c r="P384" s="216"/>
      <c r="Q384" s="216"/>
      <c r="R384" s="216"/>
      <c r="S384" s="216"/>
      <c r="T384" s="216"/>
      <c r="U384" s="216"/>
    </row>
    <row r="385" spans="1:21" ht="12.75" x14ac:dyDescent="0.2">
      <c r="A385" s="214"/>
      <c r="B385" s="214"/>
      <c r="C385" s="214"/>
      <c r="D385" s="214"/>
      <c r="E385" s="214"/>
      <c r="F385" s="214"/>
      <c r="G385" s="214"/>
      <c r="H385" s="214"/>
      <c r="I385" s="214"/>
      <c r="J385" s="214"/>
      <c r="K385" s="214"/>
      <c r="L385" s="214"/>
      <c r="M385" s="215"/>
      <c r="N385" s="215"/>
      <c r="O385" s="216"/>
      <c r="P385" s="216"/>
      <c r="Q385" s="216"/>
      <c r="R385" s="216"/>
      <c r="S385" s="216"/>
      <c r="T385" s="216"/>
      <c r="U385" s="216"/>
    </row>
    <row r="386" spans="1:21" ht="12.75" x14ac:dyDescent="0.2">
      <c r="A386" s="214"/>
      <c r="B386" s="214"/>
      <c r="C386" s="214"/>
      <c r="D386" s="214"/>
      <c r="E386" s="214"/>
      <c r="F386" s="214"/>
      <c r="G386" s="214"/>
      <c r="H386" s="214"/>
      <c r="I386" s="214"/>
      <c r="J386" s="214"/>
      <c r="K386" s="214"/>
      <c r="L386" s="214"/>
      <c r="M386" s="215"/>
      <c r="N386" s="215"/>
      <c r="O386" s="216"/>
      <c r="P386" s="216"/>
      <c r="Q386" s="216"/>
      <c r="R386" s="216"/>
      <c r="S386" s="216"/>
      <c r="T386" s="216"/>
      <c r="U386" s="216"/>
    </row>
    <row r="387" spans="1:21" ht="12.75" x14ac:dyDescent="0.2">
      <c r="A387" s="214"/>
      <c r="B387" s="214"/>
      <c r="C387" s="214"/>
      <c r="D387" s="214"/>
      <c r="E387" s="214"/>
      <c r="F387" s="214"/>
      <c r="G387" s="214"/>
      <c r="H387" s="214"/>
      <c r="I387" s="214"/>
      <c r="J387" s="214"/>
      <c r="K387" s="214"/>
      <c r="L387" s="214"/>
      <c r="M387" s="215"/>
      <c r="N387" s="215"/>
      <c r="O387" s="216"/>
      <c r="P387" s="216"/>
      <c r="Q387" s="216"/>
      <c r="R387" s="216"/>
      <c r="S387" s="216"/>
      <c r="T387" s="216"/>
      <c r="U387" s="216"/>
    </row>
    <row r="388" spans="1:21" ht="12.75" x14ac:dyDescent="0.2">
      <c r="A388" s="214"/>
      <c r="B388" s="214"/>
      <c r="C388" s="214"/>
      <c r="D388" s="214"/>
      <c r="E388" s="214"/>
      <c r="F388" s="214"/>
      <c r="G388" s="214"/>
      <c r="H388" s="214"/>
      <c r="I388" s="214"/>
      <c r="J388" s="214"/>
      <c r="K388" s="214"/>
      <c r="L388" s="214"/>
      <c r="M388" s="215"/>
      <c r="N388" s="215"/>
      <c r="O388" s="216"/>
      <c r="P388" s="216"/>
      <c r="Q388" s="216"/>
      <c r="R388" s="216"/>
      <c r="S388" s="216"/>
      <c r="T388" s="216"/>
      <c r="U388" s="216"/>
    </row>
    <row r="389" spans="1:21" ht="12.75" x14ac:dyDescent="0.2">
      <c r="A389" s="214"/>
      <c r="B389" s="214"/>
      <c r="C389" s="214"/>
      <c r="D389" s="214"/>
      <c r="E389" s="214"/>
      <c r="F389" s="214"/>
      <c r="G389" s="214"/>
      <c r="H389" s="214"/>
      <c r="I389" s="214"/>
      <c r="J389" s="214"/>
      <c r="K389" s="214"/>
      <c r="L389" s="214"/>
      <c r="M389" s="215"/>
      <c r="N389" s="215"/>
      <c r="O389" s="216"/>
      <c r="P389" s="216"/>
      <c r="Q389" s="216"/>
      <c r="R389" s="216"/>
      <c r="S389" s="216"/>
      <c r="T389" s="216"/>
      <c r="U389" s="216"/>
    </row>
    <row r="390" spans="1:21" ht="12.75" x14ac:dyDescent="0.2">
      <c r="A390" s="214"/>
      <c r="B390" s="214"/>
      <c r="C390" s="214"/>
      <c r="D390" s="214"/>
      <c r="E390" s="214"/>
      <c r="F390" s="214"/>
      <c r="G390" s="214"/>
      <c r="H390" s="214"/>
      <c r="I390" s="214"/>
      <c r="J390" s="214"/>
      <c r="K390" s="214"/>
      <c r="L390" s="214"/>
      <c r="M390" s="215"/>
      <c r="N390" s="215"/>
      <c r="O390" s="216"/>
      <c r="P390" s="216"/>
      <c r="Q390" s="216"/>
      <c r="R390" s="216"/>
      <c r="S390" s="216"/>
      <c r="T390" s="216"/>
      <c r="U390" s="216"/>
    </row>
    <row r="391" spans="1:21" ht="12.75" x14ac:dyDescent="0.2">
      <c r="A391" s="214"/>
      <c r="B391" s="214"/>
      <c r="C391" s="214"/>
      <c r="D391" s="214"/>
      <c r="E391" s="214"/>
      <c r="F391" s="214"/>
      <c r="G391" s="214"/>
      <c r="H391" s="214"/>
      <c r="I391" s="214"/>
      <c r="J391" s="214"/>
      <c r="K391" s="214"/>
      <c r="L391" s="214"/>
      <c r="M391" s="215"/>
      <c r="N391" s="215"/>
      <c r="O391" s="216"/>
      <c r="P391" s="216"/>
      <c r="Q391" s="216"/>
      <c r="R391" s="216"/>
      <c r="S391" s="216"/>
      <c r="T391" s="216"/>
      <c r="U391" s="216"/>
    </row>
    <row r="392" spans="1:21" ht="12.75" x14ac:dyDescent="0.2">
      <c r="A392" s="214"/>
      <c r="B392" s="214"/>
      <c r="C392" s="214"/>
      <c r="D392" s="214"/>
      <c r="E392" s="214"/>
      <c r="F392" s="214"/>
      <c r="G392" s="214"/>
      <c r="H392" s="214"/>
      <c r="I392" s="214"/>
      <c r="J392" s="214"/>
      <c r="K392" s="214"/>
      <c r="L392" s="214"/>
      <c r="M392" s="215"/>
      <c r="N392" s="215"/>
      <c r="O392" s="216"/>
      <c r="P392" s="216"/>
      <c r="Q392" s="216"/>
      <c r="R392" s="216"/>
      <c r="S392" s="216"/>
      <c r="T392" s="216"/>
      <c r="U392" s="216"/>
    </row>
    <row r="393" spans="1:21" ht="12.75" x14ac:dyDescent="0.2">
      <c r="A393" s="214"/>
      <c r="B393" s="214"/>
      <c r="C393" s="214"/>
      <c r="D393" s="214"/>
      <c r="E393" s="214"/>
      <c r="F393" s="214"/>
      <c r="G393" s="214"/>
      <c r="H393" s="214"/>
      <c r="I393" s="214"/>
      <c r="J393" s="214"/>
      <c r="K393" s="214"/>
      <c r="L393" s="214"/>
      <c r="M393" s="215"/>
      <c r="N393" s="215"/>
      <c r="O393" s="216"/>
      <c r="P393" s="216"/>
      <c r="Q393" s="216"/>
      <c r="R393" s="216"/>
      <c r="S393" s="216"/>
      <c r="T393" s="216"/>
      <c r="U393" s="216"/>
    </row>
    <row r="394" spans="1:21" ht="12.75" x14ac:dyDescent="0.2">
      <c r="A394" s="214"/>
      <c r="B394" s="214"/>
      <c r="C394" s="214"/>
      <c r="D394" s="214"/>
      <c r="E394" s="214"/>
      <c r="F394" s="214"/>
      <c r="G394" s="214"/>
      <c r="H394" s="214"/>
      <c r="I394" s="214"/>
      <c r="J394" s="214"/>
      <c r="K394" s="214"/>
      <c r="L394" s="214"/>
      <c r="M394" s="215"/>
      <c r="N394" s="215"/>
      <c r="O394" s="216"/>
      <c r="P394" s="216"/>
      <c r="Q394" s="216"/>
      <c r="R394" s="216"/>
      <c r="S394" s="216"/>
      <c r="T394" s="216"/>
      <c r="U394" s="216"/>
    </row>
    <row r="395" spans="1:21" ht="12.75" x14ac:dyDescent="0.2">
      <c r="A395" s="214"/>
      <c r="B395" s="214"/>
      <c r="C395" s="214"/>
      <c r="D395" s="214"/>
      <c r="E395" s="214"/>
      <c r="F395" s="214"/>
      <c r="G395" s="214"/>
      <c r="H395" s="214"/>
      <c r="I395" s="214"/>
      <c r="J395" s="214"/>
      <c r="K395" s="214"/>
      <c r="L395" s="214"/>
      <c r="M395" s="215"/>
      <c r="N395" s="215"/>
      <c r="O395" s="216"/>
      <c r="P395" s="216"/>
      <c r="Q395" s="216"/>
      <c r="R395" s="216"/>
      <c r="S395" s="216"/>
      <c r="T395" s="216"/>
      <c r="U395" s="216"/>
    </row>
    <row r="396" spans="1:21" ht="12.75" x14ac:dyDescent="0.2">
      <c r="A396" s="214"/>
      <c r="B396" s="214"/>
      <c r="C396" s="214"/>
      <c r="D396" s="214"/>
      <c r="E396" s="214"/>
      <c r="F396" s="214"/>
      <c r="G396" s="214"/>
      <c r="H396" s="214"/>
      <c r="I396" s="214"/>
      <c r="J396" s="214"/>
      <c r="K396" s="214"/>
      <c r="L396" s="214"/>
      <c r="M396" s="215"/>
      <c r="N396" s="215"/>
      <c r="O396" s="216"/>
      <c r="P396" s="216"/>
      <c r="Q396" s="216"/>
      <c r="R396" s="216"/>
      <c r="S396" s="216"/>
      <c r="T396" s="216"/>
      <c r="U396" s="216"/>
    </row>
    <row r="397" spans="1:21" ht="12.75" x14ac:dyDescent="0.2">
      <c r="A397" s="214"/>
      <c r="B397" s="214"/>
      <c r="C397" s="214"/>
      <c r="D397" s="214"/>
      <c r="E397" s="214"/>
      <c r="F397" s="214"/>
      <c r="G397" s="214"/>
      <c r="H397" s="214"/>
      <c r="I397" s="214"/>
      <c r="J397" s="214"/>
      <c r="K397" s="214"/>
      <c r="L397" s="214"/>
      <c r="M397" s="215"/>
      <c r="N397" s="215"/>
      <c r="O397" s="216"/>
      <c r="P397" s="216"/>
      <c r="Q397" s="216"/>
      <c r="R397" s="216"/>
      <c r="S397" s="216"/>
      <c r="T397" s="216"/>
      <c r="U397" s="216"/>
    </row>
    <row r="398" spans="1:21" ht="12.75" x14ac:dyDescent="0.2">
      <c r="A398" s="214"/>
      <c r="B398" s="214"/>
      <c r="C398" s="214"/>
      <c r="D398" s="214"/>
      <c r="E398" s="214"/>
      <c r="F398" s="214"/>
      <c r="G398" s="214"/>
      <c r="H398" s="214"/>
      <c r="I398" s="214"/>
      <c r="J398" s="214"/>
      <c r="K398" s="214"/>
      <c r="L398" s="214"/>
      <c r="M398" s="215"/>
      <c r="N398" s="215"/>
      <c r="O398" s="216"/>
      <c r="P398" s="216"/>
      <c r="Q398" s="216"/>
      <c r="R398" s="216"/>
      <c r="S398" s="216"/>
      <c r="T398" s="216"/>
      <c r="U398" s="216"/>
    </row>
    <row r="399" spans="1:21" ht="12.75" x14ac:dyDescent="0.2">
      <c r="A399" s="214"/>
      <c r="B399" s="214"/>
      <c r="C399" s="214"/>
      <c r="D399" s="214"/>
      <c r="E399" s="214"/>
      <c r="F399" s="214"/>
      <c r="G399" s="214"/>
      <c r="H399" s="214"/>
      <c r="I399" s="214"/>
      <c r="J399" s="214"/>
      <c r="K399" s="214"/>
      <c r="L399" s="214"/>
      <c r="M399" s="215"/>
      <c r="N399" s="215"/>
      <c r="O399" s="216"/>
      <c r="P399" s="216"/>
      <c r="Q399" s="216"/>
      <c r="R399" s="216"/>
      <c r="S399" s="216"/>
      <c r="T399" s="216"/>
      <c r="U399" s="216"/>
    </row>
    <row r="400" spans="1:21" ht="12.75" x14ac:dyDescent="0.2">
      <c r="A400" s="214"/>
      <c r="B400" s="214"/>
      <c r="C400" s="214"/>
      <c r="D400" s="214"/>
      <c r="E400" s="214"/>
      <c r="F400" s="214"/>
      <c r="G400" s="214"/>
      <c r="H400" s="214"/>
      <c r="I400" s="214"/>
      <c r="J400" s="214"/>
      <c r="K400" s="214"/>
      <c r="L400" s="214"/>
      <c r="M400" s="215"/>
      <c r="N400" s="215"/>
      <c r="O400" s="216"/>
      <c r="P400" s="216"/>
      <c r="Q400" s="216"/>
      <c r="R400" s="216"/>
      <c r="S400" s="216"/>
      <c r="T400" s="216"/>
      <c r="U400" s="216"/>
    </row>
    <row r="401" spans="1:21" ht="12.75" x14ac:dyDescent="0.2">
      <c r="A401" s="214"/>
      <c r="B401" s="214"/>
      <c r="C401" s="214"/>
      <c r="D401" s="214"/>
      <c r="E401" s="214"/>
      <c r="F401" s="214"/>
      <c r="G401" s="214"/>
      <c r="H401" s="214"/>
      <c r="I401" s="214"/>
      <c r="J401" s="214"/>
      <c r="K401" s="214"/>
      <c r="L401" s="214"/>
      <c r="M401" s="215"/>
      <c r="N401" s="215"/>
      <c r="O401" s="216"/>
      <c r="P401" s="216"/>
      <c r="Q401" s="216"/>
      <c r="R401" s="216"/>
      <c r="S401" s="216"/>
      <c r="T401" s="216"/>
      <c r="U401" s="216"/>
    </row>
    <row r="402" spans="1:21" ht="12.75" x14ac:dyDescent="0.2">
      <c r="A402" s="214"/>
      <c r="B402" s="214"/>
      <c r="C402" s="214"/>
      <c r="D402" s="214"/>
      <c r="E402" s="214"/>
      <c r="F402" s="214"/>
      <c r="G402" s="214"/>
      <c r="H402" s="214"/>
      <c r="I402" s="214"/>
      <c r="J402" s="214"/>
      <c r="K402" s="214"/>
      <c r="L402" s="214"/>
      <c r="M402" s="215"/>
      <c r="N402" s="215"/>
      <c r="O402" s="216"/>
      <c r="P402" s="216"/>
      <c r="Q402" s="216"/>
      <c r="R402" s="216"/>
      <c r="S402" s="216"/>
      <c r="T402" s="216"/>
      <c r="U402" s="216"/>
    </row>
    <row r="403" spans="1:21" ht="12.75" x14ac:dyDescent="0.2">
      <c r="A403" s="214"/>
      <c r="B403" s="214"/>
      <c r="C403" s="214"/>
      <c r="D403" s="214"/>
      <c r="E403" s="214"/>
      <c r="F403" s="214"/>
      <c r="G403" s="214"/>
      <c r="H403" s="214"/>
      <c r="I403" s="214"/>
      <c r="J403" s="214"/>
      <c r="K403" s="214"/>
      <c r="L403" s="214"/>
      <c r="M403" s="215"/>
      <c r="N403" s="215"/>
      <c r="O403" s="216"/>
      <c r="P403" s="216"/>
      <c r="Q403" s="216"/>
      <c r="R403" s="216"/>
      <c r="S403" s="216"/>
      <c r="T403" s="216"/>
      <c r="U403" s="216"/>
    </row>
    <row r="404" spans="1:21" ht="12.75" x14ac:dyDescent="0.2">
      <c r="A404" s="214"/>
      <c r="B404" s="214"/>
      <c r="C404" s="214"/>
      <c r="D404" s="214"/>
      <c r="E404" s="214"/>
      <c r="F404" s="214"/>
      <c r="G404" s="214"/>
      <c r="H404" s="214"/>
      <c r="I404" s="214"/>
      <c r="J404" s="214"/>
      <c r="K404" s="214"/>
      <c r="L404" s="214"/>
      <c r="M404" s="215"/>
      <c r="N404" s="215"/>
      <c r="O404" s="216"/>
      <c r="P404" s="216"/>
      <c r="Q404" s="216"/>
      <c r="R404" s="216"/>
      <c r="S404" s="216"/>
      <c r="T404" s="216"/>
      <c r="U404" s="216"/>
    </row>
    <row r="405" spans="1:21" ht="12.75" x14ac:dyDescent="0.2">
      <c r="A405" s="214"/>
      <c r="B405" s="214"/>
      <c r="C405" s="214"/>
      <c r="D405" s="214"/>
      <c r="E405" s="214"/>
      <c r="F405" s="214"/>
      <c r="G405" s="214"/>
      <c r="H405" s="214"/>
      <c r="I405" s="214"/>
      <c r="J405" s="214"/>
      <c r="K405" s="214"/>
      <c r="L405" s="214"/>
      <c r="M405" s="215"/>
      <c r="N405" s="215"/>
      <c r="O405" s="216"/>
      <c r="P405" s="216"/>
      <c r="Q405" s="216"/>
      <c r="R405" s="216"/>
      <c r="S405" s="216"/>
      <c r="T405" s="216"/>
      <c r="U405" s="216"/>
    </row>
    <row r="406" spans="1:21" ht="12.75" x14ac:dyDescent="0.2">
      <c r="A406" s="214"/>
      <c r="B406" s="214"/>
      <c r="C406" s="214"/>
      <c r="D406" s="214"/>
      <c r="E406" s="214"/>
      <c r="F406" s="214"/>
      <c r="G406" s="214"/>
      <c r="H406" s="214"/>
      <c r="I406" s="214"/>
      <c r="J406" s="214"/>
      <c r="K406" s="214"/>
      <c r="L406" s="214"/>
      <c r="M406" s="215"/>
      <c r="N406" s="215"/>
      <c r="O406" s="216"/>
      <c r="P406" s="216"/>
      <c r="Q406" s="216"/>
      <c r="R406" s="216"/>
      <c r="S406" s="216"/>
      <c r="T406" s="216"/>
      <c r="U406" s="216"/>
    </row>
    <row r="407" spans="1:21" ht="12.75" x14ac:dyDescent="0.2">
      <c r="A407" s="214"/>
      <c r="B407" s="214"/>
      <c r="C407" s="214"/>
      <c r="D407" s="214"/>
      <c r="E407" s="214"/>
      <c r="F407" s="214"/>
      <c r="G407" s="214"/>
      <c r="H407" s="214"/>
      <c r="I407" s="214"/>
      <c r="J407" s="214"/>
      <c r="K407" s="214"/>
      <c r="L407" s="214"/>
      <c r="M407" s="215"/>
      <c r="N407" s="215"/>
      <c r="O407" s="216"/>
      <c r="P407" s="216"/>
      <c r="Q407" s="216"/>
      <c r="R407" s="216"/>
      <c r="S407" s="216"/>
      <c r="T407" s="216"/>
      <c r="U407" s="216"/>
    </row>
    <row r="408" spans="1:21" ht="12.75" x14ac:dyDescent="0.2">
      <c r="A408" s="214"/>
      <c r="B408" s="214"/>
      <c r="C408" s="214"/>
      <c r="D408" s="214"/>
      <c r="E408" s="214"/>
      <c r="F408" s="214"/>
      <c r="G408" s="214"/>
      <c r="H408" s="214"/>
      <c r="I408" s="214"/>
      <c r="J408" s="214"/>
      <c r="K408" s="214"/>
      <c r="L408" s="214"/>
      <c r="M408" s="215"/>
      <c r="N408" s="215"/>
      <c r="O408" s="216"/>
      <c r="P408" s="216"/>
      <c r="Q408" s="216"/>
      <c r="R408" s="216"/>
      <c r="S408" s="216"/>
      <c r="T408" s="216"/>
      <c r="U408" s="216"/>
    </row>
    <row r="409" spans="1:21" ht="12.75" x14ac:dyDescent="0.2">
      <c r="A409" s="214"/>
      <c r="B409" s="214"/>
      <c r="C409" s="214"/>
      <c r="D409" s="214"/>
      <c r="E409" s="214"/>
      <c r="F409" s="214"/>
      <c r="G409" s="214"/>
      <c r="H409" s="214"/>
      <c r="I409" s="214"/>
      <c r="J409" s="214"/>
      <c r="K409" s="214"/>
      <c r="L409" s="214"/>
      <c r="M409" s="215"/>
      <c r="N409" s="215"/>
      <c r="O409" s="216"/>
      <c r="P409" s="216"/>
      <c r="Q409" s="216"/>
      <c r="R409" s="216"/>
      <c r="S409" s="216"/>
      <c r="T409" s="216"/>
      <c r="U409" s="216"/>
    </row>
    <row r="410" spans="1:21" ht="12.75" x14ac:dyDescent="0.2">
      <c r="A410" s="214"/>
      <c r="B410" s="214"/>
      <c r="C410" s="214"/>
      <c r="D410" s="214"/>
      <c r="E410" s="214"/>
      <c r="F410" s="214"/>
      <c r="G410" s="214"/>
      <c r="H410" s="214"/>
      <c r="I410" s="214"/>
      <c r="J410" s="214"/>
      <c r="K410" s="214"/>
      <c r="L410" s="214"/>
      <c r="M410" s="215"/>
      <c r="N410" s="215"/>
      <c r="O410" s="216"/>
      <c r="P410" s="216"/>
      <c r="Q410" s="216"/>
      <c r="R410" s="216"/>
      <c r="S410" s="216"/>
      <c r="T410" s="216"/>
      <c r="U410" s="216"/>
    </row>
    <row r="411" spans="1:21" ht="12.75" x14ac:dyDescent="0.2">
      <c r="A411" s="214"/>
      <c r="B411" s="214"/>
      <c r="C411" s="214"/>
      <c r="D411" s="214"/>
      <c r="E411" s="214"/>
      <c r="F411" s="214"/>
      <c r="G411" s="214"/>
      <c r="H411" s="214"/>
      <c r="I411" s="214"/>
      <c r="J411" s="214"/>
      <c r="K411" s="214"/>
      <c r="L411" s="214"/>
      <c r="M411" s="215"/>
      <c r="N411" s="215"/>
      <c r="O411" s="216"/>
      <c r="P411" s="216"/>
      <c r="Q411" s="216"/>
      <c r="R411" s="216"/>
      <c r="S411" s="216"/>
      <c r="T411" s="216"/>
      <c r="U411" s="216"/>
    </row>
    <row r="412" spans="1:21" ht="12.75" x14ac:dyDescent="0.2">
      <c r="A412" s="214"/>
      <c r="B412" s="214"/>
      <c r="C412" s="214"/>
      <c r="D412" s="214"/>
      <c r="E412" s="214"/>
      <c r="F412" s="214"/>
      <c r="G412" s="214"/>
      <c r="H412" s="214"/>
      <c r="I412" s="214"/>
      <c r="J412" s="214"/>
      <c r="K412" s="214"/>
      <c r="L412" s="214"/>
      <c r="M412" s="215"/>
      <c r="N412" s="215"/>
      <c r="O412" s="216"/>
      <c r="P412" s="216"/>
      <c r="Q412" s="216"/>
      <c r="R412" s="216"/>
      <c r="S412" s="216"/>
      <c r="T412" s="216"/>
      <c r="U412" s="216"/>
    </row>
    <row r="413" spans="1:21" ht="12.75" x14ac:dyDescent="0.2">
      <c r="A413" s="214"/>
      <c r="B413" s="214"/>
      <c r="C413" s="214"/>
      <c r="D413" s="214"/>
      <c r="E413" s="214"/>
      <c r="F413" s="214"/>
      <c r="G413" s="214"/>
      <c r="H413" s="214"/>
      <c r="I413" s="214"/>
      <c r="J413" s="214"/>
      <c r="K413" s="214"/>
      <c r="L413" s="214"/>
      <c r="M413" s="215"/>
      <c r="N413" s="215"/>
      <c r="O413" s="216"/>
      <c r="P413" s="216"/>
      <c r="Q413" s="216"/>
      <c r="R413" s="216"/>
      <c r="S413" s="216"/>
      <c r="T413" s="216"/>
      <c r="U413" s="216"/>
    </row>
    <row r="414" spans="1:21" ht="12.75" x14ac:dyDescent="0.2">
      <c r="A414" s="214"/>
      <c r="B414" s="214"/>
      <c r="C414" s="214"/>
      <c r="D414" s="214"/>
      <c r="E414" s="214"/>
      <c r="F414" s="214"/>
      <c r="G414" s="214"/>
      <c r="H414" s="214"/>
      <c r="I414" s="214"/>
      <c r="J414" s="214"/>
      <c r="K414" s="214"/>
      <c r="L414" s="214"/>
      <c r="M414" s="215"/>
      <c r="N414" s="215"/>
      <c r="O414" s="216"/>
      <c r="P414" s="216"/>
      <c r="Q414" s="216"/>
      <c r="R414" s="216"/>
      <c r="S414" s="216"/>
      <c r="T414" s="216"/>
      <c r="U414" s="216"/>
    </row>
    <row r="415" spans="1:21" ht="12.75" x14ac:dyDescent="0.2">
      <c r="A415" s="214"/>
      <c r="B415" s="214"/>
      <c r="C415" s="214"/>
      <c r="D415" s="214"/>
      <c r="E415" s="214"/>
      <c r="F415" s="214"/>
      <c r="G415" s="214"/>
      <c r="H415" s="214"/>
      <c r="I415" s="214"/>
      <c r="J415" s="214"/>
      <c r="K415" s="214"/>
      <c r="L415" s="214"/>
      <c r="M415" s="215"/>
      <c r="N415" s="215"/>
      <c r="O415" s="216"/>
      <c r="P415" s="216"/>
      <c r="Q415" s="216"/>
      <c r="R415" s="216"/>
      <c r="S415" s="216"/>
      <c r="T415" s="216"/>
      <c r="U415" s="216"/>
    </row>
    <row r="416" spans="1:21" ht="12.75" x14ac:dyDescent="0.2">
      <c r="A416" s="214"/>
      <c r="B416" s="214"/>
      <c r="C416" s="214"/>
      <c r="D416" s="214"/>
      <c r="E416" s="214"/>
      <c r="F416" s="214"/>
      <c r="G416" s="214"/>
      <c r="H416" s="214"/>
      <c r="I416" s="214"/>
      <c r="J416" s="214"/>
      <c r="K416" s="214"/>
      <c r="L416" s="214"/>
      <c r="M416" s="215"/>
      <c r="N416" s="215"/>
      <c r="O416" s="216"/>
      <c r="P416" s="216"/>
      <c r="Q416" s="216"/>
      <c r="R416" s="216"/>
      <c r="S416" s="216"/>
      <c r="T416" s="216"/>
      <c r="U416" s="216"/>
    </row>
    <row r="417" spans="1:21" ht="12.75" x14ac:dyDescent="0.2">
      <c r="A417" s="214"/>
      <c r="B417" s="214"/>
      <c r="C417" s="214"/>
      <c r="D417" s="214"/>
      <c r="E417" s="214"/>
      <c r="F417" s="214"/>
      <c r="G417" s="214"/>
      <c r="H417" s="214"/>
      <c r="I417" s="214"/>
      <c r="J417" s="214"/>
      <c r="K417" s="214"/>
      <c r="L417" s="214"/>
      <c r="M417" s="215"/>
      <c r="N417" s="215"/>
      <c r="O417" s="216"/>
      <c r="P417" s="216"/>
      <c r="Q417" s="216"/>
      <c r="R417" s="216"/>
      <c r="S417" s="216"/>
      <c r="T417" s="216"/>
      <c r="U417" s="216"/>
    </row>
    <row r="418" spans="1:21" ht="12.75" x14ac:dyDescent="0.2">
      <c r="A418" s="214"/>
      <c r="B418" s="214"/>
      <c r="C418" s="214"/>
      <c r="D418" s="214"/>
      <c r="E418" s="214"/>
      <c r="F418" s="214"/>
      <c r="G418" s="214"/>
      <c r="H418" s="214"/>
      <c r="I418" s="214"/>
      <c r="J418" s="214"/>
      <c r="K418" s="214"/>
      <c r="L418" s="214"/>
      <c r="M418" s="215"/>
      <c r="N418" s="215"/>
      <c r="O418" s="216"/>
      <c r="P418" s="216"/>
      <c r="Q418" s="216"/>
      <c r="R418" s="216"/>
      <c r="S418" s="216"/>
      <c r="T418" s="216"/>
      <c r="U418" s="216"/>
    </row>
    <row r="419" spans="1:21" ht="12.75" x14ac:dyDescent="0.2">
      <c r="A419" s="214"/>
      <c r="B419" s="214"/>
      <c r="C419" s="214"/>
      <c r="D419" s="214"/>
      <c r="E419" s="214"/>
      <c r="F419" s="214"/>
      <c r="G419" s="214"/>
      <c r="H419" s="214"/>
      <c r="I419" s="214"/>
      <c r="J419" s="214"/>
      <c r="K419" s="214"/>
      <c r="L419" s="214"/>
      <c r="M419" s="215"/>
      <c r="N419" s="215"/>
      <c r="O419" s="216"/>
      <c r="P419" s="216"/>
      <c r="Q419" s="216"/>
      <c r="R419" s="216"/>
      <c r="S419" s="216"/>
      <c r="T419" s="216"/>
      <c r="U419" s="216"/>
    </row>
    <row r="420" spans="1:21" ht="12.75" x14ac:dyDescent="0.2">
      <c r="A420" s="214"/>
      <c r="B420" s="214"/>
      <c r="C420" s="214"/>
      <c r="D420" s="214"/>
      <c r="E420" s="214"/>
      <c r="F420" s="214"/>
      <c r="G420" s="214"/>
      <c r="H420" s="214"/>
      <c r="I420" s="214"/>
      <c r="J420" s="214"/>
      <c r="K420" s="214"/>
      <c r="L420" s="214"/>
      <c r="M420" s="215"/>
      <c r="N420" s="215"/>
      <c r="O420" s="216"/>
      <c r="P420" s="216"/>
      <c r="Q420" s="216"/>
      <c r="R420" s="216"/>
      <c r="S420" s="216"/>
      <c r="T420" s="216"/>
      <c r="U420" s="216"/>
    </row>
    <row r="421" spans="1:21" ht="12.75" x14ac:dyDescent="0.2">
      <c r="A421" s="214"/>
      <c r="B421" s="214"/>
      <c r="C421" s="214"/>
      <c r="D421" s="214"/>
      <c r="E421" s="214"/>
      <c r="F421" s="214"/>
      <c r="G421" s="214"/>
      <c r="H421" s="214"/>
      <c r="I421" s="214"/>
      <c r="J421" s="214"/>
      <c r="K421" s="214"/>
      <c r="L421" s="214"/>
      <c r="M421" s="215"/>
      <c r="N421" s="215"/>
      <c r="O421" s="216"/>
      <c r="P421" s="216"/>
      <c r="Q421" s="216"/>
      <c r="R421" s="216"/>
      <c r="S421" s="216"/>
      <c r="T421" s="216"/>
      <c r="U421" s="216"/>
    </row>
    <row r="422" spans="1:21" ht="12.75" x14ac:dyDescent="0.2">
      <c r="A422" s="214"/>
      <c r="B422" s="214"/>
      <c r="C422" s="214"/>
      <c r="D422" s="214"/>
      <c r="E422" s="214"/>
      <c r="F422" s="214"/>
      <c r="G422" s="214"/>
      <c r="H422" s="214"/>
      <c r="I422" s="214"/>
      <c r="J422" s="214"/>
      <c r="K422" s="214"/>
      <c r="L422" s="214"/>
      <c r="M422" s="215"/>
      <c r="N422" s="215"/>
      <c r="O422" s="216"/>
      <c r="P422" s="216"/>
      <c r="Q422" s="216"/>
      <c r="R422" s="216"/>
      <c r="S422" s="216"/>
      <c r="T422" s="216"/>
      <c r="U422" s="216"/>
    </row>
    <row r="423" spans="1:21" ht="12.75" x14ac:dyDescent="0.2">
      <c r="A423" s="214"/>
      <c r="B423" s="214"/>
      <c r="C423" s="214"/>
      <c r="D423" s="214"/>
      <c r="E423" s="214"/>
      <c r="F423" s="214"/>
      <c r="G423" s="214"/>
      <c r="H423" s="214"/>
      <c r="I423" s="214"/>
      <c r="J423" s="214"/>
      <c r="K423" s="214"/>
      <c r="L423" s="214"/>
      <c r="M423" s="215"/>
      <c r="N423" s="215"/>
      <c r="O423" s="216"/>
      <c r="P423" s="216"/>
      <c r="Q423" s="216"/>
      <c r="R423" s="216"/>
      <c r="S423" s="216"/>
      <c r="T423" s="216"/>
      <c r="U423" s="216"/>
    </row>
    <row r="424" spans="1:21" ht="12.75" x14ac:dyDescent="0.2">
      <c r="A424" s="214"/>
      <c r="B424" s="214"/>
      <c r="C424" s="214"/>
      <c r="D424" s="214"/>
      <c r="E424" s="214"/>
      <c r="F424" s="214"/>
      <c r="G424" s="214"/>
      <c r="H424" s="214"/>
      <c r="I424" s="214"/>
      <c r="J424" s="214"/>
      <c r="K424" s="214"/>
      <c r="L424" s="214"/>
      <c r="M424" s="215"/>
      <c r="N424" s="215"/>
      <c r="O424" s="216"/>
      <c r="P424" s="216"/>
      <c r="Q424" s="216"/>
      <c r="R424" s="216"/>
      <c r="S424" s="216"/>
      <c r="T424" s="216"/>
      <c r="U424" s="216"/>
    </row>
    <row r="425" spans="1:21" ht="12.75" x14ac:dyDescent="0.2">
      <c r="A425" s="214"/>
      <c r="B425" s="214"/>
      <c r="C425" s="214"/>
      <c r="D425" s="214"/>
      <c r="E425" s="214"/>
      <c r="F425" s="214"/>
      <c r="G425" s="214"/>
      <c r="H425" s="214"/>
      <c r="I425" s="214"/>
      <c r="J425" s="214"/>
      <c r="K425" s="214"/>
      <c r="L425" s="214"/>
      <c r="M425" s="215"/>
      <c r="N425" s="215"/>
      <c r="O425" s="216"/>
      <c r="P425" s="216"/>
      <c r="Q425" s="216"/>
      <c r="R425" s="216"/>
      <c r="S425" s="216"/>
      <c r="T425" s="216"/>
      <c r="U425" s="216"/>
    </row>
    <row r="426" spans="1:21" ht="12.75" x14ac:dyDescent="0.2">
      <c r="A426" s="214"/>
      <c r="B426" s="214"/>
      <c r="C426" s="214"/>
      <c r="D426" s="214"/>
      <c r="E426" s="214"/>
      <c r="F426" s="214"/>
      <c r="G426" s="214"/>
      <c r="H426" s="214"/>
      <c r="I426" s="214"/>
      <c r="J426" s="214"/>
      <c r="K426" s="214"/>
      <c r="L426" s="214"/>
      <c r="M426" s="215"/>
      <c r="N426" s="215"/>
      <c r="O426" s="216"/>
      <c r="P426" s="216"/>
      <c r="Q426" s="216"/>
      <c r="R426" s="216"/>
      <c r="S426" s="216"/>
      <c r="T426" s="216"/>
      <c r="U426" s="216"/>
    </row>
    <row r="427" spans="1:21" ht="12.75" x14ac:dyDescent="0.2">
      <c r="A427" s="214"/>
      <c r="B427" s="214"/>
      <c r="C427" s="214"/>
      <c r="D427" s="214"/>
      <c r="E427" s="214"/>
      <c r="F427" s="214"/>
      <c r="G427" s="214"/>
      <c r="H427" s="214"/>
      <c r="I427" s="214"/>
      <c r="J427" s="214"/>
      <c r="K427" s="214"/>
      <c r="L427" s="214"/>
      <c r="M427" s="215"/>
      <c r="N427" s="215"/>
      <c r="O427" s="216"/>
      <c r="P427" s="216"/>
      <c r="Q427" s="216"/>
      <c r="R427" s="216"/>
      <c r="S427" s="216"/>
      <c r="T427" s="216"/>
      <c r="U427" s="216"/>
    </row>
    <row r="428" spans="1:21" ht="12.75" x14ac:dyDescent="0.2">
      <c r="A428" s="214"/>
      <c r="B428" s="214"/>
      <c r="C428" s="214"/>
      <c r="D428" s="214"/>
      <c r="E428" s="214"/>
      <c r="F428" s="214"/>
      <c r="G428" s="214"/>
      <c r="H428" s="214"/>
      <c r="I428" s="214"/>
      <c r="J428" s="214"/>
      <c r="K428" s="214"/>
      <c r="L428" s="214"/>
      <c r="M428" s="215"/>
      <c r="N428" s="215"/>
      <c r="O428" s="216"/>
      <c r="P428" s="216"/>
      <c r="Q428" s="216"/>
      <c r="R428" s="216"/>
      <c r="S428" s="216"/>
      <c r="T428" s="216"/>
      <c r="U428" s="216"/>
    </row>
    <row r="429" spans="1:21" ht="12.75" x14ac:dyDescent="0.2">
      <c r="A429" s="214"/>
      <c r="B429" s="214"/>
      <c r="C429" s="214"/>
      <c r="D429" s="214"/>
      <c r="E429" s="214"/>
      <c r="F429" s="214"/>
      <c r="G429" s="214"/>
      <c r="H429" s="214"/>
      <c r="I429" s="214"/>
      <c r="J429" s="214"/>
      <c r="K429" s="214"/>
      <c r="L429" s="214"/>
      <c r="M429" s="215"/>
      <c r="N429" s="215"/>
      <c r="O429" s="216"/>
      <c r="P429" s="216"/>
      <c r="Q429" s="216"/>
      <c r="R429" s="216"/>
      <c r="S429" s="216"/>
      <c r="T429" s="216"/>
      <c r="U429" s="216"/>
    </row>
    <row r="430" spans="1:21" ht="12.75" x14ac:dyDescent="0.2">
      <c r="A430" s="214"/>
      <c r="B430" s="214"/>
      <c r="C430" s="214"/>
      <c r="D430" s="214"/>
      <c r="E430" s="214"/>
      <c r="F430" s="214"/>
      <c r="G430" s="214"/>
      <c r="H430" s="214"/>
      <c r="I430" s="214"/>
      <c r="J430" s="214"/>
      <c r="K430" s="214"/>
      <c r="L430" s="214"/>
      <c r="M430" s="215"/>
      <c r="N430" s="215"/>
      <c r="O430" s="216"/>
      <c r="P430" s="216"/>
      <c r="Q430" s="216"/>
      <c r="R430" s="216"/>
      <c r="S430" s="216"/>
      <c r="T430" s="216"/>
      <c r="U430" s="216"/>
    </row>
    <row r="431" spans="1:21" ht="12.75" x14ac:dyDescent="0.2">
      <c r="A431" s="214"/>
      <c r="B431" s="214"/>
      <c r="C431" s="214"/>
      <c r="D431" s="214"/>
      <c r="E431" s="214"/>
      <c r="F431" s="214"/>
      <c r="G431" s="214"/>
      <c r="H431" s="214"/>
      <c r="I431" s="214"/>
      <c r="J431" s="214"/>
      <c r="K431" s="214"/>
      <c r="L431" s="214"/>
      <c r="M431" s="215"/>
      <c r="N431" s="215"/>
      <c r="O431" s="216"/>
      <c r="P431" s="216"/>
      <c r="Q431" s="216"/>
      <c r="R431" s="216"/>
      <c r="S431" s="216"/>
      <c r="T431" s="216"/>
      <c r="U431" s="216"/>
    </row>
    <row r="432" spans="1:21" ht="12.75" x14ac:dyDescent="0.2">
      <c r="A432" s="214"/>
      <c r="B432" s="214"/>
      <c r="C432" s="214"/>
      <c r="D432" s="214"/>
      <c r="E432" s="214"/>
      <c r="F432" s="214"/>
      <c r="G432" s="214"/>
      <c r="H432" s="214"/>
      <c r="I432" s="214"/>
      <c r="J432" s="214"/>
      <c r="K432" s="214"/>
      <c r="L432" s="214"/>
      <c r="M432" s="215"/>
      <c r="N432" s="215"/>
      <c r="O432" s="216"/>
      <c r="P432" s="216"/>
      <c r="Q432" s="216"/>
      <c r="R432" s="216"/>
      <c r="S432" s="216"/>
      <c r="T432" s="216"/>
      <c r="U432" s="216"/>
    </row>
    <row r="433" spans="1:21" ht="12.75" x14ac:dyDescent="0.2">
      <c r="A433" s="214"/>
      <c r="B433" s="214"/>
      <c r="C433" s="214"/>
      <c r="D433" s="214"/>
      <c r="E433" s="214"/>
      <c r="F433" s="214"/>
      <c r="G433" s="214"/>
      <c r="H433" s="214"/>
      <c r="I433" s="214"/>
      <c r="J433" s="214"/>
      <c r="K433" s="214"/>
      <c r="L433" s="214"/>
      <c r="M433" s="215"/>
      <c r="N433" s="215"/>
      <c r="O433" s="216"/>
      <c r="P433" s="216"/>
      <c r="Q433" s="216"/>
      <c r="R433" s="216"/>
      <c r="S433" s="216"/>
      <c r="T433" s="216"/>
      <c r="U433" s="216"/>
    </row>
    <row r="434" spans="1:21" ht="12.75" x14ac:dyDescent="0.2">
      <c r="A434" s="214"/>
      <c r="B434" s="214"/>
      <c r="C434" s="214"/>
      <c r="D434" s="214"/>
      <c r="E434" s="214"/>
      <c r="F434" s="214"/>
      <c r="G434" s="214"/>
      <c r="H434" s="214"/>
      <c r="I434" s="214"/>
      <c r="J434" s="214"/>
      <c r="K434" s="214"/>
      <c r="L434" s="214"/>
      <c r="M434" s="215"/>
      <c r="N434" s="215"/>
      <c r="O434" s="216"/>
      <c r="P434" s="216"/>
      <c r="Q434" s="216"/>
      <c r="R434" s="216"/>
      <c r="S434" s="216"/>
      <c r="T434" s="216"/>
      <c r="U434" s="216"/>
    </row>
    <row r="435" spans="1:21" ht="12.75" x14ac:dyDescent="0.2">
      <c r="A435" s="214"/>
      <c r="B435" s="214"/>
      <c r="C435" s="214"/>
      <c r="D435" s="214"/>
      <c r="E435" s="214"/>
      <c r="F435" s="214"/>
      <c r="G435" s="214"/>
      <c r="H435" s="214"/>
      <c r="I435" s="214"/>
      <c r="J435" s="214"/>
      <c r="K435" s="214"/>
      <c r="L435" s="214"/>
      <c r="M435" s="215"/>
      <c r="N435" s="215"/>
      <c r="O435" s="216"/>
      <c r="P435" s="216"/>
      <c r="Q435" s="216"/>
      <c r="R435" s="216"/>
      <c r="S435" s="216"/>
      <c r="T435" s="216"/>
      <c r="U435" s="216"/>
    </row>
    <row r="436" spans="1:21" ht="12.75" x14ac:dyDescent="0.2">
      <c r="A436" s="214"/>
      <c r="B436" s="214"/>
      <c r="C436" s="214"/>
      <c r="D436" s="214"/>
      <c r="E436" s="214"/>
      <c r="F436" s="214"/>
      <c r="G436" s="214"/>
      <c r="H436" s="214"/>
      <c r="I436" s="214"/>
      <c r="J436" s="214"/>
      <c r="K436" s="214"/>
      <c r="L436" s="214"/>
      <c r="M436" s="215"/>
      <c r="N436" s="215"/>
      <c r="O436" s="216"/>
      <c r="P436" s="216"/>
      <c r="Q436" s="216"/>
      <c r="R436" s="216"/>
      <c r="S436" s="216"/>
      <c r="T436" s="216"/>
      <c r="U436" s="216"/>
    </row>
    <row r="437" spans="1:21" ht="12.75" x14ac:dyDescent="0.2">
      <c r="A437" s="214"/>
      <c r="B437" s="214"/>
      <c r="C437" s="214"/>
      <c r="D437" s="214"/>
      <c r="E437" s="214"/>
      <c r="F437" s="214"/>
      <c r="G437" s="214"/>
      <c r="H437" s="214"/>
      <c r="I437" s="214"/>
      <c r="J437" s="214"/>
      <c r="K437" s="214"/>
      <c r="L437" s="214"/>
      <c r="M437" s="215"/>
      <c r="N437" s="215"/>
      <c r="O437" s="216"/>
      <c r="P437" s="216"/>
      <c r="Q437" s="216"/>
      <c r="R437" s="216"/>
      <c r="S437" s="216"/>
      <c r="T437" s="216"/>
      <c r="U437" s="216"/>
    </row>
    <row r="438" spans="1:21" ht="12.75" x14ac:dyDescent="0.2">
      <c r="A438" s="214"/>
      <c r="B438" s="214"/>
      <c r="C438" s="214"/>
      <c r="D438" s="214"/>
      <c r="E438" s="214"/>
      <c r="F438" s="214"/>
      <c r="G438" s="214"/>
      <c r="H438" s="214"/>
      <c r="I438" s="214"/>
      <c r="J438" s="214"/>
      <c r="K438" s="214"/>
      <c r="L438" s="214"/>
      <c r="M438" s="215"/>
      <c r="N438" s="215"/>
      <c r="O438" s="216"/>
      <c r="P438" s="216"/>
      <c r="Q438" s="216"/>
      <c r="R438" s="216"/>
      <c r="S438" s="216"/>
      <c r="T438" s="216"/>
      <c r="U438" s="216"/>
    </row>
    <row r="439" spans="1:21" ht="12.75" x14ac:dyDescent="0.2">
      <c r="A439" s="214"/>
      <c r="B439" s="214"/>
      <c r="C439" s="214"/>
      <c r="D439" s="214"/>
      <c r="E439" s="214"/>
      <c r="F439" s="214"/>
      <c r="G439" s="214"/>
      <c r="H439" s="214"/>
      <c r="I439" s="214"/>
      <c r="J439" s="214"/>
      <c r="K439" s="214"/>
      <c r="L439" s="214"/>
      <c r="M439" s="215"/>
      <c r="N439" s="215"/>
      <c r="O439" s="216"/>
      <c r="P439" s="216"/>
      <c r="Q439" s="216"/>
      <c r="R439" s="216"/>
      <c r="S439" s="216"/>
      <c r="T439" s="216"/>
      <c r="U439" s="216"/>
    </row>
    <row r="440" spans="1:21" ht="12.75" x14ac:dyDescent="0.2">
      <c r="A440" s="214"/>
      <c r="B440" s="214"/>
      <c r="C440" s="214"/>
      <c r="D440" s="214"/>
      <c r="E440" s="214"/>
      <c r="F440" s="214"/>
      <c r="G440" s="214"/>
      <c r="H440" s="214"/>
      <c r="I440" s="214"/>
      <c r="J440" s="214"/>
      <c r="K440" s="214"/>
      <c r="L440" s="214"/>
      <c r="M440" s="215"/>
      <c r="N440" s="215"/>
      <c r="O440" s="216"/>
      <c r="P440" s="216"/>
      <c r="Q440" s="216"/>
      <c r="R440" s="216"/>
      <c r="S440" s="216"/>
      <c r="T440" s="216"/>
      <c r="U440" s="216"/>
    </row>
    <row r="441" spans="1:21" ht="12.75" x14ac:dyDescent="0.2">
      <c r="A441" s="214"/>
      <c r="B441" s="214"/>
      <c r="C441" s="214"/>
      <c r="D441" s="214"/>
      <c r="E441" s="214"/>
      <c r="F441" s="214"/>
      <c r="G441" s="214"/>
      <c r="H441" s="214"/>
      <c r="I441" s="214"/>
      <c r="J441" s="214"/>
      <c r="K441" s="214"/>
      <c r="L441" s="214"/>
      <c r="M441" s="215"/>
      <c r="N441" s="215"/>
      <c r="O441" s="216"/>
      <c r="P441" s="216"/>
      <c r="Q441" s="216"/>
      <c r="R441" s="216"/>
      <c r="S441" s="216"/>
      <c r="T441" s="216"/>
      <c r="U441" s="216"/>
    </row>
    <row r="442" spans="1:21" ht="12.75" x14ac:dyDescent="0.2">
      <c r="A442" s="214"/>
      <c r="B442" s="214"/>
      <c r="C442" s="214"/>
      <c r="D442" s="214"/>
      <c r="E442" s="214"/>
      <c r="F442" s="214"/>
      <c r="G442" s="214"/>
      <c r="H442" s="214"/>
      <c r="I442" s="214"/>
      <c r="J442" s="214"/>
      <c r="K442" s="214"/>
      <c r="L442" s="214"/>
      <c r="M442" s="215"/>
      <c r="N442" s="215"/>
      <c r="O442" s="216"/>
      <c r="P442" s="216"/>
      <c r="Q442" s="216"/>
      <c r="R442" s="216"/>
      <c r="S442" s="216"/>
      <c r="T442" s="216"/>
      <c r="U442" s="216"/>
    </row>
    <row r="443" spans="1:21" ht="12.75" x14ac:dyDescent="0.2">
      <c r="A443" s="214"/>
      <c r="B443" s="214"/>
      <c r="C443" s="214"/>
      <c r="D443" s="214"/>
      <c r="E443" s="214"/>
      <c r="F443" s="214"/>
      <c r="G443" s="214"/>
      <c r="H443" s="214"/>
      <c r="I443" s="214"/>
      <c r="J443" s="214"/>
      <c r="K443" s="214"/>
      <c r="L443" s="214"/>
      <c r="M443" s="215"/>
      <c r="N443" s="215"/>
      <c r="O443" s="216"/>
      <c r="P443" s="216"/>
      <c r="Q443" s="216"/>
      <c r="R443" s="216"/>
      <c r="S443" s="216"/>
      <c r="T443" s="216"/>
      <c r="U443" s="216"/>
    </row>
    <row r="444" spans="1:21" ht="12.75" x14ac:dyDescent="0.2">
      <c r="A444" s="214"/>
      <c r="B444" s="214"/>
      <c r="C444" s="214"/>
      <c r="D444" s="214"/>
      <c r="E444" s="214"/>
      <c r="F444" s="214"/>
      <c r="G444" s="214"/>
      <c r="H444" s="214"/>
      <c r="I444" s="214"/>
      <c r="J444" s="214"/>
      <c r="K444" s="214"/>
      <c r="L444" s="214"/>
      <c r="M444" s="215"/>
      <c r="N444" s="215"/>
      <c r="O444" s="216"/>
      <c r="P444" s="216"/>
      <c r="Q444" s="216"/>
      <c r="R444" s="216"/>
      <c r="S444" s="216"/>
      <c r="T444" s="216"/>
      <c r="U444" s="216"/>
    </row>
    <row r="445" spans="1:21" ht="12.75" x14ac:dyDescent="0.2">
      <c r="A445" s="214"/>
      <c r="B445" s="214"/>
      <c r="C445" s="214"/>
      <c r="D445" s="214"/>
      <c r="E445" s="214"/>
      <c r="F445" s="214"/>
      <c r="G445" s="214"/>
      <c r="H445" s="214"/>
      <c r="I445" s="214"/>
      <c r="J445" s="214"/>
      <c r="K445" s="214"/>
      <c r="L445" s="214"/>
      <c r="M445" s="215"/>
      <c r="N445" s="215"/>
      <c r="O445" s="216"/>
      <c r="P445" s="216"/>
      <c r="Q445" s="216"/>
      <c r="R445" s="216"/>
      <c r="S445" s="216"/>
      <c r="T445" s="216"/>
      <c r="U445" s="216"/>
    </row>
    <row r="446" spans="1:21" ht="12.75" x14ac:dyDescent="0.2">
      <c r="A446" s="214"/>
      <c r="B446" s="214"/>
      <c r="C446" s="214"/>
      <c r="D446" s="214"/>
      <c r="E446" s="214"/>
      <c r="F446" s="214"/>
      <c r="G446" s="214"/>
      <c r="H446" s="214"/>
      <c r="I446" s="214"/>
      <c r="J446" s="214"/>
      <c r="K446" s="214"/>
      <c r="L446" s="214"/>
      <c r="M446" s="215"/>
      <c r="N446" s="215"/>
      <c r="O446" s="216"/>
      <c r="P446" s="216"/>
      <c r="Q446" s="216"/>
      <c r="R446" s="216"/>
      <c r="S446" s="216"/>
      <c r="T446" s="216"/>
      <c r="U446" s="216"/>
    </row>
    <row r="447" spans="1:21" ht="12.75" x14ac:dyDescent="0.2">
      <c r="A447" s="214"/>
      <c r="B447" s="214"/>
      <c r="C447" s="214"/>
      <c r="D447" s="214"/>
      <c r="E447" s="214"/>
      <c r="F447" s="214"/>
      <c r="G447" s="214"/>
      <c r="H447" s="214"/>
      <c r="I447" s="214"/>
      <c r="J447" s="214"/>
      <c r="K447" s="214"/>
      <c r="L447" s="214"/>
      <c r="M447" s="215"/>
      <c r="N447" s="215"/>
      <c r="O447" s="216"/>
      <c r="P447" s="216"/>
      <c r="Q447" s="216"/>
      <c r="R447" s="216"/>
      <c r="S447" s="216"/>
      <c r="T447" s="216"/>
      <c r="U447" s="216"/>
    </row>
    <row r="448" spans="1:21" ht="12.75" x14ac:dyDescent="0.2">
      <c r="A448" s="214"/>
      <c r="B448" s="214"/>
      <c r="C448" s="214"/>
      <c r="D448" s="214"/>
      <c r="E448" s="214"/>
      <c r="F448" s="214"/>
      <c r="G448" s="214"/>
      <c r="H448" s="214"/>
      <c r="I448" s="214"/>
      <c r="J448" s="214"/>
      <c r="K448" s="214"/>
      <c r="L448" s="214"/>
      <c r="M448" s="215"/>
      <c r="N448" s="215"/>
      <c r="O448" s="216"/>
      <c r="P448" s="216"/>
      <c r="Q448" s="216"/>
      <c r="R448" s="216"/>
      <c r="S448" s="216"/>
      <c r="T448" s="216"/>
      <c r="U448" s="216"/>
    </row>
    <row r="449" spans="1:21" ht="12.75" x14ac:dyDescent="0.2">
      <c r="A449" s="214"/>
      <c r="B449" s="214"/>
      <c r="C449" s="214"/>
      <c r="D449" s="214"/>
      <c r="E449" s="214"/>
      <c r="F449" s="214"/>
      <c r="G449" s="214"/>
      <c r="H449" s="214"/>
      <c r="I449" s="214"/>
      <c r="J449" s="214"/>
      <c r="K449" s="214"/>
      <c r="L449" s="214"/>
      <c r="M449" s="215"/>
      <c r="N449" s="215"/>
      <c r="O449" s="216"/>
      <c r="P449" s="216"/>
      <c r="Q449" s="216"/>
      <c r="R449" s="216"/>
      <c r="S449" s="216"/>
      <c r="T449" s="216"/>
      <c r="U449" s="216"/>
    </row>
    <row r="450" spans="1:21" ht="12.75" x14ac:dyDescent="0.2">
      <c r="A450" s="214"/>
      <c r="B450" s="214"/>
      <c r="C450" s="214"/>
      <c r="D450" s="214"/>
      <c r="E450" s="214"/>
      <c r="F450" s="214"/>
      <c r="G450" s="214"/>
      <c r="H450" s="214"/>
      <c r="I450" s="214"/>
      <c r="J450" s="214"/>
      <c r="K450" s="214"/>
      <c r="L450" s="214"/>
      <c r="M450" s="215"/>
      <c r="N450" s="215"/>
      <c r="O450" s="216"/>
      <c r="P450" s="216"/>
      <c r="Q450" s="216"/>
      <c r="R450" s="216"/>
      <c r="S450" s="216"/>
      <c r="T450" s="216"/>
      <c r="U450" s="216"/>
    </row>
    <row r="451" spans="1:21" ht="12.75" x14ac:dyDescent="0.2">
      <c r="A451" s="214"/>
      <c r="B451" s="214"/>
      <c r="C451" s="214"/>
      <c r="D451" s="214"/>
      <c r="E451" s="214"/>
      <c r="F451" s="214"/>
      <c r="G451" s="214"/>
      <c r="H451" s="214"/>
      <c r="I451" s="214"/>
      <c r="J451" s="214"/>
      <c r="K451" s="214"/>
      <c r="L451" s="214"/>
      <c r="M451" s="215"/>
      <c r="N451" s="215"/>
      <c r="O451" s="216"/>
      <c r="P451" s="216"/>
      <c r="Q451" s="216"/>
      <c r="R451" s="216"/>
      <c r="S451" s="216"/>
      <c r="T451" s="216"/>
      <c r="U451" s="216"/>
    </row>
    <row r="452" spans="1:21" ht="12.75" x14ac:dyDescent="0.2">
      <c r="A452" s="214"/>
      <c r="B452" s="214"/>
      <c r="C452" s="214"/>
      <c r="D452" s="214"/>
      <c r="E452" s="214"/>
      <c r="F452" s="214"/>
      <c r="G452" s="214"/>
      <c r="H452" s="214"/>
      <c r="I452" s="214"/>
      <c r="J452" s="214"/>
      <c r="K452" s="214"/>
      <c r="L452" s="214"/>
      <c r="M452" s="215"/>
      <c r="N452" s="215"/>
      <c r="O452" s="216"/>
      <c r="P452" s="216"/>
      <c r="Q452" s="216"/>
      <c r="R452" s="216"/>
      <c r="S452" s="216"/>
      <c r="T452" s="216"/>
      <c r="U452" s="216"/>
    </row>
    <row r="453" spans="1:21" ht="12.75" x14ac:dyDescent="0.2">
      <c r="A453" s="214"/>
      <c r="B453" s="214"/>
      <c r="C453" s="214"/>
      <c r="D453" s="214"/>
      <c r="E453" s="214"/>
      <c r="F453" s="214"/>
      <c r="G453" s="214"/>
      <c r="H453" s="214"/>
      <c r="I453" s="214"/>
      <c r="J453" s="214"/>
      <c r="K453" s="214"/>
      <c r="L453" s="214"/>
      <c r="M453" s="215"/>
      <c r="N453" s="215"/>
      <c r="O453" s="216"/>
      <c r="P453" s="216"/>
      <c r="Q453" s="216"/>
      <c r="R453" s="216"/>
      <c r="S453" s="216"/>
      <c r="T453" s="216"/>
      <c r="U453" s="216"/>
    </row>
    <row r="454" spans="1:21" ht="12.75" x14ac:dyDescent="0.2">
      <c r="A454" s="214"/>
      <c r="B454" s="214"/>
      <c r="C454" s="214"/>
      <c r="D454" s="214"/>
      <c r="E454" s="214"/>
      <c r="F454" s="214"/>
      <c r="G454" s="214"/>
      <c r="H454" s="214"/>
      <c r="I454" s="214"/>
      <c r="J454" s="214"/>
      <c r="K454" s="214"/>
      <c r="L454" s="214"/>
      <c r="M454" s="215"/>
      <c r="N454" s="215"/>
      <c r="O454" s="216"/>
      <c r="P454" s="216"/>
      <c r="Q454" s="216"/>
      <c r="R454" s="216"/>
      <c r="S454" s="216"/>
      <c r="T454" s="216"/>
      <c r="U454" s="216"/>
    </row>
    <row r="455" spans="1:21" ht="12.75" x14ac:dyDescent="0.2">
      <c r="A455" s="214"/>
      <c r="B455" s="214"/>
      <c r="C455" s="214"/>
      <c r="D455" s="214"/>
      <c r="E455" s="214"/>
      <c r="F455" s="214"/>
      <c r="G455" s="214"/>
      <c r="H455" s="214"/>
      <c r="I455" s="214"/>
      <c r="J455" s="214"/>
      <c r="K455" s="214"/>
      <c r="L455" s="214"/>
      <c r="M455" s="215"/>
      <c r="N455" s="215"/>
      <c r="O455" s="216"/>
      <c r="P455" s="216"/>
      <c r="Q455" s="216"/>
      <c r="R455" s="216"/>
      <c r="S455" s="216"/>
      <c r="T455" s="216"/>
      <c r="U455" s="216"/>
    </row>
    <row r="456" spans="1:21" ht="12.75" x14ac:dyDescent="0.2">
      <c r="A456" s="214"/>
      <c r="B456" s="214"/>
      <c r="C456" s="214"/>
      <c r="D456" s="214"/>
      <c r="E456" s="214"/>
      <c r="F456" s="214"/>
      <c r="G456" s="214"/>
      <c r="H456" s="214"/>
      <c r="I456" s="214"/>
      <c r="J456" s="214"/>
      <c r="K456" s="214"/>
      <c r="L456" s="214"/>
      <c r="M456" s="215"/>
      <c r="N456" s="215"/>
      <c r="O456" s="216"/>
      <c r="P456" s="216"/>
      <c r="Q456" s="216"/>
      <c r="R456" s="216"/>
      <c r="S456" s="216"/>
      <c r="T456" s="216"/>
      <c r="U456" s="216"/>
    </row>
    <row r="457" spans="1:21" ht="12.75" x14ac:dyDescent="0.2">
      <c r="A457" s="214"/>
      <c r="B457" s="214"/>
      <c r="C457" s="214"/>
      <c r="D457" s="214"/>
      <c r="E457" s="214"/>
      <c r="F457" s="214"/>
      <c r="G457" s="214"/>
      <c r="H457" s="214"/>
      <c r="I457" s="214"/>
      <c r="J457" s="214"/>
      <c r="K457" s="214"/>
      <c r="L457" s="214"/>
      <c r="M457" s="215"/>
      <c r="N457" s="215"/>
      <c r="O457" s="216"/>
      <c r="P457" s="216"/>
      <c r="Q457" s="216"/>
      <c r="R457" s="216"/>
      <c r="S457" s="216"/>
      <c r="T457" s="216"/>
      <c r="U457" s="216"/>
    </row>
    <row r="458" spans="1:21" ht="12.75" x14ac:dyDescent="0.2">
      <c r="A458" s="214"/>
      <c r="B458" s="214"/>
      <c r="C458" s="214"/>
      <c r="D458" s="214"/>
      <c r="E458" s="214"/>
      <c r="F458" s="214"/>
      <c r="G458" s="214"/>
      <c r="H458" s="214"/>
      <c r="I458" s="214"/>
      <c r="J458" s="214"/>
      <c r="K458" s="214"/>
      <c r="L458" s="214"/>
      <c r="M458" s="215"/>
      <c r="N458" s="215"/>
      <c r="O458" s="216"/>
      <c r="P458" s="216"/>
      <c r="Q458" s="216"/>
      <c r="R458" s="216"/>
      <c r="S458" s="216"/>
      <c r="T458" s="216"/>
      <c r="U458" s="216"/>
    </row>
    <row r="459" spans="1:21" ht="12.75" x14ac:dyDescent="0.2">
      <c r="A459" s="214"/>
      <c r="B459" s="214"/>
      <c r="C459" s="214"/>
      <c r="D459" s="214"/>
      <c r="E459" s="214"/>
      <c r="F459" s="214"/>
      <c r="G459" s="214"/>
      <c r="H459" s="214"/>
      <c r="I459" s="214"/>
      <c r="J459" s="214"/>
      <c r="K459" s="214"/>
      <c r="L459" s="214"/>
      <c r="M459" s="215"/>
      <c r="N459" s="215"/>
      <c r="O459" s="216"/>
      <c r="P459" s="216"/>
      <c r="Q459" s="216"/>
      <c r="R459" s="216"/>
      <c r="S459" s="216"/>
      <c r="T459" s="216"/>
      <c r="U459" s="216"/>
    </row>
    <row r="460" spans="1:21" ht="12.75" x14ac:dyDescent="0.2">
      <c r="A460" s="214"/>
      <c r="B460" s="214"/>
      <c r="C460" s="214"/>
      <c r="D460" s="214"/>
      <c r="E460" s="214"/>
      <c r="F460" s="214"/>
      <c r="G460" s="214"/>
      <c r="H460" s="214"/>
      <c r="I460" s="214"/>
      <c r="J460" s="214"/>
      <c r="K460" s="214"/>
      <c r="L460" s="214"/>
      <c r="M460" s="215"/>
      <c r="N460" s="215"/>
      <c r="O460" s="216"/>
      <c r="P460" s="216"/>
      <c r="Q460" s="216"/>
      <c r="R460" s="216"/>
      <c r="S460" s="216"/>
      <c r="T460" s="216"/>
      <c r="U460" s="216"/>
    </row>
    <row r="461" spans="1:21" ht="12.75" x14ac:dyDescent="0.2">
      <c r="A461" s="214"/>
      <c r="B461" s="214"/>
      <c r="C461" s="214"/>
      <c r="D461" s="214"/>
      <c r="E461" s="214"/>
      <c r="F461" s="214"/>
      <c r="G461" s="214"/>
      <c r="H461" s="214"/>
      <c r="I461" s="214"/>
      <c r="J461" s="214"/>
      <c r="K461" s="214"/>
      <c r="L461" s="214"/>
      <c r="M461" s="215"/>
      <c r="N461" s="215"/>
      <c r="O461" s="216"/>
      <c r="P461" s="216"/>
      <c r="Q461" s="216"/>
      <c r="R461" s="216"/>
      <c r="S461" s="216"/>
      <c r="T461" s="216"/>
      <c r="U461" s="216"/>
    </row>
    <row r="462" spans="1:21" ht="12.75" x14ac:dyDescent="0.2">
      <c r="A462" s="214"/>
      <c r="B462" s="214"/>
      <c r="C462" s="214"/>
      <c r="D462" s="214"/>
      <c r="E462" s="214"/>
      <c r="F462" s="214"/>
      <c r="G462" s="214"/>
      <c r="H462" s="214"/>
      <c r="I462" s="214"/>
      <c r="J462" s="214"/>
      <c r="K462" s="214"/>
      <c r="L462" s="214"/>
      <c r="M462" s="215"/>
      <c r="N462" s="215"/>
      <c r="O462" s="216"/>
      <c r="P462" s="216"/>
      <c r="Q462" s="216"/>
      <c r="R462" s="216"/>
      <c r="S462" s="216"/>
      <c r="T462" s="216"/>
      <c r="U462" s="216"/>
    </row>
    <row r="463" spans="1:21" ht="12.75" x14ac:dyDescent="0.2">
      <c r="A463" s="214"/>
      <c r="B463" s="214"/>
      <c r="C463" s="214"/>
      <c r="D463" s="214"/>
      <c r="E463" s="214"/>
      <c r="F463" s="214"/>
      <c r="G463" s="214"/>
      <c r="H463" s="214"/>
      <c r="I463" s="214"/>
      <c r="J463" s="214"/>
      <c r="K463" s="214"/>
      <c r="L463" s="214"/>
      <c r="M463" s="215"/>
      <c r="N463" s="215"/>
      <c r="O463" s="216"/>
      <c r="P463" s="216"/>
      <c r="Q463" s="216"/>
      <c r="R463" s="216"/>
      <c r="S463" s="216"/>
      <c r="T463" s="216"/>
      <c r="U463" s="216"/>
    </row>
    <row r="464" spans="1:21" ht="12.75" x14ac:dyDescent="0.2">
      <c r="A464" s="214"/>
      <c r="B464" s="214"/>
      <c r="C464" s="214"/>
      <c r="D464" s="214"/>
      <c r="E464" s="214"/>
      <c r="F464" s="214"/>
      <c r="G464" s="214"/>
      <c r="H464" s="214"/>
      <c r="I464" s="214"/>
      <c r="J464" s="214"/>
      <c r="K464" s="214"/>
      <c r="L464" s="214"/>
      <c r="M464" s="215"/>
      <c r="N464" s="215"/>
      <c r="O464" s="216"/>
      <c r="P464" s="216"/>
      <c r="Q464" s="216"/>
      <c r="R464" s="216"/>
      <c r="S464" s="216"/>
      <c r="T464" s="216"/>
      <c r="U464" s="216"/>
    </row>
    <row r="465" spans="1:21" ht="12.75" x14ac:dyDescent="0.2">
      <c r="A465" s="214"/>
      <c r="B465" s="214"/>
      <c r="C465" s="214"/>
      <c r="D465" s="214"/>
      <c r="E465" s="214"/>
      <c r="F465" s="214"/>
      <c r="G465" s="214"/>
      <c r="H465" s="214"/>
      <c r="I465" s="214"/>
      <c r="J465" s="214"/>
      <c r="K465" s="214"/>
      <c r="L465" s="214"/>
      <c r="M465" s="215"/>
      <c r="N465" s="215"/>
      <c r="O465" s="216"/>
      <c r="P465" s="216"/>
      <c r="Q465" s="216"/>
      <c r="R465" s="216"/>
      <c r="S465" s="216"/>
      <c r="T465" s="216"/>
      <c r="U465" s="216"/>
    </row>
    <row r="466" spans="1:21" ht="12.75" x14ac:dyDescent="0.2">
      <c r="A466" s="214"/>
      <c r="B466" s="214"/>
      <c r="C466" s="214"/>
      <c r="D466" s="214"/>
      <c r="E466" s="214"/>
      <c r="F466" s="214"/>
      <c r="G466" s="214"/>
      <c r="H466" s="214"/>
      <c r="I466" s="214"/>
      <c r="J466" s="214"/>
      <c r="K466" s="214"/>
      <c r="L466" s="214"/>
      <c r="M466" s="215"/>
      <c r="N466" s="215"/>
      <c r="O466" s="216"/>
      <c r="P466" s="216"/>
      <c r="Q466" s="216"/>
      <c r="R466" s="216"/>
      <c r="S466" s="216"/>
      <c r="T466" s="216"/>
      <c r="U466" s="216"/>
    </row>
    <row r="467" spans="1:21" ht="12.75" x14ac:dyDescent="0.2">
      <c r="A467" s="214"/>
      <c r="B467" s="214"/>
      <c r="C467" s="214"/>
      <c r="D467" s="214"/>
      <c r="E467" s="214"/>
      <c r="F467" s="214"/>
      <c r="G467" s="214"/>
      <c r="H467" s="214"/>
      <c r="I467" s="214"/>
      <c r="J467" s="214"/>
      <c r="K467" s="214"/>
      <c r="L467" s="214"/>
      <c r="M467" s="215"/>
      <c r="N467" s="215"/>
      <c r="O467" s="216"/>
      <c r="P467" s="216"/>
      <c r="Q467" s="216"/>
      <c r="R467" s="216"/>
      <c r="S467" s="216"/>
      <c r="T467" s="216"/>
      <c r="U467" s="216"/>
    </row>
    <row r="468" spans="1:21" ht="12.75" x14ac:dyDescent="0.2">
      <c r="A468" s="214"/>
      <c r="B468" s="214"/>
      <c r="C468" s="214"/>
      <c r="D468" s="214"/>
      <c r="E468" s="214"/>
      <c r="F468" s="214"/>
      <c r="G468" s="214"/>
      <c r="H468" s="214"/>
      <c r="I468" s="214"/>
      <c r="J468" s="214"/>
      <c r="K468" s="214"/>
      <c r="L468" s="214"/>
      <c r="M468" s="215"/>
      <c r="N468" s="215"/>
      <c r="O468" s="216"/>
      <c r="P468" s="216"/>
      <c r="Q468" s="216"/>
      <c r="R468" s="216"/>
      <c r="S468" s="216"/>
      <c r="T468" s="216"/>
      <c r="U468" s="216"/>
    </row>
    <row r="469" spans="1:21" ht="12.75" x14ac:dyDescent="0.2">
      <c r="A469" s="214"/>
      <c r="B469" s="214"/>
      <c r="C469" s="214"/>
      <c r="D469" s="214"/>
      <c r="E469" s="214"/>
      <c r="F469" s="214"/>
      <c r="G469" s="214"/>
      <c r="H469" s="214"/>
      <c r="I469" s="214"/>
      <c r="J469" s="214"/>
      <c r="K469" s="214"/>
      <c r="L469" s="214"/>
      <c r="M469" s="215"/>
      <c r="N469" s="215"/>
      <c r="O469" s="216"/>
      <c r="P469" s="216"/>
      <c r="Q469" s="216"/>
      <c r="R469" s="216"/>
      <c r="S469" s="216"/>
      <c r="T469" s="216"/>
      <c r="U469" s="216"/>
    </row>
    <row r="470" spans="1:21" ht="12.75" x14ac:dyDescent="0.2">
      <c r="A470" s="214"/>
      <c r="B470" s="214"/>
      <c r="C470" s="214"/>
      <c r="D470" s="214"/>
      <c r="E470" s="214"/>
      <c r="F470" s="214"/>
      <c r="G470" s="214"/>
      <c r="H470" s="214"/>
      <c r="I470" s="214"/>
      <c r="J470" s="214"/>
      <c r="K470" s="214"/>
      <c r="L470" s="214"/>
      <c r="M470" s="215"/>
      <c r="N470" s="215"/>
      <c r="O470" s="216"/>
      <c r="P470" s="216"/>
      <c r="Q470" s="216"/>
      <c r="R470" s="216"/>
      <c r="S470" s="216"/>
      <c r="T470" s="216"/>
      <c r="U470" s="216"/>
    </row>
    <row r="471" spans="1:21" ht="12.75" x14ac:dyDescent="0.2">
      <c r="A471" s="214"/>
      <c r="B471" s="214"/>
      <c r="C471" s="214"/>
      <c r="D471" s="214"/>
      <c r="E471" s="214"/>
      <c r="F471" s="214"/>
      <c r="G471" s="214"/>
      <c r="H471" s="214"/>
      <c r="I471" s="214"/>
      <c r="J471" s="214"/>
      <c r="K471" s="214"/>
      <c r="L471" s="214"/>
      <c r="M471" s="215"/>
      <c r="N471" s="215"/>
      <c r="O471" s="216"/>
      <c r="P471" s="216"/>
      <c r="Q471" s="216"/>
      <c r="R471" s="216"/>
      <c r="S471" s="216"/>
      <c r="T471" s="216"/>
      <c r="U471" s="216"/>
    </row>
    <row r="472" spans="1:21" ht="12.75" x14ac:dyDescent="0.2">
      <c r="A472" s="214"/>
      <c r="B472" s="214"/>
      <c r="C472" s="214"/>
      <c r="D472" s="214"/>
      <c r="E472" s="214"/>
      <c r="F472" s="214"/>
      <c r="G472" s="214"/>
      <c r="H472" s="214"/>
      <c r="I472" s="214"/>
      <c r="J472" s="214"/>
      <c r="K472" s="214"/>
      <c r="L472" s="214"/>
      <c r="M472" s="215"/>
      <c r="N472" s="215"/>
      <c r="O472" s="216"/>
      <c r="P472" s="216"/>
      <c r="Q472" s="216"/>
      <c r="R472" s="216"/>
      <c r="S472" s="216"/>
      <c r="T472" s="216"/>
      <c r="U472" s="216"/>
    </row>
    <row r="473" spans="1:21" ht="12.75" x14ac:dyDescent="0.2">
      <c r="A473" s="214"/>
      <c r="B473" s="214"/>
      <c r="C473" s="214"/>
      <c r="D473" s="214"/>
      <c r="E473" s="214"/>
      <c r="F473" s="214"/>
      <c r="G473" s="214"/>
      <c r="H473" s="214"/>
      <c r="I473" s="214"/>
      <c r="J473" s="214"/>
      <c r="K473" s="214"/>
      <c r="L473" s="214"/>
      <c r="M473" s="215"/>
      <c r="N473" s="215"/>
      <c r="O473" s="216"/>
      <c r="P473" s="216"/>
      <c r="Q473" s="216"/>
      <c r="R473" s="216"/>
      <c r="S473" s="216"/>
      <c r="T473" s="216"/>
      <c r="U473" s="216"/>
    </row>
    <row r="474" spans="1:21" ht="12.75" x14ac:dyDescent="0.2">
      <c r="A474" s="214"/>
      <c r="B474" s="214"/>
      <c r="C474" s="214"/>
      <c r="D474" s="214"/>
      <c r="E474" s="214"/>
      <c r="F474" s="214"/>
      <c r="G474" s="214"/>
      <c r="H474" s="214"/>
      <c r="I474" s="214"/>
      <c r="J474" s="214"/>
      <c r="K474" s="214"/>
      <c r="L474" s="214"/>
      <c r="M474" s="215"/>
      <c r="N474" s="215"/>
      <c r="O474" s="216"/>
      <c r="P474" s="216"/>
      <c r="Q474" s="216"/>
      <c r="R474" s="216"/>
      <c r="S474" s="216"/>
      <c r="T474" s="216"/>
      <c r="U474" s="216"/>
    </row>
    <row r="475" spans="1:21" ht="12.75" x14ac:dyDescent="0.2">
      <c r="A475" s="214"/>
      <c r="B475" s="214"/>
      <c r="C475" s="214"/>
      <c r="D475" s="214"/>
      <c r="E475" s="214"/>
      <c r="F475" s="214"/>
      <c r="G475" s="214"/>
      <c r="H475" s="214"/>
      <c r="I475" s="214"/>
      <c r="J475" s="214"/>
      <c r="K475" s="214"/>
      <c r="L475" s="214"/>
      <c r="M475" s="215"/>
      <c r="N475" s="215"/>
      <c r="O475" s="216"/>
      <c r="P475" s="216"/>
      <c r="Q475" s="216"/>
      <c r="R475" s="216"/>
      <c r="S475" s="216"/>
      <c r="T475" s="216"/>
      <c r="U475" s="216"/>
    </row>
    <row r="476" spans="1:21" ht="12.75" x14ac:dyDescent="0.2">
      <c r="A476" s="214"/>
      <c r="B476" s="214"/>
      <c r="C476" s="214"/>
      <c r="D476" s="214"/>
      <c r="E476" s="214"/>
      <c r="F476" s="214"/>
      <c r="G476" s="214"/>
      <c r="H476" s="214"/>
      <c r="I476" s="214"/>
      <c r="J476" s="214"/>
      <c r="K476" s="214"/>
      <c r="L476" s="214"/>
      <c r="M476" s="215"/>
      <c r="N476" s="215"/>
      <c r="O476" s="216"/>
      <c r="P476" s="216"/>
      <c r="Q476" s="216"/>
      <c r="R476" s="216"/>
      <c r="S476" s="216"/>
      <c r="T476" s="216"/>
      <c r="U476" s="216"/>
    </row>
    <row r="477" spans="1:21" ht="12.75" x14ac:dyDescent="0.2">
      <c r="A477" s="214"/>
      <c r="B477" s="214"/>
      <c r="C477" s="214"/>
      <c r="D477" s="214"/>
      <c r="E477" s="214"/>
      <c r="F477" s="214"/>
      <c r="G477" s="214"/>
      <c r="H477" s="214"/>
      <c r="I477" s="214"/>
      <c r="J477" s="214"/>
      <c r="K477" s="214"/>
      <c r="L477" s="214"/>
      <c r="M477" s="215"/>
      <c r="N477" s="215"/>
      <c r="O477" s="216"/>
      <c r="P477" s="216"/>
      <c r="Q477" s="216"/>
      <c r="R477" s="216"/>
      <c r="S477" s="216"/>
      <c r="T477" s="216"/>
      <c r="U477" s="216"/>
    </row>
    <row r="478" spans="1:21" ht="12.75" x14ac:dyDescent="0.2">
      <c r="A478" s="214"/>
      <c r="B478" s="214"/>
      <c r="C478" s="214"/>
      <c r="D478" s="214"/>
      <c r="E478" s="214"/>
      <c r="F478" s="214"/>
      <c r="G478" s="214"/>
      <c r="H478" s="214"/>
      <c r="I478" s="214"/>
      <c r="J478" s="214"/>
      <c r="K478" s="214"/>
      <c r="L478" s="214"/>
      <c r="M478" s="215"/>
      <c r="N478" s="215"/>
      <c r="O478" s="216"/>
      <c r="P478" s="216"/>
      <c r="Q478" s="216"/>
      <c r="R478" s="216"/>
      <c r="S478" s="216"/>
      <c r="T478" s="216"/>
      <c r="U478" s="216"/>
    </row>
    <row r="479" spans="1:21" ht="12.75" x14ac:dyDescent="0.2">
      <c r="A479" s="214"/>
      <c r="B479" s="214"/>
      <c r="C479" s="214"/>
      <c r="D479" s="214"/>
      <c r="E479" s="214"/>
      <c r="F479" s="214"/>
      <c r="G479" s="214"/>
      <c r="H479" s="214"/>
      <c r="I479" s="214"/>
      <c r="J479" s="214"/>
      <c r="K479" s="214"/>
      <c r="L479" s="214"/>
      <c r="M479" s="215"/>
      <c r="N479" s="215"/>
      <c r="O479" s="216"/>
      <c r="P479" s="216"/>
      <c r="Q479" s="216"/>
      <c r="R479" s="216"/>
      <c r="S479" s="216"/>
      <c r="T479" s="216"/>
      <c r="U479" s="216"/>
    </row>
    <row r="480" spans="1:21" ht="12.75" x14ac:dyDescent="0.2">
      <c r="A480" s="214"/>
      <c r="B480" s="214"/>
      <c r="C480" s="214"/>
      <c r="D480" s="214"/>
      <c r="E480" s="214"/>
      <c r="F480" s="214"/>
      <c r="G480" s="214"/>
      <c r="H480" s="214"/>
      <c r="I480" s="214"/>
      <c r="J480" s="214"/>
      <c r="K480" s="214"/>
      <c r="L480" s="214"/>
      <c r="M480" s="215"/>
      <c r="N480" s="215"/>
      <c r="O480" s="216"/>
      <c r="P480" s="216"/>
      <c r="Q480" s="216"/>
      <c r="R480" s="216"/>
      <c r="S480" s="216"/>
      <c r="T480" s="216"/>
      <c r="U480" s="216"/>
    </row>
    <row r="481" spans="1:21" ht="12.75" x14ac:dyDescent="0.2">
      <c r="A481" s="214"/>
      <c r="B481" s="214"/>
      <c r="C481" s="214"/>
      <c r="D481" s="214"/>
      <c r="E481" s="214"/>
      <c r="F481" s="214"/>
      <c r="G481" s="214"/>
      <c r="H481" s="214"/>
      <c r="I481" s="214"/>
      <c r="J481" s="214"/>
      <c r="K481" s="214"/>
      <c r="L481" s="214"/>
      <c r="M481" s="215"/>
      <c r="N481" s="215"/>
      <c r="O481" s="216"/>
      <c r="P481" s="216"/>
      <c r="Q481" s="216"/>
      <c r="R481" s="216"/>
      <c r="S481" s="216"/>
      <c r="T481" s="216"/>
      <c r="U481" s="216"/>
    </row>
    <row r="482" spans="1:21" ht="12.75" x14ac:dyDescent="0.2">
      <c r="A482" s="214"/>
      <c r="B482" s="214"/>
      <c r="C482" s="214"/>
      <c r="D482" s="214"/>
      <c r="E482" s="214"/>
      <c r="F482" s="214"/>
      <c r="G482" s="214"/>
      <c r="H482" s="214"/>
      <c r="I482" s="214"/>
      <c r="J482" s="214"/>
      <c r="K482" s="214"/>
      <c r="L482" s="214"/>
      <c r="M482" s="215"/>
      <c r="N482" s="215"/>
      <c r="O482" s="216"/>
      <c r="P482" s="216"/>
      <c r="Q482" s="216"/>
      <c r="R482" s="216"/>
      <c r="S482" s="216"/>
      <c r="T482" s="216"/>
      <c r="U482" s="216"/>
    </row>
    <row r="483" spans="1:21" ht="12.75" x14ac:dyDescent="0.2">
      <c r="A483" s="214"/>
      <c r="B483" s="214"/>
      <c r="C483" s="214"/>
      <c r="D483" s="214"/>
      <c r="E483" s="214"/>
      <c r="F483" s="214"/>
      <c r="G483" s="214"/>
      <c r="H483" s="214"/>
      <c r="I483" s="214"/>
      <c r="J483" s="214"/>
      <c r="K483" s="214"/>
      <c r="L483" s="214"/>
      <c r="M483" s="215"/>
      <c r="N483" s="215"/>
      <c r="O483" s="216"/>
      <c r="P483" s="216"/>
      <c r="Q483" s="216"/>
      <c r="R483" s="216"/>
      <c r="S483" s="216"/>
      <c r="T483" s="216"/>
      <c r="U483" s="216"/>
    </row>
    <row r="484" spans="1:21" ht="12.75" x14ac:dyDescent="0.2">
      <c r="A484" s="214"/>
      <c r="B484" s="214"/>
      <c r="C484" s="214"/>
      <c r="D484" s="214"/>
      <c r="E484" s="214"/>
      <c r="F484" s="214"/>
      <c r="G484" s="214"/>
      <c r="H484" s="214"/>
      <c r="I484" s="214"/>
      <c r="J484" s="214"/>
      <c r="K484" s="214"/>
      <c r="L484" s="214"/>
      <c r="M484" s="215"/>
      <c r="N484" s="215"/>
      <c r="O484" s="216"/>
      <c r="P484" s="216"/>
      <c r="Q484" s="216"/>
      <c r="R484" s="216"/>
      <c r="S484" s="216"/>
      <c r="T484" s="216"/>
      <c r="U484" s="216"/>
    </row>
    <row r="485" spans="1:21" ht="12.75" x14ac:dyDescent="0.2">
      <c r="A485" s="214"/>
      <c r="B485" s="214"/>
      <c r="C485" s="214"/>
      <c r="D485" s="214"/>
      <c r="E485" s="214"/>
      <c r="F485" s="214"/>
      <c r="G485" s="214"/>
      <c r="H485" s="214"/>
      <c r="I485" s="214"/>
      <c r="J485" s="214"/>
      <c r="K485" s="214"/>
      <c r="L485" s="214"/>
      <c r="M485" s="215"/>
      <c r="N485" s="215"/>
      <c r="O485" s="216"/>
      <c r="P485" s="216"/>
      <c r="Q485" s="216"/>
      <c r="R485" s="216"/>
      <c r="S485" s="216"/>
      <c r="T485" s="216"/>
      <c r="U485" s="216"/>
    </row>
    <row r="486" spans="1:21" ht="12.75" x14ac:dyDescent="0.2">
      <c r="A486" s="214"/>
      <c r="B486" s="214"/>
      <c r="C486" s="214"/>
      <c r="D486" s="214"/>
      <c r="E486" s="214"/>
      <c r="F486" s="214"/>
      <c r="G486" s="214"/>
      <c r="H486" s="214"/>
      <c r="I486" s="214"/>
      <c r="J486" s="214"/>
      <c r="K486" s="214"/>
      <c r="L486" s="214"/>
      <c r="M486" s="215"/>
      <c r="N486" s="215"/>
      <c r="O486" s="216"/>
      <c r="P486" s="216"/>
      <c r="Q486" s="216"/>
      <c r="R486" s="216"/>
      <c r="S486" s="216"/>
      <c r="T486" s="216"/>
      <c r="U486" s="216"/>
    </row>
    <row r="487" spans="1:21" ht="12.75" x14ac:dyDescent="0.2">
      <c r="A487" s="214"/>
      <c r="B487" s="214"/>
      <c r="C487" s="214"/>
      <c r="D487" s="214"/>
      <c r="E487" s="214"/>
      <c r="F487" s="214"/>
      <c r="G487" s="214"/>
      <c r="H487" s="214"/>
      <c r="I487" s="214"/>
      <c r="J487" s="214"/>
      <c r="K487" s="214"/>
      <c r="L487" s="214"/>
      <c r="M487" s="215"/>
      <c r="N487" s="215"/>
      <c r="O487" s="216"/>
      <c r="P487" s="216"/>
      <c r="Q487" s="216"/>
      <c r="R487" s="216"/>
      <c r="S487" s="216"/>
      <c r="T487" s="216"/>
      <c r="U487" s="216"/>
    </row>
    <row r="488" spans="1:21" ht="12.75" x14ac:dyDescent="0.2">
      <c r="A488" s="214"/>
      <c r="B488" s="214"/>
      <c r="C488" s="214"/>
      <c r="D488" s="214"/>
      <c r="E488" s="214"/>
      <c r="F488" s="214"/>
      <c r="G488" s="214"/>
      <c r="H488" s="214"/>
      <c r="I488" s="214"/>
      <c r="J488" s="214"/>
      <c r="K488" s="214"/>
      <c r="L488" s="214"/>
      <c r="M488" s="215"/>
      <c r="N488" s="215"/>
      <c r="O488" s="216"/>
      <c r="P488" s="216"/>
      <c r="Q488" s="216"/>
      <c r="R488" s="216"/>
      <c r="S488" s="216"/>
      <c r="T488" s="216"/>
      <c r="U488" s="216"/>
    </row>
    <row r="489" spans="1:21" ht="12.75" x14ac:dyDescent="0.2">
      <c r="A489" s="214"/>
      <c r="B489" s="214"/>
      <c r="C489" s="214"/>
      <c r="D489" s="214"/>
      <c r="E489" s="214"/>
      <c r="F489" s="214"/>
      <c r="G489" s="214"/>
      <c r="H489" s="214"/>
      <c r="I489" s="214"/>
      <c r="J489" s="214"/>
      <c r="K489" s="214"/>
      <c r="L489" s="214"/>
      <c r="M489" s="215"/>
      <c r="N489" s="215"/>
      <c r="O489" s="216"/>
      <c r="P489" s="216"/>
      <c r="Q489" s="216"/>
      <c r="R489" s="216"/>
      <c r="S489" s="216"/>
      <c r="T489" s="216"/>
      <c r="U489" s="216"/>
    </row>
    <row r="490" spans="1:21" ht="12.75" x14ac:dyDescent="0.2">
      <c r="A490" s="214"/>
      <c r="B490" s="214"/>
      <c r="C490" s="214"/>
      <c r="D490" s="214"/>
      <c r="E490" s="214"/>
      <c r="F490" s="214"/>
      <c r="G490" s="214"/>
      <c r="H490" s="214"/>
      <c r="I490" s="214"/>
      <c r="J490" s="214"/>
      <c r="K490" s="214"/>
      <c r="L490" s="214"/>
      <c r="M490" s="215"/>
      <c r="N490" s="215"/>
      <c r="O490" s="216"/>
      <c r="P490" s="216"/>
      <c r="Q490" s="216"/>
      <c r="R490" s="216"/>
      <c r="S490" s="216"/>
      <c r="T490" s="216"/>
      <c r="U490" s="216"/>
    </row>
    <row r="491" spans="1:21" ht="12.75" x14ac:dyDescent="0.2">
      <c r="A491" s="214"/>
      <c r="B491" s="214"/>
      <c r="C491" s="214"/>
      <c r="D491" s="214"/>
      <c r="E491" s="214"/>
      <c r="F491" s="214"/>
      <c r="G491" s="214"/>
      <c r="H491" s="214"/>
      <c r="I491" s="214"/>
      <c r="J491" s="214"/>
      <c r="K491" s="214"/>
      <c r="L491" s="214"/>
      <c r="M491" s="215"/>
      <c r="N491" s="215"/>
      <c r="O491" s="216"/>
      <c r="P491" s="216"/>
      <c r="Q491" s="216"/>
      <c r="R491" s="216"/>
      <c r="S491" s="216"/>
      <c r="T491" s="216"/>
      <c r="U491" s="216"/>
    </row>
    <row r="492" spans="1:21" ht="12.75" x14ac:dyDescent="0.2">
      <c r="A492" s="214"/>
      <c r="B492" s="214"/>
      <c r="C492" s="214"/>
      <c r="D492" s="214"/>
      <c r="E492" s="214"/>
      <c r="F492" s="214"/>
      <c r="G492" s="214"/>
      <c r="H492" s="214"/>
      <c r="I492" s="214"/>
      <c r="J492" s="214"/>
      <c r="K492" s="214"/>
      <c r="L492" s="214"/>
      <c r="M492" s="215"/>
      <c r="N492" s="215"/>
      <c r="O492" s="216"/>
      <c r="P492" s="216"/>
      <c r="Q492" s="216"/>
      <c r="R492" s="216"/>
      <c r="S492" s="216"/>
      <c r="T492" s="216"/>
      <c r="U492" s="216"/>
    </row>
    <row r="493" spans="1:21" ht="12.75" x14ac:dyDescent="0.2">
      <c r="A493" s="214"/>
      <c r="B493" s="214"/>
      <c r="C493" s="214"/>
      <c r="D493" s="214"/>
      <c r="E493" s="214"/>
      <c r="F493" s="214"/>
      <c r="G493" s="214"/>
      <c r="H493" s="214"/>
      <c r="I493" s="214"/>
      <c r="J493" s="214"/>
      <c r="K493" s="214"/>
      <c r="L493" s="214"/>
      <c r="M493" s="215"/>
      <c r="N493" s="215"/>
      <c r="O493" s="216"/>
      <c r="P493" s="216"/>
      <c r="Q493" s="216"/>
      <c r="R493" s="216"/>
      <c r="S493" s="216"/>
      <c r="T493" s="216"/>
      <c r="U493" s="216"/>
    </row>
    <row r="494" spans="1:21" ht="12.75" x14ac:dyDescent="0.2">
      <c r="A494" s="214"/>
      <c r="B494" s="214"/>
      <c r="C494" s="214"/>
      <c r="D494" s="214"/>
      <c r="E494" s="214"/>
      <c r="F494" s="214"/>
      <c r="G494" s="214"/>
      <c r="H494" s="214"/>
      <c r="I494" s="214"/>
      <c r="J494" s="214"/>
      <c r="K494" s="214"/>
      <c r="L494" s="214"/>
      <c r="M494" s="215"/>
      <c r="N494" s="215"/>
      <c r="O494" s="216"/>
      <c r="P494" s="216"/>
      <c r="Q494" s="216"/>
      <c r="R494" s="216"/>
      <c r="S494" s="216"/>
      <c r="T494" s="216"/>
      <c r="U494" s="216"/>
    </row>
    <row r="495" spans="1:21" ht="12.75" x14ac:dyDescent="0.2">
      <c r="A495" s="214"/>
      <c r="B495" s="214"/>
      <c r="C495" s="214"/>
      <c r="D495" s="214"/>
      <c r="E495" s="214"/>
      <c r="F495" s="214"/>
      <c r="G495" s="214"/>
      <c r="H495" s="214"/>
      <c r="I495" s="214"/>
      <c r="J495" s="214"/>
      <c r="K495" s="214"/>
      <c r="L495" s="214"/>
      <c r="M495" s="215"/>
      <c r="N495" s="215"/>
      <c r="O495" s="216"/>
      <c r="P495" s="216"/>
      <c r="Q495" s="216"/>
      <c r="R495" s="216"/>
      <c r="S495" s="216"/>
      <c r="T495" s="216"/>
      <c r="U495" s="216"/>
    </row>
    <row r="496" spans="1:21" ht="12.75" x14ac:dyDescent="0.2">
      <c r="A496" s="214"/>
      <c r="B496" s="214"/>
      <c r="C496" s="214"/>
      <c r="D496" s="214"/>
      <c r="E496" s="214"/>
      <c r="F496" s="214"/>
      <c r="G496" s="214"/>
      <c r="H496" s="214"/>
      <c r="I496" s="214"/>
      <c r="J496" s="214"/>
      <c r="K496" s="214"/>
      <c r="L496" s="214"/>
      <c r="M496" s="215"/>
      <c r="N496" s="215"/>
      <c r="O496" s="216"/>
      <c r="P496" s="216"/>
      <c r="Q496" s="216"/>
      <c r="R496" s="216"/>
      <c r="S496" s="216"/>
      <c r="T496" s="216"/>
      <c r="U496" s="216"/>
    </row>
    <row r="497" spans="1:21" ht="12.75" x14ac:dyDescent="0.2">
      <c r="A497" s="214"/>
      <c r="B497" s="214"/>
      <c r="C497" s="214"/>
      <c r="D497" s="214"/>
      <c r="E497" s="214"/>
      <c r="F497" s="214"/>
      <c r="G497" s="214"/>
      <c r="H497" s="214"/>
      <c r="I497" s="214"/>
      <c r="J497" s="214"/>
      <c r="K497" s="214"/>
      <c r="L497" s="214"/>
      <c r="M497" s="215"/>
      <c r="N497" s="215"/>
      <c r="O497" s="216"/>
      <c r="P497" s="216"/>
      <c r="Q497" s="216"/>
      <c r="R497" s="216"/>
      <c r="S497" s="216"/>
      <c r="T497" s="216"/>
      <c r="U497" s="216"/>
    </row>
    <row r="498" spans="1:21" ht="12.75" x14ac:dyDescent="0.2">
      <c r="A498" s="214"/>
      <c r="B498" s="214"/>
      <c r="C498" s="214"/>
      <c r="D498" s="214"/>
      <c r="E498" s="214"/>
      <c r="F498" s="214"/>
      <c r="G498" s="214"/>
      <c r="H498" s="214"/>
      <c r="I498" s="214"/>
      <c r="J498" s="214"/>
      <c r="K498" s="214"/>
      <c r="L498" s="214"/>
      <c r="M498" s="215"/>
      <c r="N498" s="215"/>
      <c r="O498" s="216"/>
      <c r="P498" s="216"/>
      <c r="Q498" s="216"/>
      <c r="R498" s="216"/>
      <c r="S498" s="216"/>
      <c r="T498" s="216"/>
      <c r="U498" s="216"/>
    </row>
    <row r="499" spans="1:21" ht="12.75" x14ac:dyDescent="0.2">
      <c r="A499" s="214"/>
      <c r="B499" s="214"/>
      <c r="C499" s="214"/>
      <c r="D499" s="214"/>
      <c r="E499" s="214"/>
      <c r="F499" s="214"/>
      <c r="G499" s="214"/>
      <c r="H499" s="214"/>
      <c r="I499" s="214"/>
      <c r="J499" s="214"/>
      <c r="K499" s="214"/>
      <c r="L499" s="214"/>
      <c r="M499" s="215"/>
      <c r="N499" s="215"/>
      <c r="O499" s="216"/>
      <c r="P499" s="216"/>
      <c r="Q499" s="216"/>
      <c r="R499" s="216"/>
      <c r="S499" s="216"/>
      <c r="T499" s="216"/>
      <c r="U499" s="216"/>
    </row>
    <row r="500" spans="1:21" ht="12.75" x14ac:dyDescent="0.2">
      <c r="A500" s="214"/>
      <c r="B500" s="214"/>
      <c r="C500" s="214"/>
      <c r="D500" s="214"/>
      <c r="E500" s="214"/>
      <c r="F500" s="214"/>
      <c r="G500" s="214"/>
      <c r="H500" s="214"/>
      <c r="I500" s="214"/>
      <c r="J500" s="214"/>
      <c r="K500" s="214"/>
      <c r="L500" s="214"/>
      <c r="M500" s="215"/>
      <c r="N500" s="215"/>
      <c r="O500" s="216"/>
      <c r="P500" s="216"/>
      <c r="Q500" s="216"/>
      <c r="R500" s="216"/>
      <c r="S500" s="216"/>
      <c r="T500" s="216"/>
      <c r="U500" s="216"/>
    </row>
    <row r="501" spans="1:21" ht="12.75" x14ac:dyDescent="0.2">
      <c r="A501" s="214"/>
      <c r="B501" s="214"/>
      <c r="C501" s="214"/>
      <c r="D501" s="214"/>
      <c r="E501" s="214"/>
      <c r="F501" s="214"/>
      <c r="G501" s="214"/>
      <c r="H501" s="214"/>
      <c r="I501" s="214"/>
      <c r="J501" s="214"/>
      <c r="K501" s="214"/>
      <c r="L501" s="214"/>
      <c r="M501" s="215"/>
      <c r="N501" s="215"/>
      <c r="O501" s="216"/>
      <c r="P501" s="216"/>
      <c r="Q501" s="216"/>
      <c r="R501" s="216"/>
      <c r="S501" s="216"/>
      <c r="T501" s="216"/>
      <c r="U501" s="216"/>
    </row>
    <row r="502" spans="1:21" ht="12.75" x14ac:dyDescent="0.2">
      <c r="A502" s="214"/>
      <c r="B502" s="214"/>
      <c r="C502" s="214"/>
      <c r="D502" s="214"/>
      <c r="E502" s="214"/>
      <c r="F502" s="214"/>
      <c r="G502" s="214"/>
      <c r="H502" s="214"/>
      <c r="I502" s="214"/>
      <c r="J502" s="214"/>
      <c r="K502" s="214"/>
      <c r="L502" s="214"/>
      <c r="M502" s="215"/>
      <c r="N502" s="215"/>
      <c r="O502" s="216"/>
      <c r="P502" s="216"/>
      <c r="Q502" s="216"/>
      <c r="R502" s="216"/>
      <c r="S502" s="216"/>
      <c r="T502" s="216"/>
      <c r="U502" s="216"/>
    </row>
    <row r="503" spans="1:21" ht="12.75" x14ac:dyDescent="0.2">
      <c r="A503" s="214"/>
      <c r="B503" s="214"/>
      <c r="C503" s="214"/>
      <c r="D503" s="214"/>
      <c r="E503" s="214"/>
      <c r="F503" s="214"/>
      <c r="G503" s="214"/>
      <c r="H503" s="214"/>
      <c r="I503" s="214"/>
      <c r="J503" s="214"/>
      <c r="K503" s="214"/>
      <c r="L503" s="214"/>
      <c r="M503" s="215"/>
      <c r="N503" s="215"/>
      <c r="O503" s="216"/>
      <c r="P503" s="216"/>
      <c r="Q503" s="216"/>
      <c r="R503" s="216"/>
      <c r="S503" s="216"/>
      <c r="T503" s="216"/>
      <c r="U503" s="216"/>
    </row>
    <row r="504" spans="1:21" ht="12.75" x14ac:dyDescent="0.2">
      <c r="A504" s="214"/>
      <c r="B504" s="214"/>
      <c r="C504" s="214"/>
      <c r="D504" s="214"/>
      <c r="E504" s="214"/>
      <c r="F504" s="214"/>
      <c r="G504" s="214"/>
      <c r="H504" s="214"/>
      <c r="I504" s="214"/>
      <c r="J504" s="214"/>
      <c r="K504" s="214"/>
      <c r="L504" s="214"/>
      <c r="M504" s="215"/>
      <c r="N504" s="215"/>
      <c r="O504" s="216"/>
      <c r="P504" s="216"/>
      <c r="Q504" s="216"/>
      <c r="R504" s="216"/>
      <c r="S504" s="216"/>
      <c r="T504" s="216"/>
      <c r="U504" s="216"/>
    </row>
    <row r="505" spans="1:21" ht="12.75" x14ac:dyDescent="0.2">
      <c r="A505" s="214"/>
      <c r="B505" s="214"/>
      <c r="C505" s="214"/>
      <c r="D505" s="214"/>
      <c r="E505" s="214"/>
      <c r="F505" s="214"/>
      <c r="G505" s="214"/>
      <c r="H505" s="214"/>
      <c r="I505" s="214"/>
      <c r="J505" s="214"/>
      <c r="K505" s="214"/>
      <c r="L505" s="214"/>
      <c r="M505" s="215"/>
      <c r="N505" s="215"/>
      <c r="O505" s="216"/>
      <c r="P505" s="216"/>
      <c r="Q505" s="216"/>
      <c r="R505" s="216"/>
      <c r="S505" s="216"/>
      <c r="T505" s="216"/>
      <c r="U505" s="216"/>
    </row>
    <row r="506" spans="1:21" ht="12.75" x14ac:dyDescent="0.2">
      <c r="A506" s="214"/>
      <c r="B506" s="214"/>
      <c r="C506" s="214"/>
      <c r="D506" s="214"/>
      <c r="E506" s="214"/>
      <c r="F506" s="214"/>
      <c r="G506" s="214"/>
      <c r="H506" s="214"/>
      <c r="I506" s="214"/>
      <c r="J506" s="214"/>
      <c r="K506" s="214"/>
      <c r="L506" s="214"/>
      <c r="M506" s="215"/>
      <c r="N506" s="215"/>
      <c r="O506" s="216"/>
      <c r="P506" s="216"/>
      <c r="Q506" s="216"/>
      <c r="R506" s="216"/>
      <c r="S506" s="216"/>
      <c r="T506" s="216"/>
      <c r="U506" s="216"/>
    </row>
    <row r="507" spans="1:21" ht="12.75" x14ac:dyDescent="0.2">
      <c r="A507" s="214"/>
      <c r="B507" s="214"/>
      <c r="C507" s="214"/>
      <c r="D507" s="214"/>
      <c r="E507" s="214"/>
      <c r="F507" s="214"/>
      <c r="G507" s="214"/>
      <c r="H507" s="214"/>
      <c r="I507" s="214"/>
      <c r="J507" s="214"/>
      <c r="K507" s="214"/>
      <c r="L507" s="214"/>
      <c r="M507" s="215"/>
      <c r="N507" s="215"/>
      <c r="O507" s="216"/>
      <c r="P507" s="216"/>
      <c r="Q507" s="216"/>
      <c r="R507" s="216"/>
      <c r="S507" s="216"/>
      <c r="T507" s="216"/>
      <c r="U507" s="216"/>
    </row>
    <row r="508" spans="1:21" ht="12.75" x14ac:dyDescent="0.2">
      <c r="A508" s="214"/>
      <c r="B508" s="214"/>
      <c r="C508" s="214"/>
      <c r="D508" s="214"/>
      <c r="E508" s="214"/>
      <c r="F508" s="214"/>
      <c r="G508" s="214"/>
      <c r="H508" s="214"/>
      <c r="I508" s="214"/>
      <c r="J508" s="214"/>
      <c r="K508" s="214"/>
      <c r="L508" s="214"/>
      <c r="M508" s="215"/>
      <c r="N508" s="215"/>
      <c r="O508" s="216"/>
      <c r="P508" s="216"/>
      <c r="Q508" s="216"/>
      <c r="R508" s="216"/>
      <c r="S508" s="216"/>
      <c r="T508" s="216"/>
      <c r="U508" s="216"/>
    </row>
    <row r="509" spans="1:21" ht="12.75" x14ac:dyDescent="0.2">
      <c r="A509" s="214"/>
      <c r="B509" s="214"/>
      <c r="C509" s="214"/>
      <c r="D509" s="214"/>
      <c r="E509" s="214"/>
      <c r="F509" s="214"/>
      <c r="G509" s="214"/>
      <c r="H509" s="214"/>
      <c r="I509" s="214"/>
      <c r="J509" s="214"/>
      <c r="K509" s="214"/>
      <c r="L509" s="214"/>
      <c r="M509" s="215"/>
      <c r="N509" s="215"/>
      <c r="O509" s="216"/>
      <c r="P509" s="216"/>
      <c r="Q509" s="216"/>
      <c r="R509" s="216"/>
      <c r="S509" s="216"/>
      <c r="T509" s="216"/>
      <c r="U509" s="216"/>
    </row>
    <row r="510" spans="1:21" ht="12.75" x14ac:dyDescent="0.2">
      <c r="A510" s="214"/>
      <c r="B510" s="214"/>
      <c r="C510" s="214"/>
      <c r="D510" s="214"/>
      <c r="E510" s="214"/>
      <c r="F510" s="214"/>
      <c r="G510" s="214"/>
      <c r="H510" s="214"/>
      <c r="I510" s="214"/>
      <c r="J510" s="214"/>
      <c r="K510" s="214"/>
      <c r="L510" s="214"/>
      <c r="M510" s="215"/>
      <c r="N510" s="215"/>
      <c r="O510" s="216"/>
      <c r="P510" s="216"/>
      <c r="Q510" s="216"/>
      <c r="R510" s="216"/>
      <c r="S510" s="216"/>
      <c r="T510" s="216"/>
      <c r="U510" s="216"/>
    </row>
    <row r="511" spans="1:21" ht="12.75" x14ac:dyDescent="0.2">
      <c r="A511" s="214"/>
      <c r="B511" s="214"/>
      <c r="C511" s="214"/>
      <c r="D511" s="214"/>
      <c r="E511" s="214"/>
      <c r="F511" s="214"/>
      <c r="G511" s="214"/>
      <c r="H511" s="214"/>
      <c r="I511" s="214"/>
      <c r="J511" s="214"/>
      <c r="K511" s="214"/>
      <c r="L511" s="214"/>
      <c r="M511" s="215"/>
      <c r="N511" s="215"/>
      <c r="O511" s="216"/>
      <c r="P511" s="216"/>
      <c r="Q511" s="216"/>
      <c r="R511" s="216"/>
      <c r="S511" s="216"/>
      <c r="T511" s="216"/>
      <c r="U511" s="216"/>
    </row>
    <row r="512" spans="1:21" ht="12.75" x14ac:dyDescent="0.2">
      <c r="A512" s="214"/>
      <c r="B512" s="214"/>
      <c r="C512" s="214"/>
      <c r="D512" s="214"/>
      <c r="E512" s="214"/>
      <c r="F512" s="214"/>
      <c r="G512" s="214"/>
      <c r="H512" s="214"/>
      <c r="I512" s="214"/>
      <c r="J512" s="214"/>
      <c r="K512" s="214"/>
      <c r="L512" s="214"/>
      <c r="M512" s="215"/>
      <c r="N512" s="215"/>
      <c r="O512" s="216"/>
      <c r="P512" s="216"/>
      <c r="Q512" s="216"/>
      <c r="R512" s="216"/>
      <c r="S512" s="216"/>
      <c r="T512" s="216"/>
      <c r="U512" s="216"/>
    </row>
    <row r="513" spans="1:21" ht="12.75" x14ac:dyDescent="0.2">
      <c r="A513" s="214"/>
      <c r="B513" s="214"/>
      <c r="C513" s="214"/>
      <c r="D513" s="214"/>
      <c r="E513" s="214"/>
      <c r="F513" s="214"/>
      <c r="G513" s="214"/>
      <c r="H513" s="214"/>
      <c r="I513" s="214"/>
      <c r="J513" s="214"/>
      <c r="K513" s="214"/>
      <c r="L513" s="214"/>
      <c r="M513" s="215"/>
      <c r="N513" s="215"/>
      <c r="O513" s="216"/>
      <c r="P513" s="216"/>
      <c r="Q513" s="216"/>
      <c r="R513" s="216"/>
      <c r="S513" s="216"/>
      <c r="T513" s="216"/>
      <c r="U513" s="216"/>
    </row>
    <row r="514" spans="1:21" ht="12.75" x14ac:dyDescent="0.2">
      <c r="A514" s="214"/>
      <c r="B514" s="214"/>
      <c r="C514" s="214"/>
      <c r="D514" s="214"/>
      <c r="E514" s="214"/>
      <c r="F514" s="214"/>
      <c r="G514" s="214"/>
      <c r="H514" s="214"/>
      <c r="I514" s="214"/>
      <c r="J514" s="214"/>
      <c r="K514" s="214"/>
      <c r="L514" s="214"/>
      <c r="M514" s="215"/>
      <c r="N514" s="215"/>
      <c r="O514" s="216"/>
      <c r="P514" s="216"/>
      <c r="Q514" s="216"/>
      <c r="R514" s="216"/>
      <c r="S514" s="216"/>
      <c r="T514" s="216"/>
      <c r="U514" s="216"/>
    </row>
    <row r="515" spans="1:21" ht="12.75" x14ac:dyDescent="0.2">
      <c r="A515" s="214"/>
      <c r="B515" s="214"/>
      <c r="C515" s="214"/>
      <c r="D515" s="214"/>
      <c r="E515" s="214"/>
      <c r="F515" s="214"/>
      <c r="G515" s="214"/>
      <c r="H515" s="214"/>
      <c r="I515" s="214"/>
      <c r="J515" s="214"/>
      <c r="K515" s="214"/>
      <c r="L515" s="214"/>
      <c r="M515" s="215"/>
      <c r="N515" s="215"/>
      <c r="O515" s="216"/>
      <c r="P515" s="216"/>
      <c r="Q515" s="216"/>
      <c r="R515" s="216"/>
      <c r="S515" s="216"/>
      <c r="T515" s="216"/>
      <c r="U515" s="216"/>
    </row>
    <row r="516" spans="1:21" ht="12.75" x14ac:dyDescent="0.2">
      <c r="A516" s="214"/>
      <c r="B516" s="214"/>
      <c r="C516" s="214"/>
      <c r="D516" s="214"/>
      <c r="E516" s="214"/>
      <c r="F516" s="214"/>
      <c r="G516" s="214"/>
      <c r="H516" s="214"/>
      <c r="I516" s="214"/>
      <c r="J516" s="214"/>
      <c r="K516" s="214"/>
      <c r="L516" s="214"/>
      <c r="M516" s="215"/>
      <c r="N516" s="215"/>
      <c r="O516" s="216"/>
      <c r="P516" s="216"/>
      <c r="Q516" s="216"/>
      <c r="R516" s="216"/>
      <c r="S516" s="216"/>
      <c r="T516" s="216"/>
      <c r="U516" s="216"/>
    </row>
    <row r="517" spans="1:21" ht="12.75" x14ac:dyDescent="0.2">
      <c r="A517" s="214"/>
      <c r="B517" s="214"/>
      <c r="C517" s="214"/>
      <c r="D517" s="214"/>
      <c r="E517" s="214"/>
      <c r="F517" s="214"/>
      <c r="G517" s="214"/>
      <c r="H517" s="214"/>
      <c r="I517" s="214"/>
      <c r="J517" s="214"/>
      <c r="K517" s="214"/>
      <c r="L517" s="214"/>
      <c r="M517" s="215"/>
      <c r="N517" s="215"/>
      <c r="O517" s="216"/>
      <c r="P517" s="216"/>
      <c r="Q517" s="216"/>
      <c r="R517" s="216"/>
      <c r="S517" s="216"/>
      <c r="T517" s="216"/>
      <c r="U517" s="216"/>
    </row>
    <row r="518" spans="1:21" ht="12.75" x14ac:dyDescent="0.2">
      <c r="A518" s="214"/>
      <c r="B518" s="214"/>
      <c r="C518" s="214"/>
      <c r="D518" s="214"/>
      <c r="E518" s="214"/>
      <c r="F518" s="214"/>
      <c r="G518" s="214"/>
      <c r="H518" s="214"/>
      <c r="I518" s="214"/>
      <c r="J518" s="214"/>
      <c r="K518" s="214"/>
      <c r="L518" s="214"/>
      <c r="M518" s="215"/>
      <c r="N518" s="215"/>
      <c r="O518" s="216"/>
      <c r="P518" s="216"/>
      <c r="Q518" s="216"/>
      <c r="R518" s="216"/>
      <c r="S518" s="216"/>
      <c r="T518" s="216"/>
      <c r="U518" s="216"/>
    </row>
    <row r="519" spans="1:21" ht="12.75" x14ac:dyDescent="0.2">
      <c r="A519" s="214"/>
      <c r="B519" s="214"/>
      <c r="C519" s="214"/>
      <c r="D519" s="214"/>
      <c r="E519" s="214"/>
      <c r="F519" s="214"/>
      <c r="G519" s="214"/>
      <c r="H519" s="214"/>
      <c r="I519" s="214"/>
      <c r="J519" s="214"/>
      <c r="K519" s="214"/>
      <c r="L519" s="214"/>
      <c r="M519" s="215"/>
      <c r="N519" s="215"/>
      <c r="O519" s="216"/>
      <c r="P519" s="216"/>
      <c r="Q519" s="216"/>
      <c r="R519" s="216"/>
      <c r="S519" s="216"/>
      <c r="T519" s="216"/>
      <c r="U519" s="216"/>
    </row>
    <row r="520" spans="1:21" ht="12.75" x14ac:dyDescent="0.2">
      <c r="A520" s="214"/>
      <c r="B520" s="214"/>
      <c r="C520" s="214"/>
      <c r="D520" s="214"/>
      <c r="E520" s="214"/>
      <c r="F520" s="214"/>
      <c r="G520" s="214"/>
      <c r="H520" s="214"/>
      <c r="I520" s="214"/>
      <c r="J520" s="214"/>
      <c r="K520" s="214"/>
      <c r="L520" s="214"/>
      <c r="M520" s="215"/>
      <c r="N520" s="215"/>
      <c r="O520" s="216"/>
      <c r="P520" s="216"/>
      <c r="Q520" s="216"/>
      <c r="R520" s="216"/>
      <c r="S520" s="216"/>
      <c r="T520" s="216"/>
      <c r="U520" s="216"/>
    </row>
    <row r="521" spans="1:21" ht="12.75" x14ac:dyDescent="0.2">
      <c r="A521" s="214"/>
      <c r="B521" s="214"/>
      <c r="C521" s="214"/>
      <c r="D521" s="214"/>
      <c r="E521" s="214"/>
      <c r="F521" s="214"/>
      <c r="G521" s="214"/>
      <c r="H521" s="214"/>
      <c r="I521" s="214"/>
      <c r="J521" s="214"/>
      <c r="K521" s="214"/>
      <c r="L521" s="214"/>
      <c r="M521" s="215"/>
      <c r="N521" s="215"/>
      <c r="O521" s="216"/>
      <c r="P521" s="216"/>
      <c r="Q521" s="216"/>
      <c r="R521" s="216"/>
      <c r="S521" s="216"/>
      <c r="T521" s="216"/>
      <c r="U521" s="216"/>
    </row>
    <row r="522" spans="1:21" ht="12.75" x14ac:dyDescent="0.2">
      <c r="A522" s="214"/>
      <c r="B522" s="214"/>
      <c r="C522" s="214"/>
      <c r="D522" s="214"/>
      <c r="E522" s="214"/>
      <c r="F522" s="214"/>
      <c r="G522" s="214"/>
      <c r="H522" s="214"/>
      <c r="I522" s="214"/>
      <c r="J522" s="214"/>
      <c r="K522" s="214"/>
      <c r="L522" s="214"/>
      <c r="M522" s="215"/>
      <c r="N522" s="215"/>
      <c r="O522" s="216"/>
      <c r="P522" s="216"/>
      <c r="Q522" s="216"/>
      <c r="R522" s="216"/>
      <c r="S522" s="216"/>
      <c r="T522" s="216"/>
      <c r="U522" s="216"/>
    </row>
    <row r="523" spans="1:21" ht="12.75" x14ac:dyDescent="0.2">
      <c r="A523" s="214"/>
      <c r="B523" s="214"/>
      <c r="C523" s="214"/>
      <c r="D523" s="214"/>
      <c r="E523" s="214"/>
      <c r="F523" s="214"/>
      <c r="G523" s="214"/>
      <c r="H523" s="214"/>
      <c r="I523" s="214"/>
      <c r="J523" s="214"/>
      <c r="K523" s="214"/>
      <c r="L523" s="214"/>
      <c r="M523" s="215"/>
      <c r="N523" s="215"/>
      <c r="O523" s="216"/>
      <c r="P523" s="216"/>
      <c r="Q523" s="216"/>
      <c r="R523" s="216"/>
      <c r="S523" s="216"/>
      <c r="T523" s="216"/>
      <c r="U523" s="216"/>
    </row>
    <row r="524" spans="1:21" ht="12.75" x14ac:dyDescent="0.2">
      <c r="A524" s="214"/>
      <c r="B524" s="214"/>
      <c r="C524" s="214"/>
      <c r="D524" s="214"/>
      <c r="E524" s="214"/>
      <c r="F524" s="214"/>
      <c r="G524" s="214"/>
      <c r="H524" s="214"/>
      <c r="I524" s="214"/>
      <c r="J524" s="214"/>
      <c r="K524" s="214"/>
      <c r="L524" s="214"/>
      <c r="M524" s="215"/>
      <c r="N524" s="215"/>
      <c r="O524" s="216"/>
      <c r="P524" s="216"/>
      <c r="Q524" s="216"/>
      <c r="R524" s="216"/>
      <c r="S524" s="216"/>
      <c r="T524" s="216"/>
      <c r="U524" s="216"/>
    </row>
    <row r="525" spans="1:21" ht="12.75" x14ac:dyDescent="0.2">
      <c r="A525" s="214"/>
      <c r="B525" s="214"/>
      <c r="C525" s="214"/>
      <c r="D525" s="214"/>
      <c r="E525" s="214"/>
      <c r="F525" s="214"/>
      <c r="G525" s="214"/>
      <c r="H525" s="214"/>
      <c r="I525" s="214"/>
      <c r="J525" s="214"/>
      <c r="K525" s="214"/>
      <c r="L525" s="214"/>
      <c r="M525" s="215"/>
      <c r="N525" s="215"/>
      <c r="O525" s="216"/>
      <c r="P525" s="216"/>
      <c r="Q525" s="216"/>
      <c r="R525" s="216"/>
      <c r="S525" s="216"/>
      <c r="T525" s="216"/>
      <c r="U525" s="216"/>
    </row>
    <row r="526" spans="1:21" ht="12.75" x14ac:dyDescent="0.2">
      <c r="A526" s="214"/>
      <c r="B526" s="214"/>
      <c r="C526" s="214"/>
      <c r="D526" s="214"/>
      <c r="E526" s="214"/>
      <c r="F526" s="214"/>
      <c r="G526" s="214"/>
      <c r="H526" s="214"/>
      <c r="I526" s="214"/>
      <c r="J526" s="214"/>
      <c r="K526" s="214"/>
      <c r="L526" s="214"/>
      <c r="M526" s="215"/>
      <c r="N526" s="215"/>
      <c r="O526" s="216"/>
      <c r="P526" s="216"/>
      <c r="Q526" s="216"/>
      <c r="R526" s="216"/>
      <c r="S526" s="216"/>
      <c r="T526" s="216"/>
      <c r="U526" s="216"/>
    </row>
    <row r="527" spans="1:21" ht="12.75" x14ac:dyDescent="0.2">
      <c r="A527" s="214"/>
      <c r="B527" s="214"/>
      <c r="C527" s="214"/>
      <c r="D527" s="214"/>
      <c r="E527" s="214"/>
      <c r="F527" s="214"/>
      <c r="G527" s="214"/>
      <c r="H527" s="214"/>
      <c r="I527" s="214"/>
      <c r="J527" s="214"/>
      <c r="K527" s="214"/>
      <c r="L527" s="214"/>
      <c r="M527" s="215"/>
      <c r="N527" s="215"/>
      <c r="O527" s="216"/>
      <c r="P527" s="216"/>
      <c r="Q527" s="216"/>
      <c r="R527" s="216"/>
      <c r="S527" s="216"/>
      <c r="T527" s="216"/>
      <c r="U527" s="216"/>
    </row>
    <row r="528" spans="1:21" ht="12.75" x14ac:dyDescent="0.2">
      <c r="A528" s="214"/>
      <c r="B528" s="214"/>
      <c r="C528" s="214"/>
      <c r="D528" s="214"/>
      <c r="E528" s="214"/>
      <c r="F528" s="214"/>
      <c r="G528" s="214"/>
      <c r="H528" s="214"/>
      <c r="I528" s="214"/>
      <c r="J528" s="214"/>
      <c r="K528" s="214"/>
      <c r="L528" s="214"/>
      <c r="M528" s="215"/>
      <c r="N528" s="215"/>
      <c r="O528" s="216"/>
      <c r="P528" s="216"/>
      <c r="Q528" s="216"/>
      <c r="R528" s="216"/>
      <c r="S528" s="216"/>
      <c r="T528" s="216"/>
      <c r="U528" s="216"/>
    </row>
    <row r="529" spans="1:21" ht="12.75" x14ac:dyDescent="0.2">
      <c r="A529" s="214"/>
      <c r="B529" s="214"/>
      <c r="C529" s="214"/>
      <c r="D529" s="214"/>
      <c r="E529" s="214"/>
      <c r="F529" s="214"/>
      <c r="G529" s="214"/>
      <c r="H529" s="214"/>
      <c r="I529" s="214"/>
      <c r="J529" s="214"/>
      <c r="K529" s="214"/>
      <c r="L529" s="214"/>
      <c r="M529" s="215"/>
      <c r="N529" s="215"/>
      <c r="O529" s="216"/>
      <c r="P529" s="216"/>
      <c r="Q529" s="216"/>
      <c r="R529" s="216"/>
      <c r="S529" s="216"/>
      <c r="T529" s="216"/>
      <c r="U529" s="216"/>
    </row>
    <row r="530" spans="1:21" ht="12.75" x14ac:dyDescent="0.2">
      <c r="A530" s="214"/>
      <c r="B530" s="214"/>
      <c r="C530" s="214"/>
      <c r="D530" s="214"/>
      <c r="E530" s="214"/>
      <c r="F530" s="214"/>
      <c r="G530" s="214"/>
      <c r="H530" s="214"/>
      <c r="I530" s="214"/>
      <c r="J530" s="214"/>
      <c r="K530" s="214"/>
      <c r="L530" s="214"/>
      <c r="M530" s="215"/>
      <c r="N530" s="215"/>
      <c r="O530" s="216"/>
      <c r="P530" s="216"/>
      <c r="Q530" s="216"/>
      <c r="R530" s="216"/>
      <c r="S530" s="216"/>
      <c r="T530" s="216"/>
      <c r="U530" s="216"/>
    </row>
    <row r="531" spans="1:21" ht="12.75" x14ac:dyDescent="0.2">
      <c r="A531" s="214"/>
      <c r="B531" s="214"/>
      <c r="C531" s="214"/>
      <c r="D531" s="214"/>
      <c r="E531" s="214"/>
      <c r="F531" s="214"/>
      <c r="G531" s="214"/>
      <c r="H531" s="214"/>
      <c r="I531" s="214"/>
      <c r="J531" s="214"/>
      <c r="K531" s="214"/>
      <c r="L531" s="214"/>
      <c r="M531" s="215"/>
      <c r="N531" s="215"/>
      <c r="O531" s="216"/>
      <c r="P531" s="216"/>
      <c r="Q531" s="216"/>
      <c r="R531" s="216"/>
      <c r="S531" s="216"/>
      <c r="T531" s="216"/>
      <c r="U531" s="216"/>
    </row>
    <row r="532" spans="1:21" ht="12.75" x14ac:dyDescent="0.2">
      <c r="A532" s="214"/>
      <c r="B532" s="214"/>
      <c r="C532" s="214"/>
      <c r="D532" s="214"/>
      <c r="E532" s="214"/>
      <c r="F532" s="214"/>
      <c r="G532" s="214"/>
      <c r="H532" s="214"/>
      <c r="I532" s="214"/>
      <c r="J532" s="214"/>
      <c r="K532" s="214"/>
      <c r="L532" s="214"/>
      <c r="M532" s="215"/>
      <c r="N532" s="215"/>
      <c r="O532" s="216"/>
      <c r="P532" s="216"/>
      <c r="Q532" s="216"/>
      <c r="R532" s="216"/>
      <c r="S532" s="216"/>
      <c r="T532" s="216"/>
      <c r="U532" s="216"/>
    </row>
    <row r="533" spans="1:21" ht="12.75" x14ac:dyDescent="0.2">
      <c r="A533" s="214"/>
      <c r="B533" s="214"/>
      <c r="C533" s="214"/>
      <c r="D533" s="214"/>
      <c r="E533" s="214"/>
      <c r="F533" s="214"/>
      <c r="G533" s="214"/>
      <c r="H533" s="214"/>
      <c r="I533" s="214"/>
      <c r="J533" s="214"/>
      <c r="K533" s="214"/>
      <c r="L533" s="214"/>
      <c r="M533" s="215"/>
      <c r="N533" s="215"/>
      <c r="O533" s="216"/>
      <c r="P533" s="216"/>
      <c r="Q533" s="216"/>
      <c r="R533" s="216"/>
      <c r="S533" s="216"/>
      <c r="T533" s="216"/>
      <c r="U533" s="216"/>
    </row>
    <row r="534" spans="1:21" ht="12.75" x14ac:dyDescent="0.2">
      <c r="A534" s="214"/>
      <c r="B534" s="214"/>
      <c r="C534" s="214"/>
      <c r="D534" s="214"/>
      <c r="E534" s="214"/>
      <c r="F534" s="214"/>
      <c r="G534" s="214"/>
      <c r="H534" s="214"/>
      <c r="I534" s="214"/>
      <c r="J534" s="214"/>
      <c r="K534" s="214"/>
      <c r="L534" s="214"/>
      <c r="M534" s="215"/>
      <c r="N534" s="215"/>
      <c r="O534" s="216"/>
      <c r="P534" s="216"/>
      <c r="Q534" s="216"/>
      <c r="R534" s="216"/>
      <c r="S534" s="216"/>
      <c r="T534" s="216"/>
      <c r="U534" s="216"/>
    </row>
    <row r="535" spans="1:21" ht="12.75" x14ac:dyDescent="0.2">
      <c r="A535" s="214"/>
      <c r="B535" s="214"/>
      <c r="C535" s="214"/>
      <c r="D535" s="214"/>
      <c r="E535" s="214"/>
      <c r="F535" s="214"/>
      <c r="G535" s="214"/>
      <c r="H535" s="214"/>
      <c r="I535" s="214"/>
      <c r="J535" s="214"/>
      <c r="K535" s="214"/>
      <c r="L535" s="214"/>
      <c r="M535" s="215"/>
      <c r="N535" s="215"/>
      <c r="O535" s="216"/>
      <c r="P535" s="216"/>
      <c r="Q535" s="216"/>
      <c r="R535" s="216"/>
      <c r="S535" s="216"/>
      <c r="T535" s="216"/>
      <c r="U535" s="216"/>
    </row>
    <row r="536" spans="1:21" ht="12.75" x14ac:dyDescent="0.2">
      <c r="A536" s="214"/>
      <c r="B536" s="214"/>
      <c r="C536" s="214"/>
      <c r="D536" s="214"/>
      <c r="E536" s="214"/>
      <c r="F536" s="214"/>
      <c r="G536" s="214"/>
      <c r="H536" s="214"/>
      <c r="I536" s="214"/>
      <c r="J536" s="214"/>
      <c r="K536" s="214"/>
      <c r="L536" s="214"/>
      <c r="M536" s="215"/>
      <c r="N536" s="215"/>
      <c r="O536" s="216"/>
      <c r="P536" s="216"/>
      <c r="Q536" s="216"/>
      <c r="R536" s="216"/>
      <c r="S536" s="216"/>
      <c r="T536" s="216"/>
      <c r="U536" s="216"/>
    </row>
    <row r="537" spans="1:21" ht="12.75" x14ac:dyDescent="0.2">
      <c r="A537" s="214"/>
      <c r="B537" s="214"/>
      <c r="C537" s="214"/>
      <c r="D537" s="214"/>
      <c r="E537" s="214"/>
      <c r="F537" s="214"/>
      <c r="G537" s="214"/>
      <c r="H537" s="214"/>
      <c r="I537" s="214"/>
      <c r="J537" s="214"/>
      <c r="K537" s="214"/>
      <c r="L537" s="214"/>
      <c r="M537" s="215"/>
      <c r="N537" s="215"/>
      <c r="O537" s="216"/>
      <c r="P537" s="216"/>
      <c r="Q537" s="216"/>
      <c r="R537" s="216"/>
      <c r="S537" s="216"/>
      <c r="T537" s="216"/>
      <c r="U537" s="216"/>
    </row>
    <row r="538" spans="1:21" ht="12.75" x14ac:dyDescent="0.2">
      <c r="A538" s="214"/>
      <c r="B538" s="214"/>
      <c r="C538" s="214"/>
      <c r="D538" s="214"/>
      <c r="E538" s="214"/>
      <c r="F538" s="214"/>
      <c r="G538" s="214"/>
      <c r="H538" s="214"/>
      <c r="I538" s="214"/>
      <c r="J538" s="214"/>
      <c r="K538" s="214"/>
      <c r="L538" s="214"/>
      <c r="M538" s="215"/>
      <c r="N538" s="215"/>
      <c r="O538" s="216"/>
      <c r="P538" s="216"/>
      <c r="Q538" s="216"/>
      <c r="R538" s="216"/>
      <c r="S538" s="216"/>
      <c r="T538" s="216"/>
      <c r="U538" s="216"/>
    </row>
    <row r="539" spans="1:21" ht="12.75" x14ac:dyDescent="0.2">
      <c r="A539" s="214"/>
      <c r="B539" s="214"/>
      <c r="C539" s="214"/>
      <c r="D539" s="214"/>
      <c r="E539" s="214"/>
      <c r="F539" s="214"/>
      <c r="G539" s="214"/>
      <c r="H539" s="214"/>
      <c r="I539" s="214"/>
      <c r="J539" s="214"/>
      <c r="K539" s="214"/>
      <c r="L539" s="214"/>
      <c r="M539" s="215"/>
      <c r="N539" s="215"/>
      <c r="O539" s="216"/>
      <c r="P539" s="216"/>
      <c r="Q539" s="216"/>
      <c r="R539" s="216"/>
      <c r="S539" s="216"/>
      <c r="T539" s="216"/>
      <c r="U539" s="216"/>
    </row>
    <row r="540" spans="1:21" ht="12.75" x14ac:dyDescent="0.2">
      <c r="A540" s="214"/>
      <c r="B540" s="214"/>
      <c r="C540" s="214"/>
      <c r="D540" s="214"/>
      <c r="E540" s="214"/>
      <c r="F540" s="214"/>
      <c r="G540" s="214"/>
      <c r="H540" s="214"/>
      <c r="I540" s="214"/>
      <c r="J540" s="214"/>
      <c r="K540" s="214"/>
      <c r="L540" s="214"/>
      <c r="M540" s="215"/>
      <c r="N540" s="215"/>
      <c r="O540" s="216"/>
      <c r="P540" s="216"/>
      <c r="Q540" s="216"/>
      <c r="R540" s="216"/>
      <c r="S540" s="216"/>
      <c r="T540" s="216"/>
      <c r="U540" s="216"/>
    </row>
    <row r="541" spans="1:21" ht="12.75" x14ac:dyDescent="0.2">
      <c r="A541" s="214"/>
      <c r="B541" s="214"/>
      <c r="C541" s="214"/>
      <c r="D541" s="214"/>
      <c r="E541" s="214"/>
      <c r="F541" s="214"/>
      <c r="G541" s="214"/>
      <c r="H541" s="214"/>
      <c r="I541" s="214"/>
      <c r="J541" s="214"/>
      <c r="K541" s="214"/>
      <c r="L541" s="214"/>
      <c r="M541" s="215"/>
      <c r="N541" s="215"/>
      <c r="O541" s="216"/>
      <c r="P541" s="216"/>
      <c r="Q541" s="216"/>
      <c r="R541" s="216"/>
      <c r="S541" s="216"/>
      <c r="T541" s="216"/>
      <c r="U541" s="216"/>
    </row>
    <row r="542" spans="1:21" ht="12.75" x14ac:dyDescent="0.2">
      <c r="A542" s="214"/>
      <c r="B542" s="214"/>
      <c r="C542" s="214"/>
      <c r="D542" s="214"/>
      <c r="E542" s="214"/>
      <c r="F542" s="214"/>
      <c r="G542" s="214"/>
      <c r="H542" s="214"/>
      <c r="I542" s="214"/>
      <c r="J542" s="214"/>
      <c r="K542" s="214"/>
      <c r="L542" s="214"/>
      <c r="M542" s="215"/>
      <c r="N542" s="215"/>
      <c r="O542" s="216"/>
      <c r="P542" s="216"/>
      <c r="Q542" s="216"/>
      <c r="R542" s="216"/>
      <c r="S542" s="216"/>
      <c r="T542" s="216"/>
      <c r="U542" s="216"/>
    </row>
    <row r="543" spans="1:21" ht="12.75" x14ac:dyDescent="0.2">
      <c r="A543" s="214"/>
      <c r="B543" s="214"/>
      <c r="C543" s="214"/>
      <c r="D543" s="214"/>
      <c r="E543" s="214"/>
      <c r="F543" s="214"/>
      <c r="G543" s="214"/>
      <c r="H543" s="214"/>
      <c r="I543" s="214"/>
      <c r="J543" s="214"/>
      <c r="K543" s="214"/>
      <c r="L543" s="214"/>
      <c r="M543" s="215"/>
      <c r="N543" s="215"/>
      <c r="O543" s="216"/>
      <c r="P543" s="216"/>
      <c r="Q543" s="216"/>
      <c r="R543" s="216"/>
      <c r="S543" s="216"/>
      <c r="T543" s="216"/>
      <c r="U543" s="216"/>
    </row>
    <row r="544" spans="1:21" ht="12.75" x14ac:dyDescent="0.2">
      <c r="A544" s="214"/>
      <c r="B544" s="214"/>
      <c r="C544" s="214"/>
      <c r="D544" s="214"/>
      <c r="E544" s="214"/>
      <c r="F544" s="214"/>
      <c r="G544" s="214"/>
      <c r="H544" s="214"/>
      <c r="I544" s="214"/>
      <c r="J544" s="214"/>
      <c r="K544" s="214"/>
      <c r="L544" s="214"/>
      <c r="M544" s="215"/>
      <c r="N544" s="215"/>
      <c r="O544" s="216"/>
      <c r="P544" s="216"/>
      <c r="Q544" s="216"/>
      <c r="R544" s="216"/>
      <c r="S544" s="216"/>
      <c r="T544" s="216"/>
      <c r="U544" s="216"/>
    </row>
    <row r="545" spans="1:21" ht="12.75" x14ac:dyDescent="0.2">
      <c r="A545" s="214"/>
      <c r="B545" s="214"/>
      <c r="C545" s="214"/>
      <c r="D545" s="214"/>
      <c r="E545" s="214"/>
      <c r="F545" s="214"/>
      <c r="G545" s="214"/>
      <c r="H545" s="214"/>
      <c r="I545" s="214"/>
      <c r="J545" s="214"/>
      <c r="K545" s="214"/>
      <c r="L545" s="214"/>
      <c r="M545" s="215"/>
      <c r="N545" s="215"/>
      <c r="O545" s="216"/>
      <c r="P545" s="216"/>
      <c r="Q545" s="216"/>
      <c r="R545" s="216"/>
      <c r="S545" s="216"/>
      <c r="T545" s="216"/>
      <c r="U545" s="216"/>
    </row>
    <row r="546" spans="1:21" ht="12.75" x14ac:dyDescent="0.2">
      <c r="A546" s="214"/>
      <c r="B546" s="214"/>
      <c r="C546" s="214"/>
      <c r="D546" s="214"/>
      <c r="E546" s="214"/>
      <c r="F546" s="214"/>
      <c r="G546" s="214"/>
      <c r="H546" s="214"/>
      <c r="I546" s="214"/>
      <c r="J546" s="214"/>
      <c r="K546" s="214"/>
      <c r="L546" s="214"/>
      <c r="M546" s="215"/>
      <c r="N546" s="215"/>
      <c r="O546" s="216"/>
      <c r="P546" s="216"/>
      <c r="Q546" s="216"/>
      <c r="R546" s="216"/>
      <c r="S546" s="216"/>
      <c r="T546" s="216"/>
      <c r="U546" s="216"/>
    </row>
    <row r="547" spans="1:21" ht="12.75" x14ac:dyDescent="0.2">
      <c r="A547" s="214"/>
      <c r="B547" s="214"/>
      <c r="C547" s="214"/>
      <c r="D547" s="214"/>
      <c r="E547" s="214"/>
      <c r="F547" s="214"/>
      <c r="G547" s="214"/>
      <c r="H547" s="214"/>
      <c r="I547" s="214"/>
      <c r="J547" s="214"/>
      <c r="K547" s="214"/>
      <c r="L547" s="214"/>
      <c r="M547" s="215"/>
      <c r="N547" s="215"/>
      <c r="O547" s="216"/>
      <c r="P547" s="216"/>
      <c r="Q547" s="216"/>
      <c r="R547" s="216"/>
      <c r="S547" s="216"/>
      <c r="T547" s="216"/>
      <c r="U547" s="216"/>
    </row>
    <row r="548" spans="1:21" ht="12.75" x14ac:dyDescent="0.2">
      <c r="A548" s="214"/>
      <c r="B548" s="214"/>
      <c r="C548" s="214"/>
      <c r="D548" s="214"/>
      <c r="E548" s="214"/>
      <c r="F548" s="214"/>
      <c r="G548" s="214"/>
      <c r="H548" s="214"/>
      <c r="I548" s="214"/>
      <c r="J548" s="214"/>
      <c r="K548" s="214"/>
      <c r="L548" s="214"/>
      <c r="M548" s="215"/>
      <c r="N548" s="215"/>
      <c r="O548" s="216"/>
      <c r="P548" s="216"/>
      <c r="Q548" s="216"/>
      <c r="R548" s="216"/>
      <c r="S548" s="216"/>
      <c r="T548" s="216"/>
      <c r="U548" s="216"/>
    </row>
    <row r="549" spans="1:21" ht="12.75" x14ac:dyDescent="0.2">
      <c r="A549" s="214"/>
      <c r="B549" s="214"/>
      <c r="C549" s="214"/>
      <c r="D549" s="214"/>
      <c r="E549" s="214"/>
      <c r="F549" s="214"/>
      <c r="G549" s="214"/>
      <c r="H549" s="214"/>
      <c r="I549" s="214"/>
      <c r="J549" s="214"/>
      <c r="K549" s="214"/>
      <c r="L549" s="214"/>
      <c r="M549" s="215"/>
      <c r="N549" s="215"/>
      <c r="O549" s="216"/>
      <c r="P549" s="216"/>
      <c r="Q549" s="216"/>
      <c r="R549" s="216"/>
      <c r="S549" s="216"/>
      <c r="T549" s="216"/>
      <c r="U549" s="216"/>
    </row>
    <row r="550" spans="1:21" ht="12.75" x14ac:dyDescent="0.2">
      <c r="A550" s="214"/>
      <c r="B550" s="214"/>
      <c r="C550" s="214"/>
      <c r="D550" s="214"/>
      <c r="E550" s="214"/>
      <c r="F550" s="214"/>
      <c r="G550" s="214"/>
      <c r="H550" s="214"/>
      <c r="I550" s="214"/>
      <c r="J550" s="214"/>
      <c r="K550" s="214"/>
      <c r="L550" s="214"/>
      <c r="M550" s="215"/>
      <c r="N550" s="215"/>
      <c r="O550" s="216"/>
      <c r="P550" s="216"/>
      <c r="Q550" s="216"/>
      <c r="R550" s="216"/>
      <c r="S550" s="216"/>
      <c r="T550" s="216"/>
      <c r="U550" s="216"/>
    </row>
    <row r="551" spans="1:21" ht="12.75" x14ac:dyDescent="0.2">
      <c r="A551" s="214"/>
      <c r="B551" s="214"/>
      <c r="C551" s="214"/>
      <c r="D551" s="214"/>
      <c r="E551" s="214"/>
      <c r="F551" s="214"/>
      <c r="G551" s="214"/>
      <c r="H551" s="214"/>
      <c r="I551" s="214"/>
      <c r="J551" s="214"/>
      <c r="K551" s="214"/>
      <c r="L551" s="214"/>
      <c r="M551" s="215"/>
      <c r="N551" s="215"/>
      <c r="O551" s="216"/>
      <c r="P551" s="216"/>
      <c r="Q551" s="216"/>
      <c r="R551" s="216"/>
      <c r="S551" s="216"/>
      <c r="T551" s="216"/>
      <c r="U551" s="216"/>
    </row>
    <row r="552" spans="1:21" ht="12.75" x14ac:dyDescent="0.2">
      <c r="A552" s="214"/>
      <c r="B552" s="214"/>
      <c r="C552" s="214"/>
      <c r="D552" s="214"/>
      <c r="E552" s="214"/>
      <c r="F552" s="214"/>
      <c r="G552" s="214"/>
      <c r="H552" s="214"/>
      <c r="I552" s="214"/>
      <c r="J552" s="214"/>
      <c r="K552" s="214"/>
      <c r="L552" s="214"/>
      <c r="M552" s="215"/>
      <c r="N552" s="215"/>
      <c r="O552" s="216"/>
      <c r="P552" s="216"/>
      <c r="Q552" s="216"/>
      <c r="R552" s="216"/>
      <c r="S552" s="216"/>
      <c r="T552" s="216"/>
      <c r="U552" s="216"/>
    </row>
    <row r="553" spans="1:21" ht="12.75" x14ac:dyDescent="0.2">
      <c r="A553" s="214"/>
      <c r="B553" s="214"/>
      <c r="C553" s="214"/>
      <c r="D553" s="214"/>
      <c r="E553" s="214"/>
      <c r="F553" s="214"/>
      <c r="G553" s="214"/>
      <c r="H553" s="214"/>
      <c r="I553" s="214"/>
      <c r="J553" s="214"/>
      <c r="K553" s="214"/>
      <c r="L553" s="214"/>
      <c r="M553" s="215"/>
      <c r="N553" s="215"/>
      <c r="O553" s="216"/>
      <c r="P553" s="216"/>
      <c r="Q553" s="216"/>
      <c r="R553" s="216"/>
      <c r="S553" s="216"/>
      <c r="T553" s="216"/>
      <c r="U553" s="216"/>
    </row>
    <row r="554" spans="1:21" ht="12.75" x14ac:dyDescent="0.2">
      <c r="A554" s="214"/>
      <c r="B554" s="214"/>
      <c r="C554" s="214"/>
      <c r="D554" s="214"/>
      <c r="E554" s="214"/>
      <c r="F554" s="214"/>
      <c r="G554" s="214"/>
      <c r="H554" s="214"/>
      <c r="I554" s="214"/>
      <c r="J554" s="214"/>
      <c r="K554" s="214"/>
      <c r="L554" s="214"/>
      <c r="M554" s="215"/>
      <c r="N554" s="215"/>
      <c r="O554" s="216"/>
      <c r="P554" s="216"/>
      <c r="Q554" s="216"/>
      <c r="R554" s="216"/>
      <c r="S554" s="216"/>
      <c r="T554" s="216"/>
      <c r="U554" s="216"/>
    </row>
    <row r="555" spans="1:21" ht="12.75" x14ac:dyDescent="0.2">
      <c r="A555" s="214"/>
      <c r="B555" s="214"/>
      <c r="C555" s="214"/>
      <c r="D555" s="214"/>
      <c r="E555" s="214"/>
      <c r="F555" s="214"/>
      <c r="G555" s="214"/>
      <c r="H555" s="214"/>
      <c r="I555" s="214"/>
      <c r="J555" s="214"/>
      <c r="K555" s="214"/>
      <c r="L555" s="214"/>
      <c r="M555" s="215"/>
      <c r="N555" s="215"/>
      <c r="O555" s="216"/>
      <c r="P555" s="216"/>
      <c r="Q555" s="216"/>
      <c r="R555" s="216"/>
      <c r="S555" s="216"/>
      <c r="T555" s="216"/>
      <c r="U555" s="216"/>
    </row>
    <row r="556" spans="1:21" ht="12.75" x14ac:dyDescent="0.2">
      <c r="A556" s="214"/>
      <c r="B556" s="214"/>
      <c r="C556" s="214"/>
      <c r="D556" s="214"/>
      <c r="E556" s="214"/>
      <c r="F556" s="214"/>
      <c r="G556" s="214"/>
      <c r="H556" s="214"/>
      <c r="I556" s="214"/>
      <c r="J556" s="214"/>
      <c r="K556" s="214"/>
      <c r="L556" s="214"/>
      <c r="M556" s="215"/>
      <c r="N556" s="215"/>
      <c r="O556" s="216"/>
      <c r="P556" s="216"/>
      <c r="Q556" s="216"/>
      <c r="R556" s="216"/>
      <c r="S556" s="216"/>
      <c r="T556" s="216"/>
      <c r="U556" s="216"/>
    </row>
    <row r="557" spans="1:21" ht="12.75" x14ac:dyDescent="0.2">
      <c r="A557" s="214"/>
      <c r="B557" s="214"/>
      <c r="C557" s="214"/>
      <c r="D557" s="214"/>
      <c r="E557" s="214"/>
      <c r="F557" s="214"/>
      <c r="G557" s="214"/>
      <c r="H557" s="214"/>
      <c r="I557" s="214"/>
      <c r="J557" s="214"/>
      <c r="K557" s="214"/>
      <c r="L557" s="214"/>
      <c r="M557" s="215"/>
      <c r="N557" s="215"/>
      <c r="O557" s="216"/>
      <c r="P557" s="216"/>
      <c r="Q557" s="216"/>
      <c r="R557" s="216"/>
      <c r="S557" s="216"/>
      <c r="T557" s="216"/>
      <c r="U557" s="216"/>
    </row>
    <row r="558" spans="1:21" ht="12.75" x14ac:dyDescent="0.2">
      <c r="A558" s="214"/>
      <c r="B558" s="214"/>
      <c r="C558" s="214"/>
      <c r="D558" s="214"/>
      <c r="E558" s="214"/>
      <c r="F558" s="214"/>
      <c r="G558" s="214"/>
      <c r="H558" s="214"/>
      <c r="I558" s="214"/>
      <c r="J558" s="214"/>
      <c r="K558" s="214"/>
      <c r="L558" s="214"/>
      <c r="M558" s="215"/>
      <c r="N558" s="215"/>
      <c r="O558" s="216"/>
      <c r="P558" s="216"/>
      <c r="Q558" s="216"/>
      <c r="R558" s="216"/>
      <c r="S558" s="216"/>
      <c r="T558" s="216"/>
      <c r="U558" s="216"/>
    </row>
    <row r="559" spans="1:21" ht="12.75" x14ac:dyDescent="0.2">
      <c r="A559" s="214"/>
      <c r="B559" s="214"/>
      <c r="C559" s="214"/>
      <c r="D559" s="214"/>
      <c r="E559" s="214"/>
      <c r="F559" s="214"/>
      <c r="G559" s="214"/>
      <c r="H559" s="214"/>
      <c r="I559" s="214"/>
      <c r="J559" s="214"/>
      <c r="K559" s="214"/>
      <c r="L559" s="214"/>
      <c r="M559" s="215"/>
      <c r="N559" s="215"/>
      <c r="O559" s="216"/>
      <c r="P559" s="216"/>
      <c r="Q559" s="216"/>
      <c r="R559" s="216"/>
      <c r="S559" s="216"/>
      <c r="T559" s="216"/>
      <c r="U559" s="216"/>
    </row>
    <row r="560" spans="1:21" ht="12.75" x14ac:dyDescent="0.2">
      <c r="A560" s="214"/>
      <c r="B560" s="214"/>
      <c r="C560" s="214"/>
      <c r="D560" s="214"/>
      <c r="E560" s="214"/>
      <c r="F560" s="214"/>
      <c r="G560" s="214"/>
      <c r="H560" s="214"/>
      <c r="I560" s="214"/>
      <c r="J560" s="214"/>
      <c r="K560" s="214"/>
      <c r="L560" s="214"/>
      <c r="M560" s="215"/>
      <c r="N560" s="215"/>
      <c r="O560" s="216"/>
      <c r="P560" s="216"/>
      <c r="Q560" s="216"/>
      <c r="R560" s="216"/>
      <c r="S560" s="216"/>
      <c r="T560" s="216"/>
      <c r="U560" s="216"/>
    </row>
    <row r="561" spans="1:21" ht="12.75" x14ac:dyDescent="0.2">
      <c r="A561" s="214"/>
      <c r="B561" s="214"/>
      <c r="C561" s="214"/>
      <c r="D561" s="214"/>
      <c r="E561" s="214"/>
      <c r="F561" s="214"/>
      <c r="G561" s="214"/>
      <c r="H561" s="214"/>
      <c r="I561" s="214"/>
      <c r="J561" s="214"/>
      <c r="K561" s="214"/>
      <c r="L561" s="214"/>
      <c r="M561" s="215"/>
      <c r="N561" s="215"/>
      <c r="O561" s="216"/>
      <c r="P561" s="216"/>
      <c r="Q561" s="216"/>
      <c r="R561" s="216"/>
      <c r="S561" s="216"/>
      <c r="T561" s="216"/>
      <c r="U561" s="216"/>
    </row>
    <row r="562" spans="1:21" ht="12.75" x14ac:dyDescent="0.2">
      <c r="A562" s="214"/>
      <c r="B562" s="214"/>
      <c r="C562" s="214"/>
      <c r="D562" s="214"/>
      <c r="E562" s="214"/>
      <c r="F562" s="214"/>
      <c r="G562" s="214"/>
      <c r="H562" s="214"/>
      <c r="I562" s="214"/>
      <c r="J562" s="214"/>
      <c r="K562" s="214"/>
      <c r="L562" s="214"/>
      <c r="M562" s="215"/>
      <c r="N562" s="215"/>
      <c r="O562" s="216"/>
      <c r="P562" s="216"/>
      <c r="Q562" s="216"/>
      <c r="R562" s="216"/>
      <c r="S562" s="216"/>
      <c r="T562" s="216"/>
      <c r="U562" s="216"/>
    </row>
    <row r="563" spans="1:21" ht="12.75" x14ac:dyDescent="0.2">
      <c r="A563" s="214"/>
      <c r="B563" s="214"/>
      <c r="C563" s="214"/>
      <c r="D563" s="214"/>
      <c r="E563" s="214"/>
      <c r="F563" s="214"/>
      <c r="G563" s="214"/>
      <c r="H563" s="214"/>
      <c r="I563" s="214"/>
      <c r="J563" s="214"/>
      <c r="K563" s="214"/>
      <c r="L563" s="214"/>
      <c r="M563" s="215"/>
      <c r="N563" s="215"/>
      <c r="O563" s="216"/>
      <c r="P563" s="216"/>
      <c r="Q563" s="216"/>
      <c r="R563" s="216"/>
      <c r="S563" s="216"/>
      <c r="T563" s="216"/>
      <c r="U563" s="216"/>
    </row>
    <row r="564" spans="1:21" ht="12.75" x14ac:dyDescent="0.2">
      <c r="A564" s="214"/>
      <c r="B564" s="214"/>
      <c r="C564" s="214"/>
      <c r="D564" s="214"/>
      <c r="E564" s="214"/>
      <c r="F564" s="214"/>
      <c r="G564" s="214"/>
      <c r="H564" s="214"/>
      <c r="I564" s="214"/>
      <c r="J564" s="214"/>
      <c r="K564" s="214"/>
      <c r="L564" s="214"/>
      <c r="M564" s="215"/>
      <c r="N564" s="215"/>
      <c r="O564" s="216"/>
      <c r="P564" s="216"/>
      <c r="Q564" s="216"/>
      <c r="R564" s="216"/>
      <c r="S564" s="216"/>
      <c r="T564" s="216"/>
      <c r="U564" s="216"/>
    </row>
    <row r="565" spans="1:21" ht="12.75" x14ac:dyDescent="0.2">
      <c r="A565" s="214"/>
      <c r="B565" s="214"/>
      <c r="C565" s="214"/>
      <c r="D565" s="214"/>
      <c r="E565" s="214"/>
      <c r="F565" s="214"/>
      <c r="G565" s="214"/>
      <c r="H565" s="214"/>
      <c r="I565" s="214"/>
      <c r="J565" s="214"/>
      <c r="K565" s="214"/>
      <c r="L565" s="214"/>
      <c r="M565" s="215"/>
      <c r="N565" s="215"/>
      <c r="O565" s="216"/>
      <c r="P565" s="216"/>
      <c r="Q565" s="216"/>
      <c r="R565" s="216"/>
      <c r="S565" s="216"/>
      <c r="T565" s="216"/>
      <c r="U565" s="216"/>
    </row>
    <row r="566" spans="1:21" ht="12.75" x14ac:dyDescent="0.2">
      <c r="A566" s="214"/>
      <c r="B566" s="214"/>
      <c r="C566" s="214"/>
      <c r="D566" s="214"/>
      <c r="E566" s="214"/>
      <c r="F566" s="214"/>
      <c r="G566" s="214"/>
      <c r="H566" s="214"/>
      <c r="I566" s="214"/>
      <c r="J566" s="214"/>
      <c r="K566" s="214"/>
      <c r="L566" s="214"/>
      <c r="M566" s="215"/>
      <c r="N566" s="215"/>
      <c r="O566" s="216"/>
      <c r="P566" s="216"/>
      <c r="Q566" s="216"/>
      <c r="R566" s="216"/>
      <c r="S566" s="216"/>
      <c r="T566" s="216"/>
      <c r="U566" s="216"/>
    </row>
    <row r="567" spans="1:21" ht="12.75" x14ac:dyDescent="0.2">
      <c r="A567" s="214"/>
      <c r="B567" s="214"/>
      <c r="C567" s="214"/>
      <c r="D567" s="214"/>
      <c r="E567" s="214"/>
      <c r="F567" s="214"/>
      <c r="G567" s="214"/>
      <c r="H567" s="214"/>
      <c r="I567" s="214"/>
      <c r="J567" s="214"/>
      <c r="K567" s="214"/>
      <c r="L567" s="214"/>
      <c r="M567" s="215"/>
      <c r="N567" s="215"/>
      <c r="O567" s="216"/>
      <c r="P567" s="216"/>
      <c r="Q567" s="216"/>
      <c r="R567" s="216"/>
      <c r="S567" s="216"/>
      <c r="T567" s="216"/>
      <c r="U567" s="216"/>
    </row>
    <row r="568" spans="1:21" ht="12.75" x14ac:dyDescent="0.2">
      <c r="A568" s="214"/>
      <c r="B568" s="214"/>
      <c r="C568" s="214"/>
      <c r="D568" s="214"/>
      <c r="E568" s="214"/>
      <c r="F568" s="214"/>
      <c r="G568" s="214"/>
      <c r="H568" s="214"/>
      <c r="I568" s="214"/>
      <c r="J568" s="214"/>
      <c r="K568" s="214"/>
      <c r="L568" s="214"/>
      <c r="M568" s="215"/>
      <c r="N568" s="215"/>
      <c r="O568" s="216"/>
      <c r="P568" s="216"/>
      <c r="Q568" s="216"/>
      <c r="R568" s="216"/>
      <c r="S568" s="216"/>
      <c r="T568" s="216"/>
      <c r="U568" s="216"/>
    </row>
    <row r="569" spans="1:21" ht="12.75" x14ac:dyDescent="0.2">
      <c r="A569" s="214"/>
      <c r="B569" s="214"/>
      <c r="C569" s="214"/>
      <c r="D569" s="214"/>
      <c r="E569" s="214"/>
      <c r="F569" s="214"/>
      <c r="G569" s="214"/>
      <c r="H569" s="214"/>
      <c r="I569" s="214"/>
      <c r="J569" s="214"/>
      <c r="K569" s="214"/>
      <c r="L569" s="214"/>
      <c r="M569" s="215"/>
      <c r="N569" s="215"/>
      <c r="O569" s="216"/>
      <c r="P569" s="216"/>
      <c r="Q569" s="216"/>
      <c r="R569" s="216"/>
      <c r="S569" s="216"/>
      <c r="T569" s="216"/>
      <c r="U569" s="216"/>
    </row>
    <row r="570" spans="1:21" ht="12.75" x14ac:dyDescent="0.2">
      <c r="A570" s="214"/>
      <c r="B570" s="214"/>
      <c r="C570" s="214"/>
      <c r="D570" s="214"/>
      <c r="E570" s="214"/>
      <c r="F570" s="214"/>
      <c r="G570" s="214"/>
      <c r="H570" s="214"/>
      <c r="I570" s="214"/>
      <c r="J570" s="214"/>
      <c r="K570" s="214"/>
      <c r="L570" s="214"/>
      <c r="M570" s="215"/>
      <c r="N570" s="215"/>
      <c r="O570" s="216"/>
      <c r="P570" s="216"/>
      <c r="Q570" s="216"/>
      <c r="R570" s="216"/>
      <c r="S570" s="216"/>
      <c r="T570" s="216"/>
      <c r="U570" s="216"/>
    </row>
    <row r="571" spans="1:21" ht="12.75" x14ac:dyDescent="0.2">
      <c r="A571" s="214"/>
      <c r="B571" s="214"/>
      <c r="C571" s="214"/>
      <c r="D571" s="214"/>
      <c r="E571" s="214"/>
      <c r="F571" s="214"/>
      <c r="G571" s="214"/>
      <c r="H571" s="214"/>
      <c r="I571" s="214"/>
      <c r="J571" s="214"/>
      <c r="K571" s="214"/>
      <c r="L571" s="214"/>
      <c r="M571" s="215"/>
      <c r="N571" s="215"/>
      <c r="O571" s="216"/>
      <c r="P571" s="216"/>
      <c r="Q571" s="216"/>
      <c r="R571" s="216"/>
      <c r="S571" s="216"/>
      <c r="T571" s="216"/>
      <c r="U571" s="216"/>
    </row>
    <row r="572" spans="1:21" ht="12.75" x14ac:dyDescent="0.2">
      <c r="A572" s="214"/>
      <c r="B572" s="214"/>
      <c r="C572" s="214"/>
      <c r="D572" s="214"/>
      <c r="E572" s="214"/>
      <c r="F572" s="214"/>
      <c r="G572" s="214"/>
      <c r="H572" s="214"/>
      <c r="I572" s="214"/>
      <c r="J572" s="214"/>
      <c r="K572" s="214"/>
      <c r="L572" s="214"/>
      <c r="M572" s="215"/>
      <c r="N572" s="215"/>
      <c r="O572" s="216"/>
      <c r="P572" s="216"/>
      <c r="Q572" s="216"/>
      <c r="R572" s="216"/>
      <c r="S572" s="216"/>
      <c r="T572" s="216"/>
      <c r="U572" s="216"/>
    </row>
    <row r="573" spans="1:21" ht="12.75" x14ac:dyDescent="0.2">
      <c r="A573" s="214"/>
      <c r="B573" s="214"/>
      <c r="C573" s="214"/>
      <c r="D573" s="214"/>
      <c r="E573" s="214"/>
      <c r="F573" s="214"/>
      <c r="G573" s="214"/>
      <c r="H573" s="214"/>
      <c r="I573" s="214"/>
      <c r="J573" s="214"/>
      <c r="K573" s="214"/>
      <c r="L573" s="214"/>
      <c r="M573" s="215"/>
      <c r="N573" s="215"/>
      <c r="O573" s="216"/>
      <c r="P573" s="216"/>
      <c r="Q573" s="216"/>
      <c r="R573" s="216"/>
      <c r="S573" s="216"/>
      <c r="T573" s="216"/>
      <c r="U573" s="216"/>
    </row>
    <row r="574" spans="1:21" ht="12.75" x14ac:dyDescent="0.2">
      <c r="A574" s="214"/>
      <c r="B574" s="214"/>
      <c r="C574" s="214"/>
      <c r="D574" s="214"/>
      <c r="E574" s="214"/>
      <c r="F574" s="214"/>
      <c r="G574" s="214"/>
      <c r="H574" s="214"/>
      <c r="I574" s="214"/>
      <c r="J574" s="214"/>
      <c r="K574" s="214"/>
      <c r="L574" s="214"/>
      <c r="M574" s="215"/>
      <c r="N574" s="215"/>
      <c r="O574" s="216"/>
      <c r="P574" s="216"/>
      <c r="Q574" s="216"/>
      <c r="R574" s="216"/>
      <c r="S574" s="216"/>
      <c r="T574" s="216"/>
      <c r="U574" s="216"/>
    </row>
    <row r="575" spans="1:21" ht="12.75" x14ac:dyDescent="0.2">
      <c r="A575" s="214"/>
      <c r="B575" s="214"/>
      <c r="C575" s="214"/>
      <c r="D575" s="214"/>
      <c r="E575" s="214"/>
      <c r="F575" s="214"/>
      <c r="G575" s="214"/>
      <c r="H575" s="214"/>
      <c r="I575" s="214"/>
      <c r="J575" s="214"/>
      <c r="K575" s="214"/>
      <c r="L575" s="214"/>
      <c r="M575" s="215"/>
      <c r="N575" s="215"/>
      <c r="O575" s="216"/>
      <c r="P575" s="216"/>
      <c r="Q575" s="216"/>
      <c r="R575" s="216"/>
      <c r="S575" s="216"/>
      <c r="T575" s="216"/>
      <c r="U575" s="216"/>
    </row>
    <row r="576" spans="1:21" ht="12.75" x14ac:dyDescent="0.2">
      <c r="A576" s="214"/>
      <c r="B576" s="214"/>
      <c r="C576" s="214"/>
      <c r="D576" s="214"/>
      <c r="E576" s="214"/>
      <c r="F576" s="214"/>
      <c r="G576" s="214"/>
      <c r="H576" s="214"/>
      <c r="I576" s="214"/>
      <c r="J576" s="214"/>
      <c r="K576" s="214"/>
      <c r="L576" s="214"/>
      <c r="M576" s="215"/>
      <c r="N576" s="215"/>
      <c r="O576" s="216"/>
      <c r="P576" s="216"/>
      <c r="Q576" s="216"/>
      <c r="R576" s="216"/>
      <c r="S576" s="216"/>
      <c r="T576" s="216"/>
      <c r="U576" s="216"/>
    </row>
    <row r="577" spans="1:21" ht="12.75" x14ac:dyDescent="0.2">
      <c r="A577" s="214"/>
      <c r="B577" s="214"/>
      <c r="C577" s="214"/>
      <c r="D577" s="214"/>
      <c r="E577" s="214"/>
      <c r="F577" s="214"/>
      <c r="G577" s="214"/>
      <c r="H577" s="214"/>
      <c r="I577" s="214"/>
      <c r="J577" s="214"/>
      <c r="K577" s="214"/>
      <c r="L577" s="214"/>
      <c r="M577" s="215"/>
      <c r="N577" s="215"/>
      <c r="O577" s="216"/>
      <c r="P577" s="216"/>
      <c r="Q577" s="216"/>
      <c r="R577" s="216"/>
      <c r="S577" s="216"/>
      <c r="T577" s="216"/>
      <c r="U577" s="216"/>
    </row>
    <row r="578" spans="1:21" ht="12.75" x14ac:dyDescent="0.2">
      <c r="A578" s="214"/>
      <c r="B578" s="214"/>
      <c r="C578" s="214"/>
      <c r="D578" s="214"/>
      <c r="E578" s="214"/>
      <c r="F578" s="214"/>
      <c r="G578" s="214"/>
      <c r="H578" s="214"/>
      <c r="I578" s="214"/>
      <c r="J578" s="214"/>
      <c r="K578" s="214"/>
      <c r="L578" s="214"/>
      <c r="M578" s="215"/>
      <c r="N578" s="215"/>
      <c r="O578" s="216"/>
      <c r="P578" s="216"/>
      <c r="Q578" s="216"/>
      <c r="R578" s="216"/>
      <c r="S578" s="216"/>
      <c r="T578" s="216"/>
      <c r="U578" s="216"/>
    </row>
    <row r="579" spans="1:21" ht="12.75" x14ac:dyDescent="0.2">
      <c r="A579" s="214"/>
      <c r="B579" s="214"/>
      <c r="C579" s="214"/>
      <c r="D579" s="214"/>
      <c r="E579" s="214"/>
      <c r="F579" s="214"/>
      <c r="G579" s="214"/>
      <c r="H579" s="214"/>
      <c r="I579" s="214"/>
      <c r="J579" s="214"/>
      <c r="K579" s="214"/>
      <c r="L579" s="214"/>
      <c r="M579" s="215"/>
      <c r="N579" s="215"/>
      <c r="O579" s="216"/>
      <c r="P579" s="216"/>
      <c r="Q579" s="216"/>
      <c r="R579" s="216"/>
      <c r="S579" s="216"/>
      <c r="T579" s="216"/>
      <c r="U579" s="216"/>
    </row>
    <row r="580" spans="1:21" ht="12.75" x14ac:dyDescent="0.2">
      <c r="A580" s="214"/>
      <c r="B580" s="214"/>
      <c r="C580" s="214"/>
      <c r="D580" s="214"/>
      <c r="E580" s="214"/>
      <c r="F580" s="214"/>
      <c r="G580" s="214"/>
      <c r="H580" s="214"/>
      <c r="I580" s="214"/>
      <c r="J580" s="214"/>
      <c r="K580" s="214"/>
      <c r="L580" s="214"/>
      <c r="M580" s="215"/>
      <c r="N580" s="215"/>
      <c r="O580" s="216"/>
      <c r="P580" s="216"/>
      <c r="Q580" s="216"/>
      <c r="R580" s="216"/>
      <c r="S580" s="216"/>
      <c r="T580" s="216"/>
      <c r="U580" s="216"/>
    </row>
    <row r="581" spans="1:21" ht="12.75" x14ac:dyDescent="0.2">
      <c r="A581" s="214"/>
      <c r="B581" s="214"/>
      <c r="C581" s="214"/>
      <c r="D581" s="214"/>
      <c r="E581" s="214"/>
      <c r="F581" s="214"/>
      <c r="G581" s="214"/>
      <c r="H581" s="214"/>
      <c r="I581" s="214"/>
      <c r="J581" s="214"/>
      <c r="K581" s="214"/>
      <c r="L581" s="214"/>
      <c r="M581" s="215"/>
      <c r="N581" s="215"/>
      <c r="O581" s="216"/>
      <c r="P581" s="216"/>
      <c r="Q581" s="216"/>
      <c r="R581" s="216"/>
      <c r="S581" s="216"/>
      <c r="T581" s="216"/>
      <c r="U581" s="216"/>
    </row>
    <row r="582" spans="1:21" ht="12.75" x14ac:dyDescent="0.2">
      <c r="A582" s="214"/>
      <c r="B582" s="214"/>
      <c r="C582" s="214"/>
      <c r="D582" s="214"/>
      <c r="E582" s="214"/>
      <c r="F582" s="214"/>
      <c r="G582" s="214"/>
      <c r="H582" s="214"/>
      <c r="I582" s="214"/>
      <c r="J582" s="214"/>
      <c r="K582" s="214"/>
      <c r="L582" s="214"/>
      <c r="M582" s="215"/>
      <c r="N582" s="215"/>
      <c r="O582" s="216"/>
      <c r="P582" s="216"/>
      <c r="Q582" s="216"/>
      <c r="R582" s="216"/>
      <c r="S582" s="216"/>
      <c r="T582" s="216"/>
      <c r="U582" s="216"/>
    </row>
    <row r="583" spans="1:21" ht="12.75" x14ac:dyDescent="0.2">
      <c r="A583" s="214"/>
      <c r="B583" s="214"/>
      <c r="C583" s="214"/>
      <c r="D583" s="214"/>
      <c r="E583" s="214"/>
      <c r="F583" s="214"/>
      <c r="G583" s="214"/>
      <c r="H583" s="214"/>
      <c r="I583" s="214"/>
      <c r="J583" s="214"/>
      <c r="K583" s="214"/>
      <c r="L583" s="214"/>
      <c r="M583" s="215"/>
      <c r="N583" s="215"/>
      <c r="O583" s="216"/>
      <c r="P583" s="216"/>
      <c r="Q583" s="216"/>
      <c r="R583" s="216"/>
      <c r="S583" s="216"/>
      <c r="T583" s="216"/>
      <c r="U583" s="216"/>
    </row>
    <row r="584" spans="1:21" ht="12.75" x14ac:dyDescent="0.2">
      <c r="A584" s="214"/>
      <c r="B584" s="214"/>
      <c r="C584" s="214"/>
      <c r="D584" s="214"/>
      <c r="E584" s="214"/>
      <c r="F584" s="214"/>
      <c r="G584" s="214"/>
      <c r="H584" s="214"/>
      <c r="I584" s="214"/>
      <c r="J584" s="214"/>
      <c r="K584" s="214"/>
      <c r="L584" s="214"/>
      <c r="M584" s="215"/>
      <c r="N584" s="215"/>
      <c r="O584" s="216"/>
      <c r="P584" s="216"/>
      <c r="Q584" s="216"/>
      <c r="R584" s="216"/>
      <c r="S584" s="216"/>
      <c r="T584" s="216"/>
      <c r="U584" s="216"/>
    </row>
    <row r="585" spans="1:21" ht="12.75" x14ac:dyDescent="0.2">
      <c r="A585" s="214"/>
      <c r="B585" s="214"/>
      <c r="C585" s="214"/>
      <c r="D585" s="214"/>
      <c r="E585" s="214"/>
      <c r="F585" s="214"/>
      <c r="G585" s="214"/>
      <c r="H585" s="214"/>
      <c r="I585" s="214"/>
      <c r="J585" s="214"/>
      <c r="K585" s="214"/>
      <c r="L585" s="214"/>
      <c r="M585" s="215"/>
      <c r="N585" s="215"/>
      <c r="O585" s="216"/>
      <c r="P585" s="216"/>
      <c r="Q585" s="216"/>
      <c r="R585" s="216"/>
      <c r="S585" s="216"/>
      <c r="T585" s="216"/>
      <c r="U585" s="216"/>
    </row>
    <row r="586" spans="1:21" ht="12.75" x14ac:dyDescent="0.2">
      <c r="A586" s="214"/>
      <c r="B586" s="214"/>
      <c r="C586" s="214"/>
      <c r="D586" s="214"/>
      <c r="E586" s="214"/>
      <c r="F586" s="214"/>
      <c r="G586" s="214"/>
      <c r="H586" s="214"/>
      <c r="I586" s="214"/>
      <c r="J586" s="214"/>
      <c r="K586" s="214"/>
      <c r="L586" s="214"/>
      <c r="M586" s="215"/>
      <c r="N586" s="215"/>
      <c r="O586" s="216"/>
      <c r="P586" s="216"/>
      <c r="Q586" s="216"/>
      <c r="R586" s="216"/>
      <c r="S586" s="216"/>
      <c r="T586" s="216"/>
      <c r="U586" s="216"/>
    </row>
    <row r="587" spans="1:21" ht="12.75" x14ac:dyDescent="0.2">
      <c r="A587" s="214"/>
      <c r="B587" s="214"/>
      <c r="C587" s="214"/>
      <c r="D587" s="214"/>
      <c r="E587" s="214"/>
      <c r="F587" s="214"/>
      <c r="G587" s="214"/>
      <c r="H587" s="214"/>
      <c r="I587" s="214"/>
      <c r="J587" s="214"/>
      <c r="K587" s="214"/>
      <c r="L587" s="214"/>
      <c r="M587" s="215"/>
      <c r="N587" s="215"/>
      <c r="O587" s="216"/>
      <c r="P587" s="216"/>
      <c r="Q587" s="216"/>
      <c r="R587" s="216"/>
      <c r="S587" s="216"/>
      <c r="T587" s="216"/>
      <c r="U587" s="216"/>
    </row>
    <row r="588" spans="1:21" ht="12.75" x14ac:dyDescent="0.2">
      <c r="A588" s="214"/>
      <c r="B588" s="214"/>
      <c r="C588" s="214"/>
      <c r="D588" s="214"/>
      <c r="E588" s="214"/>
      <c r="F588" s="214"/>
      <c r="G588" s="214"/>
      <c r="H588" s="214"/>
      <c r="I588" s="214"/>
      <c r="J588" s="214"/>
      <c r="K588" s="214"/>
      <c r="L588" s="214"/>
      <c r="M588" s="215"/>
      <c r="N588" s="215"/>
      <c r="O588" s="216"/>
      <c r="P588" s="216"/>
      <c r="Q588" s="216"/>
      <c r="R588" s="216"/>
      <c r="S588" s="216"/>
      <c r="T588" s="216"/>
      <c r="U588" s="216"/>
    </row>
    <row r="589" spans="1:21" ht="12.75" x14ac:dyDescent="0.2">
      <c r="A589" s="214"/>
      <c r="B589" s="214"/>
      <c r="C589" s="214"/>
      <c r="D589" s="214"/>
      <c r="E589" s="214"/>
      <c r="F589" s="214"/>
      <c r="G589" s="214"/>
      <c r="H589" s="214"/>
      <c r="I589" s="214"/>
      <c r="J589" s="214"/>
      <c r="K589" s="214"/>
      <c r="L589" s="214"/>
      <c r="M589" s="215"/>
      <c r="N589" s="215"/>
      <c r="O589" s="216"/>
      <c r="P589" s="216"/>
      <c r="Q589" s="216"/>
      <c r="R589" s="216"/>
      <c r="S589" s="216"/>
      <c r="T589" s="216"/>
      <c r="U589" s="216"/>
    </row>
    <row r="590" spans="1:21" ht="12.75" x14ac:dyDescent="0.2">
      <c r="A590" s="214"/>
      <c r="B590" s="214"/>
      <c r="C590" s="214"/>
      <c r="D590" s="214"/>
      <c r="E590" s="214"/>
      <c r="F590" s="214"/>
      <c r="G590" s="214"/>
      <c r="H590" s="214"/>
      <c r="I590" s="214"/>
      <c r="J590" s="214"/>
      <c r="K590" s="214"/>
      <c r="L590" s="214"/>
      <c r="M590" s="215"/>
      <c r="N590" s="215"/>
      <c r="O590" s="216"/>
      <c r="P590" s="216"/>
      <c r="Q590" s="216"/>
      <c r="R590" s="216"/>
      <c r="S590" s="216"/>
      <c r="T590" s="216"/>
      <c r="U590" s="216"/>
    </row>
    <row r="591" spans="1:21" ht="12.75" x14ac:dyDescent="0.2">
      <c r="A591" s="214"/>
      <c r="B591" s="214"/>
      <c r="C591" s="214"/>
      <c r="D591" s="214"/>
      <c r="E591" s="214"/>
      <c r="F591" s="214"/>
      <c r="G591" s="214"/>
      <c r="H591" s="214"/>
      <c r="I591" s="214"/>
      <c r="J591" s="214"/>
      <c r="K591" s="214"/>
      <c r="L591" s="214"/>
      <c r="M591" s="215"/>
      <c r="N591" s="215"/>
      <c r="O591" s="216"/>
      <c r="P591" s="216"/>
      <c r="Q591" s="216"/>
      <c r="R591" s="216"/>
      <c r="S591" s="216"/>
      <c r="T591" s="216"/>
      <c r="U591" s="216"/>
    </row>
    <row r="592" spans="1:21" ht="12.75" x14ac:dyDescent="0.2">
      <c r="A592" s="214"/>
      <c r="B592" s="214"/>
      <c r="C592" s="214"/>
      <c r="D592" s="214"/>
      <c r="E592" s="214"/>
      <c r="F592" s="214"/>
      <c r="G592" s="214"/>
      <c r="H592" s="214"/>
      <c r="I592" s="214"/>
      <c r="J592" s="214"/>
      <c r="K592" s="214"/>
      <c r="L592" s="214"/>
      <c r="M592" s="215"/>
      <c r="N592" s="215"/>
      <c r="O592" s="216"/>
      <c r="P592" s="216"/>
      <c r="Q592" s="216"/>
      <c r="R592" s="216"/>
      <c r="S592" s="216"/>
      <c r="T592" s="216"/>
      <c r="U592" s="216"/>
    </row>
    <row r="593" spans="1:21" ht="12.75" x14ac:dyDescent="0.2">
      <c r="A593" s="214"/>
      <c r="B593" s="214"/>
      <c r="C593" s="214"/>
      <c r="D593" s="214"/>
      <c r="E593" s="214"/>
      <c r="F593" s="214"/>
      <c r="G593" s="214"/>
      <c r="H593" s="214"/>
      <c r="I593" s="214"/>
      <c r="J593" s="214"/>
      <c r="K593" s="214"/>
      <c r="L593" s="214"/>
      <c r="M593" s="215"/>
      <c r="N593" s="215"/>
      <c r="O593" s="216"/>
      <c r="P593" s="216"/>
      <c r="Q593" s="216"/>
      <c r="R593" s="216"/>
      <c r="S593" s="216"/>
      <c r="T593" s="216"/>
      <c r="U593" s="216"/>
    </row>
    <row r="594" spans="1:21" ht="12.75" x14ac:dyDescent="0.2">
      <c r="A594" s="214"/>
      <c r="B594" s="214"/>
      <c r="C594" s="214"/>
      <c r="D594" s="214"/>
      <c r="E594" s="214"/>
      <c r="F594" s="214"/>
      <c r="G594" s="214"/>
      <c r="H594" s="214"/>
      <c r="I594" s="214"/>
      <c r="J594" s="214"/>
      <c r="K594" s="214"/>
      <c r="L594" s="214"/>
      <c r="M594" s="215"/>
      <c r="N594" s="215"/>
      <c r="O594" s="216"/>
      <c r="P594" s="216"/>
      <c r="Q594" s="216"/>
      <c r="R594" s="216"/>
      <c r="S594" s="216"/>
      <c r="T594" s="216"/>
      <c r="U594" s="216"/>
    </row>
    <row r="595" spans="1:21" ht="12.75" x14ac:dyDescent="0.2">
      <c r="A595" s="214"/>
      <c r="B595" s="214"/>
      <c r="C595" s="214"/>
      <c r="D595" s="214"/>
      <c r="E595" s="214"/>
      <c r="F595" s="214"/>
      <c r="G595" s="214"/>
      <c r="H595" s="214"/>
      <c r="I595" s="214"/>
      <c r="J595" s="214"/>
      <c r="K595" s="214"/>
      <c r="L595" s="214"/>
      <c r="M595" s="215"/>
      <c r="N595" s="215"/>
      <c r="O595" s="216"/>
      <c r="P595" s="216"/>
      <c r="Q595" s="216"/>
      <c r="R595" s="216"/>
      <c r="S595" s="216"/>
      <c r="T595" s="216"/>
      <c r="U595" s="216"/>
    </row>
    <row r="596" spans="1:21" ht="12.75" x14ac:dyDescent="0.2">
      <c r="A596" s="214"/>
      <c r="B596" s="214"/>
      <c r="C596" s="214"/>
      <c r="D596" s="214"/>
      <c r="E596" s="214"/>
      <c r="F596" s="214"/>
      <c r="G596" s="214"/>
      <c r="H596" s="214"/>
      <c r="I596" s="214"/>
      <c r="J596" s="214"/>
      <c r="K596" s="214"/>
      <c r="L596" s="214"/>
      <c r="M596" s="215"/>
      <c r="N596" s="215"/>
      <c r="O596" s="216"/>
      <c r="P596" s="216"/>
      <c r="Q596" s="216"/>
      <c r="R596" s="216"/>
      <c r="S596" s="216"/>
      <c r="T596" s="216"/>
      <c r="U596" s="216"/>
    </row>
    <row r="597" spans="1:21" ht="12.75" x14ac:dyDescent="0.2">
      <c r="A597" s="214"/>
      <c r="B597" s="214"/>
      <c r="C597" s="214"/>
      <c r="D597" s="214"/>
      <c r="E597" s="214"/>
      <c r="F597" s="214"/>
      <c r="G597" s="214"/>
      <c r="H597" s="214"/>
      <c r="I597" s="214"/>
      <c r="J597" s="214"/>
      <c r="K597" s="214"/>
      <c r="L597" s="214"/>
      <c r="M597" s="215"/>
      <c r="N597" s="215"/>
      <c r="O597" s="216"/>
      <c r="P597" s="216"/>
      <c r="Q597" s="216"/>
      <c r="R597" s="216"/>
      <c r="S597" s="216"/>
      <c r="T597" s="216"/>
      <c r="U597" s="216"/>
    </row>
    <row r="598" spans="1:21" ht="12.75" x14ac:dyDescent="0.2">
      <c r="A598" s="214"/>
      <c r="B598" s="214"/>
      <c r="C598" s="214"/>
      <c r="D598" s="214"/>
      <c r="E598" s="214"/>
      <c r="F598" s="214"/>
      <c r="G598" s="214"/>
      <c r="H598" s="214"/>
      <c r="I598" s="214"/>
      <c r="J598" s="214"/>
      <c r="K598" s="214"/>
      <c r="L598" s="214"/>
      <c r="M598" s="215"/>
      <c r="N598" s="215"/>
      <c r="O598" s="216"/>
      <c r="P598" s="216"/>
      <c r="Q598" s="216"/>
      <c r="R598" s="216"/>
      <c r="S598" s="216"/>
      <c r="T598" s="216"/>
      <c r="U598" s="216"/>
    </row>
    <row r="599" spans="1:21" ht="12.75" x14ac:dyDescent="0.2">
      <c r="A599" s="214"/>
      <c r="B599" s="214"/>
      <c r="C599" s="214"/>
      <c r="D599" s="214"/>
      <c r="E599" s="214"/>
      <c r="F599" s="214"/>
      <c r="G599" s="214"/>
      <c r="H599" s="214"/>
      <c r="I599" s="214"/>
      <c r="J599" s="214"/>
      <c r="K599" s="214"/>
      <c r="L599" s="214"/>
      <c r="M599" s="215"/>
      <c r="N599" s="215"/>
      <c r="O599" s="216"/>
      <c r="P599" s="216"/>
      <c r="Q599" s="216"/>
      <c r="R599" s="216"/>
      <c r="S599" s="216"/>
      <c r="T599" s="216"/>
      <c r="U599" s="216"/>
    </row>
    <row r="600" spans="1:21" ht="12.75" x14ac:dyDescent="0.2">
      <c r="A600" s="214"/>
      <c r="B600" s="214"/>
      <c r="C600" s="214"/>
      <c r="D600" s="214"/>
      <c r="E600" s="214"/>
      <c r="F600" s="214"/>
      <c r="G600" s="214"/>
      <c r="H600" s="214"/>
      <c r="I600" s="214"/>
      <c r="J600" s="214"/>
      <c r="K600" s="214"/>
      <c r="L600" s="214"/>
      <c r="M600" s="215"/>
      <c r="N600" s="215"/>
      <c r="O600" s="216"/>
      <c r="P600" s="216"/>
      <c r="Q600" s="216"/>
      <c r="R600" s="216"/>
      <c r="S600" s="216"/>
      <c r="T600" s="216"/>
      <c r="U600" s="216"/>
    </row>
    <row r="601" spans="1:21" ht="12.75" x14ac:dyDescent="0.2">
      <c r="A601" s="214"/>
      <c r="B601" s="214"/>
      <c r="C601" s="214"/>
      <c r="D601" s="214"/>
      <c r="E601" s="214"/>
      <c r="F601" s="214"/>
      <c r="G601" s="214"/>
      <c r="H601" s="214"/>
      <c r="I601" s="214"/>
      <c r="J601" s="214"/>
      <c r="K601" s="214"/>
      <c r="L601" s="214"/>
      <c r="M601" s="215"/>
      <c r="N601" s="215"/>
      <c r="O601" s="216"/>
      <c r="P601" s="216"/>
      <c r="Q601" s="216"/>
      <c r="R601" s="216"/>
      <c r="S601" s="216"/>
      <c r="T601" s="216"/>
      <c r="U601" s="216"/>
    </row>
    <row r="602" spans="1:21" ht="12.75" x14ac:dyDescent="0.2">
      <c r="A602" s="214"/>
      <c r="B602" s="214"/>
      <c r="C602" s="214"/>
      <c r="D602" s="214"/>
      <c r="E602" s="214"/>
      <c r="F602" s="214"/>
      <c r="G602" s="214"/>
      <c r="H602" s="214"/>
      <c r="I602" s="214"/>
      <c r="J602" s="214"/>
      <c r="K602" s="214"/>
      <c r="L602" s="214"/>
      <c r="M602" s="215"/>
      <c r="N602" s="215"/>
      <c r="O602" s="216"/>
      <c r="P602" s="216"/>
      <c r="Q602" s="216"/>
      <c r="R602" s="216"/>
      <c r="S602" s="216"/>
      <c r="T602" s="216"/>
      <c r="U602" s="216"/>
    </row>
    <row r="603" spans="1:21" ht="12.75" x14ac:dyDescent="0.2">
      <c r="A603" s="214"/>
      <c r="B603" s="214"/>
      <c r="C603" s="214"/>
      <c r="D603" s="214"/>
      <c r="E603" s="214"/>
      <c r="F603" s="214"/>
      <c r="G603" s="214"/>
      <c r="H603" s="214"/>
      <c r="I603" s="214"/>
      <c r="J603" s="214"/>
      <c r="K603" s="214"/>
      <c r="L603" s="214"/>
      <c r="M603" s="215"/>
      <c r="N603" s="215"/>
      <c r="O603" s="216"/>
      <c r="P603" s="216"/>
      <c r="Q603" s="216"/>
      <c r="R603" s="216"/>
      <c r="S603" s="216"/>
      <c r="T603" s="216"/>
      <c r="U603" s="216"/>
    </row>
    <row r="604" spans="1:21" ht="12.75" x14ac:dyDescent="0.2">
      <c r="A604" s="214"/>
      <c r="B604" s="214"/>
      <c r="C604" s="214"/>
      <c r="D604" s="214"/>
      <c r="E604" s="214"/>
      <c r="F604" s="214"/>
      <c r="G604" s="214"/>
      <c r="H604" s="214"/>
      <c r="I604" s="214"/>
      <c r="J604" s="214"/>
      <c r="K604" s="214"/>
      <c r="L604" s="214"/>
      <c r="M604" s="215"/>
      <c r="N604" s="215"/>
      <c r="O604" s="216"/>
      <c r="P604" s="216"/>
      <c r="Q604" s="216"/>
      <c r="R604" s="216"/>
      <c r="S604" s="216"/>
      <c r="T604" s="216"/>
      <c r="U604" s="216"/>
    </row>
    <row r="605" spans="1:21" ht="12.75" x14ac:dyDescent="0.2">
      <c r="A605" s="214"/>
      <c r="B605" s="214"/>
      <c r="C605" s="214"/>
      <c r="D605" s="214"/>
      <c r="E605" s="214"/>
      <c r="F605" s="214"/>
      <c r="G605" s="214"/>
      <c r="H605" s="214"/>
      <c r="I605" s="214"/>
      <c r="J605" s="214"/>
      <c r="K605" s="214"/>
      <c r="L605" s="214"/>
      <c r="M605" s="215"/>
      <c r="N605" s="215"/>
      <c r="O605" s="216"/>
      <c r="P605" s="216"/>
      <c r="Q605" s="216"/>
      <c r="R605" s="216"/>
      <c r="S605" s="216"/>
      <c r="T605" s="216"/>
      <c r="U605" s="216"/>
    </row>
    <row r="606" spans="1:21" ht="12.75" x14ac:dyDescent="0.2">
      <c r="A606" s="214"/>
      <c r="B606" s="214"/>
      <c r="C606" s="214"/>
      <c r="D606" s="214"/>
      <c r="E606" s="214"/>
      <c r="F606" s="214"/>
      <c r="G606" s="214"/>
      <c r="H606" s="214"/>
      <c r="I606" s="214"/>
      <c r="J606" s="214"/>
      <c r="K606" s="214"/>
      <c r="L606" s="214"/>
      <c r="M606" s="215"/>
      <c r="N606" s="215"/>
      <c r="O606" s="216"/>
      <c r="P606" s="216"/>
      <c r="Q606" s="216"/>
      <c r="R606" s="216"/>
      <c r="S606" s="216"/>
      <c r="T606" s="216"/>
      <c r="U606" s="216"/>
    </row>
    <row r="607" spans="1:21" ht="12.75" x14ac:dyDescent="0.2">
      <c r="A607" s="214"/>
      <c r="B607" s="214"/>
      <c r="C607" s="214"/>
      <c r="D607" s="214"/>
      <c r="E607" s="214"/>
      <c r="F607" s="214"/>
      <c r="G607" s="214"/>
      <c r="H607" s="214"/>
      <c r="I607" s="214"/>
      <c r="J607" s="214"/>
      <c r="K607" s="214"/>
      <c r="L607" s="214"/>
      <c r="M607" s="215"/>
      <c r="N607" s="215"/>
      <c r="O607" s="216"/>
      <c r="P607" s="216"/>
      <c r="Q607" s="216"/>
      <c r="R607" s="216"/>
      <c r="S607" s="216"/>
      <c r="T607" s="216"/>
      <c r="U607" s="216"/>
    </row>
    <row r="608" spans="1:21" ht="12.75" x14ac:dyDescent="0.2">
      <c r="A608" s="214"/>
      <c r="B608" s="214"/>
      <c r="C608" s="214"/>
      <c r="D608" s="214"/>
      <c r="E608" s="214"/>
      <c r="F608" s="214"/>
      <c r="G608" s="214"/>
      <c r="H608" s="214"/>
      <c r="I608" s="214"/>
      <c r="J608" s="214"/>
      <c r="K608" s="214"/>
      <c r="L608" s="214"/>
      <c r="M608" s="215"/>
      <c r="N608" s="215"/>
      <c r="O608" s="216"/>
      <c r="P608" s="216"/>
      <c r="Q608" s="216"/>
      <c r="R608" s="216"/>
      <c r="S608" s="216"/>
      <c r="T608" s="216"/>
      <c r="U608" s="216"/>
    </row>
    <row r="609" spans="1:21" ht="12.75" x14ac:dyDescent="0.2">
      <c r="A609" s="214"/>
      <c r="B609" s="214"/>
      <c r="C609" s="214"/>
      <c r="D609" s="214"/>
      <c r="E609" s="214"/>
      <c r="F609" s="214"/>
      <c r="G609" s="214"/>
      <c r="H609" s="214"/>
      <c r="I609" s="214"/>
      <c r="J609" s="214"/>
      <c r="K609" s="214"/>
      <c r="L609" s="214"/>
      <c r="M609" s="215"/>
      <c r="N609" s="215"/>
      <c r="O609" s="216"/>
      <c r="P609" s="216"/>
      <c r="Q609" s="216"/>
      <c r="R609" s="216"/>
      <c r="S609" s="216"/>
      <c r="T609" s="216"/>
      <c r="U609" s="216"/>
    </row>
    <row r="610" spans="1:21" ht="12.75" x14ac:dyDescent="0.2">
      <c r="A610" s="214"/>
      <c r="B610" s="214"/>
      <c r="C610" s="214"/>
      <c r="D610" s="214"/>
      <c r="E610" s="214"/>
      <c r="F610" s="214"/>
      <c r="G610" s="214"/>
      <c r="H610" s="214"/>
      <c r="I610" s="214"/>
      <c r="J610" s="214"/>
      <c r="K610" s="214"/>
      <c r="L610" s="214"/>
      <c r="M610" s="215"/>
      <c r="N610" s="215"/>
      <c r="O610" s="216"/>
      <c r="P610" s="216"/>
      <c r="Q610" s="216"/>
      <c r="R610" s="216"/>
      <c r="S610" s="216"/>
      <c r="T610" s="216"/>
      <c r="U610" s="216"/>
    </row>
    <row r="611" spans="1:21" ht="12.75" x14ac:dyDescent="0.2">
      <c r="A611" s="214"/>
      <c r="B611" s="214"/>
      <c r="C611" s="214"/>
      <c r="D611" s="214"/>
      <c r="E611" s="214"/>
      <c r="F611" s="214"/>
      <c r="G611" s="214"/>
      <c r="H611" s="214"/>
      <c r="I611" s="214"/>
      <c r="J611" s="214"/>
      <c r="K611" s="214"/>
      <c r="L611" s="214"/>
      <c r="M611" s="215"/>
      <c r="N611" s="215"/>
      <c r="O611" s="216"/>
      <c r="P611" s="216"/>
      <c r="Q611" s="216"/>
      <c r="R611" s="216"/>
      <c r="S611" s="216"/>
      <c r="T611" s="216"/>
      <c r="U611" s="216"/>
    </row>
    <row r="612" spans="1:21" ht="12.75" x14ac:dyDescent="0.2">
      <c r="A612" s="214"/>
      <c r="B612" s="214"/>
      <c r="C612" s="214"/>
      <c r="D612" s="214"/>
      <c r="E612" s="214"/>
      <c r="F612" s="214"/>
      <c r="G612" s="214"/>
      <c r="H612" s="214"/>
      <c r="I612" s="214"/>
      <c r="J612" s="214"/>
      <c r="K612" s="214"/>
      <c r="L612" s="214"/>
      <c r="M612" s="215"/>
      <c r="N612" s="215"/>
      <c r="O612" s="216"/>
      <c r="P612" s="216"/>
      <c r="Q612" s="216"/>
      <c r="R612" s="216"/>
      <c r="S612" s="216"/>
      <c r="T612" s="216"/>
      <c r="U612" s="216"/>
    </row>
    <row r="613" spans="1:21" ht="12.75" x14ac:dyDescent="0.2">
      <c r="A613" s="214"/>
      <c r="B613" s="214"/>
      <c r="C613" s="214"/>
      <c r="D613" s="214"/>
      <c r="E613" s="214"/>
      <c r="F613" s="214"/>
      <c r="G613" s="214"/>
      <c r="H613" s="214"/>
      <c r="I613" s="214"/>
      <c r="J613" s="214"/>
      <c r="K613" s="214"/>
      <c r="L613" s="214"/>
      <c r="M613" s="215"/>
      <c r="N613" s="215"/>
      <c r="O613" s="216"/>
      <c r="P613" s="216"/>
      <c r="Q613" s="216"/>
      <c r="R613" s="216"/>
      <c r="S613" s="216"/>
      <c r="T613" s="216"/>
      <c r="U613" s="216"/>
    </row>
    <row r="614" spans="1:21" ht="12.75" x14ac:dyDescent="0.2">
      <c r="A614" s="214"/>
      <c r="B614" s="214"/>
      <c r="C614" s="214"/>
      <c r="D614" s="214"/>
      <c r="E614" s="214"/>
      <c r="F614" s="214"/>
      <c r="G614" s="214"/>
      <c r="H614" s="214"/>
      <c r="I614" s="214"/>
      <c r="J614" s="214"/>
      <c r="K614" s="214"/>
      <c r="L614" s="214"/>
      <c r="M614" s="215"/>
      <c r="N614" s="215"/>
      <c r="O614" s="216"/>
      <c r="P614" s="216"/>
      <c r="Q614" s="216"/>
      <c r="R614" s="216"/>
      <c r="S614" s="216"/>
      <c r="T614" s="216"/>
      <c r="U614" s="216"/>
    </row>
    <row r="615" spans="1:21" ht="12.75" x14ac:dyDescent="0.2">
      <c r="A615" s="214"/>
      <c r="B615" s="214"/>
      <c r="C615" s="214"/>
      <c r="D615" s="214"/>
      <c r="E615" s="214"/>
      <c r="F615" s="214"/>
      <c r="G615" s="214"/>
      <c r="H615" s="214"/>
      <c r="I615" s="214"/>
      <c r="J615" s="214"/>
      <c r="K615" s="214"/>
      <c r="L615" s="214"/>
      <c r="M615" s="215"/>
      <c r="N615" s="215"/>
      <c r="O615" s="216"/>
      <c r="P615" s="216"/>
      <c r="Q615" s="216"/>
      <c r="R615" s="216"/>
      <c r="S615" s="216"/>
      <c r="T615" s="216"/>
      <c r="U615" s="216"/>
    </row>
    <row r="616" spans="1:21" ht="12.75" x14ac:dyDescent="0.2">
      <c r="A616" s="214"/>
      <c r="B616" s="214"/>
      <c r="C616" s="214"/>
      <c r="D616" s="214"/>
      <c r="E616" s="214"/>
      <c r="F616" s="214"/>
      <c r="G616" s="214"/>
      <c r="H616" s="214"/>
      <c r="I616" s="214"/>
      <c r="J616" s="214"/>
      <c r="K616" s="214"/>
      <c r="L616" s="214"/>
      <c r="M616" s="215"/>
      <c r="N616" s="215"/>
      <c r="O616" s="216"/>
      <c r="P616" s="216"/>
      <c r="Q616" s="216"/>
      <c r="R616" s="216"/>
      <c r="S616" s="216"/>
      <c r="T616" s="216"/>
      <c r="U616" s="216"/>
    </row>
    <row r="617" spans="1:21" ht="12.75" x14ac:dyDescent="0.2">
      <c r="A617" s="214"/>
      <c r="B617" s="214"/>
      <c r="C617" s="214"/>
      <c r="D617" s="214"/>
      <c r="E617" s="214"/>
      <c r="F617" s="214"/>
      <c r="G617" s="214"/>
      <c r="H617" s="214"/>
      <c r="I617" s="214"/>
      <c r="J617" s="214"/>
      <c r="K617" s="214"/>
      <c r="L617" s="214"/>
      <c r="M617" s="215"/>
      <c r="N617" s="215"/>
      <c r="O617" s="216"/>
      <c r="P617" s="216"/>
      <c r="Q617" s="216"/>
      <c r="R617" s="216"/>
      <c r="S617" s="216"/>
      <c r="T617" s="216"/>
      <c r="U617" s="216"/>
    </row>
    <row r="618" spans="1:21" ht="12.75" x14ac:dyDescent="0.2">
      <c r="A618" s="214"/>
      <c r="B618" s="214"/>
      <c r="C618" s="214"/>
      <c r="D618" s="214"/>
      <c r="E618" s="214"/>
      <c r="F618" s="214"/>
      <c r="G618" s="214"/>
      <c r="H618" s="214"/>
      <c r="I618" s="214"/>
      <c r="J618" s="214"/>
      <c r="K618" s="214"/>
      <c r="L618" s="214"/>
      <c r="M618" s="215"/>
      <c r="N618" s="215"/>
      <c r="O618" s="216"/>
      <c r="P618" s="216"/>
      <c r="Q618" s="216"/>
      <c r="R618" s="216"/>
      <c r="S618" s="216"/>
      <c r="T618" s="216"/>
      <c r="U618" s="216"/>
    </row>
    <row r="619" spans="1:21" ht="12.75" x14ac:dyDescent="0.2">
      <c r="A619" s="214"/>
      <c r="B619" s="214"/>
      <c r="C619" s="214"/>
      <c r="D619" s="214"/>
      <c r="E619" s="214"/>
      <c r="F619" s="214"/>
      <c r="G619" s="214"/>
      <c r="H619" s="214"/>
      <c r="I619" s="214"/>
      <c r="J619" s="214"/>
      <c r="K619" s="214"/>
      <c r="L619" s="214"/>
      <c r="M619" s="215"/>
      <c r="N619" s="215"/>
      <c r="O619" s="216"/>
      <c r="P619" s="216"/>
      <c r="Q619" s="216"/>
      <c r="R619" s="216"/>
      <c r="S619" s="216"/>
      <c r="T619" s="216"/>
      <c r="U619" s="216"/>
    </row>
    <row r="620" spans="1:21" ht="12.75" x14ac:dyDescent="0.2">
      <c r="A620" s="214"/>
      <c r="B620" s="214"/>
      <c r="C620" s="214"/>
      <c r="D620" s="214"/>
      <c r="E620" s="214"/>
      <c r="F620" s="214"/>
      <c r="G620" s="214"/>
      <c r="H620" s="214"/>
      <c r="I620" s="214"/>
      <c r="J620" s="214"/>
      <c r="K620" s="214"/>
      <c r="L620" s="214"/>
      <c r="M620" s="215"/>
      <c r="N620" s="215"/>
      <c r="O620" s="216"/>
      <c r="P620" s="216"/>
      <c r="Q620" s="216"/>
      <c r="R620" s="216"/>
      <c r="S620" s="216"/>
      <c r="T620" s="216"/>
      <c r="U620" s="216"/>
    </row>
    <row r="621" spans="1:21" ht="12.75" x14ac:dyDescent="0.2">
      <c r="A621" s="214"/>
      <c r="B621" s="214"/>
      <c r="C621" s="214"/>
      <c r="D621" s="214"/>
      <c r="E621" s="214"/>
      <c r="F621" s="214"/>
      <c r="G621" s="214"/>
      <c r="H621" s="214"/>
      <c r="I621" s="214"/>
      <c r="J621" s="214"/>
      <c r="K621" s="214"/>
      <c r="L621" s="214"/>
      <c r="M621" s="215"/>
      <c r="N621" s="215"/>
      <c r="O621" s="216"/>
      <c r="P621" s="216"/>
      <c r="Q621" s="216"/>
      <c r="R621" s="216"/>
      <c r="S621" s="216"/>
      <c r="T621" s="216"/>
      <c r="U621" s="216"/>
    </row>
    <row r="622" spans="1:21" ht="12.75" x14ac:dyDescent="0.2">
      <c r="A622" s="214"/>
      <c r="B622" s="214"/>
      <c r="C622" s="214"/>
      <c r="D622" s="214"/>
      <c r="E622" s="214"/>
      <c r="F622" s="214"/>
      <c r="G622" s="214"/>
      <c r="H622" s="214"/>
      <c r="I622" s="214"/>
      <c r="J622" s="214"/>
      <c r="K622" s="214"/>
      <c r="L622" s="214"/>
      <c r="M622" s="215"/>
      <c r="N622" s="215"/>
      <c r="O622" s="216"/>
      <c r="P622" s="216"/>
      <c r="Q622" s="216"/>
      <c r="R622" s="216"/>
      <c r="S622" s="216"/>
      <c r="T622" s="216"/>
      <c r="U622" s="216"/>
    </row>
    <row r="623" spans="1:21" ht="12.75" x14ac:dyDescent="0.2">
      <c r="A623" s="214"/>
      <c r="B623" s="214"/>
      <c r="C623" s="214"/>
      <c r="D623" s="214"/>
      <c r="E623" s="214"/>
      <c r="F623" s="214"/>
      <c r="G623" s="214"/>
      <c r="H623" s="214"/>
      <c r="I623" s="214"/>
      <c r="J623" s="214"/>
      <c r="K623" s="214"/>
      <c r="L623" s="214"/>
      <c r="M623" s="215"/>
      <c r="N623" s="215"/>
      <c r="O623" s="216"/>
      <c r="P623" s="216"/>
      <c r="Q623" s="216"/>
      <c r="R623" s="216"/>
      <c r="S623" s="216"/>
      <c r="T623" s="216"/>
      <c r="U623" s="216"/>
    </row>
    <row r="624" spans="1:21" ht="12.75" x14ac:dyDescent="0.2">
      <c r="A624" s="214"/>
      <c r="B624" s="214"/>
      <c r="C624" s="214"/>
      <c r="D624" s="214"/>
      <c r="E624" s="214"/>
      <c r="F624" s="214"/>
      <c r="G624" s="214"/>
      <c r="H624" s="214"/>
      <c r="I624" s="214"/>
      <c r="J624" s="214"/>
      <c r="K624" s="214"/>
      <c r="L624" s="214"/>
      <c r="M624" s="215"/>
      <c r="N624" s="215"/>
      <c r="O624" s="216"/>
      <c r="P624" s="216"/>
      <c r="Q624" s="216"/>
      <c r="R624" s="216"/>
      <c r="S624" s="216"/>
      <c r="T624" s="216"/>
      <c r="U624" s="216"/>
    </row>
    <row r="625" spans="1:21" ht="12.75" x14ac:dyDescent="0.2">
      <c r="A625" s="214"/>
      <c r="B625" s="214"/>
      <c r="C625" s="214"/>
      <c r="D625" s="214"/>
      <c r="E625" s="214"/>
      <c r="F625" s="214"/>
      <c r="G625" s="214"/>
      <c r="H625" s="214"/>
      <c r="I625" s="214"/>
      <c r="J625" s="214"/>
      <c r="K625" s="214"/>
      <c r="L625" s="214"/>
      <c r="M625" s="215"/>
      <c r="N625" s="215"/>
      <c r="O625" s="216"/>
      <c r="P625" s="216"/>
      <c r="Q625" s="216"/>
      <c r="R625" s="216"/>
      <c r="S625" s="216"/>
      <c r="T625" s="216"/>
      <c r="U625" s="216"/>
    </row>
    <row r="626" spans="1:21" ht="12.75" x14ac:dyDescent="0.2">
      <c r="A626" s="214"/>
      <c r="B626" s="214"/>
      <c r="C626" s="214"/>
      <c r="D626" s="214"/>
      <c r="E626" s="214"/>
      <c r="F626" s="214"/>
      <c r="G626" s="214"/>
      <c r="H626" s="214"/>
      <c r="I626" s="214"/>
      <c r="J626" s="214"/>
      <c r="K626" s="214"/>
      <c r="L626" s="214"/>
      <c r="M626" s="215"/>
      <c r="N626" s="215"/>
      <c r="O626" s="216"/>
      <c r="P626" s="216"/>
      <c r="Q626" s="216"/>
      <c r="R626" s="216"/>
      <c r="S626" s="216"/>
      <c r="T626" s="216"/>
      <c r="U626" s="216"/>
    </row>
    <row r="627" spans="1:21" ht="12.75" x14ac:dyDescent="0.2">
      <c r="A627" s="214"/>
      <c r="B627" s="214"/>
      <c r="C627" s="214"/>
      <c r="D627" s="214"/>
      <c r="E627" s="214"/>
      <c r="F627" s="214"/>
      <c r="G627" s="214"/>
      <c r="H627" s="214"/>
      <c r="I627" s="214"/>
      <c r="J627" s="214"/>
      <c r="K627" s="214"/>
      <c r="L627" s="214"/>
      <c r="M627" s="215"/>
      <c r="N627" s="215"/>
      <c r="O627" s="216"/>
      <c r="P627" s="216"/>
      <c r="Q627" s="216"/>
      <c r="R627" s="216"/>
      <c r="S627" s="216"/>
      <c r="T627" s="216"/>
      <c r="U627" s="216"/>
    </row>
    <row r="628" spans="1:21" ht="12.75" x14ac:dyDescent="0.2">
      <c r="A628" s="214"/>
      <c r="B628" s="214"/>
      <c r="C628" s="214"/>
      <c r="D628" s="214"/>
      <c r="E628" s="214"/>
      <c r="F628" s="214"/>
      <c r="G628" s="214"/>
      <c r="H628" s="214"/>
      <c r="I628" s="214"/>
      <c r="J628" s="214"/>
      <c r="K628" s="214"/>
      <c r="L628" s="214"/>
      <c r="M628" s="215"/>
      <c r="N628" s="215"/>
      <c r="O628" s="216"/>
      <c r="P628" s="216"/>
      <c r="Q628" s="216"/>
      <c r="R628" s="216"/>
      <c r="S628" s="216"/>
      <c r="T628" s="216"/>
      <c r="U628" s="216"/>
    </row>
    <row r="629" spans="1:21" ht="12.75" x14ac:dyDescent="0.2">
      <c r="A629" s="214"/>
      <c r="B629" s="214"/>
      <c r="C629" s="214"/>
      <c r="D629" s="214"/>
      <c r="E629" s="214"/>
      <c r="F629" s="214"/>
      <c r="G629" s="214"/>
      <c r="H629" s="214"/>
      <c r="I629" s="214"/>
      <c r="J629" s="214"/>
      <c r="K629" s="214"/>
      <c r="L629" s="214"/>
      <c r="M629" s="215"/>
      <c r="N629" s="215"/>
      <c r="O629" s="216"/>
      <c r="P629" s="216"/>
      <c r="Q629" s="216"/>
      <c r="R629" s="216"/>
      <c r="S629" s="216"/>
      <c r="T629" s="216"/>
      <c r="U629" s="216"/>
    </row>
    <row r="630" spans="1:21" ht="12.75" x14ac:dyDescent="0.2">
      <c r="A630" s="214"/>
      <c r="B630" s="214"/>
      <c r="C630" s="214"/>
      <c r="D630" s="214"/>
      <c r="E630" s="214"/>
      <c r="F630" s="214"/>
      <c r="G630" s="214"/>
      <c r="H630" s="214"/>
      <c r="I630" s="214"/>
      <c r="J630" s="214"/>
      <c r="K630" s="214"/>
      <c r="L630" s="214"/>
      <c r="M630" s="215"/>
      <c r="N630" s="215"/>
      <c r="O630" s="216"/>
      <c r="P630" s="216"/>
      <c r="Q630" s="216"/>
      <c r="R630" s="216"/>
      <c r="S630" s="216"/>
      <c r="T630" s="216"/>
      <c r="U630" s="216"/>
    </row>
    <row r="631" spans="1:21" ht="12.75" x14ac:dyDescent="0.2">
      <c r="A631" s="214"/>
      <c r="B631" s="214"/>
      <c r="C631" s="214"/>
      <c r="D631" s="214"/>
      <c r="E631" s="214"/>
      <c r="F631" s="214"/>
      <c r="G631" s="214"/>
      <c r="H631" s="214"/>
      <c r="I631" s="214"/>
      <c r="J631" s="214"/>
      <c r="K631" s="214"/>
      <c r="L631" s="214"/>
      <c r="M631" s="215"/>
      <c r="N631" s="215"/>
      <c r="O631" s="216"/>
      <c r="P631" s="216"/>
      <c r="Q631" s="216"/>
      <c r="R631" s="216"/>
      <c r="S631" s="216"/>
      <c r="T631" s="216"/>
      <c r="U631" s="216"/>
    </row>
    <row r="632" spans="1:21" ht="12.75" x14ac:dyDescent="0.2">
      <c r="A632" s="214"/>
      <c r="B632" s="214"/>
      <c r="C632" s="214"/>
      <c r="D632" s="214"/>
      <c r="E632" s="214"/>
      <c r="F632" s="214"/>
      <c r="G632" s="214"/>
      <c r="H632" s="214"/>
      <c r="I632" s="214"/>
      <c r="J632" s="214"/>
      <c r="K632" s="214"/>
      <c r="L632" s="214"/>
      <c r="M632" s="215"/>
      <c r="N632" s="215"/>
      <c r="O632" s="216"/>
      <c r="P632" s="216"/>
      <c r="Q632" s="216"/>
      <c r="R632" s="216"/>
      <c r="S632" s="216"/>
      <c r="T632" s="216"/>
      <c r="U632" s="216"/>
    </row>
    <row r="633" spans="1:21" ht="12.75" x14ac:dyDescent="0.2">
      <c r="A633" s="214"/>
      <c r="B633" s="214"/>
      <c r="C633" s="214"/>
      <c r="D633" s="214"/>
      <c r="E633" s="214"/>
      <c r="F633" s="214"/>
      <c r="G633" s="214"/>
      <c r="H633" s="214"/>
      <c r="I633" s="214"/>
      <c r="J633" s="214"/>
      <c r="K633" s="214"/>
      <c r="L633" s="214"/>
      <c r="M633" s="215"/>
      <c r="N633" s="215"/>
      <c r="O633" s="216"/>
      <c r="P633" s="216"/>
      <c r="Q633" s="216"/>
      <c r="R633" s="216"/>
      <c r="S633" s="216"/>
      <c r="T633" s="216"/>
      <c r="U633" s="216"/>
    </row>
    <row r="634" spans="1:21" ht="12.75" x14ac:dyDescent="0.2">
      <c r="A634" s="214"/>
      <c r="B634" s="214"/>
      <c r="C634" s="214"/>
      <c r="D634" s="214"/>
      <c r="E634" s="214"/>
      <c r="F634" s="214"/>
      <c r="G634" s="214"/>
      <c r="H634" s="214"/>
      <c r="I634" s="214"/>
      <c r="J634" s="214"/>
      <c r="K634" s="214"/>
      <c r="L634" s="214"/>
      <c r="M634" s="215"/>
      <c r="N634" s="215"/>
      <c r="O634" s="216"/>
      <c r="P634" s="216"/>
      <c r="Q634" s="216"/>
      <c r="R634" s="216"/>
      <c r="S634" s="216"/>
      <c r="T634" s="216"/>
      <c r="U634" s="216"/>
    </row>
    <row r="635" spans="1:21" ht="12.75" x14ac:dyDescent="0.2">
      <c r="A635" s="214"/>
      <c r="B635" s="214"/>
      <c r="C635" s="214"/>
      <c r="D635" s="214"/>
      <c r="E635" s="214"/>
      <c r="F635" s="214"/>
      <c r="G635" s="214"/>
      <c r="H635" s="214"/>
      <c r="I635" s="214"/>
      <c r="J635" s="214"/>
      <c r="K635" s="214"/>
      <c r="L635" s="214"/>
      <c r="M635" s="215"/>
      <c r="N635" s="215"/>
      <c r="O635" s="216"/>
      <c r="P635" s="216"/>
      <c r="Q635" s="216"/>
      <c r="R635" s="216"/>
      <c r="S635" s="216"/>
      <c r="T635" s="216"/>
      <c r="U635" s="216"/>
    </row>
    <row r="636" spans="1:21" ht="12.75" x14ac:dyDescent="0.2">
      <c r="A636" s="214"/>
      <c r="B636" s="214"/>
      <c r="C636" s="214"/>
      <c r="D636" s="214"/>
      <c r="E636" s="214"/>
      <c r="F636" s="214"/>
      <c r="G636" s="214"/>
      <c r="H636" s="214"/>
      <c r="I636" s="214"/>
      <c r="J636" s="214"/>
      <c r="K636" s="214"/>
      <c r="L636" s="214"/>
      <c r="M636" s="215"/>
      <c r="N636" s="215"/>
      <c r="O636" s="216"/>
      <c r="P636" s="216"/>
      <c r="Q636" s="216"/>
      <c r="R636" s="216"/>
      <c r="S636" s="216"/>
      <c r="T636" s="216"/>
      <c r="U636" s="216"/>
    </row>
    <row r="637" spans="1:21" ht="12.75" x14ac:dyDescent="0.2">
      <c r="A637" s="214"/>
      <c r="B637" s="214"/>
      <c r="C637" s="214"/>
      <c r="D637" s="214"/>
      <c r="E637" s="214"/>
      <c r="F637" s="214"/>
      <c r="G637" s="214"/>
      <c r="H637" s="214"/>
      <c r="I637" s="214"/>
      <c r="J637" s="214"/>
      <c r="K637" s="214"/>
      <c r="L637" s="214"/>
      <c r="M637" s="215"/>
      <c r="N637" s="215"/>
      <c r="O637" s="216"/>
      <c r="P637" s="216"/>
      <c r="Q637" s="216"/>
      <c r="R637" s="216"/>
      <c r="S637" s="216"/>
      <c r="T637" s="216"/>
      <c r="U637" s="216"/>
    </row>
    <row r="638" spans="1:21" ht="12.75" x14ac:dyDescent="0.2">
      <c r="A638" s="214"/>
      <c r="B638" s="214"/>
      <c r="C638" s="214"/>
      <c r="D638" s="214"/>
      <c r="E638" s="214"/>
      <c r="F638" s="214"/>
      <c r="G638" s="214"/>
      <c r="H638" s="214"/>
      <c r="I638" s="214"/>
      <c r="J638" s="214"/>
      <c r="K638" s="214"/>
      <c r="L638" s="214"/>
      <c r="M638" s="215"/>
      <c r="N638" s="215"/>
      <c r="O638" s="216"/>
      <c r="P638" s="216"/>
      <c r="Q638" s="216"/>
      <c r="R638" s="216"/>
      <c r="S638" s="216"/>
      <c r="T638" s="216"/>
      <c r="U638" s="216"/>
    </row>
    <row r="639" spans="1:21" ht="12.75" x14ac:dyDescent="0.2">
      <c r="A639" s="214"/>
      <c r="B639" s="214"/>
      <c r="C639" s="214"/>
      <c r="D639" s="214"/>
      <c r="E639" s="214"/>
      <c r="F639" s="214"/>
      <c r="G639" s="214"/>
      <c r="H639" s="214"/>
      <c r="I639" s="214"/>
      <c r="J639" s="214"/>
      <c r="K639" s="214"/>
      <c r="L639" s="214"/>
      <c r="M639" s="215"/>
      <c r="N639" s="215"/>
      <c r="O639" s="216"/>
      <c r="P639" s="216"/>
      <c r="Q639" s="216"/>
      <c r="R639" s="216"/>
      <c r="S639" s="216"/>
      <c r="T639" s="216"/>
      <c r="U639" s="216"/>
    </row>
    <row r="640" spans="1:21" ht="12.75" x14ac:dyDescent="0.2">
      <c r="A640" s="214"/>
      <c r="B640" s="214"/>
      <c r="C640" s="214"/>
      <c r="D640" s="214"/>
      <c r="E640" s="214"/>
      <c r="F640" s="214"/>
      <c r="G640" s="214"/>
      <c r="H640" s="214"/>
      <c r="I640" s="214"/>
      <c r="J640" s="214"/>
      <c r="K640" s="214"/>
      <c r="L640" s="214"/>
      <c r="M640" s="215"/>
      <c r="N640" s="215"/>
      <c r="O640" s="216"/>
      <c r="P640" s="216"/>
      <c r="Q640" s="216"/>
      <c r="R640" s="216"/>
      <c r="S640" s="216"/>
      <c r="T640" s="216"/>
      <c r="U640" s="216"/>
    </row>
    <row r="641" spans="1:21" ht="12.75" x14ac:dyDescent="0.2">
      <c r="A641" s="214"/>
      <c r="B641" s="214"/>
      <c r="C641" s="214"/>
      <c r="D641" s="214"/>
      <c r="E641" s="214"/>
      <c r="F641" s="214"/>
      <c r="G641" s="214"/>
      <c r="H641" s="214"/>
      <c r="I641" s="214"/>
      <c r="J641" s="214"/>
      <c r="K641" s="214"/>
      <c r="L641" s="214"/>
      <c r="M641" s="215"/>
      <c r="N641" s="215"/>
      <c r="O641" s="216"/>
      <c r="P641" s="216"/>
      <c r="Q641" s="216"/>
      <c r="R641" s="216"/>
      <c r="S641" s="216"/>
      <c r="T641" s="216"/>
      <c r="U641" s="216"/>
    </row>
    <row r="642" spans="1:21" ht="12.75" x14ac:dyDescent="0.2">
      <c r="A642" s="214"/>
      <c r="B642" s="214"/>
      <c r="C642" s="214"/>
      <c r="D642" s="214"/>
      <c r="E642" s="214"/>
      <c r="F642" s="214"/>
      <c r="G642" s="214"/>
      <c r="H642" s="214"/>
      <c r="I642" s="214"/>
      <c r="J642" s="214"/>
      <c r="K642" s="214"/>
      <c r="L642" s="214"/>
      <c r="M642" s="215"/>
      <c r="N642" s="215"/>
      <c r="O642" s="216"/>
      <c r="P642" s="216"/>
      <c r="Q642" s="216"/>
      <c r="R642" s="216"/>
      <c r="S642" s="216"/>
      <c r="T642" s="216"/>
      <c r="U642" s="216"/>
    </row>
    <row r="643" spans="1:21" ht="12.75" x14ac:dyDescent="0.2">
      <c r="A643" s="214"/>
      <c r="B643" s="214"/>
      <c r="C643" s="214"/>
      <c r="D643" s="214"/>
      <c r="E643" s="214"/>
      <c r="F643" s="214"/>
      <c r="G643" s="214"/>
      <c r="H643" s="214"/>
      <c r="I643" s="214"/>
      <c r="J643" s="214"/>
      <c r="K643" s="214"/>
      <c r="L643" s="214"/>
      <c r="M643" s="215"/>
      <c r="N643" s="215"/>
      <c r="O643" s="216"/>
      <c r="P643" s="216"/>
      <c r="Q643" s="216"/>
      <c r="R643" s="216"/>
      <c r="S643" s="216"/>
      <c r="T643" s="216"/>
      <c r="U643" s="216"/>
    </row>
    <row r="644" spans="1:21" ht="12.75" x14ac:dyDescent="0.2">
      <c r="A644" s="214"/>
      <c r="B644" s="214"/>
      <c r="C644" s="214"/>
      <c r="D644" s="214"/>
      <c r="E644" s="214"/>
      <c r="F644" s="214"/>
      <c r="G644" s="214"/>
      <c r="H644" s="214"/>
      <c r="I644" s="214"/>
      <c r="J644" s="214"/>
      <c r="K644" s="214"/>
      <c r="L644" s="214"/>
      <c r="M644" s="215"/>
      <c r="N644" s="215"/>
      <c r="O644" s="216"/>
      <c r="P644" s="216"/>
      <c r="Q644" s="216"/>
      <c r="R644" s="216"/>
      <c r="S644" s="216"/>
      <c r="T644" s="216"/>
      <c r="U644" s="216"/>
    </row>
    <row r="645" spans="1:21" ht="12.75" x14ac:dyDescent="0.2">
      <c r="A645" s="214"/>
      <c r="B645" s="214"/>
      <c r="C645" s="214"/>
      <c r="D645" s="214"/>
      <c r="E645" s="214"/>
      <c r="F645" s="214"/>
      <c r="G645" s="214"/>
      <c r="H645" s="214"/>
      <c r="I645" s="214"/>
      <c r="J645" s="214"/>
      <c r="K645" s="214"/>
      <c r="L645" s="214"/>
      <c r="M645" s="215"/>
      <c r="N645" s="215"/>
      <c r="O645" s="216"/>
      <c r="P645" s="216"/>
      <c r="Q645" s="216"/>
      <c r="R645" s="216"/>
      <c r="S645" s="216"/>
      <c r="T645" s="216"/>
      <c r="U645" s="216"/>
    </row>
    <row r="646" spans="1:21" ht="12.75" x14ac:dyDescent="0.2">
      <c r="A646" s="214"/>
      <c r="B646" s="214"/>
      <c r="C646" s="214"/>
      <c r="D646" s="214"/>
      <c r="E646" s="214"/>
      <c r="F646" s="214"/>
      <c r="G646" s="214"/>
      <c r="H646" s="214"/>
      <c r="I646" s="214"/>
      <c r="J646" s="214"/>
      <c r="K646" s="214"/>
      <c r="L646" s="214"/>
      <c r="M646" s="215"/>
      <c r="N646" s="215"/>
      <c r="O646" s="216"/>
      <c r="P646" s="216"/>
      <c r="Q646" s="216"/>
      <c r="R646" s="216"/>
      <c r="S646" s="216"/>
      <c r="T646" s="216"/>
      <c r="U646" s="216"/>
    </row>
    <row r="647" spans="1:21" ht="12.75" x14ac:dyDescent="0.2">
      <c r="A647" s="214"/>
      <c r="B647" s="214"/>
      <c r="C647" s="214"/>
      <c r="D647" s="214"/>
      <c r="E647" s="214"/>
      <c r="F647" s="214"/>
      <c r="G647" s="214"/>
      <c r="H647" s="214"/>
      <c r="I647" s="214"/>
      <c r="J647" s="214"/>
      <c r="K647" s="214"/>
      <c r="L647" s="214"/>
      <c r="M647" s="215"/>
      <c r="N647" s="215"/>
      <c r="O647" s="216"/>
      <c r="P647" s="216"/>
      <c r="Q647" s="216"/>
      <c r="R647" s="216"/>
      <c r="S647" s="216"/>
      <c r="T647" s="216"/>
      <c r="U647" s="216"/>
    </row>
    <row r="648" spans="1:21" ht="12.75" x14ac:dyDescent="0.2">
      <c r="A648" s="214"/>
      <c r="B648" s="214"/>
      <c r="C648" s="214"/>
      <c r="D648" s="214"/>
      <c r="E648" s="214"/>
      <c r="F648" s="214"/>
      <c r="G648" s="214"/>
      <c r="H648" s="214"/>
      <c r="I648" s="214"/>
      <c r="J648" s="214"/>
      <c r="K648" s="214"/>
      <c r="L648" s="214"/>
      <c r="M648" s="215"/>
      <c r="N648" s="215"/>
      <c r="O648" s="216"/>
      <c r="P648" s="216"/>
      <c r="Q648" s="216"/>
      <c r="R648" s="216"/>
      <c r="S648" s="216"/>
      <c r="T648" s="216"/>
      <c r="U648" s="216"/>
    </row>
    <row r="649" spans="1:21" ht="12.75" x14ac:dyDescent="0.2">
      <c r="A649" s="214"/>
      <c r="B649" s="214"/>
      <c r="C649" s="214"/>
      <c r="D649" s="214"/>
      <c r="E649" s="214"/>
      <c r="F649" s="214"/>
      <c r="G649" s="214"/>
      <c r="H649" s="214"/>
      <c r="I649" s="214"/>
      <c r="J649" s="214"/>
      <c r="K649" s="214"/>
      <c r="L649" s="214"/>
      <c r="M649" s="215"/>
      <c r="N649" s="215"/>
      <c r="O649" s="216"/>
      <c r="P649" s="216"/>
      <c r="Q649" s="216"/>
      <c r="R649" s="216"/>
      <c r="S649" s="216"/>
      <c r="T649" s="216"/>
      <c r="U649" s="216"/>
    </row>
    <row r="650" spans="1:21" ht="12.75" x14ac:dyDescent="0.2">
      <c r="A650" s="214"/>
      <c r="B650" s="214"/>
      <c r="C650" s="214"/>
      <c r="D650" s="214"/>
      <c r="E650" s="214"/>
      <c r="F650" s="214"/>
      <c r="G650" s="214"/>
      <c r="H650" s="214"/>
      <c r="I650" s="214"/>
      <c r="J650" s="214"/>
      <c r="K650" s="214"/>
      <c r="L650" s="214"/>
      <c r="M650" s="215"/>
      <c r="N650" s="215"/>
      <c r="O650" s="216"/>
      <c r="P650" s="216"/>
      <c r="Q650" s="216"/>
      <c r="R650" s="216"/>
      <c r="S650" s="216"/>
      <c r="T650" s="216"/>
      <c r="U650" s="216"/>
    </row>
    <row r="651" spans="1:21" ht="12.75" x14ac:dyDescent="0.2">
      <c r="A651" s="214"/>
      <c r="B651" s="214"/>
      <c r="C651" s="214"/>
      <c r="D651" s="214"/>
      <c r="E651" s="214"/>
      <c r="F651" s="214"/>
      <c r="G651" s="214"/>
      <c r="H651" s="214"/>
      <c r="I651" s="214"/>
      <c r="J651" s="214"/>
      <c r="K651" s="214"/>
      <c r="L651" s="214"/>
      <c r="M651" s="215"/>
      <c r="N651" s="215"/>
      <c r="O651" s="216"/>
      <c r="P651" s="216"/>
      <c r="Q651" s="216"/>
      <c r="R651" s="216"/>
      <c r="S651" s="216"/>
      <c r="T651" s="216"/>
      <c r="U651" s="216"/>
    </row>
    <row r="652" spans="1:21" ht="12.75" x14ac:dyDescent="0.2">
      <c r="A652" s="214"/>
      <c r="B652" s="214"/>
      <c r="C652" s="214"/>
      <c r="D652" s="214"/>
      <c r="E652" s="214"/>
      <c r="F652" s="214"/>
      <c r="G652" s="214"/>
      <c r="H652" s="214"/>
      <c r="I652" s="214"/>
      <c r="J652" s="214"/>
      <c r="K652" s="214"/>
      <c r="L652" s="214"/>
      <c r="M652" s="215"/>
      <c r="N652" s="215"/>
      <c r="O652" s="216"/>
      <c r="P652" s="216"/>
      <c r="Q652" s="216"/>
      <c r="R652" s="216"/>
      <c r="S652" s="216"/>
      <c r="T652" s="216"/>
      <c r="U652" s="216"/>
    </row>
    <row r="653" spans="1:21" ht="12.75" x14ac:dyDescent="0.2">
      <c r="A653" s="214"/>
      <c r="B653" s="214"/>
      <c r="C653" s="214"/>
      <c r="D653" s="214"/>
      <c r="E653" s="214"/>
      <c r="F653" s="214"/>
      <c r="G653" s="214"/>
      <c r="H653" s="214"/>
      <c r="I653" s="214"/>
      <c r="J653" s="214"/>
      <c r="K653" s="214"/>
      <c r="L653" s="214"/>
      <c r="M653" s="215"/>
      <c r="N653" s="215"/>
      <c r="O653" s="216"/>
      <c r="P653" s="216"/>
      <c r="Q653" s="216"/>
      <c r="R653" s="216"/>
      <c r="S653" s="216"/>
      <c r="T653" s="216"/>
      <c r="U653" s="216"/>
    </row>
    <row r="654" spans="1:21" ht="12.75" x14ac:dyDescent="0.2">
      <c r="A654" s="214"/>
      <c r="B654" s="214"/>
      <c r="C654" s="214"/>
      <c r="D654" s="214"/>
      <c r="E654" s="214"/>
      <c r="F654" s="214"/>
      <c r="G654" s="214"/>
      <c r="H654" s="214"/>
      <c r="I654" s="214"/>
      <c r="J654" s="214"/>
      <c r="K654" s="214"/>
      <c r="L654" s="214"/>
      <c r="M654" s="215"/>
      <c r="N654" s="215"/>
      <c r="O654" s="216"/>
      <c r="P654" s="216"/>
      <c r="Q654" s="216"/>
      <c r="R654" s="216"/>
      <c r="S654" s="216"/>
      <c r="T654" s="216"/>
      <c r="U654" s="216"/>
    </row>
    <row r="655" spans="1:21" ht="12.75" x14ac:dyDescent="0.2">
      <c r="A655" s="214"/>
      <c r="B655" s="214"/>
      <c r="C655" s="214"/>
      <c r="D655" s="214"/>
      <c r="E655" s="214"/>
      <c r="F655" s="214"/>
      <c r="G655" s="214"/>
      <c r="H655" s="214"/>
      <c r="I655" s="214"/>
      <c r="J655" s="214"/>
      <c r="K655" s="214"/>
      <c r="L655" s="214"/>
      <c r="M655" s="215"/>
      <c r="N655" s="215"/>
      <c r="O655" s="216"/>
      <c r="P655" s="216"/>
      <c r="Q655" s="216"/>
      <c r="R655" s="216"/>
      <c r="S655" s="216"/>
      <c r="T655" s="216"/>
      <c r="U655" s="216"/>
    </row>
    <row r="656" spans="1:21" ht="12.75" x14ac:dyDescent="0.2">
      <c r="A656" s="214"/>
      <c r="B656" s="214"/>
      <c r="C656" s="214"/>
      <c r="D656" s="214"/>
      <c r="E656" s="214"/>
      <c r="F656" s="214"/>
      <c r="G656" s="214"/>
      <c r="H656" s="214"/>
      <c r="I656" s="214"/>
      <c r="J656" s="214"/>
      <c r="K656" s="214"/>
      <c r="L656" s="214"/>
      <c r="M656" s="215"/>
      <c r="N656" s="215"/>
      <c r="O656" s="216"/>
      <c r="P656" s="216"/>
      <c r="Q656" s="216"/>
      <c r="R656" s="216"/>
      <c r="S656" s="216"/>
      <c r="T656" s="216"/>
      <c r="U656" s="216"/>
    </row>
    <row r="657" spans="1:21" ht="12.75" x14ac:dyDescent="0.2">
      <c r="A657" s="214"/>
      <c r="B657" s="214"/>
      <c r="C657" s="214"/>
      <c r="D657" s="214"/>
      <c r="E657" s="214"/>
      <c r="F657" s="214"/>
      <c r="G657" s="214"/>
      <c r="H657" s="214"/>
      <c r="I657" s="214"/>
      <c r="J657" s="214"/>
      <c r="K657" s="214"/>
      <c r="L657" s="214"/>
      <c r="M657" s="215"/>
      <c r="N657" s="215"/>
      <c r="O657" s="216"/>
      <c r="P657" s="216"/>
      <c r="Q657" s="216"/>
      <c r="R657" s="216"/>
      <c r="S657" s="216"/>
      <c r="T657" s="216"/>
      <c r="U657" s="216"/>
    </row>
    <row r="658" spans="1:21" ht="12.75" x14ac:dyDescent="0.2">
      <c r="A658" s="214"/>
      <c r="B658" s="214"/>
      <c r="C658" s="214"/>
      <c r="D658" s="214"/>
      <c r="E658" s="214"/>
      <c r="F658" s="214"/>
      <c r="G658" s="214"/>
      <c r="H658" s="214"/>
      <c r="I658" s="214"/>
      <c r="J658" s="214"/>
      <c r="K658" s="214"/>
      <c r="L658" s="214"/>
      <c r="M658" s="215"/>
      <c r="N658" s="215"/>
      <c r="O658" s="216"/>
      <c r="P658" s="216"/>
      <c r="Q658" s="216"/>
      <c r="R658" s="216"/>
      <c r="S658" s="216"/>
      <c r="T658" s="216"/>
      <c r="U658" s="216"/>
    </row>
    <row r="659" spans="1:21" ht="12.75" x14ac:dyDescent="0.2">
      <c r="A659" s="214"/>
      <c r="B659" s="214"/>
      <c r="C659" s="214"/>
      <c r="D659" s="214"/>
      <c r="E659" s="214"/>
      <c r="F659" s="214"/>
      <c r="G659" s="214"/>
      <c r="H659" s="214"/>
      <c r="I659" s="214"/>
      <c r="J659" s="214"/>
      <c r="K659" s="214"/>
      <c r="L659" s="214"/>
      <c r="M659" s="215"/>
      <c r="N659" s="215"/>
      <c r="O659" s="216"/>
      <c r="P659" s="216"/>
      <c r="Q659" s="216"/>
      <c r="R659" s="216"/>
      <c r="S659" s="216"/>
      <c r="T659" s="216"/>
      <c r="U659" s="216"/>
    </row>
    <row r="660" spans="1:21" ht="12.75" x14ac:dyDescent="0.2">
      <c r="A660" s="214"/>
      <c r="B660" s="214"/>
      <c r="C660" s="214"/>
      <c r="D660" s="214"/>
      <c r="E660" s="214"/>
      <c r="F660" s="214"/>
      <c r="G660" s="214"/>
      <c r="H660" s="214"/>
      <c r="I660" s="214"/>
      <c r="J660" s="214"/>
      <c r="K660" s="214"/>
      <c r="L660" s="214"/>
      <c r="M660" s="215"/>
      <c r="N660" s="215"/>
      <c r="O660" s="216"/>
      <c r="P660" s="216"/>
      <c r="Q660" s="216"/>
      <c r="R660" s="216"/>
      <c r="S660" s="216"/>
      <c r="T660" s="216"/>
      <c r="U660" s="216"/>
    </row>
    <row r="661" spans="1:21" ht="12.75" x14ac:dyDescent="0.2">
      <c r="A661" s="214"/>
      <c r="B661" s="214"/>
      <c r="C661" s="214"/>
      <c r="D661" s="214"/>
      <c r="E661" s="214"/>
      <c r="F661" s="214"/>
      <c r="G661" s="214"/>
      <c r="H661" s="214"/>
      <c r="I661" s="214"/>
      <c r="J661" s="214"/>
      <c r="K661" s="214"/>
      <c r="L661" s="214"/>
      <c r="M661" s="215"/>
      <c r="N661" s="215"/>
      <c r="O661" s="216"/>
      <c r="P661" s="216"/>
      <c r="Q661" s="216"/>
      <c r="R661" s="216"/>
      <c r="S661" s="216"/>
      <c r="T661" s="216"/>
      <c r="U661" s="216"/>
    </row>
    <row r="662" spans="1:21" ht="12.75" x14ac:dyDescent="0.2">
      <c r="A662" s="214"/>
      <c r="B662" s="214"/>
      <c r="C662" s="214"/>
      <c r="D662" s="214"/>
      <c r="E662" s="214"/>
      <c r="F662" s="214"/>
      <c r="G662" s="214"/>
      <c r="H662" s="214"/>
      <c r="I662" s="214"/>
      <c r="J662" s="214"/>
      <c r="K662" s="214"/>
      <c r="L662" s="214"/>
      <c r="M662" s="215"/>
      <c r="N662" s="215"/>
      <c r="O662" s="216"/>
      <c r="P662" s="216"/>
      <c r="Q662" s="216"/>
      <c r="R662" s="216"/>
      <c r="S662" s="216"/>
      <c r="T662" s="216"/>
      <c r="U662" s="216"/>
    </row>
    <row r="663" spans="1:21" ht="12.75" x14ac:dyDescent="0.2">
      <c r="A663" s="214"/>
      <c r="B663" s="214"/>
      <c r="C663" s="214"/>
      <c r="D663" s="214"/>
      <c r="E663" s="214"/>
      <c r="F663" s="214"/>
      <c r="G663" s="214"/>
      <c r="H663" s="214"/>
      <c r="I663" s="214"/>
      <c r="J663" s="214"/>
      <c r="K663" s="214"/>
      <c r="L663" s="214"/>
      <c r="M663" s="215"/>
      <c r="N663" s="215"/>
      <c r="O663" s="216"/>
      <c r="P663" s="216"/>
      <c r="Q663" s="216"/>
      <c r="R663" s="216"/>
      <c r="S663" s="216"/>
      <c r="T663" s="216"/>
      <c r="U663" s="216"/>
    </row>
    <row r="664" spans="1:21" ht="12.75" x14ac:dyDescent="0.2">
      <c r="A664" s="214"/>
      <c r="B664" s="214"/>
      <c r="C664" s="214"/>
      <c r="D664" s="214"/>
      <c r="E664" s="214"/>
      <c r="F664" s="214"/>
      <c r="G664" s="214"/>
      <c r="H664" s="214"/>
      <c r="I664" s="214"/>
      <c r="J664" s="214"/>
      <c r="K664" s="214"/>
      <c r="L664" s="214"/>
      <c r="M664" s="215"/>
      <c r="N664" s="215"/>
      <c r="O664" s="216"/>
      <c r="P664" s="216"/>
      <c r="Q664" s="216"/>
      <c r="R664" s="216"/>
      <c r="S664" s="216"/>
      <c r="T664" s="216"/>
      <c r="U664" s="216"/>
    </row>
    <row r="665" spans="1:21" ht="12.75" x14ac:dyDescent="0.2">
      <c r="A665" s="214"/>
      <c r="B665" s="214"/>
      <c r="C665" s="214"/>
      <c r="D665" s="214"/>
      <c r="E665" s="214"/>
      <c r="F665" s="214"/>
      <c r="G665" s="214"/>
      <c r="H665" s="214"/>
      <c r="I665" s="214"/>
      <c r="J665" s="214"/>
      <c r="K665" s="214"/>
      <c r="L665" s="214"/>
      <c r="M665" s="215"/>
      <c r="N665" s="215"/>
      <c r="O665" s="216"/>
      <c r="P665" s="216"/>
      <c r="Q665" s="216"/>
      <c r="R665" s="216"/>
      <c r="S665" s="216"/>
      <c r="T665" s="216"/>
      <c r="U665" s="216"/>
    </row>
    <row r="666" spans="1:21" ht="12.75" x14ac:dyDescent="0.2">
      <c r="A666" s="214"/>
      <c r="B666" s="214"/>
      <c r="C666" s="214"/>
      <c r="D666" s="214"/>
      <c r="E666" s="214"/>
      <c r="F666" s="214"/>
      <c r="G666" s="214"/>
      <c r="H666" s="214"/>
      <c r="I666" s="214"/>
      <c r="J666" s="214"/>
      <c r="K666" s="214"/>
      <c r="L666" s="214"/>
      <c r="M666" s="215"/>
      <c r="N666" s="215"/>
      <c r="O666" s="216"/>
      <c r="P666" s="216"/>
      <c r="Q666" s="216"/>
      <c r="R666" s="216"/>
      <c r="S666" s="216"/>
      <c r="T666" s="216"/>
      <c r="U666" s="216"/>
    </row>
    <row r="667" spans="1:21" ht="12.75" x14ac:dyDescent="0.2">
      <c r="A667" s="214"/>
      <c r="B667" s="214"/>
      <c r="C667" s="214"/>
      <c r="D667" s="214"/>
      <c r="E667" s="214"/>
      <c r="F667" s="214"/>
      <c r="G667" s="214"/>
      <c r="H667" s="214"/>
      <c r="I667" s="214"/>
      <c r="J667" s="214"/>
      <c r="K667" s="214"/>
      <c r="L667" s="214"/>
      <c r="M667" s="215"/>
      <c r="N667" s="215"/>
      <c r="O667" s="216"/>
      <c r="P667" s="216"/>
      <c r="Q667" s="216"/>
      <c r="R667" s="216"/>
      <c r="S667" s="216"/>
      <c r="T667" s="216"/>
      <c r="U667" s="216"/>
    </row>
    <row r="668" spans="1:21" ht="12.75" x14ac:dyDescent="0.2">
      <c r="A668" s="214"/>
      <c r="B668" s="214"/>
      <c r="C668" s="214"/>
      <c r="D668" s="214"/>
      <c r="E668" s="214"/>
      <c r="F668" s="214"/>
      <c r="G668" s="214"/>
      <c r="H668" s="214"/>
      <c r="I668" s="214"/>
      <c r="J668" s="214"/>
      <c r="K668" s="214"/>
      <c r="L668" s="214"/>
      <c r="M668" s="215"/>
      <c r="N668" s="215"/>
      <c r="O668" s="216"/>
      <c r="P668" s="216"/>
      <c r="Q668" s="216"/>
      <c r="R668" s="216"/>
      <c r="S668" s="216"/>
      <c r="T668" s="216"/>
      <c r="U668" s="216"/>
    </row>
    <row r="669" spans="1:21" ht="12.75" x14ac:dyDescent="0.2">
      <c r="A669" s="214"/>
      <c r="B669" s="214"/>
      <c r="C669" s="214"/>
      <c r="D669" s="214"/>
      <c r="E669" s="214"/>
      <c r="F669" s="214"/>
      <c r="G669" s="214"/>
      <c r="H669" s="214"/>
      <c r="I669" s="214"/>
      <c r="J669" s="214"/>
      <c r="K669" s="214"/>
      <c r="L669" s="214"/>
      <c r="M669" s="215"/>
      <c r="N669" s="215"/>
      <c r="O669" s="216"/>
      <c r="P669" s="216"/>
      <c r="Q669" s="216"/>
      <c r="R669" s="216"/>
      <c r="S669" s="216"/>
      <c r="T669" s="216"/>
      <c r="U669" s="216"/>
    </row>
    <row r="670" spans="1:21" ht="12.75" x14ac:dyDescent="0.2">
      <c r="A670" s="214"/>
      <c r="B670" s="214"/>
      <c r="C670" s="214"/>
      <c r="D670" s="214"/>
      <c r="E670" s="214"/>
      <c r="F670" s="214"/>
      <c r="G670" s="214"/>
      <c r="H670" s="214"/>
      <c r="I670" s="214"/>
      <c r="J670" s="214"/>
      <c r="K670" s="214"/>
      <c r="L670" s="214"/>
      <c r="M670" s="215"/>
      <c r="N670" s="215"/>
      <c r="O670" s="216"/>
      <c r="P670" s="216"/>
      <c r="Q670" s="216"/>
      <c r="R670" s="216"/>
      <c r="S670" s="216"/>
      <c r="T670" s="216"/>
      <c r="U670" s="216"/>
    </row>
    <row r="671" spans="1:21" ht="12.75" x14ac:dyDescent="0.2">
      <c r="A671" s="214"/>
      <c r="B671" s="214"/>
      <c r="C671" s="214"/>
      <c r="D671" s="214"/>
      <c r="E671" s="214"/>
      <c r="F671" s="214"/>
      <c r="G671" s="214"/>
      <c r="H671" s="214"/>
      <c r="I671" s="214"/>
      <c r="J671" s="214"/>
      <c r="K671" s="214"/>
      <c r="L671" s="214"/>
      <c r="M671" s="215"/>
      <c r="N671" s="215"/>
      <c r="O671" s="216"/>
      <c r="P671" s="216"/>
      <c r="Q671" s="216"/>
      <c r="R671" s="216"/>
      <c r="S671" s="216"/>
      <c r="T671" s="216"/>
      <c r="U671" s="216"/>
    </row>
    <row r="672" spans="1:21" ht="12.75" x14ac:dyDescent="0.2">
      <c r="A672" s="214"/>
      <c r="B672" s="214"/>
      <c r="C672" s="214"/>
      <c r="D672" s="214"/>
      <c r="E672" s="214"/>
      <c r="F672" s="214"/>
      <c r="G672" s="214"/>
      <c r="H672" s="214"/>
      <c r="I672" s="214"/>
      <c r="J672" s="214"/>
      <c r="K672" s="214"/>
      <c r="L672" s="214"/>
      <c r="M672" s="215"/>
      <c r="N672" s="215"/>
      <c r="O672" s="216"/>
      <c r="P672" s="216"/>
      <c r="Q672" s="216"/>
      <c r="R672" s="216"/>
      <c r="S672" s="216"/>
      <c r="T672" s="216"/>
      <c r="U672" s="216"/>
    </row>
    <row r="673" spans="1:21" ht="12.75" x14ac:dyDescent="0.2">
      <c r="A673" s="214"/>
      <c r="B673" s="214"/>
      <c r="C673" s="214"/>
      <c r="D673" s="214"/>
      <c r="E673" s="214"/>
      <c r="F673" s="214"/>
      <c r="G673" s="214"/>
      <c r="H673" s="214"/>
      <c r="I673" s="214"/>
      <c r="J673" s="214"/>
      <c r="K673" s="214"/>
      <c r="L673" s="214"/>
      <c r="M673" s="215"/>
      <c r="N673" s="215"/>
      <c r="O673" s="216"/>
      <c r="P673" s="216"/>
      <c r="Q673" s="216"/>
      <c r="R673" s="216"/>
      <c r="S673" s="216"/>
      <c r="T673" s="216"/>
      <c r="U673" s="216"/>
    </row>
    <row r="674" spans="1:21" ht="12.75" x14ac:dyDescent="0.2">
      <c r="A674" s="214"/>
      <c r="B674" s="214"/>
      <c r="C674" s="214"/>
      <c r="D674" s="214"/>
      <c r="E674" s="214"/>
      <c r="F674" s="214"/>
      <c r="G674" s="214"/>
      <c r="H674" s="214"/>
      <c r="I674" s="214"/>
      <c r="J674" s="214"/>
      <c r="K674" s="214"/>
      <c r="L674" s="214"/>
      <c r="M674" s="215"/>
      <c r="N674" s="215"/>
      <c r="O674" s="216"/>
      <c r="P674" s="216"/>
      <c r="Q674" s="216"/>
      <c r="R674" s="216"/>
      <c r="S674" s="216"/>
      <c r="T674" s="216"/>
      <c r="U674" s="216"/>
    </row>
    <row r="675" spans="1:21" ht="12.75" x14ac:dyDescent="0.2">
      <c r="A675" s="214"/>
      <c r="B675" s="214"/>
      <c r="C675" s="214"/>
      <c r="D675" s="214"/>
      <c r="E675" s="214"/>
      <c r="F675" s="214"/>
      <c r="G675" s="214"/>
      <c r="H675" s="214"/>
      <c r="I675" s="214"/>
      <c r="J675" s="214"/>
      <c r="K675" s="214"/>
      <c r="L675" s="214"/>
      <c r="M675" s="215"/>
      <c r="N675" s="215"/>
      <c r="O675" s="216"/>
      <c r="P675" s="216"/>
      <c r="Q675" s="216"/>
      <c r="R675" s="216"/>
      <c r="S675" s="216"/>
      <c r="T675" s="216"/>
      <c r="U675" s="216"/>
    </row>
    <row r="676" spans="1:21" ht="12.75" x14ac:dyDescent="0.2">
      <c r="A676" s="214"/>
      <c r="B676" s="214"/>
      <c r="C676" s="214"/>
      <c r="D676" s="214"/>
      <c r="E676" s="214"/>
      <c r="F676" s="214"/>
      <c r="G676" s="214"/>
      <c r="H676" s="214"/>
      <c r="I676" s="214"/>
      <c r="J676" s="214"/>
      <c r="K676" s="214"/>
      <c r="L676" s="214"/>
      <c r="M676" s="215"/>
      <c r="N676" s="215"/>
      <c r="O676" s="216"/>
      <c r="P676" s="216"/>
      <c r="Q676" s="216"/>
      <c r="R676" s="216"/>
      <c r="S676" s="216"/>
      <c r="T676" s="216"/>
      <c r="U676" s="216"/>
    </row>
    <row r="677" spans="1:21" ht="12.75" x14ac:dyDescent="0.2">
      <c r="A677" s="214"/>
      <c r="B677" s="214"/>
      <c r="C677" s="214"/>
      <c r="D677" s="214"/>
      <c r="E677" s="214"/>
      <c r="F677" s="214"/>
      <c r="G677" s="214"/>
      <c r="H677" s="214"/>
      <c r="I677" s="214"/>
      <c r="J677" s="214"/>
      <c r="K677" s="214"/>
      <c r="L677" s="214"/>
      <c r="M677" s="215"/>
      <c r="N677" s="215"/>
      <c r="O677" s="216"/>
      <c r="P677" s="216"/>
      <c r="Q677" s="216"/>
      <c r="R677" s="216"/>
      <c r="S677" s="216"/>
      <c r="T677" s="216"/>
      <c r="U677" s="216"/>
    </row>
    <row r="678" spans="1:21" ht="12.75" x14ac:dyDescent="0.2">
      <c r="A678" s="214"/>
      <c r="B678" s="214"/>
      <c r="C678" s="214"/>
      <c r="D678" s="214"/>
      <c r="E678" s="214"/>
      <c r="F678" s="214"/>
      <c r="G678" s="214"/>
      <c r="H678" s="214"/>
      <c r="I678" s="214"/>
      <c r="J678" s="214"/>
      <c r="K678" s="214"/>
      <c r="L678" s="214"/>
      <c r="M678" s="215"/>
      <c r="N678" s="215"/>
      <c r="O678" s="216"/>
      <c r="P678" s="216"/>
      <c r="Q678" s="216"/>
      <c r="R678" s="216"/>
      <c r="S678" s="216"/>
      <c r="T678" s="216"/>
      <c r="U678" s="216"/>
    </row>
    <row r="679" spans="1:21" ht="12.75" x14ac:dyDescent="0.2">
      <c r="A679" s="214"/>
      <c r="B679" s="214"/>
      <c r="C679" s="214"/>
      <c r="D679" s="214"/>
      <c r="E679" s="214"/>
      <c r="F679" s="214"/>
      <c r="G679" s="214"/>
      <c r="H679" s="214"/>
      <c r="I679" s="214"/>
      <c r="J679" s="214"/>
      <c r="K679" s="214"/>
      <c r="L679" s="214"/>
      <c r="M679" s="215"/>
      <c r="N679" s="215"/>
      <c r="O679" s="216"/>
      <c r="P679" s="216"/>
      <c r="Q679" s="216"/>
      <c r="R679" s="216"/>
      <c r="S679" s="216"/>
      <c r="T679" s="216"/>
      <c r="U679" s="216"/>
    </row>
    <row r="680" spans="1:21" ht="12.75" x14ac:dyDescent="0.2">
      <c r="A680" s="214"/>
      <c r="B680" s="214"/>
      <c r="C680" s="214"/>
      <c r="D680" s="214"/>
      <c r="E680" s="214"/>
      <c r="F680" s="214"/>
      <c r="G680" s="214"/>
      <c r="H680" s="214"/>
      <c r="I680" s="214"/>
      <c r="J680" s="214"/>
      <c r="K680" s="214"/>
      <c r="L680" s="214"/>
      <c r="M680" s="215"/>
      <c r="N680" s="215"/>
      <c r="O680" s="216"/>
      <c r="P680" s="216"/>
      <c r="Q680" s="216"/>
      <c r="R680" s="216"/>
      <c r="S680" s="216"/>
      <c r="T680" s="216"/>
      <c r="U680" s="216"/>
    </row>
    <row r="681" spans="1:21" ht="12.75" x14ac:dyDescent="0.2">
      <c r="A681" s="214"/>
      <c r="B681" s="214"/>
      <c r="C681" s="214"/>
      <c r="D681" s="214"/>
      <c r="E681" s="214"/>
      <c r="F681" s="214"/>
      <c r="G681" s="214"/>
      <c r="H681" s="214"/>
      <c r="I681" s="214"/>
      <c r="J681" s="214"/>
      <c r="K681" s="214"/>
      <c r="L681" s="214"/>
      <c r="M681" s="215"/>
      <c r="N681" s="215"/>
      <c r="O681" s="216"/>
      <c r="P681" s="216"/>
      <c r="Q681" s="216"/>
      <c r="R681" s="216"/>
      <c r="S681" s="216"/>
      <c r="T681" s="216"/>
      <c r="U681" s="216"/>
    </row>
    <row r="682" spans="1:21" ht="12.75" x14ac:dyDescent="0.2">
      <c r="A682" s="214"/>
      <c r="B682" s="214"/>
      <c r="C682" s="214"/>
      <c r="D682" s="214"/>
      <c r="E682" s="214"/>
      <c r="F682" s="214"/>
      <c r="G682" s="214"/>
      <c r="H682" s="214"/>
      <c r="I682" s="214"/>
      <c r="J682" s="214"/>
      <c r="K682" s="214"/>
      <c r="L682" s="214"/>
      <c r="M682" s="215"/>
      <c r="N682" s="215"/>
      <c r="O682" s="216"/>
      <c r="P682" s="216"/>
      <c r="Q682" s="216"/>
      <c r="R682" s="216"/>
      <c r="S682" s="216"/>
      <c r="T682" s="216"/>
      <c r="U682" s="216"/>
    </row>
    <row r="683" spans="1:21" ht="12.75" x14ac:dyDescent="0.2">
      <c r="A683" s="214"/>
      <c r="B683" s="214"/>
      <c r="C683" s="214"/>
      <c r="D683" s="214"/>
      <c r="E683" s="214"/>
      <c r="F683" s="214"/>
      <c r="G683" s="214"/>
      <c r="H683" s="214"/>
      <c r="I683" s="214"/>
      <c r="J683" s="214"/>
      <c r="K683" s="214"/>
      <c r="L683" s="214"/>
      <c r="M683" s="215"/>
      <c r="N683" s="215"/>
      <c r="O683" s="216"/>
      <c r="P683" s="216"/>
      <c r="Q683" s="216"/>
      <c r="R683" s="216"/>
      <c r="S683" s="216"/>
      <c r="T683" s="216"/>
      <c r="U683" s="216"/>
    </row>
    <row r="684" spans="1:21" ht="12.75" x14ac:dyDescent="0.2">
      <c r="A684" s="214"/>
      <c r="B684" s="214"/>
      <c r="C684" s="214"/>
      <c r="D684" s="214"/>
      <c r="E684" s="214"/>
      <c r="F684" s="214"/>
      <c r="G684" s="214"/>
      <c r="H684" s="214"/>
      <c r="I684" s="214"/>
      <c r="J684" s="214"/>
      <c r="K684" s="214"/>
      <c r="L684" s="214"/>
      <c r="M684" s="215"/>
      <c r="N684" s="215"/>
      <c r="O684" s="216"/>
      <c r="P684" s="216"/>
      <c r="Q684" s="216"/>
      <c r="R684" s="216"/>
      <c r="S684" s="216"/>
      <c r="T684" s="216"/>
      <c r="U684" s="216"/>
    </row>
    <row r="685" spans="1:21" ht="12.75" x14ac:dyDescent="0.2">
      <c r="A685" s="214"/>
      <c r="B685" s="214"/>
      <c r="C685" s="214"/>
      <c r="D685" s="214"/>
      <c r="E685" s="214"/>
      <c r="F685" s="214"/>
      <c r="G685" s="214"/>
      <c r="H685" s="214"/>
      <c r="I685" s="214"/>
      <c r="J685" s="214"/>
      <c r="K685" s="214"/>
      <c r="L685" s="214"/>
      <c r="M685" s="215"/>
      <c r="N685" s="215"/>
      <c r="O685" s="216"/>
      <c r="P685" s="216"/>
      <c r="Q685" s="216"/>
      <c r="R685" s="216"/>
      <c r="S685" s="216"/>
      <c r="T685" s="216"/>
      <c r="U685" s="216"/>
    </row>
    <row r="686" spans="1:21" ht="12.75" x14ac:dyDescent="0.2">
      <c r="A686" s="214"/>
      <c r="B686" s="214"/>
      <c r="C686" s="214"/>
      <c r="D686" s="214"/>
      <c r="E686" s="214"/>
      <c r="F686" s="214"/>
      <c r="G686" s="214"/>
      <c r="H686" s="214"/>
      <c r="I686" s="214"/>
      <c r="J686" s="214"/>
      <c r="K686" s="214"/>
      <c r="L686" s="214"/>
      <c r="M686" s="215"/>
      <c r="N686" s="215"/>
      <c r="O686" s="216"/>
      <c r="P686" s="216"/>
      <c r="Q686" s="216"/>
      <c r="R686" s="216"/>
      <c r="S686" s="216"/>
      <c r="T686" s="216"/>
      <c r="U686" s="216"/>
    </row>
    <row r="687" spans="1:21" ht="12.75" x14ac:dyDescent="0.2">
      <c r="A687" s="214"/>
      <c r="B687" s="214"/>
      <c r="C687" s="214"/>
      <c r="D687" s="214"/>
      <c r="E687" s="214"/>
      <c r="F687" s="214"/>
      <c r="G687" s="214"/>
      <c r="H687" s="214"/>
      <c r="I687" s="214"/>
      <c r="J687" s="214"/>
      <c r="K687" s="214"/>
      <c r="L687" s="214"/>
      <c r="M687" s="215"/>
      <c r="N687" s="215"/>
      <c r="O687" s="216"/>
      <c r="P687" s="216"/>
      <c r="Q687" s="216"/>
      <c r="R687" s="216"/>
      <c r="S687" s="216"/>
      <c r="T687" s="216"/>
      <c r="U687" s="216"/>
    </row>
    <row r="688" spans="1:21" ht="12.75" x14ac:dyDescent="0.2">
      <c r="A688" s="214"/>
      <c r="B688" s="214"/>
      <c r="C688" s="214"/>
      <c r="D688" s="214"/>
      <c r="E688" s="214"/>
      <c r="F688" s="214"/>
      <c r="G688" s="214"/>
      <c r="H688" s="214"/>
      <c r="I688" s="214"/>
      <c r="J688" s="214"/>
      <c r="K688" s="214"/>
      <c r="L688" s="214"/>
      <c r="M688" s="215"/>
      <c r="N688" s="215"/>
      <c r="O688" s="216"/>
      <c r="P688" s="216"/>
      <c r="Q688" s="216"/>
      <c r="R688" s="216"/>
      <c r="S688" s="216"/>
      <c r="T688" s="216"/>
      <c r="U688" s="216"/>
    </row>
    <row r="689" spans="1:21" ht="12.75" x14ac:dyDescent="0.2">
      <c r="A689" s="214"/>
      <c r="B689" s="214"/>
      <c r="C689" s="214"/>
      <c r="D689" s="214"/>
      <c r="E689" s="214"/>
      <c r="F689" s="214"/>
      <c r="G689" s="214"/>
      <c r="H689" s="214"/>
      <c r="I689" s="214"/>
      <c r="J689" s="214"/>
      <c r="K689" s="214"/>
      <c r="L689" s="214"/>
      <c r="M689" s="215"/>
      <c r="N689" s="215"/>
      <c r="O689" s="216"/>
      <c r="P689" s="216"/>
      <c r="Q689" s="216"/>
      <c r="R689" s="216"/>
      <c r="S689" s="216"/>
      <c r="T689" s="216"/>
      <c r="U689" s="216"/>
    </row>
    <row r="690" spans="1:21" ht="12.75" x14ac:dyDescent="0.2">
      <c r="A690" s="214"/>
      <c r="B690" s="214"/>
      <c r="C690" s="214"/>
      <c r="D690" s="214"/>
      <c r="E690" s="214"/>
      <c r="F690" s="214"/>
      <c r="G690" s="214"/>
      <c r="H690" s="214"/>
      <c r="I690" s="214"/>
      <c r="J690" s="214"/>
      <c r="K690" s="214"/>
      <c r="L690" s="214"/>
      <c r="M690" s="215"/>
      <c r="N690" s="215"/>
      <c r="O690" s="216"/>
      <c r="P690" s="216"/>
      <c r="Q690" s="216"/>
      <c r="R690" s="216"/>
      <c r="S690" s="216"/>
      <c r="T690" s="216"/>
      <c r="U690" s="216"/>
    </row>
    <row r="691" spans="1:21" ht="12.75" x14ac:dyDescent="0.2">
      <c r="A691" s="214"/>
      <c r="B691" s="214"/>
      <c r="C691" s="214"/>
      <c r="D691" s="214"/>
      <c r="E691" s="214"/>
      <c r="F691" s="214"/>
      <c r="G691" s="214"/>
      <c r="H691" s="214"/>
      <c r="I691" s="214"/>
      <c r="J691" s="214"/>
      <c r="K691" s="214"/>
      <c r="L691" s="214"/>
      <c r="M691" s="215"/>
      <c r="N691" s="215"/>
      <c r="O691" s="216"/>
      <c r="P691" s="216"/>
      <c r="Q691" s="216"/>
      <c r="R691" s="216"/>
      <c r="S691" s="216"/>
      <c r="T691" s="216"/>
      <c r="U691" s="216"/>
    </row>
    <row r="692" spans="1:21" ht="12.75" x14ac:dyDescent="0.2">
      <c r="A692" s="214"/>
      <c r="B692" s="214"/>
      <c r="C692" s="214"/>
      <c r="D692" s="214"/>
      <c r="E692" s="214"/>
      <c r="F692" s="214"/>
      <c r="G692" s="214"/>
      <c r="H692" s="214"/>
      <c r="I692" s="214"/>
      <c r="J692" s="214"/>
      <c r="K692" s="214"/>
      <c r="L692" s="214"/>
      <c r="M692" s="215"/>
      <c r="N692" s="215"/>
      <c r="O692" s="216"/>
      <c r="P692" s="216"/>
      <c r="Q692" s="216"/>
      <c r="R692" s="216"/>
      <c r="S692" s="216"/>
      <c r="T692" s="216"/>
      <c r="U692" s="216"/>
    </row>
    <row r="693" spans="1:21" ht="12.75" x14ac:dyDescent="0.2">
      <c r="A693" s="214"/>
      <c r="B693" s="214"/>
      <c r="C693" s="214"/>
      <c r="D693" s="214"/>
      <c r="E693" s="214"/>
      <c r="F693" s="214"/>
      <c r="G693" s="214"/>
      <c r="H693" s="214"/>
      <c r="I693" s="214"/>
      <c r="J693" s="214"/>
      <c r="K693" s="214"/>
      <c r="L693" s="214"/>
      <c r="M693" s="215"/>
      <c r="N693" s="215"/>
      <c r="O693" s="216"/>
      <c r="P693" s="216"/>
      <c r="Q693" s="216"/>
      <c r="R693" s="216"/>
      <c r="S693" s="216"/>
      <c r="T693" s="216"/>
      <c r="U693" s="216"/>
    </row>
    <row r="694" spans="1:21" ht="12.75" x14ac:dyDescent="0.2">
      <c r="A694" s="214"/>
      <c r="B694" s="214"/>
      <c r="C694" s="214"/>
      <c r="D694" s="214"/>
      <c r="E694" s="214"/>
      <c r="F694" s="214"/>
      <c r="G694" s="214"/>
      <c r="H694" s="214"/>
      <c r="I694" s="214"/>
      <c r="J694" s="214"/>
      <c r="K694" s="214"/>
      <c r="L694" s="214"/>
      <c r="M694" s="215"/>
      <c r="N694" s="215"/>
      <c r="O694" s="216"/>
      <c r="P694" s="216"/>
      <c r="Q694" s="216"/>
      <c r="R694" s="216"/>
      <c r="S694" s="216"/>
      <c r="T694" s="216"/>
      <c r="U694" s="216"/>
    </row>
    <row r="695" spans="1:21" ht="12.75" x14ac:dyDescent="0.2">
      <c r="A695" s="214"/>
      <c r="B695" s="214"/>
      <c r="C695" s="214"/>
      <c r="D695" s="214"/>
      <c r="E695" s="214"/>
      <c r="F695" s="214"/>
      <c r="G695" s="214"/>
      <c r="H695" s="214"/>
      <c r="I695" s="214"/>
      <c r="J695" s="214"/>
      <c r="K695" s="214"/>
      <c r="L695" s="214"/>
      <c r="M695" s="215"/>
      <c r="N695" s="215"/>
      <c r="O695" s="216"/>
      <c r="P695" s="216"/>
      <c r="Q695" s="216"/>
      <c r="R695" s="216"/>
      <c r="S695" s="216"/>
      <c r="T695" s="216"/>
      <c r="U695" s="216"/>
    </row>
    <row r="696" spans="1:21" ht="12.75" x14ac:dyDescent="0.2">
      <c r="A696" s="214"/>
      <c r="B696" s="214"/>
      <c r="C696" s="214"/>
      <c r="D696" s="214"/>
      <c r="E696" s="214"/>
      <c r="F696" s="214"/>
      <c r="G696" s="214"/>
      <c r="H696" s="214"/>
      <c r="I696" s="214"/>
      <c r="J696" s="214"/>
      <c r="K696" s="214"/>
      <c r="L696" s="214"/>
      <c r="M696" s="215"/>
      <c r="N696" s="215"/>
      <c r="O696" s="216"/>
      <c r="P696" s="216"/>
      <c r="Q696" s="216"/>
      <c r="R696" s="216"/>
      <c r="S696" s="216"/>
      <c r="T696" s="216"/>
      <c r="U696" s="216"/>
    </row>
    <row r="697" spans="1:21" ht="12.75" x14ac:dyDescent="0.2">
      <c r="A697" s="214"/>
      <c r="B697" s="214"/>
      <c r="C697" s="214"/>
      <c r="D697" s="214"/>
      <c r="E697" s="214"/>
      <c r="F697" s="214"/>
      <c r="G697" s="214"/>
      <c r="H697" s="214"/>
      <c r="I697" s="214"/>
      <c r="J697" s="214"/>
      <c r="K697" s="214"/>
      <c r="L697" s="214"/>
      <c r="M697" s="215"/>
      <c r="N697" s="215"/>
      <c r="O697" s="216"/>
      <c r="P697" s="216"/>
      <c r="Q697" s="216"/>
      <c r="R697" s="216"/>
      <c r="S697" s="216"/>
      <c r="T697" s="216"/>
      <c r="U697" s="216"/>
    </row>
    <row r="698" spans="1:21" ht="12.75" x14ac:dyDescent="0.2">
      <c r="A698" s="214"/>
      <c r="B698" s="214"/>
      <c r="C698" s="214"/>
      <c r="D698" s="214"/>
      <c r="E698" s="214"/>
      <c r="F698" s="214"/>
      <c r="G698" s="214"/>
      <c r="H698" s="214"/>
      <c r="I698" s="214"/>
      <c r="J698" s="214"/>
      <c r="K698" s="214"/>
      <c r="L698" s="214"/>
      <c r="M698" s="215"/>
      <c r="N698" s="215"/>
      <c r="O698" s="216"/>
      <c r="P698" s="216"/>
      <c r="Q698" s="216"/>
      <c r="R698" s="216"/>
      <c r="S698" s="216"/>
      <c r="T698" s="216"/>
      <c r="U698" s="216"/>
    </row>
    <row r="699" spans="1:21" ht="12.75" x14ac:dyDescent="0.2">
      <c r="A699" s="214"/>
      <c r="B699" s="214"/>
      <c r="C699" s="214"/>
      <c r="D699" s="214"/>
      <c r="E699" s="214"/>
      <c r="F699" s="214"/>
      <c r="G699" s="214"/>
      <c r="H699" s="214"/>
      <c r="I699" s="214"/>
      <c r="J699" s="214"/>
      <c r="K699" s="214"/>
      <c r="L699" s="214"/>
      <c r="M699" s="215"/>
      <c r="N699" s="215"/>
      <c r="O699" s="216"/>
      <c r="P699" s="216"/>
      <c r="Q699" s="216"/>
      <c r="R699" s="216"/>
      <c r="S699" s="216"/>
      <c r="T699" s="216"/>
      <c r="U699" s="216"/>
    </row>
    <row r="700" spans="1:21" ht="12.75" x14ac:dyDescent="0.2">
      <c r="A700" s="214"/>
      <c r="B700" s="214"/>
      <c r="C700" s="214"/>
      <c r="D700" s="214"/>
      <c r="E700" s="214"/>
      <c r="F700" s="214"/>
      <c r="G700" s="214"/>
      <c r="H700" s="214"/>
      <c r="I700" s="214"/>
      <c r="J700" s="214"/>
      <c r="K700" s="214"/>
      <c r="L700" s="214"/>
      <c r="M700" s="215"/>
      <c r="N700" s="215"/>
      <c r="O700" s="216"/>
      <c r="P700" s="216"/>
      <c r="Q700" s="216"/>
      <c r="R700" s="216"/>
      <c r="S700" s="216"/>
      <c r="T700" s="216"/>
      <c r="U700" s="216"/>
    </row>
    <row r="701" spans="1:21" ht="12.75" x14ac:dyDescent="0.2">
      <c r="A701" s="214"/>
      <c r="B701" s="214"/>
      <c r="C701" s="214"/>
      <c r="D701" s="214"/>
      <c r="E701" s="214"/>
      <c r="F701" s="214"/>
      <c r="G701" s="214"/>
      <c r="H701" s="214"/>
      <c r="I701" s="214"/>
      <c r="J701" s="214"/>
      <c r="K701" s="214"/>
      <c r="L701" s="214"/>
      <c r="M701" s="215"/>
      <c r="N701" s="215"/>
      <c r="O701" s="216"/>
      <c r="P701" s="216"/>
      <c r="Q701" s="216"/>
      <c r="R701" s="216"/>
      <c r="S701" s="216"/>
      <c r="T701" s="216"/>
      <c r="U701" s="216"/>
    </row>
    <row r="702" spans="1:21" ht="12.75" x14ac:dyDescent="0.2">
      <c r="A702" s="214"/>
      <c r="B702" s="214"/>
      <c r="C702" s="214"/>
      <c r="D702" s="214"/>
      <c r="E702" s="214"/>
      <c r="F702" s="214"/>
      <c r="G702" s="214"/>
      <c r="H702" s="214"/>
      <c r="I702" s="214"/>
      <c r="J702" s="214"/>
      <c r="K702" s="214"/>
      <c r="L702" s="214"/>
      <c r="M702" s="215"/>
      <c r="N702" s="215"/>
      <c r="O702" s="216"/>
      <c r="P702" s="216"/>
      <c r="Q702" s="216"/>
      <c r="R702" s="216"/>
      <c r="S702" s="216"/>
      <c r="T702" s="216"/>
      <c r="U702" s="216"/>
    </row>
    <row r="703" spans="1:21" ht="12.75" x14ac:dyDescent="0.2">
      <c r="A703" s="214"/>
      <c r="B703" s="214"/>
      <c r="C703" s="214"/>
      <c r="D703" s="214"/>
      <c r="E703" s="214"/>
      <c r="F703" s="214"/>
      <c r="G703" s="214"/>
      <c r="H703" s="214"/>
      <c r="I703" s="214"/>
      <c r="J703" s="214"/>
      <c r="K703" s="214"/>
      <c r="L703" s="214"/>
      <c r="M703" s="215"/>
      <c r="N703" s="215"/>
      <c r="O703" s="216"/>
      <c r="P703" s="216"/>
      <c r="Q703" s="216"/>
      <c r="R703" s="216"/>
      <c r="S703" s="216"/>
      <c r="T703" s="216"/>
      <c r="U703" s="216"/>
    </row>
    <row r="704" spans="1:21" ht="12.75" x14ac:dyDescent="0.2">
      <c r="A704" s="214"/>
      <c r="B704" s="214"/>
      <c r="C704" s="214"/>
      <c r="D704" s="214"/>
      <c r="E704" s="214"/>
      <c r="F704" s="214"/>
      <c r="G704" s="214"/>
      <c r="H704" s="214"/>
      <c r="I704" s="214"/>
      <c r="J704" s="214"/>
      <c r="K704" s="214"/>
      <c r="L704" s="214"/>
      <c r="M704" s="215"/>
      <c r="N704" s="215"/>
      <c r="O704" s="216"/>
      <c r="P704" s="216"/>
      <c r="Q704" s="216"/>
      <c r="R704" s="216"/>
      <c r="S704" s="216"/>
      <c r="T704" s="216"/>
      <c r="U704" s="216"/>
    </row>
    <row r="705" spans="1:21" ht="12.75" x14ac:dyDescent="0.2">
      <c r="A705" s="214"/>
      <c r="B705" s="214"/>
      <c r="C705" s="214"/>
      <c r="D705" s="214"/>
      <c r="E705" s="214"/>
      <c r="F705" s="214"/>
      <c r="G705" s="214"/>
      <c r="H705" s="214"/>
      <c r="I705" s="214"/>
      <c r="J705" s="214"/>
      <c r="K705" s="214"/>
      <c r="L705" s="214"/>
      <c r="M705" s="215"/>
      <c r="N705" s="215"/>
      <c r="O705" s="216"/>
      <c r="P705" s="216"/>
      <c r="Q705" s="216"/>
      <c r="R705" s="216"/>
      <c r="S705" s="216"/>
      <c r="T705" s="216"/>
      <c r="U705" s="216"/>
    </row>
    <row r="706" spans="1:21" ht="12.75" x14ac:dyDescent="0.2">
      <c r="A706" s="214"/>
      <c r="B706" s="214"/>
      <c r="C706" s="214"/>
      <c r="D706" s="214"/>
      <c r="E706" s="214"/>
      <c r="F706" s="214"/>
      <c r="G706" s="214"/>
      <c r="H706" s="214"/>
      <c r="I706" s="214"/>
      <c r="J706" s="214"/>
      <c r="K706" s="214"/>
      <c r="L706" s="214"/>
      <c r="M706" s="215"/>
      <c r="N706" s="215"/>
      <c r="O706" s="216"/>
      <c r="P706" s="216"/>
      <c r="Q706" s="216"/>
      <c r="R706" s="216"/>
      <c r="S706" s="216"/>
      <c r="T706" s="216"/>
      <c r="U706" s="216"/>
    </row>
    <row r="707" spans="1:21" ht="12.75" x14ac:dyDescent="0.2">
      <c r="A707" s="214"/>
      <c r="B707" s="214"/>
      <c r="C707" s="214"/>
      <c r="D707" s="214"/>
      <c r="E707" s="214"/>
      <c r="F707" s="214"/>
      <c r="G707" s="214"/>
      <c r="H707" s="214"/>
      <c r="I707" s="214"/>
      <c r="J707" s="214"/>
      <c r="K707" s="214"/>
      <c r="L707" s="214"/>
      <c r="M707" s="215"/>
      <c r="N707" s="215"/>
      <c r="O707" s="216"/>
      <c r="P707" s="216"/>
      <c r="Q707" s="216"/>
      <c r="R707" s="216"/>
      <c r="S707" s="216"/>
      <c r="T707" s="216"/>
      <c r="U707" s="216"/>
    </row>
    <row r="708" spans="1:21" ht="12.75" x14ac:dyDescent="0.2">
      <c r="A708" s="214"/>
      <c r="B708" s="214"/>
      <c r="C708" s="214"/>
      <c r="D708" s="214"/>
      <c r="E708" s="214"/>
      <c r="F708" s="214"/>
      <c r="G708" s="214"/>
      <c r="H708" s="214"/>
      <c r="I708" s="214"/>
      <c r="J708" s="214"/>
      <c r="K708" s="214"/>
      <c r="L708" s="214"/>
      <c r="M708" s="215"/>
      <c r="N708" s="215"/>
      <c r="O708" s="216"/>
      <c r="P708" s="216"/>
      <c r="Q708" s="216"/>
      <c r="R708" s="216"/>
      <c r="S708" s="216"/>
      <c r="T708" s="216"/>
      <c r="U708" s="216"/>
    </row>
    <row r="709" spans="1:21" ht="12.75" x14ac:dyDescent="0.2">
      <c r="A709" s="214"/>
      <c r="B709" s="214"/>
      <c r="C709" s="214"/>
      <c r="D709" s="214"/>
      <c r="E709" s="214"/>
      <c r="F709" s="214"/>
      <c r="G709" s="214"/>
      <c r="H709" s="214"/>
      <c r="I709" s="214"/>
      <c r="J709" s="214"/>
      <c r="K709" s="214"/>
      <c r="L709" s="214"/>
      <c r="M709" s="215"/>
      <c r="N709" s="215"/>
      <c r="O709" s="216"/>
      <c r="P709" s="216"/>
      <c r="Q709" s="216"/>
      <c r="R709" s="216"/>
      <c r="S709" s="216"/>
      <c r="T709" s="216"/>
      <c r="U709" s="216"/>
    </row>
    <row r="710" spans="1:21" ht="12.75" x14ac:dyDescent="0.2">
      <c r="A710" s="214"/>
      <c r="B710" s="214"/>
      <c r="C710" s="214"/>
      <c r="D710" s="214"/>
      <c r="E710" s="214"/>
      <c r="F710" s="214"/>
      <c r="G710" s="214"/>
      <c r="H710" s="214"/>
      <c r="I710" s="214"/>
      <c r="J710" s="214"/>
      <c r="K710" s="214"/>
      <c r="L710" s="214"/>
      <c r="M710" s="215"/>
      <c r="N710" s="215"/>
      <c r="O710" s="216"/>
      <c r="P710" s="216"/>
      <c r="Q710" s="216"/>
      <c r="R710" s="216"/>
      <c r="S710" s="216"/>
      <c r="T710" s="216"/>
      <c r="U710" s="216"/>
    </row>
    <row r="711" spans="1:21" ht="12.75" x14ac:dyDescent="0.2">
      <c r="A711" s="214"/>
      <c r="B711" s="214"/>
      <c r="C711" s="214"/>
      <c r="D711" s="214"/>
      <c r="E711" s="214"/>
      <c r="F711" s="214"/>
      <c r="G711" s="214"/>
      <c r="H711" s="214"/>
      <c r="I711" s="214"/>
      <c r="J711" s="214"/>
      <c r="K711" s="214"/>
      <c r="L711" s="214"/>
      <c r="M711" s="215"/>
      <c r="N711" s="215"/>
      <c r="O711" s="216"/>
      <c r="P711" s="216"/>
      <c r="Q711" s="216"/>
      <c r="R711" s="216"/>
      <c r="S711" s="216"/>
      <c r="T711" s="216"/>
      <c r="U711" s="216"/>
    </row>
    <row r="712" spans="1:21" ht="12.75" x14ac:dyDescent="0.2">
      <c r="A712" s="214"/>
      <c r="B712" s="214"/>
      <c r="C712" s="214"/>
      <c r="D712" s="214"/>
      <c r="E712" s="214"/>
      <c r="F712" s="214"/>
      <c r="G712" s="214"/>
      <c r="H712" s="214"/>
      <c r="I712" s="214"/>
      <c r="J712" s="214"/>
      <c r="K712" s="214"/>
      <c r="L712" s="214"/>
      <c r="M712" s="215"/>
      <c r="N712" s="215"/>
      <c r="O712" s="216"/>
      <c r="P712" s="216"/>
      <c r="Q712" s="216"/>
      <c r="R712" s="216"/>
      <c r="S712" s="216"/>
      <c r="T712" s="216"/>
      <c r="U712" s="216"/>
    </row>
    <row r="713" spans="1:21" ht="12.75" x14ac:dyDescent="0.2">
      <c r="A713" s="214"/>
      <c r="B713" s="214"/>
      <c r="C713" s="214"/>
      <c r="D713" s="214"/>
      <c r="E713" s="214"/>
      <c r="F713" s="214"/>
      <c r="G713" s="214"/>
      <c r="H713" s="214"/>
      <c r="I713" s="214"/>
      <c r="J713" s="214"/>
      <c r="K713" s="214"/>
      <c r="L713" s="214"/>
      <c r="M713" s="215"/>
      <c r="N713" s="215"/>
      <c r="O713" s="216"/>
      <c r="P713" s="216"/>
      <c r="Q713" s="216"/>
      <c r="R713" s="216"/>
      <c r="S713" s="216"/>
      <c r="T713" s="216"/>
      <c r="U713" s="216"/>
    </row>
    <row r="714" spans="1:21" ht="12.75" x14ac:dyDescent="0.2">
      <c r="A714" s="214"/>
      <c r="B714" s="214"/>
      <c r="C714" s="214"/>
      <c r="D714" s="214"/>
      <c r="E714" s="214"/>
      <c r="F714" s="214"/>
      <c r="G714" s="214"/>
      <c r="H714" s="214"/>
      <c r="I714" s="214"/>
      <c r="J714" s="214"/>
      <c r="K714" s="214"/>
      <c r="L714" s="214"/>
      <c r="M714" s="215"/>
      <c r="N714" s="215"/>
      <c r="O714" s="216"/>
      <c r="P714" s="216"/>
      <c r="Q714" s="216"/>
      <c r="R714" s="216"/>
      <c r="S714" s="216"/>
      <c r="T714" s="216"/>
      <c r="U714" s="216"/>
    </row>
    <row r="715" spans="1:21" ht="12.75" x14ac:dyDescent="0.2">
      <c r="A715" s="214"/>
      <c r="B715" s="214"/>
      <c r="C715" s="214"/>
      <c r="D715" s="214"/>
      <c r="E715" s="214"/>
      <c r="F715" s="214"/>
      <c r="G715" s="214"/>
      <c r="H715" s="214"/>
      <c r="I715" s="214"/>
      <c r="J715" s="214"/>
      <c r="K715" s="214"/>
      <c r="L715" s="214"/>
      <c r="M715" s="215"/>
      <c r="N715" s="215"/>
      <c r="O715" s="216"/>
      <c r="P715" s="216"/>
      <c r="Q715" s="216"/>
      <c r="R715" s="216"/>
      <c r="S715" s="216"/>
      <c r="T715" s="216"/>
      <c r="U715" s="216"/>
    </row>
    <row r="716" spans="1:21" ht="12.75" x14ac:dyDescent="0.2">
      <c r="A716" s="214"/>
      <c r="B716" s="214"/>
      <c r="C716" s="214"/>
      <c r="D716" s="214"/>
      <c r="E716" s="214"/>
      <c r="F716" s="214"/>
      <c r="G716" s="214"/>
      <c r="H716" s="214"/>
      <c r="I716" s="214"/>
      <c r="J716" s="214"/>
      <c r="K716" s="214"/>
      <c r="L716" s="214"/>
      <c r="M716" s="215"/>
      <c r="N716" s="215"/>
      <c r="O716" s="216"/>
      <c r="P716" s="216"/>
      <c r="Q716" s="216"/>
      <c r="R716" s="216"/>
      <c r="S716" s="216"/>
      <c r="T716" s="216"/>
      <c r="U716" s="216"/>
    </row>
    <row r="717" spans="1:21" ht="12.75" x14ac:dyDescent="0.2">
      <c r="A717" s="214"/>
      <c r="B717" s="214"/>
      <c r="C717" s="214"/>
      <c r="D717" s="214"/>
      <c r="E717" s="214"/>
      <c r="F717" s="214"/>
      <c r="G717" s="214"/>
      <c r="H717" s="214"/>
      <c r="I717" s="214"/>
      <c r="J717" s="214"/>
      <c r="K717" s="214"/>
      <c r="L717" s="214"/>
      <c r="M717" s="215"/>
      <c r="N717" s="215"/>
      <c r="O717" s="216"/>
      <c r="P717" s="216"/>
      <c r="Q717" s="216"/>
      <c r="R717" s="216"/>
      <c r="S717" s="216"/>
      <c r="T717" s="216"/>
      <c r="U717" s="216"/>
    </row>
    <row r="718" spans="1:21" ht="12.75" x14ac:dyDescent="0.2">
      <c r="A718" s="214"/>
      <c r="B718" s="214"/>
      <c r="C718" s="214"/>
      <c r="D718" s="214"/>
      <c r="E718" s="214"/>
      <c r="F718" s="214"/>
      <c r="G718" s="214"/>
      <c r="H718" s="214"/>
      <c r="I718" s="214"/>
      <c r="J718" s="214"/>
      <c r="K718" s="214"/>
      <c r="L718" s="214"/>
      <c r="M718" s="215"/>
      <c r="N718" s="215"/>
      <c r="O718" s="216"/>
      <c r="P718" s="216"/>
      <c r="Q718" s="216"/>
      <c r="R718" s="216"/>
      <c r="S718" s="216"/>
      <c r="T718" s="216"/>
      <c r="U718" s="216"/>
    </row>
    <row r="719" spans="1:21" ht="12.75" x14ac:dyDescent="0.2">
      <c r="A719" s="214"/>
      <c r="B719" s="214"/>
      <c r="C719" s="214"/>
      <c r="D719" s="214"/>
      <c r="E719" s="214"/>
      <c r="F719" s="214"/>
      <c r="G719" s="214"/>
      <c r="H719" s="214"/>
      <c r="I719" s="214"/>
      <c r="J719" s="214"/>
      <c r="K719" s="214"/>
      <c r="L719" s="214"/>
      <c r="M719" s="215"/>
      <c r="N719" s="215"/>
      <c r="O719" s="216"/>
      <c r="P719" s="216"/>
      <c r="Q719" s="216"/>
      <c r="R719" s="216"/>
      <c r="S719" s="216"/>
      <c r="T719" s="216"/>
      <c r="U719" s="216"/>
    </row>
    <row r="720" spans="1:21" ht="12.75" x14ac:dyDescent="0.2">
      <c r="A720" s="214"/>
      <c r="B720" s="214"/>
      <c r="C720" s="214"/>
      <c r="D720" s="214"/>
      <c r="E720" s="214"/>
      <c r="F720" s="214"/>
      <c r="G720" s="214"/>
      <c r="H720" s="214"/>
      <c r="I720" s="214"/>
      <c r="J720" s="214"/>
      <c r="K720" s="214"/>
      <c r="L720" s="214"/>
      <c r="M720" s="215"/>
      <c r="N720" s="215"/>
      <c r="O720" s="216"/>
      <c r="P720" s="216"/>
      <c r="Q720" s="216"/>
      <c r="R720" s="216"/>
      <c r="S720" s="216"/>
      <c r="T720" s="216"/>
      <c r="U720" s="216"/>
    </row>
    <row r="721" spans="1:21" ht="12.75" x14ac:dyDescent="0.2">
      <c r="A721" s="214"/>
      <c r="B721" s="214"/>
      <c r="C721" s="214"/>
      <c r="D721" s="214"/>
      <c r="E721" s="214"/>
      <c r="F721" s="214"/>
      <c r="G721" s="214"/>
      <c r="H721" s="214"/>
      <c r="I721" s="214"/>
      <c r="J721" s="214"/>
      <c r="K721" s="214"/>
      <c r="L721" s="214"/>
      <c r="M721" s="215"/>
      <c r="N721" s="215"/>
      <c r="O721" s="216"/>
      <c r="P721" s="216"/>
      <c r="Q721" s="216"/>
      <c r="R721" s="216"/>
      <c r="S721" s="216"/>
      <c r="T721" s="216"/>
      <c r="U721" s="216"/>
    </row>
    <row r="722" spans="1:21" ht="12.75" x14ac:dyDescent="0.2">
      <c r="A722" s="214"/>
      <c r="B722" s="214"/>
      <c r="C722" s="214"/>
      <c r="D722" s="214"/>
      <c r="E722" s="214"/>
      <c r="F722" s="214"/>
      <c r="G722" s="214"/>
      <c r="H722" s="214"/>
      <c r="I722" s="214"/>
      <c r="J722" s="214"/>
      <c r="K722" s="214"/>
      <c r="L722" s="214"/>
      <c r="M722" s="215"/>
      <c r="N722" s="215"/>
      <c r="O722" s="216"/>
      <c r="P722" s="216"/>
      <c r="Q722" s="216"/>
      <c r="R722" s="216"/>
      <c r="S722" s="216"/>
      <c r="T722" s="216"/>
      <c r="U722" s="216"/>
    </row>
    <row r="723" spans="1:21" ht="12.75" x14ac:dyDescent="0.2">
      <c r="A723" s="214"/>
      <c r="B723" s="214"/>
      <c r="C723" s="214"/>
      <c r="D723" s="214"/>
      <c r="E723" s="214"/>
      <c r="F723" s="214"/>
      <c r="G723" s="214"/>
      <c r="H723" s="214"/>
      <c r="I723" s="214"/>
      <c r="J723" s="214"/>
      <c r="K723" s="214"/>
      <c r="L723" s="214"/>
      <c r="M723" s="215"/>
      <c r="N723" s="215"/>
      <c r="O723" s="216"/>
      <c r="P723" s="216"/>
      <c r="Q723" s="216"/>
      <c r="R723" s="216"/>
      <c r="S723" s="216"/>
      <c r="T723" s="216"/>
      <c r="U723" s="216"/>
    </row>
    <row r="724" spans="1:21" ht="12.75" x14ac:dyDescent="0.2">
      <c r="A724" s="214"/>
      <c r="B724" s="214"/>
      <c r="C724" s="214"/>
      <c r="D724" s="214"/>
      <c r="E724" s="214"/>
      <c r="F724" s="214"/>
      <c r="G724" s="214"/>
      <c r="H724" s="214"/>
      <c r="I724" s="214"/>
      <c r="J724" s="214"/>
      <c r="K724" s="214"/>
      <c r="L724" s="214"/>
      <c r="M724" s="215"/>
      <c r="N724" s="215"/>
      <c r="O724" s="216"/>
      <c r="P724" s="216"/>
      <c r="Q724" s="216"/>
      <c r="R724" s="216"/>
      <c r="S724" s="216"/>
      <c r="T724" s="216"/>
      <c r="U724" s="216"/>
    </row>
    <row r="725" spans="1:21" ht="12.75" x14ac:dyDescent="0.2">
      <c r="A725" s="214"/>
      <c r="B725" s="214"/>
      <c r="C725" s="214"/>
      <c r="D725" s="214"/>
      <c r="E725" s="214"/>
      <c r="F725" s="214"/>
      <c r="G725" s="214"/>
      <c r="H725" s="214"/>
      <c r="I725" s="214"/>
      <c r="J725" s="214"/>
      <c r="K725" s="214"/>
      <c r="L725" s="214"/>
      <c r="M725" s="215"/>
      <c r="N725" s="215"/>
      <c r="O725" s="216"/>
      <c r="P725" s="216"/>
      <c r="Q725" s="216"/>
      <c r="R725" s="216"/>
      <c r="S725" s="216"/>
      <c r="T725" s="216"/>
      <c r="U725" s="216"/>
    </row>
    <row r="726" spans="1:21" ht="12.75" x14ac:dyDescent="0.2">
      <c r="A726" s="214"/>
      <c r="B726" s="214"/>
      <c r="C726" s="214"/>
      <c r="D726" s="214"/>
      <c r="E726" s="214"/>
      <c r="F726" s="214"/>
      <c r="G726" s="214"/>
      <c r="H726" s="214"/>
      <c r="I726" s="214"/>
      <c r="J726" s="214"/>
      <c r="K726" s="214"/>
      <c r="L726" s="214"/>
      <c r="M726" s="215"/>
      <c r="N726" s="215"/>
      <c r="O726" s="216"/>
      <c r="P726" s="216"/>
      <c r="Q726" s="216"/>
      <c r="R726" s="216"/>
      <c r="S726" s="216"/>
      <c r="T726" s="216"/>
      <c r="U726" s="216"/>
    </row>
    <row r="727" spans="1:21" ht="12.75" x14ac:dyDescent="0.2">
      <c r="A727" s="214"/>
      <c r="B727" s="214"/>
      <c r="C727" s="214"/>
      <c r="D727" s="214"/>
      <c r="E727" s="214"/>
      <c r="F727" s="214"/>
      <c r="G727" s="214"/>
      <c r="H727" s="214"/>
      <c r="I727" s="214"/>
      <c r="J727" s="214"/>
      <c r="K727" s="214"/>
      <c r="L727" s="214"/>
      <c r="M727" s="215"/>
      <c r="N727" s="215"/>
      <c r="O727" s="216"/>
      <c r="P727" s="216"/>
      <c r="Q727" s="216"/>
      <c r="R727" s="216"/>
      <c r="S727" s="216"/>
      <c r="T727" s="216"/>
      <c r="U727" s="216"/>
    </row>
    <row r="728" spans="1:21" ht="12.75" x14ac:dyDescent="0.2">
      <c r="A728" s="214"/>
      <c r="B728" s="214"/>
      <c r="C728" s="214"/>
      <c r="D728" s="214"/>
      <c r="E728" s="214"/>
      <c r="F728" s="214"/>
      <c r="G728" s="214"/>
      <c r="H728" s="214"/>
      <c r="I728" s="214"/>
      <c r="J728" s="214"/>
      <c r="K728" s="214"/>
      <c r="L728" s="214"/>
      <c r="M728" s="215"/>
      <c r="N728" s="215"/>
      <c r="O728" s="216"/>
      <c r="P728" s="216"/>
      <c r="Q728" s="216"/>
      <c r="R728" s="216"/>
      <c r="S728" s="216"/>
      <c r="T728" s="216"/>
      <c r="U728" s="216"/>
    </row>
    <row r="729" spans="1:21" ht="12.75" x14ac:dyDescent="0.2">
      <c r="A729" s="214"/>
      <c r="B729" s="214"/>
      <c r="C729" s="214"/>
      <c r="D729" s="214"/>
      <c r="E729" s="214"/>
      <c r="F729" s="214"/>
      <c r="G729" s="214"/>
      <c r="H729" s="214"/>
      <c r="I729" s="214"/>
      <c r="J729" s="214"/>
      <c r="K729" s="214"/>
      <c r="L729" s="214"/>
      <c r="M729" s="215"/>
      <c r="N729" s="215"/>
      <c r="O729" s="216"/>
      <c r="P729" s="216"/>
      <c r="Q729" s="216"/>
      <c r="R729" s="216"/>
      <c r="S729" s="216"/>
      <c r="T729" s="216"/>
      <c r="U729" s="216"/>
    </row>
    <row r="730" spans="1:21" ht="12.75" x14ac:dyDescent="0.2">
      <c r="A730" s="214"/>
      <c r="B730" s="214"/>
      <c r="C730" s="214"/>
      <c r="D730" s="214"/>
      <c r="E730" s="214"/>
      <c r="F730" s="214"/>
      <c r="G730" s="214"/>
      <c r="H730" s="214"/>
      <c r="I730" s="214"/>
      <c r="J730" s="214"/>
      <c r="K730" s="214"/>
      <c r="L730" s="214"/>
      <c r="M730" s="215"/>
      <c r="N730" s="215"/>
      <c r="O730" s="216"/>
      <c r="P730" s="216"/>
      <c r="Q730" s="216"/>
      <c r="R730" s="216"/>
      <c r="S730" s="216"/>
      <c r="T730" s="216"/>
      <c r="U730" s="216"/>
    </row>
    <row r="731" spans="1:21" ht="12.75" x14ac:dyDescent="0.2">
      <c r="A731" s="214"/>
      <c r="B731" s="214"/>
      <c r="C731" s="214"/>
      <c r="D731" s="214"/>
      <c r="E731" s="214"/>
      <c r="F731" s="214"/>
      <c r="G731" s="214"/>
      <c r="H731" s="214"/>
      <c r="I731" s="214"/>
      <c r="J731" s="214"/>
      <c r="K731" s="214"/>
      <c r="L731" s="214"/>
      <c r="M731" s="215"/>
      <c r="N731" s="215"/>
      <c r="O731" s="216"/>
      <c r="P731" s="216"/>
      <c r="Q731" s="216"/>
      <c r="R731" s="216"/>
      <c r="S731" s="216"/>
      <c r="T731" s="216"/>
      <c r="U731" s="216"/>
    </row>
    <row r="732" spans="1:21" ht="12.75" x14ac:dyDescent="0.2">
      <c r="A732" s="214"/>
      <c r="B732" s="214"/>
      <c r="C732" s="214"/>
      <c r="D732" s="214"/>
      <c r="E732" s="214"/>
      <c r="F732" s="214"/>
      <c r="G732" s="214"/>
      <c r="H732" s="214"/>
      <c r="I732" s="214"/>
      <c r="J732" s="214"/>
      <c r="K732" s="214"/>
      <c r="L732" s="214"/>
      <c r="M732" s="215"/>
      <c r="N732" s="215"/>
      <c r="O732" s="216"/>
      <c r="P732" s="216"/>
      <c r="Q732" s="216"/>
      <c r="R732" s="216"/>
      <c r="S732" s="216"/>
      <c r="T732" s="216"/>
      <c r="U732" s="216"/>
    </row>
    <row r="733" spans="1:21" ht="12.75" x14ac:dyDescent="0.2">
      <c r="A733" s="214"/>
      <c r="B733" s="214"/>
      <c r="C733" s="214"/>
      <c r="D733" s="214"/>
      <c r="E733" s="214"/>
      <c r="F733" s="214"/>
      <c r="G733" s="214"/>
      <c r="H733" s="214"/>
      <c r="I733" s="214"/>
      <c r="J733" s="214"/>
      <c r="K733" s="214"/>
      <c r="L733" s="214"/>
      <c r="M733" s="215"/>
      <c r="N733" s="215"/>
      <c r="O733" s="216"/>
      <c r="P733" s="216"/>
      <c r="Q733" s="216"/>
      <c r="R733" s="216"/>
      <c r="S733" s="216"/>
      <c r="T733" s="216"/>
      <c r="U733" s="216"/>
    </row>
    <row r="734" spans="1:21" ht="12.75" x14ac:dyDescent="0.2">
      <c r="A734" s="214"/>
      <c r="B734" s="214"/>
      <c r="C734" s="214"/>
      <c r="D734" s="214"/>
      <c r="E734" s="214"/>
      <c r="F734" s="214"/>
      <c r="G734" s="214"/>
      <c r="H734" s="214"/>
      <c r="I734" s="214"/>
      <c r="J734" s="214"/>
      <c r="K734" s="214"/>
      <c r="L734" s="214"/>
      <c r="M734" s="215"/>
      <c r="N734" s="215"/>
      <c r="O734" s="216"/>
      <c r="P734" s="216"/>
      <c r="Q734" s="216"/>
      <c r="R734" s="216"/>
      <c r="S734" s="216"/>
      <c r="T734" s="216"/>
      <c r="U734" s="216"/>
    </row>
    <row r="735" spans="1:21" ht="12.75" x14ac:dyDescent="0.2">
      <c r="A735" s="214"/>
      <c r="B735" s="214"/>
      <c r="C735" s="214"/>
      <c r="D735" s="214"/>
      <c r="E735" s="214"/>
      <c r="F735" s="214"/>
      <c r="G735" s="214"/>
      <c r="H735" s="214"/>
      <c r="I735" s="214"/>
      <c r="J735" s="214"/>
      <c r="K735" s="214"/>
      <c r="L735" s="214"/>
      <c r="M735" s="215"/>
      <c r="N735" s="215"/>
      <c r="O735" s="216"/>
      <c r="P735" s="216"/>
      <c r="Q735" s="216"/>
      <c r="R735" s="216"/>
      <c r="S735" s="216"/>
      <c r="T735" s="216"/>
      <c r="U735" s="216"/>
    </row>
    <row r="736" spans="1:21" ht="12.75" x14ac:dyDescent="0.2">
      <c r="A736" s="214"/>
      <c r="B736" s="214"/>
      <c r="C736" s="214"/>
      <c r="D736" s="214"/>
      <c r="E736" s="214"/>
      <c r="F736" s="214"/>
      <c r="G736" s="214"/>
      <c r="H736" s="214"/>
      <c r="I736" s="214"/>
      <c r="J736" s="214"/>
      <c r="K736" s="214"/>
      <c r="L736" s="214"/>
      <c r="M736" s="215"/>
      <c r="N736" s="215"/>
      <c r="O736" s="216"/>
      <c r="P736" s="216"/>
      <c r="Q736" s="216"/>
      <c r="R736" s="216"/>
      <c r="S736" s="216"/>
      <c r="T736" s="216"/>
      <c r="U736" s="216"/>
    </row>
    <row r="737" spans="1:21" ht="12.75" x14ac:dyDescent="0.2">
      <c r="A737" s="214"/>
      <c r="B737" s="214"/>
      <c r="C737" s="214"/>
      <c r="D737" s="214"/>
      <c r="E737" s="214"/>
      <c r="F737" s="214"/>
      <c r="G737" s="214"/>
      <c r="H737" s="214"/>
      <c r="I737" s="214"/>
      <c r="J737" s="214"/>
      <c r="K737" s="214"/>
      <c r="L737" s="214"/>
      <c r="M737" s="215"/>
      <c r="N737" s="215"/>
      <c r="O737" s="216"/>
      <c r="P737" s="216"/>
      <c r="Q737" s="216"/>
      <c r="R737" s="216"/>
      <c r="S737" s="216"/>
      <c r="T737" s="216"/>
      <c r="U737" s="216"/>
    </row>
    <row r="738" spans="1:21" ht="12.75" x14ac:dyDescent="0.2">
      <c r="A738" s="214"/>
      <c r="B738" s="214"/>
      <c r="C738" s="214"/>
      <c r="D738" s="214"/>
      <c r="E738" s="214"/>
      <c r="F738" s="214"/>
      <c r="G738" s="214"/>
      <c r="H738" s="214"/>
      <c r="I738" s="214"/>
      <c r="J738" s="214"/>
      <c r="K738" s="214"/>
      <c r="L738" s="214"/>
      <c r="M738" s="215"/>
      <c r="N738" s="215"/>
      <c r="O738" s="216"/>
      <c r="P738" s="216"/>
      <c r="Q738" s="216"/>
      <c r="R738" s="216"/>
      <c r="S738" s="216"/>
      <c r="T738" s="216"/>
      <c r="U738" s="216"/>
    </row>
    <row r="739" spans="1:21" ht="12.75" x14ac:dyDescent="0.2">
      <c r="A739" s="214"/>
      <c r="B739" s="214"/>
      <c r="C739" s="214"/>
      <c r="D739" s="214"/>
      <c r="E739" s="214"/>
      <c r="F739" s="214"/>
      <c r="G739" s="214"/>
      <c r="H739" s="214"/>
      <c r="I739" s="214"/>
      <c r="J739" s="214"/>
      <c r="K739" s="214"/>
      <c r="L739" s="214"/>
      <c r="M739" s="215"/>
      <c r="N739" s="215"/>
      <c r="O739" s="216"/>
      <c r="P739" s="216"/>
      <c r="Q739" s="216"/>
      <c r="R739" s="216"/>
      <c r="S739" s="216"/>
      <c r="T739" s="216"/>
      <c r="U739" s="216"/>
    </row>
    <row r="740" spans="1:21" ht="12.75" x14ac:dyDescent="0.2">
      <c r="A740" s="214"/>
      <c r="B740" s="214"/>
      <c r="C740" s="214"/>
      <c r="D740" s="214"/>
      <c r="E740" s="214"/>
      <c r="F740" s="214"/>
      <c r="G740" s="214"/>
      <c r="H740" s="214"/>
      <c r="I740" s="214"/>
      <c r="J740" s="214"/>
      <c r="K740" s="214"/>
      <c r="L740" s="214"/>
      <c r="M740" s="215"/>
      <c r="N740" s="215"/>
      <c r="O740" s="216"/>
      <c r="P740" s="216"/>
      <c r="Q740" s="216"/>
      <c r="R740" s="216"/>
      <c r="S740" s="216"/>
      <c r="T740" s="216"/>
      <c r="U740" s="216"/>
    </row>
    <row r="741" spans="1:21" ht="12.75" x14ac:dyDescent="0.2">
      <c r="A741" s="214"/>
      <c r="B741" s="214"/>
      <c r="C741" s="214"/>
      <c r="D741" s="214"/>
      <c r="E741" s="214"/>
      <c r="F741" s="214"/>
      <c r="G741" s="214"/>
      <c r="H741" s="214"/>
      <c r="I741" s="214"/>
      <c r="J741" s="214"/>
      <c r="K741" s="214"/>
      <c r="L741" s="214"/>
      <c r="M741" s="215"/>
      <c r="N741" s="215"/>
      <c r="O741" s="216"/>
      <c r="P741" s="216"/>
      <c r="Q741" s="216"/>
      <c r="R741" s="216"/>
      <c r="S741" s="216"/>
      <c r="T741" s="216"/>
      <c r="U741" s="216"/>
    </row>
    <row r="742" spans="1:21" ht="12.75" x14ac:dyDescent="0.2">
      <c r="A742" s="214"/>
      <c r="B742" s="214"/>
      <c r="C742" s="214"/>
      <c r="D742" s="214"/>
      <c r="E742" s="214"/>
      <c r="F742" s="214"/>
      <c r="G742" s="214"/>
      <c r="H742" s="214"/>
      <c r="I742" s="214"/>
      <c r="J742" s="214"/>
      <c r="K742" s="214"/>
      <c r="L742" s="214"/>
      <c r="M742" s="215"/>
      <c r="N742" s="215"/>
      <c r="O742" s="216"/>
      <c r="P742" s="216"/>
      <c r="Q742" s="216"/>
      <c r="R742" s="216"/>
      <c r="S742" s="216"/>
      <c r="T742" s="216"/>
      <c r="U742" s="216"/>
    </row>
    <row r="743" spans="1:21" ht="12.75" x14ac:dyDescent="0.2">
      <c r="A743" s="214"/>
      <c r="B743" s="214"/>
      <c r="C743" s="214"/>
      <c r="D743" s="214"/>
      <c r="E743" s="214"/>
      <c r="F743" s="214"/>
      <c r="G743" s="214"/>
      <c r="H743" s="214"/>
      <c r="I743" s="214"/>
      <c r="J743" s="214"/>
      <c r="K743" s="214"/>
      <c r="L743" s="214"/>
      <c r="M743" s="215"/>
      <c r="N743" s="215"/>
      <c r="O743" s="216"/>
      <c r="P743" s="216"/>
      <c r="Q743" s="216"/>
      <c r="R743" s="216"/>
      <c r="S743" s="216"/>
      <c r="T743" s="216"/>
      <c r="U743" s="216"/>
    </row>
    <row r="744" spans="1:21" ht="12.75" x14ac:dyDescent="0.2">
      <c r="A744" s="214"/>
      <c r="B744" s="214"/>
      <c r="C744" s="214"/>
      <c r="D744" s="214"/>
      <c r="E744" s="214"/>
      <c r="F744" s="214"/>
      <c r="G744" s="214"/>
      <c r="H744" s="214"/>
      <c r="I744" s="214"/>
      <c r="J744" s="214"/>
      <c r="K744" s="214"/>
      <c r="L744" s="214"/>
      <c r="M744" s="215"/>
      <c r="N744" s="215"/>
      <c r="O744" s="216"/>
      <c r="P744" s="216"/>
      <c r="Q744" s="216"/>
      <c r="R744" s="216"/>
      <c r="S744" s="216"/>
      <c r="T744" s="216"/>
      <c r="U744" s="216"/>
    </row>
    <row r="745" spans="1:21" ht="12.75" x14ac:dyDescent="0.2">
      <c r="A745" s="214"/>
      <c r="B745" s="214"/>
      <c r="C745" s="214"/>
      <c r="D745" s="214"/>
      <c r="E745" s="214"/>
      <c r="F745" s="214"/>
      <c r="G745" s="214"/>
      <c r="H745" s="214"/>
      <c r="I745" s="214"/>
      <c r="J745" s="214"/>
      <c r="K745" s="214"/>
      <c r="L745" s="214"/>
      <c r="M745" s="215"/>
      <c r="N745" s="215"/>
      <c r="O745" s="216"/>
      <c r="P745" s="216"/>
      <c r="Q745" s="216"/>
      <c r="R745" s="216"/>
      <c r="S745" s="216"/>
      <c r="T745" s="216"/>
      <c r="U745" s="216"/>
    </row>
    <row r="746" spans="1:21" ht="12.75" x14ac:dyDescent="0.2">
      <c r="A746" s="214"/>
      <c r="B746" s="214"/>
      <c r="C746" s="214"/>
      <c r="D746" s="214"/>
      <c r="E746" s="214"/>
      <c r="F746" s="214"/>
      <c r="G746" s="214"/>
      <c r="H746" s="214"/>
      <c r="I746" s="214"/>
      <c r="J746" s="214"/>
      <c r="K746" s="214"/>
      <c r="L746" s="214"/>
      <c r="M746" s="215"/>
      <c r="N746" s="215"/>
      <c r="O746" s="216"/>
      <c r="P746" s="216"/>
      <c r="Q746" s="216"/>
      <c r="R746" s="216"/>
      <c r="S746" s="216"/>
      <c r="T746" s="216"/>
      <c r="U746" s="216"/>
    </row>
    <row r="747" spans="1:21" ht="12.75" x14ac:dyDescent="0.2">
      <c r="A747" s="214"/>
      <c r="B747" s="214"/>
      <c r="C747" s="214"/>
      <c r="D747" s="214"/>
      <c r="E747" s="214"/>
      <c r="F747" s="214"/>
      <c r="G747" s="214"/>
      <c r="H747" s="214"/>
      <c r="I747" s="214"/>
      <c r="J747" s="214"/>
      <c r="K747" s="214"/>
      <c r="L747" s="214"/>
      <c r="M747" s="215"/>
      <c r="N747" s="215"/>
      <c r="O747" s="216"/>
      <c r="P747" s="216"/>
      <c r="Q747" s="216"/>
      <c r="R747" s="216"/>
      <c r="S747" s="216"/>
      <c r="T747" s="216"/>
      <c r="U747" s="216"/>
    </row>
    <row r="748" spans="1:21" ht="12.75" x14ac:dyDescent="0.2">
      <c r="A748" s="214"/>
      <c r="B748" s="214"/>
      <c r="C748" s="214"/>
      <c r="D748" s="214"/>
      <c r="E748" s="214"/>
      <c r="F748" s="214"/>
      <c r="G748" s="214"/>
      <c r="H748" s="214"/>
      <c r="I748" s="214"/>
      <c r="J748" s="214"/>
      <c r="K748" s="214"/>
      <c r="L748" s="214"/>
      <c r="M748" s="215"/>
      <c r="N748" s="215"/>
      <c r="O748" s="216"/>
      <c r="P748" s="216"/>
      <c r="Q748" s="216"/>
      <c r="R748" s="216"/>
      <c r="S748" s="216"/>
      <c r="T748" s="216"/>
      <c r="U748" s="216"/>
    </row>
    <row r="749" spans="1:21" ht="12.75" x14ac:dyDescent="0.2">
      <c r="A749" s="214"/>
      <c r="B749" s="214"/>
      <c r="C749" s="214"/>
      <c r="D749" s="214"/>
      <c r="E749" s="214"/>
      <c r="F749" s="214"/>
      <c r="G749" s="214"/>
      <c r="H749" s="214"/>
      <c r="I749" s="214"/>
      <c r="J749" s="214"/>
      <c r="K749" s="214"/>
      <c r="L749" s="214"/>
      <c r="M749" s="215"/>
      <c r="N749" s="215"/>
      <c r="O749" s="216"/>
      <c r="P749" s="216"/>
      <c r="Q749" s="216"/>
      <c r="R749" s="216"/>
      <c r="S749" s="216"/>
      <c r="T749" s="216"/>
      <c r="U749" s="216"/>
    </row>
    <row r="750" spans="1:21" ht="12.75" x14ac:dyDescent="0.2">
      <c r="A750" s="214"/>
      <c r="B750" s="214"/>
      <c r="C750" s="214"/>
      <c r="D750" s="214"/>
      <c r="E750" s="214"/>
      <c r="F750" s="214"/>
      <c r="G750" s="214"/>
      <c r="H750" s="214"/>
      <c r="I750" s="214"/>
      <c r="J750" s="214"/>
      <c r="K750" s="214"/>
      <c r="L750" s="214"/>
      <c r="M750" s="215"/>
      <c r="N750" s="215"/>
      <c r="O750" s="216"/>
      <c r="P750" s="216"/>
      <c r="Q750" s="216"/>
      <c r="R750" s="216"/>
      <c r="S750" s="216"/>
      <c r="T750" s="216"/>
      <c r="U750" s="216"/>
    </row>
    <row r="751" spans="1:21" ht="12.75" x14ac:dyDescent="0.2">
      <c r="A751" s="214"/>
      <c r="B751" s="214"/>
      <c r="C751" s="214"/>
      <c r="D751" s="214"/>
      <c r="E751" s="214"/>
      <c r="F751" s="214"/>
      <c r="G751" s="214"/>
      <c r="H751" s="214"/>
      <c r="I751" s="214"/>
      <c r="J751" s="214"/>
      <c r="K751" s="214"/>
      <c r="L751" s="214"/>
      <c r="M751" s="215"/>
      <c r="N751" s="215"/>
      <c r="O751" s="216"/>
      <c r="P751" s="216"/>
      <c r="Q751" s="216"/>
      <c r="R751" s="216"/>
      <c r="S751" s="216"/>
      <c r="T751" s="216"/>
      <c r="U751" s="216"/>
    </row>
    <row r="752" spans="1:21" ht="12.75" x14ac:dyDescent="0.2">
      <c r="A752" s="214"/>
      <c r="B752" s="214"/>
      <c r="C752" s="214"/>
      <c r="D752" s="214"/>
      <c r="E752" s="214"/>
      <c r="F752" s="214"/>
      <c r="G752" s="214"/>
      <c r="H752" s="214"/>
      <c r="I752" s="214"/>
      <c r="J752" s="214"/>
      <c r="K752" s="214"/>
      <c r="L752" s="214"/>
      <c r="M752" s="215"/>
      <c r="N752" s="215"/>
      <c r="O752" s="216"/>
      <c r="P752" s="216"/>
      <c r="Q752" s="216"/>
      <c r="R752" s="216"/>
      <c r="S752" s="216"/>
      <c r="T752" s="216"/>
      <c r="U752" s="216"/>
    </row>
    <row r="753" spans="1:21" ht="12.75" x14ac:dyDescent="0.2">
      <c r="A753" s="214"/>
      <c r="B753" s="214"/>
      <c r="C753" s="214"/>
      <c r="D753" s="214"/>
      <c r="E753" s="214"/>
      <c r="F753" s="214"/>
      <c r="G753" s="214"/>
      <c r="H753" s="214"/>
      <c r="I753" s="214"/>
      <c r="J753" s="214"/>
      <c r="K753" s="214"/>
      <c r="L753" s="214"/>
      <c r="M753" s="215"/>
      <c r="N753" s="215"/>
      <c r="O753" s="216"/>
      <c r="P753" s="216"/>
      <c r="Q753" s="216"/>
      <c r="R753" s="216"/>
      <c r="S753" s="216"/>
      <c r="T753" s="216"/>
      <c r="U753" s="216"/>
    </row>
    <row r="754" spans="1:21" ht="12.75" x14ac:dyDescent="0.2">
      <c r="A754" s="214"/>
      <c r="B754" s="214"/>
      <c r="C754" s="214"/>
      <c r="D754" s="214"/>
      <c r="E754" s="214"/>
      <c r="F754" s="214"/>
      <c r="G754" s="214"/>
      <c r="H754" s="214"/>
      <c r="I754" s="214"/>
      <c r="J754" s="214"/>
      <c r="K754" s="214"/>
      <c r="L754" s="214"/>
      <c r="M754" s="215"/>
      <c r="N754" s="215"/>
      <c r="O754" s="216"/>
      <c r="P754" s="216"/>
      <c r="Q754" s="216"/>
      <c r="R754" s="216"/>
      <c r="S754" s="216"/>
      <c r="T754" s="216"/>
      <c r="U754" s="216"/>
    </row>
    <row r="755" spans="1:21" ht="12.75" x14ac:dyDescent="0.2">
      <c r="A755" s="214"/>
      <c r="B755" s="214"/>
      <c r="C755" s="214"/>
      <c r="D755" s="214"/>
      <c r="E755" s="214"/>
      <c r="F755" s="214"/>
      <c r="G755" s="214"/>
      <c r="H755" s="214"/>
      <c r="I755" s="214"/>
      <c r="J755" s="214"/>
      <c r="K755" s="214"/>
      <c r="L755" s="214"/>
      <c r="M755" s="215"/>
      <c r="N755" s="215"/>
      <c r="O755" s="216"/>
      <c r="P755" s="216"/>
      <c r="Q755" s="216"/>
      <c r="R755" s="216"/>
      <c r="S755" s="216"/>
      <c r="T755" s="216"/>
      <c r="U755" s="216"/>
    </row>
    <row r="756" spans="1:21" ht="12.75" x14ac:dyDescent="0.2">
      <c r="A756" s="214"/>
      <c r="B756" s="214"/>
      <c r="C756" s="214"/>
      <c r="D756" s="214"/>
      <c r="E756" s="214"/>
      <c r="F756" s="214"/>
      <c r="G756" s="214"/>
      <c r="H756" s="214"/>
      <c r="I756" s="214"/>
      <c r="J756" s="214"/>
      <c r="K756" s="214"/>
      <c r="L756" s="214"/>
      <c r="M756" s="215"/>
      <c r="N756" s="215"/>
      <c r="O756" s="216"/>
      <c r="P756" s="216"/>
      <c r="Q756" s="216"/>
      <c r="R756" s="216"/>
      <c r="S756" s="216"/>
      <c r="T756" s="216"/>
      <c r="U756" s="216"/>
    </row>
    <row r="757" spans="1:21" ht="12.75" x14ac:dyDescent="0.2">
      <c r="A757" s="214"/>
      <c r="B757" s="214"/>
      <c r="C757" s="214"/>
      <c r="D757" s="214"/>
      <c r="E757" s="214"/>
      <c r="F757" s="214"/>
      <c r="G757" s="214"/>
      <c r="H757" s="214"/>
      <c r="I757" s="214"/>
      <c r="J757" s="214"/>
      <c r="K757" s="214"/>
      <c r="L757" s="214"/>
      <c r="M757" s="215"/>
      <c r="N757" s="215"/>
      <c r="O757" s="216"/>
      <c r="P757" s="216"/>
      <c r="Q757" s="216"/>
      <c r="R757" s="216"/>
      <c r="S757" s="216"/>
      <c r="T757" s="216"/>
      <c r="U757" s="216"/>
    </row>
    <row r="758" spans="1:21" ht="12.75" x14ac:dyDescent="0.2">
      <c r="A758" s="214"/>
      <c r="B758" s="214"/>
      <c r="C758" s="214"/>
      <c r="D758" s="214"/>
      <c r="E758" s="214"/>
      <c r="F758" s="214"/>
      <c r="G758" s="214"/>
      <c r="H758" s="214"/>
      <c r="I758" s="214"/>
      <c r="J758" s="214"/>
      <c r="K758" s="214"/>
      <c r="L758" s="214"/>
      <c r="M758" s="215"/>
      <c r="N758" s="215"/>
      <c r="O758" s="216"/>
      <c r="P758" s="216"/>
      <c r="Q758" s="216"/>
      <c r="R758" s="216"/>
      <c r="S758" s="216"/>
      <c r="T758" s="216"/>
      <c r="U758" s="216"/>
    </row>
    <row r="759" spans="1:21" ht="12.75" x14ac:dyDescent="0.2">
      <c r="A759" s="214"/>
      <c r="B759" s="214"/>
      <c r="C759" s="214"/>
      <c r="D759" s="214"/>
      <c r="E759" s="214"/>
      <c r="F759" s="214"/>
      <c r="G759" s="214"/>
      <c r="H759" s="214"/>
      <c r="I759" s="214"/>
      <c r="J759" s="214"/>
      <c r="K759" s="214"/>
      <c r="L759" s="214"/>
      <c r="M759" s="215"/>
      <c r="N759" s="215"/>
      <c r="O759" s="216"/>
      <c r="P759" s="216"/>
      <c r="Q759" s="216"/>
      <c r="R759" s="216"/>
      <c r="S759" s="216"/>
      <c r="T759" s="216"/>
      <c r="U759" s="216"/>
    </row>
    <row r="760" spans="1:21" ht="12.75" x14ac:dyDescent="0.2">
      <c r="A760" s="214"/>
      <c r="B760" s="214"/>
      <c r="C760" s="214"/>
      <c r="D760" s="214"/>
      <c r="E760" s="214"/>
      <c r="F760" s="214"/>
      <c r="G760" s="214"/>
      <c r="H760" s="214"/>
      <c r="I760" s="214"/>
      <c r="J760" s="214"/>
      <c r="K760" s="214"/>
      <c r="L760" s="214"/>
      <c r="M760" s="215"/>
      <c r="N760" s="215"/>
      <c r="O760" s="216"/>
      <c r="P760" s="216"/>
      <c r="Q760" s="216"/>
      <c r="R760" s="216"/>
      <c r="S760" s="216"/>
      <c r="T760" s="216"/>
      <c r="U760" s="216"/>
    </row>
    <row r="761" spans="1:21" ht="12.75" x14ac:dyDescent="0.2">
      <c r="A761" s="214"/>
      <c r="B761" s="214"/>
      <c r="C761" s="214"/>
      <c r="D761" s="214"/>
      <c r="E761" s="214"/>
      <c r="F761" s="214"/>
      <c r="G761" s="214"/>
      <c r="H761" s="214"/>
      <c r="I761" s="214"/>
      <c r="J761" s="214"/>
      <c r="K761" s="214"/>
      <c r="L761" s="214"/>
      <c r="M761" s="215"/>
      <c r="N761" s="215"/>
      <c r="O761" s="216"/>
      <c r="P761" s="216"/>
      <c r="Q761" s="216"/>
      <c r="R761" s="216"/>
      <c r="S761" s="216"/>
      <c r="T761" s="216"/>
      <c r="U761" s="216"/>
    </row>
    <row r="762" spans="1:21" ht="12.75" x14ac:dyDescent="0.2">
      <c r="A762" s="214"/>
      <c r="B762" s="214"/>
      <c r="C762" s="214"/>
      <c r="D762" s="214"/>
      <c r="E762" s="214"/>
      <c r="F762" s="214"/>
      <c r="G762" s="214"/>
      <c r="H762" s="214"/>
      <c r="I762" s="214"/>
      <c r="J762" s="214"/>
      <c r="K762" s="214"/>
      <c r="L762" s="214"/>
      <c r="M762" s="215"/>
      <c r="N762" s="215"/>
      <c r="O762" s="216"/>
      <c r="P762" s="216"/>
      <c r="Q762" s="216"/>
      <c r="R762" s="216"/>
      <c r="S762" s="216"/>
      <c r="T762" s="216"/>
      <c r="U762" s="216"/>
    </row>
    <row r="763" spans="1:21" ht="12.75" x14ac:dyDescent="0.2">
      <c r="A763" s="214"/>
      <c r="B763" s="214"/>
      <c r="C763" s="214"/>
      <c r="D763" s="214"/>
      <c r="E763" s="214"/>
      <c r="F763" s="214"/>
      <c r="G763" s="214"/>
      <c r="H763" s="214"/>
      <c r="I763" s="214"/>
      <c r="J763" s="214"/>
      <c r="K763" s="214"/>
      <c r="L763" s="214"/>
      <c r="M763" s="215"/>
      <c r="N763" s="215"/>
      <c r="O763" s="216"/>
      <c r="P763" s="216"/>
      <c r="Q763" s="216"/>
      <c r="R763" s="216"/>
      <c r="S763" s="216"/>
      <c r="T763" s="216"/>
      <c r="U763" s="216"/>
    </row>
    <row r="764" spans="1:21" ht="12.75" x14ac:dyDescent="0.2">
      <c r="A764" s="214"/>
      <c r="B764" s="214"/>
      <c r="C764" s="214"/>
      <c r="D764" s="214"/>
      <c r="E764" s="214"/>
      <c r="F764" s="214"/>
      <c r="G764" s="214"/>
      <c r="H764" s="214"/>
      <c r="I764" s="214"/>
      <c r="J764" s="214"/>
      <c r="K764" s="214"/>
      <c r="L764" s="214"/>
      <c r="M764" s="215"/>
      <c r="N764" s="215"/>
      <c r="O764" s="216"/>
      <c r="P764" s="216"/>
      <c r="Q764" s="216"/>
      <c r="R764" s="216"/>
      <c r="S764" s="216"/>
      <c r="T764" s="216"/>
      <c r="U764" s="216"/>
    </row>
    <row r="765" spans="1:21" ht="12.75" x14ac:dyDescent="0.2">
      <c r="A765" s="214"/>
      <c r="B765" s="214"/>
      <c r="C765" s="214"/>
      <c r="D765" s="214"/>
      <c r="E765" s="214"/>
      <c r="F765" s="214"/>
      <c r="G765" s="214"/>
      <c r="H765" s="214"/>
      <c r="I765" s="214"/>
      <c r="J765" s="214"/>
      <c r="K765" s="214"/>
      <c r="L765" s="214"/>
      <c r="M765" s="215"/>
      <c r="N765" s="215"/>
      <c r="O765" s="216"/>
      <c r="P765" s="216"/>
      <c r="Q765" s="216"/>
      <c r="R765" s="216"/>
      <c r="S765" s="216"/>
      <c r="T765" s="216"/>
      <c r="U765" s="216"/>
    </row>
    <row r="766" spans="1:21" ht="12.75" x14ac:dyDescent="0.2">
      <c r="A766" s="214"/>
      <c r="B766" s="214"/>
      <c r="C766" s="214"/>
      <c r="D766" s="214"/>
      <c r="E766" s="214"/>
      <c r="F766" s="214"/>
      <c r="G766" s="214"/>
      <c r="H766" s="214"/>
      <c r="I766" s="214"/>
      <c r="J766" s="214"/>
      <c r="K766" s="214"/>
      <c r="L766" s="214"/>
      <c r="M766" s="215"/>
      <c r="N766" s="215"/>
      <c r="O766" s="216"/>
      <c r="P766" s="216"/>
      <c r="Q766" s="216"/>
      <c r="R766" s="216"/>
      <c r="S766" s="216"/>
      <c r="T766" s="216"/>
      <c r="U766" s="216"/>
    </row>
    <row r="767" spans="1:21" ht="12.75" x14ac:dyDescent="0.2">
      <c r="A767" s="214"/>
      <c r="B767" s="214"/>
      <c r="C767" s="214"/>
      <c r="D767" s="214"/>
      <c r="E767" s="214"/>
      <c r="F767" s="214"/>
      <c r="G767" s="214"/>
      <c r="H767" s="214"/>
      <c r="I767" s="214"/>
      <c r="J767" s="214"/>
      <c r="K767" s="214"/>
      <c r="L767" s="214"/>
      <c r="M767" s="215"/>
      <c r="N767" s="215"/>
      <c r="O767" s="216"/>
      <c r="P767" s="216"/>
      <c r="Q767" s="216"/>
      <c r="R767" s="216"/>
      <c r="S767" s="216"/>
      <c r="T767" s="216"/>
      <c r="U767" s="216"/>
    </row>
    <row r="768" spans="1:21" ht="12.75" x14ac:dyDescent="0.2">
      <c r="A768" s="214"/>
      <c r="B768" s="214"/>
      <c r="C768" s="214"/>
      <c r="D768" s="214"/>
      <c r="E768" s="214"/>
      <c r="F768" s="214"/>
      <c r="G768" s="214"/>
      <c r="H768" s="214"/>
      <c r="I768" s="214"/>
      <c r="J768" s="214"/>
      <c r="K768" s="214"/>
      <c r="L768" s="214"/>
      <c r="M768" s="215"/>
      <c r="N768" s="215"/>
      <c r="O768" s="216"/>
      <c r="P768" s="216"/>
      <c r="Q768" s="216"/>
      <c r="R768" s="216"/>
      <c r="S768" s="216"/>
      <c r="T768" s="216"/>
      <c r="U768" s="216"/>
    </row>
    <row r="769" spans="1:21" ht="12.75" x14ac:dyDescent="0.2">
      <c r="A769" s="214"/>
      <c r="B769" s="214"/>
      <c r="C769" s="214"/>
      <c r="D769" s="214"/>
      <c r="E769" s="214"/>
      <c r="F769" s="214"/>
      <c r="G769" s="214"/>
      <c r="H769" s="214"/>
      <c r="I769" s="214"/>
      <c r="J769" s="214"/>
      <c r="K769" s="214"/>
      <c r="L769" s="214"/>
      <c r="M769" s="215"/>
      <c r="N769" s="215"/>
      <c r="O769" s="216"/>
      <c r="P769" s="216"/>
      <c r="Q769" s="216"/>
      <c r="R769" s="216"/>
      <c r="S769" s="216"/>
      <c r="T769" s="216"/>
      <c r="U769" s="216"/>
    </row>
    <row r="770" spans="1:21" ht="12.75" x14ac:dyDescent="0.2">
      <c r="A770" s="214"/>
      <c r="B770" s="214"/>
      <c r="C770" s="214"/>
      <c r="D770" s="214"/>
      <c r="E770" s="214"/>
      <c r="F770" s="214"/>
      <c r="G770" s="214"/>
      <c r="H770" s="214"/>
      <c r="I770" s="214"/>
      <c r="J770" s="214"/>
      <c r="K770" s="214"/>
      <c r="L770" s="214"/>
      <c r="M770" s="215"/>
      <c r="N770" s="215"/>
      <c r="O770" s="216"/>
      <c r="P770" s="216"/>
      <c r="Q770" s="216"/>
      <c r="R770" s="216"/>
      <c r="S770" s="216"/>
      <c r="T770" s="216"/>
      <c r="U770" s="216"/>
    </row>
    <row r="771" spans="1:21" ht="12.75" x14ac:dyDescent="0.2">
      <c r="A771" s="214"/>
      <c r="B771" s="214"/>
      <c r="C771" s="214"/>
      <c r="D771" s="214"/>
      <c r="E771" s="214"/>
      <c r="F771" s="214"/>
      <c r="G771" s="214"/>
      <c r="H771" s="214"/>
      <c r="I771" s="214"/>
      <c r="J771" s="214"/>
      <c r="K771" s="214"/>
      <c r="L771" s="214"/>
      <c r="M771" s="215"/>
      <c r="N771" s="215"/>
      <c r="O771" s="216"/>
      <c r="P771" s="216"/>
      <c r="Q771" s="216"/>
      <c r="R771" s="216"/>
      <c r="S771" s="216"/>
      <c r="T771" s="216"/>
      <c r="U771" s="216"/>
    </row>
    <row r="772" spans="1:21" ht="12.75" x14ac:dyDescent="0.2">
      <c r="A772" s="214"/>
      <c r="B772" s="214"/>
      <c r="C772" s="214"/>
      <c r="D772" s="214"/>
      <c r="E772" s="214"/>
      <c r="F772" s="214"/>
      <c r="G772" s="214"/>
      <c r="H772" s="214"/>
      <c r="I772" s="214"/>
      <c r="J772" s="214"/>
      <c r="K772" s="214"/>
      <c r="L772" s="214"/>
      <c r="M772" s="215"/>
      <c r="N772" s="215"/>
      <c r="O772" s="216"/>
      <c r="P772" s="216"/>
      <c r="Q772" s="216"/>
      <c r="R772" s="216"/>
      <c r="S772" s="216"/>
      <c r="T772" s="216"/>
      <c r="U772" s="216"/>
    </row>
    <row r="773" spans="1:21" ht="12.75" x14ac:dyDescent="0.2">
      <c r="A773" s="214"/>
      <c r="B773" s="214"/>
      <c r="C773" s="214"/>
      <c r="D773" s="214"/>
      <c r="E773" s="214"/>
      <c r="F773" s="214"/>
      <c r="G773" s="214"/>
      <c r="H773" s="214"/>
      <c r="I773" s="214"/>
      <c r="J773" s="214"/>
      <c r="K773" s="214"/>
      <c r="L773" s="214"/>
      <c r="M773" s="215"/>
      <c r="N773" s="215"/>
      <c r="O773" s="216"/>
      <c r="P773" s="216"/>
      <c r="Q773" s="216"/>
      <c r="R773" s="216"/>
      <c r="S773" s="216"/>
      <c r="T773" s="216"/>
      <c r="U773" s="216"/>
    </row>
    <row r="774" spans="1:21" ht="12.75" x14ac:dyDescent="0.2">
      <c r="A774" s="214"/>
      <c r="B774" s="214"/>
      <c r="C774" s="214"/>
      <c r="D774" s="214"/>
      <c r="E774" s="214"/>
      <c r="F774" s="214"/>
      <c r="G774" s="214"/>
      <c r="H774" s="214"/>
      <c r="I774" s="214"/>
      <c r="J774" s="214"/>
      <c r="K774" s="214"/>
      <c r="L774" s="214"/>
      <c r="M774" s="215"/>
      <c r="N774" s="215"/>
      <c r="O774" s="216"/>
      <c r="P774" s="216"/>
      <c r="Q774" s="216"/>
      <c r="R774" s="216"/>
      <c r="S774" s="216"/>
      <c r="T774" s="216"/>
      <c r="U774" s="216"/>
    </row>
    <row r="775" spans="1:21" ht="12.75" x14ac:dyDescent="0.2">
      <c r="A775" s="214"/>
      <c r="B775" s="214"/>
      <c r="C775" s="214"/>
      <c r="D775" s="214"/>
      <c r="E775" s="214"/>
      <c r="F775" s="214"/>
      <c r="G775" s="214"/>
      <c r="H775" s="214"/>
      <c r="I775" s="214"/>
      <c r="J775" s="214"/>
      <c r="K775" s="214"/>
      <c r="L775" s="214"/>
      <c r="M775" s="215"/>
      <c r="N775" s="215"/>
      <c r="O775" s="216"/>
      <c r="P775" s="216"/>
      <c r="Q775" s="216"/>
      <c r="R775" s="216"/>
      <c r="S775" s="216"/>
      <c r="T775" s="216"/>
      <c r="U775" s="216"/>
    </row>
    <row r="776" spans="1:21" ht="12.75" x14ac:dyDescent="0.2">
      <c r="A776" s="214"/>
      <c r="B776" s="214"/>
      <c r="C776" s="214"/>
      <c r="D776" s="214"/>
      <c r="E776" s="214"/>
      <c r="F776" s="214"/>
      <c r="G776" s="214"/>
      <c r="H776" s="214"/>
      <c r="I776" s="214"/>
      <c r="J776" s="214"/>
      <c r="K776" s="214"/>
      <c r="L776" s="214"/>
      <c r="M776" s="215"/>
      <c r="N776" s="215"/>
      <c r="O776" s="216"/>
      <c r="P776" s="216"/>
      <c r="Q776" s="216"/>
      <c r="R776" s="216"/>
      <c r="S776" s="216"/>
      <c r="T776" s="216"/>
      <c r="U776" s="216"/>
    </row>
    <row r="777" spans="1:21" ht="12.75" x14ac:dyDescent="0.2">
      <c r="A777" s="214"/>
      <c r="B777" s="214"/>
      <c r="C777" s="214"/>
      <c r="D777" s="214"/>
      <c r="E777" s="214"/>
      <c r="F777" s="214"/>
      <c r="G777" s="214"/>
      <c r="H777" s="214"/>
      <c r="I777" s="214"/>
      <c r="J777" s="214"/>
      <c r="K777" s="214"/>
      <c r="L777" s="214"/>
      <c r="M777" s="215"/>
      <c r="N777" s="215"/>
      <c r="O777" s="216"/>
      <c r="P777" s="216"/>
      <c r="Q777" s="216"/>
      <c r="R777" s="216"/>
      <c r="S777" s="216"/>
      <c r="T777" s="216"/>
      <c r="U777" s="216"/>
    </row>
    <row r="778" spans="1:21" ht="12.75" x14ac:dyDescent="0.2">
      <c r="A778" s="214"/>
      <c r="B778" s="214"/>
      <c r="C778" s="214"/>
      <c r="D778" s="214"/>
      <c r="E778" s="214"/>
      <c r="F778" s="214"/>
      <c r="G778" s="214"/>
      <c r="H778" s="214"/>
      <c r="I778" s="214"/>
      <c r="J778" s="214"/>
      <c r="K778" s="214"/>
      <c r="L778" s="214"/>
      <c r="M778" s="215"/>
      <c r="N778" s="215"/>
      <c r="O778" s="216"/>
      <c r="P778" s="216"/>
      <c r="Q778" s="216"/>
      <c r="R778" s="216"/>
      <c r="S778" s="216"/>
      <c r="T778" s="216"/>
      <c r="U778" s="216"/>
    </row>
    <row r="779" spans="1:21" ht="12.75" x14ac:dyDescent="0.2">
      <c r="A779" s="214"/>
      <c r="B779" s="214"/>
      <c r="C779" s="214"/>
      <c r="D779" s="214"/>
      <c r="E779" s="214"/>
      <c r="F779" s="214"/>
      <c r="G779" s="214"/>
      <c r="H779" s="214"/>
      <c r="I779" s="214"/>
      <c r="J779" s="214"/>
      <c r="K779" s="214"/>
      <c r="L779" s="214"/>
      <c r="M779" s="215"/>
      <c r="N779" s="215"/>
      <c r="O779" s="216"/>
      <c r="P779" s="216"/>
      <c r="Q779" s="216"/>
      <c r="R779" s="216"/>
      <c r="S779" s="216"/>
      <c r="T779" s="216"/>
      <c r="U779" s="216"/>
    </row>
    <row r="780" spans="1:21" ht="12.75" x14ac:dyDescent="0.2">
      <c r="A780" s="214"/>
      <c r="B780" s="214"/>
      <c r="C780" s="214"/>
      <c r="D780" s="214"/>
      <c r="E780" s="214"/>
      <c r="F780" s="214"/>
      <c r="G780" s="214"/>
      <c r="H780" s="214"/>
      <c r="I780" s="214"/>
      <c r="J780" s="214"/>
      <c r="K780" s="214"/>
      <c r="L780" s="214"/>
      <c r="M780" s="215"/>
      <c r="N780" s="215"/>
      <c r="O780" s="216"/>
      <c r="P780" s="216"/>
      <c r="Q780" s="216"/>
      <c r="R780" s="216"/>
      <c r="S780" s="216"/>
      <c r="T780" s="216"/>
      <c r="U780" s="216"/>
    </row>
    <row r="781" spans="1:21" ht="12.75" x14ac:dyDescent="0.2">
      <c r="A781" s="214"/>
      <c r="B781" s="214"/>
      <c r="C781" s="214"/>
      <c r="D781" s="214"/>
      <c r="E781" s="214"/>
      <c r="F781" s="214"/>
      <c r="G781" s="214"/>
      <c r="H781" s="214"/>
      <c r="I781" s="214"/>
      <c r="J781" s="214"/>
      <c r="K781" s="214"/>
      <c r="L781" s="214"/>
      <c r="M781" s="215"/>
      <c r="N781" s="215"/>
      <c r="O781" s="216"/>
      <c r="P781" s="216"/>
      <c r="Q781" s="216"/>
      <c r="R781" s="216"/>
      <c r="S781" s="216"/>
      <c r="T781" s="216"/>
      <c r="U781" s="216"/>
    </row>
    <row r="782" spans="1:21" ht="12.75" x14ac:dyDescent="0.2">
      <c r="A782" s="214"/>
      <c r="B782" s="214"/>
      <c r="C782" s="214"/>
      <c r="D782" s="214"/>
      <c r="E782" s="214"/>
      <c r="F782" s="214"/>
      <c r="G782" s="214"/>
      <c r="H782" s="214"/>
      <c r="I782" s="214"/>
      <c r="J782" s="214"/>
      <c r="K782" s="214"/>
      <c r="L782" s="214"/>
      <c r="M782" s="215"/>
      <c r="N782" s="215"/>
      <c r="O782" s="216"/>
      <c r="P782" s="216"/>
      <c r="Q782" s="216"/>
      <c r="R782" s="216"/>
      <c r="S782" s="216"/>
      <c r="T782" s="216"/>
      <c r="U782" s="216"/>
    </row>
    <row r="783" spans="1:21" ht="12.75" x14ac:dyDescent="0.2">
      <c r="A783" s="214"/>
      <c r="B783" s="214"/>
      <c r="C783" s="214"/>
      <c r="D783" s="214"/>
      <c r="E783" s="214"/>
      <c r="F783" s="214"/>
      <c r="G783" s="214"/>
      <c r="H783" s="214"/>
      <c r="I783" s="214"/>
      <c r="J783" s="214"/>
      <c r="K783" s="214"/>
      <c r="L783" s="214"/>
      <c r="M783" s="215"/>
      <c r="N783" s="215"/>
      <c r="O783" s="216"/>
      <c r="P783" s="216"/>
      <c r="Q783" s="216"/>
      <c r="R783" s="216"/>
      <c r="S783" s="216"/>
      <c r="T783" s="216"/>
      <c r="U783" s="216"/>
    </row>
    <row r="784" spans="1:21" ht="12.75" x14ac:dyDescent="0.2">
      <c r="A784" s="214"/>
      <c r="B784" s="214"/>
      <c r="C784" s="214"/>
      <c r="D784" s="214"/>
      <c r="E784" s="214"/>
      <c r="F784" s="214"/>
      <c r="G784" s="214"/>
      <c r="H784" s="214"/>
      <c r="I784" s="214"/>
      <c r="J784" s="214"/>
      <c r="K784" s="214"/>
      <c r="L784" s="214"/>
      <c r="M784" s="215"/>
      <c r="N784" s="215"/>
      <c r="O784" s="216"/>
      <c r="P784" s="216"/>
      <c r="Q784" s="216"/>
      <c r="R784" s="216"/>
      <c r="S784" s="216"/>
      <c r="T784" s="216"/>
      <c r="U784" s="216"/>
    </row>
    <row r="785" spans="1:21" ht="12.75" x14ac:dyDescent="0.2">
      <c r="A785" s="214"/>
      <c r="B785" s="214"/>
      <c r="C785" s="214"/>
      <c r="D785" s="214"/>
      <c r="E785" s="214"/>
      <c r="F785" s="214"/>
      <c r="G785" s="214"/>
      <c r="H785" s="214"/>
      <c r="I785" s="214"/>
      <c r="J785" s="214"/>
      <c r="K785" s="214"/>
      <c r="L785" s="214"/>
      <c r="M785" s="215"/>
      <c r="N785" s="215"/>
      <c r="O785" s="216"/>
      <c r="P785" s="216"/>
      <c r="Q785" s="216"/>
      <c r="R785" s="216"/>
      <c r="S785" s="216"/>
      <c r="T785" s="216"/>
      <c r="U785" s="216"/>
    </row>
    <row r="786" spans="1:21" ht="12.75" x14ac:dyDescent="0.2">
      <c r="A786" s="214"/>
      <c r="B786" s="214"/>
      <c r="C786" s="214"/>
      <c r="D786" s="214"/>
      <c r="E786" s="214"/>
      <c r="F786" s="214"/>
      <c r="G786" s="214"/>
      <c r="H786" s="214"/>
      <c r="I786" s="214"/>
      <c r="J786" s="214"/>
      <c r="K786" s="214"/>
      <c r="L786" s="214"/>
      <c r="M786" s="215"/>
      <c r="N786" s="215"/>
      <c r="O786" s="216"/>
      <c r="P786" s="216"/>
      <c r="Q786" s="216"/>
      <c r="R786" s="216"/>
      <c r="S786" s="216"/>
      <c r="T786" s="216"/>
      <c r="U786" s="216"/>
    </row>
    <row r="787" spans="1:21" ht="12.75" x14ac:dyDescent="0.2">
      <c r="A787" s="214"/>
      <c r="B787" s="214"/>
      <c r="C787" s="214"/>
      <c r="D787" s="214"/>
      <c r="E787" s="214"/>
      <c r="F787" s="214"/>
      <c r="G787" s="214"/>
      <c r="H787" s="214"/>
      <c r="I787" s="214"/>
      <c r="J787" s="214"/>
      <c r="K787" s="214"/>
      <c r="L787" s="214"/>
      <c r="M787" s="215"/>
      <c r="N787" s="215"/>
      <c r="O787" s="216"/>
      <c r="P787" s="216"/>
      <c r="Q787" s="216"/>
      <c r="R787" s="216"/>
      <c r="S787" s="216"/>
      <c r="T787" s="216"/>
      <c r="U787" s="216"/>
    </row>
    <row r="788" spans="1:21" ht="12.75" x14ac:dyDescent="0.2">
      <c r="A788" s="214"/>
      <c r="B788" s="214"/>
      <c r="C788" s="214"/>
      <c r="D788" s="214"/>
      <c r="E788" s="214"/>
      <c r="F788" s="214"/>
      <c r="G788" s="214"/>
      <c r="H788" s="214"/>
      <c r="I788" s="214"/>
      <c r="J788" s="214"/>
      <c r="K788" s="214"/>
      <c r="L788" s="214"/>
      <c r="M788" s="215"/>
      <c r="N788" s="215"/>
      <c r="O788" s="216"/>
      <c r="P788" s="216"/>
      <c r="Q788" s="216"/>
      <c r="R788" s="216"/>
      <c r="S788" s="216"/>
      <c r="T788" s="216"/>
      <c r="U788" s="216"/>
    </row>
    <row r="789" spans="1:21" ht="12.75" x14ac:dyDescent="0.2">
      <c r="A789" s="214"/>
      <c r="B789" s="214"/>
      <c r="C789" s="214"/>
      <c r="D789" s="214"/>
      <c r="E789" s="214"/>
      <c r="F789" s="214"/>
      <c r="G789" s="214"/>
      <c r="H789" s="214"/>
      <c r="I789" s="214"/>
      <c r="J789" s="214"/>
      <c r="K789" s="214"/>
      <c r="L789" s="214"/>
      <c r="M789" s="215"/>
      <c r="N789" s="215"/>
      <c r="O789" s="216"/>
      <c r="P789" s="216"/>
      <c r="Q789" s="216"/>
      <c r="R789" s="216"/>
      <c r="S789" s="216"/>
      <c r="T789" s="216"/>
      <c r="U789" s="216"/>
    </row>
    <row r="790" spans="1:21" ht="12.75" x14ac:dyDescent="0.2">
      <c r="A790" s="214"/>
      <c r="B790" s="214"/>
      <c r="C790" s="214"/>
      <c r="D790" s="214"/>
      <c r="E790" s="214"/>
      <c r="F790" s="214"/>
      <c r="G790" s="214"/>
      <c r="H790" s="214"/>
      <c r="I790" s="214"/>
      <c r="J790" s="214"/>
      <c r="K790" s="214"/>
      <c r="L790" s="214"/>
      <c r="M790" s="215"/>
      <c r="N790" s="215"/>
      <c r="O790" s="216"/>
      <c r="P790" s="216"/>
      <c r="Q790" s="216"/>
      <c r="R790" s="216"/>
      <c r="S790" s="216"/>
      <c r="T790" s="216"/>
      <c r="U790" s="216"/>
    </row>
    <row r="791" spans="1:21" ht="12.75" x14ac:dyDescent="0.2">
      <c r="A791" s="214"/>
      <c r="B791" s="214"/>
      <c r="C791" s="214"/>
      <c r="D791" s="214"/>
      <c r="E791" s="214"/>
      <c r="F791" s="214"/>
      <c r="G791" s="214"/>
      <c r="H791" s="214"/>
      <c r="I791" s="214"/>
      <c r="J791" s="214"/>
      <c r="K791" s="214"/>
      <c r="L791" s="214"/>
      <c r="M791" s="215"/>
      <c r="N791" s="215"/>
      <c r="O791" s="216"/>
      <c r="P791" s="216"/>
      <c r="Q791" s="216"/>
      <c r="R791" s="216"/>
      <c r="S791" s="216"/>
      <c r="T791" s="216"/>
      <c r="U791" s="216"/>
    </row>
    <row r="792" spans="1:21" ht="12.75" x14ac:dyDescent="0.2">
      <c r="A792" s="214"/>
      <c r="B792" s="214"/>
      <c r="C792" s="214"/>
      <c r="D792" s="214"/>
      <c r="E792" s="214"/>
      <c r="F792" s="214"/>
      <c r="G792" s="214"/>
      <c r="H792" s="214"/>
      <c r="I792" s="214"/>
      <c r="J792" s="214"/>
      <c r="K792" s="214"/>
      <c r="L792" s="214"/>
      <c r="M792" s="215"/>
      <c r="N792" s="215"/>
      <c r="O792" s="216"/>
      <c r="P792" s="216"/>
      <c r="Q792" s="216"/>
      <c r="R792" s="216"/>
      <c r="S792" s="216"/>
      <c r="T792" s="216"/>
      <c r="U792" s="216"/>
    </row>
    <row r="793" spans="1:21" ht="12.75" x14ac:dyDescent="0.2">
      <c r="A793" s="214"/>
      <c r="B793" s="214"/>
      <c r="C793" s="214"/>
      <c r="D793" s="214"/>
      <c r="E793" s="214"/>
      <c r="F793" s="214"/>
      <c r="G793" s="214"/>
      <c r="H793" s="214"/>
      <c r="I793" s="214"/>
      <c r="J793" s="214"/>
      <c r="K793" s="214"/>
      <c r="L793" s="214"/>
      <c r="M793" s="215"/>
      <c r="N793" s="215"/>
      <c r="O793" s="216"/>
      <c r="P793" s="216"/>
      <c r="Q793" s="216"/>
      <c r="R793" s="216"/>
      <c r="S793" s="216"/>
      <c r="T793" s="216"/>
      <c r="U793" s="216"/>
    </row>
    <row r="794" spans="1:21" ht="12.75" x14ac:dyDescent="0.2">
      <c r="A794" s="214"/>
      <c r="B794" s="214"/>
      <c r="C794" s="214"/>
      <c r="D794" s="214"/>
      <c r="E794" s="214"/>
      <c r="F794" s="214"/>
      <c r="G794" s="214"/>
      <c r="H794" s="214"/>
      <c r="I794" s="214"/>
      <c r="J794" s="214"/>
      <c r="K794" s="214"/>
      <c r="L794" s="214"/>
      <c r="M794" s="215"/>
      <c r="N794" s="215"/>
      <c r="O794" s="216"/>
      <c r="P794" s="216"/>
      <c r="Q794" s="216"/>
      <c r="R794" s="216"/>
      <c r="S794" s="216"/>
      <c r="T794" s="216"/>
      <c r="U794" s="216"/>
    </row>
    <row r="795" spans="1:21" ht="12.75" x14ac:dyDescent="0.2">
      <c r="A795" s="214"/>
      <c r="B795" s="214"/>
      <c r="C795" s="214"/>
      <c r="D795" s="214"/>
      <c r="E795" s="214"/>
      <c r="F795" s="214"/>
      <c r="G795" s="214"/>
      <c r="H795" s="214"/>
      <c r="I795" s="214"/>
      <c r="J795" s="214"/>
      <c r="K795" s="214"/>
      <c r="L795" s="214"/>
      <c r="M795" s="215"/>
      <c r="N795" s="215"/>
      <c r="O795" s="216"/>
      <c r="P795" s="216"/>
      <c r="Q795" s="216"/>
      <c r="R795" s="216"/>
      <c r="S795" s="216"/>
      <c r="T795" s="216"/>
      <c r="U795" s="216"/>
    </row>
    <row r="796" spans="1:21" ht="12.75" x14ac:dyDescent="0.2">
      <c r="A796" s="214"/>
      <c r="B796" s="214"/>
      <c r="C796" s="214"/>
      <c r="D796" s="214"/>
      <c r="E796" s="214"/>
      <c r="F796" s="214"/>
      <c r="G796" s="214"/>
      <c r="H796" s="214"/>
      <c r="I796" s="214"/>
      <c r="J796" s="214"/>
      <c r="K796" s="214"/>
      <c r="L796" s="214"/>
      <c r="M796" s="215"/>
      <c r="N796" s="215"/>
      <c r="O796" s="216"/>
      <c r="P796" s="216"/>
      <c r="Q796" s="216"/>
      <c r="R796" s="216"/>
      <c r="S796" s="216"/>
      <c r="T796" s="216"/>
      <c r="U796" s="216"/>
    </row>
    <row r="797" spans="1:21" ht="12.75" x14ac:dyDescent="0.2">
      <c r="A797" s="214"/>
      <c r="B797" s="214"/>
      <c r="C797" s="214"/>
      <c r="D797" s="214"/>
      <c r="E797" s="214"/>
      <c r="F797" s="214"/>
      <c r="G797" s="214"/>
      <c r="H797" s="214"/>
      <c r="I797" s="214"/>
      <c r="J797" s="214"/>
      <c r="K797" s="214"/>
      <c r="L797" s="214"/>
      <c r="M797" s="215"/>
      <c r="N797" s="215"/>
      <c r="O797" s="216"/>
      <c r="P797" s="216"/>
      <c r="Q797" s="216"/>
      <c r="R797" s="216"/>
      <c r="S797" s="216"/>
      <c r="T797" s="216"/>
      <c r="U797" s="216"/>
    </row>
    <row r="798" spans="1:21" ht="12.75" x14ac:dyDescent="0.2">
      <c r="A798" s="214"/>
      <c r="B798" s="214"/>
      <c r="C798" s="214"/>
      <c r="D798" s="214"/>
      <c r="E798" s="214"/>
      <c r="F798" s="214"/>
      <c r="G798" s="214"/>
      <c r="H798" s="214"/>
      <c r="I798" s="214"/>
      <c r="J798" s="214"/>
      <c r="K798" s="214"/>
      <c r="L798" s="214"/>
      <c r="M798" s="215"/>
      <c r="N798" s="215"/>
      <c r="O798" s="216"/>
      <c r="P798" s="216"/>
      <c r="Q798" s="216"/>
      <c r="R798" s="216"/>
      <c r="S798" s="216"/>
      <c r="T798" s="216"/>
      <c r="U798" s="216"/>
    </row>
    <row r="799" spans="1:21" ht="12.75" x14ac:dyDescent="0.2">
      <c r="A799" s="214"/>
      <c r="B799" s="214"/>
      <c r="C799" s="214"/>
      <c r="D799" s="214"/>
      <c r="E799" s="214"/>
      <c r="F799" s="214"/>
      <c r="G799" s="214"/>
      <c r="H799" s="214"/>
      <c r="I799" s="214"/>
      <c r="J799" s="214"/>
      <c r="K799" s="214"/>
      <c r="L799" s="214"/>
      <c r="M799" s="215"/>
      <c r="N799" s="215"/>
      <c r="O799" s="216"/>
      <c r="P799" s="216"/>
      <c r="Q799" s="216"/>
      <c r="R799" s="216"/>
      <c r="S799" s="216"/>
      <c r="T799" s="216"/>
      <c r="U799" s="216"/>
    </row>
    <row r="800" spans="1:21" ht="12.75" x14ac:dyDescent="0.2">
      <c r="A800" s="214"/>
      <c r="B800" s="214"/>
      <c r="C800" s="214"/>
      <c r="D800" s="214"/>
      <c r="E800" s="214"/>
      <c r="F800" s="214"/>
      <c r="G800" s="214"/>
      <c r="H800" s="214"/>
      <c r="I800" s="214"/>
      <c r="J800" s="214"/>
      <c r="K800" s="214"/>
      <c r="L800" s="214"/>
      <c r="M800" s="215"/>
      <c r="N800" s="215"/>
      <c r="O800" s="216"/>
      <c r="P800" s="216"/>
      <c r="Q800" s="216"/>
      <c r="R800" s="216"/>
      <c r="S800" s="216"/>
      <c r="T800" s="216"/>
      <c r="U800" s="216"/>
    </row>
    <row r="801" spans="1:21" ht="12.75" x14ac:dyDescent="0.2">
      <c r="A801" s="214"/>
      <c r="B801" s="214"/>
      <c r="C801" s="214"/>
      <c r="D801" s="214"/>
      <c r="E801" s="214"/>
      <c r="F801" s="214"/>
      <c r="G801" s="214"/>
      <c r="H801" s="214"/>
      <c r="I801" s="214"/>
      <c r="J801" s="214"/>
      <c r="K801" s="214"/>
      <c r="L801" s="214"/>
      <c r="M801" s="215"/>
      <c r="N801" s="215"/>
      <c r="O801" s="216"/>
      <c r="P801" s="216"/>
      <c r="Q801" s="216"/>
      <c r="R801" s="216"/>
      <c r="S801" s="216"/>
      <c r="T801" s="216"/>
      <c r="U801" s="216"/>
    </row>
    <row r="802" spans="1:21" ht="12.75" x14ac:dyDescent="0.2">
      <c r="A802" s="214"/>
      <c r="B802" s="214"/>
      <c r="C802" s="214"/>
      <c r="D802" s="214"/>
      <c r="E802" s="214"/>
      <c r="F802" s="214"/>
      <c r="G802" s="214"/>
      <c r="H802" s="214"/>
      <c r="I802" s="214"/>
      <c r="J802" s="214"/>
      <c r="K802" s="214"/>
      <c r="L802" s="214"/>
      <c r="M802" s="215"/>
      <c r="N802" s="215"/>
      <c r="O802" s="216"/>
      <c r="P802" s="216"/>
      <c r="Q802" s="216"/>
      <c r="R802" s="216"/>
      <c r="S802" s="216"/>
      <c r="T802" s="216"/>
      <c r="U802" s="216"/>
    </row>
    <row r="803" spans="1:21" ht="12.75" x14ac:dyDescent="0.2">
      <c r="A803" s="214"/>
      <c r="B803" s="214"/>
      <c r="C803" s="214"/>
      <c r="D803" s="214"/>
      <c r="E803" s="214"/>
      <c r="F803" s="214"/>
      <c r="G803" s="214"/>
      <c r="H803" s="214"/>
      <c r="I803" s="214"/>
      <c r="J803" s="214"/>
      <c r="K803" s="214"/>
      <c r="L803" s="214"/>
      <c r="M803" s="215"/>
      <c r="N803" s="215"/>
      <c r="O803" s="216"/>
      <c r="P803" s="216"/>
      <c r="Q803" s="216"/>
      <c r="R803" s="216"/>
      <c r="S803" s="216"/>
      <c r="T803" s="216"/>
      <c r="U803" s="216"/>
    </row>
    <row r="804" spans="1:21" ht="12.75" x14ac:dyDescent="0.2">
      <c r="A804" s="214"/>
      <c r="B804" s="214"/>
      <c r="C804" s="214"/>
      <c r="D804" s="214"/>
      <c r="E804" s="214"/>
      <c r="F804" s="214"/>
      <c r="G804" s="214"/>
      <c r="H804" s="214"/>
      <c r="I804" s="214"/>
      <c r="J804" s="214"/>
      <c r="K804" s="214"/>
      <c r="L804" s="214"/>
      <c r="M804" s="215"/>
      <c r="N804" s="215"/>
      <c r="O804" s="216"/>
      <c r="P804" s="216"/>
      <c r="Q804" s="216"/>
      <c r="R804" s="216"/>
      <c r="S804" s="216"/>
      <c r="T804" s="216"/>
      <c r="U804" s="216"/>
    </row>
    <row r="805" spans="1:21" ht="12.75" x14ac:dyDescent="0.2">
      <c r="A805" s="214"/>
      <c r="B805" s="214"/>
      <c r="C805" s="214"/>
      <c r="D805" s="214"/>
      <c r="E805" s="214"/>
      <c r="F805" s="214"/>
      <c r="G805" s="214"/>
      <c r="H805" s="214"/>
      <c r="I805" s="214"/>
      <c r="J805" s="214"/>
      <c r="K805" s="214"/>
      <c r="L805" s="214"/>
      <c r="M805" s="215"/>
      <c r="N805" s="215"/>
      <c r="O805" s="216"/>
      <c r="P805" s="216"/>
      <c r="Q805" s="216"/>
      <c r="R805" s="216"/>
      <c r="S805" s="216"/>
      <c r="T805" s="216"/>
      <c r="U805" s="216"/>
    </row>
    <row r="806" spans="1:21" ht="12.75" x14ac:dyDescent="0.2">
      <c r="A806" s="214"/>
      <c r="B806" s="214"/>
      <c r="C806" s="214"/>
      <c r="D806" s="214"/>
      <c r="E806" s="214"/>
      <c r="F806" s="214"/>
      <c r="G806" s="214"/>
      <c r="H806" s="214"/>
      <c r="I806" s="214"/>
      <c r="J806" s="214"/>
      <c r="K806" s="214"/>
      <c r="L806" s="214"/>
      <c r="M806" s="215"/>
      <c r="N806" s="215"/>
      <c r="O806" s="216"/>
      <c r="P806" s="216"/>
      <c r="Q806" s="216"/>
      <c r="R806" s="216"/>
      <c r="S806" s="216"/>
      <c r="T806" s="216"/>
      <c r="U806" s="216"/>
    </row>
    <row r="807" spans="1:21" ht="12.75" x14ac:dyDescent="0.2">
      <c r="A807" s="214"/>
      <c r="B807" s="214"/>
      <c r="C807" s="214"/>
      <c r="D807" s="214"/>
      <c r="E807" s="214"/>
      <c r="F807" s="214"/>
      <c r="G807" s="214"/>
      <c r="H807" s="214"/>
      <c r="I807" s="214"/>
      <c r="J807" s="214"/>
      <c r="K807" s="214"/>
      <c r="L807" s="214"/>
      <c r="M807" s="215"/>
      <c r="N807" s="215"/>
      <c r="O807" s="216"/>
      <c r="P807" s="216"/>
      <c r="Q807" s="216"/>
      <c r="R807" s="216"/>
      <c r="S807" s="216"/>
      <c r="T807" s="216"/>
      <c r="U807" s="216"/>
    </row>
    <row r="808" spans="1:21" ht="12.75" x14ac:dyDescent="0.2">
      <c r="A808" s="214"/>
      <c r="B808" s="214"/>
      <c r="C808" s="214"/>
      <c r="D808" s="214"/>
      <c r="E808" s="214"/>
      <c r="F808" s="214"/>
      <c r="G808" s="214"/>
      <c r="H808" s="214"/>
      <c r="I808" s="214"/>
      <c r="J808" s="214"/>
      <c r="K808" s="214"/>
      <c r="L808" s="214"/>
      <c r="M808" s="215"/>
      <c r="N808" s="215"/>
      <c r="O808" s="216"/>
      <c r="P808" s="216"/>
      <c r="Q808" s="216"/>
      <c r="R808" s="216"/>
      <c r="S808" s="216"/>
      <c r="T808" s="216"/>
      <c r="U808" s="216"/>
    </row>
    <row r="809" spans="1:21" ht="12.75" x14ac:dyDescent="0.2">
      <c r="A809" s="214"/>
      <c r="B809" s="214"/>
      <c r="C809" s="214"/>
      <c r="D809" s="214"/>
      <c r="E809" s="214"/>
      <c r="F809" s="214"/>
      <c r="G809" s="214"/>
      <c r="H809" s="214"/>
      <c r="I809" s="214"/>
      <c r="J809" s="214"/>
      <c r="K809" s="214"/>
      <c r="L809" s="214"/>
      <c r="M809" s="215"/>
      <c r="N809" s="215"/>
      <c r="O809" s="216"/>
      <c r="P809" s="216"/>
      <c r="Q809" s="216"/>
      <c r="R809" s="216"/>
      <c r="S809" s="216"/>
      <c r="T809" s="216"/>
      <c r="U809" s="216"/>
    </row>
    <row r="810" spans="1:21" ht="12.75" x14ac:dyDescent="0.2">
      <c r="A810" s="214"/>
      <c r="B810" s="214"/>
      <c r="C810" s="214"/>
      <c r="D810" s="214"/>
      <c r="E810" s="214"/>
      <c r="F810" s="214"/>
      <c r="G810" s="214"/>
      <c r="H810" s="214"/>
      <c r="I810" s="214"/>
      <c r="J810" s="214"/>
      <c r="K810" s="214"/>
      <c r="L810" s="214"/>
      <c r="M810" s="215"/>
      <c r="N810" s="215"/>
      <c r="O810" s="216"/>
      <c r="P810" s="216"/>
      <c r="Q810" s="216"/>
      <c r="R810" s="216"/>
      <c r="S810" s="216"/>
      <c r="T810" s="216"/>
      <c r="U810" s="216"/>
    </row>
    <row r="811" spans="1:21" ht="12.75" x14ac:dyDescent="0.2">
      <c r="A811" s="214"/>
      <c r="B811" s="214"/>
      <c r="C811" s="214"/>
      <c r="D811" s="214"/>
      <c r="E811" s="214"/>
      <c r="F811" s="214"/>
      <c r="G811" s="214"/>
      <c r="H811" s="214"/>
      <c r="I811" s="214"/>
      <c r="J811" s="214"/>
      <c r="K811" s="214"/>
      <c r="L811" s="214"/>
      <c r="M811" s="215"/>
      <c r="N811" s="215"/>
      <c r="O811" s="216"/>
      <c r="P811" s="216"/>
      <c r="Q811" s="216"/>
      <c r="R811" s="216"/>
      <c r="S811" s="216"/>
      <c r="T811" s="216"/>
      <c r="U811" s="216"/>
    </row>
    <row r="812" spans="1:21" ht="12.75" x14ac:dyDescent="0.2">
      <c r="A812" s="214"/>
      <c r="B812" s="214"/>
      <c r="C812" s="214"/>
      <c r="D812" s="214"/>
      <c r="E812" s="214"/>
      <c r="F812" s="214"/>
      <c r="G812" s="214"/>
      <c r="H812" s="214"/>
      <c r="I812" s="214"/>
      <c r="J812" s="214"/>
      <c r="K812" s="214"/>
      <c r="L812" s="214"/>
      <c r="M812" s="215"/>
      <c r="N812" s="215"/>
      <c r="O812" s="216"/>
      <c r="P812" s="216"/>
      <c r="Q812" s="216"/>
      <c r="R812" s="216"/>
      <c r="S812" s="216"/>
      <c r="T812" s="216"/>
      <c r="U812" s="216"/>
    </row>
    <row r="813" spans="1:21" ht="12.75" x14ac:dyDescent="0.2">
      <c r="A813" s="214"/>
      <c r="B813" s="214"/>
      <c r="C813" s="214"/>
      <c r="D813" s="214"/>
      <c r="E813" s="214"/>
      <c r="F813" s="214"/>
      <c r="G813" s="214"/>
      <c r="H813" s="214"/>
      <c r="I813" s="214"/>
      <c r="J813" s="214"/>
      <c r="K813" s="214"/>
      <c r="L813" s="214"/>
      <c r="M813" s="215"/>
      <c r="N813" s="215"/>
      <c r="O813" s="216"/>
      <c r="P813" s="216"/>
      <c r="Q813" s="216"/>
      <c r="R813" s="216"/>
      <c r="S813" s="216"/>
      <c r="T813" s="216"/>
      <c r="U813" s="216"/>
    </row>
    <row r="814" spans="1:21" ht="12.75" x14ac:dyDescent="0.2">
      <c r="A814" s="214"/>
      <c r="B814" s="214"/>
      <c r="C814" s="214"/>
      <c r="D814" s="214"/>
      <c r="E814" s="214"/>
      <c r="F814" s="214"/>
      <c r="G814" s="214"/>
      <c r="H814" s="214"/>
      <c r="I814" s="214"/>
      <c r="J814" s="214"/>
      <c r="K814" s="214"/>
      <c r="L814" s="214"/>
      <c r="M814" s="215"/>
      <c r="N814" s="215"/>
      <c r="O814" s="216"/>
      <c r="P814" s="216"/>
      <c r="Q814" s="216"/>
      <c r="R814" s="216"/>
      <c r="S814" s="216"/>
      <c r="T814" s="216"/>
      <c r="U814" s="216"/>
    </row>
    <row r="815" spans="1:21" ht="12.75" x14ac:dyDescent="0.2">
      <c r="A815" s="214"/>
      <c r="B815" s="214"/>
      <c r="C815" s="214"/>
      <c r="D815" s="214"/>
      <c r="E815" s="214"/>
      <c r="F815" s="214"/>
      <c r="G815" s="214"/>
      <c r="H815" s="214"/>
      <c r="I815" s="214"/>
      <c r="J815" s="214"/>
      <c r="K815" s="214"/>
      <c r="L815" s="214"/>
      <c r="M815" s="215"/>
      <c r="N815" s="215"/>
      <c r="O815" s="216"/>
      <c r="P815" s="216"/>
      <c r="Q815" s="216"/>
      <c r="R815" s="216"/>
      <c r="S815" s="216"/>
      <c r="T815" s="216"/>
      <c r="U815" s="216"/>
    </row>
    <row r="816" spans="1:21" ht="12.75" x14ac:dyDescent="0.2">
      <c r="A816" s="214"/>
      <c r="B816" s="214"/>
      <c r="C816" s="214"/>
      <c r="D816" s="214"/>
      <c r="E816" s="214"/>
      <c r="F816" s="214"/>
      <c r="G816" s="214"/>
      <c r="H816" s="214"/>
      <c r="I816" s="214"/>
      <c r="J816" s="214"/>
      <c r="K816" s="214"/>
      <c r="L816" s="214"/>
      <c r="M816" s="215"/>
      <c r="N816" s="215"/>
      <c r="O816" s="216"/>
      <c r="P816" s="216"/>
      <c r="Q816" s="216"/>
      <c r="R816" s="216"/>
      <c r="S816" s="216"/>
      <c r="T816" s="216"/>
      <c r="U816" s="216"/>
    </row>
    <row r="817" spans="1:21" ht="12.75" x14ac:dyDescent="0.2">
      <c r="A817" s="214"/>
      <c r="B817" s="214"/>
      <c r="C817" s="214"/>
      <c r="D817" s="214"/>
      <c r="E817" s="214"/>
      <c r="F817" s="214"/>
      <c r="G817" s="214"/>
      <c r="H817" s="214"/>
      <c r="I817" s="214"/>
      <c r="J817" s="214"/>
      <c r="K817" s="214"/>
      <c r="L817" s="214"/>
      <c r="M817" s="215"/>
      <c r="N817" s="215"/>
      <c r="O817" s="216"/>
      <c r="P817" s="216"/>
      <c r="Q817" s="216"/>
      <c r="R817" s="216"/>
      <c r="S817" s="216"/>
      <c r="T817" s="216"/>
      <c r="U817" s="216"/>
    </row>
    <row r="818" spans="1:21" ht="12.75" x14ac:dyDescent="0.2">
      <c r="A818" s="214"/>
      <c r="B818" s="214"/>
      <c r="C818" s="214"/>
      <c r="D818" s="214"/>
      <c r="E818" s="214"/>
      <c r="F818" s="214"/>
      <c r="G818" s="214"/>
      <c r="H818" s="214"/>
      <c r="I818" s="214"/>
      <c r="J818" s="214"/>
      <c r="K818" s="214"/>
      <c r="L818" s="214"/>
      <c r="M818" s="215"/>
      <c r="N818" s="215"/>
      <c r="O818" s="216"/>
      <c r="P818" s="216"/>
      <c r="Q818" s="216"/>
      <c r="R818" s="216"/>
      <c r="S818" s="216"/>
      <c r="T818" s="216"/>
      <c r="U818" s="216"/>
    </row>
    <row r="819" spans="1:21" ht="12.75" x14ac:dyDescent="0.2">
      <c r="A819" s="214"/>
      <c r="B819" s="214"/>
      <c r="C819" s="214"/>
      <c r="D819" s="214"/>
      <c r="E819" s="214"/>
      <c r="F819" s="214"/>
      <c r="G819" s="214"/>
      <c r="H819" s="214"/>
      <c r="I819" s="214"/>
      <c r="J819" s="214"/>
      <c r="K819" s="214"/>
      <c r="L819" s="214"/>
      <c r="M819" s="215"/>
      <c r="N819" s="215"/>
      <c r="O819" s="216"/>
      <c r="P819" s="216"/>
      <c r="Q819" s="216"/>
      <c r="R819" s="216"/>
      <c r="S819" s="216"/>
      <c r="T819" s="216"/>
      <c r="U819" s="216"/>
    </row>
    <row r="820" spans="1:21" ht="12.75" x14ac:dyDescent="0.2">
      <c r="A820" s="214"/>
      <c r="B820" s="214"/>
      <c r="C820" s="214"/>
      <c r="D820" s="214"/>
      <c r="E820" s="214"/>
      <c r="F820" s="214"/>
      <c r="G820" s="214"/>
      <c r="H820" s="214"/>
      <c r="I820" s="214"/>
      <c r="J820" s="214"/>
      <c r="K820" s="214"/>
      <c r="L820" s="214"/>
      <c r="M820" s="215"/>
      <c r="N820" s="215"/>
      <c r="O820" s="216"/>
      <c r="P820" s="216"/>
      <c r="Q820" s="216"/>
      <c r="R820" s="216"/>
      <c r="S820" s="216"/>
      <c r="T820" s="216"/>
      <c r="U820" s="216"/>
    </row>
    <row r="821" spans="1:21" ht="12.75" x14ac:dyDescent="0.2">
      <c r="A821" s="214"/>
      <c r="B821" s="214"/>
      <c r="C821" s="214"/>
      <c r="D821" s="214"/>
      <c r="E821" s="214"/>
      <c r="F821" s="214"/>
      <c r="G821" s="214"/>
      <c r="H821" s="214"/>
      <c r="I821" s="214"/>
      <c r="J821" s="214"/>
      <c r="K821" s="214"/>
      <c r="L821" s="214"/>
      <c r="M821" s="215"/>
      <c r="N821" s="215"/>
      <c r="O821" s="216"/>
      <c r="P821" s="216"/>
      <c r="Q821" s="216"/>
      <c r="R821" s="216"/>
      <c r="S821" s="216"/>
      <c r="T821" s="216"/>
      <c r="U821" s="216"/>
    </row>
    <row r="822" spans="1:21" ht="12.75" x14ac:dyDescent="0.2">
      <c r="A822" s="214"/>
      <c r="B822" s="214"/>
      <c r="C822" s="214"/>
      <c r="D822" s="214"/>
      <c r="E822" s="214"/>
      <c r="F822" s="214"/>
      <c r="G822" s="214"/>
      <c r="H822" s="214"/>
      <c r="I822" s="214"/>
      <c r="J822" s="214"/>
      <c r="K822" s="214"/>
      <c r="L822" s="214"/>
      <c r="M822" s="215"/>
      <c r="N822" s="215"/>
      <c r="O822" s="216"/>
      <c r="P822" s="216"/>
      <c r="Q822" s="216"/>
      <c r="R822" s="216"/>
      <c r="S822" s="216"/>
      <c r="T822" s="216"/>
      <c r="U822" s="216"/>
    </row>
    <row r="823" spans="1:21" ht="12.75" x14ac:dyDescent="0.2">
      <c r="A823" s="214"/>
      <c r="B823" s="214"/>
      <c r="C823" s="214"/>
      <c r="D823" s="214"/>
      <c r="E823" s="214"/>
      <c r="F823" s="214"/>
      <c r="G823" s="214"/>
      <c r="H823" s="214"/>
      <c r="I823" s="214"/>
      <c r="J823" s="214"/>
      <c r="K823" s="214"/>
      <c r="L823" s="214"/>
      <c r="M823" s="215"/>
      <c r="N823" s="215"/>
      <c r="O823" s="216"/>
      <c r="P823" s="216"/>
      <c r="Q823" s="216"/>
      <c r="R823" s="216"/>
      <c r="S823" s="216"/>
      <c r="T823" s="216"/>
      <c r="U823" s="216"/>
    </row>
    <row r="824" spans="1:21" ht="12.75" x14ac:dyDescent="0.2">
      <c r="A824" s="214"/>
      <c r="B824" s="214"/>
      <c r="C824" s="214"/>
      <c r="D824" s="214"/>
      <c r="E824" s="214"/>
      <c r="F824" s="214"/>
      <c r="G824" s="214"/>
      <c r="H824" s="214"/>
      <c r="I824" s="214"/>
      <c r="J824" s="214"/>
      <c r="K824" s="214"/>
      <c r="L824" s="214"/>
      <c r="M824" s="215"/>
      <c r="N824" s="215"/>
      <c r="O824" s="216"/>
      <c r="P824" s="216"/>
      <c r="Q824" s="216"/>
      <c r="R824" s="216"/>
      <c r="S824" s="216"/>
      <c r="T824" s="216"/>
      <c r="U824" s="216"/>
    </row>
    <row r="825" spans="1:21" ht="12.75" x14ac:dyDescent="0.2">
      <c r="A825" s="214"/>
      <c r="B825" s="214"/>
      <c r="C825" s="214"/>
      <c r="D825" s="214"/>
      <c r="E825" s="214"/>
      <c r="F825" s="214"/>
      <c r="G825" s="214"/>
      <c r="H825" s="214"/>
      <c r="I825" s="214"/>
      <c r="J825" s="214"/>
      <c r="K825" s="214"/>
      <c r="L825" s="214"/>
      <c r="M825" s="215"/>
      <c r="N825" s="215"/>
      <c r="O825" s="216"/>
      <c r="P825" s="216"/>
      <c r="Q825" s="216"/>
      <c r="R825" s="216"/>
      <c r="S825" s="216"/>
      <c r="T825" s="216"/>
      <c r="U825" s="216"/>
    </row>
    <row r="826" spans="1:21" ht="12.75" x14ac:dyDescent="0.2">
      <c r="A826" s="214"/>
      <c r="B826" s="214"/>
      <c r="C826" s="214"/>
      <c r="D826" s="214"/>
      <c r="E826" s="214"/>
      <c r="F826" s="214"/>
      <c r="G826" s="214"/>
      <c r="H826" s="214"/>
      <c r="I826" s="214"/>
      <c r="J826" s="214"/>
      <c r="K826" s="214"/>
      <c r="L826" s="214"/>
      <c r="M826" s="215"/>
      <c r="N826" s="215"/>
      <c r="O826" s="216"/>
      <c r="P826" s="216"/>
      <c r="Q826" s="216"/>
      <c r="R826" s="216"/>
      <c r="S826" s="216"/>
      <c r="T826" s="216"/>
      <c r="U826" s="216"/>
    </row>
    <row r="827" spans="1:21" ht="12.75" x14ac:dyDescent="0.2">
      <c r="A827" s="214"/>
      <c r="B827" s="214"/>
      <c r="C827" s="214"/>
      <c r="D827" s="214"/>
      <c r="E827" s="214"/>
      <c r="F827" s="214"/>
      <c r="G827" s="214"/>
      <c r="H827" s="214"/>
      <c r="I827" s="214"/>
      <c r="J827" s="214"/>
      <c r="K827" s="214"/>
      <c r="L827" s="214"/>
      <c r="M827" s="215"/>
      <c r="N827" s="215"/>
      <c r="O827" s="216"/>
      <c r="P827" s="216"/>
      <c r="Q827" s="216"/>
      <c r="R827" s="216"/>
      <c r="S827" s="216"/>
      <c r="T827" s="216"/>
      <c r="U827" s="216"/>
    </row>
    <row r="828" spans="1:21" ht="12.75" x14ac:dyDescent="0.2">
      <c r="A828" s="214"/>
      <c r="B828" s="214"/>
      <c r="C828" s="214"/>
      <c r="D828" s="214"/>
      <c r="E828" s="214"/>
      <c r="F828" s="214"/>
      <c r="G828" s="214"/>
      <c r="H828" s="214"/>
      <c r="I828" s="214"/>
      <c r="J828" s="214"/>
      <c r="K828" s="214"/>
      <c r="L828" s="214"/>
      <c r="M828" s="215"/>
      <c r="N828" s="215"/>
      <c r="O828" s="216"/>
      <c r="P828" s="216"/>
      <c r="Q828" s="216"/>
      <c r="R828" s="216"/>
      <c r="S828" s="216"/>
      <c r="T828" s="216"/>
      <c r="U828" s="216"/>
    </row>
    <row r="829" spans="1:21" ht="12.75" x14ac:dyDescent="0.2">
      <c r="A829" s="214"/>
      <c r="B829" s="214"/>
      <c r="C829" s="214"/>
      <c r="D829" s="214"/>
      <c r="E829" s="214"/>
      <c r="F829" s="214"/>
      <c r="G829" s="214"/>
      <c r="H829" s="214"/>
      <c r="I829" s="214"/>
      <c r="J829" s="214"/>
      <c r="K829" s="214"/>
      <c r="L829" s="214"/>
      <c r="M829" s="215"/>
      <c r="N829" s="215"/>
      <c r="O829" s="216"/>
      <c r="P829" s="216"/>
      <c r="Q829" s="216"/>
      <c r="R829" s="216"/>
      <c r="S829" s="216"/>
      <c r="T829" s="216"/>
      <c r="U829" s="216"/>
    </row>
    <row r="830" spans="1:21" ht="12.75" x14ac:dyDescent="0.2">
      <c r="A830" s="214"/>
      <c r="B830" s="214"/>
      <c r="C830" s="214"/>
      <c r="D830" s="214"/>
      <c r="E830" s="214"/>
      <c r="F830" s="214"/>
      <c r="G830" s="214"/>
      <c r="H830" s="214"/>
      <c r="I830" s="214"/>
      <c r="J830" s="214"/>
      <c r="K830" s="214"/>
      <c r="L830" s="214"/>
      <c r="M830" s="215"/>
      <c r="N830" s="215"/>
      <c r="O830" s="216"/>
      <c r="P830" s="216"/>
      <c r="Q830" s="216"/>
      <c r="R830" s="216"/>
      <c r="S830" s="216"/>
      <c r="T830" s="216"/>
      <c r="U830" s="216"/>
    </row>
    <row r="831" spans="1:21" ht="12.75" x14ac:dyDescent="0.2">
      <c r="A831" s="214"/>
      <c r="B831" s="214"/>
      <c r="C831" s="214"/>
      <c r="D831" s="214"/>
      <c r="E831" s="214"/>
      <c r="F831" s="214"/>
      <c r="G831" s="214"/>
      <c r="H831" s="214"/>
      <c r="I831" s="214"/>
      <c r="J831" s="214"/>
      <c r="K831" s="214"/>
      <c r="L831" s="214"/>
      <c r="M831" s="215"/>
      <c r="N831" s="215"/>
      <c r="O831" s="216"/>
      <c r="P831" s="216"/>
      <c r="Q831" s="216"/>
      <c r="R831" s="216"/>
      <c r="S831" s="216"/>
      <c r="T831" s="216"/>
      <c r="U831" s="216"/>
    </row>
    <row r="832" spans="1:21" ht="12.75" x14ac:dyDescent="0.2">
      <c r="A832" s="214"/>
      <c r="B832" s="214"/>
      <c r="C832" s="214"/>
      <c r="D832" s="214"/>
      <c r="E832" s="214"/>
      <c r="F832" s="214"/>
      <c r="G832" s="214"/>
      <c r="H832" s="214"/>
      <c r="I832" s="214"/>
      <c r="J832" s="214"/>
      <c r="K832" s="214"/>
      <c r="L832" s="214"/>
      <c r="M832" s="215"/>
      <c r="N832" s="215"/>
      <c r="O832" s="216"/>
      <c r="P832" s="216"/>
      <c r="Q832" s="216"/>
      <c r="R832" s="216"/>
      <c r="S832" s="216"/>
      <c r="T832" s="216"/>
      <c r="U832" s="216"/>
    </row>
    <row r="833" spans="1:21" ht="12.75" x14ac:dyDescent="0.2">
      <c r="A833" s="214"/>
      <c r="B833" s="214"/>
      <c r="C833" s="214"/>
      <c r="D833" s="214"/>
      <c r="E833" s="214"/>
      <c r="F833" s="214"/>
      <c r="G833" s="214"/>
      <c r="H833" s="214"/>
      <c r="I833" s="214"/>
      <c r="J833" s="214"/>
      <c r="K833" s="214"/>
      <c r="L833" s="214"/>
      <c r="M833" s="215"/>
      <c r="N833" s="215"/>
      <c r="O833" s="216"/>
      <c r="P833" s="216"/>
      <c r="Q833" s="216"/>
      <c r="R833" s="216"/>
      <c r="S833" s="216"/>
      <c r="T833" s="216"/>
      <c r="U833" s="216"/>
    </row>
    <row r="834" spans="1:21" ht="12.75" x14ac:dyDescent="0.2">
      <c r="A834" s="214"/>
      <c r="B834" s="214"/>
      <c r="C834" s="214"/>
      <c r="D834" s="214"/>
      <c r="E834" s="214"/>
      <c r="F834" s="214"/>
      <c r="G834" s="214"/>
      <c r="H834" s="214"/>
      <c r="I834" s="214"/>
      <c r="J834" s="214"/>
      <c r="K834" s="214"/>
      <c r="L834" s="214"/>
      <c r="M834" s="215"/>
      <c r="N834" s="215"/>
      <c r="O834" s="216"/>
      <c r="P834" s="216"/>
      <c r="Q834" s="216"/>
      <c r="R834" s="216"/>
      <c r="S834" s="216"/>
      <c r="T834" s="216"/>
      <c r="U834" s="216"/>
    </row>
    <row r="835" spans="1:21" ht="12.75" x14ac:dyDescent="0.2">
      <c r="A835" s="214"/>
      <c r="B835" s="214"/>
      <c r="C835" s="214"/>
      <c r="D835" s="214"/>
      <c r="E835" s="214"/>
      <c r="F835" s="214"/>
      <c r="G835" s="214"/>
      <c r="H835" s="214"/>
      <c r="I835" s="214"/>
      <c r="J835" s="214"/>
      <c r="K835" s="214"/>
      <c r="L835" s="214"/>
      <c r="M835" s="215"/>
      <c r="N835" s="215"/>
      <c r="O835" s="216"/>
      <c r="P835" s="216"/>
      <c r="Q835" s="216"/>
      <c r="R835" s="216"/>
      <c r="S835" s="216"/>
      <c r="T835" s="216"/>
      <c r="U835" s="216"/>
    </row>
    <row r="836" spans="1:21" ht="12.75" x14ac:dyDescent="0.2">
      <c r="A836" s="214"/>
      <c r="B836" s="214"/>
      <c r="C836" s="214"/>
      <c r="D836" s="214"/>
      <c r="E836" s="214"/>
      <c r="F836" s="214"/>
      <c r="G836" s="214"/>
      <c r="H836" s="214"/>
      <c r="I836" s="214"/>
      <c r="J836" s="214"/>
      <c r="K836" s="214"/>
      <c r="L836" s="214"/>
      <c r="M836" s="215"/>
      <c r="N836" s="215"/>
      <c r="O836" s="216"/>
      <c r="P836" s="216"/>
      <c r="Q836" s="216"/>
      <c r="R836" s="216"/>
      <c r="S836" s="216"/>
      <c r="T836" s="216"/>
      <c r="U836" s="216"/>
    </row>
    <row r="837" spans="1:21" ht="12.75" x14ac:dyDescent="0.2">
      <c r="A837" s="214"/>
      <c r="B837" s="214"/>
      <c r="C837" s="214"/>
      <c r="D837" s="214"/>
      <c r="E837" s="214"/>
      <c r="F837" s="214"/>
      <c r="G837" s="214"/>
      <c r="H837" s="214"/>
      <c r="I837" s="214"/>
      <c r="J837" s="214"/>
      <c r="K837" s="214"/>
      <c r="L837" s="214"/>
      <c r="M837" s="215"/>
      <c r="N837" s="215"/>
      <c r="O837" s="216"/>
      <c r="P837" s="216"/>
      <c r="Q837" s="216"/>
      <c r="R837" s="216"/>
      <c r="S837" s="216"/>
      <c r="T837" s="216"/>
      <c r="U837" s="216"/>
    </row>
    <row r="838" spans="1:21" ht="12.75" x14ac:dyDescent="0.2">
      <c r="A838" s="214"/>
      <c r="B838" s="214"/>
      <c r="C838" s="214"/>
      <c r="D838" s="214"/>
      <c r="E838" s="214"/>
      <c r="F838" s="214"/>
      <c r="G838" s="214"/>
      <c r="H838" s="214"/>
      <c r="I838" s="214"/>
      <c r="J838" s="214"/>
      <c r="K838" s="214"/>
      <c r="L838" s="214"/>
      <c r="M838" s="215"/>
      <c r="N838" s="215"/>
      <c r="O838" s="216"/>
      <c r="P838" s="216"/>
      <c r="Q838" s="216"/>
      <c r="R838" s="216"/>
      <c r="S838" s="216"/>
      <c r="T838" s="216"/>
      <c r="U838" s="216"/>
    </row>
    <row r="839" spans="1:21" ht="12.75" x14ac:dyDescent="0.2">
      <c r="A839" s="214"/>
      <c r="B839" s="214"/>
      <c r="C839" s="214"/>
      <c r="D839" s="214"/>
      <c r="E839" s="214"/>
      <c r="F839" s="214"/>
      <c r="G839" s="214"/>
      <c r="H839" s="214"/>
      <c r="I839" s="214"/>
      <c r="J839" s="214"/>
      <c r="K839" s="214"/>
      <c r="L839" s="214"/>
      <c r="M839" s="215"/>
      <c r="N839" s="215"/>
      <c r="O839" s="216"/>
      <c r="P839" s="216"/>
      <c r="Q839" s="216"/>
      <c r="R839" s="216"/>
      <c r="S839" s="216"/>
      <c r="T839" s="216"/>
      <c r="U839" s="216"/>
    </row>
    <row r="840" spans="1:21" ht="12.75" x14ac:dyDescent="0.2">
      <c r="A840" s="214"/>
      <c r="B840" s="214"/>
      <c r="C840" s="214"/>
      <c r="D840" s="214"/>
      <c r="E840" s="214"/>
      <c r="F840" s="214"/>
      <c r="G840" s="214"/>
      <c r="H840" s="214"/>
      <c r="I840" s="214"/>
      <c r="J840" s="214"/>
      <c r="K840" s="214"/>
      <c r="L840" s="214"/>
      <c r="M840" s="215"/>
      <c r="N840" s="215"/>
      <c r="O840" s="216"/>
      <c r="P840" s="216"/>
      <c r="Q840" s="216"/>
      <c r="R840" s="216"/>
      <c r="S840" s="216"/>
      <c r="T840" s="216"/>
      <c r="U840" s="216"/>
    </row>
    <row r="841" spans="1:21" ht="12.75" x14ac:dyDescent="0.2">
      <c r="A841" s="214"/>
      <c r="B841" s="214"/>
      <c r="C841" s="214"/>
      <c r="D841" s="214"/>
      <c r="E841" s="214"/>
      <c r="F841" s="214"/>
      <c r="G841" s="214"/>
      <c r="H841" s="214"/>
      <c r="I841" s="214"/>
      <c r="J841" s="214"/>
      <c r="K841" s="214"/>
      <c r="L841" s="214"/>
      <c r="M841" s="215"/>
      <c r="N841" s="215"/>
      <c r="O841" s="216"/>
      <c r="P841" s="216"/>
      <c r="Q841" s="216"/>
      <c r="R841" s="216"/>
      <c r="S841" s="216"/>
      <c r="T841" s="216"/>
      <c r="U841" s="216"/>
    </row>
    <row r="842" spans="1:21" ht="12.75" x14ac:dyDescent="0.2">
      <c r="A842" s="214"/>
      <c r="B842" s="214"/>
      <c r="C842" s="214"/>
      <c r="D842" s="214"/>
      <c r="E842" s="214"/>
      <c r="F842" s="214"/>
      <c r="G842" s="214"/>
      <c r="H842" s="214"/>
      <c r="I842" s="214"/>
      <c r="J842" s="214"/>
      <c r="K842" s="214"/>
      <c r="L842" s="214"/>
      <c r="M842" s="215"/>
      <c r="N842" s="215"/>
      <c r="O842" s="216"/>
      <c r="P842" s="216"/>
      <c r="Q842" s="216"/>
      <c r="R842" s="216"/>
      <c r="S842" s="216"/>
      <c r="T842" s="216"/>
      <c r="U842" s="216"/>
    </row>
    <row r="843" spans="1:21" ht="12.75" x14ac:dyDescent="0.2">
      <c r="A843" s="214"/>
      <c r="B843" s="214"/>
      <c r="C843" s="214"/>
      <c r="D843" s="214"/>
      <c r="E843" s="214"/>
      <c r="F843" s="214"/>
      <c r="G843" s="214"/>
      <c r="H843" s="214"/>
      <c r="I843" s="214"/>
      <c r="J843" s="214"/>
      <c r="K843" s="214"/>
      <c r="L843" s="214"/>
      <c r="M843" s="215"/>
      <c r="N843" s="215"/>
      <c r="O843" s="216"/>
      <c r="P843" s="216"/>
      <c r="Q843" s="216"/>
      <c r="R843" s="216"/>
      <c r="S843" s="216"/>
      <c r="T843" s="216"/>
      <c r="U843" s="216"/>
    </row>
    <row r="844" spans="1:21" ht="12.75" x14ac:dyDescent="0.2">
      <c r="A844" s="214"/>
      <c r="B844" s="214"/>
      <c r="C844" s="214"/>
      <c r="D844" s="214"/>
      <c r="E844" s="214"/>
      <c r="F844" s="214"/>
      <c r="G844" s="214"/>
      <c r="H844" s="214"/>
      <c r="I844" s="214"/>
      <c r="J844" s="214"/>
      <c r="K844" s="214"/>
      <c r="L844" s="214"/>
      <c r="M844" s="215"/>
      <c r="N844" s="215"/>
      <c r="O844" s="216"/>
      <c r="P844" s="216"/>
      <c r="Q844" s="216"/>
      <c r="R844" s="216"/>
      <c r="S844" s="216"/>
      <c r="T844" s="216"/>
      <c r="U844" s="216"/>
    </row>
    <row r="845" spans="1:21" ht="12.75" x14ac:dyDescent="0.2">
      <c r="A845" s="214"/>
      <c r="B845" s="214"/>
      <c r="C845" s="214"/>
      <c r="D845" s="214"/>
      <c r="E845" s="214"/>
      <c r="F845" s="214"/>
      <c r="G845" s="214"/>
      <c r="H845" s="214"/>
      <c r="I845" s="214"/>
      <c r="J845" s="214"/>
      <c r="K845" s="214"/>
      <c r="L845" s="214"/>
      <c r="M845" s="215"/>
      <c r="N845" s="215"/>
      <c r="O845" s="216"/>
      <c r="P845" s="216"/>
      <c r="Q845" s="216"/>
      <c r="R845" s="216"/>
      <c r="S845" s="216"/>
      <c r="T845" s="216"/>
      <c r="U845" s="216"/>
    </row>
    <row r="846" spans="1:21" ht="12.75" x14ac:dyDescent="0.2">
      <c r="A846" s="214"/>
      <c r="B846" s="214"/>
      <c r="C846" s="214"/>
      <c r="D846" s="214"/>
      <c r="E846" s="214"/>
      <c r="F846" s="214"/>
      <c r="G846" s="214"/>
      <c r="H846" s="214"/>
      <c r="I846" s="214"/>
      <c r="J846" s="214"/>
      <c r="K846" s="214"/>
      <c r="L846" s="214"/>
      <c r="M846" s="215"/>
      <c r="N846" s="215"/>
      <c r="O846" s="216"/>
      <c r="P846" s="216"/>
      <c r="Q846" s="216"/>
      <c r="R846" s="216"/>
      <c r="S846" s="216"/>
      <c r="T846" s="216"/>
      <c r="U846" s="216"/>
    </row>
    <row r="847" spans="1:21" ht="12.75" x14ac:dyDescent="0.2">
      <c r="A847" s="214"/>
      <c r="B847" s="214"/>
      <c r="C847" s="214"/>
      <c r="D847" s="214"/>
      <c r="E847" s="214"/>
      <c r="F847" s="214"/>
      <c r="G847" s="214"/>
      <c r="H847" s="214"/>
      <c r="I847" s="214"/>
      <c r="J847" s="214"/>
      <c r="K847" s="214"/>
      <c r="L847" s="214"/>
      <c r="M847" s="215"/>
      <c r="N847" s="215"/>
      <c r="O847" s="216"/>
      <c r="P847" s="216"/>
      <c r="Q847" s="216"/>
      <c r="R847" s="216"/>
      <c r="S847" s="216"/>
      <c r="T847" s="216"/>
      <c r="U847" s="216"/>
    </row>
    <row r="848" spans="1:21" ht="12.75" x14ac:dyDescent="0.2">
      <c r="A848" s="214"/>
      <c r="B848" s="214"/>
      <c r="C848" s="214"/>
      <c r="D848" s="214"/>
      <c r="E848" s="214"/>
      <c r="F848" s="214"/>
      <c r="G848" s="214"/>
      <c r="H848" s="214"/>
      <c r="I848" s="214"/>
      <c r="J848" s="214"/>
      <c r="K848" s="214"/>
      <c r="L848" s="214"/>
      <c r="M848" s="215"/>
      <c r="N848" s="215"/>
      <c r="O848" s="216"/>
      <c r="P848" s="216"/>
      <c r="Q848" s="216"/>
      <c r="R848" s="216"/>
      <c r="S848" s="216"/>
      <c r="T848" s="216"/>
      <c r="U848" s="216"/>
    </row>
    <row r="849" spans="1:21" ht="12.75" x14ac:dyDescent="0.2">
      <c r="A849" s="214"/>
      <c r="B849" s="214"/>
      <c r="C849" s="214"/>
      <c r="D849" s="214"/>
      <c r="E849" s="214"/>
      <c r="F849" s="214"/>
      <c r="G849" s="214"/>
      <c r="H849" s="214"/>
      <c r="I849" s="214"/>
      <c r="J849" s="214"/>
      <c r="K849" s="214"/>
      <c r="L849" s="214"/>
      <c r="M849" s="215"/>
      <c r="N849" s="215"/>
      <c r="O849" s="216"/>
      <c r="P849" s="216"/>
      <c r="Q849" s="216"/>
      <c r="R849" s="216"/>
      <c r="S849" s="216"/>
      <c r="T849" s="216"/>
      <c r="U849" s="216"/>
    </row>
    <row r="850" spans="1:21" ht="12.75" x14ac:dyDescent="0.2">
      <c r="A850" s="214"/>
      <c r="B850" s="214"/>
      <c r="C850" s="214"/>
      <c r="D850" s="214"/>
      <c r="E850" s="214"/>
      <c r="F850" s="214"/>
      <c r="G850" s="214"/>
      <c r="H850" s="214"/>
      <c r="I850" s="214"/>
      <c r="J850" s="214"/>
      <c r="K850" s="214"/>
      <c r="L850" s="214"/>
      <c r="M850" s="215"/>
      <c r="N850" s="215"/>
      <c r="O850" s="216"/>
      <c r="P850" s="216"/>
      <c r="Q850" s="216"/>
      <c r="R850" s="216"/>
      <c r="S850" s="216"/>
      <c r="T850" s="216"/>
      <c r="U850" s="216"/>
    </row>
    <row r="851" spans="1:21" ht="12.75" x14ac:dyDescent="0.2">
      <c r="A851" s="214"/>
      <c r="B851" s="214"/>
      <c r="C851" s="214"/>
      <c r="D851" s="214"/>
      <c r="E851" s="214"/>
      <c r="F851" s="214"/>
      <c r="G851" s="214"/>
      <c r="H851" s="214"/>
      <c r="I851" s="214"/>
      <c r="J851" s="214"/>
      <c r="K851" s="214"/>
      <c r="L851" s="214"/>
      <c r="M851" s="215"/>
      <c r="N851" s="215"/>
      <c r="O851" s="216"/>
      <c r="P851" s="216"/>
      <c r="Q851" s="216"/>
      <c r="R851" s="216"/>
      <c r="S851" s="216"/>
      <c r="T851" s="216"/>
      <c r="U851" s="216"/>
    </row>
    <row r="852" spans="1:21" ht="12.75" x14ac:dyDescent="0.2">
      <c r="A852" s="214"/>
      <c r="B852" s="214"/>
      <c r="C852" s="214"/>
      <c r="D852" s="214"/>
      <c r="E852" s="214"/>
      <c r="F852" s="214"/>
      <c r="G852" s="214"/>
      <c r="H852" s="214"/>
      <c r="I852" s="214"/>
      <c r="J852" s="214"/>
      <c r="K852" s="214"/>
      <c r="L852" s="214"/>
      <c r="M852" s="215"/>
      <c r="N852" s="215"/>
      <c r="O852" s="216"/>
      <c r="P852" s="216"/>
      <c r="Q852" s="216"/>
      <c r="R852" s="216"/>
      <c r="S852" s="216"/>
      <c r="T852" s="216"/>
      <c r="U852" s="216"/>
    </row>
    <row r="853" spans="1:21" ht="12.75" x14ac:dyDescent="0.2">
      <c r="A853" s="214"/>
      <c r="B853" s="214"/>
      <c r="C853" s="214"/>
      <c r="D853" s="214"/>
      <c r="E853" s="214"/>
      <c r="F853" s="214"/>
      <c r="G853" s="214"/>
      <c r="H853" s="214"/>
      <c r="I853" s="214"/>
      <c r="J853" s="214"/>
      <c r="K853" s="214"/>
      <c r="L853" s="214"/>
      <c r="M853" s="215"/>
      <c r="N853" s="215"/>
      <c r="O853" s="216"/>
      <c r="P853" s="216"/>
      <c r="Q853" s="216"/>
      <c r="R853" s="216"/>
      <c r="S853" s="216"/>
      <c r="T853" s="216"/>
      <c r="U853" s="216"/>
    </row>
    <row r="854" spans="1:21" ht="12.75" x14ac:dyDescent="0.2">
      <c r="A854" s="214"/>
      <c r="B854" s="214"/>
      <c r="C854" s="214"/>
      <c r="D854" s="214"/>
      <c r="E854" s="214"/>
      <c r="F854" s="214"/>
      <c r="G854" s="214"/>
      <c r="H854" s="214"/>
      <c r="I854" s="214"/>
      <c r="J854" s="214"/>
      <c r="K854" s="214"/>
      <c r="L854" s="214"/>
      <c r="M854" s="215"/>
      <c r="N854" s="215"/>
      <c r="O854" s="216"/>
      <c r="P854" s="216"/>
      <c r="Q854" s="216"/>
      <c r="R854" s="216"/>
      <c r="S854" s="216"/>
      <c r="T854" s="216"/>
      <c r="U854" s="216"/>
    </row>
    <row r="855" spans="1:21" ht="12.75" x14ac:dyDescent="0.2">
      <c r="A855" s="214"/>
      <c r="B855" s="214"/>
      <c r="C855" s="214"/>
      <c r="D855" s="214"/>
      <c r="E855" s="214"/>
      <c r="F855" s="214"/>
      <c r="G855" s="214"/>
      <c r="H855" s="214"/>
      <c r="I855" s="214"/>
      <c r="J855" s="214"/>
      <c r="K855" s="214"/>
      <c r="L855" s="214"/>
      <c r="M855" s="215"/>
      <c r="N855" s="215"/>
      <c r="O855" s="216"/>
      <c r="P855" s="216"/>
      <c r="Q855" s="216"/>
      <c r="R855" s="216"/>
      <c r="S855" s="216"/>
      <c r="T855" s="216"/>
      <c r="U855" s="216"/>
    </row>
    <row r="856" spans="1:21" ht="12.75" x14ac:dyDescent="0.2">
      <c r="A856" s="214"/>
      <c r="B856" s="214"/>
      <c r="C856" s="214"/>
      <c r="D856" s="214"/>
      <c r="E856" s="214"/>
      <c r="F856" s="214"/>
      <c r="G856" s="214"/>
      <c r="H856" s="214"/>
      <c r="I856" s="214"/>
      <c r="J856" s="214"/>
      <c r="K856" s="214"/>
      <c r="L856" s="214"/>
      <c r="M856" s="215"/>
      <c r="N856" s="215"/>
      <c r="O856" s="216"/>
      <c r="P856" s="216"/>
      <c r="Q856" s="216"/>
      <c r="R856" s="216"/>
      <c r="S856" s="216"/>
      <c r="T856" s="216"/>
      <c r="U856" s="216"/>
    </row>
    <row r="857" spans="1:21" ht="12.75" x14ac:dyDescent="0.2">
      <c r="A857" s="214"/>
      <c r="B857" s="214"/>
      <c r="C857" s="214"/>
      <c r="D857" s="214"/>
      <c r="E857" s="214"/>
      <c r="F857" s="214"/>
      <c r="G857" s="214"/>
      <c r="H857" s="214"/>
      <c r="I857" s="214"/>
      <c r="J857" s="214"/>
      <c r="K857" s="214"/>
      <c r="L857" s="214"/>
      <c r="M857" s="215"/>
      <c r="N857" s="215"/>
      <c r="O857" s="216"/>
      <c r="P857" s="216"/>
      <c r="Q857" s="216"/>
      <c r="R857" s="216"/>
      <c r="S857" s="216"/>
      <c r="T857" s="216"/>
      <c r="U857" s="216"/>
    </row>
    <row r="858" spans="1:21" ht="12.75" x14ac:dyDescent="0.2">
      <c r="A858" s="214"/>
      <c r="B858" s="214"/>
      <c r="C858" s="214"/>
      <c r="D858" s="214"/>
      <c r="E858" s="214"/>
      <c r="F858" s="214"/>
      <c r="G858" s="214"/>
      <c r="H858" s="214"/>
      <c r="I858" s="214"/>
      <c r="J858" s="214"/>
      <c r="K858" s="214"/>
      <c r="L858" s="214"/>
      <c r="M858" s="215"/>
      <c r="N858" s="215"/>
      <c r="O858" s="216"/>
      <c r="P858" s="216"/>
      <c r="Q858" s="216"/>
      <c r="R858" s="216"/>
      <c r="S858" s="216"/>
      <c r="T858" s="216"/>
      <c r="U858" s="216"/>
    </row>
    <row r="859" spans="1:21" ht="12.75" x14ac:dyDescent="0.2">
      <c r="A859" s="214"/>
      <c r="B859" s="214"/>
      <c r="C859" s="214"/>
      <c r="D859" s="214"/>
      <c r="E859" s="214"/>
      <c r="F859" s="214"/>
      <c r="G859" s="214"/>
      <c r="H859" s="214"/>
      <c r="I859" s="214"/>
      <c r="J859" s="214"/>
      <c r="K859" s="214"/>
      <c r="L859" s="214"/>
      <c r="M859" s="215"/>
      <c r="N859" s="215"/>
      <c r="O859" s="216"/>
      <c r="P859" s="216"/>
      <c r="Q859" s="216"/>
      <c r="R859" s="216"/>
      <c r="S859" s="216"/>
      <c r="T859" s="216"/>
      <c r="U859" s="216"/>
    </row>
    <row r="860" spans="1:21" ht="12.75" x14ac:dyDescent="0.2">
      <c r="A860" s="214"/>
      <c r="B860" s="214"/>
      <c r="C860" s="214"/>
      <c r="D860" s="214"/>
      <c r="E860" s="214"/>
      <c r="F860" s="214"/>
      <c r="G860" s="214"/>
      <c r="H860" s="214"/>
      <c r="I860" s="214"/>
      <c r="J860" s="214"/>
      <c r="K860" s="214"/>
      <c r="L860" s="214"/>
      <c r="M860" s="215"/>
      <c r="N860" s="215"/>
      <c r="O860" s="216"/>
      <c r="P860" s="216"/>
      <c r="Q860" s="216"/>
      <c r="R860" s="216"/>
      <c r="S860" s="216"/>
      <c r="T860" s="216"/>
      <c r="U860" s="216"/>
    </row>
    <row r="861" spans="1:21" ht="12.75" x14ac:dyDescent="0.2">
      <c r="A861" s="214"/>
      <c r="B861" s="214"/>
      <c r="C861" s="214"/>
      <c r="D861" s="214"/>
      <c r="E861" s="214"/>
      <c r="F861" s="214"/>
      <c r="G861" s="214"/>
      <c r="H861" s="214"/>
      <c r="I861" s="214"/>
      <c r="J861" s="214"/>
      <c r="K861" s="214"/>
      <c r="L861" s="214"/>
      <c r="M861" s="215"/>
      <c r="N861" s="215"/>
      <c r="O861" s="216"/>
      <c r="P861" s="216"/>
      <c r="Q861" s="216"/>
      <c r="R861" s="216"/>
      <c r="S861" s="216"/>
      <c r="T861" s="216"/>
      <c r="U861" s="216"/>
    </row>
    <row r="862" spans="1:21" ht="12.75" x14ac:dyDescent="0.2">
      <c r="A862" s="214"/>
      <c r="B862" s="214"/>
      <c r="C862" s="214"/>
      <c r="D862" s="214"/>
      <c r="E862" s="214"/>
      <c r="F862" s="214"/>
      <c r="G862" s="214"/>
      <c r="H862" s="214"/>
      <c r="I862" s="214"/>
      <c r="J862" s="214"/>
      <c r="K862" s="214"/>
      <c r="L862" s="214"/>
      <c r="M862" s="215"/>
      <c r="N862" s="215"/>
      <c r="O862" s="216"/>
      <c r="P862" s="216"/>
      <c r="Q862" s="216"/>
      <c r="R862" s="216"/>
      <c r="S862" s="216"/>
      <c r="T862" s="216"/>
      <c r="U862" s="216"/>
    </row>
    <row r="863" spans="1:21" ht="12.75" x14ac:dyDescent="0.2">
      <c r="A863" s="214"/>
      <c r="B863" s="214"/>
      <c r="C863" s="214"/>
      <c r="D863" s="214"/>
      <c r="E863" s="214"/>
      <c r="F863" s="214"/>
      <c r="G863" s="214"/>
      <c r="H863" s="214"/>
      <c r="I863" s="214"/>
      <c r="J863" s="214"/>
      <c r="K863" s="214"/>
      <c r="L863" s="214"/>
      <c r="M863" s="215"/>
      <c r="N863" s="215"/>
      <c r="O863" s="216"/>
      <c r="P863" s="216"/>
      <c r="Q863" s="216"/>
      <c r="R863" s="216"/>
      <c r="S863" s="216"/>
      <c r="T863" s="216"/>
      <c r="U863" s="216"/>
    </row>
    <row r="864" spans="1:21" ht="12.75" x14ac:dyDescent="0.2">
      <c r="A864" s="214"/>
      <c r="B864" s="214"/>
      <c r="C864" s="214"/>
      <c r="D864" s="214"/>
      <c r="E864" s="214"/>
      <c r="F864" s="214"/>
      <c r="G864" s="214"/>
      <c r="H864" s="214"/>
      <c r="I864" s="214"/>
      <c r="J864" s="214"/>
      <c r="K864" s="214"/>
      <c r="L864" s="214"/>
      <c r="M864" s="215"/>
      <c r="N864" s="215"/>
      <c r="O864" s="216"/>
      <c r="P864" s="216"/>
      <c r="Q864" s="216"/>
      <c r="R864" s="216"/>
      <c r="S864" s="216"/>
      <c r="T864" s="216"/>
      <c r="U864" s="216"/>
    </row>
    <row r="865" spans="1:21" ht="12.75" x14ac:dyDescent="0.2">
      <c r="A865" s="214"/>
      <c r="B865" s="214"/>
      <c r="C865" s="214"/>
      <c r="D865" s="214"/>
      <c r="E865" s="214"/>
      <c r="F865" s="214"/>
      <c r="G865" s="214"/>
      <c r="H865" s="214"/>
      <c r="I865" s="214"/>
      <c r="J865" s="214"/>
      <c r="K865" s="214"/>
      <c r="L865" s="214"/>
      <c r="M865" s="215"/>
      <c r="N865" s="215"/>
      <c r="O865" s="216"/>
      <c r="P865" s="216"/>
      <c r="Q865" s="216"/>
      <c r="R865" s="216"/>
      <c r="S865" s="216"/>
      <c r="T865" s="216"/>
      <c r="U865" s="216"/>
    </row>
    <row r="866" spans="1:21" ht="12.75" x14ac:dyDescent="0.2">
      <c r="A866" s="214"/>
      <c r="B866" s="214"/>
      <c r="C866" s="214"/>
      <c r="D866" s="214"/>
      <c r="E866" s="214"/>
      <c r="F866" s="214"/>
      <c r="G866" s="214"/>
      <c r="H866" s="214"/>
      <c r="I866" s="214"/>
      <c r="J866" s="214"/>
      <c r="K866" s="214"/>
      <c r="L866" s="214"/>
      <c r="M866" s="215"/>
      <c r="N866" s="215"/>
      <c r="O866" s="216"/>
      <c r="P866" s="216"/>
      <c r="Q866" s="216"/>
      <c r="R866" s="216"/>
      <c r="S866" s="216"/>
      <c r="T866" s="216"/>
      <c r="U866" s="216"/>
    </row>
    <row r="867" spans="1:21" ht="12.75" x14ac:dyDescent="0.2">
      <c r="A867" s="214"/>
      <c r="B867" s="214"/>
      <c r="C867" s="214"/>
      <c r="D867" s="214"/>
      <c r="E867" s="214"/>
      <c r="F867" s="214"/>
      <c r="G867" s="214"/>
      <c r="H867" s="214"/>
      <c r="I867" s="214"/>
      <c r="J867" s="214"/>
      <c r="K867" s="214"/>
      <c r="L867" s="214"/>
      <c r="M867" s="215"/>
      <c r="N867" s="215"/>
      <c r="O867" s="216"/>
      <c r="P867" s="216"/>
      <c r="Q867" s="216"/>
      <c r="R867" s="216"/>
      <c r="S867" s="216"/>
      <c r="T867" s="216"/>
      <c r="U867" s="216"/>
    </row>
    <row r="868" spans="1:21" ht="12.75" x14ac:dyDescent="0.2">
      <c r="A868" s="214"/>
      <c r="B868" s="214"/>
      <c r="C868" s="214"/>
      <c r="D868" s="214"/>
      <c r="E868" s="214"/>
      <c r="F868" s="214"/>
      <c r="G868" s="214"/>
      <c r="H868" s="214"/>
      <c r="I868" s="214"/>
      <c r="J868" s="214"/>
      <c r="K868" s="214"/>
      <c r="L868" s="214"/>
      <c r="M868" s="215"/>
      <c r="N868" s="215"/>
      <c r="O868" s="216"/>
      <c r="P868" s="216"/>
      <c r="Q868" s="216"/>
      <c r="R868" s="216"/>
      <c r="S868" s="216"/>
      <c r="T868" s="216"/>
      <c r="U868" s="216"/>
    </row>
    <row r="869" spans="1:21" ht="12.75" x14ac:dyDescent="0.2">
      <c r="A869" s="214"/>
      <c r="B869" s="214"/>
      <c r="C869" s="214"/>
      <c r="D869" s="214"/>
      <c r="E869" s="214"/>
      <c r="F869" s="214"/>
      <c r="G869" s="214"/>
      <c r="H869" s="214"/>
      <c r="I869" s="214"/>
      <c r="J869" s="214"/>
      <c r="K869" s="214"/>
      <c r="L869" s="214"/>
      <c r="M869" s="215"/>
      <c r="N869" s="215"/>
      <c r="O869" s="216"/>
      <c r="P869" s="216"/>
      <c r="Q869" s="216"/>
      <c r="R869" s="216"/>
      <c r="S869" s="216"/>
      <c r="T869" s="216"/>
      <c r="U869" s="216"/>
    </row>
    <row r="870" spans="1:21" ht="12.75" x14ac:dyDescent="0.2">
      <c r="A870" s="214"/>
      <c r="B870" s="214"/>
      <c r="C870" s="214"/>
      <c r="D870" s="214"/>
      <c r="E870" s="214"/>
      <c r="F870" s="214"/>
      <c r="G870" s="214"/>
      <c r="H870" s="214"/>
      <c r="I870" s="214"/>
      <c r="J870" s="214"/>
      <c r="K870" s="214"/>
      <c r="L870" s="214"/>
      <c r="M870" s="215"/>
      <c r="N870" s="215"/>
      <c r="O870" s="216"/>
      <c r="P870" s="216"/>
      <c r="Q870" s="216"/>
      <c r="R870" s="216"/>
      <c r="S870" s="216"/>
      <c r="T870" s="216"/>
      <c r="U870" s="216"/>
    </row>
    <row r="871" spans="1:21" ht="12.75" x14ac:dyDescent="0.2">
      <c r="A871" s="214"/>
      <c r="B871" s="214"/>
      <c r="C871" s="214"/>
      <c r="D871" s="214"/>
      <c r="E871" s="214"/>
      <c r="F871" s="214"/>
      <c r="G871" s="214"/>
      <c r="H871" s="214"/>
      <c r="I871" s="214"/>
      <c r="J871" s="214"/>
      <c r="K871" s="214"/>
      <c r="L871" s="214"/>
      <c r="M871" s="215"/>
      <c r="N871" s="215"/>
      <c r="O871" s="216"/>
      <c r="P871" s="216"/>
      <c r="Q871" s="216"/>
      <c r="R871" s="216"/>
      <c r="S871" s="216"/>
      <c r="T871" s="216"/>
      <c r="U871" s="216"/>
    </row>
    <row r="872" spans="1:21" ht="12.75" x14ac:dyDescent="0.2">
      <c r="A872" s="214"/>
      <c r="B872" s="214"/>
      <c r="C872" s="214"/>
      <c r="D872" s="214"/>
      <c r="E872" s="214"/>
      <c r="F872" s="214"/>
      <c r="G872" s="214"/>
      <c r="H872" s="214"/>
      <c r="I872" s="214"/>
      <c r="J872" s="214"/>
      <c r="K872" s="214"/>
      <c r="L872" s="214"/>
      <c r="M872" s="215"/>
      <c r="N872" s="215"/>
      <c r="O872" s="216"/>
      <c r="P872" s="216"/>
      <c r="Q872" s="216"/>
      <c r="R872" s="216"/>
      <c r="S872" s="216"/>
      <c r="T872" s="216"/>
      <c r="U872" s="216"/>
    </row>
    <row r="873" spans="1:21" ht="12.75" x14ac:dyDescent="0.2">
      <c r="A873" s="214"/>
      <c r="B873" s="214"/>
      <c r="C873" s="214"/>
      <c r="D873" s="214"/>
      <c r="E873" s="214"/>
      <c r="F873" s="214"/>
      <c r="G873" s="214"/>
      <c r="H873" s="214"/>
      <c r="I873" s="214"/>
      <c r="J873" s="214"/>
      <c r="K873" s="214"/>
      <c r="L873" s="214"/>
      <c r="M873" s="215"/>
      <c r="N873" s="215"/>
      <c r="O873" s="216"/>
      <c r="P873" s="216"/>
      <c r="Q873" s="216"/>
      <c r="R873" s="216"/>
      <c r="S873" s="216"/>
      <c r="T873" s="216"/>
      <c r="U873" s="216"/>
    </row>
    <row r="874" spans="1:21" ht="12.75" x14ac:dyDescent="0.2">
      <c r="A874" s="214"/>
      <c r="B874" s="214"/>
      <c r="C874" s="214"/>
      <c r="D874" s="214"/>
      <c r="E874" s="214"/>
      <c r="F874" s="214"/>
      <c r="G874" s="214"/>
      <c r="H874" s="214"/>
      <c r="I874" s="214"/>
      <c r="J874" s="214"/>
      <c r="K874" s="214"/>
      <c r="L874" s="214"/>
      <c r="M874" s="215"/>
      <c r="N874" s="215"/>
      <c r="O874" s="216"/>
      <c r="P874" s="216"/>
      <c r="Q874" s="216"/>
      <c r="R874" s="216"/>
      <c r="S874" s="216"/>
      <c r="T874" s="216"/>
      <c r="U874" s="216"/>
    </row>
    <row r="875" spans="1:21" ht="12.75" x14ac:dyDescent="0.2">
      <c r="A875" s="214"/>
      <c r="B875" s="214"/>
      <c r="C875" s="214"/>
      <c r="D875" s="214"/>
      <c r="E875" s="214"/>
      <c r="F875" s="214"/>
      <c r="G875" s="214"/>
      <c r="H875" s="214"/>
      <c r="I875" s="214"/>
      <c r="J875" s="214"/>
      <c r="K875" s="214"/>
      <c r="L875" s="214"/>
      <c r="M875" s="215"/>
      <c r="N875" s="215"/>
      <c r="O875" s="216"/>
      <c r="P875" s="216"/>
      <c r="Q875" s="216"/>
      <c r="R875" s="216"/>
      <c r="S875" s="216"/>
      <c r="T875" s="216"/>
      <c r="U875" s="216"/>
    </row>
    <row r="876" spans="1:21" ht="12.75" x14ac:dyDescent="0.2">
      <c r="A876" s="214"/>
      <c r="B876" s="214"/>
      <c r="C876" s="214"/>
      <c r="D876" s="214"/>
      <c r="E876" s="214"/>
      <c r="F876" s="214"/>
      <c r="G876" s="214"/>
      <c r="H876" s="214"/>
      <c r="I876" s="214"/>
      <c r="J876" s="214"/>
      <c r="K876" s="214"/>
      <c r="L876" s="214"/>
      <c r="M876" s="215"/>
      <c r="N876" s="215"/>
      <c r="O876" s="216"/>
      <c r="P876" s="216"/>
      <c r="Q876" s="216"/>
      <c r="R876" s="216"/>
      <c r="S876" s="216"/>
      <c r="T876" s="216"/>
      <c r="U876" s="216"/>
    </row>
    <row r="877" spans="1:21" ht="12.75" x14ac:dyDescent="0.2">
      <c r="A877" s="214"/>
      <c r="B877" s="214"/>
      <c r="C877" s="214"/>
      <c r="D877" s="214"/>
      <c r="E877" s="214"/>
      <c r="F877" s="214"/>
      <c r="G877" s="214"/>
      <c r="H877" s="214"/>
      <c r="I877" s="214"/>
      <c r="J877" s="214"/>
      <c r="K877" s="214"/>
      <c r="L877" s="214"/>
      <c r="M877" s="215"/>
      <c r="N877" s="215"/>
      <c r="O877" s="216"/>
      <c r="P877" s="216"/>
      <c r="Q877" s="216"/>
      <c r="R877" s="216"/>
      <c r="S877" s="216"/>
      <c r="T877" s="216"/>
      <c r="U877" s="216"/>
    </row>
    <row r="878" spans="1:21" ht="12.75" x14ac:dyDescent="0.2">
      <c r="A878" s="214"/>
      <c r="B878" s="214"/>
      <c r="C878" s="214"/>
      <c r="D878" s="214"/>
      <c r="E878" s="214"/>
      <c r="F878" s="214"/>
      <c r="G878" s="214"/>
      <c r="H878" s="214"/>
      <c r="I878" s="214"/>
      <c r="J878" s="214"/>
      <c r="K878" s="214"/>
      <c r="L878" s="214"/>
      <c r="M878" s="215"/>
      <c r="N878" s="215"/>
      <c r="O878" s="216"/>
      <c r="P878" s="216"/>
      <c r="Q878" s="216"/>
      <c r="R878" s="216"/>
      <c r="S878" s="216"/>
      <c r="T878" s="216"/>
      <c r="U878" s="216"/>
    </row>
    <row r="879" spans="1:21" ht="12.75" x14ac:dyDescent="0.2">
      <c r="A879" s="214"/>
      <c r="B879" s="214"/>
      <c r="C879" s="214"/>
      <c r="D879" s="214"/>
      <c r="E879" s="214"/>
      <c r="F879" s="214"/>
      <c r="G879" s="214"/>
      <c r="H879" s="214"/>
      <c r="I879" s="214"/>
      <c r="J879" s="214"/>
      <c r="K879" s="214"/>
      <c r="L879" s="214"/>
      <c r="M879" s="215"/>
      <c r="N879" s="215"/>
      <c r="O879" s="216"/>
      <c r="P879" s="216"/>
      <c r="Q879" s="216"/>
      <c r="R879" s="216"/>
      <c r="S879" s="216"/>
      <c r="T879" s="216"/>
      <c r="U879" s="216"/>
    </row>
    <row r="880" spans="1:21" ht="12.75" x14ac:dyDescent="0.2">
      <c r="A880" s="214"/>
      <c r="B880" s="214"/>
      <c r="C880" s="214"/>
      <c r="D880" s="214"/>
      <c r="E880" s="214"/>
      <c r="F880" s="214"/>
      <c r="G880" s="214"/>
      <c r="H880" s="214"/>
      <c r="I880" s="214"/>
      <c r="J880" s="214"/>
      <c r="K880" s="214"/>
      <c r="L880" s="214"/>
      <c r="M880" s="215"/>
      <c r="N880" s="215"/>
      <c r="O880" s="216"/>
      <c r="P880" s="216"/>
      <c r="Q880" s="216"/>
      <c r="R880" s="216"/>
      <c r="S880" s="216"/>
      <c r="T880" s="216"/>
      <c r="U880" s="216"/>
    </row>
    <row r="881" spans="1:21" ht="12.75" x14ac:dyDescent="0.2">
      <c r="A881" s="214"/>
      <c r="B881" s="214"/>
      <c r="C881" s="214"/>
      <c r="D881" s="214"/>
      <c r="E881" s="214"/>
      <c r="F881" s="214"/>
      <c r="G881" s="214"/>
      <c r="H881" s="214"/>
      <c r="I881" s="214"/>
      <c r="J881" s="214"/>
      <c r="K881" s="214"/>
      <c r="L881" s="214"/>
      <c r="M881" s="215"/>
      <c r="N881" s="215"/>
      <c r="O881" s="216"/>
      <c r="P881" s="216"/>
      <c r="Q881" s="216"/>
      <c r="R881" s="216"/>
      <c r="S881" s="216"/>
      <c r="T881" s="216"/>
      <c r="U881" s="216"/>
    </row>
    <row r="882" spans="1:21" ht="12.75" x14ac:dyDescent="0.2">
      <c r="A882" s="214"/>
      <c r="B882" s="214"/>
      <c r="C882" s="214"/>
      <c r="D882" s="214"/>
      <c r="E882" s="214"/>
      <c r="F882" s="214"/>
      <c r="G882" s="214"/>
      <c r="H882" s="214"/>
      <c r="I882" s="214"/>
      <c r="J882" s="214"/>
      <c r="K882" s="214"/>
      <c r="L882" s="214"/>
      <c r="M882" s="215"/>
      <c r="N882" s="215"/>
      <c r="O882" s="216"/>
      <c r="P882" s="216"/>
      <c r="Q882" s="216"/>
      <c r="R882" s="216"/>
      <c r="S882" s="216"/>
      <c r="T882" s="216"/>
      <c r="U882" s="216"/>
    </row>
    <row r="883" spans="1:21" ht="12.75" x14ac:dyDescent="0.2">
      <c r="A883" s="214"/>
      <c r="B883" s="214"/>
      <c r="C883" s="214"/>
      <c r="D883" s="214"/>
      <c r="E883" s="214"/>
      <c r="F883" s="214"/>
      <c r="G883" s="214"/>
      <c r="H883" s="214"/>
      <c r="I883" s="214"/>
      <c r="J883" s="214"/>
      <c r="K883" s="214"/>
      <c r="L883" s="214"/>
      <c r="M883" s="215"/>
      <c r="N883" s="215"/>
      <c r="O883" s="216"/>
      <c r="P883" s="216"/>
      <c r="Q883" s="216"/>
      <c r="R883" s="216"/>
      <c r="S883" s="216"/>
      <c r="T883" s="216"/>
      <c r="U883" s="216"/>
    </row>
    <row r="884" spans="1:21" ht="12.75" x14ac:dyDescent="0.2">
      <c r="A884" s="214"/>
      <c r="B884" s="214"/>
      <c r="C884" s="214"/>
      <c r="D884" s="214"/>
      <c r="E884" s="214"/>
      <c r="F884" s="214"/>
      <c r="G884" s="214"/>
      <c r="H884" s="214"/>
      <c r="I884" s="214"/>
      <c r="J884" s="214"/>
      <c r="K884" s="214"/>
      <c r="L884" s="214"/>
      <c r="M884" s="215"/>
      <c r="N884" s="215"/>
      <c r="O884" s="216"/>
      <c r="P884" s="216"/>
      <c r="Q884" s="216"/>
      <c r="R884" s="216"/>
      <c r="S884" s="216"/>
      <c r="T884" s="216"/>
      <c r="U884" s="216"/>
    </row>
    <row r="885" spans="1:21" ht="12.75" x14ac:dyDescent="0.2">
      <c r="A885" s="214"/>
      <c r="B885" s="214"/>
      <c r="C885" s="214"/>
      <c r="D885" s="214"/>
      <c r="E885" s="214"/>
      <c r="F885" s="214"/>
      <c r="G885" s="214"/>
      <c r="H885" s="214"/>
      <c r="I885" s="214"/>
      <c r="J885" s="214"/>
      <c r="K885" s="214"/>
      <c r="L885" s="214"/>
      <c r="M885" s="215"/>
      <c r="N885" s="215"/>
      <c r="O885" s="216"/>
      <c r="P885" s="216"/>
      <c r="Q885" s="216"/>
      <c r="R885" s="216"/>
      <c r="S885" s="216"/>
      <c r="T885" s="216"/>
      <c r="U885" s="216"/>
    </row>
    <row r="886" spans="1:21" ht="12.75" x14ac:dyDescent="0.2">
      <c r="A886" s="214"/>
      <c r="B886" s="214"/>
      <c r="C886" s="214"/>
      <c r="D886" s="214"/>
      <c r="E886" s="214"/>
      <c r="F886" s="214"/>
      <c r="G886" s="214"/>
      <c r="H886" s="214"/>
      <c r="I886" s="214"/>
      <c r="J886" s="214"/>
      <c r="K886" s="214"/>
      <c r="L886" s="214"/>
      <c r="M886" s="215"/>
      <c r="N886" s="215"/>
      <c r="O886" s="216"/>
      <c r="P886" s="216"/>
      <c r="Q886" s="216"/>
      <c r="R886" s="216"/>
      <c r="S886" s="216"/>
      <c r="T886" s="216"/>
      <c r="U886" s="216"/>
    </row>
    <row r="887" spans="1:21" ht="12.75" x14ac:dyDescent="0.2">
      <c r="A887" s="214"/>
      <c r="B887" s="214"/>
      <c r="C887" s="214"/>
      <c r="D887" s="214"/>
      <c r="E887" s="214"/>
      <c r="F887" s="214"/>
      <c r="G887" s="214"/>
      <c r="H887" s="214"/>
      <c r="I887" s="214"/>
      <c r="J887" s="214"/>
      <c r="K887" s="214"/>
      <c r="L887" s="214"/>
      <c r="M887" s="215"/>
      <c r="N887" s="215"/>
      <c r="O887" s="216"/>
      <c r="P887" s="216"/>
      <c r="Q887" s="216"/>
      <c r="R887" s="216"/>
      <c r="S887" s="216"/>
      <c r="T887" s="216"/>
      <c r="U887" s="216"/>
    </row>
    <row r="888" spans="1:21" ht="12.75" x14ac:dyDescent="0.2">
      <c r="A888" s="214"/>
      <c r="B888" s="214"/>
      <c r="C888" s="214"/>
      <c r="D888" s="214"/>
      <c r="E888" s="214"/>
      <c r="F888" s="214"/>
      <c r="G888" s="214"/>
      <c r="H888" s="214"/>
      <c r="I888" s="214"/>
      <c r="J888" s="214"/>
      <c r="K888" s="214"/>
      <c r="L888" s="214"/>
      <c r="M888" s="215"/>
      <c r="N888" s="215"/>
      <c r="O888" s="216"/>
      <c r="P888" s="216"/>
      <c r="Q888" s="216"/>
      <c r="R888" s="216"/>
      <c r="S888" s="216"/>
      <c r="T888" s="216"/>
      <c r="U888" s="216"/>
    </row>
    <row r="889" spans="1:21" ht="12.75" x14ac:dyDescent="0.2">
      <c r="A889" s="214"/>
      <c r="B889" s="214"/>
      <c r="C889" s="214"/>
      <c r="D889" s="214"/>
      <c r="E889" s="214"/>
      <c r="F889" s="214"/>
      <c r="G889" s="214"/>
      <c r="H889" s="214"/>
      <c r="I889" s="214"/>
      <c r="J889" s="214"/>
      <c r="K889" s="214"/>
      <c r="L889" s="214"/>
      <c r="M889" s="215"/>
      <c r="N889" s="215"/>
      <c r="O889" s="216"/>
      <c r="P889" s="216"/>
      <c r="Q889" s="216"/>
      <c r="R889" s="216"/>
      <c r="S889" s="216"/>
      <c r="T889" s="216"/>
      <c r="U889" s="216"/>
    </row>
    <row r="890" spans="1:21" ht="12.75" x14ac:dyDescent="0.2">
      <c r="A890" s="214"/>
      <c r="B890" s="214"/>
      <c r="C890" s="214"/>
      <c r="D890" s="214"/>
      <c r="E890" s="214"/>
      <c r="F890" s="214"/>
      <c r="G890" s="214"/>
      <c r="H890" s="214"/>
      <c r="I890" s="214"/>
      <c r="J890" s="214"/>
      <c r="K890" s="214"/>
      <c r="L890" s="214"/>
      <c r="M890" s="215"/>
      <c r="N890" s="215"/>
      <c r="O890" s="216"/>
      <c r="P890" s="216"/>
      <c r="Q890" s="216"/>
      <c r="R890" s="216"/>
      <c r="S890" s="216"/>
      <c r="T890" s="216"/>
      <c r="U890" s="216"/>
    </row>
    <row r="891" spans="1:21" ht="12.75" x14ac:dyDescent="0.2">
      <c r="A891" s="214"/>
      <c r="B891" s="214"/>
      <c r="C891" s="214"/>
      <c r="D891" s="214"/>
      <c r="E891" s="214"/>
      <c r="F891" s="214"/>
      <c r="G891" s="214"/>
      <c r="H891" s="214"/>
      <c r="I891" s="214"/>
      <c r="J891" s="214"/>
      <c r="K891" s="214"/>
      <c r="L891" s="214"/>
      <c r="M891" s="215"/>
      <c r="N891" s="215"/>
      <c r="O891" s="216"/>
      <c r="P891" s="216"/>
      <c r="Q891" s="216"/>
      <c r="R891" s="216"/>
      <c r="S891" s="216"/>
      <c r="T891" s="216"/>
      <c r="U891" s="216"/>
    </row>
    <row r="892" spans="1:21" ht="12.75" x14ac:dyDescent="0.2">
      <c r="A892" s="214"/>
      <c r="B892" s="214"/>
      <c r="C892" s="214"/>
      <c r="D892" s="214"/>
      <c r="E892" s="214"/>
      <c r="F892" s="214"/>
      <c r="G892" s="214"/>
      <c r="H892" s="214"/>
      <c r="I892" s="214"/>
      <c r="J892" s="214"/>
      <c r="K892" s="214"/>
      <c r="L892" s="214"/>
      <c r="M892" s="215"/>
      <c r="N892" s="215"/>
      <c r="O892" s="216"/>
      <c r="P892" s="216"/>
      <c r="Q892" s="216"/>
      <c r="R892" s="216"/>
      <c r="S892" s="216"/>
      <c r="T892" s="216"/>
      <c r="U892" s="216"/>
    </row>
    <row r="893" spans="1:21" ht="12.75" x14ac:dyDescent="0.2">
      <c r="A893" s="214"/>
      <c r="B893" s="214"/>
      <c r="C893" s="214"/>
      <c r="D893" s="214"/>
      <c r="E893" s="214"/>
      <c r="F893" s="214"/>
      <c r="G893" s="214"/>
      <c r="H893" s="214"/>
      <c r="I893" s="214"/>
      <c r="J893" s="214"/>
      <c r="K893" s="214"/>
      <c r="L893" s="214"/>
      <c r="M893" s="215"/>
      <c r="N893" s="215"/>
      <c r="O893" s="216"/>
      <c r="P893" s="216"/>
      <c r="Q893" s="216"/>
      <c r="R893" s="216"/>
      <c r="S893" s="216"/>
      <c r="T893" s="216"/>
      <c r="U893" s="216"/>
    </row>
    <row r="894" spans="1:21" ht="12.75" x14ac:dyDescent="0.2">
      <c r="A894" s="214"/>
      <c r="B894" s="214"/>
      <c r="C894" s="214"/>
      <c r="D894" s="214"/>
      <c r="E894" s="214"/>
      <c r="F894" s="214"/>
      <c r="G894" s="214"/>
      <c r="H894" s="214"/>
      <c r="I894" s="214"/>
      <c r="J894" s="214"/>
      <c r="K894" s="214"/>
      <c r="L894" s="214"/>
      <c r="M894" s="215"/>
      <c r="N894" s="215"/>
      <c r="O894" s="216"/>
      <c r="P894" s="216"/>
      <c r="Q894" s="216"/>
      <c r="R894" s="216"/>
      <c r="S894" s="216"/>
      <c r="T894" s="216"/>
      <c r="U894" s="216"/>
    </row>
    <row r="895" spans="1:21" ht="12.75" x14ac:dyDescent="0.2">
      <c r="A895" s="214"/>
      <c r="B895" s="214"/>
      <c r="C895" s="214"/>
      <c r="D895" s="214"/>
      <c r="E895" s="214"/>
      <c r="F895" s="214"/>
      <c r="G895" s="214"/>
      <c r="H895" s="214"/>
      <c r="I895" s="214"/>
      <c r="J895" s="214"/>
      <c r="K895" s="214"/>
      <c r="L895" s="214"/>
      <c r="M895" s="215"/>
      <c r="N895" s="215"/>
      <c r="O895" s="216"/>
      <c r="P895" s="216"/>
      <c r="Q895" s="216"/>
      <c r="R895" s="216"/>
      <c r="S895" s="216"/>
      <c r="T895" s="216"/>
      <c r="U895" s="216"/>
    </row>
    <row r="896" spans="1:21" ht="12.75" x14ac:dyDescent="0.2">
      <c r="A896" s="214"/>
      <c r="B896" s="214"/>
      <c r="C896" s="214"/>
      <c r="D896" s="214"/>
      <c r="E896" s="214"/>
      <c r="F896" s="214"/>
      <c r="G896" s="214"/>
      <c r="H896" s="214"/>
      <c r="I896" s="214"/>
      <c r="J896" s="214"/>
      <c r="K896" s="214"/>
      <c r="L896" s="214"/>
      <c r="M896" s="215"/>
      <c r="N896" s="215"/>
      <c r="O896" s="216"/>
      <c r="P896" s="216"/>
      <c r="Q896" s="216"/>
      <c r="R896" s="216"/>
      <c r="S896" s="216"/>
      <c r="T896" s="216"/>
      <c r="U896" s="216"/>
    </row>
    <row r="897" spans="1:21" ht="12.75" x14ac:dyDescent="0.2">
      <c r="A897" s="214"/>
      <c r="B897" s="214"/>
      <c r="C897" s="214"/>
      <c r="D897" s="214"/>
      <c r="E897" s="214"/>
      <c r="F897" s="214"/>
      <c r="G897" s="214"/>
      <c r="H897" s="214"/>
      <c r="I897" s="214"/>
      <c r="J897" s="214"/>
      <c r="K897" s="214"/>
      <c r="L897" s="214"/>
      <c r="M897" s="215"/>
      <c r="N897" s="215"/>
      <c r="O897" s="216"/>
      <c r="P897" s="216"/>
      <c r="Q897" s="216"/>
      <c r="R897" s="216"/>
      <c r="S897" s="216"/>
      <c r="T897" s="216"/>
      <c r="U897" s="216"/>
    </row>
    <row r="898" spans="1:21" ht="12.75" x14ac:dyDescent="0.2">
      <c r="A898" s="214"/>
      <c r="B898" s="214"/>
      <c r="C898" s="214"/>
      <c r="D898" s="214"/>
      <c r="E898" s="214"/>
      <c r="F898" s="214"/>
      <c r="G898" s="214"/>
      <c r="H898" s="214"/>
      <c r="I898" s="214"/>
      <c r="J898" s="214"/>
      <c r="K898" s="214"/>
      <c r="L898" s="214"/>
      <c r="M898" s="215"/>
      <c r="N898" s="215"/>
      <c r="O898" s="216"/>
      <c r="P898" s="216"/>
      <c r="Q898" s="216"/>
      <c r="R898" s="216"/>
      <c r="S898" s="216"/>
      <c r="T898" s="216"/>
      <c r="U898" s="216"/>
    </row>
    <row r="899" spans="1:21" ht="12.75" x14ac:dyDescent="0.2">
      <c r="A899" s="214"/>
      <c r="B899" s="214"/>
      <c r="C899" s="214"/>
      <c r="D899" s="214"/>
      <c r="E899" s="214"/>
      <c r="F899" s="214"/>
      <c r="G899" s="214"/>
      <c r="H899" s="214"/>
      <c r="I899" s="214"/>
      <c r="J899" s="214"/>
      <c r="K899" s="214"/>
      <c r="L899" s="214"/>
      <c r="M899" s="215"/>
      <c r="N899" s="215"/>
      <c r="O899" s="216"/>
      <c r="P899" s="216"/>
      <c r="Q899" s="216"/>
      <c r="R899" s="216"/>
      <c r="S899" s="216"/>
      <c r="T899" s="216"/>
      <c r="U899" s="216"/>
    </row>
    <row r="900" spans="1:21" ht="12.75" x14ac:dyDescent="0.2">
      <c r="A900" s="214"/>
      <c r="B900" s="214"/>
      <c r="C900" s="214"/>
      <c r="D900" s="214"/>
      <c r="E900" s="214"/>
      <c r="F900" s="214"/>
      <c r="G900" s="214"/>
      <c r="H900" s="214"/>
      <c r="I900" s="214"/>
      <c r="J900" s="214"/>
      <c r="K900" s="214"/>
      <c r="L900" s="214"/>
      <c r="M900" s="215"/>
      <c r="N900" s="215"/>
      <c r="O900" s="216"/>
      <c r="P900" s="216"/>
      <c r="Q900" s="216"/>
      <c r="R900" s="216"/>
      <c r="S900" s="216"/>
      <c r="T900" s="216"/>
      <c r="U900" s="216"/>
    </row>
    <row r="901" spans="1:21" ht="12.75" x14ac:dyDescent="0.2">
      <c r="A901" s="214"/>
      <c r="B901" s="214"/>
      <c r="C901" s="214"/>
      <c r="D901" s="214"/>
      <c r="E901" s="214"/>
      <c r="F901" s="214"/>
      <c r="G901" s="214"/>
      <c r="H901" s="214"/>
      <c r="I901" s="214"/>
      <c r="J901" s="214"/>
      <c r="K901" s="214"/>
      <c r="L901" s="214"/>
      <c r="M901" s="215"/>
      <c r="N901" s="215"/>
      <c r="O901" s="216"/>
      <c r="P901" s="216"/>
      <c r="Q901" s="216"/>
      <c r="R901" s="216"/>
      <c r="S901" s="216"/>
      <c r="T901" s="216"/>
      <c r="U901" s="216"/>
    </row>
    <row r="902" spans="1:21" ht="12.75" x14ac:dyDescent="0.2">
      <c r="A902" s="214"/>
      <c r="B902" s="214"/>
      <c r="C902" s="214"/>
      <c r="D902" s="214"/>
      <c r="E902" s="214"/>
      <c r="F902" s="214"/>
      <c r="G902" s="214"/>
      <c r="H902" s="214"/>
      <c r="I902" s="214"/>
      <c r="J902" s="214"/>
      <c r="K902" s="214"/>
      <c r="L902" s="214"/>
      <c r="M902" s="215"/>
      <c r="N902" s="215"/>
      <c r="O902" s="216"/>
      <c r="P902" s="216"/>
      <c r="Q902" s="216"/>
      <c r="R902" s="216"/>
      <c r="S902" s="216"/>
      <c r="T902" s="216"/>
      <c r="U902" s="216"/>
    </row>
    <row r="903" spans="1:21" ht="12.75" x14ac:dyDescent="0.2">
      <c r="A903" s="214"/>
      <c r="B903" s="214"/>
      <c r="C903" s="214"/>
      <c r="D903" s="214"/>
      <c r="E903" s="214"/>
      <c r="F903" s="214"/>
      <c r="G903" s="214"/>
      <c r="H903" s="214"/>
      <c r="I903" s="214"/>
      <c r="J903" s="214"/>
      <c r="K903" s="214"/>
      <c r="L903" s="214"/>
      <c r="M903" s="215"/>
      <c r="N903" s="215"/>
      <c r="O903" s="216"/>
      <c r="P903" s="216"/>
      <c r="Q903" s="216"/>
      <c r="R903" s="216"/>
      <c r="S903" s="216"/>
      <c r="T903" s="216"/>
      <c r="U903" s="216"/>
    </row>
    <row r="904" spans="1:21" ht="12.75" x14ac:dyDescent="0.2">
      <c r="A904" s="214"/>
      <c r="B904" s="214"/>
      <c r="C904" s="214"/>
      <c r="D904" s="214"/>
      <c r="E904" s="214"/>
      <c r="F904" s="214"/>
      <c r="G904" s="214"/>
      <c r="H904" s="214"/>
      <c r="I904" s="214"/>
      <c r="J904" s="214"/>
      <c r="K904" s="214"/>
      <c r="L904" s="214"/>
      <c r="M904" s="215"/>
      <c r="N904" s="215"/>
      <c r="O904" s="216"/>
      <c r="P904" s="216"/>
      <c r="Q904" s="216"/>
      <c r="R904" s="216"/>
      <c r="S904" s="216"/>
      <c r="T904" s="216"/>
      <c r="U904" s="216"/>
    </row>
    <row r="905" spans="1:21" ht="12.75" x14ac:dyDescent="0.2">
      <c r="A905" s="214"/>
      <c r="B905" s="214"/>
      <c r="C905" s="214"/>
      <c r="D905" s="214"/>
      <c r="E905" s="214"/>
      <c r="F905" s="214"/>
      <c r="G905" s="214"/>
      <c r="H905" s="214"/>
      <c r="I905" s="214"/>
      <c r="J905" s="214"/>
      <c r="K905" s="214"/>
      <c r="L905" s="214"/>
      <c r="M905" s="215"/>
      <c r="N905" s="215"/>
      <c r="O905" s="216"/>
      <c r="P905" s="216"/>
      <c r="Q905" s="216"/>
      <c r="R905" s="216"/>
      <c r="S905" s="216"/>
      <c r="T905" s="216"/>
      <c r="U905" s="216"/>
    </row>
    <row r="906" spans="1:21" ht="12.75" x14ac:dyDescent="0.2">
      <c r="A906" s="214"/>
      <c r="B906" s="214"/>
      <c r="C906" s="214"/>
      <c r="D906" s="214"/>
      <c r="E906" s="214"/>
      <c r="F906" s="214"/>
      <c r="G906" s="214"/>
      <c r="H906" s="214"/>
      <c r="I906" s="214"/>
      <c r="J906" s="214"/>
      <c r="K906" s="214"/>
      <c r="L906" s="214"/>
      <c r="M906" s="215"/>
      <c r="N906" s="215"/>
      <c r="O906" s="216"/>
      <c r="P906" s="216"/>
      <c r="Q906" s="216"/>
      <c r="R906" s="216"/>
      <c r="S906" s="216"/>
      <c r="T906" s="216"/>
      <c r="U906" s="216"/>
    </row>
    <row r="907" spans="1:21" ht="12.75" x14ac:dyDescent="0.2">
      <c r="A907" s="214"/>
      <c r="B907" s="214"/>
      <c r="C907" s="214"/>
      <c r="D907" s="214"/>
      <c r="E907" s="214"/>
      <c r="F907" s="214"/>
      <c r="G907" s="214"/>
      <c r="H907" s="214"/>
      <c r="I907" s="214"/>
      <c r="J907" s="214"/>
      <c r="K907" s="214"/>
      <c r="L907" s="214"/>
      <c r="M907" s="215"/>
      <c r="N907" s="215"/>
      <c r="O907" s="216"/>
      <c r="P907" s="216"/>
      <c r="Q907" s="216"/>
      <c r="R907" s="216"/>
      <c r="S907" s="216"/>
      <c r="T907" s="216"/>
      <c r="U907" s="216"/>
    </row>
    <row r="908" spans="1:21" ht="12.75" x14ac:dyDescent="0.2">
      <c r="A908" s="214"/>
      <c r="B908" s="214"/>
      <c r="C908" s="214"/>
      <c r="D908" s="214"/>
      <c r="E908" s="214"/>
      <c r="F908" s="214"/>
      <c r="G908" s="214"/>
      <c r="H908" s="214"/>
      <c r="I908" s="214"/>
      <c r="J908" s="214"/>
      <c r="K908" s="214"/>
      <c r="L908" s="214"/>
      <c r="M908" s="215"/>
      <c r="N908" s="215"/>
      <c r="O908" s="216"/>
      <c r="P908" s="216"/>
      <c r="Q908" s="216"/>
      <c r="R908" s="216"/>
      <c r="S908" s="216"/>
      <c r="T908" s="216"/>
      <c r="U908" s="216"/>
    </row>
    <row r="909" spans="1:21" ht="12.75" x14ac:dyDescent="0.2">
      <c r="A909" s="214"/>
      <c r="B909" s="214"/>
      <c r="C909" s="214"/>
      <c r="D909" s="214"/>
      <c r="E909" s="214"/>
      <c r="F909" s="214"/>
      <c r="G909" s="214"/>
      <c r="H909" s="214"/>
      <c r="I909" s="214"/>
      <c r="J909" s="214"/>
      <c r="K909" s="214"/>
      <c r="L909" s="214"/>
      <c r="M909" s="215"/>
      <c r="N909" s="215"/>
      <c r="O909" s="216"/>
      <c r="P909" s="216"/>
      <c r="Q909" s="216"/>
      <c r="R909" s="216"/>
      <c r="S909" s="216"/>
      <c r="T909" s="216"/>
      <c r="U909" s="216"/>
    </row>
    <row r="910" spans="1:21" ht="12.75" x14ac:dyDescent="0.2">
      <c r="A910" s="214"/>
      <c r="B910" s="214"/>
      <c r="C910" s="214"/>
      <c r="D910" s="214"/>
      <c r="E910" s="214"/>
      <c r="F910" s="214"/>
      <c r="G910" s="214"/>
      <c r="H910" s="214"/>
      <c r="I910" s="214"/>
      <c r="J910" s="214"/>
      <c r="K910" s="214"/>
      <c r="L910" s="214"/>
      <c r="M910" s="215"/>
      <c r="N910" s="215"/>
      <c r="O910" s="216"/>
      <c r="P910" s="216"/>
      <c r="Q910" s="216"/>
      <c r="R910" s="216"/>
      <c r="S910" s="216"/>
      <c r="T910" s="216"/>
      <c r="U910" s="216"/>
    </row>
    <row r="911" spans="1:21" ht="12.75" x14ac:dyDescent="0.2">
      <c r="A911" s="214"/>
      <c r="B911" s="214"/>
      <c r="C911" s="214"/>
      <c r="D911" s="214"/>
      <c r="E911" s="214"/>
      <c r="F911" s="214"/>
      <c r="G911" s="214"/>
      <c r="H911" s="214"/>
      <c r="I911" s="214"/>
      <c r="J911" s="214"/>
      <c r="K911" s="214"/>
      <c r="L911" s="214"/>
      <c r="M911" s="215"/>
      <c r="N911" s="215"/>
      <c r="O911" s="216"/>
      <c r="P911" s="216"/>
      <c r="Q911" s="216"/>
      <c r="R911" s="216"/>
      <c r="S911" s="216"/>
      <c r="T911" s="216"/>
      <c r="U911" s="216"/>
    </row>
    <row r="912" spans="1:21" ht="12.75" x14ac:dyDescent="0.2">
      <c r="A912" s="214"/>
      <c r="B912" s="214"/>
      <c r="C912" s="214"/>
      <c r="D912" s="214"/>
      <c r="E912" s="214"/>
      <c r="F912" s="214"/>
      <c r="G912" s="214"/>
      <c r="H912" s="214"/>
      <c r="I912" s="214"/>
      <c r="J912" s="214"/>
      <c r="K912" s="214"/>
      <c r="L912" s="214"/>
      <c r="M912" s="215"/>
      <c r="N912" s="215"/>
      <c r="O912" s="216"/>
      <c r="P912" s="216"/>
      <c r="Q912" s="216"/>
      <c r="R912" s="216"/>
      <c r="S912" s="216"/>
      <c r="T912" s="216"/>
      <c r="U912" s="216"/>
    </row>
    <row r="913" spans="1:21" ht="12.75" x14ac:dyDescent="0.2">
      <c r="A913" s="214"/>
      <c r="B913" s="214"/>
      <c r="C913" s="214"/>
      <c r="D913" s="214"/>
      <c r="E913" s="214"/>
      <c r="F913" s="214"/>
      <c r="G913" s="214"/>
      <c r="H913" s="214"/>
      <c r="I913" s="214"/>
      <c r="J913" s="214"/>
      <c r="K913" s="214"/>
      <c r="L913" s="214"/>
      <c r="M913" s="215"/>
      <c r="N913" s="215"/>
      <c r="O913" s="216"/>
      <c r="P913" s="216"/>
      <c r="Q913" s="216"/>
      <c r="R913" s="216"/>
      <c r="S913" s="216"/>
      <c r="T913" s="216"/>
      <c r="U913" s="216"/>
    </row>
    <row r="914" spans="1:21" ht="12.75" x14ac:dyDescent="0.2">
      <c r="A914" s="214"/>
      <c r="B914" s="214"/>
      <c r="C914" s="214"/>
      <c r="D914" s="214"/>
      <c r="E914" s="214"/>
      <c r="F914" s="214"/>
      <c r="G914" s="214"/>
      <c r="H914" s="214"/>
      <c r="I914" s="214"/>
      <c r="J914" s="214"/>
      <c r="K914" s="214"/>
      <c r="L914" s="214"/>
      <c r="M914" s="215"/>
      <c r="N914" s="215"/>
      <c r="O914" s="216"/>
      <c r="P914" s="216"/>
      <c r="Q914" s="216"/>
      <c r="R914" s="216"/>
      <c r="S914" s="216"/>
      <c r="T914" s="216"/>
      <c r="U914" s="216"/>
    </row>
    <row r="915" spans="1:21" ht="12.75" x14ac:dyDescent="0.2">
      <c r="A915" s="214"/>
      <c r="B915" s="214"/>
      <c r="C915" s="214"/>
      <c r="D915" s="214"/>
      <c r="E915" s="214"/>
      <c r="F915" s="214"/>
      <c r="G915" s="214"/>
      <c r="H915" s="214"/>
      <c r="I915" s="214"/>
      <c r="J915" s="214"/>
      <c r="K915" s="214"/>
      <c r="L915" s="214"/>
      <c r="M915" s="215"/>
      <c r="N915" s="215"/>
      <c r="O915" s="216"/>
      <c r="P915" s="216"/>
      <c r="Q915" s="216"/>
      <c r="R915" s="216"/>
      <c r="S915" s="216"/>
      <c r="T915" s="216"/>
      <c r="U915" s="216"/>
    </row>
    <row r="916" spans="1:21" ht="12.75" x14ac:dyDescent="0.2">
      <c r="A916" s="214"/>
      <c r="B916" s="214"/>
      <c r="C916" s="214"/>
      <c r="D916" s="214"/>
      <c r="E916" s="214"/>
      <c r="F916" s="214"/>
      <c r="G916" s="214"/>
      <c r="H916" s="214"/>
      <c r="I916" s="214"/>
      <c r="J916" s="214"/>
      <c r="K916" s="214"/>
      <c r="L916" s="214"/>
      <c r="M916" s="215"/>
      <c r="N916" s="215"/>
      <c r="O916" s="216"/>
      <c r="P916" s="216"/>
      <c r="Q916" s="216"/>
      <c r="R916" s="216"/>
      <c r="S916" s="216"/>
      <c r="T916" s="216"/>
      <c r="U916" s="216"/>
    </row>
    <row r="917" spans="1:21" ht="12.75" x14ac:dyDescent="0.2">
      <c r="A917" s="214"/>
      <c r="B917" s="214"/>
      <c r="C917" s="214"/>
      <c r="D917" s="214"/>
      <c r="E917" s="214"/>
      <c r="F917" s="214"/>
      <c r="G917" s="214"/>
      <c r="H917" s="214"/>
      <c r="I917" s="214"/>
      <c r="J917" s="214"/>
      <c r="K917" s="214"/>
      <c r="L917" s="214"/>
      <c r="M917" s="215"/>
      <c r="N917" s="215"/>
      <c r="O917" s="216"/>
      <c r="P917" s="216"/>
      <c r="Q917" s="216"/>
      <c r="R917" s="216"/>
      <c r="S917" s="216"/>
      <c r="T917" s="216"/>
      <c r="U917" s="216"/>
    </row>
    <row r="918" spans="1:21" ht="12.75" x14ac:dyDescent="0.2">
      <c r="A918" s="214"/>
      <c r="B918" s="214"/>
      <c r="C918" s="214"/>
      <c r="D918" s="214"/>
      <c r="E918" s="214"/>
      <c r="F918" s="214"/>
      <c r="G918" s="214"/>
      <c r="H918" s="214"/>
      <c r="I918" s="214"/>
      <c r="J918" s="214"/>
      <c r="K918" s="214"/>
      <c r="L918" s="214"/>
      <c r="M918" s="215"/>
      <c r="N918" s="215"/>
      <c r="O918" s="216"/>
      <c r="P918" s="216"/>
      <c r="Q918" s="216"/>
      <c r="R918" s="216"/>
      <c r="S918" s="216"/>
      <c r="T918" s="216"/>
      <c r="U918" s="216"/>
    </row>
    <row r="919" spans="1:21" ht="12.75" x14ac:dyDescent="0.2">
      <c r="A919" s="214"/>
      <c r="B919" s="214"/>
      <c r="C919" s="214"/>
      <c r="D919" s="214"/>
      <c r="E919" s="214"/>
      <c r="F919" s="214"/>
      <c r="G919" s="214"/>
      <c r="H919" s="214"/>
      <c r="I919" s="214"/>
      <c r="J919" s="214"/>
      <c r="K919" s="214"/>
      <c r="L919" s="214"/>
      <c r="M919" s="215"/>
      <c r="N919" s="215"/>
      <c r="O919" s="216"/>
      <c r="P919" s="216"/>
      <c r="Q919" s="216"/>
      <c r="R919" s="216"/>
      <c r="S919" s="216"/>
      <c r="T919" s="216"/>
      <c r="U919" s="216"/>
    </row>
    <row r="920" spans="1:21" ht="12.75" x14ac:dyDescent="0.2">
      <c r="A920" s="214"/>
      <c r="B920" s="214"/>
      <c r="C920" s="214"/>
      <c r="D920" s="214"/>
      <c r="E920" s="214"/>
      <c r="F920" s="214"/>
      <c r="G920" s="214"/>
      <c r="H920" s="214"/>
      <c r="I920" s="214"/>
      <c r="J920" s="214"/>
      <c r="K920" s="214"/>
      <c r="L920" s="214"/>
      <c r="M920" s="215"/>
      <c r="N920" s="215"/>
      <c r="O920" s="216"/>
      <c r="P920" s="216"/>
      <c r="Q920" s="216"/>
      <c r="R920" s="216"/>
      <c r="S920" s="216"/>
      <c r="T920" s="216"/>
      <c r="U920" s="216"/>
    </row>
    <row r="921" spans="1:21" ht="12.75" x14ac:dyDescent="0.2">
      <c r="A921" s="214"/>
      <c r="B921" s="214"/>
      <c r="C921" s="214"/>
      <c r="D921" s="214"/>
      <c r="E921" s="214"/>
      <c r="F921" s="214"/>
      <c r="G921" s="214"/>
      <c r="H921" s="214"/>
      <c r="I921" s="214"/>
      <c r="J921" s="214"/>
      <c r="K921" s="214"/>
      <c r="L921" s="214"/>
      <c r="M921" s="215"/>
      <c r="N921" s="215"/>
      <c r="O921" s="216"/>
      <c r="P921" s="216"/>
      <c r="Q921" s="216"/>
      <c r="R921" s="216"/>
      <c r="S921" s="216"/>
      <c r="T921" s="216"/>
      <c r="U921" s="216"/>
    </row>
    <row r="922" spans="1:21" ht="12.75" x14ac:dyDescent="0.2">
      <c r="A922" s="214"/>
      <c r="B922" s="214"/>
      <c r="C922" s="214"/>
      <c r="D922" s="214"/>
      <c r="E922" s="214"/>
      <c r="F922" s="214"/>
      <c r="G922" s="214"/>
      <c r="H922" s="214"/>
      <c r="I922" s="214"/>
      <c r="J922" s="214"/>
      <c r="K922" s="214"/>
      <c r="L922" s="214"/>
      <c r="M922" s="215"/>
      <c r="N922" s="215"/>
      <c r="O922" s="216"/>
      <c r="P922" s="216"/>
      <c r="Q922" s="216"/>
      <c r="R922" s="216"/>
      <c r="S922" s="216"/>
      <c r="T922" s="216"/>
      <c r="U922" s="216"/>
    </row>
    <row r="923" spans="1:21" ht="12.75" x14ac:dyDescent="0.2">
      <c r="A923" s="214"/>
      <c r="B923" s="214"/>
      <c r="C923" s="214"/>
      <c r="D923" s="214"/>
      <c r="E923" s="214"/>
      <c r="F923" s="214"/>
      <c r="G923" s="214"/>
      <c r="H923" s="214"/>
      <c r="I923" s="214"/>
      <c r="J923" s="214"/>
      <c r="K923" s="214"/>
      <c r="L923" s="214"/>
      <c r="M923" s="215"/>
      <c r="N923" s="215"/>
      <c r="O923" s="216"/>
      <c r="P923" s="216"/>
      <c r="Q923" s="216"/>
      <c r="R923" s="216"/>
      <c r="S923" s="216"/>
      <c r="T923" s="216"/>
      <c r="U923" s="216"/>
    </row>
    <row r="924" spans="1:21" ht="12.75" x14ac:dyDescent="0.2">
      <c r="A924" s="214"/>
      <c r="B924" s="214"/>
      <c r="C924" s="214"/>
      <c r="D924" s="214"/>
      <c r="E924" s="214"/>
      <c r="F924" s="214"/>
      <c r="G924" s="214"/>
      <c r="H924" s="214"/>
      <c r="I924" s="214"/>
      <c r="J924" s="214"/>
      <c r="K924" s="214"/>
      <c r="L924" s="214"/>
      <c r="M924" s="215"/>
      <c r="N924" s="215"/>
      <c r="O924" s="216"/>
      <c r="P924" s="216"/>
      <c r="Q924" s="216"/>
      <c r="R924" s="216"/>
      <c r="S924" s="216"/>
      <c r="T924" s="216"/>
      <c r="U924" s="216"/>
    </row>
    <row r="925" spans="1:21" ht="12.75" x14ac:dyDescent="0.2">
      <c r="A925" s="214"/>
      <c r="B925" s="214"/>
      <c r="C925" s="214"/>
      <c r="D925" s="214"/>
      <c r="E925" s="214"/>
      <c r="F925" s="214"/>
      <c r="G925" s="214"/>
      <c r="H925" s="214"/>
      <c r="I925" s="214"/>
      <c r="J925" s="214"/>
      <c r="K925" s="214"/>
      <c r="L925" s="214"/>
      <c r="M925" s="215"/>
      <c r="N925" s="215"/>
      <c r="O925" s="216"/>
      <c r="P925" s="216"/>
      <c r="Q925" s="216"/>
      <c r="R925" s="216"/>
      <c r="S925" s="216"/>
      <c r="T925" s="216"/>
      <c r="U925" s="216"/>
    </row>
    <row r="926" spans="1:21" ht="12.75" x14ac:dyDescent="0.2">
      <c r="A926" s="214"/>
      <c r="B926" s="214"/>
      <c r="C926" s="214"/>
      <c r="D926" s="214"/>
      <c r="E926" s="214"/>
      <c r="F926" s="214"/>
      <c r="G926" s="214"/>
      <c r="H926" s="214"/>
      <c r="I926" s="214"/>
      <c r="J926" s="214"/>
      <c r="K926" s="214"/>
      <c r="L926" s="214"/>
      <c r="M926" s="215"/>
      <c r="N926" s="215"/>
      <c r="O926" s="216"/>
      <c r="P926" s="216"/>
      <c r="Q926" s="216"/>
      <c r="R926" s="216"/>
      <c r="S926" s="216"/>
      <c r="T926" s="216"/>
      <c r="U926" s="216"/>
    </row>
    <row r="927" spans="1:21" ht="12.75" x14ac:dyDescent="0.2">
      <c r="A927" s="214"/>
      <c r="B927" s="214"/>
      <c r="C927" s="214"/>
      <c r="D927" s="214"/>
      <c r="E927" s="214"/>
      <c r="F927" s="214"/>
      <c r="G927" s="214"/>
      <c r="H927" s="214"/>
      <c r="I927" s="214"/>
      <c r="J927" s="214"/>
      <c r="K927" s="214"/>
      <c r="L927" s="214"/>
      <c r="M927" s="215"/>
      <c r="N927" s="215"/>
      <c r="O927" s="216"/>
      <c r="P927" s="216"/>
      <c r="Q927" s="216"/>
      <c r="R927" s="216"/>
      <c r="S927" s="216"/>
      <c r="T927" s="216"/>
      <c r="U927" s="216"/>
    </row>
    <row r="928" spans="1:21" ht="12.75" x14ac:dyDescent="0.2">
      <c r="A928" s="214"/>
      <c r="B928" s="214"/>
      <c r="C928" s="214"/>
      <c r="D928" s="214"/>
      <c r="E928" s="214"/>
      <c r="F928" s="214"/>
      <c r="G928" s="214"/>
      <c r="H928" s="214"/>
      <c r="I928" s="214"/>
      <c r="J928" s="214"/>
      <c r="K928" s="214"/>
      <c r="L928" s="214"/>
      <c r="M928" s="215"/>
      <c r="N928" s="215"/>
      <c r="O928" s="216"/>
      <c r="P928" s="216"/>
      <c r="Q928" s="216"/>
      <c r="R928" s="216"/>
      <c r="S928" s="216"/>
      <c r="T928" s="216"/>
      <c r="U928" s="216"/>
    </row>
    <row r="929" spans="1:21" ht="12.75" x14ac:dyDescent="0.2">
      <c r="A929" s="214"/>
      <c r="B929" s="214"/>
      <c r="C929" s="214"/>
      <c r="D929" s="214"/>
      <c r="E929" s="214"/>
      <c r="F929" s="214"/>
      <c r="G929" s="214"/>
      <c r="H929" s="214"/>
      <c r="I929" s="214"/>
      <c r="J929" s="214"/>
      <c r="K929" s="214"/>
      <c r="L929" s="214"/>
      <c r="M929" s="215"/>
      <c r="N929" s="215"/>
      <c r="O929" s="216"/>
      <c r="P929" s="216"/>
      <c r="Q929" s="216"/>
      <c r="R929" s="216"/>
      <c r="S929" s="216"/>
      <c r="T929" s="216"/>
      <c r="U929" s="216"/>
    </row>
    <row r="930" spans="1:21" ht="12.75" x14ac:dyDescent="0.2">
      <c r="A930" s="214"/>
      <c r="B930" s="214"/>
      <c r="C930" s="214"/>
      <c r="D930" s="214"/>
      <c r="E930" s="214"/>
      <c r="F930" s="214"/>
      <c r="G930" s="214"/>
      <c r="H930" s="214"/>
      <c r="I930" s="214"/>
      <c r="J930" s="214"/>
      <c r="K930" s="214"/>
      <c r="L930" s="214"/>
      <c r="M930" s="215"/>
      <c r="N930" s="215"/>
      <c r="O930" s="216"/>
      <c r="P930" s="216"/>
      <c r="Q930" s="216"/>
      <c r="R930" s="216"/>
      <c r="S930" s="216"/>
      <c r="T930" s="216"/>
      <c r="U930" s="216"/>
    </row>
    <row r="931" spans="1:21" ht="12.75" x14ac:dyDescent="0.2">
      <c r="A931" s="214"/>
      <c r="B931" s="214"/>
      <c r="C931" s="214"/>
      <c r="D931" s="214"/>
      <c r="E931" s="214"/>
      <c r="F931" s="214"/>
      <c r="G931" s="214"/>
      <c r="H931" s="214"/>
      <c r="I931" s="214"/>
      <c r="J931" s="214"/>
      <c r="K931" s="214"/>
      <c r="L931" s="214"/>
      <c r="M931" s="215"/>
      <c r="N931" s="215"/>
      <c r="O931" s="216"/>
      <c r="P931" s="216"/>
      <c r="Q931" s="216"/>
      <c r="R931" s="216"/>
      <c r="S931" s="216"/>
      <c r="T931" s="216"/>
      <c r="U931" s="216"/>
    </row>
    <row r="932" spans="1:21" ht="12.75" x14ac:dyDescent="0.2">
      <c r="A932" s="214"/>
      <c r="B932" s="214"/>
      <c r="C932" s="214"/>
      <c r="D932" s="214"/>
      <c r="E932" s="214"/>
      <c r="F932" s="214"/>
      <c r="G932" s="214"/>
      <c r="H932" s="214"/>
      <c r="I932" s="214"/>
      <c r="J932" s="214"/>
      <c r="K932" s="214"/>
      <c r="L932" s="214"/>
      <c r="M932" s="215"/>
      <c r="N932" s="215"/>
      <c r="O932" s="216"/>
      <c r="P932" s="216"/>
      <c r="Q932" s="216"/>
      <c r="R932" s="216"/>
      <c r="S932" s="216"/>
      <c r="T932" s="216"/>
      <c r="U932" s="216"/>
    </row>
    <row r="933" spans="1:21" ht="12.75" x14ac:dyDescent="0.2">
      <c r="A933" s="214"/>
      <c r="B933" s="214"/>
      <c r="C933" s="214"/>
      <c r="D933" s="214"/>
      <c r="E933" s="214"/>
      <c r="F933" s="214"/>
      <c r="G933" s="214"/>
      <c r="H933" s="214"/>
      <c r="I933" s="214"/>
      <c r="J933" s="214"/>
      <c r="K933" s="214"/>
      <c r="L933" s="214"/>
      <c r="M933" s="215"/>
      <c r="N933" s="215"/>
      <c r="O933" s="216"/>
      <c r="P933" s="216"/>
      <c r="Q933" s="216"/>
      <c r="R933" s="216"/>
      <c r="S933" s="216"/>
      <c r="T933" s="216"/>
      <c r="U933" s="216"/>
    </row>
    <row r="934" spans="1:21" ht="12.75" x14ac:dyDescent="0.2">
      <c r="A934" s="214"/>
      <c r="B934" s="214"/>
      <c r="C934" s="214"/>
      <c r="D934" s="214"/>
      <c r="E934" s="214"/>
      <c r="F934" s="214"/>
      <c r="G934" s="214"/>
      <c r="H934" s="214"/>
      <c r="I934" s="214"/>
      <c r="J934" s="214"/>
      <c r="K934" s="214"/>
      <c r="L934" s="214"/>
      <c r="M934" s="215"/>
      <c r="N934" s="215"/>
      <c r="O934" s="216"/>
      <c r="P934" s="216"/>
      <c r="Q934" s="216"/>
      <c r="R934" s="216"/>
      <c r="S934" s="216"/>
      <c r="T934" s="216"/>
      <c r="U934" s="216"/>
    </row>
    <row r="935" spans="1:21" ht="12.75" x14ac:dyDescent="0.2">
      <c r="A935" s="214"/>
      <c r="B935" s="214"/>
      <c r="C935" s="214"/>
      <c r="D935" s="214"/>
      <c r="E935" s="214"/>
      <c r="F935" s="214"/>
      <c r="G935" s="214"/>
      <c r="H935" s="214"/>
      <c r="I935" s="214"/>
      <c r="J935" s="214"/>
      <c r="K935" s="214"/>
      <c r="L935" s="214"/>
      <c r="M935" s="215"/>
      <c r="N935" s="215"/>
      <c r="O935" s="216"/>
      <c r="P935" s="216"/>
      <c r="Q935" s="216"/>
      <c r="R935" s="216"/>
      <c r="S935" s="216"/>
      <c r="T935" s="216"/>
      <c r="U935" s="216"/>
    </row>
    <row r="936" spans="1:21" ht="12.75" x14ac:dyDescent="0.2">
      <c r="A936" s="214"/>
      <c r="B936" s="214"/>
      <c r="C936" s="214"/>
      <c r="D936" s="214"/>
      <c r="E936" s="214"/>
      <c r="F936" s="214"/>
      <c r="G936" s="214"/>
      <c r="H936" s="214"/>
      <c r="I936" s="214"/>
      <c r="J936" s="214"/>
      <c r="K936" s="214"/>
      <c r="L936" s="214"/>
      <c r="M936" s="215"/>
      <c r="N936" s="215"/>
      <c r="O936" s="216"/>
      <c r="P936" s="216"/>
      <c r="Q936" s="216"/>
      <c r="R936" s="216"/>
      <c r="S936" s="216"/>
      <c r="T936" s="216"/>
      <c r="U936" s="216"/>
    </row>
    <row r="937" spans="1:21" ht="12.75" x14ac:dyDescent="0.2">
      <c r="A937" s="214"/>
      <c r="B937" s="214"/>
      <c r="C937" s="214"/>
      <c r="D937" s="214"/>
      <c r="E937" s="214"/>
      <c r="F937" s="214"/>
      <c r="G937" s="214"/>
      <c r="H937" s="214"/>
      <c r="I937" s="214"/>
      <c r="J937" s="214"/>
      <c r="K937" s="214"/>
      <c r="L937" s="214"/>
      <c r="M937" s="215"/>
      <c r="N937" s="215"/>
      <c r="O937" s="216"/>
      <c r="P937" s="216"/>
      <c r="Q937" s="216"/>
      <c r="R937" s="216"/>
      <c r="S937" s="216"/>
      <c r="T937" s="216"/>
      <c r="U937" s="216"/>
    </row>
    <row r="938" spans="1:21" ht="12.75" x14ac:dyDescent="0.2">
      <c r="A938" s="214"/>
      <c r="B938" s="214"/>
      <c r="C938" s="214"/>
      <c r="D938" s="214"/>
      <c r="E938" s="214"/>
      <c r="F938" s="214"/>
      <c r="G938" s="214"/>
      <c r="H938" s="214"/>
      <c r="I938" s="214"/>
      <c r="J938" s="214"/>
      <c r="K938" s="214"/>
      <c r="L938" s="214"/>
      <c r="M938" s="215"/>
      <c r="N938" s="215"/>
      <c r="O938" s="216"/>
      <c r="P938" s="216"/>
      <c r="Q938" s="216"/>
      <c r="R938" s="216"/>
      <c r="S938" s="216"/>
      <c r="T938" s="216"/>
      <c r="U938" s="216"/>
    </row>
    <row r="939" spans="1:21" ht="12.75" x14ac:dyDescent="0.2">
      <c r="A939" s="214"/>
      <c r="B939" s="214"/>
      <c r="C939" s="214"/>
      <c r="D939" s="214"/>
      <c r="E939" s="214"/>
      <c r="F939" s="214"/>
      <c r="G939" s="214"/>
      <c r="H939" s="214"/>
      <c r="I939" s="214"/>
      <c r="J939" s="214"/>
      <c r="K939" s="214"/>
      <c r="L939" s="214"/>
      <c r="M939" s="215"/>
      <c r="N939" s="215"/>
      <c r="O939" s="216"/>
      <c r="P939" s="216"/>
      <c r="Q939" s="216"/>
      <c r="R939" s="216"/>
      <c r="S939" s="216"/>
      <c r="T939" s="216"/>
      <c r="U939" s="216"/>
    </row>
    <row r="940" spans="1:21" ht="12.75" x14ac:dyDescent="0.2">
      <c r="A940" s="214"/>
      <c r="B940" s="214"/>
      <c r="C940" s="214"/>
      <c r="D940" s="214"/>
      <c r="E940" s="214"/>
      <c r="F940" s="214"/>
      <c r="G940" s="214"/>
      <c r="H940" s="214"/>
      <c r="I940" s="214"/>
      <c r="J940" s="214"/>
      <c r="K940" s="214"/>
      <c r="L940" s="214"/>
      <c r="M940" s="215"/>
      <c r="N940" s="215"/>
      <c r="O940" s="216"/>
      <c r="P940" s="216"/>
      <c r="Q940" s="216"/>
      <c r="R940" s="216"/>
      <c r="S940" s="216"/>
      <c r="T940" s="216"/>
      <c r="U940" s="216"/>
    </row>
    <row r="941" spans="1:21" ht="12.75" x14ac:dyDescent="0.2">
      <c r="A941" s="214"/>
      <c r="B941" s="214"/>
      <c r="C941" s="214"/>
      <c r="D941" s="214"/>
      <c r="E941" s="214"/>
      <c r="F941" s="214"/>
      <c r="G941" s="214"/>
      <c r="H941" s="214"/>
      <c r="I941" s="214"/>
      <c r="J941" s="214"/>
      <c r="K941" s="214"/>
      <c r="L941" s="214"/>
      <c r="M941" s="215"/>
      <c r="N941" s="215"/>
      <c r="O941" s="216"/>
      <c r="P941" s="216"/>
      <c r="Q941" s="216"/>
      <c r="R941" s="216"/>
      <c r="S941" s="216"/>
      <c r="T941" s="216"/>
      <c r="U941" s="216"/>
    </row>
    <row r="942" spans="1:21" ht="12.75" x14ac:dyDescent="0.2">
      <c r="A942" s="214"/>
      <c r="B942" s="214"/>
      <c r="C942" s="214"/>
      <c r="D942" s="214"/>
      <c r="E942" s="214"/>
      <c r="F942" s="214"/>
      <c r="G942" s="214"/>
      <c r="H942" s="214"/>
      <c r="I942" s="214"/>
      <c r="J942" s="214"/>
      <c r="K942" s="214"/>
      <c r="L942" s="214"/>
      <c r="M942" s="215"/>
      <c r="N942" s="215"/>
      <c r="O942" s="216"/>
      <c r="P942" s="216"/>
      <c r="Q942" s="216"/>
      <c r="R942" s="216"/>
      <c r="S942" s="216"/>
      <c r="T942" s="216"/>
      <c r="U942" s="216"/>
    </row>
    <row r="943" spans="1:21" ht="12.75" x14ac:dyDescent="0.2">
      <c r="A943" s="214"/>
      <c r="B943" s="214"/>
      <c r="C943" s="214"/>
      <c r="D943" s="214"/>
      <c r="E943" s="214"/>
      <c r="F943" s="214"/>
      <c r="G943" s="214"/>
      <c r="H943" s="214"/>
      <c r="I943" s="214"/>
      <c r="J943" s="214"/>
      <c r="K943" s="214"/>
      <c r="L943" s="214"/>
      <c r="M943" s="215"/>
      <c r="N943" s="215"/>
      <c r="O943" s="216"/>
      <c r="P943" s="216"/>
      <c r="Q943" s="216"/>
      <c r="R943" s="216"/>
      <c r="S943" s="216"/>
      <c r="T943" s="216"/>
      <c r="U943" s="216"/>
    </row>
    <row r="944" spans="1:21" ht="12.75" x14ac:dyDescent="0.2">
      <c r="A944" s="214"/>
      <c r="B944" s="214"/>
      <c r="C944" s="214"/>
      <c r="D944" s="214"/>
      <c r="E944" s="214"/>
      <c r="F944" s="214"/>
      <c r="G944" s="214"/>
      <c r="H944" s="214"/>
      <c r="I944" s="214"/>
      <c r="J944" s="214"/>
      <c r="K944" s="214"/>
      <c r="L944" s="214"/>
      <c r="M944" s="215"/>
      <c r="N944" s="215"/>
      <c r="O944" s="216"/>
      <c r="P944" s="216"/>
      <c r="Q944" s="216"/>
      <c r="R944" s="216"/>
      <c r="S944" s="216"/>
      <c r="T944" s="216"/>
      <c r="U944" s="216"/>
    </row>
    <row r="945" spans="1:21" ht="12.75" x14ac:dyDescent="0.2">
      <c r="A945" s="214"/>
      <c r="B945" s="214"/>
      <c r="C945" s="214"/>
      <c r="D945" s="214"/>
      <c r="E945" s="214"/>
      <c r="F945" s="214"/>
      <c r="G945" s="214"/>
      <c r="H945" s="214"/>
      <c r="I945" s="214"/>
      <c r="J945" s="214"/>
      <c r="K945" s="214"/>
      <c r="L945" s="214"/>
      <c r="M945" s="215"/>
      <c r="N945" s="215"/>
      <c r="O945" s="216"/>
      <c r="P945" s="216"/>
      <c r="Q945" s="216"/>
      <c r="R945" s="216"/>
      <c r="S945" s="216"/>
      <c r="T945" s="216"/>
      <c r="U945" s="216"/>
    </row>
    <row r="946" spans="1:21" ht="12.75" x14ac:dyDescent="0.2">
      <c r="A946" s="214"/>
      <c r="B946" s="214"/>
      <c r="C946" s="214"/>
      <c r="D946" s="214"/>
      <c r="E946" s="214"/>
      <c r="F946" s="214"/>
      <c r="G946" s="214"/>
      <c r="H946" s="214"/>
      <c r="I946" s="214"/>
      <c r="J946" s="214"/>
      <c r="K946" s="214"/>
      <c r="L946" s="214"/>
      <c r="M946" s="215"/>
      <c r="N946" s="215"/>
      <c r="O946" s="216"/>
      <c r="P946" s="216"/>
      <c r="Q946" s="216"/>
      <c r="R946" s="216"/>
      <c r="S946" s="216"/>
      <c r="T946" s="216"/>
      <c r="U946" s="216"/>
    </row>
    <row r="947" spans="1:21" ht="12.75" x14ac:dyDescent="0.2">
      <c r="A947" s="214"/>
      <c r="B947" s="214"/>
      <c r="C947" s="214"/>
      <c r="D947" s="214"/>
      <c r="E947" s="214"/>
      <c r="F947" s="214"/>
      <c r="G947" s="214"/>
      <c r="H947" s="214"/>
      <c r="I947" s="214"/>
      <c r="J947" s="214"/>
      <c r="K947" s="214"/>
      <c r="L947" s="214"/>
      <c r="M947" s="215"/>
      <c r="N947" s="215"/>
      <c r="O947" s="216"/>
      <c r="P947" s="216"/>
      <c r="Q947" s="216"/>
      <c r="R947" s="216"/>
      <c r="S947" s="216"/>
      <c r="T947" s="216"/>
      <c r="U947" s="216"/>
    </row>
    <row r="948" spans="1:21" ht="12.75" x14ac:dyDescent="0.2">
      <c r="A948" s="214"/>
      <c r="B948" s="214"/>
      <c r="C948" s="214"/>
      <c r="D948" s="214"/>
      <c r="E948" s="214"/>
      <c r="F948" s="214"/>
      <c r="G948" s="214"/>
      <c r="H948" s="214"/>
      <c r="I948" s="214"/>
      <c r="J948" s="214"/>
      <c r="K948" s="214"/>
      <c r="L948" s="214"/>
      <c r="M948" s="215"/>
      <c r="N948" s="215"/>
      <c r="O948" s="216"/>
      <c r="P948" s="216"/>
      <c r="Q948" s="216"/>
      <c r="R948" s="216"/>
      <c r="S948" s="216"/>
      <c r="T948" s="216"/>
      <c r="U948" s="216"/>
    </row>
    <row r="949" spans="1:21" ht="12.75" x14ac:dyDescent="0.2">
      <c r="A949" s="214"/>
      <c r="B949" s="214"/>
      <c r="C949" s="214"/>
      <c r="D949" s="214"/>
      <c r="E949" s="214"/>
      <c r="F949" s="214"/>
      <c r="G949" s="214"/>
      <c r="H949" s="214"/>
      <c r="I949" s="214"/>
      <c r="J949" s="214"/>
      <c r="K949" s="214"/>
      <c r="L949" s="214"/>
      <c r="M949" s="215"/>
      <c r="N949" s="215"/>
      <c r="O949" s="216"/>
      <c r="P949" s="216"/>
      <c r="Q949" s="216"/>
      <c r="R949" s="216"/>
      <c r="S949" s="216"/>
      <c r="T949" s="216"/>
      <c r="U949" s="216"/>
    </row>
    <row r="950" spans="1:21" ht="12.75" x14ac:dyDescent="0.2">
      <c r="A950" s="214"/>
      <c r="B950" s="214"/>
      <c r="C950" s="214"/>
      <c r="D950" s="214"/>
      <c r="E950" s="214"/>
      <c r="F950" s="214"/>
      <c r="G950" s="214"/>
      <c r="H950" s="214"/>
      <c r="I950" s="214"/>
      <c r="J950" s="214"/>
      <c r="K950" s="214"/>
      <c r="L950" s="214"/>
      <c r="M950" s="215"/>
      <c r="N950" s="215"/>
      <c r="O950" s="216"/>
      <c r="P950" s="216"/>
      <c r="Q950" s="216"/>
      <c r="R950" s="216"/>
      <c r="S950" s="216"/>
      <c r="T950" s="216"/>
      <c r="U950" s="216"/>
    </row>
    <row r="951" spans="1:21" ht="12.75" x14ac:dyDescent="0.2">
      <c r="A951" s="214"/>
      <c r="B951" s="214"/>
      <c r="C951" s="214"/>
      <c r="D951" s="214"/>
      <c r="E951" s="214"/>
      <c r="F951" s="214"/>
      <c r="G951" s="214"/>
      <c r="H951" s="214"/>
      <c r="I951" s="214"/>
      <c r="J951" s="214"/>
      <c r="K951" s="214"/>
      <c r="L951" s="214"/>
      <c r="M951" s="215"/>
      <c r="N951" s="215"/>
      <c r="O951" s="216"/>
      <c r="P951" s="216"/>
      <c r="Q951" s="216"/>
      <c r="R951" s="216"/>
      <c r="S951" s="216"/>
      <c r="T951" s="216"/>
      <c r="U951" s="216"/>
    </row>
    <row r="952" spans="1:21" ht="12.75" x14ac:dyDescent="0.2">
      <c r="A952" s="214"/>
      <c r="B952" s="214"/>
      <c r="C952" s="214"/>
      <c r="D952" s="214"/>
      <c r="E952" s="214"/>
      <c r="F952" s="214"/>
      <c r="G952" s="214"/>
      <c r="H952" s="214"/>
      <c r="I952" s="214"/>
      <c r="J952" s="214"/>
      <c r="K952" s="214"/>
      <c r="L952" s="214"/>
      <c r="M952" s="215"/>
      <c r="N952" s="215"/>
      <c r="O952" s="216"/>
      <c r="P952" s="216"/>
      <c r="Q952" s="216"/>
      <c r="R952" s="216"/>
      <c r="S952" s="216"/>
      <c r="T952" s="216"/>
      <c r="U952" s="216"/>
    </row>
    <row r="953" spans="1:21" ht="12.75" x14ac:dyDescent="0.2">
      <c r="A953" s="214"/>
      <c r="B953" s="214"/>
      <c r="C953" s="214"/>
      <c r="D953" s="214"/>
      <c r="E953" s="214"/>
      <c r="F953" s="214"/>
      <c r="G953" s="214"/>
      <c r="H953" s="214"/>
      <c r="I953" s="214"/>
      <c r="J953" s="214"/>
      <c r="K953" s="214"/>
      <c r="L953" s="214"/>
      <c r="M953" s="215"/>
      <c r="N953" s="215"/>
      <c r="O953" s="216"/>
      <c r="P953" s="216"/>
      <c r="Q953" s="216"/>
      <c r="R953" s="216"/>
      <c r="S953" s="216"/>
      <c r="T953" s="216"/>
      <c r="U953" s="216"/>
    </row>
    <row r="954" spans="1:21" ht="12.75" x14ac:dyDescent="0.2">
      <c r="A954" s="214"/>
      <c r="B954" s="214"/>
      <c r="C954" s="214"/>
      <c r="D954" s="214"/>
      <c r="E954" s="214"/>
      <c r="F954" s="214"/>
      <c r="G954" s="214"/>
      <c r="H954" s="214"/>
      <c r="I954" s="214"/>
      <c r="J954" s="214"/>
      <c r="K954" s="214"/>
      <c r="L954" s="214"/>
      <c r="M954" s="215"/>
      <c r="N954" s="215"/>
      <c r="O954" s="216"/>
      <c r="P954" s="216"/>
      <c r="Q954" s="216"/>
      <c r="R954" s="216"/>
      <c r="S954" s="216"/>
      <c r="T954" s="216"/>
      <c r="U954" s="216"/>
    </row>
    <row r="955" spans="1:21" ht="12.75" x14ac:dyDescent="0.2">
      <c r="A955" s="214"/>
      <c r="B955" s="214"/>
      <c r="C955" s="214"/>
      <c r="D955" s="214"/>
      <c r="E955" s="214"/>
      <c r="F955" s="214"/>
      <c r="G955" s="214"/>
      <c r="H955" s="214"/>
      <c r="I955" s="214"/>
      <c r="J955" s="214"/>
      <c r="K955" s="214"/>
      <c r="L955" s="214"/>
      <c r="M955" s="215"/>
      <c r="N955" s="215"/>
      <c r="O955" s="216"/>
      <c r="P955" s="216"/>
      <c r="Q955" s="216"/>
      <c r="R955" s="216"/>
      <c r="S955" s="216"/>
      <c r="T955" s="216"/>
      <c r="U955" s="216"/>
    </row>
    <row r="956" spans="1:21" ht="12.75" x14ac:dyDescent="0.2">
      <c r="A956" s="214"/>
      <c r="B956" s="214"/>
      <c r="C956" s="214"/>
      <c r="D956" s="214"/>
      <c r="E956" s="214"/>
      <c r="F956" s="214"/>
      <c r="G956" s="214"/>
      <c r="H956" s="214"/>
      <c r="I956" s="214"/>
      <c r="J956" s="214"/>
      <c r="K956" s="214"/>
      <c r="L956" s="214"/>
      <c r="M956" s="215"/>
      <c r="N956" s="215"/>
      <c r="O956" s="216"/>
      <c r="P956" s="216"/>
      <c r="Q956" s="216"/>
      <c r="R956" s="216"/>
      <c r="S956" s="216"/>
      <c r="T956" s="216"/>
      <c r="U956" s="216"/>
    </row>
    <row r="957" spans="1:21" ht="12.75" x14ac:dyDescent="0.2">
      <c r="A957" s="214"/>
      <c r="B957" s="214"/>
      <c r="C957" s="214"/>
      <c r="D957" s="214"/>
      <c r="E957" s="214"/>
      <c r="F957" s="214"/>
      <c r="G957" s="214"/>
      <c r="H957" s="214"/>
      <c r="I957" s="214"/>
      <c r="J957" s="214"/>
      <c r="K957" s="214"/>
      <c r="L957" s="214"/>
      <c r="M957" s="215"/>
      <c r="N957" s="215"/>
      <c r="O957" s="216"/>
      <c r="P957" s="216"/>
      <c r="Q957" s="216"/>
      <c r="R957" s="216"/>
      <c r="S957" s="216"/>
      <c r="T957" s="216"/>
      <c r="U957" s="216"/>
    </row>
    <row r="958" spans="1:21" ht="12.75" x14ac:dyDescent="0.2">
      <c r="A958" s="214"/>
      <c r="B958" s="214"/>
      <c r="C958" s="214"/>
      <c r="D958" s="214"/>
      <c r="E958" s="214"/>
      <c r="F958" s="214"/>
      <c r="G958" s="214"/>
      <c r="H958" s="214"/>
      <c r="I958" s="214"/>
      <c r="J958" s="214"/>
      <c r="K958" s="214"/>
      <c r="L958" s="214"/>
      <c r="M958" s="215"/>
      <c r="N958" s="215"/>
      <c r="O958" s="216"/>
      <c r="P958" s="216"/>
      <c r="Q958" s="216"/>
      <c r="R958" s="216"/>
      <c r="S958" s="216"/>
      <c r="T958" s="216"/>
      <c r="U958" s="216"/>
    </row>
    <row r="959" spans="1:21" ht="12.75" x14ac:dyDescent="0.2">
      <c r="A959" s="214"/>
      <c r="B959" s="214"/>
      <c r="C959" s="214"/>
      <c r="D959" s="214"/>
      <c r="E959" s="214"/>
      <c r="F959" s="214"/>
      <c r="G959" s="214"/>
      <c r="H959" s="214"/>
      <c r="I959" s="214"/>
      <c r="J959" s="214"/>
      <c r="K959" s="214"/>
      <c r="L959" s="214"/>
      <c r="M959" s="215"/>
      <c r="N959" s="215"/>
      <c r="O959" s="216"/>
      <c r="P959" s="216"/>
      <c r="Q959" s="216"/>
      <c r="R959" s="216"/>
      <c r="S959" s="216"/>
      <c r="T959" s="216"/>
      <c r="U959" s="216"/>
    </row>
    <row r="960" spans="1:21" ht="12.75" x14ac:dyDescent="0.2">
      <c r="A960" s="214"/>
      <c r="B960" s="214"/>
      <c r="C960" s="214"/>
      <c r="D960" s="214"/>
      <c r="E960" s="214"/>
      <c r="F960" s="214"/>
      <c r="G960" s="214"/>
      <c r="H960" s="214"/>
      <c r="I960" s="214"/>
      <c r="J960" s="214"/>
      <c r="K960" s="214"/>
      <c r="L960" s="214"/>
      <c r="M960" s="215"/>
      <c r="N960" s="215"/>
      <c r="O960" s="216"/>
      <c r="P960" s="216"/>
      <c r="Q960" s="216"/>
      <c r="R960" s="216"/>
      <c r="S960" s="216"/>
      <c r="T960" s="216"/>
      <c r="U960" s="216"/>
    </row>
    <row r="961" spans="1:21" ht="12.75" x14ac:dyDescent="0.2">
      <c r="A961" s="214"/>
      <c r="B961" s="214"/>
      <c r="C961" s="214"/>
      <c r="D961" s="214"/>
      <c r="E961" s="214"/>
      <c r="F961" s="214"/>
      <c r="G961" s="214"/>
      <c r="H961" s="214"/>
      <c r="I961" s="214"/>
      <c r="J961" s="214"/>
      <c r="K961" s="214"/>
      <c r="L961" s="214"/>
      <c r="M961" s="215"/>
      <c r="N961" s="215"/>
      <c r="O961" s="216"/>
      <c r="P961" s="216"/>
      <c r="Q961" s="216"/>
      <c r="R961" s="216"/>
      <c r="S961" s="216"/>
      <c r="T961" s="216"/>
      <c r="U961" s="216"/>
    </row>
    <row r="962" spans="1:21" ht="12.75" x14ac:dyDescent="0.2">
      <c r="A962" s="214"/>
      <c r="B962" s="214"/>
      <c r="C962" s="214"/>
      <c r="D962" s="214"/>
      <c r="E962" s="214"/>
      <c r="F962" s="214"/>
      <c r="G962" s="214"/>
      <c r="H962" s="214"/>
      <c r="I962" s="214"/>
      <c r="J962" s="214"/>
      <c r="K962" s="214"/>
      <c r="L962" s="214"/>
      <c r="M962" s="215"/>
      <c r="N962" s="215"/>
      <c r="O962" s="216"/>
      <c r="P962" s="216"/>
      <c r="Q962" s="216"/>
      <c r="R962" s="216"/>
      <c r="S962" s="216"/>
      <c r="T962" s="216"/>
      <c r="U962" s="216"/>
    </row>
    <row r="963" spans="1:21" ht="12.75" x14ac:dyDescent="0.2">
      <c r="A963" s="214"/>
      <c r="B963" s="214"/>
      <c r="C963" s="214"/>
      <c r="D963" s="214"/>
      <c r="E963" s="214"/>
      <c r="F963" s="214"/>
      <c r="G963" s="214"/>
      <c r="H963" s="214"/>
      <c r="I963" s="214"/>
      <c r="J963" s="214"/>
      <c r="K963" s="214"/>
      <c r="L963" s="214"/>
      <c r="M963" s="215"/>
      <c r="N963" s="215"/>
      <c r="O963" s="216"/>
      <c r="P963" s="216"/>
      <c r="Q963" s="216"/>
      <c r="R963" s="216"/>
      <c r="S963" s="216"/>
      <c r="T963" s="216"/>
      <c r="U963" s="216"/>
    </row>
    <row r="964" spans="1:21" ht="12.75" x14ac:dyDescent="0.2">
      <c r="A964" s="214"/>
      <c r="B964" s="214"/>
      <c r="C964" s="214"/>
      <c r="D964" s="214"/>
      <c r="E964" s="214"/>
      <c r="F964" s="214"/>
      <c r="G964" s="214"/>
      <c r="H964" s="214"/>
      <c r="I964" s="214"/>
      <c r="J964" s="214"/>
      <c r="K964" s="214"/>
      <c r="L964" s="214"/>
      <c r="M964" s="215"/>
      <c r="N964" s="215"/>
      <c r="O964" s="216"/>
      <c r="P964" s="216"/>
      <c r="Q964" s="216"/>
      <c r="R964" s="216"/>
      <c r="S964" s="216"/>
      <c r="T964" s="216"/>
      <c r="U964" s="216"/>
    </row>
    <row r="965" spans="1:21" ht="12.75" x14ac:dyDescent="0.2">
      <c r="A965" s="214"/>
      <c r="B965" s="214"/>
      <c r="C965" s="214"/>
      <c r="D965" s="214"/>
      <c r="E965" s="214"/>
      <c r="F965" s="214"/>
      <c r="G965" s="214"/>
      <c r="H965" s="214"/>
      <c r="I965" s="214"/>
      <c r="J965" s="214"/>
      <c r="K965" s="214"/>
      <c r="L965" s="214"/>
      <c r="M965" s="215"/>
      <c r="N965" s="215"/>
      <c r="O965" s="216"/>
      <c r="P965" s="216"/>
      <c r="Q965" s="216"/>
      <c r="R965" s="216"/>
      <c r="S965" s="216"/>
      <c r="T965" s="216"/>
      <c r="U965" s="216"/>
    </row>
    <row r="966" spans="1:21" ht="12.75" x14ac:dyDescent="0.2">
      <c r="A966" s="214"/>
      <c r="B966" s="214"/>
      <c r="C966" s="214"/>
      <c r="D966" s="214"/>
      <c r="E966" s="214"/>
      <c r="F966" s="214"/>
      <c r="G966" s="214"/>
      <c r="H966" s="214"/>
      <c r="I966" s="214"/>
      <c r="J966" s="214"/>
      <c r="K966" s="214"/>
      <c r="L966" s="214"/>
      <c r="M966" s="215"/>
      <c r="N966" s="215"/>
      <c r="O966" s="216"/>
      <c r="P966" s="216"/>
      <c r="Q966" s="216"/>
      <c r="R966" s="216"/>
      <c r="S966" s="216"/>
      <c r="T966" s="216"/>
      <c r="U966" s="216"/>
    </row>
    <row r="967" spans="1:21" ht="12.75" x14ac:dyDescent="0.2">
      <c r="A967" s="214"/>
      <c r="B967" s="214"/>
      <c r="C967" s="214"/>
      <c r="D967" s="214"/>
      <c r="E967" s="214"/>
      <c r="F967" s="214"/>
      <c r="G967" s="214"/>
      <c r="H967" s="214"/>
      <c r="I967" s="214"/>
      <c r="J967" s="214"/>
      <c r="K967" s="214"/>
      <c r="L967" s="214"/>
      <c r="M967" s="215"/>
      <c r="N967" s="215"/>
      <c r="O967" s="216"/>
      <c r="P967" s="216"/>
      <c r="Q967" s="216"/>
      <c r="R967" s="216"/>
      <c r="S967" s="216"/>
      <c r="T967" s="216"/>
      <c r="U967" s="216"/>
    </row>
    <row r="968" spans="1:21" ht="12.75" x14ac:dyDescent="0.2">
      <c r="A968" s="214"/>
      <c r="B968" s="214"/>
      <c r="C968" s="214"/>
      <c r="D968" s="214"/>
      <c r="E968" s="214"/>
      <c r="F968" s="214"/>
      <c r="G968" s="214"/>
      <c r="H968" s="214"/>
      <c r="I968" s="214"/>
      <c r="J968" s="214"/>
      <c r="K968" s="214"/>
      <c r="L968" s="214"/>
      <c r="M968" s="215"/>
      <c r="N968" s="215"/>
      <c r="O968" s="216"/>
      <c r="P968" s="216"/>
      <c r="Q968" s="216"/>
      <c r="R968" s="216"/>
      <c r="S968" s="216"/>
      <c r="T968" s="216"/>
      <c r="U968" s="216"/>
    </row>
    <row r="969" spans="1:21" ht="12.75" x14ac:dyDescent="0.2">
      <c r="A969" s="214"/>
      <c r="B969" s="214"/>
      <c r="C969" s="214"/>
      <c r="D969" s="214"/>
      <c r="E969" s="214"/>
      <c r="F969" s="214"/>
      <c r="G969" s="214"/>
      <c r="H969" s="214"/>
      <c r="I969" s="214"/>
      <c r="J969" s="214"/>
      <c r="K969" s="214"/>
      <c r="L969" s="214"/>
      <c r="M969" s="215"/>
      <c r="N969" s="215"/>
      <c r="O969" s="216"/>
      <c r="P969" s="216"/>
      <c r="Q969" s="216"/>
      <c r="R969" s="216"/>
      <c r="S969" s="216"/>
      <c r="T969" s="216"/>
      <c r="U969" s="216"/>
    </row>
    <row r="970" spans="1:21" ht="12.75" x14ac:dyDescent="0.2">
      <c r="A970" s="214"/>
      <c r="B970" s="214"/>
      <c r="C970" s="214"/>
      <c r="D970" s="214"/>
      <c r="E970" s="214"/>
      <c r="F970" s="214"/>
      <c r="G970" s="214"/>
      <c r="H970" s="214"/>
      <c r="I970" s="214"/>
      <c r="J970" s="214"/>
      <c r="K970" s="214"/>
      <c r="L970" s="214"/>
      <c r="M970" s="215"/>
      <c r="N970" s="215"/>
      <c r="O970" s="216"/>
      <c r="P970" s="216"/>
      <c r="Q970" s="216"/>
      <c r="R970" s="216"/>
      <c r="S970" s="216"/>
      <c r="T970" s="216"/>
      <c r="U970" s="216"/>
    </row>
    <row r="971" spans="1:21" ht="12.75" x14ac:dyDescent="0.2">
      <c r="A971" s="214"/>
      <c r="B971" s="214"/>
      <c r="C971" s="214"/>
      <c r="D971" s="214"/>
      <c r="E971" s="214"/>
      <c r="F971" s="214"/>
      <c r="G971" s="214"/>
      <c r="H971" s="214"/>
      <c r="I971" s="214"/>
      <c r="J971" s="214"/>
      <c r="K971" s="214"/>
      <c r="L971" s="214"/>
      <c r="M971" s="215"/>
      <c r="N971" s="215"/>
      <c r="O971" s="216"/>
      <c r="P971" s="216"/>
      <c r="Q971" s="216"/>
      <c r="R971" s="216"/>
      <c r="S971" s="216"/>
      <c r="T971" s="216"/>
      <c r="U971" s="216"/>
    </row>
    <row r="972" spans="1:21" ht="12.75" x14ac:dyDescent="0.2">
      <c r="A972" s="214"/>
      <c r="B972" s="214"/>
      <c r="C972" s="214"/>
      <c r="D972" s="214"/>
      <c r="E972" s="214"/>
      <c r="F972" s="214"/>
      <c r="G972" s="214"/>
      <c r="H972" s="214"/>
      <c r="I972" s="214"/>
      <c r="J972" s="214"/>
      <c r="K972" s="214"/>
      <c r="L972" s="214"/>
      <c r="M972" s="215"/>
      <c r="N972" s="215"/>
      <c r="O972" s="216"/>
      <c r="P972" s="216"/>
      <c r="Q972" s="216"/>
      <c r="R972" s="216"/>
      <c r="S972" s="216"/>
      <c r="T972" s="216"/>
      <c r="U972" s="216"/>
    </row>
    <row r="973" spans="1:21" ht="12.75" x14ac:dyDescent="0.2">
      <c r="A973" s="214"/>
      <c r="B973" s="214"/>
      <c r="C973" s="214"/>
      <c r="D973" s="214"/>
      <c r="E973" s="214"/>
      <c r="F973" s="214"/>
      <c r="G973" s="214"/>
      <c r="H973" s="214"/>
      <c r="I973" s="214"/>
      <c r="J973" s="214"/>
      <c r="K973" s="214"/>
      <c r="L973" s="214"/>
      <c r="M973" s="215"/>
      <c r="N973" s="215"/>
      <c r="O973" s="216"/>
      <c r="P973" s="216"/>
      <c r="Q973" s="216"/>
      <c r="R973" s="216"/>
      <c r="S973" s="216"/>
      <c r="T973" s="216"/>
      <c r="U973" s="216"/>
    </row>
    <row r="974" spans="1:21" ht="12.75" x14ac:dyDescent="0.2">
      <c r="A974" s="214"/>
      <c r="B974" s="214"/>
      <c r="C974" s="214"/>
      <c r="D974" s="214"/>
      <c r="E974" s="214"/>
      <c r="F974" s="214"/>
      <c r="G974" s="214"/>
      <c r="H974" s="214"/>
      <c r="I974" s="214"/>
      <c r="J974" s="214"/>
      <c r="K974" s="214"/>
      <c r="L974" s="214"/>
      <c r="M974" s="215"/>
      <c r="N974" s="215"/>
      <c r="O974" s="216"/>
      <c r="P974" s="216"/>
      <c r="Q974" s="216"/>
      <c r="R974" s="216"/>
      <c r="S974" s="216"/>
      <c r="T974" s="216"/>
      <c r="U974" s="216"/>
    </row>
    <row r="975" spans="1:21" ht="12.75" x14ac:dyDescent="0.2">
      <c r="A975" s="214"/>
      <c r="B975" s="214"/>
      <c r="C975" s="214"/>
      <c r="D975" s="214"/>
      <c r="E975" s="214"/>
      <c r="F975" s="214"/>
      <c r="G975" s="214"/>
      <c r="H975" s="214"/>
      <c r="I975" s="214"/>
      <c r="J975" s="214"/>
      <c r="K975" s="214"/>
      <c r="L975" s="214"/>
      <c r="M975" s="215"/>
      <c r="N975" s="215"/>
      <c r="O975" s="216"/>
      <c r="P975" s="216"/>
      <c r="Q975" s="216"/>
      <c r="R975" s="216"/>
      <c r="S975" s="216"/>
      <c r="T975" s="216"/>
      <c r="U975" s="216"/>
    </row>
    <row r="976" spans="1:21" ht="12.75" x14ac:dyDescent="0.2">
      <c r="A976" s="214"/>
      <c r="B976" s="214"/>
      <c r="C976" s="214"/>
      <c r="D976" s="214"/>
      <c r="E976" s="214"/>
      <c r="F976" s="214"/>
      <c r="G976" s="214"/>
      <c r="H976" s="214"/>
      <c r="I976" s="214"/>
      <c r="J976" s="214"/>
      <c r="K976" s="214"/>
      <c r="L976" s="214"/>
      <c r="M976" s="215"/>
      <c r="N976" s="215"/>
      <c r="O976" s="216"/>
      <c r="P976" s="216"/>
      <c r="Q976" s="216"/>
      <c r="R976" s="216"/>
      <c r="S976" s="216"/>
      <c r="T976" s="216"/>
      <c r="U976" s="216"/>
    </row>
    <row r="977" spans="1:21" ht="12.75" x14ac:dyDescent="0.2">
      <c r="A977" s="214"/>
      <c r="B977" s="214"/>
      <c r="C977" s="214"/>
      <c r="D977" s="214"/>
      <c r="E977" s="214"/>
      <c r="F977" s="214"/>
      <c r="G977" s="214"/>
      <c r="H977" s="214"/>
      <c r="I977" s="214"/>
      <c r="J977" s="214"/>
      <c r="K977" s="214"/>
      <c r="L977" s="214"/>
      <c r="M977" s="215"/>
      <c r="N977" s="215"/>
      <c r="O977" s="216"/>
      <c r="P977" s="216"/>
      <c r="Q977" s="216"/>
      <c r="R977" s="216"/>
      <c r="S977" s="216"/>
      <c r="T977" s="216"/>
      <c r="U977" s="216"/>
    </row>
    <row r="978" spans="1:21" ht="12.75" x14ac:dyDescent="0.2">
      <c r="A978" s="214"/>
      <c r="B978" s="214"/>
      <c r="C978" s="214"/>
      <c r="D978" s="214"/>
      <c r="E978" s="214"/>
      <c r="F978" s="214"/>
      <c r="G978" s="214"/>
      <c r="H978" s="214"/>
      <c r="I978" s="214"/>
      <c r="J978" s="214"/>
      <c r="K978" s="214"/>
      <c r="L978" s="214"/>
      <c r="M978" s="215"/>
      <c r="N978" s="215"/>
      <c r="O978" s="216"/>
      <c r="P978" s="216"/>
      <c r="Q978" s="216"/>
      <c r="R978" s="216"/>
      <c r="S978" s="216"/>
      <c r="T978" s="216"/>
      <c r="U978" s="216"/>
    </row>
    <row r="979" spans="1:21" ht="12.75" x14ac:dyDescent="0.2">
      <c r="A979" s="214"/>
      <c r="B979" s="214"/>
      <c r="C979" s="214"/>
      <c r="D979" s="214"/>
      <c r="E979" s="214"/>
      <c r="F979" s="214"/>
      <c r="G979" s="214"/>
      <c r="H979" s="214"/>
      <c r="I979" s="214"/>
      <c r="J979" s="214"/>
      <c r="K979" s="214"/>
      <c r="L979" s="214"/>
      <c r="M979" s="215"/>
      <c r="N979" s="215"/>
      <c r="O979" s="216"/>
      <c r="P979" s="216"/>
      <c r="Q979" s="216"/>
      <c r="R979" s="216"/>
      <c r="S979" s="216"/>
      <c r="T979" s="216"/>
      <c r="U979" s="216"/>
    </row>
    <row r="980" spans="1:21" ht="12.75" x14ac:dyDescent="0.2">
      <c r="A980" s="214"/>
      <c r="B980" s="214"/>
      <c r="C980" s="214"/>
      <c r="D980" s="214"/>
      <c r="E980" s="214"/>
      <c r="F980" s="214"/>
      <c r="G980" s="214"/>
      <c r="H980" s="214"/>
      <c r="I980" s="214"/>
      <c r="J980" s="214"/>
      <c r="K980" s="214"/>
      <c r="L980" s="214"/>
      <c r="M980" s="215"/>
      <c r="N980" s="215"/>
      <c r="O980" s="216"/>
      <c r="P980" s="216"/>
      <c r="Q980" s="216"/>
      <c r="R980" s="216"/>
      <c r="S980" s="216"/>
      <c r="T980" s="216"/>
      <c r="U980" s="216"/>
    </row>
    <row r="981" spans="1:21" ht="12.75" x14ac:dyDescent="0.2">
      <c r="A981" s="214"/>
      <c r="B981" s="214"/>
      <c r="C981" s="214"/>
      <c r="D981" s="214"/>
      <c r="E981" s="214"/>
      <c r="F981" s="214"/>
      <c r="G981" s="214"/>
      <c r="H981" s="214"/>
      <c r="I981" s="214"/>
      <c r="J981" s="214"/>
      <c r="K981" s="214"/>
      <c r="L981" s="214"/>
      <c r="M981" s="215"/>
      <c r="N981" s="215"/>
      <c r="O981" s="216"/>
      <c r="P981" s="216"/>
      <c r="Q981" s="216"/>
      <c r="R981" s="216"/>
      <c r="S981" s="216"/>
      <c r="T981" s="216"/>
      <c r="U981" s="216"/>
    </row>
    <row r="982" spans="1:21" ht="12.75" x14ac:dyDescent="0.2">
      <c r="A982" s="214"/>
      <c r="B982" s="214"/>
      <c r="C982" s="214"/>
      <c r="D982" s="214"/>
      <c r="E982" s="214"/>
      <c r="F982" s="214"/>
      <c r="G982" s="214"/>
      <c r="H982" s="214"/>
      <c r="I982" s="214"/>
      <c r="J982" s="214"/>
      <c r="K982" s="214"/>
      <c r="L982" s="214"/>
      <c r="M982" s="215"/>
      <c r="N982" s="215"/>
      <c r="O982" s="216"/>
      <c r="P982" s="216"/>
      <c r="Q982" s="216"/>
      <c r="R982" s="216"/>
      <c r="S982" s="216"/>
      <c r="T982" s="216"/>
      <c r="U982" s="216"/>
    </row>
    <row r="983" spans="1:21" ht="12.75" x14ac:dyDescent="0.2">
      <c r="A983" s="214"/>
      <c r="B983" s="214"/>
      <c r="C983" s="214"/>
      <c r="D983" s="214"/>
      <c r="E983" s="214"/>
      <c r="F983" s="214"/>
      <c r="G983" s="214"/>
      <c r="H983" s="214"/>
      <c r="I983" s="214"/>
      <c r="J983" s="214"/>
      <c r="K983" s="214"/>
      <c r="L983" s="214"/>
      <c r="M983" s="215"/>
      <c r="N983" s="215"/>
      <c r="O983" s="216"/>
      <c r="P983" s="216"/>
      <c r="Q983" s="216"/>
      <c r="R983" s="216"/>
      <c r="S983" s="216"/>
      <c r="T983" s="216"/>
      <c r="U983" s="216"/>
    </row>
    <row r="984" spans="1:21" ht="12.75" x14ac:dyDescent="0.2">
      <c r="A984" s="214"/>
      <c r="B984" s="214"/>
      <c r="C984" s="214"/>
      <c r="D984" s="214"/>
      <c r="E984" s="214"/>
      <c r="F984" s="214"/>
      <c r="G984" s="214"/>
      <c r="H984" s="214"/>
      <c r="I984" s="214"/>
      <c r="J984" s="214"/>
      <c r="K984" s="214"/>
      <c r="L984" s="214"/>
      <c r="M984" s="215"/>
      <c r="N984" s="215"/>
      <c r="O984" s="216"/>
      <c r="P984" s="216"/>
      <c r="Q984" s="216"/>
      <c r="R984" s="216"/>
      <c r="S984" s="216"/>
      <c r="T984" s="216"/>
      <c r="U984" s="216"/>
    </row>
    <row r="985" spans="1:21" ht="12.75" x14ac:dyDescent="0.2">
      <c r="A985" s="214"/>
      <c r="B985" s="214"/>
      <c r="C985" s="214"/>
      <c r="D985" s="214"/>
      <c r="E985" s="214"/>
      <c r="F985" s="214"/>
      <c r="G985" s="214"/>
      <c r="H985" s="214"/>
      <c r="I985" s="214"/>
      <c r="J985" s="214"/>
      <c r="K985" s="214"/>
      <c r="L985" s="214"/>
      <c r="M985" s="215"/>
      <c r="N985" s="215"/>
      <c r="O985" s="216"/>
      <c r="P985" s="216"/>
      <c r="Q985" s="216"/>
      <c r="R985" s="216"/>
      <c r="S985" s="216"/>
      <c r="T985" s="216"/>
      <c r="U985" s="216"/>
    </row>
    <row r="986" spans="1:21" ht="12.75" x14ac:dyDescent="0.2">
      <c r="A986" s="214"/>
      <c r="B986" s="214"/>
      <c r="C986" s="214"/>
      <c r="D986" s="214"/>
      <c r="E986" s="214"/>
      <c r="F986" s="214"/>
      <c r="G986" s="214"/>
      <c r="H986" s="214"/>
      <c r="I986" s="214"/>
      <c r="J986" s="214"/>
      <c r="K986" s="214"/>
      <c r="L986" s="214"/>
      <c r="M986" s="215"/>
      <c r="N986" s="215"/>
      <c r="O986" s="216"/>
      <c r="P986" s="216"/>
      <c r="Q986" s="216"/>
      <c r="R986" s="216"/>
      <c r="S986" s="216"/>
      <c r="T986" s="216"/>
      <c r="U986" s="216"/>
    </row>
    <row r="987" spans="1:21" ht="12.75" x14ac:dyDescent="0.2">
      <c r="A987" s="214"/>
      <c r="B987" s="214"/>
      <c r="C987" s="214"/>
      <c r="D987" s="214"/>
      <c r="E987" s="214"/>
      <c r="F987" s="214"/>
      <c r="G987" s="214"/>
      <c r="H987" s="214"/>
      <c r="I987" s="214"/>
      <c r="J987" s="214"/>
      <c r="K987" s="214"/>
      <c r="L987" s="214"/>
      <c r="M987" s="215"/>
      <c r="N987" s="215"/>
      <c r="O987" s="216"/>
      <c r="P987" s="216"/>
      <c r="Q987" s="216"/>
      <c r="R987" s="216"/>
      <c r="S987" s="216"/>
      <c r="T987" s="216"/>
      <c r="U987" s="216"/>
    </row>
    <row r="988" spans="1:21" ht="12.75" x14ac:dyDescent="0.2">
      <c r="A988" s="214"/>
      <c r="B988" s="214"/>
      <c r="C988" s="214"/>
      <c r="D988" s="214"/>
      <c r="E988" s="214"/>
      <c r="F988" s="214"/>
      <c r="G988" s="214"/>
      <c r="H988" s="214"/>
      <c r="I988" s="214"/>
      <c r="J988" s="214"/>
      <c r="K988" s="214"/>
      <c r="L988" s="214"/>
      <c r="M988" s="215"/>
      <c r="N988" s="215"/>
      <c r="O988" s="216"/>
      <c r="P988" s="216"/>
      <c r="Q988" s="216"/>
      <c r="R988" s="216"/>
      <c r="S988" s="216"/>
      <c r="T988" s="216"/>
      <c r="U988" s="216"/>
    </row>
    <row r="989" spans="1:21" ht="12.75" x14ac:dyDescent="0.2">
      <c r="A989" s="214"/>
      <c r="B989" s="214"/>
      <c r="C989" s="214"/>
      <c r="D989" s="214"/>
      <c r="E989" s="214"/>
      <c r="F989" s="214"/>
      <c r="G989" s="214"/>
      <c r="H989" s="214"/>
      <c r="I989" s="214"/>
      <c r="J989" s="214"/>
      <c r="K989" s="214"/>
      <c r="L989" s="214"/>
      <c r="M989" s="215"/>
      <c r="N989" s="215"/>
      <c r="O989" s="216"/>
      <c r="P989" s="216"/>
      <c r="Q989" s="216"/>
      <c r="R989" s="216"/>
      <c r="S989" s="216"/>
      <c r="T989" s="216"/>
      <c r="U989" s="216"/>
    </row>
    <row r="990" spans="1:21" ht="12.75" x14ac:dyDescent="0.2">
      <c r="A990" s="214"/>
      <c r="B990" s="214"/>
      <c r="C990" s="214"/>
      <c r="D990" s="214"/>
      <c r="E990" s="214"/>
      <c r="F990" s="214"/>
      <c r="G990" s="214"/>
      <c r="H990" s="214"/>
      <c r="I990" s="214"/>
      <c r="J990" s="214"/>
      <c r="K990" s="214"/>
      <c r="L990" s="214"/>
      <c r="M990" s="215"/>
      <c r="N990" s="215"/>
      <c r="O990" s="216"/>
      <c r="P990" s="216"/>
      <c r="Q990" s="216"/>
      <c r="R990" s="216"/>
      <c r="S990" s="216"/>
      <c r="T990" s="216"/>
      <c r="U990" s="216"/>
    </row>
    <row r="991" spans="1:21" ht="12.75" x14ac:dyDescent="0.2">
      <c r="A991" s="214"/>
      <c r="B991" s="214"/>
      <c r="C991" s="214"/>
      <c r="D991" s="214"/>
      <c r="E991" s="214"/>
      <c r="F991" s="214"/>
      <c r="G991" s="214"/>
      <c r="H991" s="214"/>
      <c r="I991" s="214"/>
      <c r="J991" s="214"/>
      <c r="K991" s="214"/>
      <c r="L991" s="214"/>
      <c r="M991" s="215"/>
      <c r="N991" s="215"/>
      <c r="O991" s="216"/>
      <c r="P991" s="216"/>
      <c r="Q991" s="216"/>
      <c r="R991" s="216"/>
      <c r="S991" s="216"/>
      <c r="T991" s="216"/>
      <c r="U991" s="216"/>
    </row>
    <row r="992" spans="1:21" ht="12.75" x14ac:dyDescent="0.2">
      <c r="A992" s="214"/>
      <c r="B992" s="214"/>
      <c r="C992" s="214"/>
      <c r="D992" s="214"/>
      <c r="E992" s="214"/>
      <c r="F992" s="214"/>
      <c r="G992" s="214"/>
      <c r="H992" s="214"/>
      <c r="I992" s="214"/>
      <c r="J992" s="214"/>
      <c r="K992" s="214"/>
      <c r="L992" s="214"/>
      <c r="M992" s="215"/>
      <c r="N992" s="215"/>
      <c r="O992" s="216"/>
      <c r="P992" s="216"/>
      <c r="Q992" s="216"/>
      <c r="R992" s="216"/>
      <c r="S992" s="216"/>
      <c r="T992" s="216"/>
      <c r="U992" s="216"/>
    </row>
    <row r="993" spans="1:21" ht="12.75" x14ac:dyDescent="0.2">
      <c r="A993" s="214"/>
      <c r="B993" s="214"/>
      <c r="C993" s="214"/>
      <c r="D993" s="214"/>
      <c r="E993" s="214"/>
      <c r="F993" s="214"/>
      <c r="G993" s="214"/>
      <c r="H993" s="214"/>
      <c r="I993" s="214"/>
      <c r="J993" s="214"/>
      <c r="K993" s="214"/>
      <c r="L993" s="214"/>
      <c r="M993" s="215"/>
      <c r="N993" s="215"/>
      <c r="O993" s="216"/>
      <c r="P993" s="216"/>
      <c r="Q993" s="216"/>
      <c r="R993" s="216"/>
      <c r="S993" s="216"/>
      <c r="T993" s="216"/>
      <c r="U993" s="216"/>
    </row>
    <row r="994" spans="1:21" ht="12.75" x14ac:dyDescent="0.2">
      <c r="A994" s="214"/>
      <c r="B994" s="214"/>
      <c r="C994" s="214"/>
      <c r="D994" s="214"/>
      <c r="E994" s="214"/>
      <c r="F994" s="214"/>
      <c r="G994" s="214"/>
      <c r="H994" s="214"/>
      <c r="I994" s="214"/>
      <c r="J994" s="214"/>
      <c r="K994" s="214"/>
      <c r="L994" s="214"/>
      <c r="M994" s="215"/>
      <c r="N994" s="215"/>
      <c r="O994" s="216"/>
      <c r="P994" s="216"/>
      <c r="Q994" s="216"/>
      <c r="R994" s="216"/>
      <c r="S994" s="216"/>
      <c r="T994" s="216"/>
      <c r="U994" s="216"/>
    </row>
    <row r="995" spans="1:21" ht="12.75" x14ac:dyDescent="0.2">
      <c r="A995" s="214"/>
      <c r="B995" s="214"/>
      <c r="C995" s="214"/>
      <c r="D995" s="214"/>
      <c r="E995" s="214"/>
      <c r="F995" s="214"/>
      <c r="G995" s="214"/>
      <c r="H995" s="214"/>
      <c r="I995" s="214"/>
      <c r="J995" s="214"/>
      <c r="K995" s="214"/>
      <c r="L995" s="214"/>
      <c r="M995" s="215"/>
      <c r="N995" s="215"/>
      <c r="O995" s="216"/>
      <c r="P995" s="216"/>
      <c r="Q995" s="216"/>
      <c r="R995" s="216"/>
      <c r="S995" s="216"/>
      <c r="T995" s="216"/>
      <c r="U995" s="216"/>
    </row>
    <row r="996" spans="1:21" ht="12.75" x14ac:dyDescent="0.2">
      <c r="A996" s="214"/>
      <c r="B996" s="214"/>
      <c r="C996" s="214"/>
      <c r="D996" s="214"/>
      <c r="E996" s="214"/>
      <c r="F996" s="214"/>
      <c r="G996" s="214"/>
      <c r="H996" s="214"/>
      <c r="I996" s="214"/>
      <c r="J996" s="214"/>
      <c r="K996" s="214"/>
      <c r="L996" s="214"/>
      <c r="M996" s="215"/>
      <c r="N996" s="215"/>
      <c r="O996" s="216"/>
      <c r="P996" s="216"/>
      <c r="Q996" s="216"/>
      <c r="R996" s="216"/>
      <c r="S996" s="216"/>
      <c r="T996" s="216"/>
      <c r="U996" s="216"/>
    </row>
    <row r="997" spans="1:21" ht="12.75" x14ac:dyDescent="0.2">
      <c r="A997" s="214"/>
      <c r="B997" s="214"/>
      <c r="C997" s="214"/>
      <c r="D997" s="214"/>
      <c r="E997" s="214"/>
      <c r="F997" s="214"/>
      <c r="G997" s="214"/>
      <c r="H997" s="214"/>
      <c r="I997" s="214"/>
      <c r="J997" s="214"/>
      <c r="K997" s="214"/>
      <c r="L997" s="214"/>
      <c r="M997" s="215"/>
      <c r="N997" s="215"/>
      <c r="O997" s="216"/>
      <c r="P997" s="216"/>
      <c r="Q997" s="216"/>
      <c r="R997" s="216"/>
      <c r="S997" s="216"/>
      <c r="T997" s="216"/>
      <c r="U997" s="216"/>
    </row>
    <row r="998" spans="1:21" ht="12.75" x14ac:dyDescent="0.2">
      <c r="A998" s="214"/>
      <c r="B998" s="214"/>
      <c r="C998" s="214"/>
      <c r="D998" s="214"/>
      <c r="E998" s="214"/>
      <c r="F998" s="214"/>
      <c r="G998" s="214"/>
      <c r="H998" s="214"/>
      <c r="I998" s="214"/>
      <c r="J998" s="214"/>
      <c r="K998" s="214"/>
      <c r="L998" s="214"/>
      <c r="M998" s="215"/>
      <c r="N998" s="215"/>
      <c r="O998" s="216"/>
      <c r="P998" s="216"/>
      <c r="Q998" s="216"/>
      <c r="R998" s="216"/>
      <c r="S998" s="216"/>
      <c r="T998" s="216"/>
      <c r="U998" s="216"/>
    </row>
    <row r="999" spans="1:21" ht="12.75" x14ac:dyDescent="0.2">
      <c r="A999" s="214"/>
      <c r="B999" s="214"/>
      <c r="C999" s="214"/>
      <c r="D999" s="214"/>
      <c r="E999" s="214"/>
      <c r="F999" s="214"/>
      <c r="G999" s="214"/>
      <c r="H999" s="214"/>
      <c r="I999" s="214"/>
      <c r="J999" s="214"/>
      <c r="K999" s="214"/>
      <c r="L999" s="214"/>
      <c r="M999" s="215"/>
      <c r="N999" s="215"/>
      <c r="O999" s="216"/>
      <c r="P999" s="216"/>
      <c r="Q999" s="216"/>
      <c r="R999" s="216"/>
      <c r="S999" s="216"/>
      <c r="T999" s="216"/>
      <c r="U999" s="216"/>
    </row>
    <row r="1000" spans="1:21" ht="12.75" x14ac:dyDescent="0.2">
      <c r="A1000" s="216"/>
      <c r="B1000" s="216"/>
      <c r="C1000" s="216"/>
      <c r="D1000" s="216"/>
      <c r="E1000" s="216"/>
      <c r="F1000" s="216"/>
      <c r="G1000" s="216"/>
      <c r="H1000" s="216"/>
      <c r="I1000" s="216"/>
      <c r="J1000" s="216"/>
      <c r="K1000" s="216"/>
      <c r="L1000" s="216"/>
      <c r="M1000" s="216"/>
      <c r="N1000" s="216"/>
      <c r="O1000" s="216"/>
      <c r="P1000" s="216"/>
      <c r="Q1000" s="216"/>
      <c r="R1000" s="216"/>
      <c r="S1000" s="216"/>
      <c r="T1000" s="216"/>
      <c r="U1000" s="216"/>
    </row>
  </sheetData>
  <mergeCells count="24">
    <mergeCell ref="A89:B89"/>
    <mergeCell ref="A104:B104"/>
    <mergeCell ref="C5:C6"/>
    <mergeCell ref="D5:D6"/>
    <mergeCell ref="A7:B7"/>
    <mergeCell ref="A13:B13"/>
    <mergeCell ref="A31:B31"/>
    <mergeCell ref="A52:B52"/>
    <mergeCell ref="A74:B74"/>
    <mergeCell ref="A2:B6"/>
    <mergeCell ref="C2:U2"/>
    <mergeCell ref="C3:N3"/>
    <mergeCell ref="O3:U3"/>
    <mergeCell ref="C4:E4"/>
    <mergeCell ref="F4:N4"/>
    <mergeCell ref="O4:Q4"/>
    <mergeCell ref="R4:S4"/>
    <mergeCell ref="T4:U4"/>
    <mergeCell ref="E5:E6"/>
    <mergeCell ref="F5:G5"/>
    <mergeCell ref="M5:N5"/>
    <mergeCell ref="P5:Q5"/>
    <mergeCell ref="R5:S5"/>
    <mergeCell ref="T5:U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44" fitToHeight="0" orientation="landscape" horizontalDpi="300" verticalDpi="300" r:id="rId1"/>
  <headerFooter>
    <oddFooter>&amp;Cหน้า &amp;P/&amp;N</oddFooter>
  </headerFooter>
  <rowBreaks count="4" manualBreakCount="4">
    <brk id="30" max="16383" man="1"/>
    <brk id="51" max="16383" man="1"/>
    <brk id="73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พัฒนาธุรกิจชุมชน</vt:lpstr>
      <vt:lpstr>เกษตรอินทรีย์</vt:lpstr>
      <vt:lpstr>วนเกษตร</vt:lpstr>
      <vt:lpstr>ยกระดับรายได้</vt:lpstr>
      <vt:lpstr>ตรวจสอบที่ดิน</vt:lpstr>
      <vt:lpstr>จัดที่ดินชุมชน</vt:lpstr>
      <vt:lpstr>จัดหาที่ดินเอกชน</vt:lpstr>
      <vt:lpstr>จัดที่ดินเอกชน 7 กิจกรรม</vt:lpstr>
      <vt:lpstr>RTK</vt:lpstr>
      <vt:lpstr>RTK!Print_Titles</vt:lpstr>
      <vt:lpstr>เกษตรอินทรีย์!Print_Titles</vt:lpstr>
      <vt:lpstr>จัดที่ดินชุมชน!Print_Titles</vt:lpstr>
      <vt:lpstr>'จัดที่ดินเอกชน 7 กิจกรรม'!Print_Titles</vt:lpstr>
      <vt:lpstr>จัดหาที่ดินเอกชน!Print_Titles</vt:lpstr>
      <vt:lpstr>ตรวจสอบที่ดิน!Print_Titles</vt:lpstr>
      <vt:lpstr>พัฒนาธุรกิจชุมชน!Print_Titles</vt:lpstr>
      <vt:lpstr>ยกระดับรายได้!Print_Titles</vt:lpstr>
      <vt:lpstr>วนเกษตร!Print_Titles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2023-03-08T06:49:27Z</cp:lastPrinted>
  <dcterms:modified xsi:type="dcterms:W3CDTF">2023-03-08T06:50:30Z</dcterms:modified>
</cp:coreProperties>
</file>